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trlProps/ctrlProp4.xml" ContentType="application/vnd.ms-excel.controlpropertie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trlProps/ctrlProp5.xml" ContentType="application/vnd.ms-excel.controlpropertie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trlProps/ctrlProp6.xml" ContentType="application/vnd.ms-excel.controlpropertie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trlProps/ctrlProp7.xml" ContentType="application/vnd.ms-excel.controlpropertie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trlProps/ctrlProp8.xml" ContentType="application/vnd.ms-excel.controlpropertie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trlProps/ctrlProp9.xml" ContentType="application/vnd.ms-excel.controlproperties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trlProps/ctrlProp10.xml" ContentType="application/vnd.ms-excel.controlproperties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trlProps/ctrlProp11.xml" ContentType="application/vnd.ms-excel.controlproperties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trlProps/ctrlProp12.xml" ContentType="application/vnd.ms-excel.controlproperties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trlProps/ctrlProp13.xml" ContentType="application/vnd.ms-excel.controlproperties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trlProps/ctrlProp14.xml" ContentType="application/vnd.ms-excel.controlproperties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trlProps/ctrlProp15.xml" ContentType="application/vnd.ms-excel.controlpropertie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trlProps/ctrlProp1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euda\Informes\Perfiles\GNC\Otra información Deuda GNC - IRC\Datos Deuda GNC- IRC\Nuevo Formato Histórico\2024\"/>
    </mc:Choice>
  </mc:AlternateContent>
  <xr:revisionPtr revIDLastSave="0" documentId="13_ncr:1_{582B645A-2813-4AA2-9660-FC9522FF5BC9}" xr6:coauthVersionLast="47" xr6:coauthVersionMax="47" xr10:uidLastSave="{00000000-0000-0000-0000-000000000000}"/>
  <bookViews>
    <workbookView xWindow="-110" yWindow="-110" windowWidth="19420" windowHeight="10300" tabRatio="889" firstSheet="1" activeTab="1" xr2:uid="{470512DE-B02F-403B-B746-79093297FB88}"/>
  </bookViews>
  <sheets>
    <sheet name="Indice principal" sheetId="14" r:id="rId1"/>
    <sheet name="Saldos" sheetId="1" r:id="rId2"/>
    <sheet name="Composición" sheetId="27" state="hidden" r:id="rId3"/>
    <sheet name="Fuente - interna" sheetId="10" r:id="rId4"/>
    <sheet name="Fuente - externa" sheetId="25" r:id="rId5"/>
    <sheet name="Fuente - total" sheetId="3" r:id="rId6"/>
    <sheet name="Tasa - interna" sheetId="12" r:id="rId7"/>
    <sheet name="Tasa - externa" sheetId="6" r:id="rId8"/>
    <sheet name="Tasa - total" sheetId="4" r:id="rId9"/>
    <sheet name="Moneda - interna" sheetId="11" r:id="rId10"/>
    <sheet name="Moneda - externa" sheetId="7" r:id="rId11"/>
    <sheet name="Moneda - total" sheetId="5" r:id="rId12"/>
    <sheet name="Perfil - interna" sheetId="9" r:id="rId13"/>
    <sheet name="Perfil - externa" sheetId="8" r:id="rId14"/>
    <sheet name="Perfil - total" sheetId="20" r:id="rId15"/>
    <sheet name="Indicadores" sheetId="2" r:id="rId16"/>
    <sheet name="Hoja1" sheetId="26" state="hidden" r:id="rId17"/>
    <sheet name="Title" sheetId="24" r:id="rId18"/>
    <sheet name="Gráfica servicio deuda interna" sheetId="21" state="hidden" r:id="rId19"/>
    <sheet name="Gráfica servicio deuda externa" sheetId="22" state="hidden" r:id="rId20"/>
    <sheet name="Gráfica servicio deuda total" sheetId="23" state="hidden" r:id="rId21"/>
  </sheets>
  <definedNames>
    <definedName name="_xlnm._FilterDatabase" localSheetId="15" hidden="1">Indicadores!$A$20:$I$237</definedName>
    <definedName name="_xlnm._FilterDatabase" localSheetId="11" hidden="1">'Moneda - total'!$A$20:$J$284</definedName>
    <definedName name="_xlnm._FilterDatabase" localSheetId="13" hidden="1">'Perfil - externa'!$A$19:$BK$811</definedName>
    <definedName name="_xlnm._FilterDatabase" localSheetId="12" hidden="1">'Perfil - interna'!$A$21:$BL$813</definedName>
    <definedName name="_xlnm._FilterDatabase" localSheetId="14" hidden="1">'Perfil - total'!$A$21:$BK$813</definedName>
    <definedName name="_xlnm._FilterDatabase" localSheetId="1" hidden="1">Saldos!$A$19:$I$238</definedName>
    <definedName name="_xlnm._FilterDatabase" localSheetId="8" hidden="1">'Tasa - total'!$A$22:$N$255</definedName>
    <definedName name="_xlnm.Print_Area" localSheetId="3">'Fuente - interna'!$A:$J</definedName>
    <definedName name="_xlnm.Print_Area" localSheetId="5">'Fuente - total'!$A:$O</definedName>
    <definedName name="_xlnm.Print_Area" localSheetId="10">'Moneda - externa'!$A:$K</definedName>
    <definedName name="_xlnm.Print_Area" localSheetId="9">'Moneda - interna'!$A:$I</definedName>
    <definedName name="_xlnm.Print_Area" localSheetId="11">'Moneda - total'!$A:$H</definedName>
    <definedName name="_xlnm.Print_Area" localSheetId="12">'Perfil - interna'!$A:$W</definedName>
    <definedName name="_xlnm.Print_Area" localSheetId="1">Saldos!$A:$I</definedName>
    <definedName name="_xlnm.Print_Area" localSheetId="7">'Tasa - externa'!$A:$H</definedName>
    <definedName name="_xlnm.Print_Area" localSheetId="6">'Tasa - interna'!$A:$J</definedName>
    <definedName name="_xlnm.Print_Area" localSheetId="8">'Tasa - total'!$A:$H</definedName>
    <definedName name="_xlnm.Print_Area" localSheetId="17">Title!$C$4:$E$128</definedName>
    <definedName name="Cambio_billones">Title!$B$163</definedName>
    <definedName name="Fuente_Interna_Corte_a">OFFSET('Fuente - interna'!$A$54,0,0,COUNT('Fuente - interna'!$A:$A))</definedName>
    <definedName name="Fuente_Interna_Serie_1">OFFSET('Fuente - interna'!$B$54,0,0,COUNT('Fuente - interna'!$A:$A))</definedName>
    <definedName name="Fuente_Interna_Serie_2">OFFSET('Fuente - interna'!$C$54,0,0,COUNT('Fuente - interna'!$A:$A))</definedName>
    <definedName name="Fuente_Interna_Serie_3">OFFSET('Fuente - interna'!$D$54,0,0,COUNT('Fuente - interna'!$A:$A))</definedName>
    <definedName name="Fuente_Interna_Serie_4">OFFSET('Fuente - interna'!$E$54,0,0,COUNT('Fuente - interna'!$A:$A))</definedName>
    <definedName name="Fuente_Interna_Serie_5">OFFSET('Fuente - interna'!$F$54,0,0,COUNT('Fuente - interna'!$A:$A))</definedName>
    <definedName name="Fuente_Interna_Serie_6">OFFSET('Fuente - interna'!$G$54,0,0,COUNT('Fuente - interna'!$A:$A))</definedName>
    <definedName name="Fuente_Interna_Serie_7">OFFSET('Fuente - interna'!$H$54,0,0,COUNT('Fuente - interna'!$A:$A))</definedName>
    <definedName name="Fuente_Interna_Serie_8">OFFSET('Fuente - interna'!$J$54,0,0,COUNT('Fuente - interna'!$A:$A))</definedName>
    <definedName name="Fuente_internaColumna_título_etiqueta">Title!$B$67</definedName>
    <definedName name="Fuente_internaColumna_título_etiqueta_2">Title!$B$68</definedName>
    <definedName name="Fuente_internaColumna_título_etiqueta_3">Title!$B$69</definedName>
    <definedName name="Fuente_internaColumna_título_etiqueta_4">Title!$B$70</definedName>
    <definedName name="Fuente_internaColumna_título_etiqueta_5">Title!$B$71</definedName>
    <definedName name="Fuente_internaColumna_título_etiqueta_6">Title!$B$72</definedName>
    <definedName name="Fuente_internaColumna_título_etiqueta_7">Title!$B$73</definedName>
    <definedName name="Fuente_internaColumna_título_etiqueta_8">Title!$B$74</definedName>
    <definedName name="Fuente_internaColumna_título_etiqueta_9">Title!$B$75</definedName>
    <definedName name="Fuente_internaSección_subtítulo_etiqueta">Title!$B$66</definedName>
    <definedName name="Fuente_internaSección_título_etiqueta">Title!$B$65</definedName>
    <definedName name="Fuente_total_Corte_a">OFFSET('Fuente - total'!$A$54,0,0,COUNT('Fuente - total'!$A:$A))</definedName>
    <definedName name="Fuente_Total_Serie_1">OFFSET('Fuente - total'!$B$54,0,0,COUNT('Fuente - total'!$A:$A))</definedName>
    <definedName name="Fuente_Total_Serie_10">OFFSET('Fuente - total'!$L$54,0,0,COUNT('Fuente - total'!$A:$A))</definedName>
    <definedName name="Fuente_Total_Serie_11">OFFSET('Fuente - total'!$K$54,0,0,COUNT('Fuente - total'!$A:$A))</definedName>
    <definedName name="Fuente_Total_Serie_12">OFFSET('Fuente - total'!$N$54,0,0,COUNT('Fuente - total'!$A:$A))</definedName>
    <definedName name="Fuente_total_Serie_13">OFFSET('Fuente - total'!$O$54,0,0,COUNT('Fuente - total'!$A:$A))</definedName>
    <definedName name="Fuente_total_Serie_14" localSheetId="19">OFFSET('Gráfica servicio deuda externa'!#REF!,0,0,COUNT('Fuente - total'!$A:$A))</definedName>
    <definedName name="Fuente_total_Serie_14" localSheetId="18">OFFSET('Gráfica servicio deuda interna'!#REF!,0,0,COUNT('Fuente - total'!$A:$A))</definedName>
    <definedName name="Fuente_total_Serie_14" localSheetId="20">OFFSET('Gráfica servicio deuda total'!#REF!,0,0,COUNT('Fuente - total'!$A:$A))</definedName>
    <definedName name="Fuente_total_Serie_14">OFFSET(#REF!,0,0,COUNT('Fuente - total'!$A:$A))</definedName>
    <definedName name="Fuente_Total_Serie_2">OFFSET('Fuente - total'!$C$54,0,0,COUNT('Fuente - total'!$A:$A))</definedName>
    <definedName name="Fuente_Total_Serie_3">OFFSET('Fuente - total'!$D$54,0,0,COUNT('Fuente - total'!$A:$A))</definedName>
    <definedName name="Fuente_Total_Serie_4">OFFSET('Fuente - total'!$I$54,0,0,COUNT('Fuente - total'!$A:$A))</definedName>
    <definedName name="Fuente_Total_Serie_5">OFFSET('Fuente - total'!$E$54,0,0,COUNT('Fuente - total'!$A:$A))</definedName>
    <definedName name="Fuente_Total_Serie_6">OFFSET('Fuente - total'!$G$54,0,0,COUNT('Fuente - total'!$A:$A))</definedName>
    <definedName name="Fuente_Total_Serie_7">OFFSET('Fuente - total'!$H$54,0,0,COUNT('Fuente - total'!$A:$A))</definedName>
    <definedName name="Fuente_Total_Serie_8">OFFSET('Fuente - total'!$F$54,0,0,COUNT('Fuente - total'!$A:$A))</definedName>
    <definedName name="Fuente_Total_Serie_9">OFFSET('Fuente - total'!$J$54,0,0,COUNT('Fuente - total'!$A:$A))</definedName>
    <definedName name="Fuente_totalColumna_título_etiqueta">Title!$B$78</definedName>
    <definedName name="Fuente_totalColumna_título_etiqueta_10">Title!$B$87</definedName>
    <definedName name="Fuente_totalColumna_título_etiqueta_11">Title!$B$88</definedName>
    <definedName name="Fuente_totalColumna_título_etiqueta_12">Title!$B$89</definedName>
    <definedName name="Fuente_totalColumna_título_etiqueta_13">Title!$B$90</definedName>
    <definedName name="Fuente_totalColumna_título_etiqueta_2">Title!$B$79</definedName>
    <definedName name="Fuente_totalColumna_título_etiqueta_3">Title!$B$80</definedName>
    <definedName name="Fuente_totalColumna_título_etiqueta_4">Title!$B$81</definedName>
    <definedName name="Fuente_totalColumna_título_etiqueta_5">Title!$B$82</definedName>
    <definedName name="Fuente_totalColumna_título_etiqueta_6">Title!$B$83</definedName>
    <definedName name="Fuente_totalColumna_título_etiqueta_7">Title!$B$84</definedName>
    <definedName name="Fuente_totalColumna_título_etiqueta_8">Title!$B$85</definedName>
    <definedName name="Fuente_totalColumna_título_etiqueta_9">Title!$B$86</definedName>
    <definedName name="Fuente_totalReferencia_texto">Title!$B$91</definedName>
    <definedName name="Fuente_totalSección_subtítulo_etiqueta">Title!$B$77</definedName>
    <definedName name="Fuente_totalSección_título_etiqueta">Title!$B$76</definedName>
    <definedName name="Indicadores_Corte_a">OFFSET(Indicadores!$A$54,0,0,COUNT(Indicadores!$A:$A))</definedName>
    <definedName name="Indicadores_Serie_1">OFFSET(Indicadores!$B$54,0,0,COUNT(Indicadores!$A:$A))</definedName>
    <definedName name="Indicadores_Serie_2">OFFSET(Indicadores!$C$54,0,0,COUNT(Indicadores!$A:$A))</definedName>
    <definedName name="Indicadores_Serie_3">OFFSET(Indicadores!$D$54,0,0,COUNT(Indicadores!$A:$A))</definedName>
    <definedName name="Indicadores_Serie_4">OFFSET(Indicadores!$E$54,0,0,COUNT(Indicadores!$A:$A))</definedName>
    <definedName name="Indicadores_Serie_5">OFFSET(Indicadores!$F$54,0,0,COUNT(Indicadores!$A:$A))</definedName>
    <definedName name="Indicadores_Serie_6">OFFSET(Indicadores!$G$54,0,0,COUNT(Indicadores!$A:$A))</definedName>
    <definedName name="Indicadores_Serie_7">OFFSET(Indicadores!$H$54,0,0,COUNT(Indicadores!$A:$A))</definedName>
    <definedName name="Indicadores_Serie_8">OFFSET(Indicadores!$I$54,0,0,COUNT(Indicadores!$A:$A))</definedName>
    <definedName name="IndicadoresColumna_título_etiqueta">Title!$B$151</definedName>
    <definedName name="IndicadoresColumna_título_etiqueta_2">Title!$B$152</definedName>
    <definedName name="IndicadoresColumna_título_etiqueta_3">Title!$B$153</definedName>
    <definedName name="IndicadoresColumna_título_etiqueta_4">Title!$B$154</definedName>
    <definedName name="IndicadoresColumna_título_etiqueta_5">Title!$B$155</definedName>
    <definedName name="IndicadoresSección_subtítulo_etiqueta">Title!$B$146</definedName>
    <definedName name="IndicadoresSección_subtítulo_etiqueta_2">Title!$B$148</definedName>
    <definedName name="IndicadoresSección_subtítulo_etiqueta_3">Title!$B$150</definedName>
    <definedName name="IndicadoresSección_título_etiqueta">Title!$B$145</definedName>
    <definedName name="IndicadoresSección_título_etiqueta_2">Title!$B$147</definedName>
    <definedName name="IndicadoresSección_título_etiqueta_3">Title!$B$149</definedName>
    <definedName name="Indice_Principal_Título">Title!$B$4</definedName>
    <definedName name="Indice_PrincipalCategory_etiqueta">Title!$B$19</definedName>
    <definedName name="Indice_PrincipalContenido_etiqueta">Title!$B$7</definedName>
    <definedName name="Indice_PrincipalContenido_texto">Title!$B$8</definedName>
    <definedName name="Indice_PrincipalCuadro_texto_fuentes">Title!$B$48</definedName>
    <definedName name="Indice_PrincipalCuadro_texto_indicadores">Title!$B$51</definedName>
    <definedName name="Indice_PrincipalCuadro_texto_moneda">Title!$B$49</definedName>
    <definedName name="Indice_PrincipalCuadro_texto_saldos">Title!$B$47</definedName>
    <definedName name="Indice_PrincipalCuadro_texto_servicio">Title!$B$50</definedName>
    <definedName name="Indice_PrincipalCuadro_texto_tasas">Title!$B$52</definedName>
    <definedName name="Indice_PrincipalDatos_y_enlaces_etiqueta">Title!$B$20</definedName>
    <definedName name="Indice_PrincipalDescripción_etiqueta">Title!$B$21</definedName>
    <definedName name="Indice_PrincipalFecha_corte_etiqueta">Title!$B$17</definedName>
    <definedName name="Indice_PrincipalFecha_corte_texto">Title!$B$18</definedName>
    <definedName name="Indice_PrincipalFecha_de_revisión_etiqueta">Title!$B$15</definedName>
    <definedName name="Indice_PrincipalFecha_de_revision_texto">Title!$B$16</definedName>
    <definedName name="Indice_PrincipalFrecuencia_de_publicación_etiqueta">Title!$B$5</definedName>
    <definedName name="Indice_PrincipalFrecuencia_de_publicación_texto">Title!$B$6</definedName>
    <definedName name="Indice_PrincipalFuentes_de_deuda__etiqueta">Title!$B$24</definedName>
    <definedName name="Indice_PrincipalFuentes_de_deuda_externa_texto">Title!$B$26</definedName>
    <definedName name="Indice_PrincipalFuentes_de_deuda_Interna_texto">Title!$B$25</definedName>
    <definedName name="Indice_PrincipalFuentes_de_deuda_total_texto_2">Title!$B$27</definedName>
    <definedName name="Indice_PrincipalFuentes_etiqueta">Title!$B$9</definedName>
    <definedName name="Indice_PrincipalFuentes_texto">Title!$B$10</definedName>
    <definedName name="Indice_PrincipalFuentes_texto_2">Title!$B$11</definedName>
    <definedName name="Indice_PrincipalFuentes_texto_3">Title!$B$12</definedName>
    <definedName name="Indice_PrincipalIndicadores_etiqueta">Title!$B$40</definedName>
    <definedName name="Indice_PrincipalIndicadores_texto">Title!$B$41</definedName>
    <definedName name="Indice_PrincipalInicio">Title!$B$3</definedName>
    <definedName name="Indice_PrincipalLeyenda_etiqueta">Title!$B$42</definedName>
    <definedName name="Indice_PrincipalLeyenda_texto">Title!$B$43</definedName>
    <definedName name="Indice_PrincipalLeyenda_texto_2">Title!$B$44</definedName>
    <definedName name="Indice_PrincipalLeyenda_texto_3">Title!$B$45</definedName>
    <definedName name="Indice_PrincipalLeyenda_texto_4">Title!$B$46</definedName>
    <definedName name="Indice_PrincipalMoneda_de_deuda_etiqueta">Title!$B$32</definedName>
    <definedName name="Indice_PrincipalMoneda_de_deuda_texto">Title!$B$33</definedName>
    <definedName name="Indice_PrincipalMoneda_de_deuda_texto_2">Title!$B$34</definedName>
    <definedName name="Indice_PrincipalMoneda_de_deuda_texto_3">Title!$B$35</definedName>
    <definedName name="Indice_PrincipalSaldos_de_deuda_etiqueta">Title!$B$22</definedName>
    <definedName name="Indice_PrincipalSaldos_de_deuda_texto">Title!$B$23</definedName>
    <definedName name="Indice_PrincipalServicio_de_deuda_etiqueta">Title!$B$36</definedName>
    <definedName name="Indice_PrincipalServicio_de_deuda_texto">Title!$B$37</definedName>
    <definedName name="Indice_PrincipalServicio_de_deuda_texto_2">Title!$B$38</definedName>
    <definedName name="Indice_PrincipalServicio_de_deuda_texto_3">Title!$B$39</definedName>
    <definedName name="Indice_PrincipalTasas_de_deuda_etiqueta">Title!$B$28</definedName>
    <definedName name="Indice_PrincipalTasas_de_deuda_texto">Title!$B$29</definedName>
    <definedName name="Indice_PrincipalTasas_de_deuda_texto_2">Title!$B$30</definedName>
    <definedName name="Indice_PrincipalTasas_de_deuda_texto_3">Title!$B$31</definedName>
    <definedName name="Indice_PrincipalTítulo_principal">Title!$B$2</definedName>
    <definedName name="Indice_PrincipalUbicación_etiqueta">Title!$B$13</definedName>
    <definedName name="Indice_PrincipalUbicación_texto">Title!$B$14</definedName>
    <definedName name="Moneda_externa_Corte_a">OFFSET('Moneda - externa'!$A$54,0,0,COUNT('Moneda - externa'!$A:$A))</definedName>
    <definedName name="Moneda_externa_Serie_1">OFFSET('Moneda - externa'!$B$54,0,0,COUNT('Moneda - externa'!$A:$A))</definedName>
    <definedName name="Moneda_externa_Serie_2">OFFSET('Moneda - externa'!$C$54,0,0,COUNT('Moneda - externa'!$A:$A))</definedName>
    <definedName name="Moneda_externa_Serie_3">OFFSET('Moneda - externa'!$D$54,0,0,COUNT('Moneda - externa'!$A:$A))</definedName>
    <definedName name="Moneda_externa_Serie_4">OFFSET('Moneda - externa'!$E$54,0,0,COUNT('Moneda - externa'!$A:$A))</definedName>
    <definedName name="Moneda_externa_Serie_5">OFFSET('Moneda - externa'!$F$54,0,0,COUNT('Moneda - externa'!$A:$A))</definedName>
    <definedName name="Moneda_externaColumna_título_etiqueta">Title!$B$120</definedName>
    <definedName name="Moneda_externaColumna_título_etiqueta_2">Title!$B$121</definedName>
    <definedName name="Moneda_externaColumna_título_etiqueta_3">Title!$B$122</definedName>
    <definedName name="Moneda_externaColumna_título_etiqueta_4">Title!$B$123</definedName>
    <definedName name="Moneda_externaColumna_título_etiqueta_5">Title!$B$124</definedName>
    <definedName name="Moneda_externaColumna_título_etiqueta_6">Title!$B$125</definedName>
    <definedName name="Moneda_externaSección_subtítulo_etiqueta">Title!$B$119</definedName>
    <definedName name="Moneda_externaSección_título_etiqueta">Title!$B$118</definedName>
    <definedName name="Moneda_interna_Corte_a">OFFSET('Moneda - interna'!$A$53,0,0,COUNT('Moneda - interna'!$A:$A))</definedName>
    <definedName name="Moneda_interna_Serie_1">OFFSET('Moneda - interna'!$B$53,0,0,COUNT('Moneda - interna'!$A:$A))</definedName>
    <definedName name="Moneda_interna_Serie_2">OFFSET('Moneda - interna'!$C$53,0,0,COUNT('Moneda - interna'!$A:$A))</definedName>
    <definedName name="Moneda_interna_Serie_3">OFFSET('Moneda - interna'!$D$53,0,0,COUNT('Moneda - interna'!$A:$A))</definedName>
    <definedName name="Moneda_interna_serie_4">OFFSET('Moneda - interna'!$E$53,0,0,COUNT('Moneda - interna'!$A:$A))</definedName>
    <definedName name="Moneda_internaColumna_título_etiqueta">Title!$B$113</definedName>
    <definedName name="Moneda_internaColumna_título_etiqueta_2">Title!$B$114</definedName>
    <definedName name="Moneda_internaColumna_título_etiqueta_3">Title!$B$115</definedName>
    <definedName name="Moneda_internaColumna_título_etiqueta_4">Title!$B$116</definedName>
    <definedName name="Moneda_internaColumna_título_etiqueta_5">Title!$B$117</definedName>
    <definedName name="Moneda_internaSección_subtítulo_etiqueta">Title!$B$112</definedName>
    <definedName name="Moneda_internaSección_título_etiqueta">Title!$B$111</definedName>
    <definedName name="Moneda_total_Corte_a">OFFSET('Moneda - total'!$A$52,0,0,COUNT('Moneda - total'!$A:$A))</definedName>
    <definedName name="Moneda_total_Serie_1">OFFSET('Moneda - total'!$B$52,0,0,COUNT('Moneda - total'!$A:$A))</definedName>
    <definedName name="Moneda_total_Serie_2">OFFSET('Moneda - total'!$C$52,0,0,COUNT('Moneda - total'!$A:$A))</definedName>
    <definedName name="Moneda_total_Serie_3">OFFSET('Moneda - total'!$D$52,0,0,COUNT('Moneda - total'!$A:$A))</definedName>
    <definedName name="Moneda_total_Serie_4">OFFSET('Moneda - total'!$E$52,0,0,COUNT('Moneda - total'!$A:$A))</definedName>
    <definedName name="Moneda_total_Serie_5">OFFSET('Moneda - total'!$F$52,0,0,COUNT('Moneda - total'!$A:$A))</definedName>
    <definedName name="Moneda_totalColumna_título_etiqueta">Title!$B$128</definedName>
    <definedName name="Moneda_totalColumna_título_etiqueta_2">Title!$B$129</definedName>
    <definedName name="Moneda_totalColumna_título_etiqueta_3">Title!$B$130</definedName>
    <definedName name="Moneda_totalColumna_título_etiqueta_4">Title!$B$131</definedName>
    <definedName name="Moneda_totalColumna_título_etiqueta_5">Title!$B$132</definedName>
    <definedName name="Moneda_totalColumna_título_etiqueta_6">Title!$B$133</definedName>
    <definedName name="Moneda_totalColumna_título_etiqueta_7">Title!$B$134</definedName>
    <definedName name="Moneda_totalSección_subtítulo_etiqueta">Title!$B$127</definedName>
    <definedName name="Moneda_totalSección_título_etiqueta">Title!$B$126</definedName>
    <definedName name="SaldosColumna_título_etiqueta">Title!$B$60</definedName>
    <definedName name="SaldosColumna_título_etiqueta_2">Title!$B$61</definedName>
    <definedName name="SaldosColumna_título_etiqueta_3">Title!$B$62</definedName>
    <definedName name="SaldosSección_fecha_etiqueta">Title!$B$53</definedName>
    <definedName name="SaldosSección_subtítulo_etiqueta">Title!$B$55</definedName>
    <definedName name="SaldosSección_subtítulo_etiqueta_2">Title!$B$57</definedName>
    <definedName name="SaldosSección_subtítulo_etiqueta_3">Title!$B$59</definedName>
    <definedName name="SaldosSección_título_etiqueta">Title!$B$54</definedName>
    <definedName name="SaldosSección_título_etiqueta_2">Title!$B$56</definedName>
    <definedName name="SaldosSección_título_etiqueta_3">Title!$B$58</definedName>
    <definedName name="SaldoTotal_GraficaTitulo">Title!$B$164</definedName>
    <definedName name="Servicio_deuda_externa_amortizaciones">OFFSET('Gráfica servicio deuda externa'!$B$39,0,0,COUNT('Gráfica servicio deuda externa'!$B$39:$B$72))</definedName>
    <definedName name="Servicio_deuda_externa_año">OFFSET('Gráfica servicio deuda externa'!$A$39,0,0,COUNT('Gráfica servicio deuda externa'!$A$39:$A$72))</definedName>
    <definedName name="Servicio_deuda_externa_intereses">OFFSET('Gráfica servicio deuda externa'!$C$39,0,0,COUNT('Gráfica servicio deuda externa'!$C$39:$C$72))</definedName>
    <definedName name="Servicio_deuda_externa_total">OFFSET('Gráfica servicio deuda externa'!$D$39,0,0,COUNT('Gráfica servicio deuda externa'!$D$39:$D$72))</definedName>
    <definedName name="Servicio_deuda_interna_amortizaciones">OFFSET('Gráfica servicio deuda interna'!$B$39,0,0,COUNT('Gráfica servicio deuda interna'!$B$39:$B$72))</definedName>
    <definedName name="Servicio_deuda_interna_año">OFFSET('Gráfica servicio deuda interna'!$A$39,0,0,COUNT('Gráfica servicio deuda interna'!$A$39:$A$72))</definedName>
    <definedName name="Servicio_deuda_interna_intereses">OFFSET('Gráfica servicio deuda interna'!$C$39,0,0,COUNT('Gráfica servicio deuda interna'!$C$39:$C$72))</definedName>
    <definedName name="Servicio_deuda_interna_total">OFFSET('Gráfica servicio deuda interna'!$D$39,0,0,COUNT('Gráfica servicio deuda interna'!$D$39:$D$72))</definedName>
    <definedName name="Servicio_deuda_total_amortizaciones">OFFSET('Gráfica servicio deuda total'!$B$39,0,0,COUNT('Gráfica servicio deuda total'!$B$39:$B$72))</definedName>
    <definedName name="Servicio_deuda_total_año">OFFSET('Gráfica servicio deuda total'!$A$39,0,0,COUNT('Gráfica servicio deuda total'!$A$39:$A$72))</definedName>
    <definedName name="Servicio_deuda_total_intereses">OFFSET('Gráfica servicio deuda total'!$C$39,0,0,COUNT('Gráfica servicio deuda total'!$C$39:$C$72))</definedName>
    <definedName name="Servicio_deuda_total_total">OFFSET('Gráfica servicio deuda total'!$D$39,0,0,COUNT('Gráfica servicio deuda total'!$D$39:$D$72))</definedName>
    <definedName name="Servicio_externaSección_subtítulo_etiqueta">Title!$B$142</definedName>
    <definedName name="Servicio_externaSección_título_etiqueta">Title!$B$141</definedName>
    <definedName name="Servicio_internaColumna_título_amortizaciones">Title!$B$138</definedName>
    <definedName name="Servicio_internaColumna_título_intereses">Title!$B$139</definedName>
    <definedName name="Servicio_internaColumna_título_total">Title!$B$140</definedName>
    <definedName name="Servicio_internaFechas_etiqueta">Title!$B$137</definedName>
    <definedName name="Servicio_internaSección_subtítulo_etiqueta">Title!$B$136</definedName>
    <definedName name="Servicio_internaSección_título_etiqueta">Title!$B$135</definedName>
    <definedName name="Servicio_totalSección_subtítulo_etiqueta">Title!$B$144</definedName>
    <definedName name="Servicio_totalSección_título_etiqueta">Title!$B$143</definedName>
    <definedName name="Tasa_externa_Corte_a">OFFSET('Tasa - externa'!$A$23,0,0,COUNT('Tasa - externa'!$A:$A))</definedName>
    <definedName name="Tasa_externa_Serie_1">OFFSET('Tasa - externa'!$B$23,0,0,COUNT('Tasa - externa'!$A:$A))</definedName>
    <definedName name="Tasa_externa_Serie_2">OFFSET('Tasa - externa'!$C$23,0,0,COUNT('Tasa - externa'!$A:$A))</definedName>
    <definedName name="Tasa_externaColumna_título_etiqueta">Title!$B$105</definedName>
    <definedName name="Tasa_externaColumna_título_etiqueta_2">Title!$B$106</definedName>
    <definedName name="Tasa_externaSección_subtítulo_etiqueta">Title!$B$104</definedName>
    <definedName name="Tasa_externaSección_título_etiqueta">Title!$B$103</definedName>
    <definedName name="Tasa_interna_Corte_a">OFFSET('Tasa - interna'!$A$53,0,0,COUNT('Tasa - interna'!$A:$A))</definedName>
    <definedName name="Tasa_interna_Serie_1">OFFSET('Tasa - interna'!$B$53,0,0,COUNT('Tasa - interna'!$A:$A))</definedName>
    <definedName name="Tasa_interna_Serie_2">OFFSET('Tasa - interna'!$D$53,0,0,COUNT('Tasa - interna'!$A:$A))</definedName>
    <definedName name="Tasa_interna_Serie_3">OFFSET('Tasa - interna'!$C$53,0,0,COUNT('Tasa - interna'!$A:$A))</definedName>
    <definedName name="Tasa_interna_Serie_4">OFFSET('Tasa - interna'!$E$53,0,0,COUNT('Tasa - interna'!$A:$A))</definedName>
    <definedName name="Tasa_interna_Serie_5">OFFSET('Tasa - interna'!$F$53,0,0,COUNT('Tasa - interna'!$A:$A))</definedName>
    <definedName name="Tasa_interna_Serie_6">OFFSET('Tasa - interna'!$G$53,0,0,COUNT('Tasa - interna'!$A:$A))</definedName>
    <definedName name="Tasa_interna_serie_7">OFFSET('Tasa - interna'!$H$53,0,0,COUNT('Tasa - interna'!$A:$A))</definedName>
    <definedName name="Tasa_internaColumna_título_etiqueta">Title!$B$95</definedName>
    <definedName name="Tasa_internaColumna_título_etiqueta_2">Title!$B$96</definedName>
    <definedName name="Tasa_internaColumna_título_etiqueta_3">Title!$B$97</definedName>
    <definedName name="Tasa_internaColumna_título_etiqueta_4">Title!$B$98</definedName>
    <definedName name="Tasa_internaColumna_título_etiqueta_5">Title!$B$99</definedName>
    <definedName name="Tasa_internaColumna_título_etiqueta_6">Title!$B$100</definedName>
    <definedName name="Tasa_internaColumna_título_etiqueta_7">Title!$B$101</definedName>
    <definedName name="Tasa_internaColumna_título_etiqueta_8">Title!$B$102</definedName>
    <definedName name="Tasa_internaSección_subtítulo_etiqueta">Title!$B$94</definedName>
    <definedName name="Tasa_internaSección_título_etiqueta">Title!$B$93</definedName>
    <definedName name="Tasa_total_Corte_a">OFFSET('Tasa - total'!$A$23,0,0,COUNT('Tasa - total'!$A:$A))</definedName>
    <definedName name="Tasa_total_Serie_1">OFFSET('Tasa - total'!$B$23,0,0,COUNT('Tasa - total'!$A:$A))</definedName>
    <definedName name="Tasa_total_Serie_2">OFFSET('Tasa - total'!$C$23,0,0,COUNT('Tasa - total'!$A:$A))</definedName>
    <definedName name="Tasa_totalColumna_título_etiqueta">Title!$B$109</definedName>
    <definedName name="Tasa_totalColumna_título_etiqueta_2">Title!$B$110</definedName>
    <definedName name="Tasa_totalSección_subtítulo_etiqueta">Title!$B$108</definedName>
    <definedName name="Tasa_totalSección_título_etiqueta">Title!$B$107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869" i="20" l="1"/>
  <c r="BJ869" i="20"/>
  <c r="BI869" i="20"/>
  <c r="BH869" i="20"/>
  <c r="BG869" i="20"/>
  <c r="BF869" i="20"/>
  <c r="BE869" i="20"/>
  <c r="BD869" i="20"/>
  <c r="BC869" i="20"/>
  <c r="BB869" i="20"/>
  <c r="BA869" i="20"/>
  <c r="AZ869" i="20"/>
  <c r="AY869" i="20"/>
  <c r="AX869" i="20"/>
  <c r="AW869" i="20"/>
  <c r="AV869" i="20"/>
  <c r="AU869" i="20"/>
  <c r="AT869" i="20"/>
  <c r="AS869" i="20"/>
  <c r="AR869" i="20"/>
  <c r="AQ869" i="20"/>
  <c r="AP869" i="20"/>
  <c r="AO869" i="20"/>
  <c r="AN869" i="20"/>
  <c r="AM869" i="20"/>
  <c r="AL869" i="20"/>
  <c r="AK869" i="20"/>
  <c r="AJ869" i="20"/>
  <c r="AI869" i="20"/>
  <c r="AH869" i="20"/>
  <c r="AG869" i="20"/>
  <c r="AF869" i="20"/>
  <c r="AE869" i="20"/>
  <c r="AD869" i="20"/>
  <c r="AC869" i="20"/>
  <c r="AB869" i="20"/>
  <c r="AA869" i="20"/>
  <c r="Z869" i="20"/>
  <c r="BK868" i="20"/>
  <c r="BJ868" i="20"/>
  <c r="BI868" i="20"/>
  <c r="BH868" i="20"/>
  <c r="BG868" i="20"/>
  <c r="BF868" i="20"/>
  <c r="BE868" i="20"/>
  <c r="BD868" i="20"/>
  <c r="BC868" i="20"/>
  <c r="BB868" i="20"/>
  <c r="BA868" i="20"/>
  <c r="AZ868" i="20"/>
  <c r="AY868" i="20"/>
  <c r="AX868" i="20"/>
  <c r="AW868" i="20"/>
  <c r="AV868" i="20"/>
  <c r="AU868" i="20"/>
  <c r="AT868" i="20"/>
  <c r="AS868" i="20"/>
  <c r="AR868" i="20"/>
  <c r="AQ868" i="20"/>
  <c r="AP868" i="20"/>
  <c r="AO868" i="20"/>
  <c r="AN868" i="20"/>
  <c r="AM868" i="20"/>
  <c r="AL868" i="20"/>
  <c r="AK868" i="20"/>
  <c r="AJ868" i="20"/>
  <c r="AI868" i="20"/>
  <c r="AH868" i="20"/>
  <c r="AG868" i="20"/>
  <c r="AF868" i="20"/>
  <c r="AE868" i="20"/>
  <c r="AD868" i="20"/>
  <c r="AC868" i="20"/>
  <c r="AB868" i="20"/>
  <c r="AA868" i="20"/>
  <c r="Z868" i="20"/>
  <c r="BK868" i="8"/>
  <c r="BJ868" i="8"/>
  <c r="BI868" i="8"/>
  <c r="BH868" i="8"/>
  <c r="BG868" i="8"/>
  <c r="BF868" i="8"/>
  <c r="BE868" i="8"/>
  <c r="BD868" i="8"/>
  <c r="BC868" i="8"/>
  <c r="BB868" i="8"/>
  <c r="BA868" i="8"/>
  <c r="AZ868" i="8"/>
  <c r="AY868" i="8"/>
  <c r="AX868" i="8"/>
  <c r="AW868" i="8"/>
  <c r="AT9" i="22" s="1"/>
  <c r="AV868" i="8"/>
  <c r="AU868" i="8"/>
  <c r="AT868" i="8"/>
  <c r="AQ9" i="22" s="1"/>
  <c r="AS868" i="8"/>
  <c r="AR868" i="8"/>
  <c r="AQ868" i="8"/>
  <c r="AP868" i="8"/>
  <c r="AO868" i="8"/>
  <c r="AN868" i="8"/>
  <c r="AM868" i="8"/>
  <c r="AL868" i="8"/>
  <c r="AK868" i="8"/>
  <c r="AJ868" i="8"/>
  <c r="AI868" i="8"/>
  <c r="AH868" i="8"/>
  <c r="AG868" i="8"/>
  <c r="AF868" i="8"/>
  <c r="AE868" i="8"/>
  <c r="AD868" i="8"/>
  <c r="AC868" i="8"/>
  <c r="AB868" i="8"/>
  <c r="AA868" i="8"/>
  <c r="BK870" i="9"/>
  <c r="BJ870" i="9"/>
  <c r="BI870" i="9"/>
  <c r="BH870" i="9"/>
  <c r="BG870" i="9"/>
  <c r="BF870" i="9"/>
  <c r="BE870" i="9"/>
  <c r="BD870" i="9"/>
  <c r="BC870" i="9"/>
  <c r="BB870" i="9"/>
  <c r="BA870" i="9"/>
  <c r="AZ870" i="9"/>
  <c r="AY870" i="9"/>
  <c r="AX870" i="9"/>
  <c r="AW870" i="9"/>
  <c r="AV870" i="9"/>
  <c r="AU870" i="9"/>
  <c r="AT870" i="9"/>
  <c r="AS870" i="9"/>
  <c r="AR870" i="9"/>
  <c r="AQ870" i="9"/>
  <c r="AP870" i="9"/>
  <c r="AO870" i="9"/>
  <c r="AN870" i="9"/>
  <c r="AM870" i="9"/>
  <c r="AL870" i="9"/>
  <c r="AK870" i="9"/>
  <c r="AJ870" i="9"/>
  <c r="AI870" i="9"/>
  <c r="AH870" i="9"/>
  <c r="AG870" i="9"/>
  <c r="AF870" i="9"/>
  <c r="AE870" i="9"/>
  <c r="AD870" i="9"/>
  <c r="AC870" i="9"/>
  <c r="AB870" i="9"/>
  <c r="AA870" i="9"/>
  <c r="B75" i="24"/>
  <c r="I22" i="10" s="1"/>
  <c r="BK866" i="20"/>
  <c r="BJ866" i="20"/>
  <c r="BJ867" i="20" s="1"/>
  <c r="BI866" i="20"/>
  <c r="BI867" i="20" s="1"/>
  <c r="BH866" i="20"/>
  <c r="BG866" i="20"/>
  <c r="BF866" i="20"/>
  <c r="BE866" i="20"/>
  <c r="BE867" i="20" s="1"/>
  <c r="BD866" i="20"/>
  <c r="BC866" i="20"/>
  <c r="BB866" i="20"/>
  <c r="BA866" i="20"/>
  <c r="AZ866" i="20"/>
  <c r="AY866" i="20"/>
  <c r="AX866" i="20"/>
  <c r="AW866" i="20"/>
  <c r="AW867" i="20" s="1"/>
  <c r="AV866" i="20"/>
  <c r="AU866" i="20"/>
  <c r="AT866" i="20"/>
  <c r="AS866" i="20"/>
  <c r="AR866" i="20"/>
  <c r="AR867" i="20" s="1"/>
  <c r="AQ866" i="20"/>
  <c r="AP866" i="20"/>
  <c r="AO866" i="20"/>
  <c r="AO867" i="20" s="1"/>
  <c r="AN866" i="20"/>
  <c r="AM866" i="20"/>
  <c r="AL866" i="20"/>
  <c r="AK866" i="20"/>
  <c r="AJ866" i="20"/>
  <c r="AI866" i="20"/>
  <c r="AH866" i="20"/>
  <c r="AG866" i="20"/>
  <c r="AF866" i="20"/>
  <c r="AE866" i="20"/>
  <c r="AD866" i="20"/>
  <c r="AC866" i="20"/>
  <c r="AB866" i="20"/>
  <c r="AA866" i="20"/>
  <c r="Z866" i="20"/>
  <c r="BK865" i="20"/>
  <c r="BJ865" i="20"/>
  <c r="BI865" i="20"/>
  <c r="BH865" i="20"/>
  <c r="BG865" i="20"/>
  <c r="BF865" i="20"/>
  <c r="BE865" i="20"/>
  <c r="BD865" i="20"/>
  <c r="BC865" i="20"/>
  <c r="BC867" i="20" s="1"/>
  <c r="BB865" i="20"/>
  <c r="BB867" i="20" s="1"/>
  <c r="BA865" i="20"/>
  <c r="BA867" i="20" s="1"/>
  <c r="AZ865" i="20"/>
  <c r="AZ867" i="20" s="1"/>
  <c r="AY865" i="20"/>
  <c r="AY867" i="20" s="1"/>
  <c r="AX865" i="20"/>
  <c r="AX867" i="20" s="1"/>
  <c r="AW865" i="20"/>
  <c r="AV865" i="20"/>
  <c r="AU865" i="20"/>
  <c r="AU867" i="20" s="1"/>
  <c r="AT865" i="20"/>
  <c r="AT867" i="20"/>
  <c r="AS865" i="20"/>
  <c r="AR865" i="20"/>
  <c r="AQ865" i="20"/>
  <c r="AP865" i="20"/>
  <c r="AP867" i="20" s="1"/>
  <c r="AO865" i="20"/>
  <c r="AN865" i="20"/>
  <c r="AN867" i="20" s="1"/>
  <c r="AM865" i="20"/>
  <c r="AM867" i="20" s="1"/>
  <c r="AL865" i="20"/>
  <c r="AL867" i="20" s="1"/>
  <c r="AK865" i="20"/>
  <c r="AK867" i="20"/>
  <c r="AJ865" i="20"/>
  <c r="AJ867" i="20" s="1"/>
  <c r="AI865" i="20"/>
  <c r="AI867" i="20" s="1"/>
  <c r="AH865" i="20"/>
  <c r="AH867" i="20" s="1"/>
  <c r="AG865" i="20"/>
  <c r="AG867" i="20" s="1"/>
  <c r="AF865" i="20"/>
  <c r="AE865" i="20"/>
  <c r="AE867" i="20" s="1"/>
  <c r="AD865" i="20"/>
  <c r="AD867" i="20" s="1"/>
  <c r="AC865" i="20"/>
  <c r="AB865" i="20"/>
  <c r="AB867" i="20" s="1"/>
  <c r="AA865" i="20"/>
  <c r="Z865" i="20"/>
  <c r="BK865" i="8"/>
  <c r="BJ865" i="8"/>
  <c r="BI865" i="8"/>
  <c r="BH865" i="8"/>
  <c r="BG865" i="8"/>
  <c r="BF865" i="8"/>
  <c r="BE865" i="8"/>
  <c r="BD865" i="8"/>
  <c r="BC865" i="8"/>
  <c r="BB865" i="8"/>
  <c r="BA865" i="8"/>
  <c r="AZ865" i="8"/>
  <c r="AY865" i="8"/>
  <c r="AX865" i="8"/>
  <c r="AW865" i="8"/>
  <c r="AV865" i="8"/>
  <c r="AU865" i="8"/>
  <c r="AT865" i="8"/>
  <c r="AS865" i="8"/>
  <c r="AR865" i="8"/>
  <c r="AQ865" i="8"/>
  <c r="AP865" i="8"/>
  <c r="AO865" i="8"/>
  <c r="AN865" i="8"/>
  <c r="AM865" i="8"/>
  <c r="AL865" i="8"/>
  <c r="AK865" i="8"/>
  <c r="AJ865" i="8"/>
  <c r="AI865" i="8"/>
  <c r="AH865" i="8"/>
  <c r="AG865" i="8"/>
  <c r="AF865" i="8"/>
  <c r="AE865" i="8"/>
  <c r="AD865" i="8"/>
  <c r="AC865" i="8"/>
  <c r="AB865" i="8"/>
  <c r="AA865" i="8"/>
  <c r="Z865" i="8"/>
  <c r="BK867" i="9"/>
  <c r="BJ867" i="9"/>
  <c r="BI867" i="9"/>
  <c r="BH867" i="9"/>
  <c r="BG867" i="9"/>
  <c r="BF867" i="9"/>
  <c r="BE867" i="9"/>
  <c r="BD867" i="9"/>
  <c r="BC867" i="9"/>
  <c r="BB867" i="9"/>
  <c r="BA867" i="9"/>
  <c r="AZ867" i="9"/>
  <c r="AY867" i="9"/>
  <c r="AX867" i="9"/>
  <c r="AW867" i="9"/>
  <c r="AV867" i="9"/>
  <c r="AU867" i="9"/>
  <c r="AT867" i="9"/>
  <c r="AS867" i="9"/>
  <c r="AR867" i="9"/>
  <c r="AQ867" i="9"/>
  <c r="AP867" i="9"/>
  <c r="AO867" i="9"/>
  <c r="AN867" i="9"/>
  <c r="AM867" i="9"/>
  <c r="AL867" i="9"/>
  <c r="AK867" i="9"/>
  <c r="AJ867" i="9"/>
  <c r="AI867" i="9"/>
  <c r="AH867" i="9"/>
  <c r="AG867" i="9"/>
  <c r="AF867" i="9"/>
  <c r="AE867" i="9"/>
  <c r="AD867" i="9"/>
  <c r="AC867" i="9"/>
  <c r="AB867" i="9"/>
  <c r="AA867" i="9"/>
  <c r="Z867" i="9"/>
  <c r="BK863" i="20"/>
  <c r="BJ863" i="20"/>
  <c r="BI863" i="20"/>
  <c r="BH863" i="20"/>
  <c r="BG863" i="20"/>
  <c r="BF863" i="20"/>
  <c r="BE863" i="20"/>
  <c r="BD863" i="20"/>
  <c r="BC863" i="20"/>
  <c r="BB863" i="20"/>
  <c r="BA863" i="20"/>
  <c r="BA864" i="20" s="1"/>
  <c r="AZ863" i="20"/>
  <c r="AY863" i="20"/>
  <c r="AX863" i="20"/>
  <c r="AX864" i="20" s="1"/>
  <c r="AW863" i="20"/>
  <c r="AV863" i="20"/>
  <c r="AV864" i="20" s="1"/>
  <c r="AU863" i="20"/>
  <c r="AT863" i="20"/>
  <c r="AS863" i="20"/>
  <c r="AR863" i="20"/>
  <c r="AQ863" i="20"/>
  <c r="AP863" i="20"/>
  <c r="AO863" i="20"/>
  <c r="AN863" i="20"/>
  <c r="AM863" i="20"/>
  <c r="AL863" i="20"/>
  <c r="AL864" i="20" s="1"/>
  <c r="AK863" i="20"/>
  <c r="AJ863" i="20"/>
  <c r="AI863" i="20"/>
  <c r="AH863" i="20"/>
  <c r="AH864" i="20" s="1"/>
  <c r="AG863" i="20"/>
  <c r="AF863" i="20"/>
  <c r="AF864" i="20" s="1"/>
  <c r="AE863" i="20"/>
  <c r="AD863" i="20"/>
  <c r="AC863" i="20"/>
  <c r="AB863" i="20"/>
  <c r="AA863" i="20"/>
  <c r="Z863" i="20"/>
  <c r="BK862" i="20"/>
  <c r="BJ862" i="20"/>
  <c r="BJ864" i="20" s="1"/>
  <c r="BI862" i="20"/>
  <c r="BI864" i="20" s="1"/>
  <c r="BH862" i="20"/>
  <c r="BH864" i="20" s="1"/>
  <c r="BG862" i="20"/>
  <c r="BG864" i="20" s="1"/>
  <c r="BF862" i="20"/>
  <c r="BF864" i="20"/>
  <c r="BE862" i="20"/>
  <c r="BE864" i="20" s="1"/>
  <c r="BD862" i="20"/>
  <c r="BD864" i="20" s="1"/>
  <c r="BC862" i="20"/>
  <c r="BB862" i="20"/>
  <c r="BA862" i="20"/>
  <c r="AZ862" i="20"/>
  <c r="AY862" i="20"/>
  <c r="AX862" i="20"/>
  <c r="AW862" i="20"/>
  <c r="AV862" i="20"/>
  <c r="AU862" i="20"/>
  <c r="AT862" i="20"/>
  <c r="AS862" i="20"/>
  <c r="AS864" i="20" s="1"/>
  <c r="AR862" i="20"/>
  <c r="AR864" i="20"/>
  <c r="AQ862" i="20"/>
  <c r="AQ864" i="20" s="1"/>
  <c r="AP862" i="20"/>
  <c r="AO862" i="20"/>
  <c r="AO864" i="20" s="1"/>
  <c r="AN862" i="20"/>
  <c r="AM862" i="20"/>
  <c r="AL862" i="20"/>
  <c r="AK862" i="20"/>
  <c r="AJ862" i="20"/>
  <c r="AJ864" i="20" s="1"/>
  <c r="AI862" i="20"/>
  <c r="AI864" i="20" s="1"/>
  <c r="AH862" i="20"/>
  <c r="AG862" i="20"/>
  <c r="AF862" i="20"/>
  <c r="AE862" i="20"/>
  <c r="AD862" i="20"/>
  <c r="AD864" i="20" s="1"/>
  <c r="AC862" i="20"/>
  <c r="AB862" i="20"/>
  <c r="AA862" i="20"/>
  <c r="AA864" i="20" s="1"/>
  <c r="Z862" i="20"/>
  <c r="Z864" i="20" s="1"/>
  <c r="BK862" i="8"/>
  <c r="BJ862" i="8"/>
  <c r="BI862" i="8"/>
  <c r="BH862" i="8"/>
  <c r="BG862" i="8"/>
  <c r="BF862" i="8"/>
  <c r="BE862" i="8"/>
  <c r="BD862" i="8"/>
  <c r="BC862" i="8"/>
  <c r="BB862" i="8"/>
  <c r="BA862" i="8"/>
  <c r="AZ862" i="8"/>
  <c r="AW9" i="22"/>
  <c r="AY862" i="8"/>
  <c r="AX862" i="8"/>
  <c r="AW862" i="8"/>
  <c r="AV862" i="8"/>
  <c r="AU862" i="8"/>
  <c r="AT862" i="8"/>
  <c r="AS862" i="8"/>
  <c r="AR862" i="8"/>
  <c r="AQ862" i="8"/>
  <c r="AP862" i="8"/>
  <c r="AO862" i="8"/>
  <c r="AN862" i="8"/>
  <c r="AM862" i="8"/>
  <c r="AL862" i="8"/>
  <c r="AK862" i="8"/>
  <c r="AJ862" i="8"/>
  <c r="AI862" i="8"/>
  <c r="AH862" i="8"/>
  <c r="AG862" i="8"/>
  <c r="AF862" i="8"/>
  <c r="AE862" i="8"/>
  <c r="AD862" i="8"/>
  <c r="AC862" i="8"/>
  <c r="AB862" i="8"/>
  <c r="AA862" i="8"/>
  <c r="Z862" i="8"/>
  <c r="BK864" i="9"/>
  <c r="BJ864" i="9"/>
  <c r="BI864" i="9"/>
  <c r="BH864" i="9"/>
  <c r="BG864" i="9"/>
  <c r="BF864" i="9"/>
  <c r="BE864" i="9"/>
  <c r="BD864" i="9"/>
  <c r="BC864" i="9"/>
  <c r="BB864" i="9"/>
  <c r="BA864" i="9"/>
  <c r="AZ864" i="9"/>
  <c r="AY864" i="9"/>
  <c r="AX864" i="9"/>
  <c r="AW864" i="9"/>
  <c r="AV864" i="9"/>
  <c r="AU864" i="9"/>
  <c r="AT864" i="9"/>
  <c r="AS864" i="9"/>
  <c r="AR864" i="9"/>
  <c r="AQ864" i="9"/>
  <c r="AP864" i="9"/>
  <c r="AO864" i="9"/>
  <c r="AN864" i="9"/>
  <c r="AM864" i="9"/>
  <c r="AL864" i="9"/>
  <c r="AK864" i="9"/>
  <c r="AJ864" i="9"/>
  <c r="AI864" i="9"/>
  <c r="AH864" i="9"/>
  <c r="AG864" i="9"/>
  <c r="AF864" i="9"/>
  <c r="AE864" i="9"/>
  <c r="AD864" i="9"/>
  <c r="AC864" i="9"/>
  <c r="AB864" i="9"/>
  <c r="AA864" i="9"/>
  <c r="Z864" i="9"/>
  <c r="BK860" i="20"/>
  <c r="BJ860" i="20"/>
  <c r="BI860" i="20"/>
  <c r="BH860" i="20"/>
  <c r="BG860" i="20"/>
  <c r="BF860" i="20"/>
  <c r="BF861" i="20" s="1"/>
  <c r="BE860" i="20"/>
  <c r="BD860" i="20"/>
  <c r="BD861" i="20" s="1"/>
  <c r="BC860" i="20"/>
  <c r="BB860" i="20"/>
  <c r="BA860" i="20"/>
  <c r="AZ860" i="20"/>
  <c r="AY860" i="20"/>
  <c r="AX860" i="20"/>
  <c r="AW860" i="20"/>
  <c r="AV860" i="20"/>
  <c r="AU860" i="20"/>
  <c r="AT860" i="20"/>
  <c r="AS860" i="20"/>
  <c r="AR860" i="20"/>
  <c r="AQ860" i="20"/>
  <c r="AP860" i="20"/>
  <c r="AO860" i="20"/>
  <c r="AN860" i="20"/>
  <c r="AM860" i="20"/>
  <c r="AM861" i="20" s="1"/>
  <c r="AL860" i="20"/>
  <c r="AL861" i="20" s="1"/>
  <c r="AK860" i="20"/>
  <c r="AJ860" i="20"/>
  <c r="AI860" i="20"/>
  <c r="AI861" i="20" s="1"/>
  <c r="AH860" i="20"/>
  <c r="AG860" i="20"/>
  <c r="AF860" i="20"/>
  <c r="AE860" i="20"/>
  <c r="AE861" i="20"/>
  <c r="AD860" i="20"/>
  <c r="AC860" i="20"/>
  <c r="AB860" i="20"/>
  <c r="AA860" i="20"/>
  <c r="Z860" i="20"/>
  <c r="BK859" i="20"/>
  <c r="BJ859" i="20"/>
  <c r="BI859" i="20"/>
  <c r="BI861" i="20" s="1"/>
  <c r="BH859" i="20"/>
  <c r="BH861" i="20" s="1"/>
  <c r="BG859" i="20"/>
  <c r="BG861" i="20" s="1"/>
  <c r="BF859" i="20"/>
  <c r="BE859" i="20"/>
  <c r="BD859" i="20"/>
  <c r="BC859" i="20"/>
  <c r="BB859" i="20"/>
  <c r="BA859" i="20"/>
  <c r="BA861" i="20" s="1"/>
  <c r="AZ859" i="20"/>
  <c r="AY859" i="20"/>
  <c r="AY861" i="20"/>
  <c r="AX859" i="20"/>
  <c r="AX861" i="20" s="1"/>
  <c r="AW859" i="20"/>
  <c r="AV859" i="20"/>
  <c r="AU859" i="20"/>
  <c r="AT859" i="20"/>
  <c r="AT861" i="20"/>
  <c r="AS859" i="20"/>
  <c r="AS861" i="20" s="1"/>
  <c r="AR859" i="20"/>
  <c r="AR861" i="20" s="1"/>
  <c r="AQ859" i="20"/>
  <c r="AP859" i="20"/>
  <c r="AO859" i="20"/>
  <c r="AO861" i="20" s="1"/>
  <c r="AN859" i="20"/>
  <c r="AN861" i="20" s="1"/>
  <c r="AM859" i="20"/>
  <c r="AL859" i="20"/>
  <c r="AK859" i="20"/>
  <c r="AJ859" i="20"/>
  <c r="AI859" i="20"/>
  <c r="AH859" i="20"/>
  <c r="AG859" i="20"/>
  <c r="AG861" i="20" s="1"/>
  <c r="AF859" i="20"/>
  <c r="AF861" i="20" s="1"/>
  <c r="AE859" i="20"/>
  <c r="AD859" i="20"/>
  <c r="AC859" i="20"/>
  <c r="AB859" i="20"/>
  <c r="AB861" i="20" s="1"/>
  <c r="AA859" i="20"/>
  <c r="AA861" i="20" s="1"/>
  <c r="Z859" i="20"/>
  <c r="Z861" i="20" s="1"/>
  <c r="BK859" i="8"/>
  <c r="BJ859" i="8"/>
  <c r="BI859" i="8"/>
  <c r="BH859" i="8"/>
  <c r="BG859" i="8"/>
  <c r="BF859" i="8"/>
  <c r="BE859" i="8"/>
  <c r="BD859" i="8"/>
  <c r="BC859" i="8"/>
  <c r="BB859" i="8"/>
  <c r="BA859" i="8"/>
  <c r="AZ859" i="8"/>
  <c r="AY859" i="8"/>
  <c r="AX859" i="8"/>
  <c r="AW859" i="8"/>
  <c r="AV859" i="8"/>
  <c r="AU859" i="8"/>
  <c r="AT859" i="8"/>
  <c r="AS859" i="8"/>
  <c r="AR859" i="8"/>
  <c r="AQ859" i="8"/>
  <c r="AP859" i="8"/>
  <c r="AO859" i="8"/>
  <c r="AN859" i="8"/>
  <c r="AM859" i="8"/>
  <c r="AL859" i="8"/>
  <c r="AK859" i="8"/>
  <c r="AJ859" i="8"/>
  <c r="AI859" i="8"/>
  <c r="AH859" i="8"/>
  <c r="AG859" i="8"/>
  <c r="AF859" i="8"/>
  <c r="AE859" i="8"/>
  <c r="AD859" i="8"/>
  <c r="AC859" i="8"/>
  <c r="AB859" i="8"/>
  <c r="AA859" i="8"/>
  <c r="Z859" i="8"/>
  <c r="BK861" i="9"/>
  <c r="BJ861" i="9"/>
  <c r="BI861" i="9"/>
  <c r="BH861" i="9"/>
  <c r="BG861" i="9"/>
  <c r="BF861" i="9"/>
  <c r="BE861" i="9"/>
  <c r="BD861" i="9"/>
  <c r="BC861" i="9"/>
  <c r="BB861" i="9"/>
  <c r="BA861" i="9"/>
  <c r="AZ861" i="9"/>
  <c r="AY861" i="9"/>
  <c r="AX861" i="9"/>
  <c r="AW861" i="9"/>
  <c r="AV861" i="9"/>
  <c r="AU861" i="9"/>
  <c r="AT861" i="9"/>
  <c r="AS861" i="9"/>
  <c r="AR861" i="9"/>
  <c r="AQ861" i="9"/>
  <c r="AP861" i="9"/>
  <c r="AO861" i="9"/>
  <c r="AN861" i="9"/>
  <c r="AM861" i="9"/>
  <c r="AL861" i="9"/>
  <c r="AK861" i="9"/>
  <c r="AJ861" i="9"/>
  <c r="AI861" i="9"/>
  <c r="AH861" i="9"/>
  <c r="AG861" i="9"/>
  <c r="AF861" i="9"/>
  <c r="AE861" i="9"/>
  <c r="AD861" i="9"/>
  <c r="AC861" i="9"/>
  <c r="AB861" i="9"/>
  <c r="AA861" i="9"/>
  <c r="Z861" i="9"/>
  <c r="BK857" i="20"/>
  <c r="BK858" i="20" s="1"/>
  <c r="BJ857" i="20"/>
  <c r="BI857" i="20"/>
  <c r="BI858" i="20" s="1"/>
  <c r="BH857" i="20"/>
  <c r="BG857" i="20"/>
  <c r="BF857" i="20"/>
  <c r="BE857" i="20"/>
  <c r="BE858" i="20" s="1"/>
  <c r="BD857" i="20"/>
  <c r="BD858" i="20" s="1"/>
  <c r="BC857" i="20"/>
  <c r="BC858" i="20" s="1"/>
  <c r="BB857" i="20"/>
  <c r="BA857" i="20"/>
  <c r="AZ857" i="20"/>
  <c r="AY857" i="20"/>
  <c r="AX857" i="20"/>
  <c r="AX858" i="20" s="1"/>
  <c r="AW857" i="20"/>
  <c r="AV857" i="20"/>
  <c r="AU857" i="20"/>
  <c r="AU858" i="20" s="1"/>
  <c r="AT857" i="20"/>
  <c r="AS857" i="20"/>
  <c r="AS858" i="20" s="1"/>
  <c r="AR857" i="20"/>
  <c r="AR858" i="20" s="1"/>
  <c r="AQ857" i="20"/>
  <c r="AQ858" i="20" s="1"/>
  <c r="AP857" i="20"/>
  <c r="AO857" i="20"/>
  <c r="AN857" i="20"/>
  <c r="AM857" i="20"/>
  <c r="AL857" i="20"/>
  <c r="AK857" i="20"/>
  <c r="AK858" i="20" s="1"/>
  <c r="AJ857" i="20"/>
  <c r="AJ858" i="20" s="1"/>
  <c r="AI857" i="20"/>
  <c r="AI858" i="20" s="1"/>
  <c r="AH857" i="20"/>
  <c r="AH858" i="20" s="1"/>
  <c r="AG857" i="20"/>
  <c r="AF857" i="20"/>
  <c r="AE857" i="20"/>
  <c r="AD857" i="20"/>
  <c r="AD858" i="20"/>
  <c r="AC857" i="20"/>
  <c r="AC858" i="20" s="1"/>
  <c r="AB857" i="20"/>
  <c r="AA857" i="20"/>
  <c r="Z857" i="20"/>
  <c r="BK856" i="20"/>
  <c r="BJ856" i="20"/>
  <c r="BI856" i="20"/>
  <c r="BH856" i="20"/>
  <c r="BG856" i="20"/>
  <c r="BF856" i="20"/>
  <c r="BF858" i="20" s="1"/>
  <c r="BE856" i="20"/>
  <c r="BD856" i="20"/>
  <c r="BC856" i="20"/>
  <c r="BB856" i="20"/>
  <c r="BB858" i="20" s="1"/>
  <c r="BA856" i="20"/>
  <c r="BA858" i="20" s="1"/>
  <c r="AZ856" i="20"/>
  <c r="AZ858" i="20" s="1"/>
  <c r="AY856" i="20"/>
  <c r="AY858" i="20" s="1"/>
  <c r="AX856" i="20"/>
  <c r="AW856" i="20"/>
  <c r="AV856" i="20"/>
  <c r="AU856" i="20"/>
  <c r="AT856" i="20"/>
  <c r="AS856" i="20"/>
  <c r="AR856" i="20"/>
  <c r="AQ856" i="20"/>
  <c r="AP856" i="20"/>
  <c r="AO856" i="20"/>
  <c r="AO858" i="20" s="1"/>
  <c r="AN856" i="20"/>
  <c r="AN858" i="20" s="1"/>
  <c r="AM856" i="20"/>
  <c r="AM858" i="20" s="1"/>
  <c r="AL856" i="20"/>
  <c r="AL858" i="20" s="1"/>
  <c r="AK856" i="20"/>
  <c r="AJ856" i="20"/>
  <c r="AI856" i="20"/>
  <c r="AH856" i="20"/>
  <c r="AG856" i="20"/>
  <c r="AF856" i="20"/>
  <c r="AF858" i="20" s="1"/>
  <c r="AE856" i="20"/>
  <c r="AE858" i="20" s="1"/>
  <c r="AD856" i="20"/>
  <c r="AC856" i="20"/>
  <c r="AB856" i="20"/>
  <c r="AB858" i="20" s="1"/>
  <c r="AA856" i="20"/>
  <c r="AA858" i="20" s="1"/>
  <c r="Z856" i="20"/>
  <c r="Z858" i="20" s="1"/>
  <c r="BK856" i="8"/>
  <c r="BJ856" i="8"/>
  <c r="BI856" i="8"/>
  <c r="BH856" i="8"/>
  <c r="BG856" i="8"/>
  <c r="BF856" i="8"/>
  <c r="BE856" i="8"/>
  <c r="BD856" i="8"/>
  <c r="BC856" i="8"/>
  <c r="BB856" i="8"/>
  <c r="BA856" i="8"/>
  <c r="AZ856" i="8"/>
  <c r="AY856" i="8"/>
  <c r="AX856" i="8"/>
  <c r="AW856" i="8"/>
  <c r="AV856" i="8"/>
  <c r="AU856" i="8"/>
  <c r="AT856" i="8"/>
  <c r="AS856" i="8"/>
  <c r="AR856" i="8"/>
  <c r="AQ856" i="8"/>
  <c r="AP856" i="8"/>
  <c r="AO856" i="8"/>
  <c r="AN856" i="8"/>
  <c r="AM856" i="8"/>
  <c r="AL856" i="8"/>
  <c r="AK856" i="8"/>
  <c r="AJ856" i="8"/>
  <c r="AI856" i="8"/>
  <c r="AH856" i="8"/>
  <c r="AG856" i="8"/>
  <c r="AF856" i="8"/>
  <c r="AE856" i="8"/>
  <c r="AD856" i="8"/>
  <c r="AC856" i="8"/>
  <c r="AB856" i="8"/>
  <c r="AA856" i="8"/>
  <c r="Z856" i="8"/>
  <c r="BK858" i="9"/>
  <c r="BJ858" i="9"/>
  <c r="BI858" i="9"/>
  <c r="BH858" i="9"/>
  <c r="BG858" i="9"/>
  <c r="BF858" i="9"/>
  <c r="BE858" i="9"/>
  <c r="BD858" i="9"/>
  <c r="BC858" i="9"/>
  <c r="BB858" i="9"/>
  <c r="BA858" i="9"/>
  <c r="AZ858" i="9"/>
  <c r="AY858" i="9"/>
  <c r="AX858" i="9"/>
  <c r="AW858" i="9"/>
  <c r="AV858" i="9"/>
  <c r="AU858" i="9"/>
  <c r="AT858" i="9"/>
  <c r="AS858" i="9"/>
  <c r="AR858" i="9"/>
  <c r="AQ858" i="9"/>
  <c r="AP858" i="9"/>
  <c r="AO858" i="9"/>
  <c r="AN858" i="9"/>
  <c r="AM858" i="9"/>
  <c r="AL858" i="9"/>
  <c r="AK858" i="9"/>
  <c r="AJ858" i="9"/>
  <c r="AI858" i="9"/>
  <c r="AH858" i="9"/>
  <c r="AG858" i="9"/>
  <c r="AF858" i="9"/>
  <c r="AE858" i="9"/>
  <c r="AD858" i="9"/>
  <c r="AC858" i="9"/>
  <c r="AB858" i="9"/>
  <c r="AA858" i="9"/>
  <c r="Z858" i="9"/>
  <c r="BA855" i="20"/>
  <c r="BK854" i="20"/>
  <c r="BK855" i="20" s="1"/>
  <c r="BJ854" i="20"/>
  <c r="BI854" i="20"/>
  <c r="BH854" i="20"/>
  <c r="BG854" i="20"/>
  <c r="BF854" i="20"/>
  <c r="BE854" i="20"/>
  <c r="BD854" i="20"/>
  <c r="BC854" i="20"/>
  <c r="BC855" i="20"/>
  <c r="BB854" i="20"/>
  <c r="BA854" i="20"/>
  <c r="AZ854" i="20"/>
  <c r="AZ855" i="20" s="1"/>
  <c r="AY854" i="20"/>
  <c r="AY855" i="20" s="1"/>
  <c r="AX854" i="20"/>
  <c r="AW854" i="20"/>
  <c r="AV854" i="20"/>
  <c r="AU854" i="20"/>
  <c r="AT854" i="20"/>
  <c r="AS854" i="20"/>
  <c r="AS855" i="20" s="1"/>
  <c r="AR854" i="20"/>
  <c r="AR855" i="20" s="1"/>
  <c r="AQ854" i="20"/>
  <c r="AP854" i="20"/>
  <c r="AO854" i="20"/>
  <c r="AN854" i="20"/>
  <c r="AM854" i="20"/>
  <c r="AL854" i="20"/>
  <c r="AK854" i="20"/>
  <c r="AK855" i="20" s="1"/>
  <c r="AJ854" i="20"/>
  <c r="AJ855" i="20" s="1"/>
  <c r="AI854" i="20"/>
  <c r="AH854" i="20"/>
  <c r="AG854" i="20"/>
  <c r="AF854" i="20"/>
  <c r="AE854" i="20"/>
  <c r="AD854" i="20"/>
  <c r="AC854" i="20"/>
  <c r="AB854" i="20"/>
  <c r="AA854" i="20"/>
  <c r="AA855" i="20" s="1"/>
  <c r="Z854" i="20"/>
  <c r="BK853" i="20"/>
  <c r="BJ853" i="20"/>
  <c r="BI853" i="20"/>
  <c r="BI855" i="20"/>
  <c r="BH853" i="20"/>
  <c r="BH855" i="20"/>
  <c r="BG853" i="20"/>
  <c r="BF853" i="20"/>
  <c r="BF855" i="20" s="1"/>
  <c r="BE853" i="20"/>
  <c r="BE855" i="20" s="1"/>
  <c r="BD853" i="20"/>
  <c r="BD855" i="20" s="1"/>
  <c r="BC853" i="20"/>
  <c r="BB853" i="20"/>
  <c r="BB855" i="20" s="1"/>
  <c r="BA853" i="20"/>
  <c r="AZ853" i="20"/>
  <c r="AY853" i="20"/>
  <c r="AX853" i="20"/>
  <c r="AX855" i="20"/>
  <c r="AW853" i="20"/>
  <c r="AW855" i="20" s="1"/>
  <c r="AV853" i="20"/>
  <c r="AV855" i="20" s="1"/>
  <c r="AU853" i="20"/>
  <c r="AU855" i="20"/>
  <c r="AT853" i="20"/>
  <c r="AS853" i="20"/>
  <c r="AR853" i="20"/>
  <c r="AQ853" i="20"/>
  <c r="AQ855" i="20" s="1"/>
  <c r="AP853" i="20"/>
  <c r="AP855" i="20" s="1"/>
  <c r="AO853" i="20"/>
  <c r="AN853" i="20"/>
  <c r="AN855" i="20" s="1"/>
  <c r="AM853" i="20"/>
  <c r="AM855" i="20"/>
  <c r="AL853" i="20"/>
  <c r="AL855" i="20" s="1"/>
  <c r="AK853" i="20"/>
  <c r="AJ853" i="20"/>
  <c r="AI853" i="20"/>
  <c r="AH853" i="20"/>
  <c r="AG853" i="20"/>
  <c r="AG855" i="20" s="1"/>
  <c r="AF853" i="20"/>
  <c r="AF855" i="20" s="1"/>
  <c r="AE853" i="20"/>
  <c r="AE855" i="20" s="1"/>
  <c r="AD853" i="20"/>
  <c r="AD855" i="20" s="1"/>
  <c r="AC853" i="20"/>
  <c r="AC855" i="20" s="1"/>
  <c r="AB853" i="20"/>
  <c r="AA853" i="20"/>
  <c r="Z853" i="20"/>
  <c r="Z855" i="20"/>
  <c r="BK853" i="8"/>
  <c r="BJ853" i="8"/>
  <c r="BI853" i="8"/>
  <c r="BH853" i="8"/>
  <c r="BG853" i="8"/>
  <c r="BF853" i="8"/>
  <c r="BE853" i="8"/>
  <c r="BD853" i="8"/>
  <c r="BC853" i="8"/>
  <c r="BB853" i="8"/>
  <c r="BA853" i="8"/>
  <c r="AZ853" i="8"/>
  <c r="AY853" i="8"/>
  <c r="AX853" i="8"/>
  <c r="AW853" i="8"/>
  <c r="AV853" i="8"/>
  <c r="AU853" i="8"/>
  <c r="AT853" i="8"/>
  <c r="AS853" i="8"/>
  <c r="AR853" i="8"/>
  <c r="AQ853" i="8"/>
  <c r="AP853" i="8"/>
  <c r="AO853" i="8"/>
  <c r="AN853" i="8"/>
  <c r="AM853" i="8"/>
  <c r="AL853" i="8"/>
  <c r="AK853" i="8"/>
  <c r="AJ853" i="8"/>
  <c r="AI853" i="8"/>
  <c r="AH853" i="8"/>
  <c r="AG853" i="8"/>
  <c r="AF853" i="8"/>
  <c r="AE853" i="8"/>
  <c r="AD853" i="8"/>
  <c r="AC853" i="8"/>
  <c r="AB853" i="8"/>
  <c r="AA853" i="8"/>
  <c r="Z853" i="8"/>
  <c r="BK855" i="9"/>
  <c r="BJ855" i="9"/>
  <c r="BI855" i="9"/>
  <c r="BH855" i="9"/>
  <c r="BG855" i="9"/>
  <c r="BF855" i="9"/>
  <c r="BE855" i="9"/>
  <c r="BD855" i="9"/>
  <c r="BC855" i="9"/>
  <c r="BB855" i="9"/>
  <c r="BA855" i="9"/>
  <c r="AZ855" i="9"/>
  <c r="AY855" i="9"/>
  <c r="AX855" i="9"/>
  <c r="AW855" i="9"/>
  <c r="AV855" i="9"/>
  <c r="AU855" i="9"/>
  <c r="AT855" i="9"/>
  <c r="AS855" i="9"/>
  <c r="AR855" i="9"/>
  <c r="AQ855" i="9"/>
  <c r="AP855" i="9"/>
  <c r="AO855" i="9"/>
  <c r="AN855" i="9"/>
  <c r="AM855" i="9"/>
  <c r="AL855" i="9"/>
  <c r="AK855" i="9"/>
  <c r="AJ855" i="9"/>
  <c r="AI855" i="9"/>
  <c r="AH855" i="9"/>
  <c r="AG855" i="9"/>
  <c r="AF855" i="9"/>
  <c r="AE855" i="9"/>
  <c r="AD855" i="9"/>
  <c r="AC855" i="9"/>
  <c r="AB855" i="9"/>
  <c r="AA855" i="9"/>
  <c r="Z855" i="9"/>
  <c r="AO852" i="20"/>
  <c r="BK851" i="20"/>
  <c r="BJ851" i="20"/>
  <c r="BI851" i="20"/>
  <c r="BI852" i="20" s="1"/>
  <c r="BH851" i="20"/>
  <c r="BH852" i="20" s="1"/>
  <c r="BG851" i="20"/>
  <c r="BF851" i="20"/>
  <c r="BE851" i="20"/>
  <c r="BD851" i="20"/>
  <c r="BC851" i="20"/>
  <c r="BB851" i="20"/>
  <c r="BB852" i="20"/>
  <c r="BA851" i="20"/>
  <c r="AZ851" i="20"/>
  <c r="AZ852" i="20" s="1"/>
  <c r="AY851" i="20"/>
  <c r="AX851" i="20"/>
  <c r="AW851" i="20"/>
  <c r="AV851" i="20"/>
  <c r="AU851" i="20"/>
  <c r="AT851" i="20"/>
  <c r="AS851" i="20"/>
  <c r="AS852" i="20" s="1"/>
  <c r="AR851" i="20"/>
  <c r="AQ851" i="20"/>
  <c r="AQ852" i="20" s="1"/>
  <c r="AP851" i="20"/>
  <c r="AO851" i="20"/>
  <c r="AN851" i="20"/>
  <c r="AN852" i="20" s="1"/>
  <c r="AM851" i="20"/>
  <c r="AL851" i="20"/>
  <c r="AK851" i="20"/>
  <c r="AJ851" i="20"/>
  <c r="AI851" i="20"/>
  <c r="AH851" i="20"/>
  <c r="AG851" i="20"/>
  <c r="AF851" i="20"/>
  <c r="AE851" i="20"/>
  <c r="AE852" i="20"/>
  <c r="AD851" i="20"/>
  <c r="AD852" i="20" s="1"/>
  <c r="AC851" i="20"/>
  <c r="AB851" i="20"/>
  <c r="AA851" i="20"/>
  <c r="Z851" i="20"/>
  <c r="BK850" i="20"/>
  <c r="BK852" i="20"/>
  <c r="BJ850" i="20"/>
  <c r="BJ852" i="20"/>
  <c r="BI850" i="20"/>
  <c r="BH850" i="20"/>
  <c r="BG850" i="20"/>
  <c r="BG852" i="20"/>
  <c r="BF850" i="20"/>
  <c r="BF852" i="20"/>
  <c r="BE850" i="20"/>
  <c r="BD850" i="20"/>
  <c r="BC850" i="20"/>
  <c r="BC852" i="20" s="1"/>
  <c r="BB850" i="20"/>
  <c r="BA850" i="20"/>
  <c r="AZ850" i="20"/>
  <c r="AY850" i="20"/>
  <c r="AY852" i="20"/>
  <c r="AX850" i="20"/>
  <c r="AX852" i="20" s="1"/>
  <c r="AW850" i="20"/>
  <c r="AW852" i="20"/>
  <c r="AV850" i="20"/>
  <c r="AV852" i="20" s="1"/>
  <c r="AU850" i="20"/>
  <c r="AU852" i="20" s="1"/>
  <c r="AT850" i="20"/>
  <c r="AT852" i="20"/>
  <c r="AS850" i="20"/>
  <c r="AR850" i="20"/>
  <c r="AQ850" i="20"/>
  <c r="AP850" i="20"/>
  <c r="AO850" i="20"/>
  <c r="AN850" i="20"/>
  <c r="AM850" i="20"/>
  <c r="AM852" i="20"/>
  <c r="AL850" i="20"/>
  <c r="AK850" i="20"/>
  <c r="AK852" i="20" s="1"/>
  <c r="AJ850" i="20"/>
  <c r="AJ852" i="20" s="1"/>
  <c r="AI850" i="20"/>
  <c r="AI852" i="20"/>
  <c r="AH850" i="20"/>
  <c r="AH852" i="20" s="1"/>
  <c r="AG850" i="20"/>
  <c r="AF850" i="20"/>
  <c r="AF852" i="20" s="1"/>
  <c r="AE850" i="20"/>
  <c r="AD850" i="20"/>
  <c r="AC850" i="20"/>
  <c r="AB850" i="20"/>
  <c r="AA850" i="20"/>
  <c r="AA852" i="20" s="1"/>
  <c r="Z850" i="20"/>
  <c r="Z852" i="20"/>
  <c r="BK850" i="8"/>
  <c r="BJ850" i="8"/>
  <c r="BI850" i="8"/>
  <c r="BH850" i="8"/>
  <c r="BG850" i="8"/>
  <c r="BF850" i="8"/>
  <c r="BE850" i="8"/>
  <c r="BD850" i="8"/>
  <c r="BC850" i="8"/>
  <c r="BB850" i="8"/>
  <c r="BA850" i="8"/>
  <c r="AZ850" i="8"/>
  <c r="AY850" i="8"/>
  <c r="AX850" i="8"/>
  <c r="AW850" i="8"/>
  <c r="AV850" i="8"/>
  <c r="AU850" i="8"/>
  <c r="AT850" i="8"/>
  <c r="AS850" i="8"/>
  <c r="AR850" i="8"/>
  <c r="AQ850" i="8"/>
  <c r="AP850" i="8"/>
  <c r="AO850" i="8"/>
  <c r="AN850" i="8"/>
  <c r="AM850" i="8"/>
  <c r="AL850" i="8"/>
  <c r="AK850" i="8"/>
  <c r="AJ850" i="8"/>
  <c r="AI850" i="8"/>
  <c r="AH850" i="8"/>
  <c r="AG850" i="8"/>
  <c r="AF850" i="8"/>
  <c r="AE850" i="8"/>
  <c r="AD850" i="8"/>
  <c r="AC850" i="8"/>
  <c r="AB850" i="8"/>
  <c r="AA850" i="8"/>
  <c r="Z850" i="8"/>
  <c r="BK852" i="9"/>
  <c r="BJ852" i="9"/>
  <c r="BI852" i="9"/>
  <c r="BH852" i="9"/>
  <c r="BG852" i="9"/>
  <c r="BF852" i="9"/>
  <c r="BE852" i="9"/>
  <c r="BD852" i="9"/>
  <c r="BC852" i="9"/>
  <c r="BB852" i="9"/>
  <c r="BA852" i="9"/>
  <c r="AZ852" i="9"/>
  <c r="AY852" i="9"/>
  <c r="AX852" i="9"/>
  <c r="AW852" i="9"/>
  <c r="AV852" i="9"/>
  <c r="AU852" i="9"/>
  <c r="AT852" i="9"/>
  <c r="AS852" i="9"/>
  <c r="AR852" i="9"/>
  <c r="AQ852" i="9"/>
  <c r="AP852" i="9"/>
  <c r="AO852" i="9"/>
  <c r="AN852" i="9"/>
  <c r="AM852" i="9"/>
  <c r="AL852" i="9"/>
  <c r="AK852" i="9"/>
  <c r="AJ852" i="9"/>
  <c r="AI852" i="9"/>
  <c r="AH852" i="9"/>
  <c r="AG852" i="9"/>
  <c r="AF852" i="9"/>
  <c r="AE852" i="9"/>
  <c r="AD852" i="9"/>
  <c r="AC852" i="9"/>
  <c r="AB852" i="9"/>
  <c r="AA852" i="9"/>
  <c r="Z852" i="9"/>
  <c r="BK848" i="20"/>
  <c r="BK849" i="20" s="1"/>
  <c r="BJ848" i="20"/>
  <c r="BI848" i="20"/>
  <c r="BH848" i="20"/>
  <c r="BH849" i="20" s="1"/>
  <c r="BG848" i="20"/>
  <c r="BF848" i="20"/>
  <c r="BE848" i="20"/>
  <c r="BD848" i="20"/>
  <c r="BC848" i="20"/>
  <c r="BC849" i="20"/>
  <c r="BB848" i="20"/>
  <c r="BA848" i="20"/>
  <c r="AZ848" i="20"/>
  <c r="AY848" i="20"/>
  <c r="AX848" i="20"/>
  <c r="AW848" i="20"/>
  <c r="AV848" i="20"/>
  <c r="AV849" i="20" s="1"/>
  <c r="AU848" i="20"/>
  <c r="AT848" i="20"/>
  <c r="AS848" i="20"/>
  <c r="AR848" i="20"/>
  <c r="AQ848" i="20"/>
  <c r="AQ849" i="20"/>
  <c r="AP848" i="20"/>
  <c r="AP849" i="20" s="1"/>
  <c r="AO848" i="20"/>
  <c r="AN848" i="20"/>
  <c r="AM848" i="20"/>
  <c r="AL848" i="20"/>
  <c r="AK848" i="20"/>
  <c r="AJ848" i="20"/>
  <c r="AI848" i="20"/>
  <c r="AH848" i="20"/>
  <c r="AG848" i="20"/>
  <c r="AF848" i="20"/>
  <c r="AE848" i="20"/>
  <c r="AD848" i="20"/>
  <c r="AD849" i="20"/>
  <c r="AC848" i="20"/>
  <c r="AC849" i="20" s="1"/>
  <c r="AB848" i="20"/>
  <c r="AA848" i="20"/>
  <c r="Z848" i="20"/>
  <c r="BK847" i="20"/>
  <c r="BJ847" i="20"/>
  <c r="BJ849" i="20"/>
  <c r="BI847" i="20"/>
  <c r="BI849" i="20"/>
  <c r="BH847" i="20"/>
  <c r="BG847" i="20"/>
  <c r="BG849" i="20" s="1"/>
  <c r="BF847" i="20"/>
  <c r="BF849" i="20"/>
  <c r="BE847" i="20"/>
  <c r="BE849" i="20" s="1"/>
  <c r="BD847" i="20"/>
  <c r="BC847" i="20"/>
  <c r="BB847" i="20"/>
  <c r="BA847" i="20"/>
  <c r="BA849" i="20" s="1"/>
  <c r="AZ847" i="20"/>
  <c r="AY847" i="20"/>
  <c r="AX847" i="20"/>
  <c r="AW847" i="20"/>
  <c r="AW849" i="20" s="1"/>
  <c r="AV847" i="20"/>
  <c r="AU847" i="20"/>
  <c r="AU849" i="20"/>
  <c r="AT847" i="20"/>
  <c r="AT849" i="20" s="1"/>
  <c r="AS847" i="20"/>
  <c r="AS849" i="20" s="1"/>
  <c r="AR847" i="20"/>
  <c r="AR849" i="20" s="1"/>
  <c r="AQ847" i="20"/>
  <c r="AP847" i="20"/>
  <c r="AO847" i="20"/>
  <c r="AN847" i="20"/>
  <c r="AN849" i="20" s="1"/>
  <c r="AM847" i="20"/>
  <c r="AM849" i="20"/>
  <c r="AL847" i="20"/>
  <c r="AL849" i="20"/>
  <c r="AK847" i="20"/>
  <c r="AK849" i="20" s="1"/>
  <c r="AJ847" i="20"/>
  <c r="AJ849" i="20" s="1"/>
  <c r="AI847" i="20"/>
  <c r="AI849" i="20"/>
  <c r="AH847" i="20"/>
  <c r="AH849" i="20"/>
  <c r="AG847" i="20"/>
  <c r="AG849" i="20" s="1"/>
  <c r="AF847" i="20"/>
  <c r="AF849" i="20" s="1"/>
  <c r="AE847" i="20"/>
  <c r="AE849" i="20" s="1"/>
  <c r="AD847" i="20"/>
  <c r="AC847" i="20"/>
  <c r="AB847" i="20"/>
  <c r="AA847" i="20"/>
  <c r="Z847" i="20"/>
  <c r="Z849" i="20" s="1"/>
  <c r="BK847" i="8"/>
  <c r="BJ847" i="8"/>
  <c r="BI847" i="8"/>
  <c r="BH847" i="8"/>
  <c r="BG847" i="8"/>
  <c r="BF847" i="8"/>
  <c r="BE847" i="8"/>
  <c r="BD847" i="8"/>
  <c r="BC847" i="8"/>
  <c r="BB847" i="8"/>
  <c r="BA847" i="8"/>
  <c r="AZ847" i="8"/>
  <c r="AY847" i="8"/>
  <c r="AX847" i="8"/>
  <c r="AW847" i="8"/>
  <c r="AV847" i="8"/>
  <c r="AU847" i="8"/>
  <c r="AT847" i="8"/>
  <c r="AS847" i="8"/>
  <c r="AR847" i="8"/>
  <c r="AQ847" i="8"/>
  <c r="AP847" i="8"/>
  <c r="AO847" i="8"/>
  <c r="AN847" i="8"/>
  <c r="AM847" i="8"/>
  <c r="AL847" i="8"/>
  <c r="AK847" i="8"/>
  <c r="AJ847" i="8"/>
  <c r="AI847" i="8"/>
  <c r="AH847" i="8"/>
  <c r="AG847" i="8"/>
  <c r="AF847" i="8"/>
  <c r="AE847" i="8"/>
  <c r="AD847" i="8"/>
  <c r="AC847" i="8"/>
  <c r="AB847" i="8"/>
  <c r="AA847" i="8"/>
  <c r="Z847" i="8"/>
  <c r="BK849" i="9"/>
  <c r="BJ849" i="9"/>
  <c r="BI849" i="9"/>
  <c r="BH849" i="9"/>
  <c r="BG849" i="9"/>
  <c r="BF849" i="9"/>
  <c r="BE849" i="9"/>
  <c r="BD849" i="9"/>
  <c r="BC849" i="9"/>
  <c r="BB849" i="9"/>
  <c r="BA849" i="9"/>
  <c r="AZ849" i="9"/>
  <c r="AY849" i="9"/>
  <c r="AX849" i="9"/>
  <c r="AW849" i="9"/>
  <c r="AV849" i="9"/>
  <c r="AU849" i="9"/>
  <c r="AT849" i="9"/>
  <c r="AS849" i="9"/>
  <c r="AR849" i="9"/>
  <c r="AQ849" i="9"/>
  <c r="AP849" i="9"/>
  <c r="AO849" i="9"/>
  <c r="AN849" i="9"/>
  <c r="AM849" i="9"/>
  <c r="AL849" i="9"/>
  <c r="AK849" i="9"/>
  <c r="AJ849" i="9"/>
  <c r="AI849" i="9"/>
  <c r="AH849" i="9"/>
  <c r="AG849" i="9"/>
  <c r="AF849" i="9"/>
  <c r="AE849" i="9"/>
  <c r="AD849" i="9"/>
  <c r="AC849" i="9"/>
  <c r="AB849" i="9"/>
  <c r="AA849" i="9"/>
  <c r="Z849" i="9"/>
  <c r="BA846" i="20"/>
  <c r="BK845" i="20"/>
  <c r="BJ845" i="20"/>
  <c r="BI845" i="20"/>
  <c r="BH845" i="20"/>
  <c r="BG845" i="20"/>
  <c r="BF845" i="20"/>
  <c r="BF846" i="20" s="1"/>
  <c r="BE845" i="20"/>
  <c r="BD845" i="20"/>
  <c r="BC845" i="20"/>
  <c r="BB845" i="20"/>
  <c r="BA845" i="20"/>
  <c r="AZ845" i="20"/>
  <c r="AY845" i="20"/>
  <c r="AX845" i="20"/>
  <c r="AW845" i="20"/>
  <c r="AV845" i="20"/>
  <c r="AV846" i="20" s="1"/>
  <c r="AU845" i="20"/>
  <c r="AT845" i="20"/>
  <c r="AS845" i="20"/>
  <c r="AR845" i="20"/>
  <c r="AQ845" i="20"/>
  <c r="AP845" i="20"/>
  <c r="AP846" i="20" s="1"/>
  <c r="AO845" i="20"/>
  <c r="AN845" i="20"/>
  <c r="AM845" i="20"/>
  <c r="AL845" i="20"/>
  <c r="AK845" i="20"/>
  <c r="AJ845" i="20"/>
  <c r="AI845" i="20"/>
  <c r="AH845" i="20"/>
  <c r="AG845" i="20"/>
  <c r="AF845" i="20"/>
  <c r="AF846" i="20" s="1"/>
  <c r="AE845" i="20"/>
  <c r="AE846" i="20"/>
  <c r="AD845" i="20"/>
  <c r="AD846" i="20" s="1"/>
  <c r="AC845" i="20"/>
  <c r="AB845" i="20"/>
  <c r="AA845" i="20"/>
  <c r="Z845" i="20"/>
  <c r="BK844" i="20"/>
  <c r="BJ844" i="20"/>
  <c r="BJ846" i="20" s="1"/>
  <c r="BI844" i="20"/>
  <c r="BI846" i="20" s="1"/>
  <c r="BH844" i="20"/>
  <c r="BH846" i="20"/>
  <c r="BG844" i="20"/>
  <c r="BG846" i="20" s="1"/>
  <c r="BF844" i="20"/>
  <c r="BE844" i="20"/>
  <c r="BE846" i="20"/>
  <c r="BD844" i="20"/>
  <c r="BD846" i="20" s="1"/>
  <c r="BC844" i="20"/>
  <c r="BC846" i="20" s="1"/>
  <c r="BB844" i="20"/>
  <c r="BB846" i="20" s="1"/>
  <c r="BA844" i="20"/>
  <c r="AZ844" i="20"/>
  <c r="AZ846" i="20" s="1"/>
  <c r="AY844" i="20"/>
  <c r="AY846" i="20" s="1"/>
  <c r="AX844" i="20"/>
  <c r="AW844" i="20"/>
  <c r="AV844" i="20"/>
  <c r="AU844" i="20"/>
  <c r="AU846" i="20"/>
  <c r="AT844" i="20"/>
  <c r="AT846" i="20" s="1"/>
  <c r="AS844" i="20"/>
  <c r="AR844" i="20"/>
  <c r="AQ844" i="20"/>
  <c r="AP844" i="20"/>
  <c r="AO844" i="20"/>
  <c r="AN844" i="20"/>
  <c r="AN846" i="20" s="1"/>
  <c r="AM844" i="20"/>
  <c r="AL844" i="20"/>
  <c r="AL846" i="20"/>
  <c r="AK844" i="20"/>
  <c r="AK846" i="20" s="1"/>
  <c r="AJ844" i="20"/>
  <c r="AI844" i="20"/>
  <c r="AI846" i="20" s="1"/>
  <c r="AH844" i="20"/>
  <c r="AH846" i="20" s="1"/>
  <c r="AG844" i="20"/>
  <c r="AG846" i="20" s="1"/>
  <c r="AF844" i="20"/>
  <c r="AE844" i="20"/>
  <c r="AD844" i="20"/>
  <c r="AC844" i="20"/>
  <c r="AB844" i="20"/>
  <c r="AA844" i="20"/>
  <c r="Z844" i="20"/>
  <c r="Z846" i="20"/>
  <c r="BK844" i="8"/>
  <c r="BJ844" i="8"/>
  <c r="BI844" i="8"/>
  <c r="BH844" i="8"/>
  <c r="BG844" i="8"/>
  <c r="BF844" i="8"/>
  <c r="BE844" i="8"/>
  <c r="BD844" i="8"/>
  <c r="BC844" i="8"/>
  <c r="BB844" i="8"/>
  <c r="BA844" i="8"/>
  <c r="AZ844" i="8"/>
  <c r="AY844" i="8"/>
  <c r="AX844" i="8"/>
  <c r="AW844" i="8"/>
  <c r="AV844" i="8"/>
  <c r="AU844" i="8"/>
  <c r="AT844" i="8"/>
  <c r="AS844" i="8"/>
  <c r="AR844" i="8"/>
  <c r="AQ844" i="8"/>
  <c r="AP844" i="8"/>
  <c r="AO844" i="8"/>
  <c r="AN844" i="8"/>
  <c r="AM844" i="8"/>
  <c r="AL844" i="8"/>
  <c r="AK844" i="8"/>
  <c r="AJ844" i="8"/>
  <c r="AI844" i="8"/>
  <c r="AH844" i="8"/>
  <c r="AG844" i="8"/>
  <c r="AF844" i="8"/>
  <c r="AE844" i="8"/>
  <c r="AD844" i="8"/>
  <c r="AC844" i="8"/>
  <c r="AB844" i="8"/>
  <c r="AA844" i="8"/>
  <c r="Z844" i="8"/>
  <c r="BK846" i="9"/>
  <c r="BJ846" i="9"/>
  <c r="BI846" i="9"/>
  <c r="BH846" i="9"/>
  <c r="BG846" i="9"/>
  <c r="BF846" i="9"/>
  <c r="BE846" i="9"/>
  <c r="BD846" i="9"/>
  <c r="BC846" i="9"/>
  <c r="BB846" i="9"/>
  <c r="BA846" i="9"/>
  <c r="AZ846" i="9"/>
  <c r="AY846" i="9"/>
  <c r="AX846" i="9"/>
  <c r="AW846" i="9"/>
  <c r="AV846" i="9"/>
  <c r="AU846" i="9"/>
  <c r="AT846" i="9"/>
  <c r="AS846" i="9"/>
  <c r="AR846" i="9"/>
  <c r="AQ846" i="9"/>
  <c r="AP846" i="9"/>
  <c r="AO846" i="9"/>
  <c r="AN846" i="9"/>
  <c r="AM846" i="9"/>
  <c r="AL846" i="9"/>
  <c r="AK846" i="9"/>
  <c r="AJ846" i="9"/>
  <c r="AI846" i="9"/>
  <c r="AH846" i="9"/>
  <c r="AG846" i="9"/>
  <c r="AF846" i="9"/>
  <c r="AE846" i="9"/>
  <c r="AD846" i="9"/>
  <c r="AC846" i="9"/>
  <c r="AB846" i="9"/>
  <c r="AA846" i="9"/>
  <c r="Z846" i="9"/>
  <c r="AZ843" i="20"/>
  <c r="BK842" i="20"/>
  <c r="BJ842" i="20"/>
  <c r="BI842" i="20"/>
  <c r="BH842" i="20"/>
  <c r="BG842" i="20"/>
  <c r="BF842" i="20"/>
  <c r="BF843" i="20"/>
  <c r="BE842" i="20"/>
  <c r="BD842" i="20"/>
  <c r="BC842" i="20"/>
  <c r="BB842" i="20"/>
  <c r="BB843" i="20"/>
  <c r="BA842" i="20"/>
  <c r="AZ842" i="20"/>
  <c r="AY842" i="20"/>
  <c r="AX842" i="20"/>
  <c r="AW842" i="20"/>
  <c r="AV842" i="20"/>
  <c r="AU842" i="20"/>
  <c r="AT842" i="20"/>
  <c r="AS842" i="20"/>
  <c r="AR842" i="20"/>
  <c r="AQ842" i="20"/>
  <c r="AQ843" i="20"/>
  <c r="AP842" i="20"/>
  <c r="AO842" i="20"/>
  <c r="AN842" i="20"/>
  <c r="AM842" i="20"/>
  <c r="AL842" i="20"/>
  <c r="AK842" i="20"/>
  <c r="AJ842" i="20"/>
  <c r="AI842" i="20"/>
  <c r="AI843" i="20" s="1"/>
  <c r="AH842" i="20"/>
  <c r="AH843" i="20" s="1"/>
  <c r="AG842" i="20"/>
  <c r="AF842" i="20"/>
  <c r="AE842" i="20"/>
  <c r="AD842" i="20"/>
  <c r="AC842" i="20"/>
  <c r="AC843" i="20" s="1"/>
  <c r="AB842" i="20"/>
  <c r="AA842" i="20"/>
  <c r="Z842" i="20"/>
  <c r="BK841" i="20"/>
  <c r="BK843" i="20" s="1"/>
  <c r="BJ841" i="20"/>
  <c r="BJ843" i="20"/>
  <c r="BI841" i="20"/>
  <c r="BI843" i="20" s="1"/>
  <c r="BH841" i="20"/>
  <c r="BH843" i="20"/>
  <c r="BG841" i="20"/>
  <c r="BG843" i="20" s="1"/>
  <c r="BF841" i="20"/>
  <c r="BE841" i="20"/>
  <c r="BD841" i="20"/>
  <c r="BD843" i="20" s="1"/>
  <c r="BC841" i="20"/>
  <c r="BC843" i="20" s="1"/>
  <c r="BB841" i="20"/>
  <c r="BA841" i="20"/>
  <c r="BA843" i="20" s="1"/>
  <c r="AZ841" i="20"/>
  <c r="AY841" i="20"/>
  <c r="AY843" i="20" s="1"/>
  <c r="AX841" i="20"/>
  <c r="AW841" i="20"/>
  <c r="AV841" i="20"/>
  <c r="AU841" i="20"/>
  <c r="AT841" i="20"/>
  <c r="AS841" i="20"/>
  <c r="AS843" i="20"/>
  <c r="AR841" i="20"/>
  <c r="AR843" i="20" s="1"/>
  <c r="AQ841" i="20"/>
  <c r="AP841" i="20"/>
  <c r="AP843" i="20" s="1"/>
  <c r="AO841" i="20"/>
  <c r="AN841" i="20"/>
  <c r="AM841" i="20"/>
  <c r="AM843" i="20" s="1"/>
  <c r="AL841" i="20"/>
  <c r="AK841" i="20"/>
  <c r="AJ841" i="20"/>
  <c r="AJ843" i="20" s="1"/>
  <c r="AI841" i="20"/>
  <c r="AH841" i="20"/>
  <c r="AG841" i="20"/>
  <c r="AG843" i="20" s="1"/>
  <c r="AF841" i="20"/>
  <c r="AF843" i="20" s="1"/>
  <c r="AE841" i="20"/>
  <c r="AE843" i="20"/>
  <c r="AD841" i="20"/>
  <c r="AC841" i="20"/>
  <c r="AB841" i="20"/>
  <c r="AB843" i="20" s="1"/>
  <c r="AA841" i="20"/>
  <c r="AA843" i="20" s="1"/>
  <c r="Z841" i="20"/>
  <c r="Z843" i="20" s="1"/>
  <c r="BK841" i="8"/>
  <c r="BJ841" i="8"/>
  <c r="BI841" i="8"/>
  <c r="BH841" i="8"/>
  <c r="BG841" i="8"/>
  <c r="BF841" i="8"/>
  <c r="BE841" i="8"/>
  <c r="BD841" i="8"/>
  <c r="BC841" i="8"/>
  <c r="BB841" i="8"/>
  <c r="BA841" i="8"/>
  <c r="AZ841" i="8"/>
  <c r="AY841" i="8"/>
  <c r="AX841" i="8"/>
  <c r="AW841" i="8"/>
  <c r="AV841" i="8"/>
  <c r="AU841" i="8"/>
  <c r="AT841" i="8"/>
  <c r="AS841" i="8"/>
  <c r="AR841" i="8"/>
  <c r="AQ841" i="8"/>
  <c r="AP841" i="8"/>
  <c r="AO841" i="8"/>
  <c r="AN841" i="8"/>
  <c r="AM841" i="8"/>
  <c r="AL841" i="8"/>
  <c r="AK841" i="8"/>
  <c r="AJ841" i="8"/>
  <c r="AI841" i="8"/>
  <c r="AH841" i="8"/>
  <c r="AG841" i="8"/>
  <c r="AF841" i="8"/>
  <c r="AE841" i="8"/>
  <c r="AD841" i="8"/>
  <c r="AC841" i="8"/>
  <c r="AB841" i="8"/>
  <c r="AA841" i="8"/>
  <c r="Z841" i="8"/>
  <c r="BK843" i="9"/>
  <c r="BJ843" i="9"/>
  <c r="BI843" i="9"/>
  <c r="BH843" i="9"/>
  <c r="BG843" i="9"/>
  <c r="BF843" i="9"/>
  <c r="BE843" i="9"/>
  <c r="BD843" i="9"/>
  <c r="BC843" i="9"/>
  <c r="BB843" i="9"/>
  <c r="BA843" i="9"/>
  <c r="AZ843" i="9"/>
  <c r="AY843" i="9"/>
  <c r="AX843" i="9"/>
  <c r="AW843" i="9"/>
  <c r="AV843" i="9"/>
  <c r="AU843" i="9"/>
  <c r="AT843" i="9"/>
  <c r="AS843" i="9"/>
  <c r="AR843" i="9"/>
  <c r="AQ843" i="9"/>
  <c r="AP843" i="9"/>
  <c r="AO843" i="9"/>
  <c r="AN843" i="9"/>
  <c r="AM843" i="9"/>
  <c r="AL843" i="9"/>
  <c r="AK843" i="9"/>
  <c r="AJ843" i="9"/>
  <c r="AI843" i="9"/>
  <c r="AH843" i="9"/>
  <c r="AG843" i="9"/>
  <c r="AF843" i="9"/>
  <c r="AE843" i="9"/>
  <c r="AD843" i="9"/>
  <c r="AC843" i="9"/>
  <c r="AB843" i="9"/>
  <c r="AA843" i="9"/>
  <c r="Z843" i="9"/>
  <c r="BK839" i="20"/>
  <c r="BJ839" i="20"/>
  <c r="BI839" i="20"/>
  <c r="BH839" i="20"/>
  <c r="BH840" i="20" s="1"/>
  <c r="BG839" i="20"/>
  <c r="BG840" i="20" s="1"/>
  <c r="BF839" i="20"/>
  <c r="BE839" i="20"/>
  <c r="BE840" i="20" s="1"/>
  <c r="BD839" i="20"/>
  <c r="BC839" i="20"/>
  <c r="BB839" i="20"/>
  <c r="BA839" i="20"/>
  <c r="AZ839" i="20"/>
  <c r="AY839" i="20"/>
  <c r="AX839" i="20"/>
  <c r="AW839" i="20"/>
  <c r="AV839" i="20"/>
  <c r="AU839" i="20"/>
  <c r="AT839" i="20"/>
  <c r="AS839" i="20"/>
  <c r="AR839" i="20"/>
  <c r="AQ839" i="20"/>
  <c r="AP839" i="20"/>
  <c r="AO839" i="20"/>
  <c r="AN839" i="20"/>
  <c r="AM839" i="20"/>
  <c r="AL839" i="20"/>
  <c r="AL840" i="20" s="1"/>
  <c r="AK839" i="20"/>
  <c r="AK840" i="20" s="1"/>
  <c r="AJ839" i="20"/>
  <c r="AI839" i="20"/>
  <c r="AH839" i="20"/>
  <c r="AG839" i="20"/>
  <c r="AF839" i="20"/>
  <c r="AE839" i="20"/>
  <c r="AD839" i="20"/>
  <c r="AC839" i="20"/>
  <c r="AB839" i="20"/>
  <c r="AA839" i="20"/>
  <c r="Z839" i="20"/>
  <c r="BK838" i="20"/>
  <c r="BK840" i="20" s="1"/>
  <c r="BJ838" i="20"/>
  <c r="BJ840" i="20" s="1"/>
  <c r="BI838" i="20"/>
  <c r="BH838" i="20"/>
  <c r="BG838" i="20"/>
  <c r="BF838" i="20"/>
  <c r="BE838" i="20"/>
  <c r="BD838" i="20"/>
  <c r="BD840" i="20" s="1"/>
  <c r="BC838" i="20"/>
  <c r="BB838" i="20"/>
  <c r="BB840" i="20" s="1"/>
  <c r="BA838" i="20"/>
  <c r="BA840" i="20" s="1"/>
  <c r="AZ838" i="20"/>
  <c r="AZ840" i="20" s="1"/>
  <c r="AY838" i="20"/>
  <c r="AX838" i="20"/>
  <c r="AW838" i="20"/>
  <c r="AW840" i="20"/>
  <c r="AV838" i="20"/>
  <c r="AV840" i="20" s="1"/>
  <c r="AU838" i="20"/>
  <c r="AU840" i="20"/>
  <c r="AT838" i="20"/>
  <c r="AS838" i="20"/>
  <c r="AS840" i="20"/>
  <c r="AR838" i="20"/>
  <c r="AQ838" i="20"/>
  <c r="AP838" i="20"/>
  <c r="AP840" i="20" s="1"/>
  <c r="AO838" i="20"/>
  <c r="AO840" i="20" s="1"/>
  <c r="AN838" i="20"/>
  <c r="AN840" i="20" s="1"/>
  <c r="AM838" i="20"/>
  <c r="AM840" i="20" s="1"/>
  <c r="AL838" i="20"/>
  <c r="AK838" i="20"/>
  <c r="AJ838" i="20"/>
  <c r="AI838" i="20"/>
  <c r="AI840" i="20"/>
  <c r="AH838" i="20"/>
  <c r="AH840" i="20" s="1"/>
  <c r="AG838" i="20"/>
  <c r="AG840" i="20" s="1"/>
  <c r="AF838" i="20"/>
  <c r="AF840" i="20" s="1"/>
  <c r="AE838" i="20"/>
  <c r="AE840" i="20" s="1"/>
  <c r="AD838" i="20"/>
  <c r="AD840" i="20" s="1"/>
  <c r="AC838" i="20"/>
  <c r="AC840" i="20" s="1"/>
  <c r="AB838" i="20"/>
  <c r="AB840" i="20" s="1"/>
  <c r="AA838" i="20"/>
  <c r="Z838" i="20"/>
  <c r="Z840" i="20" s="1"/>
  <c r="BK838" i="8"/>
  <c r="BJ838" i="8"/>
  <c r="BI838" i="8"/>
  <c r="BH838" i="8"/>
  <c r="BG838" i="8"/>
  <c r="BF838" i="8"/>
  <c r="BE838" i="8"/>
  <c r="BD838" i="8"/>
  <c r="BC838" i="8"/>
  <c r="BB838" i="8"/>
  <c r="BA838" i="8"/>
  <c r="AZ838" i="8"/>
  <c r="AY838" i="8"/>
  <c r="AX838" i="8"/>
  <c r="AW838" i="8"/>
  <c r="AV838" i="8"/>
  <c r="AU838" i="8"/>
  <c r="AT838" i="8"/>
  <c r="AS838" i="8"/>
  <c r="AR838" i="8"/>
  <c r="AQ838" i="8"/>
  <c r="AP838" i="8"/>
  <c r="AO838" i="8"/>
  <c r="AN838" i="8"/>
  <c r="AM838" i="8"/>
  <c r="AL838" i="8"/>
  <c r="AK838" i="8"/>
  <c r="AJ838" i="8"/>
  <c r="AI838" i="8"/>
  <c r="AH838" i="8"/>
  <c r="AG838" i="8"/>
  <c r="AF838" i="8"/>
  <c r="AE838" i="8"/>
  <c r="AD838" i="8"/>
  <c r="AC838" i="8"/>
  <c r="AB838" i="8"/>
  <c r="AA838" i="8"/>
  <c r="Z838" i="8"/>
  <c r="BK840" i="9"/>
  <c r="BJ840" i="9"/>
  <c r="BI840" i="9"/>
  <c r="BH840" i="9"/>
  <c r="BG840" i="9"/>
  <c r="BF840" i="9"/>
  <c r="BE840" i="9"/>
  <c r="BD840" i="9"/>
  <c r="BC840" i="9"/>
  <c r="BB840" i="9"/>
  <c r="BA840" i="9"/>
  <c r="AZ840" i="9"/>
  <c r="AY840" i="9"/>
  <c r="AX840" i="9"/>
  <c r="AW840" i="9"/>
  <c r="AV840" i="9"/>
  <c r="AU840" i="9"/>
  <c r="AT840" i="9"/>
  <c r="AS840" i="9"/>
  <c r="AR840" i="9"/>
  <c r="AQ840" i="9"/>
  <c r="AP840" i="9"/>
  <c r="AO840" i="9"/>
  <c r="AN840" i="9"/>
  <c r="AM840" i="9"/>
  <c r="AL840" i="9"/>
  <c r="AK840" i="9"/>
  <c r="AJ840" i="9"/>
  <c r="AI840" i="9"/>
  <c r="AH840" i="9"/>
  <c r="AG840" i="9"/>
  <c r="AF840" i="9"/>
  <c r="AE840" i="9"/>
  <c r="AD840" i="9"/>
  <c r="AC840" i="9"/>
  <c r="AB840" i="9"/>
  <c r="AA840" i="9"/>
  <c r="Z840" i="9"/>
  <c r="AC837" i="20"/>
  <c r="BK836" i="20"/>
  <c r="BJ836" i="20"/>
  <c r="BI836" i="20"/>
  <c r="BH836" i="20"/>
  <c r="BG836" i="20"/>
  <c r="BF836" i="20"/>
  <c r="BE836" i="20"/>
  <c r="BD836" i="20"/>
  <c r="BC836" i="20"/>
  <c r="BB836" i="20"/>
  <c r="BA836" i="20"/>
  <c r="AZ836" i="20"/>
  <c r="AZ837" i="20" s="1"/>
  <c r="AY836" i="20"/>
  <c r="AY837" i="20" s="1"/>
  <c r="AX836" i="20"/>
  <c r="AW836" i="20"/>
  <c r="AV836" i="20"/>
  <c r="AU836" i="20"/>
  <c r="AT836" i="20"/>
  <c r="AS836" i="20"/>
  <c r="AR836" i="20"/>
  <c r="AQ836" i="20"/>
  <c r="AP836" i="20"/>
  <c r="AO836" i="20"/>
  <c r="AN836" i="20"/>
  <c r="AM836" i="20"/>
  <c r="AL836" i="20"/>
  <c r="AL837" i="20" s="1"/>
  <c r="AK836" i="20"/>
  <c r="AK837" i="20" s="1"/>
  <c r="AJ836" i="20"/>
  <c r="AI836" i="20"/>
  <c r="AI837" i="20" s="1"/>
  <c r="AH836" i="20"/>
  <c r="AH837" i="20" s="1"/>
  <c r="AG836" i="20"/>
  <c r="AF836" i="20"/>
  <c r="AE836" i="20"/>
  <c r="AD836" i="20"/>
  <c r="AC836" i="20"/>
  <c r="AB836" i="20"/>
  <c r="AA836" i="20"/>
  <c r="Z836" i="20"/>
  <c r="BK835" i="20"/>
  <c r="BJ835" i="20"/>
  <c r="BJ837" i="20" s="1"/>
  <c r="BI835" i="20"/>
  <c r="BI837" i="20"/>
  <c r="BH835" i="20"/>
  <c r="BH837" i="20" s="1"/>
  <c r="BG835" i="20"/>
  <c r="BG837" i="20" s="1"/>
  <c r="BF835" i="20"/>
  <c r="BF837" i="20" s="1"/>
  <c r="BE835" i="20"/>
  <c r="BD835" i="20"/>
  <c r="BC835" i="20"/>
  <c r="BB835" i="20"/>
  <c r="BA835" i="20"/>
  <c r="AZ835" i="20"/>
  <c r="AY835" i="20"/>
  <c r="AX835" i="20"/>
  <c r="AX837" i="20" s="1"/>
  <c r="AW835" i="20"/>
  <c r="AV835" i="20"/>
  <c r="AV837" i="20" s="1"/>
  <c r="AU835" i="20"/>
  <c r="AU837" i="20" s="1"/>
  <c r="AT835" i="20"/>
  <c r="AT837" i="20" s="1"/>
  <c r="AS835" i="20"/>
  <c r="AR835" i="20"/>
  <c r="AQ835" i="20"/>
  <c r="AQ837" i="20" s="1"/>
  <c r="AP835" i="20"/>
  <c r="AO835" i="20"/>
  <c r="AN835" i="20"/>
  <c r="AM835" i="20"/>
  <c r="AL835" i="20"/>
  <c r="AK835" i="20"/>
  <c r="AJ835" i="20"/>
  <c r="AI835" i="20"/>
  <c r="AH835" i="20"/>
  <c r="AG835" i="20"/>
  <c r="AG837" i="20"/>
  <c r="AF835" i="20"/>
  <c r="AF837" i="20"/>
  <c r="AE835" i="20"/>
  <c r="AE837" i="20" s="1"/>
  <c r="AD835" i="20"/>
  <c r="AC835" i="20"/>
  <c r="AB835" i="20"/>
  <c r="AB837" i="20" s="1"/>
  <c r="AA835" i="20"/>
  <c r="AA837" i="20"/>
  <c r="Z835" i="20"/>
  <c r="Z837" i="20" s="1"/>
  <c r="BK835" i="8"/>
  <c r="BJ835" i="8"/>
  <c r="BI835" i="8"/>
  <c r="BH835" i="8"/>
  <c r="BG835" i="8"/>
  <c r="BF835" i="8"/>
  <c r="BE835" i="8"/>
  <c r="BD835" i="8"/>
  <c r="BC835" i="8"/>
  <c r="BB835" i="8"/>
  <c r="BA835" i="8"/>
  <c r="AZ835" i="8"/>
  <c r="AY835" i="8"/>
  <c r="AX835" i="8"/>
  <c r="AW835" i="8"/>
  <c r="AV835" i="8"/>
  <c r="AU835" i="8"/>
  <c r="AT835" i="8"/>
  <c r="AS835" i="8"/>
  <c r="AR835" i="8"/>
  <c r="AQ835" i="8"/>
  <c r="AP835" i="8"/>
  <c r="AO835" i="8"/>
  <c r="AN835" i="8"/>
  <c r="AM835" i="8"/>
  <c r="AL835" i="8"/>
  <c r="AK835" i="8"/>
  <c r="AJ835" i="8"/>
  <c r="AI835" i="8"/>
  <c r="AH835" i="8"/>
  <c r="AG835" i="8"/>
  <c r="AF835" i="8"/>
  <c r="AE835" i="8"/>
  <c r="AD835" i="8"/>
  <c r="AC835" i="8"/>
  <c r="AB835" i="8"/>
  <c r="AA835" i="8"/>
  <c r="Z835" i="8"/>
  <c r="BK837" i="9"/>
  <c r="BJ837" i="9"/>
  <c r="BI837" i="9"/>
  <c r="BH837" i="9"/>
  <c r="BG837" i="9"/>
  <c r="BF837" i="9"/>
  <c r="BE837" i="9"/>
  <c r="BD837" i="9"/>
  <c r="BC837" i="9"/>
  <c r="BB837" i="9"/>
  <c r="BA837" i="9"/>
  <c r="AZ837" i="9"/>
  <c r="AY837" i="9"/>
  <c r="AX837" i="9"/>
  <c r="AW837" i="9"/>
  <c r="AV837" i="9"/>
  <c r="AU837" i="9"/>
  <c r="AT837" i="9"/>
  <c r="AS837" i="9"/>
  <c r="AR837" i="9"/>
  <c r="AQ837" i="9"/>
  <c r="AP837" i="9"/>
  <c r="AO837" i="9"/>
  <c r="AN837" i="9"/>
  <c r="AM837" i="9"/>
  <c r="AL837" i="9"/>
  <c r="AK837" i="9"/>
  <c r="AJ837" i="9"/>
  <c r="AI837" i="9"/>
  <c r="AH837" i="9"/>
  <c r="AG837" i="9"/>
  <c r="AF837" i="9"/>
  <c r="AE837" i="9"/>
  <c r="AD837" i="9"/>
  <c r="AC837" i="9"/>
  <c r="AB837" i="9"/>
  <c r="AA837" i="9"/>
  <c r="Z837" i="9"/>
  <c r="F293" i="20"/>
  <c r="G293" i="20"/>
  <c r="H293" i="20"/>
  <c r="I293" i="20"/>
  <c r="J293" i="20"/>
  <c r="K293" i="20"/>
  <c r="L293" i="20"/>
  <c r="M293" i="20"/>
  <c r="N293" i="20"/>
  <c r="O293" i="20"/>
  <c r="P293" i="20"/>
  <c r="Q293" i="20"/>
  <c r="R293" i="20"/>
  <c r="S293" i="20"/>
  <c r="T293" i="20"/>
  <c r="U293" i="20"/>
  <c r="V293" i="20"/>
  <c r="W293" i="20"/>
  <c r="X293" i="20"/>
  <c r="Y293" i="20"/>
  <c r="Z293" i="20"/>
  <c r="AA293" i="20"/>
  <c r="AB293" i="20"/>
  <c r="AC293" i="20"/>
  <c r="AD293" i="20"/>
  <c r="AE293" i="20"/>
  <c r="AF293" i="20"/>
  <c r="AG293" i="20"/>
  <c r="AH293" i="20"/>
  <c r="AI293" i="20"/>
  <c r="AJ293" i="20"/>
  <c r="AK293" i="20"/>
  <c r="AL293" i="20"/>
  <c r="AM293" i="20"/>
  <c r="AN293" i="20"/>
  <c r="F294" i="20"/>
  <c r="G294" i="20"/>
  <c r="H294" i="20"/>
  <c r="I294" i="20"/>
  <c r="J294" i="20"/>
  <c r="K294" i="20"/>
  <c r="L294" i="20"/>
  <c r="M294" i="20"/>
  <c r="N294" i="20"/>
  <c r="O294" i="20"/>
  <c r="P294" i="20"/>
  <c r="Q294" i="20"/>
  <c r="R294" i="20"/>
  <c r="S294" i="20"/>
  <c r="T294" i="20"/>
  <c r="U294" i="20"/>
  <c r="V294" i="20"/>
  <c r="W294" i="20"/>
  <c r="X294" i="20"/>
  <c r="Y294" i="20"/>
  <c r="Z294" i="20"/>
  <c r="AA294" i="20"/>
  <c r="AB294" i="20"/>
  <c r="AC294" i="20"/>
  <c r="AD294" i="20"/>
  <c r="AE294" i="20"/>
  <c r="AF294" i="20"/>
  <c r="AG294" i="20"/>
  <c r="AH294" i="20"/>
  <c r="AI294" i="20"/>
  <c r="AJ294" i="20"/>
  <c r="AK294" i="20"/>
  <c r="AL294" i="20"/>
  <c r="AM294" i="20"/>
  <c r="AN294" i="20"/>
  <c r="Z832" i="20"/>
  <c r="BK832" i="8"/>
  <c r="BJ832" i="8"/>
  <c r="BI832" i="8"/>
  <c r="BH832" i="8"/>
  <c r="BG832" i="8"/>
  <c r="BF832" i="8"/>
  <c r="BE832" i="8"/>
  <c r="BD832" i="8"/>
  <c r="BC832" i="8"/>
  <c r="BB832" i="8"/>
  <c r="BA832" i="8"/>
  <c r="AZ832" i="8"/>
  <c r="AY832" i="8"/>
  <c r="AX832" i="8"/>
  <c r="AW832" i="8"/>
  <c r="AV832" i="8"/>
  <c r="AU832" i="8"/>
  <c r="AT832" i="8"/>
  <c r="AS832" i="8"/>
  <c r="AR832" i="8"/>
  <c r="AQ832" i="8"/>
  <c r="AP832" i="8"/>
  <c r="AO832" i="8"/>
  <c r="AN832" i="8"/>
  <c r="AM832" i="8"/>
  <c r="AL832" i="8"/>
  <c r="AK832" i="8"/>
  <c r="AJ832" i="8"/>
  <c r="AI832" i="8"/>
  <c r="AH832" i="8"/>
  <c r="AG832" i="8"/>
  <c r="AF832" i="8"/>
  <c r="AE832" i="8"/>
  <c r="AD832" i="8"/>
  <c r="AC832" i="8"/>
  <c r="AB832" i="8"/>
  <c r="AA832" i="8"/>
  <c r="Z832" i="8"/>
  <c r="BK834" i="9"/>
  <c r="BJ834" i="9"/>
  <c r="BI834" i="9"/>
  <c r="BH834" i="9"/>
  <c r="BG834" i="9"/>
  <c r="BF834" i="9"/>
  <c r="BE834" i="9"/>
  <c r="BD834" i="9"/>
  <c r="BC834" i="9"/>
  <c r="BB834" i="9"/>
  <c r="BA834" i="9"/>
  <c r="AZ834" i="9"/>
  <c r="AY834" i="9"/>
  <c r="AX834" i="9"/>
  <c r="AW834" i="9"/>
  <c r="AV834" i="9"/>
  <c r="AU834" i="9"/>
  <c r="AT834" i="9"/>
  <c r="AS834" i="9"/>
  <c r="AR834" i="9"/>
  <c r="AQ834" i="9"/>
  <c r="AP834" i="9"/>
  <c r="AO834" i="9"/>
  <c r="AN834" i="9"/>
  <c r="AM834" i="9"/>
  <c r="AL834" i="9"/>
  <c r="AK834" i="9"/>
  <c r="AJ834" i="9"/>
  <c r="AI834" i="9"/>
  <c r="AH834" i="9"/>
  <c r="AG834" i="9"/>
  <c r="AF834" i="9"/>
  <c r="AE834" i="9"/>
  <c r="AD834" i="9"/>
  <c r="AC834" i="9"/>
  <c r="AB834" i="9"/>
  <c r="AA834" i="9"/>
  <c r="Z834" i="9"/>
  <c r="BK833" i="20"/>
  <c r="BJ833" i="20"/>
  <c r="BI833" i="20"/>
  <c r="BH833" i="20"/>
  <c r="BG833" i="20"/>
  <c r="BF833" i="20"/>
  <c r="BE833" i="20"/>
  <c r="BD833" i="20"/>
  <c r="BC833" i="20"/>
  <c r="BB833" i="20"/>
  <c r="BA833" i="20"/>
  <c r="AZ833" i="20"/>
  <c r="AY833" i="20"/>
  <c r="AX833" i="20"/>
  <c r="AW833" i="20"/>
  <c r="AV833" i="20"/>
  <c r="AU833" i="20"/>
  <c r="AT833" i="20"/>
  <c r="AS833" i="20"/>
  <c r="AR833" i="20"/>
  <c r="AQ833" i="20"/>
  <c r="AP833" i="20"/>
  <c r="AO833" i="20"/>
  <c r="AN833" i="20"/>
  <c r="AM833" i="20"/>
  <c r="AL833" i="20"/>
  <c r="AK833" i="20"/>
  <c r="AJ833" i="20"/>
  <c r="AI833" i="20"/>
  <c r="AH833" i="20"/>
  <c r="AG833" i="20"/>
  <c r="AF833" i="20"/>
  <c r="AE833" i="20"/>
  <c r="AD833" i="20"/>
  <c r="AD834" i="20" s="1"/>
  <c r="AC833" i="20"/>
  <c r="AB833" i="20"/>
  <c r="AA833" i="20"/>
  <c r="Z833" i="20"/>
  <c r="BK832" i="20"/>
  <c r="BJ832" i="20"/>
  <c r="BI832" i="20"/>
  <c r="BH832" i="20"/>
  <c r="BG832" i="20"/>
  <c r="BF832" i="20"/>
  <c r="BE832" i="20"/>
  <c r="BD832" i="20"/>
  <c r="BC832" i="20"/>
  <c r="BB832" i="20"/>
  <c r="BA832" i="20"/>
  <c r="BA834" i="20" s="1"/>
  <c r="AZ832" i="20"/>
  <c r="AY832" i="20"/>
  <c r="AX832" i="20"/>
  <c r="AX834" i="20"/>
  <c r="AW832" i="20"/>
  <c r="AV832" i="20"/>
  <c r="AU832" i="20"/>
  <c r="AT832" i="20"/>
  <c r="AS832" i="20"/>
  <c r="AR832" i="20"/>
  <c r="AQ832" i="20"/>
  <c r="AP832" i="20"/>
  <c r="AO832" i="20"/>
  <c r="AN832" i="20"/>
  <c r="AM832" i="20"/>
  <c r="AM834" i="20" s="1"/>
  <c r="AL832" i="20"/>
  <c r="AL834" i="20" s="1"/>
  <c r="AK832" i="20"/>
  <c r="AJ832" i="20"/>
  <c r="AI832" i="20"/>
  <c r="AH832" i="20"/>
  <c r="AG832" i="20"/>
  <c r="AF832" i="20"/>
  <c r="AE832" i="20"/>
  <c r="AD832" i="20"/>
  <c r="AC832" i="20"/>
  <c r="AB832" i="20"/>
  <c r="AA832" i="20"/>
  <c r="AA834" i="20"/>
  <c r="BK830" i="20"/>
  <c r="BJ830" i="20"/>
  <c r="BJ831" i="20" s="1"/>
  <c r="BI830" i="20"/>
  <c r="BH830" i="20"/>
  <c r="BG830" i="20"/>
  <c r="BF830" i="20"/>
  <c r="BE830" i="20"/>
  <c r="BD830" i="20"/>
  <c r="BC830" i="20"/>
  <c r="BB830" i="20"/>
  <c r="BA830" i="20"/>
  <c r="AZ830" i="20"/>
  <c r="AY830" i="20"/>
  <c r="AX830" i="20"/>
  <c r="AW830" i="20"/>
  <c r="AV830" i="20"/>
  <c r="AU830" i="20"/>
  <c r="AT830" i="20"/>
  <c r="AT831" i="20" s="1"/>
  <c r="AS830" i="20"/>
  <c r="AR830" i="20"/>
  <c r="AQ830" i="20"/>
  <c r="AP830" i="20"/>
  <c r="AO830" i="20"/>
  <c r="AN830" i="20"/>
  <c r="AM830" i="20"/>
  <c r="AL830" i="20"/>
  <c r="AK830" i="20"/>
  <c r="AJ830" i="20"/>
  <c r="AI830" i="20"/>
  <c r="AH830" i="20"/>
  <c r="AG830" i="20"/>
  <c r="AF830" i="20"/>
  <c r="AE830" i="20"/>
  <c r="AD830" i="20"/>
  <c r="AC830" i="20"/>
  <c r="AB830" i="20"/>
  <c r="AA830" i="20"/>
  <c r="Z830" i="20"/>
  <c r="Y830" i="20"/>
  <c r="BK829" i="20"/>
  <c r="BJ829" i="20"/>
  <c r="BI829" i="20"/>
  <c r="BH829" i="20"/>
  <c r="BG829" i="20"/>
  <c r="BF829" i="20"/>
  <c r="BE829" i="20"/>
  <c r="BD829" i="20"/>
  <c r="BC829" i="20"/>
  <c r="BC831" i="20" s="1"/>
  <c r="BB829" i="20"/>
  <c r="BA829" i="20"/>
  <c r="AZ829" i="20"/>
  <c r="AY829" i="20"/>
  <c r="AX829" i="20"/>
  <c r="AW829" i="20"/>
  <c r="AV829" i="20"/>
  <c r="AU829" i="20"/>
  <c r="AT829" i="20"/>
  <c r="AS829" i="20"/>
  <c r="AR829" i="20"/>
  <c r="AQ829" i="20"/>
  <c r="AQ831" i="20" s="1"/>
  <c r="AP829" i="20"/>
  <c r="AO829" i="20"/>
  <c r="AN829" i="20"/>
  <c r="AM829" i="20"/>
  <c r="AL829" i="20"/>
  <c r="AK829" i="20"/>
  <c r="AJ829" i="20"/>
  <c r="AI829" i="20"/>
  <c r="AH829" i="20"/>
  <c r="AG829" i="20"/>
  <c r="AF829" i="20"/>
  <c r="AE829" i="20"/>
  <c r="AD829" i="20"/>
  <c r="AC829" i="20"/>
  <c r="AB829" i="20"/>
  <c r="AA829" i="20"/>
  <c r="Z829" i="20"/>
  <c r="Y829" i="20"/>
  <c r="BK829" i="8"/>
  <c r="BJ829" i="8"/>
  <c r="BI829" i="8"/>
  <c r="BH829" i="8"/>
  <c r="BG829" i="8"/>
  <c r="BF829" i="8"/>
  <c r="BE829" i="8"/>
  <c r="BD829" i="8"/>
  <c r="BC829" i="8"/>
  <c r="BB829" i="8"/>
  <c r="BA829" i="8"/>
  <c r="AZ829" i="8"/>
  <c r="AY829" i="8"/>
  <c r="AX829" i="8"/>
  <c r="AW829" i="8"/>
  <c r="AV829" i="8"/>
  <c r="AU829" i="8"/>
  <c r="AT829" i="8"/>
  <c r="AS829" i="8"/>
  <c r="AR829" i="8"/>
  <c r="AQ829" i="8"/>
  <c r="AP829" i="8"/>
  <c r="AO829" i="8"/>
  <c r="AN829" i="8"/>
  <c r="AM829" i="8"/>
  <c r="AL829" i="8"/>
  <c r="AK829" i="8"/>
  <c r="AJ829" i="8"/>
  <c r="AI829" i="8"/>
  <c r="AH829" i="8"/>
  <c r="AG829" i="8"/>
  <c r="AF829" i="8"/>
  <c r="AE829" i="8"/>
  <c r="AD829" i="8"/>
  <c r="AC829" i="8"/>
  <c r="AB829" i="8"/>
  <c r="AA829" i="8"/>
  <c r="Z829" i="8"/>
  <c r="Y829" i="8"/>
  <c r="BK831" i="9"/>
  <c r="BJ831" i="9"/>
  <c r="BI831" i="9"/>
  <c r="BH831" i="9"/>
  <c r="BG831" i="9"/>
  <c r="BF831" i="9"/>
  <c r="BE831" i="9"/>
  <c r="BD831" i="9"/>
  <c r="BC831" i="9"/>
  <c r="BB831" i="9"/>
  <c r="BA831" i="9"/>
  <c r="AZ831" i="9"/>
  <c r="AY831" i="9"/>
  <c r="AX831" i="9"/>
  <c r="AW831" i="9"/>
  <c r="AV831" i="9"/>
  <c r="AU831" i="9"/>
  <c r="AT831" i="9"/>
  <c r="AS831" i="9"/>
  <c r="AR831" i="9"/>
  <c r="AQ831" i="9"/>
  <c r="AP831" i="9"/>
  <c r="AO831" i="9"/>
  <c r="AN831" i="9"/>
  <c r="AM831" i="9"/>
  <c r="AL831" i="9"/>
  <c r="AK831" i="9"/>
  <c r="AJ831" i="9"/>
  <c r="AI831" i="9"/>
  <c r="AH831" i="9"/>
  <c r="AG831" i="9"/>
  <c r="AF831" i="9"/>
  <c r="AE831" i="9"/>
  <c r="AD831" i="9"/>
  <c r="AC831" i="9"/>
  <c r="AB831" i="9"/>
  <c r="AA831" i="9"/>
  <c r="Z831" i="9"/>
  <c r="Y831" i="9"/>
  <c r="BK827" i="20"/>
  <c r="BJ827" i="20"/>
  <c r="BI827" i="20"/>
  <c r="BH827" i="20"/>
  <c r="BH828" i="20" s="1"/>
  <c r="BG827" i="20"/>
  <c r="BF827" i="20"/>
  <c r="BE827" i="20"/>
  <c r="BD827" i="20"/>
  <c r="BC827" i="20"/>
  <c r="BB827" i="20"/>
  <c r="BA827" i="20"/>
  <c r="AZ827" i="20"/>
  <c r="AY827" i="20"/>
  <c r="AX827" i="20"/>
  <c r="AW827" i="20"/>
  <c r="AV827" i="20"/>
  <c r="AU827" i="20"/>
  <c r="AT827" i="20"/>
  <c r="AS827" i="20"/>
  <c r="AR827" i="20"/>
  <c r="AR828" i="20" s="1"/>
  <c r="AQ827" i="20"/>
  <c r="AP827" i="20"/>
  <c r="AO827" i="20"/>
  <c r="AN827" i="20"/>
  <c r="AM827" i="20"/>
  <c r="AL827" i="20"/>
  <c r="AK827" i="20"/>
  <c r="AJ827" i="20"/>
  <c r="AI827" i="20"/>
  <c r="AH827" i="20"/>
  <c r="AG827" i="20"/>
  <c r="AF827" i="20"/>
  <c r="AE827" i="20"/>
  <c r="AD827" i="20"/>
  <c r="AC827" i="20"/>
  <c r="AC828" i="20" s="1"/>
  <c r="AB827" i="20"/>
  <c r="AA827" i="20"/>
  <c r="Z827" i="20"/>
  <c r="Y827" i="20"/>
  <c r="BK826" i="20"/>
  <c r="BJ826" i="20"/>
  <c r="BI826" i="20"/>
  <c r="BH826" i="20"/>
  <c r="BG826" i="20"/>
  <c r="BF826" i="20"/>
  <c r="BE826" i="20"/>
  <c r="BD826" i="20"/>
  <c r="BC826" i="20"/>
  <c r="BB826" i="20"/>
  <c r="BA826" i="20"/>
  <c r="BA828" i="20" s="1"/>
  <c r="AZ826" i="20"/>
  <c r="AY826" i="20"/>
  <c r="AX826" i="20"/>
  <c r="AW826" i="20"/>
  <c r="AV826" i="20"/>
  <c r="AU826" i="20"/>
  <c r="AT826" i="20"/>
  <c r="AS826" i="20"/>
  <c r="AR826" i="20"/>
  <c r="AQ826" i="20"/>
  <c r="AP826" i="20"/>
  <c r="AO826" i="20"/>
  <c r="AN826" i="20"/>
  <c r="AM826" i="20"/>
  <c r="AL826" i="20"/>
  <c r="AK826" i="20"/>
  <c r="AJ826" i="20"/>
  <c r="AI826" i="20"/>
  <c r="AH826" i="20"/>
  <c r="AG826" i="20"/>
  <c r="AF826" i="20"/>
  <c r="AE826" i="20"/>
  <c r="AE828" i="20" s="1"/>
  <c r="AD826" i="20"/>
  <c r="AC826" i="20"/>
  <c r="AB826" i="20"/>
  <c r="AA826" i="20"/>
  <c r="Z826" i="20"/>
  <c r="Y826" i="20"/>
  <c r="BK826" i="8"/>
  <c r="BJ826" i="8"/>
  <c r="BI826" i="8"/>
  <c r="BH826" i="8"/>
  <c r="BG826" i="8"/>
  <c r="BF826" i="8"/>
  <c r="BE826" i="8"/>
  <c r="BD826" i="8"/>
  <c r="BC826" i="8"/>
  <c r="BB826" i="8"/>
  <c r="BA826" i="8"/>
  <c r="AZ826" i="8"/>
  <c r="AY826" i="8"/>
  <c r="AX826" i="8"/>
  <c r="AW826" i="8"/>
  <c r="AV826" i="8"/>
  <c r="AU826" i="8"/>
  <c r="AT826" i="8"/>
  <c r="AS826" i="8"/>
  <c r="AR826" i="8"/>
  <c r="AQ826" i="8"/>
  <c r="AP826" i="8"/>
  <c r="AO826" i="8"/>
  <c r="AN826" i="8"/>
  <c r="AM826" i="8"/>
  <c r="AL826" i="8"/>
  <c r="AK826" i="8"/>
  <c r="AJ826" i="8"/>
  <c r="AI826" i="8"/>
  <c r="AH826" i="8"/>
  <c r="AG826" i="8"/>
  <c r="AF826" i="8"/>
  <c r="AE826" i="8"/>
  <c r="AD826" i="8"/>
  <c r="AC826" i="8"/>
  <c r="AB826" i="8"/>
  <c r="AA826" i="8"/>
  <c r="Z826" i="8"/>
  <c r="Y826" i="8"/>
  <c r="BK828" i="9"/>
  <c r="BJ828" i="9"/>
  <c r="BI828" i="9"/>
  <c r="BH828" i="9"/>
  <c r="BG828" i="9"/>
  <c r="BF828" i="9"/>
  <c r="BE828" i="9"/>
  <c r="BD828" i="9"/>
  <c r="BC828" i="9"/>
  <c r="BB828" i="9"/>
  <c r="BA828" i="9"/>
  <c r="AZ828" i="9"/>
  <c r="AY828" i="9"/>
  <c r="AX828" i="9"/>
  <c r="AW828" i="9"/>
  <c r="AV828" i="9"/>
  <c r="AU828" i="9"/>
  <c r="AT828" i="9"/>
  <c r="AS828" i="9"/>
  <c r="AR828" i="9"/>
  <c r="AQ828" i="9"/>
  <c r="AP828" i="9"/>
  <c r="AO828" i="9"/>
  <c r="AN828" i="9"/>
  <c r="AM828" i="9"/>
  <c r="AL828" i="9"/>
  <c r="AK828" i="9"/>
  <c r="AJ828" i="9"/>
  <c r="AI828" i="9"/>
  <c r="AH828" i="9"/>
  <c r="AG828" i="9"/>
  <c r="AF828" i="9"/>
  <c r="AE828" i="9"/>
  <c r="AD828" i="9"/>
  <c r="AC828" i="9"/>
  <c r="AB828" i="9"/>
  <c r="AA828" i="9"/>
  <c r="Z828" i="9"/>
  <c r="Y828" i="9"/>
  <c r="BK824" i="20"/>
  <c r="BJ824" i="20"/>
  <c r="BI824" i="20"/>
  <c r="BH824" i="20"/>
  <c r="BG824" i="20"/>
  <c r="BF824" i="20"/>
  <c r="BE824" i="20"/>
  <c r="BD824" i="20"/>
  <c r="BC824" i="20"/>
  <c r="BB824" i="20"/>
  <c r="BA824" i="20"/>
  <c r="AZ824" i="20"/>
  <c r="AY824" i="20"/>
  <c r="AX824" i="20"/>
  <c r="AW824" i="20"/>
  <c r="AV824" i="20"/>
  <c r="AU824" i="20"/>
  <c r="AT824" i="20"/>
  <c r="AS824" i="20"/>
  <c r="AR824" i="20"/>
  <c r="AQ824" i="20"/>
  <c r="AP824" i="20"/>
  <c r="AO824" i="20"/>
  <c r="AN824" i="20"/>
  <c r="AM824" i="20"/>
  <c r="AL824" i="20"/>
  <c r="AK824" i="20"/>
  <c r="AJ824" i="20"/>
  <c r="AI824" i="20"/>
  <c r="AH824" i="20"/>
  <c r="AG824" i="20"/>
  <c r="AF824" i="20"/>
  <c r="AE824" i="20"/>
  <c r="AD824" i="20"/>
  <c r="AC824" i="20"/>
  <c r="AB824" i="20"/>
  <c r="AA824" i="20"/>
  <c r="AA825" i="20" s="1"/>
  <c r="Z824" i="20"/>
  <c r="Y824" i="20"/>
  <c r="BK823" i="20"/>
  <c r="BJ823" i="20"/>
  <c r="BI823" i="20"/>
  <c r="BH823" i="20"/>
  <c r="BG823" i="20"/>
  <c r="BF823" i="20"/>
  <c r="BE823" i="20"/>
  <c r="BD823" i="20"/>
  <c r="BC823" i="20"/>
  <c r="BB823" i="20"/>
  <c r="BA823" i="20"/>
  <c r="AZ823" i="20"/>
  <c r="AY823" i="20"/>
  <c r="AX823" i="20"/>
  <c r="AX825" i="20" s="1"/>
  <c r="AW823" i="20"/>
  <c r="AV823" i="20"/>
  <c r="AU823" i="20"/>
  <c r="AT823" i="20"/>
  <c r="AS823" i="20"/>
  <c r="AR823" i="20"/>
  <c r="AQ823" i="20"/>
  <c r="AP823" i="20"/>
  <c r="AO823" i="20"/>
  <c r="AN823" i="20"/>
  <c r="AM823" i="20"/>
  <c r="AL823" i="20"/>
  <c r="AK823" i="20"/>
  <c r="AJ823" i="20"/>
  <c r="AI823" i="20"/>
  <c r="AH823" i="20"/>
  <c r="AG823" i="20"/>
  <c r="AF823" i="20"/>
  <c r="AE823" i="20"/>
  <c r="AE825" i="20"/>
  <c r="AD823" i="20"/>
  <c r="AC823" i="20"/>
  <c r="AB823" i="20"/>
  <c r="AA823" i="20"/>
  <c r="Z823" i="20"/>
  <c r="Y823" i="20"/>
  <c r="BK823" i="8"/>
  <c r="BJ823" i="8"/>
  <c r="BI823" i="8"/>
  <c r="BH823" i="8"/>
  <c r="BG823" i="8"/>
  <c r="BF823" i="8"/>
  <c r="BE823" i="8"/>
  <c r="BD823" i="8"/>
  <c r="BC823" i="8"/>
  <c r="BB823" i="8"/>
  <c r="BA823" i="8"/>
  <c r="AZ823" i="8"/>
  <c r="AY823" i="8"/>
  <c r="AX823" i="8"/>
  <c r="AW823" i="8"/>
  <c r="AV823" i="8"/>
  <c r="AU823" i="8"/>
  <c r="AT823" i="8"/>
  <c r="AS823" i="8"/>
  <c r="AR823" i="8"/>
  <c r="AQ823" i="8"/>
  <c r="AP823" i="8"/>
  <c r="AO823" i="8"/>
  <c r="AN823" i="8"/>
  <c r="AM823" i="8"/>
  <c r="AL823" i="8"/>
  <c r="AK823" i="8"/>
  <c r="AJ823" i="8"/>
  <c r="AI823" i="8"/>
  <c r="AH823" i="8"/>
  <c r="AG823" i="8"/>
  <c r="AF823" i="8"/>
  <c r="AE823" i="8"/>
  <c r="AD823" i="8"/>
  <c r="AC823" i="8"/>
  <c r="AB823" i="8"/>
  <c r="AA823" i="8"/>
  <c r="Z823" i="8"/>
  <c r="Y823" i="8"/>
  <c r="BK825" i="9"/>
  <c r="BJ825" i="9"/>
  <c r="BI825" i="9"/>
  <c r="BH825" i="9"/>
  <c r="BG825" i="9"/>
  <c r="BF825" i="9"/>
  <c r="BE825" i="9"/>
  <c r="BD825" i="9"/>
  <c r="BC825" i="9"/>
  <c r="BB825" i="9"/>
  <c r="BA825" i="9"/>
  <c r="AZ825" i="9"/>
  <c r="AY825" i="9"/>
  <c r="AX825" i="9"/>
  <c r="AW825" i="9"/>
  <c r="AV825" i="9"/>
  <c r="AU825" i="9"/>
  <c r="AT825" i="9"/>
  <c r="AS825" i="9"/>
  <c r="AR825" i="9"/>
  <c r="AQ825" i="9"/>
  <c r="AP825" i="9"/>
  <c r="AO825" i="9"/>
  <c r="AN825" i="9"/>
  <c r="AM825" i="9"/>
  <c r="AL825" i="9"/>
  <c r="AK825" i="9"/>
  <c r="AJ825" i="9"/>
  <c r="AI825" i="9"/>
  <c r="AH825" i="9"/>
  <c r="AG825" i="9"/>
  <c r="AF825" i="9"/>
  <c r="AE825" i="9"/>
  <c r="AD825" i="9"/>
  <c r="AC825" i="9"/>
  <c r="AB825" i="9"/>
  <c r="AA825" i="9"/>
  <c r="Z825" i="9"/>
  <c r="Y825" i="9"/>
  <c r="BK821" i="20"/>
  <c r="BJ821" i="20"/>
  <c r="BI821" i="20"/>
  <c r="BH821" i="20"/>
  <c r="BG821" i="20"/>
  <c r="BF821" i="20"/>
  <c r="BE821" i="20"/>
  <c r="BD821" i="20"/>
  <c r="BD822" i="20" s="1"/>
  <c r="BC821" i="20"/>
  <c r="BB821" i="20"/>
  <c r="BA821" i="20"/>
  <c r="AZ821" i="20"/>
  <c r="AY821" i="20"/>
  <c r="AX821" i="20"/>
  <c r="AW821" i="20"/>
  <c r="AV821" i="20"/>
  <c r="AU821" i="20"/>
  <c r="AT821" i="20"/>
  <c r="AS821" i="20"/>
  <c r="AR821" i="20"/>
  <c r="AQ821" i="20"/>
  <c r="AP821" i="20"/>
  <c r="AO821" i="20"/>
  <c r="AN821" i="20"/>
  <c r="AM821" i="20"/>
  <c r="AL821" i="20"/>
  <c r="AK821" i="20"/>
  <c r="AJ821" i="20"/>
  <c r="AI821" i="20"/>
  <c r="AH821" i="20"/>
  <c r="AG821" i="20"/>
  <c r="AF821" i="20"/>
  <c r="AE821" i="20"/>
  <c r="AD821" i="20"/>
  <c r="AC821" i="20"/>
  <c r="AB821" i="20"/>
  <c r="AA821" i="20"/>
  <c r="Z821" i="20"/>
  <c r="Y821" i="20"/>
  <c r="BK820" i="20"/>
  <c r="BJ820" i="20"/>
  <c r="BI820" i="20"/>
  <c r="BH820" i="20"/>
  <c r="BG820" i="20"/>
  <c r="BF820" i="20"/>
  <c r="BE820" i="20"/>
  <c r="BD820" i="20"/>
  <c r="BC820" i="20"/>
  <c r="BC822" i="20" s="1"/>
  <c r="BB820" i="20"/>
  <c r="BA820" i="20"/>
  <c r="AZ820" i="20"/>
  <c r="AY820" i="20"/>
  <c r="AX820" i="20"/>
  <c r="AW820" i="20"/>
  <c r="AV820" i="20"/>
  <c r="AU820" i="20"/>
  <c r="AT820" i="20"/>
  <c r="AS820" i="20"/>
  <c r="AR820" i="20"/>
  <c r="AQ820" i="20"/>
  <c r="AQ822" i="20" s="1"/>
  <c r="AP820" i="20"/>
  <c r="AO820" i="20"/>
  <c r="AN820" i="20"/>
  <c r="AM820" i="20"/>
  <c r="AL820" i="20"/>
  <c r="AK820" i="20"/>
  <c r="AJ820" i="20"/>
  <c r="AI820" i="20"/>
  <c r="AH820" i="20"/>
  <c r="AG820" i="20"/>
  <c r="AF820" i="20"/>
  <c r="AE820" i="20"/>
  <c r="AE822" i="20" s="1"/>
  <c r="AD820" i="20"/>
  <c r="AC820" i="20"/>
  <c r="AB820" i="20"/>
  <c r="AA820" i="20"/>
  <c r="Z820" i="20"/>
  <c r="Y820" i="20"/>
  <c r="Y822" i="20" s="1"/>
  <c r="BK820" i="8"/>
  <c r="BJ820" i="8"/>
  <c r="BI820" i="8"/>
  <c r="BH820" i="8"/>
  <c r="BG820" i="8"/>
  <c r="BF820" i="8"/>
  <c r="BE820" i="8"/>
  <c r="BD820" i="8"/>
  <c r="BC820" i="8"/>
  <c r="BB820" i="8"/>
  <c r="BA820" i="8"/>
  <c r="AZ820" i="8"/>
  <c r="AY820" i="8"/>
  <c r="AX820" i="8"/>
  <c r="AW820" i="8"/>
  <c r="AV820" i="8"/>
  <c r="AU820" i="8"/>
  <c r="AT820" i="8"/>
  <c r="AS820" i="8"/>
  <c r="AR820" i="8"/>
  <c r="AQ820" i="8"/>
  <c r="AP820" i="8"/>
  <c r="AO820" i="8"/>
  <c r="AN820" i="8"/>
  <c r="AM820" i="8"/>
  <c r="AL820" i="8"/>
  <c r="AK820" i="8"/>
  <c r="AJ820" i="8"/>
  <c r="AI820" i="8"/>
  <c r="AH820" i="8"/>
  <c r="AG820" i="8"/>
  <c r="AF820" i="8"/>
  <c r="AE820" i="8"/>
  <c r="AD820" i="8"/>
  <c r="AC820" i="8"/>
  <c r="AB820" i="8"/>
  <c r="AA820" i="8"/>
  <c r="Z820" i="8"/>
  <c r="Y820" i="8"/>
  <c r="BK822" i="9"/>
  <c r="BJ822" i="9"/>
  <c r="BI822" i="9"/>
  <c r="BH822" i="9"/>
  <c r="BG822" i="9"/>
  <c r="BF822" i="9"/>
  <c r="BE822" i="9"/>
  <c r="BD822" i="9"/>
  <c r="BC822" i="9"/>
  <c r="BB822" i="9"/>
  <c r="BA822" i="9"/>
  <c r="AZ822" i="9"/>
  <c r="AY822" i="9"/>
  <c r="AX822" i="9"/>
  <c r="AW822" i="9"/>
  <c r="AV822" i="9"/>
  <c r="AU822" i="9"/>
  <c r="AT822" i="9"/>
  <c r="AS822" i="9"/>
  <c r="AR822" i="9"/>
  <c r="AQ822" i="9"/>
  <c r="AP822" i="9"/>
  <c r="AO822" i="9"/>
  <c r="AN822" i="9"/>
  <c r="AM822" i="9"/>
  <c r="AL822" i="9"/>
  <c r="AK822" i="9"/>
  <c r="AJ822" i="9"/>
  <c r="AI822" i="9"/>
  <c r="AH822" i="9"/>
  <c r="AG822" i="9"/>
  <c r="AF822" i="9"/>
  <c r="AE822" i="9"/>
  <c r="AD822" i="9"/>
  <c r="AC822" i="9"/>
  <c r="AB822" i="9"/>
  <c r="AA822" i="9"/>
  <c r="Z822" i="9"/>
  <c r="Y822" i="9"/>
  <c r="BK818" i="20"/>
  <c r="BJ818" i="20"/>
  <c r="BI818" i="20"/>
  <c r="BH818" i="20"/>
  <c r="BG818" i="20"/>
  <c r="BF818" i="20"/>
  <c r="BE818" i="20"/>
  <c r="BD818" i="20"/>
  <c r="BC818" i="20"/>
  <c r="BB818" i="20"/>
  <c r="BA818" i="20"/>
  <c r="AZ818" i="20"/>
  <c r="AY818" i="20"/>
  <c r="AX818" i="20"/>
  <c r="AW818" i="20"/>
  <c r="AV818" i="20"/>
  <c r="AU818" i="20"/>
  <c r="AT818" i="20"/>
  <c r="AS818" i="20"/>
  <c r="AR818" i="20"/>
  <c r="AQ818" i="20"/>
  <c r="AP818" i="20"/>
  <c r="AO818" i="20"/>
  <c r="AN818" i="20"/>
  <c r="AM818" i="20"/>
  <c r="AL818" i="20"/>
  <c r="AK818" i="20"/>
  <c r="AJ818" i="20"/>
  <c r="AI818" i="20"/>
  <c r="AH818" i="20"/>
  <c r="AG818" i="20"/>
  <c r="AF818" i="20"/>
  <c r="AE818" i="20"/>
  <c r="AD818" i="20"/>
  <c r="AC818" i="20"/>
  <c r="AB818" i="20"/>
  <c r="AA818" i="20"/>
  <c r="Z818" i="20"/>
  <c r="Y818" i="20"/>
  <c r="BK817" i="20"/>
  <c r="BJ817" i="20"/>
  <c r="BI817" i="20"/>
  <c r="BI819" i="20" s="1"/>
  <c r="BH817" i="20"/>
  <c r="BG817" i="20"/>
  <c r="BF817" i="20"/>
  <c r="BE817" i="20"/>
  <c r="BD817" i="20"/>
  <c r="BC817" i="20"/>
  <c r="BB817" i="20"/>
  <c r="BA817" i="20"/>
  <c r="AZ817" i="20"/>
  <c r="AY817" i="20"/>
  <c r="AX817" i="20"/>
  <c r="AW817" i="20"/>
  <c r="AV817" i="20"/>
  <c r="AU817" i="20"/>
  <c r="AT817" i="20"/>
  <c r="AS817" i="20"/>
  <c r="AR817" i="20"/>
  <c r="AQ817" i="20"/>
  <c r="AP817" i="20"/>
  <c r="AO817" i="20"/>
  <c r="AN817" i="20"/>
  <c r="AM817" i="20"/>
  <c r="AL817" i="20"/>
  <c r="AK817" i="20"/>
  <c r="AJ817" i="20"/>
  <c r="AI817" i="20"/>
  <c r="AH817" i="20"/>
  <c r="AG817" i="20"/>
  <c r="AF817" i="20"/>
  <c r="AE817" i="20"/>
  <c r="AD817" i="20"/>
  <c r="AC817" i="20"/>
  <c r="AB817" i="20"/>
  <c r="AA817" i="20"/>
  <c r="Z817" i="20"/>
  <c r="Y817" i="20"/>
  <c r="Y819" i="20" s="1"/>
  <c r="BK817" i="8"/>
  <c r="BJ817" i="8"/>
  <c r="BI817" i="8"/>
  <c r="BH817" i="8"/>
  <c r="BG817" i="8"/>
  <c r="BF817" i="8"/>
  <c r="BE817" i="8"/>
  <c r="BD817" i="8"/>
  <c r="BC817" i="8"/>
  <c r="BB817" i="8"/>
  <c r="BA817" i="8"/>
  <c r="AZ817" i="8"/>
  <c r="AY817" i="8"/>
  <c r="AX817" i="8"/>
  <c r="AW817" i="8"/>
  <c r="AV817" i="8"/>
  <c r="AU817" i="8"/>
  <c r="AT817" i="8"/>
  <c r="AS817" i="8"/>
  <c r="AR817" i="8"/>
  <c r="AQ817" i="8"/>
  <c r="AP817" i="8"/>
  <c r="AO817" i="8"/>
  <c r="AN817" i="8"/>
  <c r="AM817" i="8"/>
  <c r="AL817" i="8"/>
  <c r="AK817" i="8"/>
  <c r="AJ817" i="8"/>
  <c r="AI817" i="8"/>
  <c r="AH817" i="8"/>
  <c r="AG817" i="8"/>
  <c r="AF817" i="8"/>
  <c r="AE817" i="8"/>
  <c r="AD817" i="8"/>
  <c r="AC817" i="8"/>
  <c r="AB817" i="8"/>
  <c r="AA817" i="8"/>
  <c r="Z817" i="8"/>
  <c r="Y817" i="8"/>
  <c r="BK819" i="9"/>
  <c r="BJ819" i="9"/>
  <c r="BI819" i="9"/>
  <c r="BH819" i="9"/>
  <c r="BG819" i="9"/>
  <c r="BF819" i="9"/>
  <c r="BE819" i="9"/>
  <c r="BD819" i="9"/>
  <c r="BC819" i="9"/>
  <c r="BB819" i="9"/>
  <c r="BA819" i="9"/>
  <c r="AZ819" i="9"/>
  <c r="AY819" i="9"/>
  <c r="AX819" i="9"/>
  <c r="AW819" i="9"/>
  <c r="AV819" i="9"/>
  <c r="AU819" i="9"/>
  <c r="AT819" i="9"/>
  <c r="AS819" i="9"/>
  <c r="AR819" i="9"/>
  <c r="AQ819" i="9"/>
  <c r="AP819" i="9"/>
  <c r="AO819" i="9"/>
  <c r="AN819" i="9"/>
  <c r="AM819" i="9"/>
  <c r="AL819" i="9"/>
  <c r="AK819" i="9"/>
  <c r="AJ819" i="9"/>
  <c r="AI819" i="9"/>
  <c r="AH819" i="9"/>
  <c r="AG819" i="9"/>
  <c r="AF819" i="9"/>
  <c r="AE819" i="9"/>
  <c r="AD819" i="9"/>
  <c r="AC819" i="9"/>
  <c r="AB819" i="9"/>
  <c r="AA819" i="9"/>
  <c r="Z819" i="9"/>
  <c r="Y819" i="9"/>
  <c r="BK815" i="20"/>
  <c r="BJ815" i="20"/>
  <c r="BI815" i="20"/>
  <c r="BI816" i="20"/>
  <c r="BH815" i="20"/>
  <c r="BG815" i="20"/>
  <c r="BF815" i="20"/>
  <c r="BE815" i="20"/>
  <c r="BD815" i="20"/>
  <c r="BC815" i="20"/>
  <c r="BB815" i="20"/>
  <c r="BA815" i="20"/>
  <c r="AZ815" i="20"/>
  <c r="AY815" i="20"/>
  <c r="AX815" i="20"/>
  <c r="AW815" i="20"/>
  <c r="AV815" i="20"/>
  <c r="AU815" i="20"/>
  <c r="AT815" i="20"/>
  <c r="AT816" i="20" s="1"/>
  <c r="AS815" i="20"/>
  <c r="AR815" i="20"/>
  <c r="AQ815" i="20"/>
  <c r="AP815" i="20"/>
  <c r="AO815" i="20"/>
  <c r="AN815" i="20"/>
  <c r="AM815" i="20"/>
  <c r="AL815" i="20"/>
  <c r="AK815" i="20"/>
  <c r="AJ815" i="20"/>
  <c r="AI815" i="20"/>
  <c r="AH815" i="20"/>
  <c r="AG815" i="20"/>
  <c r="AF815" i="20"/>
  <c r="AE815" i="20"/>
  <c r="AD815" i="20"/>
  <c r="AC815" i="20"/>
  <c r="AB815" i="20"/>
  <c r="AA815" i="20"/>
  <c r="Z815" i="20"/>
  <c r="Y815" i="20"/>
  <c r="BK814" i="20"/>
  <c r="BJ814" i="20"/>
  <c r="BI814" i="20"/>
  <c r="BH814" i="20"/>
  <c r="BG814" i="20"/>
  <c r="BF814" i="20"/>
  <c r="BE814" i="20"/>
  <c r="BD814" i="20"/>
  <c r="BC814" i="20"/>
  <c r="BC816" i="20"/>
  <c r="BB814" i="20"/>
  <c r="BA814" i="20"/>
  <c r="AZ814" i="20"/>
  <c r="AY814" i="20"/>
  <c r="AX814" i="20"/>
  <c r="AW814" i="20"/>
  <c r="AV814" i="20"/>
  <c r="AU814" i="20"/>
  <c r="AT814" i="20"/>
  <c r="AS814" i="20"/>
  <c r="AR814" i="20"/>
  <c r="AQ814" i="20"/>
  <c r="AP814" i="20"/>
  <c r="AO814" i="20"/>
  <c r="AN814" i="20"/>
  <c r="AM814" i="20"/>
  <c r="AM816" i="20" s="1"/>
  <c r="AL814" i="20"/>
  <c r="AK814" i="20"/>
  <c r="AJ814" i="20"/>
  <c r="AI814" i="20"/>
  <c r="AH814" i="20"/>
  <c r="AG814" i="20"/>
  <c r="AF814" i="20"/>
  <c r="AE814" i="20"/>
  <c r="AD814" i="20"/>
  <c r="AC814" i="20"/>
  <c r="AB814" i="20"/>
  <c r="AA814" i="20"/>
  <c r="Z814" i="20"/>
  <c r="Y814" i="20"/>
  <c r="Y816" i="20" s="1"/>
  <c r="BK814" i="8"/>
  <c r="BJ814" i="8"/>
  <c r="BI814" i="8"/>
  <c r="BH814" i="8"/>
  <c r="BG814" i="8"/>
  <c r="BF814" i="8"/>
  <c r="BE814" i="8"/>
  <c r="BD814" i="8"/>
  <c r="BC814" i="8"/>
  <c r="BB814" i="8"/>
  <c r="BA814" i="8"/>
  <c r="AZ814" i="8"/>
  <c r="AY814" i="8"/>
  <c r="AX814" i="8"/>
  <c r="AW814" i="8"/>
  <c r="AV814" i="8"/>
  <c r="AU814" i="8"/>
  <c r="AT814" i="8"/>
  <c r="AS814" i="8"/>
  <c r="AR814" i="8"/>
  <c r="AQ814" i="8"/>
  <c r="AP814" i="8"/>
  <c r="AO814" i="8"/>
  <c r="AN814" i="8"/>
  <c r="AM814" i="8"/>
  <c r="AL814" i="8"/>
  <c r="AK814" i="8"/>
  <c r="AJ814" i="8"/>
  <c r="AI814" i="8"/>
  <c r="AH814" i="8"/>
  <c r="AG814" i="8"/>
  <c r="AF814" i="8"/>
  <c r="AE814" i="8"/>
  <c r="AD814" i="8"/>
  <c r="AC814" i="8"/>
  <c r="AB814" i="8"/>
  <c r="AA814" i="8"/>
  <c r="Z814" i="8"/>
  <c r="Y814" i="8"/>
  <c r="BK816" i="9"/>
  <c r="BJ816" i="9"/>
  <c r="BI816" i="9"/>
  <c r="BH816" i="9"/>
  <c r="BG816" i="9"/>
  <c r="BF816" i="9"/>
  <c r="BE816" i="9"/>
  <c r="BD816" i="9"/>
  <c r="BC816" i="9"/>
  <c r="BB816" i="9"/>
  <c r="BA816" i="9"/>
  <c r="AZ816" i="9"/>
  <c r="AY816" i="9"/>
  <c r="AX816" i="9"/>
  <c r="AW816" i="9"/>
  <c r="AV816" i="9"/>
  <c r="AU816" i="9"/>
  <c r="AT816" i="9"/>
  <c r="AS816" i="9"/>
  <c r="AR816" i="9"/>
  <c r="AQ816" i="9"/>
  <c r="AP816" i="9"/>
  <c r="AO816" i="9"/>
  <c r="AN816" i="9"/>
  <c r="AM816" i="9"/>
  <c r="AL816" i="9"/>
  <c r="AK816" i="9"/>
  <c r="AJ816" i="9"/>
  <c r="AI816" i="9"/>
  <c r="AH816" i="9"/>
  <c r="AG816" i="9"/>
  <c r="AF816" i="9"/>
  <c r="AE816" i="9"/>
  <c r="AD816" i="9"/>
  <c r="AC816" i="9"/>
  <c r="AB816" i="9"/>
  <c r="AA816" i="9"/>
  <c r="Z816" i="9"/>
  <c r="Y816" i="9"/>
  <c r="BK812" i="20"/>
  <c r="BJ812" i="20"/>
  <c r="BI812" i="20"/>
  <c r="BI813" i="20" s="1"/>
  <c r="BH812" i="20"/>
  <c r="BG812" i="20"/>
  <c r="BF812" i="20"/>
  <c r="BE812" i="20"/>
  <c r="BD812" i="20"/>
  <c r="BC812" i="20"/>
  <c r="BB812" i="20"/>
  <c r="BA812" i="20"/>
  <c r="AZ812" i="20"/>
  <c r="AY812" i="20"/>
  <c r="AX812" i="20"/>
  <c r="AW812" i="20"/>
  <c r="AW813" i="20"/>
  <c r="AV812" i="20"/>
  <c r="AU812" i="20"/>
  <c r="AU813" i="20" s="1"/>
  <c r="AT812" i="20"/>
  <c r="AS812" i="20"/>
  <c r="AR812" i="20"/>
  <c r="AQ812" i="20"/>
  <c r="AP812" i="20"/>
  <c r="AO812" i="20"/>
  <c r="AN812" i="20"/>
  <c r="AM812" i="20"/>
  <c r="AL812" i="20"/>
  <c r="AK812" i="20"/>
  <c r="AJ812" i="20"/>
  <c r="AI812" i="20"/>
  <c r="AH812" i="20"/>
  <c r="AG812" i="20"/>
  <c r="AF812" i="20"/>
  <c r="AE812" i="20"/>
  <c r="AD812" i="20"/>
  <c r="AC812" i="20"/>
  <c r="AB812" i="20"/>
  <c r="AA812" i="20"/>
  <c r="Z812" i="20"/>
  <c r="Y812" i="20"/>
  <c r="BK811" i="20"/>
  <c r="BJ811" i="20"/>
  <c r="BI811" i="20"/>
  <c r="BH811" i="20"/>
  <c r="BG811" i="20"/>
  <c r="BF811" i="20"/>
  <c r="BE811" i="20"/>
  <c r="BD811" i="20"/>
  <c r="BC811" i="20"/>
  <c r="BC813" i="20" s="1"/>
  <c r="BB811" i="20"/>
  <c r="BA811" i="20"/>
  <c r="AZ811" i="20"/>
  <c r="AY811" i="20"/>
  <c r="AX811" i="20"/>
  <c r="AW811" i="20"/>
  <c r="AV811" i="20"/>
  <c r="AU811" i="20"/>
  <c r="AT811" i="20"/>
  <c r="AS811" i="20"/>
  <c r="AR811" i="20"/>
  <c r="AQ811" i="20"/>
  <c r="AQ813" i="20"/>
  <c r="AP811" i="20"/>
  <c r="AO811" i="20"/>
  <c r="AN811" i="20"/>
  <c r="AM811" i="20"/>
  <c r="AL811" i="20"/>
  <c r="AK811" i="20"/>
  <c r="AK813" i="20" s="1"/>
  <c r="AJ811" i="20"/>
  <c r="AI811" i="20"/>
  <c r="AH811" i="20"/>
  <c r="AG811" i="20"/>
  <c r="AF811" i="20"/>
  <c r="AE811" i="20"/>
  <c r="AD811" i="20"/>
  <c r="AC811" i="20"/>
  <c r="AB811" i="20"/>
  <c r="AA811" i="20"/>
  <c r="Z811" i="20"/>
  <c r="Z813" i="20" s="1"/>
  <c r="Y811" i="20"/>
  <c r="BK811" i="8"/>
  <c r="BJ811" i="8"/>
  <c r="BI811" i="8"/>
  <c r="BH811" i="8"/>
  <c r="BG811" i="8"/>
  <c r="BF811" i="8"/>
  <c r="BE811" i="8"/>
  <c r="BD811" i="8"/>
  <c r="BC811" i="8"/>
  <c r="BB811" i="8"/>
  <c r="BA811" i="8"/>
  <c r="AZ811" i="8"/>
  <c r="AY811" i="8"/>
  <c r="AX811" i="8"/>
  <c r="AW811" i="8"/>
  <c r="AV811" i="8"/>
  <c r="AU811" i="8"/>
  <c r="AT811" i="8"/>
  <c r="AS811" i="8"/>
  <c r="AR811" i="8"/>
  <c r="AQ811" i="8"/>
  <c r="AP811" i="8"/>
  <c r="AO811" i="8"/>
  <c r="AN811" i="8"/>
  <c r="AM811" i="8"/>
  <c r="AL811" i="8"/>
  <c r="AK811" i="8"/>
  <c r="AJ811" i="8"/>
  <c r="AI811" i="8"/>
  <c r="AH811" i="8"/>
  <c r="AG811" i="8"/>
  <c r="AF811" i="8"/>
  <c r="AE811" i="8"/>
  <c r="AD811" i="8"/>
  <c r="AC811" i="8"/>
  <c r="AB811" i="8"/>
  <c r="AA811" i="8"/>
  <c r="Z811" i="8"/>
  <c r="Y811" i="8"/>
  <c r="BK813" i="9"/>
  <c r="BJ813" i="9"/>
  <c r="BI813" i="9"/>
  <c r="BH813" i="9"/>
  <c r="BG813" i="9"/>
  <c r="BF813" i="9"/>
  <c r="BE813" i="9"/>
  <c r="BD813" i="9"/>
  <c r="BC813" i="9"/>
  <c r="BB813" i="9"/>
  <c r="BA813" i="9"/>
  <c r="AZ813" i="9"/>
  <c r="AY813" i="9"/>
  <c r="AX813" i="9"/>
  <c r="AW813" i="9"/>
  <c r="AV813" i="9"/>
  <c r="AU813" i="9"/>
  <c r="AT813" i="9"/>
  <c r="AS813" i="9"/>
  <c r="AR813" i="9"/>
  <c r="AQ813" i="9"/>
  <c r="AP813" i="9"/>
  <c r="AO813" i="9"/>
  <c r="AN813" i="9"/>
  <c r="AM813" i="9"/>
  <c r="AL813" i="9"/>
  <c r="AK813" i="9"/>
  <c r="AJ813" i="9"/>
  <c r="AI813" i="9"/>
  <c r="AH813" i="9"/>
  <c r="AG813" i="9"/>
  <c r="AF813" i="9"/>
  <c r="AE813" i="9"/>
  <c r="AD813" i="9"/>
  <c r="AC813" i="9"/>
  <c r="AB813" i="9"/>
  <c r="AA813" i="9"/>
  <c r="Z813" i="9"/>
  <c r="Y813" i="9"/>
  <c r="BK809" i="20"/>
  <c r="BJ809" i="20"/>
  <c r="BI809" i="20"/>
  <c r="BH809" i="20"/>
  <c r="BG809" i="20"/>
  <c r="BF809" i="20"/>
  <c r="BE809" i="20"/>
  <c r="BD809" i="20"/>
  <c r="BC809" i="20"/>
  <c r="BB809" i="20"/>
  <c r="BA809" i="20"/>
  <c r="AZ809" i="20"/>
  <c r="AY809" i="20"/>
  <c r="AX809" i="20"/>
  <c r="AW809" i="20"/>
  <c r="AW810" i="20"/>
  <c r="AV809" i="20"/>
  <c r="AU809" i="20"/>
  <c r="AT809" i="20"/>
  <c r="AS809" i="20"/>
  <c r="AR809" i="20"/>
  <c r="AQ809" i="20"/>
  <c r="AP809" i="20"/>
  <c r="AO809" i="20"/>
  <c r="AN809" i="20"/>
  <c r="AM809" i="20"/>
  <c r="AL809" i="20"/>
  <c r="AK809" i="20"/>
  <c r="AJ809" i="20"/>
  <c r="AI809" i="20"/>
  <c r="AH809" i="20"/>
  <c r="AG809" i="20"/>
  <c r="AG810" i="20" s="1"/>
  <c r="AF809" i="20"/>
  <c r="AF810" i="20" s="1"/>
  <c r="AE809" i="20"/>
  <c r="AD809" i="20"/>
  <c r="AC809" i="20"/>
  <c r="AB809" i="20"/>
  <c r="AA809" i="20"/>
  <c r="Z809" i="20"/>
  <c r="Y809" i="20"/>
  <c r="BK808" i="20"/>
  <c r="BJ808" i="20"/>
  <c r="BI808" i="20"/>
  <c r="BH808" i="20"/>
  <c r="BG808" i="20"/>
  <c r="BF808" i="20"/>
  <c r="BE808" i="20"/>
  <c r="BD808" i="20"/>
  <c r="BD810" i="20" s="1"/>
  <c r="BC808" i="20"/>
  <c r="BC810" i="20" s="1"/>
  <c r="BB808" i="20"/>
  <c r="BA808" i="20"/>
  <c r="AZ808" i="20"/>
  <c r="AY808" i="20"/>
  <c r="AX808" i="20"/>
  <c r="AW808" i="20"/>
  <c r="AV808" i="20"/>
  <c r="AU808" i="20"/>
  <c r="AT808" i="20"/>
  <c r="AS808" i="20"/>
  <c r="AR808" i="20"/>
  <c r="AQ808" i="20"/>
  <c r="AQ810" i="20" s="1"/>
  <c r="AP808" i="20"/>
  <c r="AO808" i="20"/>
  <c r="AN808" i="20"/>
  <c r="AM808" i="20"/>
  <c r="AL808" i="20"/>
  <c r="AK808" i="20"/>
  <c r="AJ808" i="20"/>
  <c r="AI808" i="20"/>
  <c r="AH808" i="20"/>
  <c r="AG808" i="20"/>
  <c r="AF808" i="20"/>
  <c r="AE808" i="20"/>
  <c r="AE810" i="20" s="1"/>
  <c r="AD808" i="20"/>
  <c r="AC808" i="20"/>
  <c r="AB808" i="20"/>
  <c r="AA808" i="20"/>
  <c r="Z808" i="20"/>
  <c r="Y808" i="20"/>
  <c r="BK808" i="8"/>
  <c r="BJ808" i="8"/>
  <c r="BI808" i="8"/>
  <c r="BH808" i="8"/>
  <c r="BG808" i="8"/>
  <c r="BF808" i="8"/>
  <c r="BE808" i="8"/>
  <c r="BD808" i="8"/>
  <c r="BC808" i="8"/>
  <c r="BB808" i="8"/>
  <c r="BA808" i="8"/>
  <c r="AZ808" i="8"/>
  <c r="AY808" i="8"/>
  <c r="AX808" i="8"/>
  <c r="AW808" i="8"/>
  <c r="AV808" i="8"/>
  <c r="AU808" i="8"/>
  <c r="AT808" i="8"/>
  <c r="AS808" i="8"/>
  <c r="AR808" i="8"/>
  <c r="AQ808" i="8"/>
  <c r="AP808" i="8"/>
  <c r="AO808" i="8"/>
  <c r="AN808" i="8"/>
  <c r="AM808" i="8"/>
  <c r="AL808" i="8"/>
  <c r="AK808" i="8"/>
  <c r="AJ808" i="8"/>
  <c r="AI808" i="8"/>
  <c r="AH808" i="8"/>
  <c r="AG808" i="8"/>
  <c r="AF808" i="8"/>
  <c r="AE808" i="8"/>
  <c r="AD808" i="8"/>
  <c r="AC808" i="8"/>
  <c r="AB808" i="8"/>
  <c r="AA808" i="8"/>
  <c r="Z808" i="8"/>
  <c r="Y808" i="8"/>
  <c r="BK810" i="9"/>
  <c r="BJ810" i="9"/>
  <c r="BI810" i="9"/>
  <c r="BH810" i="9"/>
  <c r="BG810" i="9"/>
  <c r="BF810" i="9"/>
  <c r="BE810" i="9"/>
  <c r="BD810" i="9"/>
  <c r="BC810" i="9"/>
  <c r="BB810" i="9"/>
  <c r="BA810" i="9"/>
  <c r="AZ810" i="9"/>
  <c r="AY810" i="9"/>
  <c r="AX810" i="9"/>
  <c r="AW810" i="9"/>
  <c r="AV810" i="9"/>
  <c r="AU810" i="9"/>
  <c r="AT810" i="9"/>
  <c r="AS810" i="9"/>
  <c r="AR810" i="9"/>
  <c r="AQ810" i="9"/>
  <c r="AP810" i="9"/>
  <c r="AO810" i="9"/>
  <c r="AN810" i="9"/>
  <c r="AM810" i="9"/>
  <c r="AL810" i="9"/>
  <c r="AK810" i="9"/>
  <c r="AJ810" i="9"/>
  <c r="AI810" i="9"/>
  <c r="AH810" i="9"/>
  <c r="AG810" i="9"/>
  <c r="AF810" i="9"/>
  <c r="AE810" i="9"/>
  <c r="AD810" i="9"/>
  <c r="AC810" i="9"/>
  <c r="AB810" i="9"/>
  <c r="AA810" i="9"/>
  <c r="Z810" i="9"/>
  <c r="Y810" i="9"/>
  <c r="BK806" i="20"/>
  <c r="BJ806" i="20"/>
  <c r="BI806" i="20"/>
  <c r="BI807" i="20"/>
  <c r="BH806" i="20"/>
  <c r="BH807" i="20" s="1"/>
  <c r="BG806" i="20"/>
  <c r="BF806" i="20"/>
  <c r="BE806" i="20"/>
  <c r="BD806" i="20"/>
  <c r="BC806" i="20"/>
  <c r="BB806" i="20"/>
  <c r="BA806" i="20"/>
  <c r="AZ806" i="20"/>
  <c r="AY806" i="20"/>
  <c r="AX806" i="20"/>
  <c r="AW806" i="20"/>
  <c r="AV806" i="20"/>
  <c r="AU806" i="20"/>
  <c r="AT806" i="20"/>
  <c r="AS806" i="20"/>
  <c r="AR806" i="20"/>
  <c r="AQ806" i="20"/>
  <c r="AP806" i="20"/>
  <c r="AO806" i="20"/>
  <c r="AN806" i="20"/>
  <c r="AM806" i="20"/>
  <c r="AL806" i="20"/>
  <c r="AK806" i="20"/>
  <c r="AJ806" i="20"/>
  <c r="AI806" i="20"/>
  <c r="AH806" i="20"/>
  <c r="AG806" i="20"/>
  <c r="AF806" i="20"/>
  <c r="AE806" i="20"/>
  <c r="AD806" i="20"/>
  <c r="AC806" i="20"/>
  <c r="AB806" i="20"/>
  <c r="AB807" i="20" s="1"/>
  <c r="AA806" i="20"/>
  <c r="Z806" i="20"/>
  <c r="Y806" i="20"/>
  <c r="BK805" i="20"/>
  <c r="BJ805" i="20"/>
  <c r="BI805" i="20"/>
  <c r="BH805" i="20"/>
  <c r="BG805" i="20"/>
  <c r="BF805" i="20"/>
  <c r="BE805" i="20"/>
  <c r="BD805" i="20"/>
  <c r="BC805" i="20"/>
  <c r="BC807" i="20" s="1"/>
  <c r="BB805" i="20"/>
  <c r="BA805" i="20"/>
  <c r="AZ805" i="20"/>
  <c r="AY805" i="20"/>
  <c r="AX805" i="20"/>
  <c r="AW805" i="20"/>
  <c r="AV805" i="20"/>
  <c r="AU805" i="20"/>
  <c r="AT805" i="20"/>
  <c r="AS805" i="20"/>
  <c r="AR805" i="20"/>
  <c r="AQ805" i="20"/>
  <c r="AP805" i="20"/>
  <c r="AO805" i="20"/>
  <c r="AN805" i="20"/>
  <c r="AM805" i="20"/>
  <c r="AL805" i="20"/>
  <c r="AK805" i="20"/>
  <c r="AK807" i="20" s="1"/>
  <c r="AJ805" i="20"/>
  <c r="AI805" i="20"/>
  <c r="AH805" i="20"/>
  <c r="AG805" i="20"/>
  <c r="AF805" i="20"/>
  <c r="AE805" i="20"/>
  <c r="AD805" i="20"/>
  <c r="AC805" i="20"/>
  <c r="AB805" i="20"/>
  <c r="AA805" i="20"/>
  <c r="Z805" i="20"/>
  <c r="Y805" i="20"/>
  <c r="BK805" i="8"/>
  <c r="BJ805" i="8"/>
  <c r="BI805" i="8"/>
  <c r="BH805" i="8"/>
  <c r="BG805" i="8"/>
  <c r="BF805" i="8"/>
  <c r="BE805" i="8"/>
  <c r="BD805" i="8"/>
  <c r="BC805" i="8"/>
  <c r="BB805" i="8"/>
  <c r="BA805" i="8"/>
  <c r="AZ805" i="8"/>
  <c r="AY805" i="8"/>
  <c r="AX805" i="8"/>
  <c r="AW805" i="8"/>
  <c r="AV805" i="8"/>
  <c r="AU805" i="8"/>
  <c r="AT805" i="8"/>
  <c r="AS805" i="8"/>
  <c r="AR805" i="8"/>
  <c r="AQ805" i="8"/>
  <c r="AP805" i="8"/>
  <c r="AO805" i="8"/>
  <c r="AN805" i="8"/>
  <c r="AM805" i="8"/>
  <c r="AL805" i="8"/>
  <c r="AK805" i="8"/>
  <c r="AJ805" i="8"/>
  <c r="AI805" i="8"/>
  <c r="AH805" i="8"/>
  <c r="AG805" i="8"/>
  <c r="AF805" i="8"/>
  <c r="AE805" i="8"/>
  <c r="AD805" i="8"/>
  <c r="AC805" i="8"/>
  <c r="AB805" i="8"/>
  <c r="AA805" i="8"/>
  <c r="Z805" i="8"/>
  <c r="Y805" i="8"/>
  <c r="BK807" i="9"/>
  <c r="BJ807" i="9"/>
  <c r="BI807" i="9"/>
  <c r="BH807" i="9"/>
  <c r="BG807" i="9"/>
  <c r="BF807" i="9"/>
  <c r="BE807" i="9"/>
  <c r="BD807" i="9"/>
  <c r="BC807" i="9"/>
  <c r="BB807" i="9"/>
  <c r="BA807" i="9"/>
  <c r="AZ807" i="9"/>
  <c r="AY807" i="9"/>
  <c r="AX807" i="9"/>
  <c r="AW807" i="9"/>
  <c r="AV807" i="9"/>
  <c r="AU807" i="9"/>
  <c r="AT807" i="9"/>
  <c r="AS807" i="9"/>
  <c r="AR807" i="9"/>
  <c r="AQ807" i="9"/>
  <c r="AP807" i="9"/>
  <c r="AO807" i="9"/>
  <c r="AN807" i="9"/>
  <c r="AM807" i="9"/>
  <c r="AL807" i="9"/>
  <c r="AK807" i="9"/>
  <c r="AJ807" i="9"/>
  <c r="AI807" i="9"/>
  <c r="AH807" i="9"/>
  <c r="AG807" i="9"/>
  <c r="AF807" i="9"/>
  <c r="AE807" i="9"/>
  <c r="AD807" i="9"/>
  <c r="AC807" i="9"/>
  <c r="AB807" i="9"/>
  <c r="AA807" i="9"/>
  <c r="Z807" i="9"/>
  <c r="Y807" i="9"/>
  <c r="BK803" i="20"/>
  <c r="BJ803" i="20"/>
  <c r="BI803" i="20"/>
  <c r="BH803" i="20"/>
  <c r="BG803" i="20"/>
  <c r="BF803" i="20"/>
  <c r="BE803" i="20"/>
  <c r="BD803" i="20"/>
  <c r="BC803" i="20"/>
  <c r="BB803" i="20"/>
  <c r="BA803" i="20"/>
  <c r="AZ803" i="20"/>
  <c r="AY803" i="20"/>
  <c r="AX803" i="20"/>
  <c r="AW803" i="20"/>
  <c r="AV803" i="20"/>
  <c r="AU803" i="20"/>
  <c r="AT803" i="20"/>
  <c r="AS803" i="20"/>
  <c r="AR803" i="20"/>
  <c r="AQ803" i="20"/>
  <c r="AP803" i="20"/>
  <c r="AO803" i="20"/>
  <c r="AN803" i="20"/>
  <c r="AM803" i="20"/>
  <c r="AL803" i="20"/>
  <c r="AK803" i="20"/>
  <c r="AJ803" i="20"/>
  <c r="AI803" i="20"/>
  <c r="AH803" i="20"/>
  <c r="AG803" i="20"/>
  <c r="AF803" i="20"/>
  <c r="AE803" i="20"/>
  <c r="AD803" i="20"/>
  <c r="AC803" i="20"/>
  <c r="AB803" i="20"/>
  <c r="AA803" i="20"/>
  <c r="Z803" i="20"/>
  <c r="Y803" i="20"/>
  <c r="BK802" i="20"/>
  <c r="BJ802" i="20"/>
  <c r="BI802" i="20"/>
  <c r="BH802" i="20"/>
  <c r="BG802" i="20"/>
  <c r="BF802" i="20"/>
  <c r="BE802" i="20"/>
  <c r="BD802" i="20"/>
  <c r="BC802" i="20"/>
  <c r="BB802" i="20"/>
  <c r="BA802" i="20"/>
  <c r="AZ802" i="20"/>
  <c r="AY802" i="20"/>
  <c r="AX802" i="20"/>
  <c r="AW802" i="20"/>
  <c r="AV802" i="20"/>
  <c r="AU802" i="20"/>
  <c r="AT802" i="20"/>
  <c r="AS802" i="20"/>
  <c r="AR802" i="20"/>
  <c r="AQ802" i="20"/>
  <c r="AP802" i="20"/>
  <c r="AO802" i="20"/>
  <c r="AN802" i="20"/>
  <c r="AM802" i="20"/>
  <c r="AL802" i="20"/>
  <c r="AK802" i="20"/>
  <c r="AK804" i="20" s="1"/>
  <c r="AJ802" i="20"/>
  <c r="AI802" i="20"/>
  <c r="AH802" i="20"/>
  <c r="AG802" i="20"/>
  <c r="AF802" i="20"/>
  <c r="AE802" i="20"/>
  <c r="AD802" i="20"/>
  <c r="AC802" i="20"/>
  <c r="AB802" i="20"/>
  <c r="AA802" i="20"/>
  <c r="Z802" i="20"/>
  <c r="Y802" i="20"/>
  <c r="BK802" i="8"/>
  <c r="BJ802" i="8"/>
  <c r="BI802" i="8"/>
  <c r="BH802" i="8"/>
  <c r="BG802" i="8"/>
  <c r="BF802" i="8"/>
  <c r="BE802" i="8"/>
  <c r="BD802" i="8"/>
  <c r="BC802" i="8"/>
  <c r="BB802" i="8"/>
  <c r="BA802" i="8"/>
  <c r="AZ802" i="8"/>
  <c r="AY802" i="8"/>
  <c r="AX802" i="8"/>
  <c r="AW802" i="8"/>
  <c r="AV802" i="8"/>
  <c r="AU802" i="8"/>
  <c r="AT802" i="8"/>
  <c r="AS802" i="8"/>
  <c r="AR802" i="8"/>
  <c r="AQ802" i="8"/>
  <c r="AP802" i="8"/>
  <c r="AO802" i="8"/>
  <c r="AN802" i="8"/>
  <c r="AM802" i="8"/>
  <c r="AL802" i="8"/>
  <c r="AK802" i="8"/>
  <c r="AJ802" i="8"/>
  <c r="AI802" i="8"/>
  <c r="AH802" i="8"/>
  <c r="AG802" i="8"/>
  <c r="AF802" i="8"/>
  <c r="AE802" i="8"/>
  <c r="AD802" i="8"/>
  <c r="AC802" i="8"/>
  <c r="AB802" i="8"/>
  <c r="AA802" i="8"/>
  <c r="Z802" i="8"/>
  <c r="Y802" i="8"/>
  <c r="BK804" i="9"/>
  <c r="BJ804" i="9"/>
  <c r="BI804" i="9"/>
  <c r="BH804" i="9"/>
  <c r="BG804" i="9"/>
  <c r="BF804" i="9"/>
  <c r="BE804" i="9"/>
  <c r="BD804" i="9"/>
  <c r="BC804" i="9"/>
  <c r="BB804" i="9"/>
  <c r="BA804" i="9"/>
  <c r="AZ804" i="9"/>
  <c r="AY804" i="9"/>
  <c r="AX804" i="9"/>
  <c r="AW804" i="9"/>
  <c r="AV804" i="9"/>
  <c r="AU804" i="9"/>
  <c r="AT804" i="9"/>
  <c r="AS804" i="9"/>
  <c r="AR804" i="9"/>
  <c r="AQ804" i="9"/>
  <c r="AP804" i="9"/>
  <c r="AO804" i="9"/>
  <c r="AN804" i="9"/>
  <c r="AM804" i="9"/>
  <c r="AL804" i="9"/>
  <c r="AK804" i="9"/>
  <c r="AJ804" i="9"/>
  <c r="AI804" i="9"/>
  <c r="AH804" i="9"/>
  <c r="AG804" i="9"/>
  <c r="AF804" i="9"/>
  <c r="AE804" i="9"/>
  <c r="AD804" i="9"/>
  <c r="AC804" i="9"/>
  <c r="AB804" i="9"/>
  <c r="AA804" i="9"/>
  <c r="Z804" i="9"/>
  <c r="Y804" i="9"/>
  <c r="BK800" i="20"/>
  <c r="BJ800" i="20"/>
  <c r="BI800" i="20"/>
  <c r="BH800" i="20"/>
  <c r="BG800" i="20"/>
  <c r="BF800" i="20"/>
  <c r="BE800" i="20"/>
  <c r="BD800" i="20"/>
  <c r="BC800" i="20"/>
  <c r="BB800" i="20"/>
  <c r="BA800" i="20"/>
  <c r="AZ800" i="20"/>
  <c r="AY800" i="20"/>
  <c r="AY801" i="20" s="1"/>
  <c r="AX800" i="20"/>
  <c r="AW800" i="20"/>
  <c r="AV800" i="20"/>
  <c r="AU800" i="20"/>
  <c r="AT800" i="20"/>
  <c r="AS800" i="20"/>
  <c r="AR800" i="20"/>
  <c r="AQ800" i="20"/>
  <c r="AP800" i="20"/>
  <c r="AO800" i="20"/>
  <c r="AN800" i="20"/>
  <c r="AM800" i="20"/>
  <c r="AL800" i="20"/>
  <c r="AK800" i="20"/>
  <c r="AK801" i="20"/>
  <c r="AJ800" i="20"/>
  <c r="AI800" i="20"/>
  <c r="AH800" i="20"/>
  <c r="AG800" i="20"/>
  <c r="AF800" i="20"/>
  <c r="AE800" i="20"/>
  <c r="AD800" i="20"/>
  <c r="AC800" i="20"/>
  <c r="AB800" i="20"/>
  <c r="AA800" i="20"/>
  <c r="Z800" i="20"/>
  <c r="Y800" i="20"/>
  <c r="BK799" i="20"/>
  <c r="BJ799" i="20"/>
  <c r="BI799" i="20"/>
  <c r="BI801" i="20" s="1"/>
  <c r="BH799" i="20"/>
  <c r="BH801" i="20" s="1"/>
  <c r="BG799" i="20"/>
  <c r="BF799" i="20"/>
  <c r="BE799" i="20"/>
  <c r="BD799" i="20"/>
  <c r="BC799" i="20"/>
  <c r="BB799" i="20"/>
  <c r="BA799" i="20"/>
  <c r="AZ799" i="20"/>
  <c r="AY799" i="20"/>
  <c r="AX799" i="20"/>
  <c r="AW799" i="20"/>
  <c r="AW801" i="20" s="1"/>
  <c r="AV799" i="20"/>
  <c r="AU799" i="20"/>
  <c r="AT799" i="20"/>
  <c r="AS799" i="20"/>
  <c r="AS801" i="20" s="1"/>
  <c r="AR799" i="20"/>
  <c r="AR801" i="20" s="1"/>
  <c r="AQ799" i="20"/>
  <c r="AP799" i="20"/>
  <c r="AO799" i="20"/>
  <c r="AN799" i="20"/>
  <c r="AM799" i="20"/>
  <c r="AL799" i="20"/>
  <c r="AK799" i="20"/>
  <c r="AJ799" i="20"/>
  <c r="AI799" i="20"/>
  <c r="AH799" i="20"/>
  <c r="AG799" i="20"/>
  <c r="AF799" i="20"/>
  <c r="AE799" i="20"/>
  <c r="AD799" i="20"/>
  <c r="AC799" i="20"/>
  <c r="AC801" i="20" s="1"/>
  <c r="AB799" i="20"/>
  <c r="AA799" i="20"/>
  <c r="Z799" i="20"/>
  <c r="Y799" i="20"/>
  <c r="BK799" i="8"/>
  <c r="BJ799" i="8"/>
  <c r="BI799" i="8"/>
  <c r="BH799" i="8"/>
  <c r="BG799" i="8"/>
  <c r="BF799" i="8"/>
  <c r="BE799" i="8"/>
  <c r="BD799" i="8"/>
  <c r="BC799" i="8"/>
  <c r="BB799" i="8"/>
  <c r="BA799" i="8"/>
  <c r="AX9" i="22" s="1"/>
  <c r="AZ799" i="8"/>
  <c r="AY799" i="8"/>
  <c r="AX799" i="8"/>
  <c r="AW799" i="8"/>
  <c r="AV799" i="8"/>
  <c r="AU799" i="8"/>
  <c r="AT799" i="8"/>
  <c r="AS799" i="8"/>
  <c r="AR799" i="8"/>
  <c r="AQ799" i="8"/>
  <c r="AP799" i="8"/>
  <c r="AO799" i="8"/>
  <c r="AN799" i="8"/>
  <c r="AM799" i="8"/>
  <c r="AL799" i="8"/>
  <c r="AK799" i="8"/>
  <c r="AJ799" i="8"/>
  <c r="AI799" i="8"/>
  <c r="AH799" i="8"/>
  <c r="AG799" i="8"/>
  <c r="AF799" i="8"/>
  <c r="AE799" i="8"/>
  <c r="AD799" i="8"/>
  <c r="AC799" i="8"/>
  <c r="AB799" i="8"/>
  <c r="AA799" i="8"/>
  <c r="Z799" i="8"/>
  <c r="Y799" i="8"/>
  <c r="BK801" i="9"/>
  <c r="BJ801" i="9"/>
  <c r="BI801" i="9"/>
  <c r="BH801" i="9"/>
  <c r="BG801" i="9"/>
  <c r="BF801" i="9"/>
  <c r="BE801" i="9"/>
  <c r="BD801" i="9"/>
  <c r="BC801" i="9"/>
  <c r="BB801" i="9"/>
  <c r="BA801" i="9"/>
  <c r="AZ801" i="9"/>
  <c r="AY801" i="9"/>
  <c r="AX801" i="9"/>
  <c r="AW801" i="9"/>
  <c r="AV801" i="9"/>
  <c r="AU801" i="9"/>
  <c r="AT801" i="9"/>
  <c r="AS801" i="9"/>
  <c r="AR801" i="9"/>
  <c r="AQ801" i="9"/>
  <c r="AP801" i="9"/>
  <c r="AO801" i="9"/>
  <c r="AN801" i="9"/>
  <c r="AM801" i="9"/>
  <c r="AL801" i="9"/>
  <c r="AK801" i="9"/>
  <c r="AJ801" i="9"/>
  <c r="AI801" i="9"/>
  <c r="AH801" i="9"/>
  <c r="AG801" i="9"/>
  <c r="AF801" i="9"/>
  <c r="AE801" i="9"/>
  <c r="AD801" i="9"/>
  <c r="AC801" i="9"/>
  <c r="AB801" i="9"/>
  <c r="AA801" i="9"/>
  <c r="Z801" i="9"/>
  <c r="Y801" i="9"/>
  <c r="BK797" i="20"/>
  <c r="BJ797" i="20"/>
  <c r="BI797" i="20"/>
  <c r="BH797" i="20"/>
  <c r="BG797" i="20"/>
  <c r="BF797" i="20"/>
  <c r="BE797" i="20"/>
  <c r="BD797" i="20"/>
  <c r="BC797" i="20"/>
  <c r="BB797" i="20"/>
  <c r="BA797" i="20"/>
  <c r="AZ797" i="20"/>
  <c r="AY797" i="20"/>
  <c r="AY798" i="20" s="1"/>
  <c r="AX797" i="20"/>
  <c r="AX798" i="20" s="1"/>
  <c r="AW797" i="20"/>
  <c r="AV797" i="20"/>
  <c r="AU797" i="20"/>
  <c r="AT797" i="20"/>
  <c r="AS797" i="20"/>
  <c r="AR797" i="20"/>
  <c r="AQ797" i="20"/>
  <c r="AP797" i="20"/>
  <c r="AO797" i="20"/>
  <c r="AN797" i="20"/>
  <c r="AM797" i="20"/>
  <c r="AL797" i="20"/>
  <c r="AK797" i="20"/>
  <c r="AJ797" i="20"/>
  <c r="AI797" i="20"/>
  <c r="AI798" i="20" s="1"/>
  <c r="AH797" i="20"/>
  <c r="AG797" i="20"/>
  <c r="AF797" i="20"/>
  <c r="AE797" i="20"/>
  <c r="AD797" i="20"/>
  <c r="AC797" i="20"/>
  <c r="AB797" i="20"/>
  <c r="AA797" i="20"/>
  <c r="Z797" i="20"/>
  <c r="Y797" i="20"/>
  <c r="BK796" i="20"/>
  <c r="BJ796" i="20"/>
  <c r="BI796" i="20"/>
  <c r="BI798" i="20" s="1"/>
  <c r="BH796" i="20"/>
  <c r="BG796" i="20"/>
  <c r="BG798" i="20" s="1"/>
  <c r="BF796" i="20"/>
  <c r="BE796" i="20"/>
  <c r="BD796" i="20"/>
  <c r="BC796" i="20"/>
  <c r="BB796" i="20"/>
  <c r="BA796" i="20"/>
  <c r="AZ796" i="20"/>
  <c r="AY796" i="20"/>
  <c r="AX796" i="20"/>
  <c r="AW796" i="20"/>
  <c r="AV796" i="20"/>
  <c r="AU796" i="20"/>
  <c r="AT796" i="20"/>
  <c r="AS796" i="20"/>
  <c r="AR796" i="20"/>
  <c r="AR798" i="20" s="1"/>
  <c r="AQ796" i="20"/>
  <c r="AP796" i="20"/>
  <c r="AO796" i="20"/>
  <c r="AN796" i="20"/>
  <c r="AM796" i="20"/>
  <c r="AL796" i="20"/>
  <c r="AK796" i="20"/>
  <c r="AJ796" i="20"/>
  <c r="AI796" i="20"/>
  <c r="AH796" i="20"/>
  <c r="AG796" i="20"/>
  <c r="AF796" i="20"/>
  <c r="AE796" i="20"/>
  <c r="AD796" i="20"/>
  <c r="AC796" i="20"/>
  <c r="AB796" i="20"/>
  <c r="AA796" i="20"/>
  <c r="Z796" i="20"/>
  <c r="Y796" i="20"/>
  <c r="Y798" i="20" s="1"/>
  <c r="BK796" i="8"/>
  <c r="BJ796" i="8"/>
  <c r="BI796" i="8"/>
  <c r="BH796" i="8"/>
  <c r="BG796" i="8"/>
  <c r="BF796" i="8"/>
  <c r="BE796" i="8"/>
  <c r="BD796" i="8"/>
  <c r="BC796" i="8"/>
  <c r="BB796" i="8"/>
  <c r="BA796" i="8"/>
  <c r="AZ796" i="8"/>
  <c r="AY796" i="8"/>
  <c r="AX796" i="8"/>
  <c r="AW796" i="8"/>
  <c r="AV796" i="8"/>
  <c r="AU796" i="8"/>
  <c r="AT796" i="8"/>
  <c r="AS796" i="8"/>
  <c r="AR796" i="8"/>
  <c r="AQ796" i="8"/>
  <c r="AP796" i="8"/>
  <c r="AO796" i="8"/>
  <c r="AN796" i="8"/>
  <c r="AM796" i="8"/>
  <c r="AL796" i="8"/>
  <c r="AK796" i="8"/>
  <c r="AJ796" i="8"/>
  <c r="AI796" i="8"/>
  <c r="AH796" i="8"/>
  <c r="AG796" i="8"/>
  <c r="AF796" i="8"/>
  <c r="AE796" i="8"/>
  <c r="AD796" i="8"/>
  <c r="AC796" i="8"/>
  <c r="AB796" i="8"/>
  <c r="AA796" i="8"/>
  <c r="Z796" i="8"/>
  <c r="Y796" i="8"/>
  <c r="BK798" i="9"/>
  <c r="BJ798" i="9"/>
  <c r="BI798" i="9"/>
  <c r="BH798" i="9"/>
  <c r="BG798" i="9"/>
  <c r="BF798" i="9"/>
  <c r="BE798" i="9"/>
  <c r="BD798" i="9"/>
  <c r="BC798" i="9"/>
  <c r="BB798" i="9"/>
  <c r="BA798" i="9"/>
  <c r="AZ798" i="9"/>
  <c r="AY798" i="9"/>
  <c r="AX798" i="9"/>
  <c r="AW798" i="9"/>
  <c r="AV798" i="9"/>
  <c r="AU798" i="9"/>
  <c r="AT798" i="9"/>
  <c r="AS798" i="9"/>
  <c r="AR798" i="9"/>
  <c r="AQ798" i="9"/>
  <c r="AP798" i="9"/>
  <c r="AO798" i="9"/>
  <c r="AN798" i="9"/>
  <c r="AM798" i="9"/>
  <c r="AL798" i="9"/>
  <c r="AK798" i="9"/>
  <c r="AJ798" i="9"/>
  <c r="AI798" i="9"/>
  <c r="AH798" i="9"/>
  <c r="AG798" i="9"/>
  <c r="AF798" i="9"/>
  <c r="AE798" i="9"/>
  <c r="AD798" i="9"/>
  <c r="AC798" i="9"/>
  <c r="AB798" i="9"/>
  <c r="AA798" i="9"/>
  <c r="Z798" i="9"/>
  <c r="Y798" i="9"/>
  <c r="BK794" i="20"/>
  <c r="BJ794" i="20"/>
  <c r="BI794" i="20"/>
  <c r="BH794" i="20"/>
  <c r="BG794" i="20"/>
  <c r="BF794" i="20"/>
  <c r="BE794" i="20"/>
  <c r="BD794" i="20"/>
  <c r="BC794" i="20"/>
  <c r="BB794" i="20"/>
  <c r="BA794" i="20"/>
  <c r="AZ794" i="20"/>
  <c r="AY794" i="20"/>
  <c r="AX794" i="20"/>
  <c r="AW794" i="20"/>
  <c r="AW795" i="20" s="1"/>
  <c r="AV794" i="20"/>
  <c r="AU794" i="20"/>
  <c r="AT794" i="20"/>
  <c r="AS794" i="20"/>
  <c r="AR794" i="20"/>
  <c r="AQ794" i="20"/>
  <c r="AP794" i="20"/>
  <c r="AO794" i="20"/>
  <c r="AN794" i="20"/>
  <c r="AM794" i="20"/>
  <c r="AL794" i="20"/>
  <c r="AK794" i="20"/>
  <c r="AJ794" i="20"/>
  <c r="AI794" i="20"/>
  <c r="AI795" i="20" s="1"/>
  <c r="AH794" i="20"/>
  <c r="AG794" i="20"/>
  <c r="AF794" i="20"/>
  <c r="AE794" i="20"/>
  <c r="AD794" i="20"/>
  <c r="AC794" i="20"/>
  <c r="AB794" i="20"/>
  <c r="AA794" i="20"/>
  <c r="Z794" i="20"/>
  <c r="Y794" i="20"/>
  <c r="X794" i="20"/>
  <c r="BK793" i="20"/>
  <c r="BJ793" i="20"/>
  <c r="BI793" i="20"/>
  <c r="BH793" i="20"/>
  <c r="BG793" i="20"/>
  <c r="BG795" i="20" s="1"/>
  <c r="BF793" i="20"/>
  <c r="BE793" i="20"/>
  <c r="BD793" i="20"/>
  <c r="BC793" i="20"/>
  <c r="BB793" i="20"/>
  <c r="BA793" i="20"/>
  <c r="AZ793" i="20"/>
  <c r="AY793" i="20"/>
  <c r="AX793" i="20"/>
  <c r="AW793" i="20"/>
  <c r="AV793" i="20"/>
  <c r="AU793" i="20"/>
  <c r="AT793" i="20"/>
  <c r="AS793" i="20"/>
  <c r="AR793" i="20"/>
  <c r="AQ793" i="20"/>
  <c r="AQ795" i="20" s="1"/>
  <c r="AP793" i="20"/>
  <c r="AO793" i="20"/>
  <c r="AO795" i="20"/>
  <c r="AN793" i="20"/>
  <c r="AM793" i="20"/>
  <c r="AL793" i="20"/>
  <c r="AK793" i="20"/>
  <c r="AJ793" i="20"/>
  <c r="AI793" i="20"/>
  <c r="AH793" i="20"/>
  <c r="AG793" i="20"/>
  <c r="AF793" i="20"/>
  <c r="AE793" i="20"/>
  <c r="AD793" i="20"/>
  <c r="AC793" i="20"/>
  <c r="AB793" i="20"/>
  <c r="AA793" i="20"/>
  <c r="Z793" i="20"/>
  <c r="Y793" i="20"/>
  <c r="Y795" i="20" s="1"/>
  <c r="X793" i="20"/>
  <c r="BK793" i="8"/>
  <c r="BJ793" i="8"/>
  <c r="BI793" i="8"/>
  <c r="BH793" i="8"/>
  <c r="BG793" i="8"/>
  <c r="BF793" i="8"/>
  <c r="BE793" i="8"/>
  <c r="BD793" i="8"/>
  <c r="BC793" i="8"/>
  <c r="BB793" i="8"/>
  <c r="BA793" i="8"/>
  <c r="AZ793" i="8"/>
  <c r="AY793" i="8"/>
  <c r="AX793" i="8"/>
  <c r="AW793" i="8"/>
  <c r="AV793" i="8"/>
  <c r="AU793" i="8"/>
  <c r="AT793" i="8"/>
  <c r="AS793" i="8"/>
  <c r="AR793" i="8"/>
  <c r="AQ793" i="8"/>
  <c r="AP793" i="8"/>
  <c r="AO793" i="8"/>
  <c r="AN793" i="8"/>
  <c r="AM793" i="8"/>
  <c r="AL793" i="8"/>
  <c r="AK793" i="8"/>
  <c r="AJ793" i="8"/>
  <c r="AI793" i="8"/>
  <c r="AH793" i="8"/>
  <c r="AG793" i="8"/>
  <c r="AF793" i="8"/>
  <c r="AE793" i="8"/>
  <c r="AD793" i="8"/>
  <c r="AC793" i="8"/>
  <c r="AB793" i="8"/>
  <c r="AA793" i="8"/>
  <c r="Z793" i="8"/>
  <c r="Y793" i="8"/>
  <c r="X793" i="8"/>
  <c r="BK795" i="9"/>
  <c r="BJ795" i="9"/>
  <c r="BI795" i="9"/>
  <c r="BH795" i="9"/>
  <c r="BG795" i="9"/>
  <c r="BF795" i="9"/>
  <c r="BE795" i="9"/>
  <c r="BD795" i="9"/>
  <c r="BC795" i="9"/>
  <c r="BB795" i="9"/>
  <c r="BA795" i="9"/>
  <c r="AZ795" i="9"/>
  <c r="AY795" i="9"/>
  <c r="AX795" i="9"/>
  <c r="AW795" i="9"/>
  <c r="AV795" i="9"/>
  <c r="AU795" i="9"/>
  <c r="AT795" i="9"/>
  <c r="AS795" i="9"/>
  <c r="AR795" i="9"/>
  <c r="AQ795" i="9"/>
  <c r="AP795" i="9"/>
  <c r="AO795" i="9"/>
  <c r="AN795" i="9"/>
  <c r="AM795" i="9"/>
  <c r="AL795" i="9"/>
  <c r="AK795" i="9"/>
  <c r="AJ795" i="9"/>
  <c r="AI795" i="9"/>
  <c r="AH795" i="9"/>
  <c r="AG795" i="9"/>
  <c r="AF795" i="9"/>
  <c r="AE795" i="9"/>
  <c r="AD795" i="9"/>
  <c r="AC795" i="9"/>
  <c r="AB795" i="9"/>
  <c r="AA795" i="9"/>
  <c r="Z795" i="9"/>
  <c r="Y795" i="9"/>
  <c r="X795" i="9"/>
  <c r="BK791" i="20"/>
  <c r="BJ791" i="20"/>
  <c r="BI791" i="20"/>
  <c r="BH791" i="20"/>
  <c r="BG791" i="20"/>
  <c r="BF791" i="20"/>
  <c r="BE791" i="20"/>
  <c r="BD791" i="20"/>
  <c r="BC791" i="20"/>
  <c r="BB791" i="20"/>
  <c r="BA791" i="20"/>
  <c r="AZ791" i="20"/>
  <c r="AY791" i="20"/>
  <c r="AX791" i="20"/>
  <c r="AW791" i="20"/>
  <c r="AV791" i="20"/>
  <c r="AU791" i="20"/>
  <c r="AT791" i="20"/>
  <c r="AS791" i="20"/>
  <c r="AR791" i="20"/>
  <c r="AQ791" i="20"/>
  <c r="AP791" i="20"/>
  <c r="AO791" i="20"/>
  <c r="AN791" i="20"/>
  <c r="AM791" i="20"/>
  <c r="AL791" i="20"/>
  <c r="AK791" i="20"/>
  <c r="AK792" i="20" s="1"/>
  <c r="AJ791" i="20"/>
  <c r="AI791" i="20"/>
  <c r="AH791" i="20"/>
  <c r="AG791" i="20"/>
  <c r="AF791" i="20"/>
  <c r="AE791" i="20"/>
  <c r="AD791" i="20"/>
  <c r="AC791" i="20"/>
  <c r="AB791" i="20"/>
  <c r="AA791" i="20"/>
  <c r="Z791" i="20"/>
  <c r="Y791" i="20"/>
  <c r="X791" i="20"/>
  <c r="BK790" i="20"/>
  <c r="BJ790" i="20"/>
  <c r="BI790" i="20"/>
  <c r="BH790" i="20"/>
  <c r="BG790" i="20"/>
  <c r="BF790" i="20"/>
  <c r="BE790" i="20"/>
  <c r="BE792" i="20" s="1"/>
  <c r="BD790" i="20"/>
  <c r="BC790" i="20"/>
  <c r="BB790" i="20"/>
  <c r="BA790" i="20"/>
  <c r="AZ790" i="20"/>
  <c r="AY790" i="20"/>
  <c r="AX790" i="20"/>
  <c r="AW790" i="20"/>
  <c r="AV790" i="20"/>
  <c r="AU790" i="20"/>
  <c r="AT790" i="20"/>
  <c r="AS790" i="20"/>
  <c r="AS792" i="20" s="1"/>
  <c r="AR790" i="20"/>
  <c r="AQ790" i="20"/>
  <c r="AP790" i="20"/>
  <c r="AO790" i="20"/>
  <c r="AO792" i="20" s="1"/>
  <c r="AN790" i="20"/>
  <c r="AM790" i="20"/>
  <c r="AL790" i="20"/>
  <c r="AK790" i="20"/>
  <c r="AJ790" i="20"/>
  <c r="AI790" i="20"/>
  <c r="AH790" i="20"/>
  <c r="AG790" i="20"/>
  <c r="AF790" i="20"/>
  <c r="AE790" i="20"/>
  <c r="AD790" i="20"/>
  <c r="AC790" i="20"/>
  <c r="AB790" i="20"/>
  <c r="AA790" i="20"/>
  <c r="Z790" i="20"/>
  <c r="Y790" i="20"/>
  <c r="X790" i="20"/>
  <c r="BK790" i="8"/>
  <c r="BJ790" i="8"/>
  <c r="BI790" i="8"/>
  <c r="BH790" i="8"/>
  <c r="BG790" i="8"/>
  <c r="BF790" i="8"/>
  <c r="BE790" i="8"/>
  <c r="BD790" i="8"/>
  <c r="BC790" i="8"/>
  <c r="BB790" i="8"/>
  <c r="BA790" i="8"/>
  <c r="AZ790" i="8"/>
  <c r="AY790" i="8"/>
  <c r="AX790" i="8"/>
  <c r="AW790" i="8"/>
  <c r="AV790" i="8"/>
  <c r="AU790" i="8"/>
  <c r="AT790" i="8"/>
  <c r="AS790" i="8"/>
  <c r="AR790" i="8"/>
  <c r="AQ790" i="8"/>
  <c r="AP790" i="8"/>
  <c r="AO790" i="8"/>
  <c r="AN790" i="8"/>
  <c r="AM790" i="8"/>
  <c r="AL790" i="8"/>
  <c r="AK790" i="8"/>
  <c r="AJ790" i="8"/>
  <c r="AI790" i="8"/>
  <c r="AH790" i="8"/>
  <c r="AG790" i="8"/>
  <c r="AF790" i="8"/>
  <c r="AE790" i="8"/>
  <c r="AD790" i="8"/>
  <c r="AC790" i="8"/>
  <c r="AB790" i="8"/>
  <c r="AA790" i="8"/>
  <c r="Z790" i="8"/>
  <c r="Y790" i="8"/>
  <c r="X790" i="8"/>
  <c r="BK792" i="9"/>
  <c r="BJ792" i="9"/>
  <c r="BI792" i="9"/>
  <c r="BH792" i="9"/>
  <c r="BG792" i="9"/>
  <c r="BF792" i="9"/>
  <c r="BE792" i="9"/>
  <c r="BD792" i="9"/>
  <c r="BC792" i="9"/>
  <c r="BB792" i="9"/>
  <c r="BA792" i="9"/>
  <c r="AZ792" i="9"/>
  <c r="AY792" i="9"/>
  <c r="AX792" i="9"/>
  <c r="AW792" i="9"/>
  <c r="AV792" i="9"/>
  <c r="AU792" i="9"/>
  <c r="AT792" i="9"/>
  <c r="AS792" i="9"/>
  <c r="AR792" i="9"/>
  <c r="AQ792" i="9"/>
  <c r="AP792" i="9"/>
  <c r="AO792" i="9"/>
  <c r="AN792" i="9"/>
  <c r="AM792" i="9"/>
  <c r="AL792" i="9"/>
  <c r="AK792" i="9"/>
  <c r="AJ792" i="9"/>
  <c r="AI792" i="9"/>
  <c r="AH792" i="9"/>
  <c r="AG792" i="9"/>
  <c r="AF792" i="9"/>
  <c r="AE792" i="9"/>
  <c r="AD792" i="9"/>
  <c r="AC792" i="9"/>
  <c r="AB792" i="9"/>
  <c r="AA792" i="9"/>
  <c r="Z792" i="9"/>
  <c r="Y792" i="9"/>
  <c r="X792" i="9"/>
  <c r="BK788" i="20"/>
  <c r="BJ788" i="20"/>
  <c r="BI788" i="20"/>
  <c r="BH788" i="20"/>
  <c r="BG788" i="20"/>
  <c r="BF788" i="20"/>
  <c r="BE788" i="20"/>
  <c r="BD788" i="20"/>
  <c r="BC788" i="20"/>
  <c r="BB788" i="20"/>
  <c r="BA788" i="20"/>
  <c r="AZ788" i="20"/>
  <c r="AY788" i="20"/>
  <c r="AX788" i="20"/>
  <c r="AW788" i="20"/>
  <c r="AV788" i="20"/>
  <c r="AU788" i="20"/>
  <c r="AT788" i="20"/>
  <c r="AS788" i="20"/>
  <c r="AR788" i="20"/>
  <c r="AQ788" i="20"/>
  <c r="AP788" i="20"/>
  <c r="AO788" i="20"/>
  <c r="AN788" i="20"/>
  <c r="AM788" i="20"/>
  <c r="AL788" i="20"/>
  <c r="AK788" i="20"/>
  <c r="AJ788" i="20"/>
  <c r="AI788" i="20"/>
  <c r="AH788" i="20"/>
  <c r="AG788" i="20"/>
  <c r="AF788" i="20"/>
  <c r="AE788" i="20"/>
  <c r="AD788" i="20"/>
  <c r="AC788" i="20"/>
  <c r="AB788" i="20"/>
  <c r="AA788" i="20"/>
  <c r="Z788" i="20"/>
  <c r="Y788" i="20"/>
  <c r="X788" i="20"/>
  <c r="BK787" i="20"/>
  <c r="BJ787" i="20"/>
  <c r="BI787" i="20"/>
  <c r="BH787" i="20"/>
  <c r="BG787" i="20"/>
  <c r="BF787" i="20"/>
  <c r="BE787" i="20"/>
  <c r="BD787" i="20"/>
  <c r="BC787" i="20"/>
  <c r="BB787" i="20"/>
  <c r="BA787" i="20"/>
  <c r="AZ787" i="20"/>
  <c r="AY787" i="20"/>
  <c r="AX787" i="20"/>
  <c r="AW787" i="20"/>
  <c r="AV787" i="20"/>
  <c r="AU787" i="20"/>
  <c r="AT787" i="20"/>
  <c r="AS787" i="20"/>
  <c r="AS789" i="20" s="1"/>
  <c r="AR787" i="20"/>
  <c r="AQ787" i="20"/>
  <c r="AP787" i="20"/>
  <c r="AO787" i="20"/>
  <c r="AN787" i="20"/>
  <c r="AM787" i="20"/>
  <c r="AM789" i="20" s="1"/>
  <c r="AL787" i="20"/>
  <c r="AK787" i="20"/>
  <c r="AJ787" i="20"/>
  <c r="AI787" i="20"/>
  <c r="AH787" i="20"/>
  <c r="AG787" i="20"/>
  <c r="AF787" i="20"/>
  <c r="AE787" i="20"/>
  <c r="AD787" i="20"/>
  <c r="AC787" i="20"/>
  <c r="AB787" i="20"/>
  <c r="AA787" i="20"/>
  <c r="Z787" i="20"/>
  <c r="Y787" i="20"/>
  <c r="X787" i="20"/>
  <c r="BK787" i="8"/>
  <c r="BJ787" i="8"/>
  <c r="BI787" i="8"/>
  <c r="BH787" i="8"/>
  <c r="BG787" i="8"/>
  <c r="BF787" i="8"/>
  <c r="BE787" i="8"/>
  <c r="BD787" i="8"/>
  <c r="BC787" i="8"/>
  <c r="BB787" i="8"/>
  <c r="BA787" i="8"/>
  <c r="AZ787" i="8"/>
  <c r="AY787" i="8"/>
  <c r="AX787" i="8"/>
  <c r="AW787" i="8"/>
  <c r="AV787" i="8"/>
  <c r="AU787" i="8"/>
  <c r="AT787" i="8"/>
  <c r="AS787" i="8"/>
  <c r="AR787" i="8"/>
  <c r="AQ787" i="8"/>
  <c r="AP787" i="8"/>
  <c r="AO787" i="8"/>
  <c r="AN787" i="8"/>
  <c r="AM787" i="8"/>
  <c r="AL787" i="8"/>
  <c r="AK787" i="8"/>
  <c r="AJ787" i="8"/>
  <c r="AI787" i="8"/>
  <c r="AH787" i="8"/>
  <c r="AG787" i="8"/>
  <c r="AF787" i="8"/>
  <c r="AE787" i="8"/>
  <c r="AD787" i="8"/>
  <c r="AC787" i="8"/>
  <c r="AB787" i="8"/>
  <c r="AA787" i="8"/>
  <c r="Z787" i="8"/>
  <c r="Y787" i="8"/>
  <c r="X787" i="8"/>
  <c r="BK789" i="9"/>
  <c r="BJ789" i="9"/>
  <c r="BI789" i="9"/>
  <c r="BH789" i="9"/>
  <c r="BG789" i="9"/>
  <c r="BF789" i="9"/>
  <c r="BE789" i="9"/>
  <c r="BD789" i="9"/>
  <c r="BC789" i="9"/>
  <c r="BB789" i="9"/>
  <c r="BA789" i="9"/>
  <c r="AZ789" i="9"/>
  <c r="AY789" i="9"/>
  <c r="AX789" i="9"/>
  <c r="AW789" i="9"/>
  <c r="AV789" i="9"/>
  <c r="AU789" i="9"/>
  <c r="AT789" i="9"/>
  <c r="AS789" i="9"/>
  <c r="AR789" i="9"/>
  <c r="AQ789" i="9"/>
  <c r="AP789" i="9"/>
  <c r="AO789" i="9"/>
  <c r="AN789" i="9"/>
  <c r="AM789" i="9"/>
  <c r="AL789" i="9"/>
  <c r="AK789" i="9"/>
  <c r="AJ789" i="9"/>
  <c r="AI789" i="9"/>
  <c r="AH789" i="9"/>
  <c r="AG789" i="9"/>
  <c r="AF789" i="9"/>
  <c r="AE789" i="9"/>
  <c r="AD789" i="9"/>
  <c r="AC789" i="9"/>
  <c r="AB789" i="9"/>
  <c r="AA789" i="9"/>
  <c r="Z789" i="9"/>
  <c r="Y789" i="9"/>
  <c r="X789" i="9"/>
  <c r="BK785" i="20"/>
  <c r="BJ785" i="20"/>
  <c r="BI785" i="20"/>
  <c r="BH785" i="20"/>
  <c r="BG785" i="20"/>
  <c r="BF785" i="20"/>
  <c r="BE785" i="20"/>
  <c r="BD785" i="20"/>
  <c r="BC785" i="20"/>
  <c r="BB785" i="20"/>
  <c r="BA785" i="20"/>
  <c r="AZ785" i="20"/>
  <c r="AY785" i="20"/>
  <c r="AX785" i="20"/>
  <c r="AW785" i="20"/>
  <c r="AV785" i="20"/>
  <c r="AU785" i="20"/>
  <c r="AT785" i="20"/>
  <c r="AS785" i="20"/>
  <c r="AR785" i="20"/>
  <c r="AQ785" i="20"/>
  <c r="AP785" i="20"/>
  <c r="AO785" i="20"/>
  <c r="AN785" i="20"/>
  <c r="AM785" i="20"/>
  <c r="AL785" i="20"/>
  <c r="AK785" i="20"/>
  <c r="AJ785" i="20"/>
  <c r="AI785" i="20"/>
  <c r="AI786" i="20" s="1"/>
  <c r="AH785" i="20"/>
  <c r="AG785" i="20"/>
  <c r="AF785" i="20"/>
  <c r="AE785" i="20"/>
  <c r="AD785" i="20"/>
  <c r="AC785" i="20"/>
  <c r="AB785" i="20"/>
  <c r="AA785" i="20"/>
  <c r="Z785" i="20"/>
  <c r="Y785" i="20"/>
  <c r="X785" i="20"/>
  <c r="BK784" i="20"/>
  <c r="BJ784" i="20"/>
  <c r="BI784" i="20"/>
  <c r="BI786" i="20" s="1"/>
  <c r="BH784" i="20"/>
  <c r="BG784" i="20"/>
  <c r="BF784" i="20"/>
  <c r="BE784" i="20"/>
  <c r="BD784" i="20"/>
  <c r="BC784" i="20"/>
  <c r="BB784" i="20"/>
  <c r="BA784" i="20"/>
  <c r="AZ784" i="20"/>
  <c r="AY784" i="20"/>
  <c r="AX784" i="20"/>
  <c r="AW784" i="20"/>
  <c r="AW786" i="20" s="1"/>
  <c r="AV784" i="20"/>
  <c r="AU784" i="20"/>
  <c r="AT784" i="20"/>
  <c r="AS784" i="20"/>
  <c r="AR784" i="20"/>
  <c r="AQ784" i="20"/>
  <c r="AQ786" i="20" s="1"/>
  <c r="AP784" i="20"/>
  <c r="AO784" i="20"/>
  <c r="AO786" i="20" s="1"/>
  <c r="AN784" i="20"/>
  <c r="AM784" i="20"/>
  <c r="AL784" i="20"/>
  <c r="AK784" i="20"/>
  <c r="AJ784" i="20"/>
  <c r="AI784" i="20"/>
  <c r="AH784" i="20"/>
  <c r="AG784" i="20"/>
  <c r="AF784" i="20"/>
  <c r="AE784" i="20"/>
  <c r="AD784" i="20"/>
  <c r="AC784" i="20"/>
  <c r="AC786" i="20"/>
  <c r="AB784" i="20"/>
  <c r="AA784" i="20"/>
  <c r="Z784" i="20"/>
  <c r="Y784" i="20"/>
  <c r="X784" i="20"/>
  <c r="BK784" i="8"/>
  <c r="BJ784" i="8"/>
  <c r="BI784" i="8"/>
  <c r="BH784" i="8"/>
  <c r="BG784" i="8"/>
  <c r="BF784" i="8"/>
  <c r="BE784" i="8"/>
  <c r="BD784" i="8"/>
  <c r="BC784" i="8"/>
  <c r="AZ9" i="22" s="1"/>
  <c r="BB784" i="8"/>
  <c r="BA784" i="8"/>
  <c r="AZ784" i="8"/>
  <c r="AY784" i="8"/>
  <c r="AX784" i="8"/>
  <c r="AW784" i="8"/>
  <c r="AV784" i="8"/>
  <c r="AU784" i="8"/>
  <c r="AT784" i="8"/>
  <c r="AS784" i="8"/>
  <c r="AR784" i="8"/>
  <c r="AQ784" i="8"/>
  <c r="AP784" i="8"/>
  <c r="AO784" i="8"/>
  <c r="AN784" i="8"/>
  <c r="AM784" i="8"/>
  <c r="AL784" i="8"/>
  <c r="AK784" i="8"/>
  <c r="AJ784" i="8"/>
  <c r="AI784" i="8"/>
  <c r="AH784" i="8"/>
  <c r="AG784" i="8"/>
  <c r="AF784" i="8"/>
  <c r="AE784" i="8"/>
  <c r="AD784" i="8"/>
  <c r="AC784" i="8"/>
  <c r="AB784" i="8"/>
  <c r="AA784" i="8"/>
  <c r="Z784" i="8"/>
  <c r="Y784" i="8"/>
  <c r="X784" i="8"/>
  <c r="BK786" i="9"/>
  <c r="BJ786" i="9"/>
  <c r="BI786" i="9"/>
  <c r="BH786" i="9"/>
  <c r="BG786" i="9"/>
  <c r="BF786" i="9"/>
  <c r="BE786" i="9"/>
  <c r="BD786" i="9"/>
  <c r="BC786" i="9"/>
  <c r="BB786" i="9"/>
  <c r="BA786" i="9"/>
  <c r="AZ786" i="9"/>
  <c r="AY786" i="9"/>
  <c r="AX786" i="9"/>
  <c r="AW786" i="9"/>
  <c r="AV786" i="9"/>
  <c r="AU786" i="9"/>
  <c r="AT786" i="9"/>
  <c r="AS786" i="9"/>
  <c r="AR786" i="9"/>
  <c r="AQ786" i="9"/>
  <c r="AP786" i="9"/>
  <c r="AO786" i="9"/>
  <c r="AN786" i="9"/>
  <c r="AM786" i="9"/>
  <c r="AL786" i="9"/>
  <c r="AK786" i="9"/>
  <c r="AJ786" i="9"/>
  <c r="AI786" i="9"/>
  <c r="AH786" i="9"/>
  <c r="AG786" i="9"/>
  <c r="AF786" i="9"/>
  <c r="AE786" i="9"/>
  <c r="AD786" i="9"/>
  <c r="AC786" i="9"/>
  <c r="AB786" i="9"/>
  <c r="AA786" i="9"/>
  <c r="Z786" i="9"/>
  <c r="Y786" i="9"/>
  <c r="X786" i="9"/>
  <c r="Y783" i="9"/>
  <c r="X783" i="9"/>
  <c r="BK782" i="20"/>
  <c r="BJ782" i="20"/>
  <c r="BI782" i="20"/>
  <c r="BH782" i="20"/>
  <c r="BG782" i="20"/>
  <c r="BG783" i="20" s="1"/>
  <c r="BF782" i="20"/>
  <c r="BE782" i="20"/>
  <c r="BD782" i="20"/>
  <c r="BC782" i="20"/>
  <c r="BB782" i="20"/>
  <c r="BA782" i="20"/>
  <c r="AZ782" i="20"/>
  <c r="AY782" i="20"/>
  <c r="AX782" i="20"/>
  <c r="AW782" i="20"/>
  <c r="AV782" i="20"/>
  <c r="AU782" i="20"/>
  <c r="AT782" i="20"/>
  <c r="AS782" i="20"/>
  <c r="AR782" i="20"/>
  <c r="AQ782" i="20"/>
  <c r="AQ783" i="20"/>
  <c r="AP782" i="20"/>
  <c r="AP783" i="20" s="1"/>
  <c r="AO782" i="20"/>
  <c r="AO783" i="20" s="1"/>
  <c r="AN782" i="20"/>
  <c r="AM782" i="20"/>
  <c r="AL782" i="20"/>
  <c r="AK782" i="20"/>
  <c r="AJ782" i="20"/>
  <c r="AI782" i="20"/>
  <c r="AH782" i="20"/>
  <c r="AG782" i="20"/>
  <c r="AF782" i="20"/>
  <c r="AE782" i="20"/>
  <c r="AD782" i="20"/>
  <c r="AC782" i="20"/>
  <c r="AB782" i="20"/>
  <c r="AA782" i="20"/>
  <c r="Z782" i="20"/>
  <c r="Y782" i="20"/>
  <c r="X782" i="20"/>
  <c r="BK781" i="20"/>
  <c r="BJ781" i="20"/>
  <c r="BI781" i="20"/>
  <c r="BH781" i="20"/>
  <c r="BG781" i="20"/>
  <c r="BF781" i="20"/>
  <c r="BE781" i="20"/>
  <c r="BD781" i="20"/>
  <c r="BC781" i="20"/>
  <c r="BB781" i="20"/>
  <c r="BA781" i="20"/>
  <c r="AZ781" i="20"/>
  <c r="AY781" i="20"/>
  <c r="AY783" i="20" s="1"/>
  <c r="AX781" i="20"/>
  <c r="AW781" i="20"/>
  <c r="AV781" i="20"/>
  <c r="AU781" i="20"/>
  <c r="AU783" i="20" s="1"/>
  <c r="AT781" i="20"/>
  <c r="AS781" i="20"/>
  <c r="AR781" i="20"/>
  <c r="AQ781" i="20"/>
  <c r="AP781" i="20"/>
  <c r="AO781" i="20"/>
  <c r="AN781" i="20"/>
  <c r="AM781" i="20"/>
  <c r="AL781" i="20"/>
  <c r="AK781" i="20"/>
  <c r="AJ781" i="20"/>
  <c r="AI781" i="20"/>
  <c r="AI783" i="20" s="1"/>
  <c r="AH781" i="20"/>
  <c r="AG781" i="20"/>
  <c r="AF781" i="20"/>
  <c r="AE781" i="20"/>
  <c r="AD781" i="20"/>
  <c r="AC781" i="20"/>
  <c r="AB781" i="20"/>
  <c r="AA781" i="20"/>
  <c r="Z781" i="20"/>
  <c r="Y781" i="20"/>
  <c r="X781" i="20"/>
  <c r="BK781" i="8"/>
  <c r="BJ781" i="8"/>
  <c r="BI781" i="8"/>
  <c r="BH781" i="8"/>
  <c r="BG781" i="8"/>
  <c r="BF781" i="8"/>
  <c r="BE781" i="8"/>
  <c r="BD781" i="8"/>
  <c r="BC781" i="8"/>
  <c r="BB781" i="8"/>
  <c r="BA781" i="8"/>
  <c r="AZ781" i="8"/>
  <c r="AY781" i="8"/>
  <c r="AX781" i="8"/>
  <c r="AW781" i="8"/>
  <c r="AV781" i="8"/>
  <c r="AU781" i="8"/>
  <c r="AT781" i="8"/>
  <c r="AS781" i="8"/>
  <c r="AR781" i="8"/>
  <c r="AQ781" i="8"/>
  <c r="AP781" i="8"/>
  <c r="AO781" i="8"/>
  <c r="AN781" i="8"/>
  <c r="AM781" i="8"/>
  <c r="AL781" i="8"/>
  <c r="AK781" i="8"/>
  <c r="AJ781" i="8"/>
  <c r="AI781" i="8"/>
  <c r="AH781" i="8"/>
  <c r="AG781" i="8"/>
  <c r="AF781" i="8"/>
  <c r="AE781" i="8"/>
  <c r="AD781" i="8"/>
  <c r="AC781" i="8"/>
  <c r="AB781" i="8"/>
  <c r="AA781" i="8"/>
  <c r="Z781" i="8"/>
  <c r="Y781" i="8"/>
  <c r="X781" i="8"/>
  <c r="BK783" i="9"/>
  <c r="BJ783" i="9"/>
  <c r="BI783" i="9"/>
  <c r="BH783" i="9"/>
  <c r="BG783" i="9"/>
  <c r="BF783" i="9"/>
  <c r="BE783" i="9"/>
  <c r="BD783" i="9"/>
  <c r="BC783" i="9"/>
  <c r="BB783" i="9"/>
  <c r="BA783" i="9"/>
  <c r="AZ783" i="9"/>
  <c r="AY783" i="9"/>
  <c r="AX783" i="9"/>
  <c r="AW783" i="9"/>
  <c r="AV783" i="9"/>
  <c r="AU783" i="9"/>
  <c r="AT783" i="9"/>
  <c r="AS783" i="9"/>
  <c r="AR783" i="9"/>
  <c r="AQ783" i="9"/>
  <c r="AP783" i="9"/>
  <c r="AO783" i="9"/>
  <c r="AN783" i="9"/>
  <c r="AM783" i="9"/>
  <c r="AL783" i="9"/>
  <c r="AK783" i="9"/>
  <c r="AJ783" i="9"/>
  <c r="AI783" i="9"/>
  <c r="AH783" i="9"/>
  <c r="AG783" i="9"/>
  <c r="AF783" i="9"/>
  <c r="AE783" i="9"/>
  <c r="AD783" i="9"/>
  <c r="AC783" i="9"/>
  <c r="AB783" i="9"/>
  <c r="AA783" i="9"/>
  <c r="Z783" i="9"/>
  <c r="X768" i="9"/>
  <c r="X780" i="9"/>
  <c r="Y777" i="9"/>
  <c r="Z777" i="9"/>
  <c r="AA777" i="9"/>
  <c r="AB777" i="9"/>
  <c r="AC777" i="9"/>
  <c r="AD777" i="9"/>
  <c r="AE777" i="9"/>
  <c r="AF777" i="9"/>
  <c r="AG777" i="9"/>
  <c r="AH777" i="9"/>
  <c r="AI777" i="9"/>
  <c r="AJ777" i="9"/>
  <c r="AK777" i="9"/>
  <c r="AL777" i="9"/>
  <c r="AM777" i="9"/>
  <c r="AN777" i="9"/>
  <c r="AO777" i="9"/>
  <c r="AP777" i="9"/>
  <c r="AQ777" i="9"/>
  <c r="AR777" i="9"/>
  <c r="AS777" i="9"/>
  <c r="AT777" i="9"/>
  <c r="AU777" i="9"/>
  <c r="AV777" i="9"/>
  <c r="AW777" i="9"/>
  <c r="AX777" i="9"/>
  <c r="AY777" i="9"/>
  <c r="AZ777" i="9"/>
  <c r="BA777" i="9"/>
  <c r="BB777" i="9"/>
  <c r="BC777" i="9"/>
  <c r="BD777" i="9"/>
  <c r="BE777" i="9"/>
  <c r="BF777" i="9"/>
  <c r="BG777" i="9"/>
  <c r="BH777" i="9"/>
  <c r="BI777" i="9"/>
  <c r="BJ777" i="9"/>
  <c r="BK777" i="9"/>
  <c r="X777" i="9"/>
  <c r="BK778" i="8"/>
  <c r="BJ778" i="8"/>
  <c r="BI778" i="8"/>
  <c r="BH778" i="8"/>
  <c r="BG778" i="8"/>
  <c r="BF778" i="8"/>
  <c r="BE778" i="8"/>
  <c r="BD778" i="8"/>
  <c r="BC778" i="8"/>
  <c r="BB778" i="8"/>
  <c r="BA778" i="8"/>
  <c r="AZ778" i="8"/>
  <c r="AY778" i="8"/>
  <c r="AX778" i="8"/>
  <c r="AW778" i="8"/>
  <c r="AV778" i="8"/>
  <c r="AU778" i="8"/>
  <c r="AT778" i="8"/>
  <c r="AS778" i="8"/>
  <c r="AR778" i="8"/>
  <c r="AQ778" i="8"/>
  <c r="AP778" i="8"/>
  <c r="AO778" i="8"/>
  <c r="AN778" i="8"/>
  <c r="AM778" i="8"/>
  <c r="AL778" i="8"/>
  <c r="AK778" i="8"/>
  <c r="AJ778" i="8"/>
  <c r="AI778" i="8"/>
  <c r="AH778" i="8"/>
  <c r="AG778" i="8"/>
  <c r="AF778" i="8"/>
  <c r="AE778" i="8"/>
  <c r="AD778" i="8"/>
  <c r="AC778" i="8"/>
  <c r="AB778" i="8"/>
  <c r="AA778" i="8"/>
  <c r="Z778" i="8"/>
  <c r="Y778" i="8"/>
  <c r="X778" i="8"/>
  <c r="BK779" i="20"/>
  <c r="BJ779" i="20"/>
  <c r="BI779" i="20"/>
  <c r="BH779" i="20"/>
  <c r="BG779" i="20"/>
  <c r="BG780" i="20" s="1"/>
  <c r="BF779" i="20"/>
  <c r="BE779" i="20"/>
  <c r="BD779" i="20"/>
  <c r="BC779" i="20"/>
  <c r="BB779" i="20"/>
  <c r="BA779" i="20"/>
  <c r="AZ779" i="20"/>
  <c r="AY779" i="20"/>
  <c r="AX779" i="20"/>
  <c r="AW779" i="20"/>
  <c r="AV779" i="20"/>
  <c r="AU779" i="20"/>
  <c r="AT779" i="20"/>
  <c r="AS779" i="20"/>
  <c r="AR779" i="20"/>
  <c r="AQ779" i="20"/>
  <c r="AP779" i="20"/>
  <c r="AO779" i="20"/>
  <c r="AN779" i="20"/>
  <c r="AM779" i="20"/>
  <c r="AL779" i="20"/>
  <c r="AK779" i="20"/>
  <c r="AJ779" i="20"/>
  <c r="AI779" i="20"/>
  <c r="AH779" i="20"/>
  <c r="AG779" i="20"/>
  <c r="AF779" i="20"/>
  <c r="AE779" i="20"/>
  <c r="AD779" i="20"/>
  <c r="AC779" i="20"/>
  <c r="AB779" i="20"/>
  <c r="AA779" i="20"/>
  <c r="Z779" i="20"/>
  <c r="Y779" i="20"/>
  <c r="X779" i="20"/>
  <c r="BK778" i="20"/>
  <c r="BJ778" i="20"/>
  <c r="BI778" i="20"/>
  <c r="BH778" i="20"/>
  <c r="BG778" i="20"/>
  <c r="BF778" i="20"/>
  <c r="BE778" i="20"/>
  <c r="BD778" i="20"/>
  <c r="BC778" i="20"/>
  <c r="BC780" i="20" s="1"/>
  <c r="BB778" i="20"/>
  <c r="BA778" i="20"/>
  <c r="AZ778" i="20"/>
  <c r="AY778" i="20"/>
  <c r="AX778" i="20"/>
  <c r="AW778" i="20"/>
  <c r="AV778" i="20"/>
  <c r="AU778" i="20"/>
  <c r="AT778" i="20"/>
  <c r="AS778" i="20"/>
  <c r="AR778" i="20"/>
  <c r="AQ778" i="20"/>
  <c r="AP778" i="20"/>
  <c r="AO778" i="20"/>
  <c r="AN778" i="20"/>
  <c r="AM778" i="20"/>
  <c r="AL778" i="20"/>
  <c r="AK778" i="20"/>
  <c r="AJ778" i="20"/>
  <c r="AI778" i="20"/>
  <c r="AH778" i="20"/>
  <c r="AG778" i="20"/>
  <c r="AF778" i="20"/>
  <c r="AE778" i="20"/>
  <c r="AD778" i="20"/>
  <c r="AC778" i="20"/>
  <c r="AB778" i="20"/>
  <c r="AA778" i="20"/>
  <c r="Z778" i="20"/>
  <c r="Y778" i="20"/>
  <c r="X778" i="20"/>
  <c r="BK780" i="9"/>
  <c r="BJ780" i="9"/>
  <c r="BI780" i="9"/>
  <c r="BH780" i="9"/>
  <c r="BG780" i="9"/>
  <c r="BF780" i="9"/>
  <c r="BE780" i="9"/>
  <c r="BD780" i="9"/>
  <c r="BC780" i="9"/>
  <c r="BB780" i="9"/>
  <c r="BA780" i="9"/>
  <c r="AZ780" i="9"/>
  <c r="AY780" i="9"/>
  <c r="AX780" i="9"/>
  <c r="AW780" i="9"/>
  <c r="AV780" i="9"/>
  <c r="AU780" i="9"/>
  <c r="AT780" i="9"/>
  <c r="AS780" i="9"/>
  <c r="AR780" i="9"/>
  <c r="AQ780" i="9"/>
  <c r="AP780" i="9"/>
  <c r="AO780" i="9"/>
  <c r="AN780" i="9"/>
  <c r="AM780" i="9"/>
  <c r="AL780" i="9"/>
  <c r="AK780" i="9"/>
  <c r="AJ780" i="9"/>
  <c r="AI780" i="9"/>
  <c r="AH780" i="9"/>
  <c r="AG780" i="9"/>
  <c r="AF780" i="9"/>
  <c r="AE780" i="9"/>
  <c r="AD780" i="9"/>
  <c r="AC780" i="9"/>
  <c r="AB780" i="9"/>
  <c r="AA780" i="9"/>
  <c r="Z780" i="9"/>
  <c r="Y780" i="9"/>
  <c r="Y774" i="9"/>
  <c r="BK776" i="20"/>
  <c r="BJ776" i="20"/>
  <c r="BI776" i="20"/>
  <c r="BH776" i="20"/>
  <c r="BG776" i="20"/>
  <c r="BF776" i="20"/>
  <c r="BE776" i="20"/>
  <c r="BD776" i="20"/>
  <c r="BC776" i="20"/>
  <c r="BC777" i="20" s="1"/>
  <c r="BB776" i="20"/>
  <c r="BA776" i="20"/>
  <c r="AZ776" i="20"/>
  <c r="AY776" i="20"/>
  <c r="AX776" i="20"/>
  <c r="AW776" i="20"/>
  <c r="AV776" i="20"/>
  <c r="AU776" i="20"/>
  <c r="AT776" i="20"/>
  <c r="AS776" i="20"/>
  <c r="AR776" i="20"/>
  <c r="AQ776" i="20"/>
  <c r="AP776" i="20"/>
  <c r="AO776" i="20"/>
  <c r="AN776" i="20"/>
  <c r="AM776" i="20"/>
  <c r="AL776" i="20"/>
  <c r="AK776" i="20"/>
  <c r="AJ776" i="20"/>
  <c r="AI776" i="20"/>
  <c r="AH776" i="20"/>
  <c r="AG776" i="20"/>
  <c r="AF776" i="20"/>
  <c r="AF777" i="20" s="1"/>
  <c r="AE776" i="20"/>
  <c r="AD776" i="20"/>
  <c r="AC776" i="20"/>
  <c r="AB776" i="20"/>
  <c r="AA776" i="20"/>
  <c r="Z776" i="20"/>
  <c r="Y776" i="20"/>
  <c r="X776" i="20"/>
  <c r="BK775" i="20"/>
  <c r="BJ775" i="20"/>
  <c r="BI775" i="20"/>
  <c r="BH775" i="20"/>
  <c r="BG775" i="20"/>
  <c r="BF775" i="20"/>
  <c r="BE775" i="20"/>
  <c r="BE777" i="20" s="1"/>
  <c r="BD775" i="20"/>
  <c r="BC775" i="20"/>
  <c r="BB775" i="20"/>
  <c r="BA775" i="20"/>
  <c r="AZ775" i="20"/>
  <c r="AY775" i="20"/>
  <c r="AX775" i="20"/>
  <c r="AW775" i="20"/>
  <c r="AV775" i="20"/>
  <c r="AU775" i="20"/>
  <c r="AT775" i="20"/>
  <c r="AT777" i="20" s="1"/>
  <c r="AS775" i="20"/>
  <c r="AR775" i="20"/>
  <c r="AQ775" i="20"/>
  <c r="AQ777" i="20" s="1"/>
  <c r="AP775" i="20"/>
  <c r="AO775" i="20"/>
  <c r="AN775" i="20"/>
  <c r="AM775" i="20"/>
  <c r="AL775" i="20"/>
  <c r="AK775" i="20"/>
  <c r="AJ775" i="20"/>
  <c r="AI775" i="20"/>
  <c r="AI777" i="20" s="1"/>
  <c r="AH775" i="20"/>
  <c r="AG775" i="20"/>
  <c r="AF775" i="20"/>
  <c r="AE775" i="20"/>
  <c r="AD775" i="20"/>
  <c r="AC775" i="20"/>
  <c r="AB775" i="20"/>
  <c r="AB777" i="20" s="1"/>
  <c r="AA775" i="20"/>
  <c r="AA777" i="20" s="1"/>
  <c r="Z775" i="20"/>
  <c r="Y775" i="20"/>
  <c r="X775" i="20"/>
  <c r="BK775" i="8"/>
  <c r="BJ775" i="8"/>
  <c r="BI775" i="8"/>
  <c r="BH775" i="8"/>
  <c r="BG775" i="8"/>
  <c r="BF775" i="8"/>
  <c r="BE775" i="8"/>
  <c r="BD775" i="8"/>
  <c r="BC775" i="8"/>
  <c r="BB775" i="8"/>
  <c r="BA775" i="8"/>
  <c r="AZ775" i="8"/>
  <c r="AY775" i="8"/>
  <c r="AX775" i="8"/>
  <c r="AW775" i="8"/>
  <c r="AV775" i="8"/>
  <c r="AU775" i="8"/>
  <c r="AT775" i="8"/>
  <c r="AS775" i="8"/>
  <c r="AR775" i="8"/>
  <c r="AQ775" i="8"/>
  <c r="AP775" i="8"/>
  <c r="AO775" i="8"/>
  <c r="AN775" i="8"/>
  <c r="AM775" i="8"/>
  <c r="AL775" i="8"/>
  <c r="AK775" i="8"/>
  <c r="AJ775" i="8"/>
  <c r="AI775" i="8"/>
  <c r="AH775" i="8"/>
  <c r="AG775" i="8"/>
  <c r="AF775" i="8"/>
  <c r="AE775" i="8"/>
  <c r="AD775" i="8"/>
  <c r="AC775" i="8"/>
  <c r="AB775" i="8"/>
  <c r="AA775" i="8"/>
  <c r="Z775" i="8"/>
  <c r="Y775" i="8"/>
  <c r="X775" i="8"/>
  <c r="BK764" i="20"/>
  <c r="BJ764" i="20"/>
  <c r="BI764" i="20"/>
  <c r="BH764" i="20"/>
  <c r="BG764" i="20"/>
  <c r="BF764" i="20"/>
  <c r="BE764" i="20"/>
  <c r="BD764" i="20"/>
  <c r="BC764" i="20"/>
  <c r="BB764" i="20"/>
  <c r="BA764" i="20"/>
  <c r="AZ764" i="20"/>
  <c r="AY764" i="20"/>
  <c r="AX764" i="20"/>
  <c r="AW764" i="20"/>
  <c r="AV764" i="20"/>
  <c r="AU764" i="20"/>
  <c r="AU765" i="20" s="1"/>
  <c r="AT764" i="20"/>
  <c r="AT765" i="20"/>
  <c r="AS764" i="20"/>
  <c r="AR764" i="20"/>
  <c r="AQ764" i="20"/>
  <c r="AP764" i="20"/>
  <c r="AO764" i="20"/>
  <c r="AN764" i="20"/>
  <c r="AM764" i="20"/>
  <c r="AL764" i="20"/>
  <c r="AK764" i="20"/>
  <c r="AJ764" i="20"/>
  <c r="AI764" i="20"/>
  <c r="AH764" i="20"/>
  <c r="AG764" i="20"/>
  <c r="AF764" i="20"/>
  <c r="AF765" i="20" s="1"/>
  <c r="AE764" i="20"/>
  <c r="AD764" i="20"/>
  <c r="AC764" i="20"/>
  <c r="AB764" i="20"/>
  <c r="AA764" i="20"/>
  <c r="Z764" i="20"/>
  <c r="Y764" i="20"/>
  <c r="X764" i="20"/>
  <c r="BK763" i="20"/>
  <c r="BJ763" i="20"/>
  <c r="BI763" i="20"/>
  <c r="BH763" i="20"/>
  <c r="BG763" i="20"/>
  <c r="BF763" i="20"/>
  <c r="BE763" i="20"/>
  <c r="BD763" i="20"/>
  <c r="BC763" i="20"/>
  <c r="BB763" i="20"/>
  <c r="BA763" i="20"/>
  <c r="AZ763" i="20"/>
  <c r="AY763" i="20"/>
  <c r="AX763" i="20"/>
  <c r="AW763" i="20"/>
  <c r="AV763" i="20"/>
  <c r="AU763" i="20"/>
  <c r="AT763" i="20"/>
  <c r="AS763" i="20"/>
  <c r="AR763" i="20"/>
  <c r="AQ763" i="20"/>
  <c r="AQ765" i="20" s="1"/>
  <c r="AP763" i="20"/>
  <c r="AO763" i="20"/>
  <c r="AN763" i="20"/>
  <c r="AM763" i="20"/>
  <c r="AL763" i="20"/>
  <c r="AK763" i="20"/>
  <c r="AJ763" i="20"/>
  <c r="AI763" i="20"/>
  <c r="AI765" i="20" s="1"/>
  <c r="AH763" i="20"/>
  <c r="AH765" i="20" s="1"/>
  <c r="AG763" i="20"/>
  <c r="AF763" i="20"/>
  <c r="AE763" i="20"/>
  <c r="AD763" i="20"/>
  <c r="AC763" i="20"/>
  <c r="AB763" i="20"/>
  <c r="AA763" i="20"/>
  <c r="Z763" i="20"/>
  <c r="Y763" i="20"/>
  <c r="X763" i="20"/>
  <c r="BK773" i="20"/>
  <c r="BK774" i="20" s="1"/>
  <c r="BJ773" i="20"/>
  <c r="BI773" i="20"/>
  <c r="BH773" i="20"/>
  <c r="BG773" i="20"/>
  <c r="BF773" i="20"/>
  <c r="BE773" i="20"/>
  <c r="BD773" i="20"/>
  <c r="BC773" i="20"/>
  <c r="BB773" i="20"/>
  <c r="BA773" i="20"/>
  <c r="AZ773" i="20"/>
  <c r="AY773" i="20"/>
  <c r="AX773" i="20"/>
  <c r="AW773" i="20"/>
  <c r="AV773" i="20"/>
  <c r="AU773" i="20"/>
  <c r="AT773" i="20"/>
  <c r="AS773" i="20"/>
  <c r="AR773" i="20"/>
  <c r="AQ773" i="20"/>
  <c r="AP773" i="20"/>
  <c r="AO773" i="20"/>
  <c r="AN773" i="20"/>
  <c r="AM773" i="20"/>
  <c r="AL773" i="20"/>
  <c r="AK773" i="20"/>
  <c r="AJ773" i="20"/>
  <c r="AI773" i="20"/>
  <c r="AH773" i="20"/>
  <c r="AG773" i="20"/>
  <c r="AF773" i="20"/>
  <c r="AE773" i="20"/>
  <c r="AE774" i="20" s="1"/>
  <c r="AD773" i="20"/>
  <c r="AC773" i="20"/>
  <c r="AB773" i="20"/>
  <c r="AA773" i="20"/>
  <c r="Z773" i="20"/>
  <c r="Y773" i="20"/>
  <c r="X773" i="20"/>
  <c r="BK772" i="20"/>
  <c r="BJ772" i="20"/>
  <c r="BI772" i="20"/>
  <c r="BH772" i="20"/>
  <c r="BG772" i="20"/>
  <c r="BF772" i="20"/>
  <c r="BE772" i="20"/>
  <c r="BD772" i="20"/>
  <c r="BC772" i="20"/>
  <c r="BC774" i="20" s="1"/>
  <c r="BB772" i="20"/>
  <c r="BB774" i="20" s="1"/>
  <c r="BA772" i="20"/>
  <c r="AZ772" i="20"/>
  <c r="AY772" i="20"/>
  <c r="AY774" i="20" s="1"/>
  <c r="AX772" i="20"/>
  <c r="AW772" i="20"/>
  <c r="AV772" i="20"/>
  <c r="AU772" i="20"/>
  <c r="AT772" i="20"/>
  <c r="AS772" i="20"/>
  <c r="AR772" i="20"/>
  <c r="AQ772" i="20"/>
  <c r="AP772" i="20"/>
  <c r="AP774" i="20" s="1"/>
  <c r="AO772" i="20"/>
  <c r="AN772" i="20"/>
  <c r="AM772" i="20"/>
  <c r="AL772" i="20"/>
  <c r="AK772" i="20"/>
  <c r="AJ772" i="20"/>
  <c r="AI772" i="20"/>
  <c r="AI774" i="20" s="1"/>
  <c r="AH772" i="20"/>
  <c r="AG772" i="20"/>
  <c r="AF772" i="20"/>
  <c r="AE772" i="20"/>
  <c r="AD772" i="20"/>
  <c r="AC772" i="20"/>
  <c r="AB772" i="20"/>
  <c r="AA772" i="20"/>
  <c r="AA774" i="20" s="1"/>
  <c r="Z772" i="20"/>
  <c r="Y772" i="20"/>
  <c r="X772" i="20"/>
  <c r="BA774" i="9"/>
  <c r="BB774" i="9"/>
  <c r="BC774" i="9"/>
  <c r="BD774" i="9"/>
  <c r="BE774" i="9"/>
  <c r="BF774" i="9"/>
  <c r="BG774" i="9"/>
  <c r="BH774" i="9"/>
  <c r="BI774" i="9"/>
  <c r="BJ774" i="9"/>
  <c r="BK774" i="9"/>
  <c r="Z774" i="9"/>
  <c r="AA774" i="9"/>
  <c r="AB774" i="9"/>
  <c r="AC774" i="9"/>
  <c r="AD774" i="9"/>
  <c r="AE774" i="9"/>
  <c r="AF774" i="9"/>
  <c r="AG774" i="9"/>
  <c r="AH774" i="9"/>
  <c r="AI774" i="9"/>
  <c r="AJ774" i="9"/>
  <c r="AK774" i="9"/>
  <c r="AL774" i="9"/>
  <c r="AM774" i="9"/>
  <c r="AN774" i="9"/>
  <c r="AO774" i="9"/>
  <c r="AP774" i="9"/>
  <c r="AQ774" i="9"/>
  <c r="AR774" i="9"/>
  <c r="AS774" i="9"/>
  <c r="AT774" i="9"/>
  <c r="AU774" i="9"/>
  <c r="AV774" i="9"/>
  <c r="AW774" i="9"/>
  <c r="AX774" i="9"/>
  <c r="AY774" i="9"/>
  <c r="AZ774" i="9"/>
  <c r="X774" i="9"/>
  <c r="Y772" i="8"/>
  <c r="Z772" i="8"/>
  <c r="AA772" i="8"/>
  <c r="AB772" i="8"/>
  <c r="AC772" i="8"/>
  <c r="AD772" i="8"/>
  <c r="AE772" i="8"/>
  <c r="AF772" i="8"/>
  <c r="AG772" i="8"/>
  <c r="AH772" i="8"/>
  <c r="AI772" i="8"/>
  <c r="AJ772" i="8"/>
  <c r="AK772" i="8"/>
  <c r="AL772" i="8"/>
  <c r="AM772" i="8"/>
  <c r="AN772" i="8"/>
  <c r="AO772" i="8"/>
  <c r="AP772" i="8"/>
  <c r="AQ772" i="8"/>
  <c r="AR772" i="8"/>
  <c r="AS772" i="8"/>
  <c r="AT772" i="8"/>
  <c r="AU772" i="8"/>
  <c r="AV772" i="8"/>
  <c r="AW772" i="8"/>
  <c r="AX772" i="8"/>
  <c r="AY772" i="8"/>
  <c r="AZ772" i="8"/>
  <c r="BA772" i="8"/>
  <c r="BB772" i="8"/>
  <c r="BC772" i="8"/>
  <c r="BD772" i="8"/>
  <c r="BE772" i="8"/>
  <c r="BF772" i="8"/>
  <c r="BG772" i="8"/>
  <c r="BH772" i="8"/>
  <c r="BI772" i="8"/>
  <c r="BJ772" i="8"/>
  <c r="BK772" i="8"/>
  <c r="X772" i="8"/>
  <c r="BK770" i="20"/>
  <c r="BJ770" i="20"/>
  <c r="BI770" i="20"/>
  <c r="BH770" i="20"/>
  <c r="BG770" i="20"/>
  <c r="BF770" i="20"/>
  <c r="BE770" i="20"/>
  <c r="BD770" i="20"/>
  <c r="BC770" i="20"/>
  <c r="BB770" i="20"/>
  <c r="BB771" i="20" s="1"/>
  <c r="BA770" i="20"/>
  <c r="AZ770" i="20"/>
  <c r="AY770" i="20"/>
  <c r="AX770" i="20"/>
  <c r="AW770" i="20"/>
  <c r="AV770" i="20"/>
  <c r="AU770" i="20"/>
  <c r="AT770" i="20"/>
  <c r="AS770" i="20"/>
  <c r="AR770" i="20"/>
  <c r="AQ770" i="20"/>
  <c r="AP770" i="20"/>
  <c r="AO770" i="20"/>
  <c r="AN770" i="20"/>
  <c r="AM770" i="20"/>
  <c r="AL770" i="20"/>
  <c r="AK770" i="20"/>
  <c r="AJ770" i="20"/>
  <c r="AI770" i="20"/>
  <c r="AH770" i="20"/>
  <c r="AG770" i="20"/>
  <c r="AF770" i="20"/>
  <c r="AE770" i="20"/>
  <c r="AE771" i="20" s="1"/>
  <c r="AD770" i="20"/>
  <c r="AC770" i="20"/>
  <c r="AB770" i="20"/>
  <c r="AA770" i="20"/>
  <c r="Z770" i="20"/>
  <c r="Y770" i="20"/>
  <c r="X770" i="20"/>
  <c r="BK769" i="20"/>
  <c r="BJ769" i="20"/>
  <c r="BI769" i="20"/>
  <c r="BH769" i="20"/>
  <c r="BG769" i="20"/>
  <c r="BF769" i="20"/>
  <c r="BE769" i="20"/>
  <c r="BE771" i="20" s="1"/>
  <c r="BD769" i="20"/>
  <c r="BD771" i="20" s="1"/>
  <c r="BC769" i="20"/>
  <c r="BB769" i="20"/>
  <c r="BA769" i="20"/>
  <c r="AZ769" i="20"/>
  <c r="AY769" i="20"/>
  <c r="AX769" i="20"/>
  <c r="AW769" i="20"/>
  <c r="AV769" i="20"/>
  <c r="AU769" i="20"/>
  <c r="AT769" i="20"/>
  <c r="AT771" i="20" s="1"/>
  <c r="AS769" i="20"/>
  <c r="AR769" i="20"/>
  <c r="AQ769" i="20"/>
  <c r="AP769" i="20"/>
  <c r="AP771" i="20" s="1"/>
  <c r="AO769" i="20"/>
  <c r="AN769" i="20"/>
  <c r="AM769" i="20"/>
  <c r="AL769" i="20"/>
  <c r="AK769" i="20"/>
  <c r="AJ769" i="20"/>
  <c r="AI769" i="20"/>
  <c r="AH769" i="20"/>
  <c r="AG769" i="20"/>
  <c r="AF769" i="20"/>
  <c r="AE769" i="20"/>
  <c r="AD769" i="20"/>
  <c r="AC769" i="20"/>
  <c r="AB769" i="20"/>
  <c r="AA769" i="20"/>
  <c r="Z769" i="20"/>
  <c r="Y769" i="20"/>
  <c r="X769" i="20"/>
  <c r="X766" i="20"/>
  <c r="Y769" i="8"/>
  <c r="X769" i="8"/>
  <c r="BK769" i="8"/>
  <c r="BJ769" i="8"/>
  <c r="BI769" i="8"/>
  <c r="BH769" i="8"/>
  <c r="BG769" i="8"/>
  <c r="BF769" i="8"/>
  <c r="BE769" i="8"/>
  <c r="BD769" i="8"/>
  <c r="BC769" i="8"/>
  <c r="BB769" i="8"/>
  <c r="BA769" i="8"/>
  <c r="AZ769" i="8"/>
  <c r="AY769" i="8"/>
  <c r="AX769" i="8"/>
  <c r="AW769" i="8"/>
  <c r="AV769" i="8"/>
  <c r="AU769" i="8"/>
  <c r="AT769" i="8"/>
  <c r="AS769" i="8"/>
  <c r="AR769" i="8"/>
  <c r="AQ769" i="8"/>
  <c r="AP769" i="8"/>
  <c r="AO769" i="8"/>
  <c r="AN769" i="8"/>
  <c r="AM769" i="8"/>
  <c r="AL769" i="8"/>
  <c r="AK769" i="8"/>
  <c r="AJ769" i="8"/>
  <c r="AI769" i="8"/>
  <c r="AH769" i="8"/>
  <c r="AG769" i="8"/>
  <c r="AF769" i="8"/>
  <c r="AE769" i="8"/>
  <c r="AD769" i="8"/>
  <c r="AC769" i="8"/>
  <c r="AB769" i="8"/>
  <c r="AA769" i="8"/>
  <c r="Z769" i="8"/>
  <c r="BK771" i="9"/>
  <c r="BA771" i="9"/>
  <c r="AZ771" i="9"/>
  <c r="AY771" i="9"/>
  <c r="AX771" i="9"/>
  <c r="AW771" i="9"/>
  <c r="AV771" i="9"/>
  <c r="AU771" i="9"/>
  <c r="AT771" i="9"/>
  <c r="AS771" i="9"/>
  <c r="AR771" i="9"/>
  <c r="AQ771" i="9"/>
  <c r="AP771" i="9"/>
  <c r="AO771" i="9"/>
  <c r="AN771" i="9"/>
  <c r="AL771" i="9"/>
  <c r="AK771" i="9"/>
  <c r="AJ771" i="9"/>
  <c r="AI771" i="9"/>
  <c r="AH771" i="9"/>
  <c r="AG771" i="9"/>
  <c r="AF771" i="9"/>
  <c r="AE771" i="9"/>
  <c r="AD771" i="9"/>
  <c r="AC771" i="9"/>
  <c r="AB771" i="9"/>
  <c r="AA771" i="9"/>
  <c r="Z771" i="9"/>
  <c r="Y771" i="9"/>
  <c r="X771" i="9"/>
  <c r="BJ771" i="9"/>
  <c r="BI771" i="9"/>
  <c r="BH771" i="9"/>
  <c r="BG771" i="9"/>
  <c r="BF771" i="9"/>
  <c r="BE771" i="9"/>
  <c r="BD771" i="9"/>
  <c r="BC771" i="9"/>
  <c r="BB771" i="9"/>
  <c r="AM771" i="9"/>
  <c r="BK763" i="8"/>
  <c r="BJ763" i="8"/>
  <c r="BI763" i="8"/>
  <c r="BH763" i="8"/>
  <c r="BG763" i="8"/>
  <c r="BF763" i="8"/>
  <c r="BE763" i="8"/>
  <c r="BD763" i="8"/>
  <c r="BC763" i="8"/>
  <c r="BB763" i="8"/>
  <c r="BA763" i="8"/>
  <c r="AZ763" i="8"/>
  <c r="AY763" i="8"/>
  <c r="AX763" i="8"/>
  <c r="AW763" i="8"/>
  <c r="AV763" i="8"/>
  <c r="AU763" i="8"/>
  <c r="AT763" i="8"/>
  <c r="AS763" i="8"/>
  <c r="AR763" i="8"/>
  <c r="AQ763" i="8"/>
  <c r="AP763" i="8"/>
  <c r="AO763" i="8"/>
  <c r="AN763" i="8"/>
  <c r="AM763" i="8"/>
  <c r="AL763" i="8"/>
  <c r="AK763" i="8"/>
  <c r="AJ763" i="8"/>
  <c r="AI763" i="8"/>
  <c r="AH763" i="8"/>
  <c r="AG763" i="8"/>
  <c r="AF763" i="8"/>
  <c r="AE763" i="8"/>
  <c r="AD763" i="8"/>
  <c r="AC763" i="8"/>
  <c r="AB763" i="8"/>
  <c r="AA763" i="8"/>
  <c r="Z763" i="8"/>
  <c r="Y763" i="8"/>
  <c r="X763" i="8"/>
  <c r="AZ765" i="9"/>
  <c r="AY765" i="9"/>
  <c r="AX765" i="9"/>
  <c r="AW765" i="9"/>
  <c r="AV765" i="9"/>
  <c r="AU765" i="9"/>
  <c r="AT765" i="9"/>
  <c r="AS765" i="9"/>
  <c r="AR765" i="9"/>
  <c r="AQ765" i="9"/>
  <c r="AP765" i="9"/>
  <c r="AO765" i="9"/>
  <c r="AN765" i="9"/>
  <c r="AM765" i="9"/>
  <c r="AL765" i="9"/>
  <c r="AK765" i="9"/>
  <c r="AJ765" i="9"/>
  <c r="AI765" i="9"/>
  <c r="AH765" i="9"/>
  <c r="AG765" i="9"/>
  <c r="AF765" i="9"/>
  <c r="AE765" i="9"/>
  <c r="AD765" i="9"/>
  <c r="AC765" i="9"/>
  <c r="AB765" i="9"/>
  <c r="AA765" i="9"/>
  <c r="Z765" i="9"/>
  <c r="Y765" i="9"/>
  <c r="X765" i="9"/>
  <c r="BK767" i="20"/>
  <c r="BJ767" i="20"/>
  <c r="BI767" i="20"/>
  <c r="BH767" i="20"/>
  <c r="BG767" i="20"/>
  <c r="BF767" i="20"/>
  <c r="BE767" i="20"/>
  <c r="BD767" i="20"/>
  <c r="BC767" i="20"/>
  <c r="BB767" i="20"/>
  <c r="BA767" i="20"/>
  <c r="AZ767" i="20"/>
  <c r="AY767" i="20"/>
  <c r="AX767" i="20"/>
  <c r="AW767" i="20"/>
  <c r="AV767" i="20"/>
  <c r="AU767" i="20"/>
  <c r="AT767" i="20"/>
  <c r="AS767" i="20"/>
  <c r="AR767" i="20"/>
  <c r="AQ767" i="20"/>
  <c r="AQ768" i="20" s="1"/>
  <c r="AP767" i="20"/>
  <c r="AP768" i="20" s="1"/>
  <c r="AO767" i="20"/>
  <c r="AO768" i="20" s="1"/>
  <c r="AN767" i="20"/>
  <c r="AM767" i="20"/>
  <c r="AL767" i="20"/>
  <c r="AK767" i="20"/>
  <c r="AJ767" i="20"/>
  <c r="AI767" i="20"/>
  <c r="AH767" i="20"/>
  <c r="AG767" i="20"/>
  <c r="AF767" i="20"/>
  <c r="AE767" i="20"/>
  <c r="AD767" i="20"/>
  <c r="AC767" i="20"/>
  <c r="AB767" i="20"/>
  <c r="AA767" i="20"/>
  <c r="Z767" i="20"/>
  <c r="Y767" i="20"/>
  <c r="Y768" i="20" s="1"/>
  <c r="X767" i="20"/>
  <c r="BK766" i="20"/>
  <c r="BJ766" i="20"/>
  <c r="BI766" i="20"/>
  <c r="BH766" i="20"/>
  <c r="BG766" i="20"/>
  <c r="BF766" i="20"/>
  <c r="BE766" i="20"/>
  <c r="BD766" i="20"/>
  <c r="BC766" i="20"/>
  <c r="BB766" i="20"/>
  <c r="BA766" i="20"/>
  <c r="BA768" i="20" s="1"/>
  <c r="AZ766" i="20"/>
  <c r="AY766" i="20"/>
  <c r="AX766" i="20"/>
  <c r="AW766" i="20"/>
  <c r="AW768" i="20" s="1"/>
  <c r="AV766" i="20"/>
  <c r="AV768" i="20" s="1"/>
  <c r="AU766" i="20"/>
  <c r="AT766" i="20"/>
  <c r="AS766" i="20"/>
  <c r="AR766" i="20"/>
  <c r="AR768" i="20" s="1"/>
  <c r="AQ766" i="20"/>
  <c r="AP766" i="20"/>
  <c r="AO766" i="20"/>
  <c r="AN766" i="20"/>
  <c r="AM766" i="20"/>
  <c r="AL766" i="20"/>
  <c r="AL768" i="20" s="1"/>
  <c r="AK766" i="20"/>
  <c r="AK768" i="20" s="1"/>
  <c r="AJ766" i="20"/>
  <c r="AI766" i="20"/>
  <c r="AH766" i="20"/>
  <c r="AG766" i="20"/>
  <c r="AG768" i="20" s="1"/>
  <c r="AF766" i="20"/>
  <c r="AF768" i="20" s="1"/>
  <c r="AE766" i="20"/>
  <c r="AD766" i="20"/>
  <c r="AC766" i="20"/>
  <c r="AB766" i="20"/>
  <c r="AA766" i="20"/>
  <c r="Z766" i="20"/>
  <c r="Y766" i="20"/>
  <c r="Y766" i="8"/>
  <c r="Z766" i="8"/>
  <c r="AA766" i="8"/>
  <c r="AB766" i="8"/>
  <c r="AC766" i="8"/>
  <c r="AD766" i="8"/>
  <c r="AE766" i="8"/>
  <c r="AF766" i="8"/>
  <c r="AG766" i="8"/>
  <c r="AH766" i="8"/>
  <c r="AI766" i="8"/>
  <c r="AJ766" i="8"/>
  <c r="AK766" i="8"/>
  <c r="AL766" i="8"/>
  <c r="AM766" i="8"/>
  <c r="AN766" i="8"/>
  <c r="AO766" i="8"/>
  <c r="AP766" i="8"/>
  <c r="AQ766" i="8"/>
  <c r="AR766" i="8"/>
  <c r="AS766" i="8"/>
  <c r="AT766" i="8"/>
  <c r="AU766" i="8"/>
  <c r="AV766" i="8"/>
  <c r="AW766" i="8"/>
  <c r="AX766" i="8"/>
  <c r="AY766" i="8"/>
  <c r="AZ766" i="8"/>
  <c r="BA766" i="8"/>
  <c r="BB766" i="8"/>
  <c r="BC766" i="8"/>
  <c r="BD766" i="8"/>
  <c r="BE766" i="8"/>
  <c r="BF766" i="8"/>
  <c r="BG766" i="8"/>
  <c r="BH766" i="8"/>
  <c r="BI766" i="8"/>
  <c r="BJ766" i="8"/>
  <c r="BK766" i="8"/>
  <c r="X766" i="8"/>
  <c r="Y768" i="9"/>
  <c r="Z768" i="9"/>
  <c r="AA768" i="9"/>
  <c r="AB768" i="9"/>
  <c r="AC768" i="9"/>
  <c r="AD768" i="9"/>
  <c r="AE768" i="9"/>
  <c r="AF768" i="9"/>
  <c r="AG768" i="9"/>
  <c r="AH768" i="9"/>
  <c r="AI768" i="9"/>
  <c r="AJ768" i="9"/>
  <c r="AK768" i="9"/>
  <c r="AL768" i="9"/>
  <c r="AM768" i="9"/>
  <c r="AN768" i="9"/>
  <c r="AO768" i="9"/>
  <c r="AP768" i="9"/>
  <c r="AQ768" i="9"/>
  <c r="AR768" i="9"/>
  <c r="AS768" i="9"/>
  <c r="AT768" i="9"/>
  <c r="AU768" i="9"/>
  <c r="AV768" i="9"/>
  <c r="AW768" i="9"/>
  <c r="AX768" i="9"/>
  <c r="AY768" i="9"/>
  <c r="AZ768" i="9"/>
  <c r="BA768" i="9"/>
  <c r="BB768" i="9"/>
  <c r="BC768" i="9"/>
  <c r="BD768" i="9"/>
  <c r="BE768" i="9"/>
  <c r="BF768" i="9"/>
  <c r="BG768" i="9"/>
  <c r="BH768" i="9"/>
  <c r="BI768" i="9"/>
  <c r="BJ768" i="9"/>
  <c r="BK768" i="9"/>
  <c r="W763" i="8"/>
  <c r="BK765" i="9"/>
  <c r="BJ765" i="9"/>
  <c r="BI765" i="9"/>
  <c r="BH765" i="9"/>
  <c r="BG765" i="9"/>
  <c r="BF765" i="9"/>
  <c r="BE765" i="9"/>
  <c r="BD765" i="9"/>
  <c r="BC765" i="9"/>
  <c r="BB765" i="9"/>
  <c r="BA765" i="9"/>
  <c r="W765" i="9"/>
  <c r="X760" i="20"/>
  <c r="Y760" i="20"/>
  <c r="Z760" i="20"/>
  <c r="AA760" i="20"/>
  <c r="AB760" i="20"/>
  <c r="AB762" i="20" s="1"/>
  <c r="AC760" i="20"/>
  <c r="AD760" i="20"/>
  <c r="AE760" i="20"/>
  <c r="AF760" i="20"/>
  <c r="AG760" i="20"/>
  <c r="AH760" i="20"/>
  <c r="AI760" i="20"/>
  <c r="AJ760" i="20"/>
  <c r="AK760" i="20"/>
  <c r="AL760" i="20"/>
  <c r="AM760" i="20"/>
  <c r="AN760" i="20"/>
  <c r="AO760" i="20"/>
  <c r="AP760" i="20"/>
  <c r="AQ760" i="20"/>
  <c r="AR760" i="20"/>
  <c r="AS760" i="20"/>
  <c r="AT760" i="20"/>
  <c r="AU760" i="20"/>
  <c r="AV760" i="20"/>
  <c r="AW760" i="20"/>
  <c r="AW762" i="20" s="1"/>
  <c r="AX760" i="20"/>
  <c r="AY760" i="20"/>
  <c r="AZ760" i="20"/>
  <c r="AZ762" i="20" s="1"/>
  <c r="BA760" i="20"/>
  <c r="BB760" i="20"/>
  <c r="BC760" i="20"/>
  <c r="BD760" i="20"/>
  <c r="BE760" i="20"/>
  <c r="BF760" i="20"/>
  <c r="BG760" i="20"/>
  <c r="BH760" i="20"/>
  <c r="BI760" i="20"/>
  <c r="BJ760" i="20"/>
  <c r="BK760" i="20"/>
  <c r="X761" i="20"/>
  <c r="X762" i="20"/>
  <c r="Y761" i="20"/>
  <c r="Z761" i="20"/>
  <c r="AA761" i="20"/>
  <c r="AB761" i="20"/>
  <c r="AC761" i="20"/>
  <c r="AD761" i="20"/>
  <c r="AE761" i="20"/>
  <c r="AE762" i="20" s="1"/>
  <c r="AF761" i="20"/>
  <c r="AG761" i="20"/>
  <c r="AH761" i="20"/>
  <c r="AI761" i="20"/>
  <c r="AJ761" i="20"/>
  <c r="AK761" i="20"/>
  <c r="AK762" i="20" s="1"/>
  <c r="AL761" i="20"/>
  <c r="AM761" i="20"/>
  <c r="AN761" i="20"/>
  <c r="AO761" i="20"/>
  <c r="AP761" i="20"/>
  <c r="AQ761" i="20"/>
  <c r="AR761" i="20"/>
  <c r="AS761" i="20"/>
  <c r="AT761" i="20"/>
  <c r="AU761" i="20"/>
  <c r="AV761" i="20"/>
  <c r="AW761" i="20"/>
  <c r="AX761" i="20"/>
  <c r="AY761" i="20"/>
  <c r="AZ761" i="20"/>
  <c r="BA761" i="20"/>
  <c r="BB761" i="20"/>
  <c r="BC761" i="20"/>
  <c r="BD761" i="20"/>
  <c r="BE761" i="20"/>
  <c r="BF761" i="20"/>
  <c r="BG761" i="20"/>
  <c r="BH761" i="20"/>
  <c r="BI761" i="20"/>
  <c r="BJ761" i="20"/>
  <c r="BK761" i="20"/>
  <c r="W760" i="8"/>
  <c r="X760" i="8"/>
  <c r="Y760" i="8"/>
  <c r="Z760" i="8"/>
  <c r="AA760" i="8"/>
  <c r="AB760" i="8"/>
  <c r="AC760" i="8"/>
  <c r="AD760" i="8"/>
  <c r="AE760" i="8"/>
  <c r="AF760" i="8"/>
  <c r="AG760" i="8"/>
  <c r="AH760" i="8"/>
  <c r="AI760" i="8"/>
  <c r="AJ760" i="8"/>
  <c r="AK760" i="8"/>
  <c r="AL760" i="8"/>
  <c r="AM760" i="8"/>
  <c r="AN760" i="8"/>
  <c r="AO760" i="8"/>
  <c r="AP760" i="8"/>
  <c r="AQ760" i="8"/>
  <c r="AR760" i="8"/>
  <c r="AS760" i="8"/>
  <c r="AT760" i="8"/>
  <c r="AU760" i="8"/>
  <c r="AV760" i="8"/>
  <c r="AW760" i="8"/>
  <c r="AX760" i="8"/>
  <c r="AY760" i="8"/>
  <c r="AZ760" i="8"/>
  <c r="BA760" i="8"/>
  <c r="BB760" i="8"/>
  <c r="BC760" i="8"/>
  <c r="BD760" i="8"/>
  <c r="BE760" i="8"/>
  <c r="BF760" i="8"/>
  <c r="BG760" i="8"/>
  <c r="BH760" i="8"/>
  <c r="BI760" i="8"/>
  <c r="BJ760" i="8"/>
  <c r="BK760" i="8"/>
  <c r="W762" i="9"/>
  <c r="X762" i="9"/>
  <c r="Y762" i="9"/>
  <c r="Z762" i="9"/>
  <c r="AA762" i="9"/>
  <c r="AB762" i="9"/>
  <c r="AC762" i="9"/>
  <c r="AD762" i="9"/>
  <c r="AE762" i="9"/>
  <c r="AF762" i="9"/>
  <c r="AG762" i="9"/>
  <c r="AH762" i="9"/>
  <c r="AI762" i="9"/>
  <c r="AJ762" i="9"/>
  <c r="AK762" i="9"/>
  <c r="AL762" i="9"/>
  <c r="AM762" i="9"/>
  <c r="AN762" i="9"/>
  <c r="AO762" i="9"/>
  <c r="AP762" i="9"/>
  <c r="AQ762" i="9"/>
  <c r="AR762" i="9"/>
  <c r="AS762" i="9"/>
  <c r="AT762" i="9"/>
  <c r="AU762" i="9"/>
  <c r="AV762" i="9"/>
  <c r="AW762" i="9"/>
  <c r="AX762" i="9"/>
  <c r="AY762" i="9"/>
  <c r="AZ762" i="9"/>
  <c r="BA762" i="9"/>
  <c r="BB762" i="9"/>
  <c r="BC762" i="9"/>
  <c r="BD762" i="9"/>
  <c r="BE762" i="9"/>
  <c r="BF762" i="9"/>
  <c r="BG762" i="9"/>
  <c r="BH762" i="9"/>
  <c r="BI762" i="9"/>
  <c r="BJ762" i="9"/>
  <c r="BK762" i="9"/>
  <c r="X757" i="8"/>
  <c r="Y757" i="8"/>
  <c r="Z757" i="8"/>
  <c r="AA757" i="8"/>
  <c r="AB757" i="8"/>
  <c r="AC757" i="8"/>
  <c r="AD757" i="8"/>
  <c r="AE757" i="8"/>
  <c r="AF757" i="8"/>
  <c r="AG757" i="8"/>
  <c r="AH757" i="8"/>
  <c r="AI757" i="8"/>
  <c r="AJ757" i="8"/>
  <c r="AK757" i="8"/>
  <c r="AL757" i="8"/>
  <c r="AM757" i="8"/>
  <c r="AN757" i="8"/>
  <c r="AO757" i="8"/>
  <c r="AP757" i="8"/>
  <c r="AQ757" i="8"/>
  <c r="AR757" i="8"/>
  <c r="AS757" i="8"/>
  <c r="AT757" i="8"/>
  <c r="AU757" i="8"/>
  <c r="AV757" i="8"/>
  <c r="AW757" i="8"/>
  <c r="AX757" i="8"/>
  <c r="AY757" i="8"/>
  <c r="AZ757" i="8"/>
  <c r="BA757" i="8"/>
  <c r="BB757" i="8"/>
  <c r="BC757" i="8"/>
  <c r="BD757" i="8"/>
  <c r="BE757" i="8"/>
  <c r="BF757" i="8"/>
  <c r="BG757" i="8"/>
  <c r="BH757" i="8"/>
  <c r="BI757" i="8"/>
  <c r="BJ757" i="8"/>
  <c r="BK757" i="8"/>
  <c r="W757" i="8"/>
  <c r="X754" i="8"/>
  <c r="Y754" i="8"/>
  <c r="Z754" i="8"/>
  <c r="AA754" i="8"/>
  <c r="AB754" i="8"/>
  <c r="AC754" i="8"/>
  <c r="AD754" i="8"/>
  <c r="AE754" i="8"/>
  <c r="AF754" i="8"/>
  <c r="AG754" i="8"/>
  <c r="AH754" i="8"/>
  <c r="AI754" i="8"/>
  <c r="AJ754" i="8"/>
  <c r="AK754" i="8"/>
  <c r="AL754" i="8"/>
  <c r="AM754" i="8"/>
  <c r="AN754" i="8"/>
  <c r="AO754" i="8"/>
  <c r="AP754" i="8"/>
  <c r="AQ754" i="8"/>
  <c r="AR754" i="8"/>
  <c r="AS754" i="8"/>
  <c r="AT754" i="8"/>
  <c r="AU754" i="8"/>
  <c r="AV754" i="8"/>
  <c r="AW754" i="8"/>
  <c r="AX754" i="8"/>
  <c r="AY754" i="8"/>
  <c r="AZ754" i="8"/>
  <c r="BA754" i="8"/>
  <c r="BB754" i="8"/>
  <c r="BC754" i="8"/>
  <c r="BD754" i="8"/>
  <c r="BE754" i="8"/>
  <c r="BF754" i="8"/>
  <c r="BG754" i="8"/>
  <c r="BH754" i="8"/>
  <c r="BI754" i="8"/>
  <c r="BJ754" i="8"/>
  <c r="BK754" i="8"/>
  <c r="W754" i="8"/>
  <c r="X759" i="9"/>
  <c r="Y759" i="9"/>
  <c r="Z759" i="9"/>
  <c r="AA759" i="9"/>
  <c r="AB759" i="9"/>
  <c r="AC759" i="9"/>
  <c r="AD759" i="9"/>
  <c r="AE759" i="9"/>
  <c r="AF759" i="9"/>
  <c r="AG759" i="9"/>
  <c r="AH759" i="9"/>
  <c r="AI759" i="9"/>
  <c r="AJ759" i="9"/>
  <c r="AK759" i="9"/>
  <c r="AL759" i="9"/>
  <c r="AM759" i="9"/>
  <c r="AN759" i="9"/>
  <c r="AO759" i="9"/>
  <c r="AP759" i="9"/>
  <c r="AQ759" i="9"/>
  <c r="AR759" i="9"/>
  <c r="AS759" i="9"/>
  <c r="AT759" i="9"/>
  <c r="AU759" i="9"/>
  <c r="AV759" i="9"/>
  <c r="AW759" i="9"/>
  <c r="AX759" i="9"/>
  <c r="AY759" i="9"/>
  <c r="AZ759" i="9"/>
  <c r="BA759" i="9"/>
  <c r="BB759" i="9"/>
  <c r="BC759" i="9"/>
  <c r="BD759" i="9"/>
  <c r="BE759" i="9"/>
  <c r="BF759" i="9"/>
  <c r="BG759" i="9"/>
  <c r="BH759" i="9"/>
  <c r="BI759" i="9"/>
  <c r="BJ759" i="9"/>
  <c r="BK759" i="9"/>
  <c r="W759" i="9"/>
  <c r="X756" i="9"/>
  <c r="Y756" i="9"/>
  <c r="Z756" i="9"/>
  <c r="AA756" i="9"/>
  <c r="AB756" i="9"/>
  <c r="AC756" i="9"/>
  <c r="AD756" i="9"/>
  <c r="AE756" i="9"/>
  <c r="AF756" i="9"/>
  <c r="AG756" i="9"/>
  <c r="AH756" i="9"/>
  <c r="AI756" i="9"/>
  <c r="AJ756" i="9"/>
  <c r="AK756" i="9"/>
  <c r="AL756" i="9"/>
  <c r="AM756" i="9"/>
  <c r="AN756" i="9"/>
  <c r="AO756" i="9"/>
  <c r="AP756" i="9"/>
  <c r="AQ756" i="9"/>
  <c r="AR756" i="9"/>
  <c r="AS756" i="9"/>
  <c r="AT756" i="9"/>
  <c r="AU756" i="9"/>
  <c r="AV756" i="9"/>
  <c r="AW756" i="9"/>
  <c r="AX756" i="9"/>
  <c r="AY756" i="9"/>
  <c r="AZ756" i="9"/>
  <c r="BA756" i="9"/>
  <c r="BB756" i="9"/>
  <c r="BC756" i="9"/>
  <c r="BD756" i="9"/>
  <c r="BE756" i="9"/>
  <c r="BF756" i="9"/>
  <c r="BG756" i="9"/>
  <c r="BH756" i="9"/>
  <c r="BI756" i="9"/>
  <c r="BJ756" i="9"/>
  <c r="BK756" i="9"/>
  <c r="W756" i="9"/>
  <c r="W757" i="20"/>
  <c r="X757" i="20"/>
  <c r="Y757" i="20"/>
  <c r="Z757" i="20"/>
  <c r="AA757" i="20"/>
  <c r="AB757" i="20"/>
  <c r="AC757" i="20"/>
  <c r="AD757" i="20"/>
  <c r="AE757" i="20"/>
  <c r="AF757" i="20"/>
  <c r="AG757" i="20"/>
  <c r="AH757" i="20"/>
  <c r="AI757" i="20"/>
  <c r="AJ757" i="20"/>
  <c r="AK757" i="20"/>
  <c r="AL757" i="20"/>
  <c r="AM757" i="20"/>
  <c r="AN757" i="20"/>
  <c r="AO757" i="20"/>
  <c r="AP757" i="20"/>
  <c r="AQ757" i="20"/>
  <c r="AR757" i="20"/>
  <c r="AS757" i="20"/>
  <c r="AT757" i="20"/>
  <c r="AU757" i="20"/>
  <c r="AV757" i="20"/>
  <c r="AW757" i="20"/>
  <c r="AX757" i="20"/>
  <c r="AY757" i="20"/>
  <c r="AZ757" i="20"/>
  <c r="BA757" i="20"/>
  <c r="BB757" i="20"/>
  <c r="BC757" i="20"/>
  <c r="BD757" i="20"/>
  <c r="BE757" i="20"/>
  <c r="BF757" i="20"/>
  <c r="BG757" i="20"/>
  <c r="BH757" i="20"/>
  <c r="BH759" i="20" s="1"/>
  <c r="BI757" i="20"/>
  <c r="BI759" i="20" s="1"/>
  <c r="BJ757" i="20"/>
  <c r="BK757" i="20"/>
  <c r="W758" i="20"/>
  <c r="X758" i="20"/>
  <c r="Y758" i="20"/>
  <c r="Z758" i="20"/>
  <c r="AA758" i="20"/>
  <c r="AB758" i="20"/>
  <c r="AC758" i="20"/>
  <c r="AD758" i="20"/>
  <c r="AE758" i="20"/>
  <c r="AF758" i="20"/>
  <c r="AG758" i="20"/>
  <c r="AH758" i="20"/>
  <c r="AI758" i="20"/>
  <c r="AJ758" i="20"/>
  <c r="AK758" i="20"/>
  <c r="AL758" i="20"/>
  <c r="AM758" i="20"/>
  <c r="AN758" i="20"/>
  <c r="AO758" i="20"/>
  <c r="AP758" i="20"/>
  <c r="AQ758" i="20"/>
  <c r="AR758" i="20"/>
  <c r="AS758" i="20"/>
  <c r="AT758" i="20"/>
  <c r="AU758" i="20"/>
  <c r="AV758" i="20"/>
  <c r="AW758" i="20"/>
  <c r="AX758" i="20"/>
  <c r="AY758" i="20"/>
  <c r="AZ758" i="20"/>
  <c r="BA758" i="20"/>
  <c r="BB758" i="20"/>
  <c r="BC758" i="20"/>
  <c r="BC759" i="20"/>
  <c r="BD758" i="20"/>
  <c r="BE758" i="20"/>
  <c r="BF758" i="20"/>
  <c r="BG758" i="20"/>
  <c r="BH758" i="20"/>
  <c r="BI758" i="20"/>
  <c r="BJ758" i="20"/>
  <c r="BK758" i="20"/>
  <c r="W754" i="20"/>
  <c r="X754" i="20"/>
  <c r="Y754" i="20"/>
  <c r="Z754" i="20"/>
  <c r="Z756" i="20" s="1"/>
  <c r="AA754" i="20"/>
  <c r="AB754" i="20"/>
  <c r="AC754" i="20"/>
  <c r="AD754" i="20"/>
  <c r="AE754" i="20"/>
  <c r="AF754" i="20"/>
  <c r="AG754" i="20"/>
  <c r="AG756" i="20" s="1"/>
  <c r="AH754" i="20"/>
  <c r="AI754" i="20"/>
  <c r="AJ754" i="20"/>
  <c r="AK754" i="20"/>
  <c r="AL754" i="20"/>
  <c r="AL756" i="20" s="1"/>
  <c r="AM754" i="20"/>
  <c r="AN754" i="20"/>
  <c r="AN756" i="20" s="1"/>
  <c r="AO754" i="20"/>
  <c r="AP754" i="20"/>
  <c r="AQ754" i="20"/>
  <c r="AR754" i="20"/>
  <c r="AS754" i="20"/>
  <c r="AT754" i="20"/>
  <c r="AU754" i="20"/>
  <c r="AV754" i="20"/>
  <c r="AW754" i="20"/>
  <c r="AX754" i="20"/>
  <c r="AY754" i="20"/>
  <c r="AZ754" i="20"/>
  <c r="BA754" i="20"/>
  <c r="BB754" i="20"/>
  <c r="BC754" i="20"/>
  <c r="BD754" i="20"/>
  <c r="BD756" i="20" s="1"/>
  <c r="BE754" i="20"/>
  <c r="BF754" i="20"/>
  <c r="BG754" i="20"/>
  <c r="BH754" i="20"/>
  <c r="BI754" i="20"/>
  <c r="BJ754" i="20"/>
  <c r="BJ756" i="20" s="1"/>
  <c r="BK754" i="20"/>
  <c r="W755" i="20"/>
  <c r="X755" i="20"/>
  <c r="Y755" i="20"/>
  <c r="Z755" i="20"/>
  <c r="AA755" i="20"/>
  <c r="AB755" i="20"/>
  <c r="AC755" i="20"/>
  <c r="AD755" i="20"/>
  <c r="AE755" i="20"/>
  <c r="AF755" i="20"/>
  <c r="AG755" i="20"/>
  <c r="AH755" i="20"/>
  <c r="AI755" i="20"/>
  <c r="AJ755" i="20"/>
  <c r="AK755" i="20"/>
  <c r="AL755" i="20"/>
  <c r="AM755" i="20"/>
  <c r="AN755" i="20"/>
  <c r="AO755" i="20"/>
  <c r="AP755" i="20"/>
  <c r="AQ755" i="20"/>
  <c r="AR755" i="20"/>
  <c r="AR756" i="20" s="1"/>
  <c r="AS755" i="20"/>
  <c r="AS756" i="20" s="1"/>
  <c r="AT755" i="20"/>
  <c r="AU755" i="20"/>
  <c r="AV755" i="20"/>
  <c r="AW755" i="20"/>
  <c r="AX755" i="20"/>
  <c r="AY755" i="20"/>
  <c r="AZ755" i="20"/>
  <c r="BA755" i="20"/>
  <c r="BB755" i="20"/>
  <c r="BC755" i="20"/>
  <c r="BD755" i="20"/>
  <c r="BE755" i="20"/>
  <c r="BF755" i="20"/>
  <c r="BG755" i="20"/>
  <c r="BH755" i="20"/>
  <c r="BH756" i="20" s="1"/>
  <c r="BI755" i="20"/>
  <c r="BJ755" i="20"/>
  <c r="BK755" i="20"/>
  <c r="W751" i="20"/>
  <c r="X751" i="20"/>
  <c r="Y751" i="20"/>
  <c r="Z751" i="20"/>
  <c r="AA751" i="20"/>
  <c r="AB751" i="20"/>
  <c r="AC751" i="20"/>
  <c r="AD751" i="20"/>
  <c r="AE751" i="20"/>
  <c r="AF751" i="20"/>
  <c r="AG751" i="20"/>
  <c r="AG753" i="20" s="1"/>
  <c r="AH751" i="20"/>
  <c r="AH753" i="20" s="1"/>
  <c r="AI751" i="20"/>
  <c r="AI753" i="20" s="1"/>
  <c r="AJ751" i="20"/>
  <c r="AK751" i="20"/>
  <c r="AL751" i="20"/>
  <c r="AM751" i="20"/>
  <c r="AN751" i="20"/>
  <c r="AO751" i="20"/>
  <c r="AP751" i="20"/>
  <c r="AQ751" i="20"/>
  <c r="AR751" i="20"/>
  <c r="AS751" i="20"/>
  <c r="AT751" i="20"/>
  <c r="AU751" i="20"/>
  <c r="AV751" i="20"/>
  <c r="AW751" i="20"/>
  <c r="AX751" i="20"/>
  <c r="AY751" i="20"/>
  <c r="AZ751" i="20"/>
  <c r="BA751" i="20"/>
  <c r="BB751" i="20"/>
  <c r="BC751" i="20"/>
  <c r="BD751" i="20"/>
  <c r="BE751" i="20"/>
  <c r="BF751" i="20"/>
  <c r="BG751" i="20"/>
  <c r="BH751" i="20"/>
  <c r="BI751" i="20"/>
  <c r="BJ751" i="20"/>
  <c r="BK751" i="20"/>
  <c r="W752" i="20"/>
  <c r="X752" i="20"/>
  <c r="Y752" i="20"/>
  <c r="Z752" i="20"/>
  <c r="AA752" i="20"/>
  <c r="AB752" i="20"/>
  <c r="AB753" i="20" s="1"/>
  <c r="AC752" i="20"/>
  <c r="AD752" i="20"/>
  <c r="AE752" i="20"/>
  <c r="AF752" i="20"/>
  <c r="AG752" i="20"/>
  <c r="AH752" i="20"/>
  <c r="AI752" i="20"/>
  <c r="AJ752" i="20"/>
  <c r="AK752" i="20"/>
  <c r="AL752" i="20"/>
  <c r="AM752" i="20"/>
  <c r="AN752" i="20"/>
  <c r="AN753" i="20" s="1"/>
  <c r="AO752" i="20"/>
  <c r="AP752" i="20"/>
  <c r="AQ752" i="20"/>
  <c r="AR752" i="20"/>
  <c r="AS752" i="20"/>
  <c r="AT752" i="20"/>
  <c r="AU752" i="20"/>
  <c r="AV752" i="20"/>
  <c r="AW752" i="20"/>
  <c r="AX752" i="20"/>
  <c r="AY752" i="20"/>
  <c r="AZ752" i="20"/>
  <c r="AZ753" i="20" s="1"/>
  <c r="BA752" i="20"/>
  <c r="BB752" i="20"/>
  <c r="BC752" i="20"/>
  <c r="BD752" i="20"/>
  <c r="BE752" i="20"/>
  <c r="BF752" i="20"/>
  <c r="BG752" i="20"/>
  <c r="BG753" i="20"/>
  <c r="BH752" i="20"/>
  <c r="BI752" i="20"/>
  <c r="BJ752" i="20"/>
  <c r="BK752" i="20"/>
  <c r="W751" i="8"/>
  <c r="X751" i="8"/>
  <c r="Y751" i="8"/>
  <c r="Z751" i="8"/>
  <c r="AA751" i="8"/>
  <c r="AB751" i="8"/>
  <c r="AC751" i="8"/>
  <c r="AD751" i="8"/>
  <c r="AE751" i="8"/>
  <c r="AF751" i="8"/>
  <c r="AG751" i="8"/>
  <c r="AH751" i="8"/>
  <c r="AI751" i="8"/>
  <c r="AJ751" i="8"/>
  <c r="AK751" i="8"/>
  <c r="AL751" i="8"/>
  <c r="AM751" i="8"/>
  <c r="AN751" i="8"/>
  <c r="AO751" i="8"/>
  <c r="AP751" i="8"/>
  <c r="AQ751" i="8"/>
  <c r="AR751" i="8"/>
  <c r="AS751" i="8"/>
  <c r="AT751" i="8"/>
  <c r="AU751" i="8"/>
  <c r="AV751" i="8"/>
  <c r="AW751" i="8"/>
  <c r="AX751" i="8"/>
  <c r="AY751" i="8"/>
  <c r="AZ751" i="8"/>
  <c r="BA751" i="8"/>
  <c r="BB751" i="8"/>
  <c r="BC751" i="8"/>
  <c r="BD751" i="8"/>
  <c r="BE751" i="8"/>
  <c r="BF751" i="8"/>
  <c r="BG751" i="8"/>
  <c r="BH751" i="8"/>
  <c r="BI751" i="8"/>
  <c r="BJ751" i="8"/>
  <c r="BK751" i="8"/>
  <c r="W753" i="9"/>
  <c r="X753" i="9"/>
  <c r="Y753" i="9"/>
  <c r="Z753" i="9"/>
  <c r="AA753" i="9"/>
  <c r="AB753" i="9"/>
  <c r="AC753" i="9"/>
  <c r="AD753" i="9"/>
  <c r="AE753" i="9"/>
  <c r="AF753" i="9"/>
  <c r="AG753" i="9"/>
  <c r="AH753" i="9"/>
  <c r="AI753" i="9"/>
  <c r="AJ753" i="9"/>
  <c r="AK753" i="9"/>
  <c r="AL753" i="9"/>
  <c r="AM753" i="9"/>
  <c r="AN753" i="9"/>
  <c r="AO753" i="9"/>
  <c r="AP753" i="9"/>
  <c r="AQ753" i="9"/>
  <c r="AR753" i="9"/>
  <c r="AS753" i="9"/>
  <c r="AT753" i="9"/>
  <c r="AU753" i="9"/>
  <c r="AV753" i="9"/>
  <c r="AW753" i="9"/>
  <c r="AX753" i="9"/>
  <c r="AY753" i="9"/>
  <c r="AZ753" i="9"/>
  <c r="BA753" i="9"/>
  <c r="BB753" i="9"/>
  <c r="BC753" i="9"/>
  <c r="BD753" i="9"/>
  <c r="BE753" i="9"/>
  <c r="BF753" i="9"/>
  <c r="BG753" i="9"/>
  <c r="BH753" i="9"/>
  <c r="BI753" i="9"/>
  <c r="BJ753" i="9"/>
  <c r="BK753" i="9"/>
  <c r="W748" i="20"/>
  <c r="X748" i="20"/>
  <c r="Y748" i="20"/>
  <c r="Z748" i="20"/>
  <c r="AA748" i="20"/>
  <c r="AA750" i="20" s="1"/>
  <c r="AB748" i="20"/>
  <c r="AC748" i="20"/>
  <c r="AD748" i="20"/>
  <c r="AE748" i="20"/>
  <c r="AF748" i="20"/>
  <c r="AF750" i="20" s="1"/>
  <c r="AG748" i="20"/>
  <c r="AH748" i="20"/>
  <c r="AI748" i="20"/>
  <c r="AJ748" i="20"/>
  <c r="AK748" i="20"/>
  <c r="AL748" i="20"/>
  <c r="AM748" i="20"/>
  <c r="AN748" i="20"/>
  <c r="AO748" i="20"/>
  <c r="AP748" i="20"/>
  <c r="AQ748" i="20"/>
  <c r="AR748" i="20"/>
  <c r="AS748" i="20"/>
  <c r="AT748" i="20"/>
  <c r="AU748" i="20"/>
  <c r="AV748" i="20"/>
  <c r="AW748" i="20"/>
  <c r="AX748" i="20"/>
  <c r="AY748" i="20"/>
  <c r="AZ748" i="20"/>
  <c r="BA748" i="20"/>
  <c r="BB748" i="20"/>
  <c r="BC748" i="20"/>
  <c r="BD748" i="20"/>
  <c r="BE748" i="20"/>
  <c r="BF748" i="20"/>
  <c r="BG748" i="20"/>
  <c r="BH748" i="20"/>
  <c r="BI748" i="20"/>
  <c r="BJ748" i="20"/>
  <c r="BK748" i="20"/>
  <c r="W749" i="20"/>
  <c r="X749" i="20"/>
  <c r="Y749" i="20"/>
  <c r="Z749" i="20"/>
  <c r="AA749" i="20"/>
  <c r="AB749" i="20"/>
  <c r="AC749" i="20"/>
  <c r="AD749" i="20"/>
  <c r="AE749" i="20"/>
  <c r="AF749" i="20"/>
  <c r="AG749" i="20"/>
  <c r="AH749" i="20"/>
  <c r="AI749" i="20"/>
  <c r="AJ749" i="20"/>
  <c r="AK749" i="20"/>
  <c r="AL749" i="20"/>
  <c r="AM749" i="20"/>
  <c r="AN749" i="20"/>
  <c r="AO749" i="20"/>
  <c r="AP749" i="20"/>
  <c r="AQ749" i="20"/>
  <c r="AR749" i="20"/>
  <c r="AS749" i="20"/>
  <c r="AT749" i="20"/>
  <c r="AU749" i="20"/>
  <c r="AV749" i="20"/>
  <c r="AW749" i="20"/>
  <c r="AX749" i="20"/>
  <c r="AY749" i="20"/>
  <c r="AY750" i="20" s="1"/>
  <c r="AZ749" i="20"/>
  <c r="BA749" i="20"/>
  <c r="BB749" i="20"/>
  <c r="BC749" i="20"/>
  <c r="BD749" i="20"/>
  <c r="BE749" i="20"/>
  <c r="BF749" i="20"/>
  <c r="BG749" i="20"/>
  <c r="BH749" i="20"/>
  <c r="BI749" i="20"/>
  <c r="BJ749" i="20"/>
  <c r="BK749" i="20"/>
  <c r="W746" i="20"/>
  <c r="W748" i="8"/>
  <c r="X748" i="8"/>
  <c r="Y748" i="8"/>
  <c r="Z748" i="8"/>
  <c r="AA748" i="8"/>
  <c r="AB748" i="8"/>
  <c r="AC748" i="8"/>
  <c r="AD748" i="8"/>
  <c r="AE748" i="8"/>
  <c r="AF748" i="8"/>
  <c r="AG748" i="8"/>
  <c r="AH748" i="8"/>
  <c r="AI748" i="8"/>
  <c r="AJ748" i="8"/>
  <c r="AK748" i="8"/>
  <c r="AL748" i="8"/>
  <c r="AM748" i="8"/>
  <c r="AN748" i="8"/>
  <c r="AO748" i="8"/>
  <c r="AP748" i="8"/>
  <c r="AQ748" i="8"/>
  <c r="AR748" i="8"/>
  <c r="AS748" i="8"/>
  <c r="AT748" i="8"/>
  <c r="AU748" i="8"/>
  <c r="AV748" i="8"/>
  <c r="AW748" i="8"/>
  <c r="AX748" i="8"/>
  <c r="AY748" i="8"/>
  <c r="AZ748" i="8"/>
  <c r="BA748" i="8"/>
  <c r="BB748" i="8"/>
  <c r="BC748" i="8"/>
  <c r="BD748" i="8"/>
  <c r="BE748" i="8"/>
  <c r="BF748" i="8"/>
  <c r="BG748" i="8"/>
  <c r="BH748" i="8"/>
  <c r="BI748" i="8"/>
  <c r="BJ748" i="8"/>
  <c r="BK748" i="8"/>
  <c r="X750" i="9"/>
  <c r="Y750" i="9"/>
  <c r="Z750" i="9"/>
  <c r="AA750" i="9"/>
  <c r="AB750" i="9"/>
  <c r="AC750" i="9"/>
  <c r="AD750" i="9"/>
  <c r="AE750" i="9"/>
  <c r="AF750" i="9"/>
  <c r="AG750" i="9"/>
  <c r="AH750" i="9"/>
  <c r="AI750" i="9"/>
  <c r="AJ750" i="9"/>
  <c r="AK750" i="9"/>
  <c r="AL750" i="9"/>
  <c r="AM750" i="9"/>
  <c r="AN750" i="9"/>
  <c r="AO750" i="9"/>
  <c r="AP750" i="9"/>
  <c r="AQ750" i="9"/>
  <c r="AR750" i="9"/>
  <c r="AS750" i="9"/>
  <c r="AT750" i="9"/>
  <c r="AU750" i="9"/>
  <c r="AV750" i="9"/>
  <c r="AW750" i="9"/>
  <c r="AX750" i="9"/>
  <c r="AY750" i="9"/>
  <c r="AZ750" i="9"/>
  <c r="BA750" i="9"/>
  <c r="BB750" i="9"/>
  <c r="BC750" i="9"/>
  <c r="BD750" i="9"/>
  <c r="BE750" i="9"/>
  <c r="BF750" i="9"/>
  <c r="BG750" i="9"/>
  <c r="BH750" i="9"/>
  <c r="BI750" i="9"/>
  <c r="BJ750" i="9"/>
  <c r="BK750" i="9"/>
  <c r="W750" i="9"/>
  <c r="Z745" i="8"/>
  <c r="X745" i="8"/>
  <c r="Y745" i="8"/>
  <c r="AA745" i="8"/>
  <c r="AB745" i="8"/>
  <c r="AC745" i="8"/>
  <c r="AD745" i="8"/>
  <c r="AE745" i="8"/>
  <c r="AF745" i="8"/>
  <c r="AG745" i="8"/>
  <c r="AH745" i="8"/>
  <c r="AI745" i="8"/>
  <c r="AJ745" i="8"/>
  <c r="AK745" i="8"/>
  <c r="AL745" i="8"/>
  <c r="AM745" i="8"/>
  <c r="AN745" i="8"/>
  <c r="AO745" i="8"/>
  <c r="AP745" i="8"/>
  <c r="AQ745" i="8"/>
  <c r="AR745" i="8"/>
  <c r="AS745" i="8"/>
  <c r="AT745" i="8"/>
  <c r="AU745" i="8"/>
  <c r="AV745" i="8"/>
  <c r="AW745" i="8"/>
  <c r="AX745" i="8"/>
  <c r="AY745" i="8"/>
  <c r="AZ745" i="8"/>
  <c r="BA745" i="8"/>
  <c r="BB745" i="8"/>
  <c r="BC745" i="8"/>
  <c r="BD745" i="8"/>
  <c r="BE745" i="8"/>
  <c r="BF745" i="8"/>
  <c r="BG745" i="8"/>
  <c r="BH745" i="8"/>
  <c r="BI745" i="8"/>
  <c r="BJ745" i="8"/>
  <c r="BK745" i="8"/>
  <c r="W745" i="8"/>
  <c r="W747" i="9"/>
  <c r="X747" i="9"/>
  <c r="Y747" i="9"/>
  <c r="Z747" i="9"/>
  <c r="AA747" i="9"/>
  <c r="AB747" i="9"/>
  <c r="AC747" i="9"/>
  <c r="AD747" i="9"/>
  <c r="AE747" i="9"/>
  <c r="AF747" i="9"/>
  <c r="AG747" i="9"/>
  <c r="AH747" i="9"/>
  <c r="AI747" i="9"/>
  <c r="AJ747" i="9"/>
  <c r="AK747" i="9"/>
  <c r="AL747" i="9"/>
  <c r="AM747" i="9"/>
  <c r="AN747" i="9"/>
  <c r="AO747" i="9"/>
  <c r="AP747" i="9"/>
  <c r="AQ747" i="9"/>
  <c r="AR747" i="9"/>
  <c r="AS747" i="9"/>
  <c r="AT747" i="9"/>
  <c r="AU747" i="9"/>
  <c r="AV747" i="9"/>
  <c r="AW747" i="9"/>
  <c r="AX747" i="9"/>
  <c r="AY747" i="9"/>
  <c r="AZ747" i="9"/>
  <c r="BA747" i="9"/>
  <c r="BB747" i="9"/>
  <c r="BC747" i="9"/>
  <c r="BD747" i="9"/>
  <c r="BE747" i="9"/>
  <c r="BF747" i="9"/>
  <c r="BG747" i="9"/>
  <c r="BH747" i="9"/>
  <c r="BI747" i="9"/>
  <c r="BJ747" i="9"/>
  <c r="BK747" i="9"/>
  <c r="W745" i="20"/>
  <c r="X745" i="20"/>
  <c r="Y745" i="20"/>
  <c r="Z745" i="20"/>
  <c r="AA745" i="20"/>
  <c r="AB745" i="20"/>
  <c r="AC745" i="20"/>
  <c r="AD745" i="20"/>
  <c r="AE745" i="20"/>
  <c r="AF745" i="20"/>
  <c r="AG745" i="20"/>
  <c r="AG747" i="20" s="1"/>
  <c r="AH745" i="20"/>
  <c r="AI745" i="20"/>
  <c r="AJ745" i="20"/>
  <c r="AK745" i="20"/>
  <c r="AL745" i="20"/>
  <c r="AM745" i="20"/>
  <c r="AN745" i="20"/>
  <c r="AO745" i="20"/>
  <c r="AP745" i="20"/>
  <c r="AQ745" i="20"/>
  <c r="AR745" i="20"/>
  <c r="AS745" i="20"/>
  <c r="AT745" i="20"/>
  <c r="AU745" i="20"/>
  <c r="AV745" i="20"/>
  <c r="AW745" i="20"/>
  <c r="AX745" i="20"/>
  <c r="AY745" i="20"/>
  <c r="AZ745" i="20"/>
  <c r="BA745" i="20"/>
  <c r="BB745" i="20"/>
  <c r="BB747" i="20" s="1"/>
  <c r="BC745" i="20"/>
  <c r="BD745" i="20"/>
  <c r="BE745" i="20"/>
  <c r="BF745" i="20"/>
  <c r="BG745" i="20"/>
  <c r="BH745" i="20"/>
  <c r="BI745" i="20"/>
  <c r="BJ745" i="20"/>
  <c r="BK745" i="20"/>
  <c r="X746" i="20"/>
  <c r="Y746" i="20"/>
  <c r="Z746" i="20"/>
  <c r="AA746" i="20"/>
  <c r="AB746" i="20"/>
  <c r="AC746" i="20"/>
  <c r="AD746" i="20"/>
  <c r="AE746" i="20"/>
  <c r="AF746" i="20"/>
  <c r="AG746" i="20"/>
  <c r="AH746" i="20"/>
  <c r="AI746" i="20"/>
  <c r="AJ746" i="20"/>
  <c r="AK746" i="20"/>
  <c r="AL746" i="20"/>
  <c r="AM746" i="20"/>
  <c r="AN746" i="20"/>
  <c r="AO746" i="20"/>
  <c r="AP746" i="20"/>
  <c r="AQ746" i="20"/>
  <c r="AR746" i="20"/>
  <c r="AS746" i="20"/>
  <c r="AT746" i="20"/>
  <c r="AU746" i="20"/>
  <c r="AV746" i="20"/>
  <c r="AV747" i="20" s="1"/>
  <c r="AW746" i="20"/>
  <c r="AX746" i="20"/>
  <c r="AY746" i="20"/>
  <c r="AZ746" i="20"/>
  <c r="BA746" i="20"/>
  <c r="BB746" i="20"/>
  <c r="BC746" i="20"/>
  <c r="BD746" i="20"/>
  <c r="BE746" i="20"/>
  <c r="BF746" i="20"/>
  <c r="BG746" i="20"/>
  <c r="BH746" i="20"/>
  <c r="BI746" i="20"/>
  <c r="BJ746" i="20"/>
  <c r="BJ747" i="20" s="1"/>
  <c r="BK746" i="20"/>
  <c r="BK743" i="20"/>
  <c r="BJ743" i="20"/>
  <c r="BI743" i="20"/>
  <c r="BH743" i="20"/>
  <c r="BG743" i="20"/>
  <c r="BF743" i="20"/>
  <c r="BE743" i="20"/>
  <c r="BD743" i="20"/>
  <c r="BC743" i="20"/>
  <c r="BB743" i="20"/>
  <c r="BB744" i="20" s="1"/>
  <c r="BA743" i="20"/>
  <c r="AZ743" i="20"/>
  <c r="AY743" i="20"/>
  <c r="AX743" i="20"/>
  <c r="AW743" i="20"/>
  <c r="AV743" i="20"/>
  <c r="AU743" i="20"/>
  <c r="AT743" i="20"/>
  <c r="AS743" i="20"/>
  <c r="AR743" i="20"/>
  <c r="AQ743" i="20"/>
  <c r="AP743" i="20"/>
  <c r="AO743" i="20"/>
  <c r="AN743" i="20"/>
  <c r="AM743" i="20"/>
  <c r="AM744" i="20" s="1"/>
  <c r="AL743" i="20"/>
  <c r="AK743" i="20"/>
  <c r="AJ743" i="20"/>
  <c r="AI743" i="20"/>
  <c r="AH743" i="20"/>
  <c r="AG743" i="20"/>
  <c r="AF743" i="20"/>
  <c r="AE743" i="20"/>
  <c r="AD743" i="20"/>
  <c r="AC743" i="20"/>
  <c r="AB743" i="20"/>
  <c r="AA743" i="20"/>
  <c r="Z743" i="20"/>
  <c r="Y743" i="20"/>
  <c r="X743" i="20"/>
  <c r="W743" i="20"/>
  <c r="BK742" i="20"/>
  <c r="BK744" i="20" s="1"/>
  <c r="BJ742" i="20"/>
  <c r="BI742" i="20"/>
  <c r="BH742" i="20"/>
  <c r="BG742" i="20"/>
  <c r="BF742" i="20"/>
  <c r="BE742" i="20"/>
  <c r="BD742" i="20"/>
  <c r="BC742" i="20"/>
  <c r="BB742" i="20"/>
  <c r="BA742" i="20"/>
  <c r="AZ742" i="20"/>
  <c r="AY742" i="20"/>
  <c r="AY744" i="20" s="1"/>
  <c r="AX742" i="20"/>
  <c r="AW742" i="20"/>
  <c r="AV742" i="20"/>
  <c r="AU742" i="20"/>
  <c r="AT742" i="20"/>
  <c r="AS742" i="20"/>
  <c r="AR742" i="20"/>
  <c r="AQ742" i="20"/>
  <c r="AQ744" i="20" s="1"/>
  <c r="AP742" i="20"/>
  <c r="AO742" i="20"/>
  <c r="AN742" i="20"/>
  <c r="AM742" i="20"/>
  <c r="AL742" i="20"/>
  <c r="AK742" i="20"/>
  <c r="AJ742" i="20"/>
  <c r="AI742" i="20"/>
  <c r="AH742" i="20"/>
  <c r="AG742" i="20"/>
  <c r="AF742" i="20"/>
  <c r="AF744" i="20" s="1"/>
  <c r="AE742" i="20"/>
  <c r="AD742" i="20"/>
  <c r="AD744" i="20" s="1"/>
  <c r="AC742" i="20"/>
  <c r="AB742" i="20"/>
  <c r="AA742" i="20"/>
  <c r="Z742" i="20"/>
  <c r="Y742" i="20"/>
  <c r="X742" i="20"/>
  <c r="W742" i="20"/>
  <c r="BK742" i="8"/>
  <c r="BJ742" i="8"/>
  <c r="BI742" i="8"/>
  <c r="BH742" i="8"/>
  <c r="BG742" i="8"/>
  <c r="BF742" i="8"/>
  <c r="BE742" i="8"/>
  <c r="BD742" i="8"/>
  <c r="BC742" i="8"/>
  <c r="BB742" i="8"/>
  <c r="BA742" i="8"/>
  <c r="AZ742" i="8"/>
  <c r="AY742" i="8"/>
  <c r="AX742" i="8"/>
  <c r="AW742" i="8"/>
  <c r="AV742" i="8"/>
  <c r="AU742" i="8"/>
  <c r="AT742" i="8"/>
  <c r="AS742" i="8"/>
  <c r="AR742" i="8"/>
  <c r="AQ742" i="8"/>
  <c r="AP742" i="8"/>
  <c r="AO742" i="8"/>
  <c r="AN742" i="8"/>
  <c r="AM742" i="8"/>
  <c r="AL742" i="8"/>
  <c r="AK742" i="8"/>
  <c r="AJ742" i="8"/>
  <c r="AI742" i="8"/>
  <c r="AH742" i="8"/>
  <c r="AG742" i="8"/>
  <c r="AF742" i="8"/>
  <c r="AE742" i="8"/>
  <c r="AD742" i="8"/>
  <c r="AC742" i="8"/>
  <c r="AB742" i="8"/>
  <c r="AA742" i="8"/>
  <c r="Z742" i="8"/>
  <c r="Y742" i="8"/>
  <c r="X742" i="8"/>
  <c r="W742" i="8"/>
  <c r="BK744" i="9"/>
  <c r="BJ744" i="9"/>
  <c r="BI744" i="9"/>
  <c r="BH744" i="9"/>
  <c r="BG744" i="9"/>
  <c r="BF744" i="9"/>
  <c r="BE744" i="9"/>
  <c r="BD744" i="9"/>
  <c r="BC744" i="9"/>
  <c r="BB744" i="9"/>
  <c r="BA744" i="9"/>
  <c r="AZ744" i="9"/>
  <c r="AY744" i="9"/>
  <c r="AX744" i="9"/>
  <c r="AW744" i="9"/>
  <c r="AV744" i="9"/>
  <c r="AU744" i="9"/>
  <c r="AT744" i="9"/>
  <c r="AS744" i="9"/>
  <c r="AR744" i="9"/>
  <c r="AQ744" i="9"/>
  <c r="AP744" i="9"/>
  <c r="AO744" i="9"/>
  <c r="AN744" i="9"/>
  <c r="AM744" i="9"/>
  <c r="AL744" i="9"/>
  <c r="AK744" i="9"/>
  <c r="AJ744" i="9"/>
  <c r="AI744" i="9"/>
  <c r="AH744" i="9"/>
  <c r="AG744" i="9"/>
  <c r="AF744" i="9"/>
  <c r="AE744" i="9"/>
  <c r="AD744" i="9"/>
  <c r="AC744" i="9"/>
  <c r="AB744" i="9"/>
  <c r="AA744" i="9"/>
  <c r="Z744" i="9"/>
  <c r="Y744" i="9"/>
  <c r="X744" i="9"/>
  <c r="W744" i="9"/>
  <c r="BK740" i="20"/>
  <c r="BJ740" i="20"/>
  <c r="BI740" i="20"/>
  <c r="BI741" i="20" s="1"/>
  <c r="BH740" i="20"/>
  <c r="BH741" i="20" s="1"/>
  <c r="BG740" i="20"/>
  <c r="BF740" i="20"/>
  <c r="BE740" i="20"/>
  <c r="BD740" i="20"/>
  <c r="BC740" i="20"/>
  <c r="BB740" i="20"/>
  <c r="BA740" i="20"/>
  <c r="AZ740" i="20"/>
  <c r="AY740" i="20"/>
  <c r="AX740" i="20"/>
  <c r="AW740" i="20"/>
  <c r="AV740" i="20"/>
  <c r="AU740" i="20"/>
  <c r="AT740" i="20"/>
  <c r="AS740" i="20"/>
  <c r="AR740" i="20"/>
  <c r="AQ740" i="20"/>
  <c r="AP740" i="20"/>
  <c r="AO740" i="20"/>
  <c r="AN740" i="20"/>
  <c r="AM740" i="20"/>
  <c r="AL740" i="20"/>
  <c r="AK740" i="20"/>
  <c r="AJ740" i="20"/>
  <c r="AI740" i="20"/>
  <c r="AH740" i="20"/>
  <c r="AG740" i="20"/>
  <c r="AF740" i="20"/>
  <c r="AE740" i="20"/>
  <c r="AD740" i="20"/>
  <c r="AC740" i="20"/>
  <c r="AC741" i="20" s="1"/>
  <c r="AB740" i="20"/>
  <c r="AB741" i="20" s="1"/>
  <c r="AA740" i="20"/>
  <c r="Z740" i="20"/>
  <c r="Y740" i="20"/>
  <c r="X740" i="20"/>
  <c r="W740" i="20"/>
  <c r="BK739" i="20"/>
  <c r="BJ739" i="20"/>
  <c r="BI739" i="20"/>
  <c r="BH739" i="20"/>
  <c r="BG739" i="20"/>
  <c r="BF739" i="20"/>
  <c r="BE739" i="20"/>
  <c r="BD739" i="20"/>
  <c r="BC739" i="20"/>
  <c r="BB739" i="20"/>
  <c r="BA739" i="20"/>
  <c r="BA741" i="20" s="1"/>
  <c r="AZ739" i="20"/>
  <c r="AZ741" i="20" s="1"/>
  <c r="AY739" i="20"/>
  <c r="AY741" i="20" s="1"/>
  <c r="AX739" i="20"/>
  <c r="AW739" i="20"/>
  <c r="AV739" i="20"/>
  <c r="AU739" i="20"/>
  <c r="AT739" i="20"/>
  <c r="AS739" i="20"/>
  <c r="AR739" i="20"/>
  <c r="AQ739" i="20"/>
  <c r="AP739" i="20"/>
  <c r="AO739" i="20"/>
  <c r="AN739" i="20"/>
  <c r="AN741" i="20" s="1"/>
  <c r="AM739" i="20"/>
  <c r="AM741" i="20" s="1"/>
  <c r="AL739" i="20"/>
  <c r="AK739" i="20"/>
  <c r="AJ739" i="20"/>
  <c r="AI739" i="20"/>
  <c r="AH739" i="20"/>
  <c r="AG739" i="20"/>
  <c r="AF739" i="20"/>
  <c r="AE739" i="20"/>
  <c r="AD739" i="20"/>
  <c r="AC739" i="20"/>
  <c r="AB739" i="20"/>
  <c r="AA739" i="20"/>
  <c r="AA741" i="20" s="1"/>
  <c r="Z739" i="20"/>
  <c r="Y739" i="20"/>
  <c r="Y741" i="20" s="1"/>
  <c r="X739" i="20"/>
  <c r="W739" i="20"/>
  <c r="BK739" i="8"/>
  <c r="BJ739" i="8"/>
  <c r="BI739" i="8"/>
  <c r="BH739" i="8"/>
  <c r="BG739" i="8"/>
  <c r="BF739" i="8"/>
  <c r="BE739" i="8"/>
  <c r="BD739" i="8"/>
  <c r="BC739" i="8"/>
  <c r="BB739" i="8"/>
  <c r="BA739" i="8"/>
  <c r="AZ739" i="8"/>
  <c r="AY739" i="8"/>
  <c r="AX739" i="8"/>
  <c r="AW739" i="8"/>
  <c r="AV739" i="8"/>
  <c r="AU739" i="8"/>
  <c r="AT739" i="8"/>
  <c r="AS739" i="8"/>
  <c r="AR739" i="8"/>
  <c r="AQ739" i="8"/>
  <c r="AP739" i="8"/>
  <c r="AO739" i="8"/>
  <c r="AN739" i="8"/>
  <c r="AM739" i="8"/>
  <c r="AL739" i="8"/>
  <c r="AK739" i="8"/>
  <c r="AJ739" i="8"/>
  <c r="AI739" i="8"/>
  <c r="AH739" i="8"/>
  <c r="AG739" i="8"/>
  <c r="AF739" i="8"/>
  <c r="AE739" i="8"/>
  <c r="AD739" i="8"/>
  <c r="AC739" i="8"/>
  <c r="AB739" i="8"/>
  <c r="AA739" i="8"/>
  <c r="Z739" i="8"/>
  <c r="Y739" i="8"/>
  <c r="X739" i="8"/>
  <c r="W739" i="8"/>
  <c r="BK741" i="9"/>
  <c r="BJ741" i="9"/>
  <c r="BI741" i="9"/>
  <c r="BH741" i="9"/>
  <c r="BG741" i="9"/>
  <c r="BF741" i="9"/>
  <c r="BE741" i="9"/>
  <c r="BD741" i="9"/>
  <c r="BC741" i="9"/>
  <c r="BB741" i="9"/>
  <c r="BA741" i="9"/>
  <c r="AZ741" i="9"/>
  <c r="AY741" i="9"/>
  <c r="AX741" i="9"/>
  <c r="AW741" i="9"/>
  <c r="AV741" i="9"/>
  <c r="AU741" i="9"/>
  <c r="AT741" i="9"/>
  <c r="AS741" i="9"/>
  <c r="AR741" i="9"/>
  <c r="AQ741" i="9"/>
  <c r="AP741" i="9"/>
  <c r="AO741" i="9"/>
  <c r="AN741" i="9"/>
  <c r="AM741" i="9"/>
  <c r="AL741" i="9"/>
  <c r="AK741" i="9"/>
  <c r="AJ741" i="9"/>
  <c r="AI741" i="9"/>
  <c r="AH741" i="9"/>
  <c r="AG741" i="9"/>
  <c r="AF741" i="9"/>
  <c r="AE741" i="9"/>
  <c r="AD741" i="9"/>
  <c r="AC741" i="9"/>
  <c r="AB741" i="9"/>
  <c r="AA741" i="9"/>
  <c r="Z741" i="9"/>
  <c r="Y741" i="9"/>
  <c r="X741" i="9"/>
  <c r="W741" i="9"/>
  <c r="W736" i="20"/>
  <c r="W733" i="8"/>
  <c r="BK737" i="20"/>
  <c r="BJ737" i="20"/>
  <c r="BI737" i="20"/>
  <c r="BH737" i="20"/>
  <c r="BG737" i="20"/>
  <c r="BF737" i="20"/>
  <c r="BE737" i="20"/>
  <c r="BD737" i="20"/>
  <c r="BC737" i="20"/>
  <c r="BB737" i="20"/>
  <c r="BB738" i="20" s="1"/>
  <c r="BA737" i="20"/>
  <c r="AZ737" i="20"/>
  <c r="AY737" i="20"/>
  <c r="AX737" i="20"/>
  <c r="AW737" i="20"/>
  <c r="AV737" i="20"/>
  <c r="AU737" i="20"/>
  <c r="AT737" i="20"/>
  <c r="AS737" i="20"/>
  <c r="AR737" i="20"/>
  <c r="AQ737" i="20"/>
  <c r="AP737" i="20"/>
  <c r="AO737" i="20"/>
  <c r="AN737" i="20"/>
  <c r="AM737" i="20"/>
  <c r="AL737" i="20"/>
  <c r="AL738" i="20" s="1"/>
  <c r="AK737" i="20"/>
  <c r="AJ737" i="20"/>
  <c r="AI737" i="20"/>
  <c r="AH737" i="20"/>
  <c r="AG737" i="20"/>
  <c r="AF737" i="20"/>
  <c r="AE737" i="20"/>
  <c r="AD737" i="20"/>
  <c r="AC737" i="20"/>
  <c r="AB737" i="20"/>
  <c r="AA737" i="20"/>
  <c r="Z737" i="20"/>
  <c r="Y737" i="20"/>
  <c r="X737" i="20"/>
  <c r="W737" i="20"/>
  <c r="BK736" i="20"/>
  <c r="BK738" i="20" s="1"/>
  <c r="BJ736" i="20"/>
  <c r="BI736" i="20"/>
  <c r="BI738" i="20"/>
  <c r="BH736" i="20"/>
  <c r="BG736" i="20"/>
  <c r="BF736" i="20"/>
  <c r="BE736" i="20"/>
  <c r="BD736" i="20"/>
  <c r="BC736" i="20"/>
  <c r="BB736" i="20"/>
  <c r="BA736" i="20"/>
  <c r="AZ736" i="20"/>
  <c r="AY736" i="20"/>
  <c r="AX736" i="20"/>
  <c r="AX738" i="20" s="1"/>
  <c r="AW736" i="20"/>
  <c r="AV736" i="20"/>
  <c r="AV738" i="20"/>
  <c r="AU736" i="20"/>
  <c r="AT736" i="20"/>
  <c r="AS736" i="20"/>
  <c r="AS738" i="20"/>
  <c r="AR736" i="20"/>
  <c r="AQ736" i="20"/>
  <c r="AP736" i="20"/>
  <c r="AO736" i="20"/>
  <c r="AN736" i="20"/>
  <c r="AM736" i="20"/>
  <c r="AL736" i="20"/>
  <c r="AK736" i="20"/>
  <c r="AK738" i="20" s="1"/>
  <c r="AJ736" i="20"/>
  <c r="AI736" i="20"/>
  <c r="AH736" i="20"/>
  <c r="AG736" i="20"/>
  <c r="AF736" i="20"/>
  <c r="AE736" i="20"/>
  <c r="AD736" i="20"/>
  <c r="AC736" i="20"/>
  <c r="AB736" i="20"/>
  <c r="AA736" i="20"/>
  <c r="Z736" i="20"/>
  <c r="Y736" i="20"/>
  <c r="X736" i="20"/>
  <c r="BK736" i="8"/>
  <c r="BJ736" i="8"/>
  <c r="BI736" i="8"/>
  <c r="BH736" i="8"/>
  <c r="BG736" i="8"/>
  <c r="BF736" i="8"/>
  <c r="BE736" i="8"/>
  <c r="BD736" i="8"/>
  <c r="BC736" i="8"/>
  <c r="BB736" i="8"/>
  <c r="BA736" i="8"/>
  <c r="AZ736" i="8"/>
  <c r="AY736" i="8"/>
  <c r="AX736" i="8"/>
  <c r="AW736" i="8"/>
  <c r="AV736" i="8"/>
  <c r="AU736" i="8"/>
  <c r="AT736" i="8"/>
  <c r="AS736" i="8"/>
  <c r="AR736" i="8"/>
  <c r="AQ736" i="8"/>
  <c r="AP736" i="8"/>
  <c r="AO736" i="8"/>
  <c r="AN736" i="8"/>
  <c r="AM736" i="8"/>
  <c r="AL736" i="8"/>
  <c r="AK736" i="8"/>
  <c r="AJ736" i="8"/>
  <c r="AI736" i="8"/>
  <c r="AH736" i="8"/>
  <c r="AG736" i="8"/>
  <c r="AF736" i="8"/>
  <c r="AE736" i="8"/>
  <c r="AD736" i="8"/>
  <c r="AC736" i="8"/>
  <c r="AB736" i="8"/>
  <c r="AA736" i="8"/>
  <c r="Z736" i="8"/>
  <c r="Y736" i="8"/>
  <c r="X736" i="8"/>
  <c r="W736" i="8"/>
  <c r="BK738" i="9"/>
  <c r="BJ738" i="9"/>
  <c r="BI738" i="9"/>
  <c r="BH738" i="9"/>
  <c r="BG738" i="9"/>
  <c r="BF738" i="9"/>
  <c r="BE738" i="9"/>
  <c r="BD738" i="9"/>
  <c r="BC738" i="9"/>
  <c r="BB738" i="9"/>
  <c r="BA738" i="9"/>
  <c r="AZ738" i="9"/>
  <c r="AY738" i="9"/>
  <c r="AX738" i="9"/>
  <c r="AW738" i="9"/>
  <c r="AV738" i="9"/>
  <c r="AU738" i="9"/>
  <c r="AT738" i="9"/>
  <c r="AS738" i="9"/>
  <c r="AR738" i="9"/>
  <c r="AQ738" i="9"/>
  <c r="AP738" i="9"/>
  <c r="AO738" i="9"/>
  <c r="AN738" i="9"/>
  <c r="AM738" i="9"/>
  <c r="AL738" i="9"/>
  <c r="AK738" i="9"/>
  <c r="AJ738" i="9"/>
  <c r="AI738" i="9"/>
  <c r="AH738" i="9"/>
  <c r="AG738" i="9"/>
  <c r="AF738" i="9"/>
  <c r="AE738" i="9"/>
  <c r="AD738" i="9"/>
  <c r="AC738" i="9"/>
  <c r="AB738" i="9"/>
  <c r="AA738" i="9"/>
  <c r="Z738" i="9"/>
  <c r="Y738" i="9"/>
  <c r="X738" i="9"/>
  <c r="W738" i="9"/>
  <c r="B18" i="24"/>
  <c r="C10" i="14" s="1"/>
  <c r="BK734" i="20"/>
  <c r="BJ734" i="20"/>
  <c r="BI734" i="20"/>
  <c r="BH734" i="20"/>
  <c r="BG734" i="20"/>
  <c r="BF734" i="20"/>
  <c r="BE734" i="20"/>
  <c r="BD734" i="20"/>
  <c r="BC734" i="20"/>
  <c r="BB734" i="20"/>
  <c r="BA734" i="20"/>
  <c r="AZ734" i="20"/>
  <c r="AY734" i="20"/>
  <c r="AX734" i="20"/>
  <c r="AW734" i="20"/>
  <c r="AV734" i="20"/>
  <c r="AU734" i="20"/>
  <c r="AT734" i="20"/>
  <c r="AS734" i="20"/>
  <c r="AR734" i="20"/>
  <c r="AQ734" i="20"/>
  <c r="AP734" i="20"/>
  <c r="AO734" i="20"/>
  <c r="AN734" i="20"/>
  <c r="AM734" i="20"/>
  <c r="AL734" i="20"/>
  <c r="AK734" i="20"/>
  <c r="AJ734" i="20"/>
  <c r="AI734" i="20"/>
  <c r="AH734" i="20"/>
  <c r="AG734" i="20"/>
  <c r="AF734" i="20"/>
  <c r="AE734" i="20"/>
  <c r="AD734" i="20"/>
  <c r="AC734" i="20"/>
  <c r="AB734" i="20"/>
  <c r="AA734" i="20"/>
  <c r="Z734" i="20"/>
  <c r="Y734" i="20"/>
  <c r="X734" i="20"/>
  <c r="W734" i="20"/>
  <c r="BK733" i="20"/>
  <c r="BJ733" i="20"/>
  <c r="BI733" i="20"/>
  <c r="BH733" i="20"/>
  <c r="BG733" i="20"/>
  <c r="BF733" i="20"/>
  <c r="BF735" i="20" s="1"/>
  <c r="BE733" i="20"/>
  <c r="BE735" i="20" s="1"/>
  <c r="BD733" i="20"/>
  <c r="BC733" i="20"/>
  <c r="BC735" i="20" s="1"/>
  <c r="BB733" i="20"/>
  <c r="BA733" i="20"/>
  <c r="AZ733" i="20"/>
  <c r="AY733" i="20"/>
  <c r="AX733" i="20"/>
  <c r="AW733" i="20"/>
  <c r="AV733" i="20"/>
  <c r="AU733" i="20"/>
  <c r="AT733" i="20"/>
  <c r="AT735" i="20" s="1"/>
  <c r="AS733" i="20"/>
  <c r="AR733" i="20"/>
  <c r="AQ733" i="20"/>
  <c r="AP733" i="20"/>
  <c r="AO733" i="20"/>
  <c r="AN733" i="20"/>
  <c r="AM733" i="20"/>
  <c r="AL733" i="20"/>
  <c r="AK733" i="20"/>
  <c r="AJ733" i="20"/>
  <c r="AI733" i="20"/>
  <c r="AH733" i="20"/>
  <c r="AG733" i="20"/>
  <c r="AF733" i="20"/>
  <c r="AF735" i="20" s="1"/>
  <c r="AE733" i="20"/>
  <c r="AE735" i="20" s="1"/>
  <c r="AD733" i="20"/>
  <c r="AC733" i="20"/>
  <c r="AB733" i="20"/>
  <c r="AA733" i="20"/>
  <c r="Z733" i="20"/>
  <c r="Y733" i="20"/>
  <c r="X733" i="20"/>
  <c r="W733" i="20"/>
  <c r="BK733" i="8"/>
  <c r="BJ733" i="8"/>
  <c r="BI733" i="8"/>
  <c r="BH733" i="8"/>
  <c r="BG733" i="8"/>
  <c r="BF733" i="8"/>
  <c r="BE733" i="8"/>
  <c r="BD733" i="8"/>
  <c r="BC733" i="8"/>
  <c r="BB733" i="8"/>
  <c r="BA733" i="8"/>
  <c r="AZ733" i="8"/>
  <c r="AY733" i="8"/>
  <c r="AX733" i="8"/>
  <c r="AW733" i="8"/>
  <c r="AV733" i="8"/>
  <c r="AU733" i="8"/>
  <c r="AT733" i="8"/>
  <c r="AS733" i="8"/>
  <c r="AR733" i="8"/>
  <c r="AQ733" i="8"/>
  <c r="AP733" i="8"/>
  <c r="AO733" i="8"/>
  <c r="AN733" i="8"/>
  <c r="AM733" i="8"/>
  <c r="AL733" i="8"/>
  <c r="AK733" i="8"/>
  <c r="AJ733" i="8"/>
  <c r="AI733" i="8"/>
  <c r="AH733" i="8"/>
  <c r="AG733" i="8"/>
  <c r="AF733" i="8"/>
  <c r="AE733" i="8"/>
  <c r="AD733" i="8"/>
  <c r="AC733" i="8"/>
  <c r="AB733" i="8"/>
  <c r="AA733" i="8"/>
  <c r="Z733" i="8"/>
  <c r="Y733" i="8"/>
  <c r="X733" i="8"/>
  <c r="X735" i="9"/>
  <c r="Y735" i="9"/>
  <c r="Z735" i="9"/>
  <c r="AA735" i="9"/>
  <c r="AB735" i="9"/>
  <c r="AC735" i="9"/>
  <c r="AD735" i="9"/>
  <c r="AE735" i="9"/>
  <c r="AF735" i="9"/>
  <c r="AG735" i="9"/>
  <c r="AH735" i="9"/>
  <c r="AI735" i="9"/>
  <c r="AJ735" i="9"/>
  <c r="AK735" i="9"/>
  <c r="AL735" i="9"/>
  <c r="AM735" i="9"/>
  <c r="AN735" i="9"/>
  <c r="AO735" i="9"/>
  <c r="AP735" i="9"/>
  <c r="AQ735" i="9"/>
  <c r="AR735" i="9"/>
  <c r="AS735" i="9"/>
  <c r="AT735" i="9"/>
  <c r="AU735" i="9"/>
  <c r="AV735" i="9"/>
  <c r="AW735" i="9"/>
  <c r="AX735" i="9"/>
  <c r="AY735" i="9"/>
  <c r="AZ735" i="9"/>
  <c r="BA735" i="9"/>
  <c r="BB735" i="9"/>
  <c r="BC735" i="9"/>
  <c r="BD735" i="9"/>
  <c r="BE735" i="9"/>
  <c r="BF735" i="9"/>
  <c r="BG735" i="9"/>
  <c r="BH735" i="9"/>
  <c r="BI735" i="9"/>
  <c r="BJ735" i="9"/>
  <c r="BK735" i="9"/>
  <c r="W735" i="9"/>
  <c r="X732" i="9"/>
  <c r="W732" i="9"/>
  <c r="BK731" i="20"/>
  <c r="BJ731" i="20"/>
  <c r="BI731" i="20"/>
  <c r="BH731" i="20"/>
  <c r="BG731" i="20"/>
  <c r="BF731" i="20"/>
  <c r="BE731" i="20"/>
  <c r="BD731" i="20"/>
  <c r="BC731" i="20"/>
  <c r="BB731" i="20"/>
  <c r="BA731" i="20"/>
  <c r="AZ731" i="20"/>
  <c r="AY731" i="20"/>
  <c r="AX731" i="20"/>
  <c r="AW731" i="20"/>
  <c r="AV731" i="20"/>
  <c r="AU731" i="20"/>
  <c r="AT731" i="20"/>
  <c r="AS731" i="20"/>
  <c r="AR731" i="20"/>
  <c r="AQ731" i="20"/>
  <c r="AP731" i="20"/>
  <c r="AO731" i="20"/>
  <c r="AN731" i="20"/>
  <c r="AM731" i="20"/>
  <c r="AL731" i="20"/>
  <c r="AK731" i="20"/>
  <c r="AJ731" i="20"/>
  <c r="AI731" i="20"/>
  <c r="AH731" i="20"/>
  <c r="AG731" i="20"/>
  <c r="AF731" i="20"/>
  <c r="AE731" i="20"/>
  <c r="AD731" i="20"/>
  <c r="AC731" i="20"/>
  <c r="AB731" i="20"/>
  <c r="AA731" i="20"/>
  <c r="Z731" i="20"/>
  <c r="Y731" i="20"/>
  <c r="X731" i="20"/>
  <c r="W731" i="20"/>
  <c r="BK730" i="20"/>
  <c r="BJ730" i="20"/>
  <c r="BI730" i="20"/>
  <c r="BH730" i="20"/>
  <c r="BG730" i="20"/>
  <c r="BF730" i="20"/>
  <c r="BE730" i="20"/>
  <c r="BD730" i="20"/>
  <c r="BC730" i="20"/>
  <c r="BC732" i="20" s="1"/>
  <c r="BB730" i="20"/>
  <c r="BA730" i="20"/>
  <c r="AZ730" i="20"/>
  <c r="AY730" i="20"/>
  <c r="AY732" i="20"/>
  <c r="AX730" i="20"/>
  <c r="AW730" i="20"/>
  <c r="AV730" i="20"/>
  <c r="AU730" i="20"/>
  <c r="AT730" i="20"/>
  <c r="AS730" i="20"/>
  <c r="AR730" i="20"/>
  <c r="AQ730" i="20"/>
  <c r="AP730" i="20"/>
  <c r="AP732" i="20" s="1"/>
  <c r="AO730" i="20"/>
  <c r="AN730" i="20"/>
  <c r="AM730" i="20"/>
  <c r="AM732" i="20" s="1"/>
  <c r="AL730" i="20"/>
  <c r="AK730" i="20"/>
  <c r="AJ730" i="20"/>
  <c r="AI730" i="20"/>
  <c r="AH730" i="20"/>
  <c r="AG730" i="20"/>
  <c r="AF730" i="20"/>
  <c r="AE730" i="20"/>
  <c r="AD730" i="20"/>
  <c r="AC730" i="20"/>
  <c r="AB730" i="20"/>
  <c r="AA730" i="20"/>
  <c r="AA732" i="20" s="1"/>
  <c r="Z730" i="20"/>
  <c r="Y730" i="20"/>
  <c r="X730" i="20"/>
  <c r="W730" i="20"/>
  <c r="BK730" i="8"/>
  <c r="BJ730" i="8"/>
  <c r="BI730" i="8"/>
  <c r="BH730" i="8"/>
  <c r="BG730" i="8"/>
  <c r="BF730" i="8"/>
  <c r="BE730" i="8"/>
  <c r="BD730" i="8"/>
  <c r="BC730" i="8"/>
  <c r="BB730" i="8"/>
  <c r="BA730" i="8"/>
  <c r="AZ730" i="8"/>
  <c r="AY730" i="8"/>
  <c r="AX730" i="8"/>
  <c r="AW730" i="8"/>
  <c r="AV730" i="8"/>
  <c r="AU730" i="8"/>
  <c r="AT730" i="8"/>
  <c r="AS730" i="8"/>
  <c r="AR730" i="8"/>
  <c r="AQ730" i="8"/>
  <c r="AP730" i="8"/>
  <c r="AO730" i="8"/>
  <c r="AN730" i="8"/>
  <c r="AM730" i="8"/>
  <c r="AL730" i="8"/>
  <c r="AK730" i="8"/>
  <c r="AJ730" i="8"/>
  <c r="AI730" i="8"/>
  <c r="AH730" i="8"/>
  <c r="AG730" i="8"/>
  <c r="AF730" i="8"/>
  <c r="AE730" i="8"/>
  <c r="AD730" i="8"/>
  <c r="AC730" i="8"/>
  <c r="AB730" i="8"/>
  <c r="AA730" i="8"/>
  <c r="Z730" i="8"/>
  <c r="Y730" i="8"/>
  <c r="X730" i="8"/>
  <c r="W730" i="8"/>
  <c r="BK702" i="9"/>
  <c r="BJ702" i="9"/>
  <c r="BI702" i="9"/>
  <c r="BK699" i="9"/>
  <c r="BJ699" i="9"/>
  <c r="BI699" i="9"/>
  <c r="BK696" i="9"/>
  <c r="BJ696" i="9"/>
  <c r="BI696" i="9"/>
  <c r="BK693" i="9"/>
  <c r="BJ693" i="9"/>
  <c r="BI693" i="9"/>
  <c r="BK690" i="9"/>
  <c r="BJ690" i="9"/>
  <c r="BI690" i="9"/>
  <c r="BH702" i="9"/>
  <c r="BG702" i="9"/>
  <c r="BF702" i="9"/>
  <c r="BE702" i="9"/>
  <c r="BD702" i="9"/>
  <c r="BC702" i="9"/>
  <c r="BB702" i="9"/>
  <c r="BH699" i="9"/>
  <c r="BG699" i="9"/>
  <c r="BF699" i="9"/>
  <c r="BE699" i="9"/>
  <c r="BD699" i="9"/>
  <c r="BC699" i="9"/>
  <c r="BB699" i="9"/>
  <c r="BH696" i="9"/>
  <c r="BG696" i="9"/>
  <c r="BF696" i="9"/>
  <c r="BE696" i="9"/>
  <c r="BD696" i="9"/>
  <c r="BC696" i="9"/>
  <c r="BB696" i="9"/>
  <c r="BH693" i="9"/>
  <c r="BG693" i="9"/>
  <c r="BF693" i="9"/>
  <c r="BE693" i="9"/>
  <c r="BD693" i="9"/>
  <c r="BC693" i="9"/>
  <c r="BB693" i="9"/>
  <c r="BH690" i="9"/>
  <c r="BG690" i="9"/>
  <c r="BF690" i="9"/>
  <c r="BE690" i="9"/>
  <c r="BD690" i="9"/>
  <c r="BC690" i="9"/>
  <c r="BB690" i="9"/>
  <c r="BK728" i="20"/>
  <c r="BJ728" i="20"/>
  <c r="BK727" i="20"/>
  <c r="BK729" i="20" s="1"/>
  <c r="BJ727" i="20"/>
  <c r="BK725" i="20"/>
  <c r="BJ725" i="20"/>
  <c r="BK724" i="20"/>
  <c r="BJ724" i="20"/>
  <c r="BK722" i="20"/>
  <c r="BJ722" i="20"/>
  <c r="BK721" i="20"/>
  <c r="BJ721" i="20"/>
  <c r="BK719" i="20"/>
  <c r="BK720" i="20"/>
  <c r="BJ719" i="20"/>
  <c r="BJ720" i="20" s="1"/>
  <c r="BK718" i="20"/>
  <c r="BJ718" i="20"/>
  <c r="BK716" i="20"/>
  <c r="BJ716" i="20"/>
  <c r="BK715" i="20"/>
  <c r="BJ715" i="20"/>
  <c r="BK713" i="20"/>
  <c r="BJ713" i="20"/>
  <c r="BK712" i="20"/>
  <c r="BJ712" i="20"/>
  <c r="BJ714" i="20" s="1"/>
  <c r="BK710" i="20"/>
  <c r="BJ710" i="20"/>
  <c r="BK709" i="20"/>
  <c r="BJ709" i="20"/>
  <c r="BK707" i="20"/>
  <c r="BJ707" i="20"/>
  <c r="BK706" i="20"/>
  <c r="BJ706" i="20"/>
  <c r="BI728" i="20"/>
  <c r="BH728" i="20"/>
  <c r="BI727" i="20"/>
  <c r="BH727" i="20"/>
  <c r="BI725" i="20"/>
  <c r="BH725" i="20"/>
  <c r="BI724" i="20"/>
  <c r="BH724" i="20"/>
  <c r="BI722" i="20"/>
  <c r="BH722" i="20"/>
  <c r="BH723" i="20" s="1"/>
  <c r="BI721" i="20"/>
  <c r="BH721" i="20"/>
  <c r="BI719" i="20"/>
  <c r="BH719" i="20"/>
  <c r="BI718" i="20"/>
  <c r="BH718" i="20"/>
  <c r="BI716" i="20"/>
  <c r="BH716" i="20"/>
  <c r="BI715" i="20"/>
  <c r="BH715" i="20"/>
  <c r="BI713" i="20"/>
  <c r="BH713" i="20"/>
  <c r="BI712" i="20"/>
  <c r="BH712" i="20"/>
  <c r="BH714" i="20" s="1"/>
  <c r="BI710" i="20"/>
  <c r="BH710" i="20"/>
  <c r="BI709" i="20"/>
  <c r="BH709" i="20"/>
  <c r="BI707" i="20"/>
  <c r="BH707" i="20"/>
  <c r="BI706" i="20"/>
  <c r="BH706" i="20"/>
  <c r="BG728" i="20"/>
  <c r="BF728" i="20"/>
  <c r="BE728" i="20"/>
  <c r="BD728" i="20"/>
  <c r="BC728" i="20"/>
  <c r="BB728" i="20"/>
  <c r="BG727" i="20"/>
  <c r="BF727" i="20"/>
  <c r="BE727" i="20"/>
  <c r="BE729" i="20" s="1"/>
  <c r="BD727" i="20"/>
  <c r="BC727" i="20"/>
  <c r="BB727" i="20"/>
  <c r="BB729" i="20" s="1"/>
  <c r="BG725" i="20"/>
  <c r="BF725" i="20"/>
  <c r="BE725" i="20"/>
  <c r="BD725" i="20"/>
  <c r="BC725" i="20"/>
  <c r="BB725" i="20"/>
  <c r="BG724" i="20"/>
  <c r="BF724" i="20"/>
  <c r="BE724" i="20"/>
  <c r="BD724" i="20"/>
  <c r="BC724" i="20"/>
  <c r="BB724" i="20"/>
  <c r="BB726" i="20" s="1"/>
  <c r="BG722" i="20"/>
  <c r="BF722" i="20"/>
  <c r="BE722" i="20"/>
  <c r="BE723" i="20" s="1"/>
  <c r="BD722" i="20"/>
  <c r="BC722" i="20"/>
  <c r="BB722" i="20"/>
  <c r="BG721" i="20"/>
  <c r="BF721" i="20"/>
  <c r="BE721" i="20"/>
  <c r="BD721" i="20"/>
  <c r="BC721" i="20"/>
  <c r="BB721" i="20"/>
  <c r="BG719" i="20"/>
  <c r="BF719" i="20"/>
  <c r="BE719" i="20"/>
  <c r="BD719" i="20"/>
  <c r="BC719" i="20"/>
  <c r="BB719" i="20"/>
  <c r="BG718" i="20"/>
  <c r="BF718" i="20"/>
  <c r="BE718" i="20"/>
  <c r="BD718" i="20"/>
  <c r="BC718" i="20"/>
  <c r="BB718" i="20"/>
  <c r="BG716" i="20"/>
  <c r="BF716" i="20"/>
  <c r="BE716" i="20"/>
  <c r="BD716" i="20"/>
  <c r="BC716" i="20"/>
  <c r="BB716" i="20"/>
  <c r="BG715" i="20"/>
  <c r="BF715" i="20"/>
  <c r="BE715" i="20"/>
  <c r="BE717" i="20"/>
  <c r="BD715" i="20"/>
  <c r="BC715" i="20"/>
  <c r="BB715" i="20"/>
  <c r="BG713" i="20"/>
  <c r="BF713" i="20"/>
  <c r="BE713" i="20"/>
  <c r="BD713" i="20"/>
  <c r="BC713" i="20"/>
  <c r="BB713" i="20"/>
  <c r="BG712" i="20"/>
  <c r="BF712" i="20"/>
  <c r="BE712" i="20"/>
  <c r="BE714" i="20" s="1"/>
  <c r="BD712" i="20"/>
  <c r="BC712" i="20"/>
  <c r="BC714" i="20" s="1"/>
  <c r="BB712" i="20"/>
  <c r="BG710" i="20"/>
  <c r="BF710" i="20"/>
  <c r="BE710" i="20"/>
  <c r="BD710" i="20"/>
  <c r="BC710" i="20"/>
  <c r="BB710" i="20"/>
  <c r="BG709" i="20"/>
  <c r="BF709" i="20"/>
  <c r="BE709" i="20"/>
  <c r="BE711" i="20" s="1"/>
  <c r="BD709" i="20"/>
  <c r="BC709" i="20"/>
  <c r="BB709" i="20"/>
  <c r="BB711" i="20" s="1"/>
  <c r="BG707" i="20"/>
  <c r="BF707" i="20"/>
  <c r="BE707" i="20"/>
  <c r="BD707" i="20"/>
  <c r="BC707" i="20"/>
  <c r="BC708" i="20" s="1"/>
  <c r="BB707" i="20"/>
  <c r="BG706" i="20"/>
  <c r="BF706" i="20"/>
  <c r="BE706" i="20"/>
  <c r="BD706" i="20"/>
  <c r="BC706" i="20"/>
  <c r="BB706" i="20"/>
  <c r="BA728" i="20"/>
  <c r="AZ728" i="20"/>
  <c r="AY728" i="20"/>
  <c r="AX728" i="20"/>
  <c r="AW728" i="20"/>
  <c r="AV728" i="20"/>
  <c r="AU728" i="20"/>
  <c r="AT728" i="20"/>
  <c r="AS728" i="20"/>
  <c r="AR728" i="20"/>
  <c r="AQ728" i="20"/>
  <c r="AP728" i="20"/>
  <c r="AO728" i="20"/>
  <c r="AN728" i="20"/>
  <c r="AM728" i="20"/>
  <c r="AL728" i="20"/>
  <c r="AK728" i="20"/>
  <c r="AJ728" i="20"/>
  <c r="AI728" i="20"/>
  <c r="AH728" i="20"/>
  <c r="AG728" i="20"/>
  <c r="AF728" i="20"/>
  <c r="AE728" i="20"/>
  <c r="AD728" i="20"/>
  <c r="AC728" i="20"/>
  <c r="AB728" i="20"/>
  <c r="AA728" i="20"/>
  <c r="Z728" i="20"/>
  <c r="Y728" i="20"/>
  <c r="X728" i="20"/>
  <c r="W728" i="20"/>
  <c r="BA727" i="20"/>
  <c r="AZ727" i="20"/>
  <c r="AZ729" i="20" s="1"/>
  <c r="AY727" i="20"/>
  <c r="AX727" i="20"/>
  <c r="AW727" i="20"/>
  <c r="AV727" i="20"/>
  <c r="AV729" i="20" s="1"/>
  <c r="AU727" i="20"/>
  <c r="AT727" i="20"/>
  <c r="AS727" i="20"/>
  <c r="AR727" i="20"/>
  <c r="AQ727" i="20"/>
  <c r="AQ729" i="20" s="1"/>
  <c r="AP727" i="20"/>
  <c r="AO727" i="20"/>
  <c r="AN727" i="20"/>
  <c r="AM727" i="20"/>
  <c r="AL727" i="20"/>
  <c r="AK727" i="20"/>
  <c r="AJ727" i="20"/>
  <c r="AJ729" i="20" s="1"/>
  <c r="AI727" i="20"/>
  <c r="AH727" i="20"/>
  <c r="AG727" i="20"/>
  <c r="AF727" i="20"/>
  <c r="AE727" i="20"/>
  <c r="AE729" i="20" s="1"/>
  <c r="AD727" i="20"/>
  <c r="AC727" i="20"/>
  <c r="AB727" i="20"/>
  <c r="AA727" i="20"/>
  <c r="Z727" i="20"/>
  <c r="Y727" i="20"/>
  <c r="X727" i="20"/>
  <c r="W727" i="20"/>
  <c r="BK727" i="8"/>
  <c r="BK724" i="8"/>
  <c r="BK721" i="8"/>
  <c r="BK718" i="8"/>
  <c r="BK715" i="8"/>
  <c r="BK712" i="8"/>
  <c r="BK709" i="8"/>
  <c r="BK706" i="8"/>
  <c r="BJ727" i="8"/>
  <c r="BI727" i="8"/>
  <c r="BH727" i="8"/>
  <c r="BG727" i="8"/>
  <c r="BF727" i="8"/>
  <c r="BE727" i="8"/>
  <c r="BD727" i="8"/>
  <c r="BC727" i="8"/>
  <c r="BB727" i="8"/>
  <c r="BJ724" i="8"/>
  <c r="BI724" i="8"/>
  <c r="BH724" i="8"/>
  <c r="BG724" i="8"/>
  <c r="BF724" i="8"/>
  <c r="BE724" i="8"/>
  <c r="BD724" i="8"/>
  <c r="BC724" i="8"/>
  <c r="BB724" i="8"/>
  <c r="BJ721" i="8"/>
  <c r="BI721" i="8"/>
  <c r="BH721" i="8"/>
  <c r="BG721" i="8"/>
  <c r="BF721" i="8"/>
  <c r="BE721" i="8"/>
  <c r="BD721" i="8"/>
  <c r="BC721" i="8"/>
  <c r="BB721" i="8"/>
  <c r="BJ718" i="8"/>
  <c r="BI718" i="8"/>
  <c r="BH718" i="8"/>
  <c r="BG718" i="8"/>
  <c r="BF718" i="8"/>
  <c r="BE718" i="8"/>
  <c r="BD718" i="8"/>
  <c r="BC718" i="8"/>
  <c r="BB718" i="8"/>
  <c r="BJ715" i="8"/>
  <c r="BI715" i="8"/>
  <c r="BH715" i="8"/>
  <c r="BG715" i="8"/>
  <c r="BF715" i="8"/>
  <c r="BC9" i="22" s="1"/>
  <c r="BE715" i="8"/>
  <c r="BD715" i="8"/>
  <c r="BC715" i="8"/>
  <c r="BB715" i="8"/>
  <c r="BJ712" i="8"/>
  <c r="BI712" i="8"/>
  <c r="BH712" i="8"/>
  <c r="BG712" i="8"/>
  <c r="BF712" i="8"/>
  <c r="BE712" i="8"/>
  <c r="BD712" i="8"/>
  <c r="BC712" i="8"/>
  <c r="BB712" i="8"/>
  <c r="BJ709" i="8"/>
  <c r="BI709" i="8"/>
  <c r="BH709" i="8"/>
  <c r="BG709" i="8"/>
  <c r="BF709" i="8"/>
  <c r="BE709" i="8"/>
  <c r="BB9" i="22" s="1"/>
  <c r="BD709" i="8"/>
  <c r="BC709" i="8"/>
  <c r="BB709" i="8"/>
  <c r="BJ706" i="8"/>
  <c r="BI706" i="8"/>
  <c r="BH706" i="8"/>
  <c r="BG706" i="8"/>
  <c r="BF706" i="8"/>
  <c r="BE706" i="8"/>
  <c r="BD706" i="8"/>
  <c r="BA9" i="22" s="1"/>
  <c r="BC706" i="8"/>
  <c r="BB706" i="8"/>
  <c r="BA727" i="8"/>
  <c r="AZ727" i="8"/>
  <c r="AY727" i="8"/>
  <c r="AX727" i="8"/>
  <c r="AW727" i="8"/>
  <c r="AV727" i="8"/>
  <c r="AU727" i="8"/>
  <c r="AT727" i="8"/>
  <c r="AS727" i="8"/>
  <c r="AR727" i="8"/>
  <c r="AQ727" i="8"/>
  <c r="AP727" i="8"/>
  <c r="AO727" i="8"/>
  <c r="AN727" i="8"/>
  <c r="AM727" i="8"/>
  <c r="AL727" i="8"/>
  <c r="AK727" i="8"/>
  <c r="AJ727" i="8"/>
  <c r="AI727" i="8"/>
  <c r="AH727" i="8"/>
  <c r="AG727" i="8"/>
  <c r="AF727" i="8"/>
  <c r="AE727" i="8"/>
  <c r="AD727" i="8"/>
  <c r="AC727" i="8"/>
  <c r="AB727" i="8"/>
  <c r="AA727" i="8"/>
  <c r="Z727" i="8"/>
  <c r="Y727" i="8"/>
  <c r="X727" i="8"/>
  <c r="W727" i="8"/>
  <c r="X724" i="20"/>
  <c r="Y724" i="20"/>
  <c r="Z724" i="20"/>
  <c r="AA724" i="20"/>
  <c r="AB724" i="20"/>
  <c r="AC724" i="20"/>
  <c r="AD724" i="20"/>
  <c r="AE724" i="20"/>
  <c r="AF724" i="20"/>
  <c r="AG724" i="20"/>
  <c r="AH724" i="20"/>
  <c r="AI724" i="20"/>
  <c r="AJ724" i="20"/>
  <c r="AK724" i="20"/>
  <c r="AL724" i="20"/>
  <c r="AM724" i="20"/>
  <c r="AN724" i="20"/>
  <c r="AO724" i="20"/>
  <c r="AO726" i="20" s="1"/>
  <c r="AP724" i="20"/>
  <c r="AQ724" i="20"/>
  <c r="AR724" i="20"/>
  <c r="AS724" i="20"/>
  <c r="AT724" i="20"/>
  <c r="AU724" i="20"/>
  <c r="AV724" i="20"/>
  <c r="AW724" i="20"/>
  <c r="AX724" i="20"/>
  <c r="AY724" i="20"/>
  <c r="AZ724" i="20"/>
  <c r="BA724" i="20"/>
  <c r="X725" i="20"/>
  <c r="Y725" i="20"/>
  <c r="Z725" i="20"/>
  <c r="AA725" i="20"/>
  <c r="AB725" i="20"/>
  <c r="AC725" i="20"/>
  <c r="AD725" i="20"/>
  <c r="AD726" i="20" s="1"/>
  <c r="AE725" i="20"/>
  <c r="AF725" i="20"/>
  <c r="AG725" i="20"/>
  <c r="AH725" i="20"/>
  <c r="AI725" i="20"/>
  <c r="AJ725" i="20"/>
  <c r="AK725" i="20"/>
  <c r="AL725" i="20"/>
  <c r="AM725" i="20"/>
  <c r="AN725" i="20"/>
  <c r="AO725" i="20"/>
  <c r="AP725" i="20"/>
  <c r="AQ725" i="20"/>
  <c r="AR725" i="20"/>
  <c r="AS725" i="20"/>
  <c r="AS726" i="20" s="1"/>
  <c r="AT725" i="20"/>
  <c r="AU725" i="20"/>
  <c r="AV725" i="20"/>
  <c r="AW725" i="20"/>
  <c r="AX725" i="20"/>
  <c r="AY725" i="20"/>
  <c r="AZ725" i="20"/>
  <c r="BA725" i="20"/>
  <c r="W725" i="20"/>
  <c r="W724" i="20"/>
  <c r="W724" i="8"/>
  <c r="X724" i="8"/>
  <c r="Y724" i="8"/>
  <c r="Z724" i="8"/>
  <c r="AA724" i="8"/>
  <c r="AB724" i="8"/>
  <c r="AC724" i="8"/>
  <c r="AD724" i="8"/>
  <c r="AE724" i="8"/>
  <c r="AF724" i="8"/>
  <c r="AG724" i="8"/>
  <c r="AH724" i="8"/>
  <c r="AI724" i="8"/>
  <c r="AJ724" i="8"/>
  <c r="AK724" i="8"/>
  <c r="AL724" i="8"/>
  <c r="AM724" i="8"/>
  <c r="AN724" i="8"/>
  <c r="AO724" i="8"/>
  <c r="AP724" i="8"/>
  <c r="AQ724" i="8"/>
  <c r="AR724" i="8"/>
  <c r="AS724" i="8"/>
  <c r="AT724" i="8"/>
  <c r="AU724" i="8"/>
  <c r="AV724" i="8"/>
  <c r="AW724" i="8"/>
  <c r="AX724" i="8"/>
  <c r="AY724" i="8"/>
  <c r="AZ724" i="8"/>
  <c r="BA724" i="8"/>
  <c r="V721" i="20"/>
  <c r="W721" i="20"/>
  <c r="X721" i="20"/>
  <c r="Y721" i="20"/>
  <c r="Z721" i="20"/>
  <c r="AA721" i="20"/>
  <c r="AB721" i="20"/>
  <c r="AC721" i="20"/>
  <c r="AC723" i="20" s="1"/>
  <c r="AD721" i="20"/>
  <c r="AE721" i="20"/>
  <c r="AF721" i="20"/>
  <c r="AF723" i="20" s="1"/>
  <c r="AG721" i="20"/>
  <c r="AH721" i="20"/>
  <c r="AI721" i="20"/>
  <c r="AJ721" i="20"/>
  <c r="AK721" i="20"/>
  <c r="AL721" i="20"/>
  <c r="AM721" i="20"/>
  <c r="AM723" i="20" s="1"/>
  <c r="AN721" i="20"/>
  <c r="AO721" i="20"/>
  <c r="AP721" i="20"/>
  <c r="AQ721" i="20"/>
  <c r="AR721" i="20"/>
  <c r="AS721" i="20"/>
  <c r="AT721" i="20"/>
  <c r="AU721" i="20"/>
  <c r="AV721" i="20"/>
  <c r="AW721" i="20"/>
  <c r="AX721" i="20"/>
  <c r="AY721" i="20"/>
  <c r="AY723" i="20" s="1"/>
  <c r="AZ721" i="20"/>
  <c r="BA721" i="20"/>
  <c r="V722" i="20"/>
  <c r="W722" i="20"/>
  <c r="X722" i="20"/>
  <c r="Y722" i="20"/>
  <c r="Z722" i="20"/>
  <c r="AA722" i="20"/>
  <c r="AB722" i="20"/>
  <c r="AC722" i="20"/>
  <c r="AD722" i="20"/>
  <c r="AE722" i="20"/>
  <c r="AF722" i="20"/>
  <c r="AG722" i="20"/>
  <c r="AH722" i="20"/>
  <c r="AI722" i="20"/>
  <c r="AJ722" i="20"/>
  <c r="AK722" i="20"/>
  <c r="AL722" i="20"/>
  <c r="AM722" i="20"/>
  <c r="AN722" i="20"/>
  <c r="AO722" i="20"/>
  <c r="AO723" i="20" s="1"/>
  <c r="AP722" i="20"/>
  <c r="AQ722" i="20"/>
  <c r="AR722" i="20"/>
  <c r="AS722" i="20"/>
  <c r="AT722" i="20"/>
  <c r="AU722" i="20"/>
  <c r="AV722" i="20"/>
  <c r="AW722" i="20"/>
  <c r="AX722" i="20"/>
  <c r="AY722" i="20"/>
  <c r="AZ722" i="20"/>
  <c r="BA722" i="20"/>
  <c r="V721" i="8"/>
  <c r="W721" i="8"/>
  <c r="X721" i="8"/>
  <c r="Y721" i="8"/>
  <c r="Z721" i="8"/>
  <c r="AA721" i="8"/>
  <c r="AB721" i="8"/>
  <c r="AC721" i="8"/>
  <c r="AD721" i="8"/>
  <c r="AE721" i="8"/>
  <c r="AF721" i="8"/>
  <c r="AG721" i="8"/>
  <c r="AH721" i="8"/>
  <c r="AI721" i="8"/>
  <c r="AJ721" i="8"/>
  <c r="AK721" i="8"/>
  <c r="AL721" i="8"/>
  <c r="AM721" i="8"/>
  <c r="AN721" i="8"/>
  <c r="AO721" i="8"/>
  <c r="AP721" i="8"/>
  <c r="AQ721" i="8"/>
  <c r="AR721" i="8"/>
  <c r="AS721" i="8"/>
  <c r="AT721" i="8"/>
  <c r="AU721" i="8"/>
  <c r="AV721" i="8"/>
  <c r="AW721" i="8"/>
  <c r="AX721" i="8"/>
  <c r="AY721" i="8"/>
  <c r="AZ721" i="8"/>
  <c r="BA721" i="8"/>
  <c r="V718" i="20"/>
  <c r="W718" i="20"/>
  <c r="X718" i="20"/>
  <c r="X720" i="20" s="1"/>
  <c r="Y718" i="20"/>
  <c r="Z718" i="20"/>
  <c r="AA718" i="20"/>
  <c r="AB718" i="20"/>
  <c r="AC718" i="20"/>
  <c r="AC720" i="20" s="1"/>
  <c r="AD718" i="20"/>
  <c r="AE718" i="20"/>
  <c r="AF718" i="20"/>
  <c r="AF720" i="20" s="1"/>
  <c r="AG718" i="20"/>
  <c r="AH718" i="20"/>
  <c r="AI718" i="20"/>
  <c r="AJ718" i="20"/>
  <c r="AK718" i="20"/>
  <c r="AL718" i="20"/>
  <c r="AM718" i="20"/>
  <c r="AN718" i="20"/>
  <c r="AN720" i="20" s="1"/>
  <c r="AO718" i="20"/>
  <c r="AP718" i="20"/>
  <c r="AQ718" i="20"/>
  <c r="AR718" i="20"/>
  <c r="AS718" i="20"/>
  <c r="AS720" i="20" s="1"/>
  <c r="AT718" i="20"/>
  <c r="AU718" i="20"/>
  <c r="AV718" i="20"/>
  <c r="AW718" i="20"/>
  <c r="AX718" i="20"/>
  <c r="AY718" i="20"/>
  <c r="AZ718" i="20"/>
  <c r="BA718" i="20"/>
  <c r="V719" i="20"/>
  <c r="W719" i="20"/>
  <c r="X719" i="20"/>
  <c r="Y719" i="20"/>
  <c r="Z719" i="20"/>
  <c r="AA719" i="20"/>
  <c r="AB719" i="20"/>
  <c r="AC719" i="20"/>
  <c r="AD719" i="20"/>
  <c r="AE719" i="20"/>
  <c r="AF719" i="20"/>
  <c r="AG719" i="20"/>
  <c r="AH719" i="20"/>
  <c r="AI719" i="20"/>
  <c r="AJ719" i="20"/>
  <c r="AK719" i="20"/>
  <c r="AL719" i="20"/>
  <c r="AM719" i="20"/>
  <c r="AN719" i="20"/>
  <c r="AO719" i="20"/>
  <c r="AP719" i="20"/>
  <c r="AQ719" i="20"/>
  <c r="AQ720" i="20" s="1"/>
  <c r="AR719" i="20"/>
  <c r="AS719" i="20"/>
  <c r="AT719" i="20"/>
  <c r="AU719" i="20"/>
  <c r="AV719" i="20"/>
  <c r="AW719" i="20"/>
  <c r="AX719" i="20"/>
  <c r="AY719" i="20"/>
  <c r="AZ719" i="20"/>
  <c r="BA719" i="20"/>
  <c r="BA720" i="20" s="1"/>
  <c r="V718" i="8"/>
  <c r="W718" i="8"/>
  <c r="X718" i="8"/>
  <c r="Y718" i="8"/>
  <c r="Z718" i="8"/>
  <c r="AA718" i="8"/>
  <c r="AB718" i="8"/>
  <c r="AC718" i="8"/>
  <c r="AD718" i="8"/>
  <c r="AE718" i="8"/>
  <c r="AF718" i="8"/>
  <c r="AG718" i="8"/>
  <c r="AH718" i="8"/>
  <c r="AI718" i="8"/>
  <c r="AJ718" i="8"/>
  <c r="AK718" i="8"/>
  <c r="AL718" i="8"/>
  <c r="AM718" i="8"/>
  <c r="AN718" i="8"/>
  <c r="AO718" i="8"/>
  <c r="AP718" i="8"/>
  <c r="AQ718" i="8"/>
  <c r="AR718" i="8"/>
  <c r="AS718" i="8"/>
  <c r="AT718" i="8"/>
  <c r="AU718" i="8"/>
  <c r="AV718" i="8"/>
  <c r="AW718" i="8"/>
  <c r="AX718" i="8"/>
  <c r="AY718" i="8"/>
  <c r="AZ718" i="8"/>
  <c r="BA718" i="8"/>
  <c r="BA716" i="20"/>
  <c r="AZ716" i="20"/>
  <c r="AY716" i="20"/>
  <c r="AX716" i="20"/>
  <c r="AW716" i="20"/>
  <c r="AV716" i="20"/>
  <c r="AU716" i="20"/>
  <c r="AT716" i="20"/>
  <c r="AS716" i="20"/>
  <c r="AR716" i="20"/>
  <c r="AQ716" i="20"/>
  <c r="AP716" i="20"/>
  <c r="AO716" i="20"/>
  <c r="AN716" i="20"/>
  <c r="AM716" i="20"/>
  <c r="AL716" i="20"/>
  <c r="AK716" i="20"/>
  <c r="AJ716" i="20"/>
  <c r="AI716" i="20"/>
  <c r="AH716" i="20"/>
  <c r="AG716" i="20"/>
  <c r="AF716" i="20"/>
  <c r="AE716" i="20"/>
  <c r="AD716" i="20"/>
  <c r="AC716" i="20"/>
  <c r="AB716" i="20"/>
  <c r="AA716" i="20"/>
  <c r="Z716" i="20"/>
  <c r="Y716" i="20"/>
  <c r="X716" i="20"/>
  <c r="W716" i="20"/>
  <c r="V716" i="20"/>
  <c r="BA715" i="20"/>
  <c r="AZ715" i="20"/>
  <c r="AY715" i="20"/>
  <c r="AY717" i="20" s="1"/>
  <c r="AX715" i="20"/>
  <c r="AX717" i="20" s="1"/>
  <c r="AW715" i="20"/>
  <c r="AV715" i="20"/>
  <c r="AU715" i="20"/>
  <c r="AT715" i="20"/>
  <c r="AT717" i="20"/>
  <c r="AS715" i="20"/>
  <c r="AR715" i="20"/>
  <c r="AQ715" i="20"/>
  <c r="AP715" i="20"/>
  <c r="AO715" i="20"/>
  <c r="AN715" i="20"/>
  <c r="AM715" i="20"/>
  <c r="AL715" i="20"/>
  <c r="AK715" i="20"/>
  <c r="AJ715" i="20"/>
  <c r="AI715" i="20"/>
  <c r="AH715" i="20"/>
  <c r="AG715" i="20"/>
  <c r="AF715" i="20"/>
  <c r="AE715" i="20"/>
  <c r="AE717" i="20"/>
  <c r="AD715" i="20"/>
  <c r="AC715" i="20"/>
  <c r="AB715" i="20"/>
  <c r="AA715" i="20"/>
  <c r="Z715" i="20"/>
  <c r="Y715" i="20"/>
  <c r="X715" i="20"/>
  <c r="W715" i="20"/>
  <c r="V715" i="20"/>
  <c r="V715" i="8"/>
  <c r="BA715" i="8"/>
  <c r="AZ715" i="8"/>
  <c r="AY715" i="8"/>
  <c r="AX715" i="8"/>
  <c r="AW715" i="8"/>
  <c r="AV715" i="8"/>
  <c r="AU715" i="8"/>
  <c r="AT715" i="8"/>
  <c r="AS715" i="8"/>
  <c r="AR715" i="8"/>
  <c r="AQ715" i="8"/>
  <c r="AP715" i="8"/>
  <c r="AO715" i="8"/>
  <c r="AN715" i="8"/>
  <c r="AM715" i="8"/>
  <c r="AL715" i="8"/>
  <c r="AK715" i="8"/>
  <c r="AJ715" i="8"/>
  <c r="AI715" i="8"/>
  <c r="AH715" i="8"/>
  <c r="AG715" i="8"/>
  <c r="AF715" i="8"/>
  <c r="AE715" i="8"/>
  <c r="AD715" i="8"/>
  <c r="AC715" i="8"/>
  <c r="AB715" i="8"/>
  <c r="AA715" i="8"/>
  <c r="Z715" i="8"/>
  <c r="Y715" i="8"/>
  <c r="X715" i="8"/>
  <c r="W715" i="8"/>
  <c r="BA713" i="20"/>
  <c r="AZ713" i="20"/>
  <c r="AY713" i="20"/>
  <c r="AX713" i="20"/>
  <c r="AW713" i="20"/>
  <c r="AV713" i="20"/>
  <c r="AU713" i="20"/>
  <c r="AT713" i="20"/>
  <c r="AS713" i="20"/>
  <c r="AR713" i="20"/>
  <c r="AQ713" i="20"/>
  <c r="AP713" i="20"/>
  <c r="AO713" i="20"/>
  <c r="AN713" i="20"/>
  <c r="AM713" i="20"/>
  <c r="AL713" i="20"/>
  <c r="AL714" i="20"/>
  <c r="AK713" i="20"/>
  <c r="AJ713" i="20"/>
  <c r="AI713" i="20"/>
  <c r="AH713" i="20"/>
  <c r="AG713" i="20"/>
  <c r="AF713" i="20"/>
  <c r="AE713" i="20"/>
  <c r="AE714" i="20" s="1"/>
  <c r="AD713" i="20"/>
  <c r="AC713" i="20"/>
  <c r="AB713" i="20"/>
  <c r="AA713" i="20"/>
  <c r="Z713" i="20"/>
  <c r="Y713" i="20"/>
  <c r="X713" i="20"/>
  <c r="W713" i="20"/>
  <c r="V713" i="20"/>
  <c r="BA712" i="20"/>
  <c r="AZ712" i="20"/>
  <c r="AY712" i="20"/>
  <c r="AX712" i="20"/>
  <c r="AW712" i="20"/>
  <c r="AV712" i="20"/>
  <c r="AU712" i="20"/>
  <c r="AT712" i="20"/>
  <c r="AS712" i="20"/>
  <c r="AR712" i="20"/>
  <c r="AQ712" i="20"/>
  <c r="AQ714" i="20" s="1"/>
  <c r="AP712" i="20"/>
  <c r="AO712" i="20"/>
  <c r="AN712" i="20"/>
  <c r="AM712" i="20"/>
  <c r="AL712" i="20"/>
  <c r="AK712" i="20"/>
  <c r="AJ712" i="20"/>
  <c r="AI712" i="20"/>
  <c r="AH712" i="20"/>
  <c r="AH714" i="20"/>
  <c r="AG712" i="20"/>
  <c r="AF712" i="20"/>
  <c r="AE712" i="20"/>
  <c r="AD712" i="20"/>
  <c r="AC712" i="20"/>
  <c r="AB712" i="20"/>
  <c r="AA712" i="20"/>
  <c r="Z712" i="20"/>
  <c r="Z714" i="20" s="1"/>
  <c r="Y712" i="20"/>
  <c r="X712" i="20"/>
  <c r="W712" i="20"/>
  <c r="V712" i="20"/>
  <c r="BA712" i="8"/>
  <c r="AZ712" i="8"/>
  <c r="AY712" i="8"/>
  <c r="AX712" i="8"/>
  <c r="AW712" i="8"/>
  <c r="AV712" i="8"/>
  <c r="AU712" i="8"/>
  <c r="AT712" i="8"/>
  <c r="AS712" i="8"/>
  <c r="AR712" i="8"/>
  <c r="AQ712" i="8"/>
  <c r="AP712" i="8"/>
  <c r="AO712" i="8"/>
  <c r="AN712" i="8"/>
  <c r="AM712" i="8"/>
  <c r="AL712" i="8"/>
  <c r="AK712" i="8"/>
  <c r="AJ712" i="8"/>
  <c r="AI712" i="8"/>
  <c r="AH712" i="8"/>
  <c r="AG712" i="8"/>
  <c r="AF712" i="8"/>
  <c r="AE712" i="8"/>
  <c r="AD712" i="8"/>
  <c r="AC712" i="8"/>
  <c r="AB712" i="8"/>
  <c r="AA712" i="8"/>
  <c r="Z712" i="8"/>
  <c r="Y712" i="8"/>
  <c r="X712" i="8"/>
  <c r="W712" i="8"/>
  <c r="V712" i="8"/>
  <c r="BA710" i="20"/>
  <c r="AZ710" i="20"/>
  <c r="AY710" i="20"/>
  <c r="AX710" i="20"/>
  <c r="AW710" i="20"/>
  <c r="AV710" i="20"/>
  <c r="AU710" i="20"/>
  <c r="AT710" i="20"/>
  <c r="AS710" i="20"/>
  <c r="AR710" i="20"/>
  <c r="AQ710" i="20"/>
  <c r="AP710" i="20"/>
  <c r="AO710" i="20"/>
  <c r="AN710" i="20"/>
  <c r="AM710" i="20"/>
  <c r="AL710" i="20"/>
  <c r="AK710" i="20"/>
  <c r="AJ710" i="20"/>
  <c r="AI710" i="20"/>
  <c r="AH710" i="20"/>
  <c r="AG710" i="20"/>
  <c r="AF710" i="20"/>
  <c r="AE710" i="20"/>
  <c r="AD710" i="20"/>
  <c r="AC710" i="20"/>
  <c r="AB710" i="20"/>
  <c r="AA710" i="20"/>
  <c r="Z710" i="20"/>
  <c r="Y710" i="20"/>
  <c r="X710" i="20"/>
  <c r="W710" i="20"/>
  <c r="V710" i="20"/>
  <c r="BA709" i="20"/>
  <c r="AZ709" i="20"/>
  <c r="AY709" i="20"/>
  <c r="AX709" i="20"/>
  <c r="AX711" i="20" s="1"/>
  <c r="AW709" i="20"/>
  <c r="AV709" i="20"/>
  <c r="AU709" i="20"/>
  <c r="AU711" i="20" s="1"/>
  <c r="AT709" i="20"/>
  <c r="AS709" i="20"/>
  <c r="AS711" i="20" s="1"/>
  <c r="AR709" i="20"/>
  <c r="AR711" i="20" s="1"/>
  <c r="AQ709" i="20"/>
  <c r="AQ711" i="20" s="1"/>
  <c r="AP709" i="20"/>
  <c r="AO709" i="20"/>
  <c r="AN709" i="20"/>
  <c r="AM709" i="20"/>
  <c r="AL709" i="20"/>
  <c r="AK709" i="20"/>
  <c r="AJ709" i="20"/>
  <c r="AI709" i="20"/>
  <c r="AH709" i="20"/>
  <c r="AH711" i="20"/>
  <c r="AG709" i="20"/>
  <c r="AF709" i="20"/>
  <c r="AE709" i="20"/>
  <c r="AE711" i="20" s="1"/>
  <c r="AD709" i="20"/>
  <c r="AC709" i="20"/>
  <c r="AB709" i="20"/>
  <c r="AA709" i="20"/>
  <c r="Z709" i="20"/>
  <c r="Y709" i="20"/>
  <c r="X709" i="20"/>
  <c r="W709" i="20"/>
  <c r="V709" i="20"/>
  <c r="BA709" i="8"/>
  <c r="AZ709" i="8"/>
  <c r="AY709" i="8"/>
  <c r="AX709" i="8"/>
  <c r="AW709" i="8"/>
  <c r="AV709" i="8"/>
  <c r="AU709" i="8"/>
  <c r="AT709" i="8"/>
  <c r="AS709" i="8"/>
  <c r="AR709" i="8"/>
  <c r="AQ709" i="8"/>
  <c r="AP709" i="8"/>
  <c r="AO709" i="8"/>
  <c r="AN709" i="8"/>
  <c r="AM709" i="8"/>
  <c r="AL709" i="8"/>
  <c r="AK709" i="8"/>
  <c r="AJ709" i="8"/>
  <c r="AI709" i="8"/>
  <c r="AH709" i="8"/>
  <c r="AG709" i="8"/>
  <c r="AF709" i="8"/>
  <c r="AE709" i="8"/>
  <c r="AD709" i="8"/>
  <c r="AC709" i="8"/>
  <c r="AB709" i="8"/>
  <c r="AA709" i="8"/>
  <c r="Z709" i="8"/>
  <c r="Y709" i="8"/>
  <c r="X709" i="8"/>
  <c r="W709" i="8"/>
  <c r="V709" i="8"/>
  <c r="BA706" i="20"/>
  <c r="BA707" i="20"/>
  <c r="BA708" i="20" s="1"/>
  <c r="BA706" i="8"/>
  <c r="V706" i="8"/>
  <c r="V706" i="20"/>
  <c r="AZ707" i="20"/>
  <c r="AY707" i="20"/>
  <c r="AX707" i="20"/>
  <c r="AW707" i="20"/>
  <c r="AV707" i="20"/>
  <c r="AU707" i="20"/>
  <c r="AT707" i="20"/>
  <c r="AT708" i="20" s="1"/>
  <c r="AS707" i="20"/>
  <c r="AR707" i="20"/>
  <c r="AQ707" i="20"/>
  <c r="AP707" i="20"/>
  <c r="AO707" i="20"/>
  <c r="AN707" i="20"/>
  <c r="AM707" i="20"/>
  <c r="AM708" i="20" s="1"/>
  <c r="AL707" i="20"/>
  <c r="AK707" i="20"/>
  <c r="AJ707" i="20"/>
  <c r="AI707" i="20"/>
  <c r="AH707" i="20"/>
  <c r="AG707" i="20"/>
  <c r="AF707" i="20"/>
  <c r="AE707" i="20"/>
  <c r="AD707" i="20"/>
  <c r="AC707" i="20"/>
  <c r="AB707" i="20"/>
  <c r="AA707" i="20"/>
  <c r="Z707" i="20"/>
  <c r="Y707" i="20"/>
  <c r="Y708" i="20" s="1"/>
  <c r="X707" i="20"/>
  <c r="W707" i="20"/>
  <c r="V707" i="20"/>
  <c r="AZ706" i="20"/>
  <c r="AY706" i="20"/>
  <c r="AX706" i="20"/>
  <c r="AW706" i="20"/>
  <c r="AW708" i="20"/>
  <c r="AV706" i="20"/>
  <c r="AU706" i="20"/>
  <c r="AT706" i="20"/>
  <c r="AS706" i="20"/>
  <c r="AR706" i="20"/>
  <c r="AQ706" i="20"/>
  <c r="AP706" i="20"/>
  <c r="AP708" i="20" s="1"/>
  <c r="AO706" i="20"/>
  <c r="AN706" i="20"/>
  <c r="AM706" i="20"/>
  <c r="AL706" i="20"/>
  <c r="AK706" i="20"/>
  <c r="AK708" i="20" s="1"/>
  <c r="AJ706" i="20"/>
  <c r="AI706" i="20"/>
  <c r="AH706" i="20"/>
  <c r="AG706" i="20"/>
  <c r="AF706" i="20"/>
  <c r="AE706" i="20"/>
  <c r="AD706" i="20"/>
  <c r="AD708" i="20" s="1"/>
  <c r="AC706" i="20"/>
  <c r="AB706" i="20"/>
  <c r="AA706" i="20"/>
  <c r="Z706" i="20"/>
  <c r="Y706" i="20"/>
  <c r="X706" i="20"/>
  <c r="W706" i="20"/>
  <c r="AZ706" i="8"/>
  <c r="AY706" i="8"/>
  <c r="AX706" i="8"/>
  <c r="AW706" i="8"/>
  <c r="AV706" i="8"/>
  <c r="AU706" i="8"/>
  <c r="AT706" i="8"/>
  <c r="AS706" i="8"/>
  <c r="AR706" i="8"/>
  <c r="AQ706" i="8"/>
  <c r="AP706" i="8"/>
  <c r="AO706" i="8"/>
  <c r="AN706" i="8"/>
  <c r="AM706" i="8"/>
  <c r="AL706" i="8"/>
  <c r="AK706" i="8"/>
  <c r="AJ706" i="8"/>
  <c r="AI706" i="8"/>
  <c r="AH706" i="8"/>
  <c r="AG706" i="8"/>
  <c r="AF706" i="8"/>
  <c r="AE706" i="8"/>
  <c r="AD706" i="8"/>
  <c r="AC706" i="8"/>
  <c r="AB706" i="8"/>
  <c r="AA706" i="8"/>
  <c r="Z706" i="8"/>
  <c r="Y706" i="8"/>
  <c r="X706" i="8"/>
  <c r="W706" i="8"/>
  <c r="BA702" i="9"/>
  <c r="BA699" i="9"/>
  <c r="BA696" i="9"/>
  <c r="BA693" i="9"/>
  <c r="BA690" i="9"/>
  <c r="AZ704" i="20"/>
  <c r="AY704" i="20"/>
  <c r="AX704" i="20"/>
  <c r="AW704" i="20"/>
  <c r="AV704" i="20"/>
  <c r="AU704" i="20"/>
  <c r="AT704" i="20"/>
  <c r="AS704" i="20"/>
  <c r="AR704" i="20"/>
  <c r="AQ704" i="20"/>
  <c r="AP704" i="20"/>
  <c r="AO704" i="20"/>
  <c r="AN704" i="20"/>
  <c r="AM704" i="20"/>
  <c r="AL704" i="20"/>
  <c r="AK704" i="20"/>
  <c r="AJ704" i="20"/>
  <c r="AI704" i="20"/>
  <c r="AH704" i="20"/>
  <c r="AG704" i="20"/>
  <c r="AF704" i="20"/>
  <c r="AE704" i="20"/>
  <c r="AD704" i="20"/>
  <c r="AD705" i="20"/>
  <c r="AC704" i="20"/>
  <c r="AB704" i="20"/>
  <c r="AA704" i="20"/>
  <c r="Z704" i="20"/>
  <c r="Y704" i="20"/>
  <c r="X704" i="20"/>
  <c r="W704" i="20"/>
  <c r="AZ703" i="20"/>
  <c r="AY703" i="20"/>
  <c r="AX703" i="20"/>
  <c r="AW703" i="20"/>
  <c r="AV703" i="20"/>
  <c r="AV705" i="20"/>
  <c r="AU703" i="20"/>
  <c r="AT703" i="20"/>
  <c r="AS703" i="20"/>
  <c r="AR703" i="20"/>
  <c r="AQ703" i="20"/>
  <c r="AP703" i="20"/>
  <c r="AO703" i="20"/>
  <c r="AN703" i="20"/>
  <c r="AM703" i="20"/>
  <c r="AL703" i="20"/>
  <c r="AK703" i="20"/>
  <c r="AJ703" i="20"/>
  <c r="AJ705" i="20" s="1"/>
  <c r="AI703" i="20"/>
  <c r="AH703" i="20"/>
  <c r="AG703" i="20"/>
  <c r="AF703" i="20"/>
  <c r="AE703" i="20"/>
  <c r="AD703" i="20"/>
  <c r="AC703" i="20"/>
  <c r="AB703" i="20"/>
  <c r="AA703" i="20"/>
  <c r="Z703" i="20"/>
  <c r="Z705" i="20" s="1"/>
  <c r="Y703" i="20"/>
  <c r="X703" i="20"/>
  <c r="W703" i="20"/>
  <c r="V704" i="20"/>
  <c r="V703" i="20"/>
  <c r="V705" i="20" s="1"/>
  <c r="AZ703" i="8"/>
  <c r="AY703" i="8"/>
  <c r="AX703" i="8"/>
  <c r="AW703" i="8"/>
  <c r="AV703" i="8"/>
  <c r="AU703" i="8"/>
  <c r="AT703" i="8"/>
  <c r="AS703" i="8"/>
  <c r="AR703" i="8"/>
  <c r="AQ703" i="8"/>
  <c r="AP703" i="8"/>
  <c r="AO703" i="8"/>
  <c r="AN703" i="8"/>
  <c r="AM703" i="8"/>
  <c r="AL703" i="8"/>
  <c r="AK703" i="8"/>
  <c r="AJ703" i="8"/>
  <c r="AI703" i="8"/>
  <c r="AH703" i="8"/>
  <c r="AG703" i="8"/>
  <c r="AF703" i="8"/>
  <c r="AE703" i="8"/>
  <c r="AD703" i="8"/>
  <c r="AC703" i="8"/>
  <c r="AB703" i="8"/>
  <c r="AA703" i="8"/>
  <c r="Z703" i="8"/>
  <c r="Y703" i="8"/>
  <c r="X703" i="8"/>
  <c r="W703" i="8"/>
  <c r="V703" i="8"/>
  <c r="W700" i="20"/>
  <c r="X700" i="20"/>
  <c r="Y700" i="20"/>
  <c r="Z700" i="20"/>
  <c r="AA700" i="20"/>
  <c r="AB700" i="20"/>
  <c r="AC700" i="20"/>
  <c r="AD700" i="20"/>
  <c r="AE700" i="20"/>
  <c r="AF700" i="20"/>
  <c r="AG700" i="20"/>
  <c r="AH700" i="20"/>
  <c r="AI700" i="20"/>
  <c r="AJ700" i="20"/>
  <c r="AJ702" i="20" s="1"/>
  <c r="AK700" i="20"/>
  <c r="AL700" i="20"/>
  <c r="AM700" i="20"/>
  <c r="AN700" i="20"/>
  <c r="AN702" i="20" s="1"/>
  <c r="AO700" i="20"/>
  <c r="AP700" i="20"/>
  <c r="AQ700" i="20"/>
  <c r="AR700" i="20"/>
  <c r="AS700" i="20"/>
  <c r="AT700" i="20"/>
  <c r="AU700" i="20"/>
  <c r="AV700" i="20"/>
  <c r="AW700" i="20"/>
  <c r="AX700" i="20"/>
  <c r="AY700" i="20"/>
  <c r="AZ700" i="20"/>
  <c r="W701" i="20"/>
  <c r="X701" i="20"/>
  <c r="X702" i="20" s="1"/>
  <c r="Y701" i="20"/>
  <c r="Z701" i="20"/>
  <c r="AA701" i="20"/>
  <c r="AB701" i="20"/>
  <c r="AC701" i="20"/>
  <c r="AD701" i="20"/>
  <c r="AD702" i="20"/>
  <c r="AE701" i="20"/>
  <c r="AF701" i="20"/>
  <c r="AG701" i="20"/>
  <c r="AH701" i="20"/>
  <c r="AI701" i="20"/>
  <c r="AJ701" i="20"/>
  <c r="AK701" i="20"/>
  <c r="AL701" i="20"/>
  <c r="AM701" i="20"/>
  <c r="AN701" i="20"/>
  <c r="AO701" i="20"/>
  <c r="AP701" i="20"/>
  <c r="AQ701" i="20"/>
  <c r="AR701" i="20"/>
  <c r="AR702" i="20" s="1"/>
  <c r="AS701" i="20"/>
  <c r="AT701" i="20"/>
  <c r="AU701" i="20"/>
  <c r="AV701" i="20"/>
  <c r="AV702" i="20" s="1"/>
  <c r="AW701" i="20"/>
  <c r="AX701" i="20"/>
  <c r="AY701" i="20"/>
  <c r="AZ701" i="20"/>
  <c r="V701" i="20"/>
  <c r="V700" i="20"/>
  <c r="W700" i="8"/>
  <c r="X700" i="8"/>
  <c r="Y700" i="8"/>
  <c r="Z700" i="8"/>
  <c r="AA700" i="8"/>
  <c r="AB700" i="8"/>
  <c r="AC700" i="8"/>
  <c r="AD700" i="8"/>
  <c r="AE700" i="8"/>
  <c r="AF700" i="8"/>
  <c r="AG700" i="8"/>
  <c r="AH700" i="8"/>
  <c r="AI700" i="8"/>
  <c r="AJ700" i="8"/>
  <c r="AK700" i="8"/>
  <c r="AL700" i="8"/>
  <c r="AM700" i="8"/>
  <c r="AN700" i="8"/>
  <c r="AO700" i="8"/>
  <c r="AP700" i="8"/>
  <c r="AQ700" i="8"/>
  <c r="AR700" i="8"/>
  <c r="AS700" i="8"/>
  <c r="AT700" i="8"/>
  <c r="AU700" i="8"/>
  <c r="AV700" i="8"/>
  <c r="AW700" i="8"/>
  <c r="AX700" i="8"/>
  <c r="AY700" i="8"/>
  <c r="AZ700" i="8"/>
  <c r="V700" i="8"/>
  <c r="W702" i="9"/>
  <c r="X702" i="9"/>
  <c r="Y702" i="9"/>
  <c r="Z702" i="9"/>
  <c r="AA702" i="9"/>
  <c r="AB702" i="9"/>
  <c r="AC702" i="9"/>
  <c r="AD702" i="9"/>
  <c r="AE702" i="9"/>
  <c r="AF702" i="9"/>
  <c r="AG702" i="9"/>
  <c r="AH702" i="9"/>
  <c r="AI702" i="9"/>
  <c r="AJ702" i="9"/>
  <c r="AK702" i="9"/>
  <c r="AL702" i="9"/>
  <c r="AM702" i="9"/>
  <c r="AN702" i="9"/>
  <c r="AO702" i="9"/>
  <c r="AP702" i="9"/>
  <c r="AQ702" i="9"/>
  <c r="AR702" i="9"/>
  <c r="AS702" i="9"/>
  <c r="AT702" i="9"/>
  <c r="AU702" i="9"/>
  <c r="AV702" i="9"/>
  <c r="AW702" i="9"/>
  <c r="AX702" i="9"/>
  <c r="AY702" i="9"/>
  <c r="AZ702" i="9"/>
  <c r="V702" i="9"/>
  <c r="V697" i="20"/>
  <c r="W697" i="20"/>
  <c r="X697" i="20"/>
  <c r="X699" i="20" s="1"/>
  <c r="Y697" i="20"/>
  <c r="Z697" i="20"/>
  <c r="Z699" i="20" s="1"/>
  <c r="AA697" i="20"/>
  <c r="AB697" i="20"/>
  <c r="AC697" i="20"/>
  <c r="AD697" i="20"/>
  <c r="AE697" i="20"/>
  <c r="AE699" i="20" s="1"/>
  <c r="AF697" i="20"/>
  <c r="AG697" i="20"/>
  <c r="AH697" i="20"/>
  <c r="AI697" i="20"/>
  <c r="AJ697" i="20"/>
  <c r="AK697" i="20"/>
  <c r="AL697" i="20"/>
  <c r="AM697" i="20"/>
  <c r="AN697" i="20"/>
  <c r="AO697" i="20"/>
  <c r="AP697" i="20"/>
  <c r="AQ697" i="20"/>
  <c r="AQ699" i="20" s="1"/>
  <c r="AR697" i="20"/>
  <c r="AS697" i="20"/>
  <c r="AT697" i="20"/>
  <c r="AU697" i="20"/>
  <c r="AV697" i="20"/>
  <c r="AW697" i="20"/>
  <c r="AX697" i="20"/>
  <c r="AY697" i="20"/>
  <c r="AZ697" i="20"/>
  <c r="V698" i="20"/>
  <c r="W698" i="20"/>
  <c r="X698" i="20"/>
  <c r="Y698" i="20"/>
  <c r="Z698" i="20"/>
  <c r="AA698" i="20"/>
  <c r="AB698" i="20"/>
  <c r="AC698" i="20"/>
  <c r="AD698" i="20"/>
  <c r="AE698" i="20"/>
  <c r="AF698" i="20"/>
  <c r="AF699" i="20" s="1"/>
  <c r="AG698" i="20"/>
  <c r="AH698" i="20"/>
  <c r="AI698" i="20"/>
  <c r="AI699" i="20" s="1"/>
  <c r="AJ698" i="20"/>
  <c r="AK698" i="20"/>
  <c r="AL698" i="20"/>
  <c r="AM698" i="20"/>
  <c r="AN698" i="20"/>
  <c r="AO698" i="20"/>
  <c r="AP698" i="20"/>
  <c r="AQ698" i="20"/>
  <c r="AR698" i="20"/>
  <c r="AR699" i="20" s="1"/>
  <c r="AS698" i="20"/>
  <c r="AT698" i="20"/>
  <c r="AU698" i="20"/>
  <c r="AV698" i="20"/>
  <c r="AV699" i="20" s="1"/>
  <c r="AW698" i="20"/>
  <c r="AX698" i="20"/>
  <c r="AY698" i="20"/>
  <c r="AZ698" i="20"/>
  <c r="AZ697" i="8"/>
  <c r="AY697" i="8"/>
  <c r="AX697" i="8"/>
  <c r="AW697" i="8"/>
  <c r="AV697" i="8"/>
  <c r="AU697" i="8"/>
  <c r="AT697" i="8"/>
  <c r="AS697" i="8"/>
  <c r="AR697" i="8"/>
  <c r="AQ697" i="8"/>
  <c r="AP697" i="8"/>
  <c r="AO697" i="8"/>
  <c r="AN697" i="8"/>
  <c r="AM697" i="8"/>
  <c r="AL697" i="8"/>
  <c r="AK697" i="8"/>
  <c r="AJ697" i="8"/>
  <c r="AI697" i="8"/>
  <c r="AH697" i="8"/>
  <c r="AG697" i="8"/>
  <c r="AF697" i="8"/>
  <c r="AE697" i="8"/>
  <c r="AD697" i="8"/>
  <c r="AC697" i="8"/>
  <c r="AB697" i="8"/>
  <c r="AA697" i="8"/>
  <c r="Z697" i="8"/>
  <c r="Y697" i="8"/>
  <c r="X697" i="8"/>
  <c r="W697" i="8"/>
  <c r="V697" i="8"/>
  <c r="AZ699" i="9"/>
  <c r="AY699" i="9"/>
  <c r="AX699" i="9"/>
  <c r="AW699" i="9"/>
  <c r="AV699" i="9"/>
  <c r="AU699" i="9"/>
  <c r="AT699" i="9"/>
  <c r="AS699" i="9"/>
  <c r="AR699" i="9"/>
  <c r="AQ699" i="9"/>
  <c r="AP699" i="9"/>
  <c r="AO699" i="9"/>
  <c r="AN699" i="9"/>
  <c r="AM699" i="9"/>
  <c r="AL699" i="9"/>
  <c r="AK699" i="9"/>
  <c r="AJ699" i="9"/>
  <c r="AI699" i="9"/>
  <c r="AH699" i="9"/>
  <c r="AG699" i="9"/>
  <c r="AF699" i="9"/>
  <c r="AE699" i="9"/>
  <c r="AD699" i="9"/>
  <c r="AC699" i="9"/>
  <c r="AB699" i="9"/>
  <c r="AA699" i="9"/>
  <c r="Z699" i="9"/>
  <c r="Y699" i="9"/>
  <c r="X699" i="9"/>
  <c r="W699" i="9"/>
  <c r="V699" i="9"/>
  <c r="AZ695" i="20"/>
  <c r="AY695" i="20"/>
  <c r="AX695" i="20"/>
  <c r="AW695" i="20"/>
  <c r="AV695" i="20"/>
  <c r="AU695" i="20"/>
  <c r="AT695" i="20"/>
  <c r="AS695" i="20"/>
  <c r="AR695" i="20"/>
  <c r="AQ695" i="20"/>
  <c r="AP695" i="20"/>
  <c r="AO695" i="20"/>
  <c r="AN695" i="20"/>
  <c r="AM695" i="20"/>
  <c r="AL695" i="20"/>
  <c r="AK695" i="20"/>
  <c r="AJ695" i="20"/>
  <c r="AI695" i="20"/>
  <c r="AH695" i="20"/>
  <c r="AG695" i="20"/>
  <c r="AF695" i="20"/>
  <c r="AE695" i="20"/>
  <c r="AD695" i="20"/>
  <c r="AC695" i="20"/>
  <c r="AB695" i="20"/>
  <c r="AA695" i="20"/>
  <c r="Z695" i="20"/>
  <c r="Y695" i="20"/>
  <c r="X695" i="20"/>
  <c r="X696" i="20" s="1"/>
  <c r="W695" i="20"/>
  <c r="V695" i="20"/>
  <c r="AZ694" i="20"/>
  <c r="AY694" i="20"/>
  <c r="AX694" i="20"/>
  <c r="AW694" i="20"/>
  <c r="AV694" i="20"/>
  <c r="AU694" i="20"/>
  <c r="AT694" i="20"/>
  <c r="AT696" i="20" s="1"/>
  <c r="AS694" i="20"/>
  <c r="AR694" i="20"/>
  <c r="AQ694" i="20"/>
  <c r="AP694" i="20"/>
  <c r="AP696" i="20" s="1"/>
  <c r="AO694" i="20"/>
  <c r="AN694" i="20"/>
  <c r="AN696" i="20" s="1"/>
  <c r="AM694" i="20"/>
  <c r="AL694" i="20"/>
  <c r="AK694" i="20"/>
  <c r="AJ694" i="20"/>
  <c r="AJ696" i="20" s="1"/>
  <c r="AI694" i="20"/>
  <c r="AH694" i="20"/>
  <c r="AH696" i="20" s="1"/>
  <c r="AG694" i="20"/>
  <c r="AF694" i="20"/>
  <c r="AE694" i="20"/>
  <c r="AD694" i="20"/>
  <c r="AD696" i="20" s="1"/>
  <c r="AC694" i="20"/>
  <c r="AB694" i="20"/>
  <c r="AA694" i="20"/>
  <c r="Z694" i="20"/>
  <c r="Y694" i="20"/>
  <c r="X694" i="20"/>
  <c r="W694" i="20"/>
  <c r="V694" i="20"/>
  <c r="AZ692" i="20"/>
  <c r="AY692" i="20"/>
  <c r="AX692" i="20"/>
  <c r="AW692" i="20"/>
  <c r="AV692" i="20"/>
  <c r="AU692" i="20"/>
  <c r="AT692" i="20"/>
  <c r="AS692" i="20"/>
  <c r="AR692" i="20"/>
  <c r="AQ692" i="20"/>
  <c r="AP692" i="20"/>
  <c r="AO692" i="20"/>
  <c r="AN692" i="20"/>
  <c r="AM692" i="20"/>
  <c r="AL692" i="20"/>
  <c r="AK692" i="20"/>
  <c r="AJ692" i="20"/>
  <c r="AI692" i="20"/>
  <c r="AH692" i="20"/>
  <c r="AG692" i="20"/>
  <c r="AF692" i="20"/>
  <c r="AE692" i="20"/>
  <c r="AD692" i="20"/>
  <c r="AC692" i="20"/>
  <c r="AB692" i="20"/>
  <c r="AA692" i="20"/>
  <c r="Z692" i="20"/>
  <c r="Y692" i="20"/>
  <c r="X692" i="20"/>
  <c r="W692" i="20"/>
  <c r="V692" i="20"/>
  <c r="AZ691" i="20"/>
  <c r="AY691" i="20"/>
  <c r="AX691" i="20"/>
  <c r="AW691" i="20"/>
  <c r="AV691" i="20"/>
  <c r="AV693" i="20" s="1"/>
  <c r="AU691" i="20"/>
  <c r="AT691" i="20"/>
  <c r="AT693" i="20" s="1"/>
  <c r="AS691" i="20"/>
  <c r="AS693" i="20" s="1"/>
  <c r="AR691" i="20"/>
  <c r="AR693" i="20" s="1"/>
  <c r="AQ691" i="20"/>
  <c r="AP691" i="20"/>
  <c r="AP693" i="20" s="1"/>
  <c r="AO691" i="20"/>
  <c r="AN691" i="20"/>
  <c r="AM691" i="20"/>
  <c r="AL691" i="20"/>
  <c r="AK691" i="20"/>
  <c r="AJ691" i="20"/>
  <c r="AJ693" i="20"/>
  <c r="AI691" i="20"/>
  <c r="AH691" i="20"/>
  <c r="AG691" i="20"/>
  <c r="AF691" i="20"/>
  <c r="AE691" i="20"/>
  <c r="AD691" i="20"/>
  <c r="AC691" i="20"/>
  <c r="AB691" i="20"/>
  <c r="AA691" i="20"/>
  <c r="Z691" i="20"/>
  <c r="Y691" i="20"/>
  <c r="X691" i="20"/>
  <c r="X693" i="20" s="1"/>
  <c r="W691" i="20"/>
  <c r="V691" i="20"/>
  <c r="AZ696" i="9"/>
  <c r="AY696" i="9"/>
  <c r="AX696" i="9"/>
  <c r="AW696" i="9"/>
  <c r="AV696" i="9"/>
  <c r="AU696" i="9"/>
  <c r="AT696" i="9"/>
  <c r="AS696" i="9"/>
  <c r="AR696" i="9"/>
  <c r="AQ696" i="9"/>
  <c r="AP696" i="9"/>
  <c r="AO696" i="9"/>
  <c r="AN696" i="9"/>
  <c r="AM696" i="9"/>
  <c r="AL696" i="9"/>
  <c r="AK696" i="9"/>
  <c r="AJ696" i="9"/>
  <c r="AI696" i="9"/>
  <c r="AH696" i="9"/>
  <c r="AG696" i="9"/>
  <c r="AF696" i="9"/>
  <c r="AE696" i="9"/>
  <c r="AD696" i="9"/>
  <c r="AC696" i="9"/>
  <c r="AB696" i="9"/>
  <c r="AA696" i="9"/>
  <c r="Z696" i="9"/>
  <c r="Y696" i="9"/>
  <c r="X696" i="9"/>
  <c r="W696" i="9"/>
  <c r="V696" i="9"/>
  <c r="V694" i="8"/>
  <c r="W694" i="8"/>
  <c r="X694" i="8"/>
  <c r="Y694" i="8"/>
  <c r="Z694" i="8"/>
  <c r="AA694" i="8"/>
  <c r="AB694" i="8"/>
  <c r="AC694" i="8"/>
  <c r="AD694" i="8"/>
  <c r="AE694" i="8"/>
  <c r="AF694" i="8"/>
  <c r="AG694" i="8"/>
  <c r="AH694" i="8"/>
  <c r="AI694" i="8"/>
  <c r="AJ694" i="8"/>
  <c r="AK694" i="8"/>
  <c r="AL694" i="8"/>
  <c r="AM694" i="8"/>
  <c r="AN694" i="8"/>
  <c r="AO694" i="8"/>
  <c r="AP694" i="8"/>
  <c r="AQ694" i="8"/>
  <c r="AR694" i="8"/>
  <c r="AS694" i="8"/>
  <c r="AT694" i="8"/>
  <c r="AU694" i="8"/>
  <c r="AV694" i="8"/>
  <c r="AW694" i="8"/>
  <c r="AX694" i="8"/>
  <c r="AY694" i="8"/>
  <c r="AZ694" i="8"/>
  <c r="V693" i="9"/>
  <c r="AZ693" i="9"/>
  <c r="AY693" i="9"/>
  <c r="AX693" i="9"/>
  <c r="AW693" i="9"/>
  <c r="AV693" i="9"/>
  <c r="AU693" i="9"/>
  <c r="AT693" i="9"/>
  <c r="AS693" i="9"/>
  <c r="AR693" i="9"/>
  <c r="AQ693" i="9"/>
  <c r="AP693" i="9"/>
  <c r="AO693" i="9"/>
  <c r="AN693" i="9"/>
  <c r="AM693" i="9"/>
  <c r="AL693" i="9"/>
  <c r="AK693" i="9"/>
  <c r="AJ693" i="9"/>
  <c r="AI693" i="9"/>
  <c r="AH693" i="9"/>
  <c r="AG693" i="9"/>
  <c r="AF693" i="9"/>
  <c r="AE693" i="9"/>
  <c r="AD693" i="9"/>
  <c r="AC693" i="9"/>
  <c r="AB693" i="9"/>
  <c r="AA693" i="9"/>
  <c r="Z693" i="9"/>
  <c r="Y693" i="9"/>
  <c r="X693" i="9"/>
  <c r="W693" i="9"/>
  <c r="AZ691" i="8"/>
  <c r="AY691" i="8"/>
  <c r="AX691" i="8"/>
  <c r="AW691" i="8"/>
  <c r="AV691" i="8"/>
  <c r="AU691" i="8"/>
  <c r="AT691" i="8"/>
  <c r="AS691" i="8"/>
  <c r="AR691" i="8"/>
  <c r="AQ691" i="8"/>
  <c r="AP691" i="8"/>
  <c r="AO691" i="8"/>
  <c r="AN691" i="8"/>
  <c r="AM691" i="8"/>
  <c r="AL691" i="8"/>
  <c r="AK691" i="8"/>
  <c r="AJ691" i="8"/>
  <c r="AI691" i="8"/>
  <c r="AH691" i="8"/>
  <c r="AG691" i="8"/>
  <c r="AF691" i="8"/>
  <c r="AE691" i="8"/>
  <c r="AD691" i="8"/>
  <c r="AC691" i="8"/>
  <c r="AB691" i="8"/>
  <c r="AA691" i="8"/>
  <c r="Z691" i="8"/>
  <c r="Y691" i="8"/>
  <c r="X691" i="8"/>
  <c r="W691" i="8"/>
  <c r="V691" i="8"/>
  <c r="AZ689" i="20"/>
  <c r="AY689" i="20"/>
  <c r="AX689" i="20"/>
  <c r="AW689" i="20"/>
  <c r="AV689" i="20"/>
  <c r="AU689" i="20"/>
  <c r="AT689" i="20"/>
  <c r="AS689" i="20"/>
  <c r="AR689" i="20"/>
  <c r="AQ689" i="20"/>
  <c r="AP689" i="20"/>
  <c r="AO689" i="20"/>
  <c r="AN689" i="20"/>
  <c r="AM689" i="20"/>
  <c r="AL689" i="20"/>
  <c r="AK689" i="20"/>
  <c r="AJ689" i="20"/>
  <c r="AI689" i="20"/>
  <c r="AH689" i="20"/>
  <c r="AG689" i="20"/>
  <c r="AF689" i="20"/>
  <c r="AE689" i="20"/>
  <c r="AD689" i="20"/>
  <c r="AC689" i="20"/>
  <c r="AC690" i="20" s="1"/>
  <c r="AB689" i="20"/>
  <c r="AA689" i="20"/>
  <c r="Z689" i="20"/>
  <c r="Y689" i="20"/>
  <c r="X689" i="20"/>
  <c r="W689" i="20"/>
  <c r="V689" i="20"/>
  <c r="AZ688" i="20"/>
  <c r="AY688" i="20"/>
  <c r="AX688" i="20"/>
  <c r="AW688" i="20"/>
  <c r="AV688" i="20"/>
  <c r="AU688" i="20"/>
  <c r="AT688" i="20"/>
  <c r="AS688" i="20"/>
  <c r="AR688" i="20"/>
  <c r="AQ688" i="20"/>
  <c r="AP688" i="20"/>
  <c r="AO688" i="20"/>
  <c r="AN688" i="20"/>
  <c r="AM688" i="20"/>
  <c r="AL688" i="20"/>
  <c r="AK688" i="20"/>
  <c r="AJ688" i="20"/>
  <c r="AI688" i="20"/>
  <c r="AH688" i="20"/>
  <c r="AG688" i="20"/>
  <c r="AF688" i="20"/>
  <c r="AE688" i="20"/>
  <c r="AD688" i="20"/>
  <c r="AD690" i="20" s="1"/>
  <c r="AC688" i="20"/>
  <c r="AB688" i="20"/>
  <c r="AA688" i="20"/>
  <c r="Z688" i="20"/>
  <c r="Y688" i="20"/>
  <c r="X688" i="20"/>
  <c r="W688" i="20"/>
  <c r="V688" i="20"/>
  <c r="W690" i="9"/>
  <c r="X690" i="9"/>
  <c r="Y690" i="9"/>
  <c r="Z690" i="9"/>
  <c r="AA690" i="9"/>
  <c r="AB690" i="9"/>
  <c r="AC690" i="9"/>
  <c r="AD690" i="9"/>
  <c r="AE690" i="9"/>
  <c r="AF690" i="9"/>
  <c r="AG690" i="9"/>
  <c r="AH690" i="9"/>
  <c r="AI690" i="9"/>
  <c r="AJ690" i="9"/>
  <c r="AK690" i="9"/>
  <c r="AL690" i="9"/>
  <c r="AM690" i="9"/>
  <c r="AN690" i="9"/>
  <c r="AO690" i="9"/>
  <c r="AP690" i="9"/>
  <c r="AQ690" i="9"/>
  <c r="AR690" i="9"/>
  <c r="AS690" i="9"/>
  <c r="AT690" i="9"/>
  <c r="AU690" i="9"/>
  <c r="AV690" i="9"/>
  <c r="AW690" i="9"/>
  <c r="AX690" i="9"/>
  <c r="AY690" i="9"/>
  <c r="AZ690" i="9"/>
  <c r="V690" i="9"/>
  <c r="AZ688" i="8"/>
  <c r="AY688" i="8"/>
  <c r="AX688" i="8"/>
  <c r="AW688" i="8"/>
  <c r="AV688" i="8"/>
  <c r="AU688" i="8"/>
  <c r="AT688" i="8"/>
  <c r="AS688" i="8"/>
  <c r="AR688" i="8"/>
  <c r="AQ688" i="8"/>
  <c r="AP688" i="8"/>
  <c r="AO688" i="8"/>
  <c r="AN688" i="8"/>
  <c r="AM688" i="8"/>
  <c r="AL688" i="8"/>
  <c r="AK688" i="8"/>
  <c r="AJ688" i="8"/>
  <c r="AI688" i="8"/>
  <c r="AH688" i="8"/>
  <c r="AG688" i="8"/>
  <c r="AF688" i="8"/>
  <c r="AE688" i="8"/>
  <c r="AD688" i="8"/>
  <c r="AC688" i="8"/>
  <c r="AB688" i="8"/>
  <c r="AA688" i="8"/>
  <c r="Z688" i="8"/>
  <c r="Y688" i="8"/>
  <c r="X688" i="8"/>
  <c r="W688" i="8"/>
  <c r="V688" i="8"/>
  <c r="B16" i="24"/>
  <c r="C15" i="14" s="1"/>
  <c r="AZ686" i="20"/>
  <c r="AY686" i="20"/>
  <c r="AX686" i="20"/>
  <c r="AW686" i="20"/>
  <c r="AV686" i="20"/>
  <c r="AU686" i="20"/>
  <c r="AT686" i="20"/>
  <c r="AS686" i="20"/>
  <c r="AR686" i="20"/>
  <c r="AQ686" i="20"/>
  <c r="AP686" i="20"/>
  <c r="AO686" i="20"/>
  <c r="AN686" i="20"/>
  <c r="AM686" i="20"/>
  <c r="AL686" i="20"/>
  <c r="AK686" i="20"/>
  <c r="AJ686" i="20"/>
  <c r="AI686" i="20"/>
  <c r="AH686" i="20"/>
  <c r="AG686" i="20"/>
  <c r="AF686" i="20"/>
  <c r="AE686" i="20"/>
  <c r="AD686" i="20"/>
  <c r="AC686" i="20"/>
  <c r="AB686" i="20"/>
  <c r="AA686" i="20"/>
  <c r="Z686" i="20"/>
  <c r="Y686" i="20"/>
  <c r="X686" i="20"/>
  <c r="W686" i="20"/>
  <c r="V686" i="20"/>
  <c r="U686" i="20"/>
  <c r="AZ685" i="20"/>
  <c r="AY685" i="20"/>
  <c r="AX685" i="20"/>
  <c r="AX687" i="20" s="1"/>
  <c r="AW685" i="20"/>
  <c r="AV685" i="20"/>
  <c r="AU685" i="20"/>
  <c r="AU687" i="20" s="1"/>
  <c r="AT685" i="20"/>
  <c r="AS685" i="20"/>
  <c r="AR685" i="20"/>
  <c r="AQ685" i="20"/>
  <c r="AP685" i="20"/>
  <c r="AO685" i="20"/>
  <c r="AN685" i="20"/>
  <c r="AM685" i="20"/>
  <c r="AL685" i="20"/>
  <c r="AL687" i="20" s="1"/>
  <c r="AK685" i="20"/>
  <c r="AJ685" i="20"/>
  <c r="AI685" i="20"/>
  <c r="AH685" i="20"/>
  <c r="AG685" i="20"/>
  <c r="AG687" i="20" s="1"/>
  <c r="AF685" i="20"/>
  <c r="AF687" i="20" s="1"/>
  <c r="AE685" i="20"/>
  <c r="AD685" i="20"/>
  <c r="AC685" i="20"/>
  <c r="AB685" i="20"/>
  <c r="AA685" i="20"/>
  <c r="Z685" i="20"/>
  <c r="Y685" i="20"/>
  <c r="X685" i="20"/>
  <c r="W685" i="20"/>
  <c r="V685" i="20"/>
  <c r="U685" i="20"/>
  <c r="AZ685" i="8"/>
  <c r="AY685" i="8"/>
  <c r="AX685" i="8"/>
  <c r="AW685" i="8"/>
  <c r="AV685" i="8"/>
  <c r="AU685" i="8"/>
  <c r="AT685" i="8"/>
  <c r="AS685" i="8"/>
  <c r="AR685" i="8"/>
  <c r="AQ685" i="8"/>
  <c r="AP685" i="8"/>
  <c r="AO685" i="8"/>
  <c r="AN685" i="8"/>
  <c r="AM685" i="8"/>
  <c r="AL685" i="8"/>
  <c r="AK685" i="8"/>
  <c r="AJ685" i="8"/>
  <c r="AI685" i="8"/>
  <c r="AH685" i="8"/>
  <c r="AG685" i="8"/>
  <c r="AF685" i="8"/>
  <c r="AE685" i="8"/>
  <c r="AD685" i="8"/>
  <c r="AC685" i="8"/>
  <c r="AB685" i="8"/>
  <c r="AA685" i="8"/>
  <c r="Z685" i="8"/>
  <c r="Y685" i="8"/>
  <c r="X685" i="8"/>
  <c r="W685" i="8"/>
  <c r="V685" i="8"/>
  <c r="U685" i="8"/>
  <c r="AZ682" i="8"/>
  <c r="AY682" i="8"/>
  <c r="AX682" i="8"/>
  <c r="AW682" i="8"/>
  <c r="AV682" i="8"/>
  <c r="AU682" i="8"/>
  <c r="AT682" i="8"/>
  <c r="AS682" i="8"/>
  <c r="AR682" i="8"/>
  <c r="AQ682" i="8"/>
  <c r="AP682" i="8"/>
  <c r="AO682" i="8"/>
  <c r="AN682" i="8"/>
  <c r="AM682" i="8"/>
  <c r="AL682" i="8"/>
  <c r="AK682" i="8"/>
  <c r="AJ682" i="8"/>
  <c r="AI682" i="8"/>
  <c r="AH682" i="8"/>
  <c r="AG682" i="8"/>
  <c r="AF682" i="8"/>
  <c r="AE682" i="8"/>
  <c r="AD682" i="8"/>
  <c r="AC682" i="8"/>
  <c r="AB682" i="8"/>
  <c r="AA682" i="8"/>
  <c r="Z682" i="8"/>
  <c r="Y682" i="8"/>
  <c r="X682" i="8"/>
  <c r="W682" i="8"/>
  <c r="V682" i="8"/>
  <c r="U682" i="8"/>
  <c r="V679" i="8"/>
  <c r="W679" i="8"/>
  <c r="X679" i="8"/>
  <c r="Y679" i="8"/>
  <c r="Z679" i="8"/>
  <c r="AA679" i="8"/>
  <c r="AB679" i="8"/>
  <c r="AC679" i="8"/>
  <c r="AD679" i="8"/>
  <c r="AE679" i="8"/>
  <c r="AF679" i="8"/>
  <c r="AG679" i="8"/>
  <c r="AH679" i="8"/>
  <c r="AI679" i="8"/>
  <c r="AJ679" i="8"/>
  <c r="AK679" i="8"/>
  <c r="AL679" i="8"/>
  <c r="AM679" i="8"/>
  <c r="AN679" i="8"/>
  <c r="AO679" i="8"/>
  <c r="AP679" i="8"/>
  <c r="AQ679" i="8"/>
  <c r="AR679" i="8"/>
  <c r="AS679" i="8"/>
  <c r="AT679" i="8"/>
  <c r="AU679" i="8"/>
  <c r="AV679" i="8"/>
  <c r="AW679" i="8"/>
  <c r="AX679" i="8"/>
  <c r="AY679" i="8"/>
  <c r="AZ679" i="8"/>
  <c r="U679" i="8"/>
  <c r="V676" i="8"/>
  <c r="W676" i="8"/>
  <c r="X676" i="8"/>
  <c r="Y676" i="8"/>
  <c r="Z676" i="8"/>
  <c r="AA676" i="8"/>
  <c r="AB676" i="8"/>
  <c r="AC676" i="8"/>
  <c r="AD676" i="8"/>
  <c r="AE676" i="8"/>
  <c r="AF676" i="8"/>
  <c r="AG676" i="8"/>
  <c r="AH676" i="8"/>
  <c r="AI676" i="8"/>
  <c r="AJ676" i="8"/>
  <c r="AK676" i="8"/>
  <c r="AL676" i="8"/>
  <c r="AM676" i="8"/>
  <c r="AN676" i="8"/>
  <c r="AO676" i="8"/>
  <c r="AP676" i="8"/>
  <c r="AQ676" i="8"/>
  <c r="AR676" i="8"/>
  <c r="AS676" i="8"/>
  <c r="AT676" i="8"/>
  <c r="AU676" i="8"/>
  <c r="AV676" i="8"/>
  <c r="AW676" i="8"/>
  <c r="AX676" i="8"/>
  <c r="AY676" i="8"/>
  <c r="AZ676" i="8"/>
  <c r="U676" i="8"/>
  <c r="V673" i="8"/>
  <c r="W673" i="8"/>
  <c r="X673" i="8"/>
  <c r="Y673" i="8"/>
  <c r="Z673" i="8"/>
  <c r="AA673" i="8"/>
  <c r="AB673" i="8"/>
  <c r="AC673" i="8"/>
  <c r="AD673" i="8"/>
  <c r="AE673" i="8"/>
  <c r="AF673" i="8"/>
  <c r="AG673" i="8"/>
  <c r="AH673" i="8"/>
  <c r="AI673" i="8"/>
  <c r="AJ673" i="8"/>
  <c r="AK673" i="8"/>
  <c r="AL673" i="8"/>
  <c r="AM673" i="8"/>
  <c r="AN673" i="8"/>
  <c r="AO673" i="8"/>
  <c r="AP673" i="8"/>
  <c r="AQ673" i="8"/>
  <c r="AR673" i="8"/>
  <c r="AS673" i="8"/>
  <c r="AT673" i="8"/>
  <c r="AU673" i="8"/>
  <c r="AV673" i="8"/>
  <c r="AW673" i="8"/>
  <c r="AX673" i="8"/>
  <c r="AY673" i="8"/>
  <c r="AV9" i="22" s="1"/>
  <c r="AZ673" i="8"/>
  <c r="U673" i="8"/>
  <c r="V672" i="9"/>
  <c r="W672" i="9"/>
  <c r="X672" i="9"/>
  <c r="Y672" i="9"/>
  <c r="Z672" i="9"/>
  <c r="AA672" i="9"/>
  <c r="AB672" i="9"/>
  <c r="AC672" i="9"/>
  <c r="AD672" i="9"/>
  <c r="AE672" i="9"/>
  <c r="AF672" i="9"/>
  <c r="AG672" i="9"/>
  <c r="AH672" i="9"/>
  <c r="AI672" i="9"/>
  <c r="AJ672" i="9"/>
  <c r="AK672" i="9"/>
  <c r="AL672" i="9"/>
  <c r="AM672" i="9"/>
  <c r="AN672" i="9"/>
  <c r="AO672" i="9"/>
  <c r="AP672" i="9"/>
  <c r="AQ672" i="9"/>
  <c r="AR672" i="9"/>
  <c r="AS672" i="9"/>
  <c r="AT672" i="9"/>
  <c r="AU672" i="9"/>
  <c r="AV672" i="9"/>
  <c r="AW672" i="9"/>
  <c r="AX672" i="9"/>
  <c r="U672" i="9"/>
  <c r="V670" i="8"/>
  <c r="W670" i="8"/>
  <c r="X670" i="8"/>
  <c r="Y670" i="8"/>
  <c r="Z670" i="8"/>
  <c r="AA670" i="8"/>
  <c r="AB670" i="8"/>
  <c r="AC670" i="8"/>
  <c r="AD670" i="8"/>
  <c r="AE670" i="8"/>
  <c r="AF670" i="8"/>
  <c r="AG670" i="8"/>
  <c r="AH670" i="8"/>
  <c r="AI670" i="8"/>
  <c r="AJ670" i="8"/>
  <c r="AK670" i="8"/>
  <c r="AL670" i="8"/>
  <c r="AM670" i="8"/>
  <c r="AN670" i="8"/>
  <c r="AO670" i="8"/>
  <c r="AP670" i="8"/>
  <c r="AQ670" i="8"/>
  <c r="AR670" i="8"/>
  <c r="AS670" i="8"/>
  <c r="AT670" i="8"/>
  <c r="AU670" i="8"/>
  <c r="AV670" i="8"/>
  <c r="AW670" i="8"/>
  <c r="AX670" i="8"/>
  <c r="U670" i="8"/>
  <c r="V669" i="9"/>
  <c r="W669" i="9"/>
  <c r="X669" i="9"/>
  <c r="Y669" i="9"/>
  <c r="Z669" i="9"/>
  <c r="AA669" i="9"/>
  <c r="AB669" i="9"/>
  <c r="AC669" i="9"/>
  <c r="AD669" i="9"/>
  <c r="AE669" i="9"/>
  <c r="AF669" i="9"/>
  <c r="AG669" i="9"/>
  <c r="AH669" i="9"/>
  <c r="AI669" i="9"/>
  <c r="AJ669" i="9"/>
  <c r="AK669" i="9"/>
  <c r="AL669" i="9"/>
  <c r="AM669" i="9"/>
  <c r="AN669" i="9"/>
  <c r="AO669" i="9"/>
  <c r="AP669" i="9"/>
  <c r="AQ669" i="9"/>
  <c r="AR669" i="9"/>
  <c r="AS669" i="9"/>
  <c r="AT669" i="9"/>
  <c r="AU669" i="9"/>
  <c r="AV669" i="9"/>
  <c r="AW669" i="9"/>
  <c r="AX669" i="9"/>
  <c r="U669" i="9"/>
  <c r="AX666" i="9"/>
  <c r="AW666" i="9"/>
  <c r="AV666" i="9"/>
  <c r="AU666" i="9"/>
  <c r="AT666" i="9"/>
  <c r="AS666" i="9"/>
  <c r="AR666" i="9"/>
  <c r="AQ666" i="9"/>
  <c r="AP666" i="9"/>
  <c r="AO666" i="9"/>
  <c r="AN666" i="9"/>
  <c r="AM666" i="9"/>
  <c r="AL666" i="9"/>
  <c r="AK666" i="9"/>
  <c r="AJ666" i="9"/>
  <c r="AI666" i="9"/>
  <c r="AH666" i="9"/>
  <c r="AG666" i="9"/>
  <c r="AF666" i="9"/>
  <c r="AE666" i="9"/>
  <c r="AD666" i="9"/>
  <c r="AC666" i="9"/>
  <c r="AB666" i="9"/>
  <c r="AA666" i="9"/>
  <c r="Z666" i="9"/>
  <c r="Y666" i="9"/>
  <c r="X666" i="9"/>
  <c r="W666" i="9"/>
  <c r="V666" i="9"/>
  <c r="U666" i="9"/>
  <c r="AX663" i="9"/>
  <c r="AW663" i="9"/>
  <c r="AV663" i="9"/>
  <c r="AU663" i="9"/>
  <c r="AT663" i="9"/>
  <c r="AS663" i="9"/>
  <c r="AR663" i="9"/>
  <c r="AQ663" i="9"/>
  <c r="AP663" i="9"/>
  <c r="AO663" i="9"/>
  <c r="AN663" i="9"/>
  <c r="AM663" i="9"/>
  <c r="AL663" i="9"/>
  <c r="AK663" i="9"/>
  <c r="AJ663" i="9"/>
  <c r="AI663" i="9"/>
  <c r="AH663" i="9"/>
  <c r="AG663" i="9"/>
  <c r="AF663" i="9"/>
  <c r="AE663" i="9"/>
  <c r="AD663" i="9"/>
  <c r="AC663" i="9"/>
  <c r="AB663" i="9"/>
  <c r="AA663" i="9"/>
  <c r="Z663" i="9"/>
  <c r="Y663" i="9"/>
  <c r="X663" i="9"/>
  <c r="W663" i="9"/>
  <c r="V663" i="9"/>
  <c r="U663" i="9"/>
  <c r="AX660" i="9"/>
  <c r="AW660" i="9"/>
  <c r="AV660" i="9"/>
  <c r="AU660" i="9"/>
  <c r="AT660" i="9"/>
  <c r="AS660" i="9"/>
  <c r="AR660" i="9"/>
  <c r="AQ660" i="9"/>
  <c r="AP660" i="9"/>
  <c r="AO660" i="9"/>
  <c r="AN660" i="9"/>
  <c r="AM660" i="9"/>
  <c r="AL660" i="9"/>
  <c r="AK660" i="9"/>
  <c r="AJ660" i="9"/>
  <c r="AI660" i="9"/>
  <c r="AH660" i="9"/>
  <c r="AG660" i="9"/>
  <c r="AF660" i="9"/>
  <c r="AE660" i="9"/>
  <c r="AD660" i="9"/>
  <c r="AC660" i="9"/>
  <c r="AB660" i="9"/>
  <c r="AA660" i="9"/>
  <c r="Z660" i="9"/>
  <c r="Y660" i="9"/>
  <c r="X660" i="9"/>
  <c r="W660" i="9"/>
  <c r="V660" i="9"/>
  <c r="U660" i="9"/>
  <c r="G234" i="2"/>
  <c r="AT17" i="21"/>
  <c r="AU17" i="21"/>
  <c r="AV17" i="21"/>
  <c r="AW17" i="21"/>
  <c r="V657" i="9"/>
  <c r="W657" i="9"/>
  <c r="X657" i="9"/>
  <c r="Y657" i="9"/>
  <c r="Z657" i="9"/>
  <c r="AA657" i="9"/>
  <c r="AB657" i="9"/>
  <c r="AC657" i="9"/>
  <c r="AD657" i="9"/>
  <c r="AE657" i="9"/>
  <c r="AF657" i="9"/>
  <c r="AG657" i="9"/>
  <c r="AH657" i="9"/>
  <c r="AI657" i="9"/>
  <c r="AJ657" i="9"/>
  <c r="AK657" i="9"/>
  <c r="AL657" i="9"/>
  <c r="AM657" i="9"/>
  <c r="AN657" i="9"/>
  <c r="AO657" i="9"/>
  <c r="AP657" i="9"/>
  <c r="AQ657" i="9"/>
  <c r="AR657" i="9"/>
  <c r="AS657" i="9"/>
  <c r="AT657" i="9"/>
  <c r="AU657" i="9"/>
  <c r="AU9" i="21" s="1"/>
  <c r="AV657" i="9"/>
  <c r="AW657" i="9"/>
  <c r="AX657" i="9"/>
  <c r="U657" i="9"/>
  <c r="AS17" i="21"/>
  <c r="G233" i="2"/>
  <c r="T651" i="20"/>
  <c r="T650" i="20"/>
  <c r="T649" i="20"/>
  <c r="T648" i="20"/>
  <c r="T647" i="20"/>
  <c r="T646" i="20"/>
  <c r="T645" i="20"/>
  <c r="T644" i="20"/>
  <c r="T643" i="20"/>
  <c r="T642" i="20"/>
  <c r="T641" i="20"/>
  <c r="T640" i="20"/>
  <c r="T639" i="20"/>
  <c r="T638" i="20"/>
  <c r="T637" i="20"/>
  <c r="T636" i="20"/>
  <c r="T635" i="20"/>
  <c r="T634" i="20"/>
  <c r="T631" i="20"/>
  <c r="T632" i="20"/>
  <c r="AS633" i="9"/>
  <c r="AR633" i="9"/>
  <c r="AQ633" i="9"/>
  <c r="AP633" i="9"/>
  <c r="AO633" i="9"/>
  <c r="AN633" i="9"/>
  <c r="AM633" i="9"/>
  <c r="AL633" i="9"/>
  <c r="AK633" i="9"/>
  <c r="AJ633" i="9"/>
  <c r="AI633" i="9"/>
  <c r="AH633" i="9"/>
  <c r="AG633" i="9"/>
  <c r="AF633" i="9"/>
  <c r="AE633" i="9"/>
  <c r="AD633" i="9"/>
  <c r="AC633" i="9"/>
  <c r="AB633" i="9"/>
  <c r="AA633" i="9"/>
  <c r="Z633" i="9"/>
  <c r="Y633" i="9"/>
  <c r="X633" i="9"/>
  <c r="W633" i="9"/>
  <c r="V633" i="9"/>
  <c r="U633" i="9"/>
  <c r="T633" i="9"/>
  <c r="AX631" i="8"/>
  <c r="AW631" i="8"/>
  <c r="AV631" i="8"/>
  <c r="AU631" i="8"/>
  <c r="AT631" i="8"/>
  <c r="AS631" i="8"/>
  <c r="AR631" i="8"/>
  <c r="AQ631" i="8"/>
  <c r="AP631" i="8"/>
  <c r="AO631" i="8"/>
  <c r="AN631" i="8"/>
  <c r="AM631" i="8"/>
  <c r="AL631" i="8"/>
  <c r="AK631" i="8"/>
  <c r="AJ631" i="8"/>
  <c r="AI631" i="8"/>
  <c r="AH631" i="8"/>
  <c r="AG631" i="8"/>
  <c r="AF631" i="8"/>
  <c r="AE631" i="8"/>
  <c r="AD631" i="8"/>
  <c r="AC631" i="8"/>
  <c r="AB631" i="8"/>
  <c r="AA631" i="8"/>
  <c r="Z631" i="8"/>
  <c r="Y631" i="8"/>
  <c r="X631" i="8"/>
  <c r="W631" i="8"/>
  <c r="V631" i="8"/>
  <c r="U631" i="8"/>
  <c r="T631" i="8"/>
  <c r="T629" i="20"/>
  <c r="T628" i="20"/>
  <c r="T630" i="9"/>
  <c r="AS630" i="9"/>
  <c r="AR630" i="9"/>
  <c r="AQ630" i="9"/>
  <c r="AP630" i="9"/>
  <c r="AO630" i="9"/>
  <c r="AN630" i="9"/>
  <c r="AM630" i="9"/>
  <c r="AL630" i="9"/>
  <c r="AK630" i="9"/>
  <c r="AJ630" i="9"/>
  <c r="AI630" i="9"/>
  <c r="AH630" i="9"/>
  <c r="AG630" i="9"/>
  <c r="AF630" i="9"/>
  <c r="AE630" i="9"/>
  <c r="AD630" i="9"/>
  <c r="AC630" i="9"/>
  <c r="AB630" i="9"/>
  <c r="AA630" i="9"/>
  <c r="Z630" i="9"/>
  <c r="Y630" i="9"/>
  <c r="X630" i="9"/>
  <c r="W630" i="9"/>
  <c r="V630" i="9"/>
  <c r="U630" i="9"/>
  <c r="T628" i="8"/>
  <c r="AX628" i="8"/>
  <c r="AW628" i="8"/>
  <c r="AV628" i="8"/>
  <c r="AU628" i="8"/>
  <c r="AT628" i="8"/>
  <c r="AS628" i="8"/>
  <c r="AR628" i="8"/>
  <c r="AQ628" i="8"/>
  <c r="AP628" i="8"/>
  <c r="AO628" i="8"/>
  <c r="AN628" i="8"/>
  <c r="AM628" i="8"/>
  <c r="AL628" i="8"/>
  <c r="AK628" i="8"/>
  <c r="AJ628" i="8"/>
  <c r="AI628" i="8"/>
  <c r="AH628" i="8"/>
  <c r="AG628" i="8"/>
  <c r="AF628" i="8"/>
  <c r="AE628" i="8"/>
  <c r="AD628" i="8"/>
  <c r="AC628" i="8"/>
  <c r="AB628" i="8"/>
  <c r="AA628" i="8"/>
  <c r="Z628" i="8"/>
  <c r="Y628" i="8"/>
  <c r="X628" i="8"/>
  <c r="W628" i="8"/>
  <c r="V628" i="8"/>
  <c r="U628" i="8"/>
  <c r="T626" i="20"/>
  <c r="T625" i="20"/>
  <c r="U627" i="9"/>
  <c r="V627" i="9"/>
  <c r="W627" i="9"/>
  <c r="X627" i="9"/>
  <c r="Y627" i="9"/>
  <c r="Z627" i="9"/>
  <c r="AA627" i="9"/>
  <c r="AB627" i="9"/>
  <c r="AC627" i="9"/>
  <c r="AD627" i="9"/>
  <c r="AE627" i="9"/>
  <c r="AF627" i="9"/>
  <c r="AG627" i="9"/>
  <c r="AH627" i="9"/>
  <c r="AI627" i="9"/>
  <c r="AJ627" i="9"/>
  <c r="AK627" i="9"/>
  <c r="AL627" i="9"/>
  <c r="AM627" i="9"/>
  <c r="AN627" i="9"/>
  <c r="AO627" i="9"/>
  <c r="AP627" i="9"/>
  <c r="AQ627" i="9"/>
  <c r="AR627" i="9"/>
  <c r="AS627" i="9"/>
  <c r="T627" i="9"/>
  <c r="U625" i="8"/>
  <c r="V625" i="8"/>
  <c r="W625" i="8"/>
  <c r="X625" i="8"/>
  <c r="Y625" i="8"/>
  <c r="Z625" i="8"/>
  <c r="AA625" i="8"/>
  <c r="AB625" i="8"/>
  <c r="AC625" i="8"/>
  <c r="AD625" i="8"/>
  <c r="AE625" i="8"/>
  <c r="AF625" i="8"/>
  <c r="AG625" i="8"/>
  <c r="AH625" i="8"/>
  <c r="AI625" i="8"/>
  <c r="AJ625" i="8"/>
  <c r="AK625" i="8"/>
  <c r="AL625" i="8"/>
  <c r="AM625" i="8"/>
  <c r="AN625" i="8"/>
  <c r="AO625" i="8"/>
  <c r="AP625" i="8"/>
  <c r="AQ625" i="8"/>
  <c r="AR625" i="8"/>
  <c r="AS625" i="8"/>
  <c r="AT625" i="8"/>
  <c r="AU625" i="8"/>
  <c r="AV625" i="8"/>
  <c r="AW625" i="8"/>
  <c r="AX625" i="8"/>
  <c r="T625" i="8"/>
  <c r="T623" i="20"/>
  <c r="T622" i="20"/>
  <c r="AS624" i="9"/>
  <c r="AR624" i="9"/>
  <c r="AQ624" i="9"/>
  <c r="AP624" i="9"/>
  <c r="AO624" i="9"/>
  <c r="AN624" i="9"/>
  <c r="AM624" i="9"/>
  <c r="AL624" i="9"/>
  <c r="AK624" i="9"/>
  <c r="AJ624" i="9"/>
  <c r="AI624" i="9"/>
  <c r="AH624" i="9"/>
  <c r="AG624" i="9"/>
  <c r="AF624" i="9"/>
  <c r="AE624" i="9"/>
  <c r="AD624" i="9"/>
  <c r="AC624" i="9"/>
  <c r="AB624" i="9"/>
  <c r="AA624" i="9"/>
  <c r="Z624" i="9"/>
  <c r="Y624" i="9"/>
  <c r="X624" i="9"/>
  <c r="W624" i="9"/>
  <c r="V624" i="9"/>
  <c r="U624" i="9"/>
  <c r="T624" i="9"/>
  <c r="T624" i="20" s="1"/>
  <c r="AX622" i="8"/>
  <c r="AW622" i="8"/>
  <c r="AV622" i="8"/>
  <c r="AU622" i="8"/>
  <c r="AT622" i="8"/>
  <c r="AS622" i="8"/>
  <c r="AR622" i="8"/>
  <c r="AQ622" i="8"/>
  <c r="AP622" i="8"/>
  <c r="AO622" i="8"/>
  <c r="AN622" i="8"/>
  <c r="AM622" i="8"/>
  <c r="AL622" i="8"/>
  <c r="AK622" i="8"/>
  <c r="AJ622" i="8"/>
  <c r="AI622" i="8"/>
  <c r="AH622" i="8"/>
  <c r="AG622" i="8"/>
  <c r="AF622" i="8"/>
  <c r="AE622" i="8"/>
  <c r="AD622" i="8"/>
  <c r="AC622" i="8"/>
  <c r="AB622" i="8"/>
  <c r="AA622" i="8"/>
  <c r="Z622" i="8"/>
  <c r="Y622" i="8"/>
  <c r="X622" i="8"/>
  <c r="W622" i="8"/>
  <c r="V622" i="8"/>
  <c r="U622" i="8"/>
  <c r="T622" i="8"/>
  <c r="U621" i="9"/>
  <c r="T621" i="9"/>
  <c r="U619" i="8"/>
  <c r="T619" i="8"/>
  <c r="T619" i="20"/>
  <c r="T620" i="20"/>
  <c r="AS621" i="9"/>
  <c r="AR621" i="9"/>
  <c r="AQ621" i="9"/>
  <c r="AP621" i="9"/>
  <c r="AO621" i="9"/>
  <c r="AN621" i="9"/>
  <c r="AM621" i="9"/>
  <c r="AL621" i="9"/>
  <c r="AK621" i="9"/>
  <c r="AJ621" i="9"/>
  <c r="AI621" i="9"/>
  <c r="AH621" i="9"/>
  <c r="AG621" i="9"/>
  <c r="AF621" i="9"/>
  <c r="AE621" i="9"/>
  <c r="AD621" i="9"/>
  <c r="AC621" i="9"/>
  <c r="AB621" i="9"/>
  <c r="AA621" i="9"/>
  <c r="Z621" i="9"/>
  <c r="Y621" i="9"/>
  <c r="X621" i="9"/>
  <c r="W621" i="9"/>
  <c r="V621" i="9"/>
  <c r="V619" i="8"/>
  <c r="W619" i="8"/>
  <c r="X619" i="8"/>
  <c r="Y619" i="8"/>
  <c r="Z619" i="8"/>
  <c r="AA619" i="8"/>
  <c r="AB619" i="8"/>
  <c r="AC619" i="8"/>
  <c r="AD619" i="8"/>
  <c r="AE619" i="8"/>
  <c r="AF619" i="8"/>
  <c r="AG619" i="8"/>
  <c r="AH619" i="8"/>
  <c r="AI619" i="8"/>
  <c r="AJ619" i="8"/>
  <c r="AK619" i="8"/>
  <c r="AL619" i="8"/>
  <c r="AM619" i="8"/>
  <c r="AN619" i="8"/>
  <c r="AO619" i="8"/>
  <c r="AP619" i="8"/>
  <c r="AQ619" i="8"/>
  <c r="AR619" i="8"/>
  <c r="AS619" i="8"/>
  <c r="AT619" i="8"/>
  <c r="AU619" i="8"/>
  <c r="AV619" i="8"/>
  <c r="AW619" i="8"/>
  <c r="AX619" i="8"/>
  <c r="AT17" i="22"/>
  <c r="AS17" i="22"/>
  <c r="AR17" i="21"/>
  <c r="AS618" i="9"/>
  <c r="AX616" i="8"/>
  <c r="S614" i="20"/>
  <c r="S613" i="20"/>
  <c r="T617" i="20"/>
  <c r="T616" i="20"/>
  <c r="T616" i="8"/>
  <c r="AQ618" i="9"/>
  <c r="AA618" i="9"/>
  <c r="Z618" i="9"/>
  <c r="Y618" i="9"/>
  <c r="X618" i="9"/>
  <c r="W618" i="9"/>
  <c r="V618" i="9"/>
  <c r="U618" i="9"/>
  <c r="T618" i="9"/>
  <c r="AR618" i="9"/>
  <c r="AP618" i="9"/>
  <c r="AO618" i="9"/>
  <c r="AN618" i="9"/>
  <c r="AM618" i="9"/>
  <c r="AL618" i="9"/>
  <c r="AK618" i="9"/>
  <c r="AJ618" i="9"/>
  <c r="AI618" i="9"/>
  <c r="AH618" i="9"/>
  <c r="AG618" i="9"/>
  <c r="AF618" i="9"/>
  <c r="AE618" i="9"/>
  <c r="AD618" i="9"/>
  <c r="AC618" i="9"/>
  <c r="AB618" i="9"/>
  <c r="U616" i="8"/>
  <c r="AW616" i="8"/>
  <c r="AV616" i="8"/>
  <c r="AU616" i="8"/>
  <c r="AT616" i="8"/>
  <c r="AS616" i="8"/>
  <c r="AR616" i="8"/>
  <c r="AQ616" i="8"/>
  <c r="AP616" i="8"/>
  <c r="AO616" i="8"/>
  <c r="AN616" i="8"/>
  <c r="AM616" i="8"/>
  <c r="AL616" i="8"/>
  <c r="AK616" i="8"/>
  <c r="AJ616" i="8"/>
  <c r="AI616" i="8"/>
  <c r="AH616" i="8"/>
  <c r="AG616" i="8"/>
  <c r="AF616" i="8"/>
  <c r="AE616" i="8"/>
  <c r="AD616" i="8"/>
  <c r="AC616" i="8"/>
  <c r="AB616" i="8"/>
  <c r="AA616" i="8"/>
  <c r="Z616" i="8"/>
  <c r="Y616" i="8"/>
  <c r="X616" i="8"/>
  <c r="W616" i="8"/>
  <c r="V616" i="8"/>
  <c r="V615" i="9"/>
  <c r="U615" i="9"/>
  <c r="T615" i="9"/>
  <c r="S615" i="9"/>
  <c r="AW613" i="20"/>
  <c r="AV613" i="20"/>
  <c r="AU613" i="20"/>
  <c r="AT613" i="20"/>
  <c r="AS613" i="20"/>
  <c r="AR613" i="20"/>
  <c r="AQ613" i="20"/>
  <c r="AP613" i="20"/>
  <c r="AO613" i="20"/>
  <c r="AN613" i="20"/>
  <c r="AM613" i="20"/>
  <c r="AL613" i="20"/>
  <c r="AK613" i="20"/>
  <c r="AJ613" i="20"/>
  <c r="AI613" i="20"/>
  <c r="AH613" i="20"/>
  <c r="AG613" i="20"/>
  <c r="AF613" i="20"/>
  <c r="AE613" i="20"/>
  <c r="AD613" i="20"/>
  <c r="AC613" i="20"/>
  <c r="AB613" i="20"/>
  <c r="AA613" i="20"/>
  <c r="Z613" i="20"/>
  <c r="Y613" i="20"/>
  <c r="X613" i="20"/>
  <c r="W613" i="20"/>
  <c r="V613" i="20"/>
  <c r="U613" i="20"/>
  <c r="T613" i="20"/>
  <c r="AW614" i="20"/>
  <c r="AV614" i="20"/>
  <c r="AU614" i="20"/>
  <c r="AT614" i="20"/>
  <c r="AS614" i="20"/>
  <c r="AR614" i="20"/>
  <c r="AQ614" i="20"/>
  <c r="AP614" i="20"/>
  <c r="AO614" i="20"/>
  <c r="AN614" i="20"/>
  <c r="AM614" i="20"/>
  <c r="AL614" i="20"/>
  <c r="AK614" i="20"/>
  <c r="AJ614" i="20"/>
  <c r="AI614" i="20"/>
  <c r="AH614" i="20"/>
  <c r="AG614" i="20"/>
  <c r="AF614" i="20"/>
  <c r="AE614" i="20"/>
  <c r="AD614" i="20"/>
  <c r="AC614" i="20"/>
  <c r="AB614" i="20"/>
  <c r="AA614" i="20"/>
  <c r="Z614" i="20"/>
  <c r="Y614" i="20"/>
  <c r="X614" i="20"/>
  <c r="W614" i="20"/>
  <c r="V614" i="20"/>
  <c r="U614" i="20"/>
  <c r="T614" i="20"/>
  <c r="AR615" i="9"/>
  <c r="AQ615" i="9"/>
  <c r="AP615" i="9"/>
  <c r="AO615" i="9"/>
  <c r="AN615" i="9"/>
  <c r="AM615" i="9"/>
  <c r="AL615" i="9"/>
  <c r="AK615" i="9"/>
  <c r="AJ615" i="9"/>
  <c r="AI615" i="9"/>
  <c r="AH615" i="9"/>
  <c r="AG615" i="9"/>
  <c r="AF615" i="9"/>
  <c r="AE615" i="9"/>
  <c r="AD615" i="9"/>
  <c r="AC615" i="9"/>
  <c r="AB615" i="9"/>
  <c r="AB615" i="20" s="1"/>
  <c r="AA615" i="9"/>
  <c r="Z615" i="9"/>
  <c r="Y615" i="9"/>
  <c r="X615" i="9"/>
  <c r="W615" i="9"/>
  <c r="AW613" i="8"/>
  <c r="AV613" i="8"/>
  <c r="AV615" i="20"/>
  <c r="AU613" i="8"/>
  <c r="AU615" i="20" s="1"/>
  <c r="AT613" i="8"/>
  <c r="AT615" i="20"/>
  <c r="AS613" i="8"/>
  <c r="AS615" i="20" s="1"/>
  <c r="AR613" i="8"/>
  <c r="AQ613" i="8"/>
  <c r="AP613" i="8"/>
  <c r="AO613" i="8"/>
  <c r="AN613" i="8"/>
  <c r="AN615" i="20" s="1"/>
  <c r="AM613" i="8"/>
  <c r="AL613" i="8"/>
  <c r="AK613" i="8"/>
  <c r="AJ613" i="8"/>
  <c r="AI613" i="8"/>
  <c r="AH613" i="8"/>
  <c r="AG613" i="8"/>
  <c r="AF613" i="8"/>
  <c r="AE613" i="8"/>
  <c r="AD613" i="8"/>
  <c r="AC613" i="8"/>
  <c r="AB613" i="8"/>
  <c r="AA613" i="8"/>
  <c r="Z613" i="8"/>
  <c r="Y613" i="8"/>
  <c r="X613" i="8"/>
  <c r="W613" i="8"/>
  <c r="V613" i="8"/>
  <c r="U613" i="8"/>
  <c r="T613" i="8"/>
  <c r="S613" i="8"/>
  <c r="AW611" i="20"/>
  <c r="AV611" i="20"/>
  <c r="AU611" i="20"/>
  <c r="AT611" i="20"/>
  <c r="AS611" i="20"/>
  <c r="AR611" i="20"/>
  <c r="AQ611" i="20"/>
  <c r="AP611" i="20"/>
  <c r="AO611" i="20"/>
  <c r="AN611" i="20"/>
  <c r="AM611" i="20"/>
  <c r="AL611" i="20"/>
  <c r="AK611" i="20"/>
  <c r="AJ611" i="20"/>
  <c r="AI611" i="20"/>
  <c r="AH611" i="20"/>
  <c r="AG611" i="20"/>
  <c r="AF611" i="20"/>
  <c r="AE611" i="20"/>
  <c r="AD611" i="20"/>
  <c r="AC611" i="20"/>
  <c r="AB611" i="20"/>
  <c r="AA611" i="20"/>
  <c r="Z611" i="20"/>
  <c r="Y611" i="20"/>
  <c r="X611" i="20"/>
  <c r="W611" i="20"/>
  <c r="V611" i="20"/>
  <c r="U611" i="20"/>
  <c r="T611" i="20"/>
  <c r="S611" i="20"/>
  <c r="AR612" i="9"/>
  <c r="AQ612" i="9"/>
  <c r="AP612" i="9"/>
  <c r="AO612" i="9"/>
  <c r="AN612" i="9"/>
  <c r="AN612" i="20"/>
  <c r="AM612" i="9"/>
  <c r="AL612" i="9"/>
  <c r="AK612" i="9"/>
  <c r="AJ612" i="9"/>
  <c r="AI612" i="9"/>
  <c r="AH612" i="9"/>
  <c r="AG612" i="9"/>
  <c r="AF612" i="9"/>
  <c r="AE612" i="9"/>
  <c r="AD612" i="9"/>
  <c r="AC612" i="9"/>
  <c r="AB612" i="9"/>
  <c r="AA612" i="9"/>
  <c r="Z612" i="9"/>
  <c r="Y612" i="9"/>
  <c r="X612" i="9"/>
  <c r="W612" i="9"/>
  <c r="V612" i="9"/>
  <c r="U612" i="9"/>
  <c r="T612" i="9"/>
  <c r="S612" i="9"/>
  <c r="AW610" i="8"/>
  <c r="AW612" i="20"/>
  <c r="AV610" i="8"/>
  <c r="AV612" i="20" s="1"/>
  <c r="AU610" i="8"/>
  <c r="AU612" i="20"/>
  <c r="AT610" i="8"/>
  <c r="AT612" i="20" s="1"/>
  <c r="AS610" i="8"/>
  <c r="AS612" i="20"/>
  <c r="AR610" i="8"/>
  <c r="AQ610" i="8"/>
  <c r="AP610" i="8"/>
  <c r="AO610" i="8"/>
  <c r="AN610" i="8"/>
  <c r="AM610" i="8"/>
  <c r="AL610" i="8"/>
  <c r="AK610" i="8"/>
  <c r="AJ610" i="8"/>
  <c r="AI610" i="8"/>
  <c r="AH610" i="8"/>
  <c r="AG610" i="8"/>
  <c r="AF610" i="8"/>
  <c r="AE610" i="8"/>
  <c r="AD610" i="8"/>
  <c r="AD612" i="20"/>
  <c r="AC610" i="8"/>
  <c r="AC612" i="20"/>
  <c r="AB610" i="8"/>
  <c r="AA610" i="8"/>
  <c r="Z610" i="8"/>
  <c r="Y610" i="8"/>
  <c r="X610" i="8"/>
  <c r="W610" i="8"/>
  <c r="V610" i="8"/>
  <c r="U610" i="8"/>
  <c r="T610" i="8"/>
  <c r="S610" i="8"/>
  <c r="AW608" i="20"/>
  <c r="AV608" i="20"/>
  <c r="AU608" i="20"/>
  <c r="AT608" i="20"/>
  <c r="AS608" i="20"/>
  <c r="AR608" i="20"/>
  <c r="AQ608" i="20"/>
  <c r="AP608" i="20"/>
  <c r="AO608" i="20"/>
  <c r="AN608" i="20"/>
  <c r="AM608" i="20"/>
  <c r="AL608" i="20"/>
  <c r="AK608" i="20"/>
  <c r="AJ608" i="20"/>
  <c r="AI608" i="20"/>
  <c r="AH608" i="20"/>
  <c r="AG608" i="20"/>
  <c r="AF608" i="20"/>
  <c r="AE608" i="20"/>
  <c r="AD608" i="20"/>
  <c r="AC608" i="20"/>
  <c r="AB608" i="20"/>
  <c r="AA608" i="20"/>
  <c r="Z608" i="20"/>
  <c r="Y608" i="20"/>
  <c r="X608" i="20"/>
  <c r="W608" i="20"/>
  <c r="V608" i="20"/>
  <c r="U608" i="20"/>
  <c r="T608" i="20"/>
  <c r="S608" i="20"/>
  <c r="AR609" i="9"/>
  <c r="AR609" i="20" s="1"/>
  <c r="AQ609" i="9"/>
  <c r="AP609" i="9"/>
  <c r="AO609" i="9"/>
  <c r="AO609" i="20" s="1"/>
  <c r="AN609" i="9"/>
  <c r="AM609" i="9"/>
  <c r="AM609" i="20" s="1"/>
  <c r="AL609" i="9"/>
  <c r="AK609" i="9"/>
  <c r="AJ609" i="9"/>
  <c r="AI609" i="9"/>
  <c r="AH609" i="9"/>
  <c r="AG609" i="9"/>
  <c r="AF609" i="9"/>
  <c r="AE609" i="9"/>
  <c r="AD609" i="9"/>
  <c r="AC609" i="9"/>
  <c r="AB609" i="9"/>
  <c r="AA609" i="9"/>
  <c r="AA609" i="20"/>
  <c r="Z609" i="9"/>
  <c r="Y609" i="9"/>
  <c r="X609" i="9"/>
  <c r="W609" i="9"/>
  <c r="V609" i="9"/>
  <c r="U609" i="9"/>
  <c r="T609" i="9"/>
  <c r="S609" i="9"/>
  <c r="S607" i="8"/>
  <c r="AW607" i="8"/>
  <c r="AW609" i="20"/>
  <c r="AV607" i="8"/>
  <c r="AV609" i="20" s="1"/>
  <c r="AU607" i="8"/>
  <c r="AU609" i="20"/>
  <c r="AT607" i="8"/>
  <c r="AT609" i="20" s="1"/>
  <c r="AS607" i="8"/>
  <c r="AS609" i="20" s="1"/>
  <c r="AR607" i="8"/>
  <c r="AQ607" i="8"/>
  <c r="AP607" i="8"/>
  <c r="AO607" i="8"/>
  <c r="AN607" i="8"/>
  <c r="AM607" i="8"/>
  <c r="AL607" i="8"/>
  <c r="AK607" i="8"/>
  <c r="AJ607" i="8"/>
  <c r="AI607" i="8"/>
  <c r="AH607" i="8"/>
  <c r="AH609" i="20"/>
  <c r="AG607" i="8"/>
  <c r="AF607" i="8"/>
  <c r="AE607" i="8"/>
  <c r="AD607" i="8"/>
  <c r="AC607" i="8"/>
  <c r="AB607" i="8"/>
  <c r="AA607" i="8"/>
  <c r="Z607" i="8"/>
  <c r="Y607" i="8"/>
  <c r="X607" i="8"/>
  <c r="W607" i="8"/>
  <c r="V607" i="8"/>
  <c r="U607" i="8"/>
  <c r="T607" i="8"/>
  <c r="Y604" i="8"/>
  <c r="AW605" i="20"/>
  <c r="AV605" i="20"/>
  <c r="AU605" i="20"/>
  <c r="AT605" i="20"/>
  <c r="AS605" i="20"/>
  <c r="AR605" i="20"/>
  <c r="AQ605" i="20"/>
  <c r="AP605" i="20"/>
  <c r="AO605" i="20"/>
  <c r="AN605" i="20"/>
  <c r="AM605" i="20"/>
  <c r="AL605" i="20"/>
  <c r="AK605" i="20"/>
  <c r="AJ605" i="20"/>
  <c r="AI605" i="20"/>
  <c r="AH605" i="20"/>
  <c r="AG605" i="20"/>
  <c r="AF605" i="20"/>
  <c r="AE605" i="20"/>
  <c r="AD605" i="20"/>
  <c r="AC605" i="20"/>
  <c r="AB605" i="20"/>
  <c r="AA605" i="20"/>
  <c r="Z605" i="20"/>
  <c r="Y605" i="20"/>
  <c r="X605" i="20"/>
  <c r="W605" i="20"/>
  <c r="V605" i="20"/>
  <c r="U605" i="20"/>
  <c r="T605" i="20"/>
  <c r="S605" i="20"/>
  <c r="AR606" i="9"/>
  <c r="AQ606" i="9"/>
  <c r="AP606" i="9"/>
  <c r="AO606" i="9"/>
  <c r="AN606" i="9"/>
  <c r="AM606" i="9"/>
  <c r="AL606" i="9"/>
  <c r="AK606" i="9"/>
  <c r="AK606" i="20" s="1"/>
  <c r="AJ606" i="9"/>
  <c r="AI606" i="9"/>
  <c r="AH606" i="9"/>
  <c r="AG606" i="9"/>
  <c r="AF606" i="9"/>
  <c r="AE606" i="9"/>
  <c r="AD606" i="9"/>
  <c r="AC606" i="9"/>
  <c r="AB606" i="9"/>
  <c r="AA606" i="9"/>
  <c r="Z606" i="9"/>
  <c r="Y606" i="9"/>
  <c r="Y606" i="20" s="1"/>
  <c r="X606" i="9"/>
  <c r="W606" i="9"/>
  <c r="V606" i="9"/>
  <c r="U606" i="9"/>
  <c r="T606" i="9"/>
  <c r="S606" i="9"/>
  <c r="U604" i="8"/>
  <c r="T604" i="8"/>
  <c r="S604" i="8"/>
  <c r="AW604" i="8"/>
  <c r="AW606" i="20"/>
  <c r="AV604" i="8"/>
  <c r="AV606" i="20"/>
  <c r="AU604" i="8"/>
  <c r="AU606" i="20"/>
  <c r="AT604" i="8"/>
  <c r="AT606" i="20"/>
  <c r="AS604" i="8"/>
  <c r="AS606" i="20" s="1"/>
  <c r="AR604" i="8"/>
  <c r="AQ604" i="8"/>
  <c r="AP604" i="8"/>
  <c r="AO604" i="8"/>
  <c r="AN604" i="8"/>
  <c r="AM604" i="8"/>
  <c r="AL604" i="8"/>
  <c r="AK604" i="8"/>
  <c r="AJ604" i="8"/>
  <c r="AI604" i="8"/>
  <c r="AH604" i="8"/>
  <c r="AG604" i="8"/>
  <c r="AF604" i="8"/>
  <c r="AE604" i="8"/>
  <c r="AD604" i="8"/>
  <c r="AC604" i="8"/>
  <c r="AB604" i="8"/>
  <c r="AA604" i="8"/>
  <c r="Z604" i="8"/>
  <c r="X604" i="8"/>
  <c r="W604" i="8"/>
  <c r="V604" i="8"/>
  <c r="AW602" i="20"/>
  <c r="AV602" i="20"/>
  <c r="AU602" i="20"/>
  <c r="AT602" i="20"/>
  <c r="AS602" i="20"/>
  <c r="AR602" i="20"/>
  <c r="AQ602" i="20"/>
  <c r="AP602" i="20"/>
  <c r="AO602" i="20"/>
  <c r="AN602" i="20"/>
  <c r="AM602" i="20"/>
  <c r="AL602" i="20"/>
  <c r="AK602" i="20"/>
  <c r="AJ602" i="20"/>
  <c r="AI602" i="20"/>
  <c r="AH602" i="20"/>
  <c r="AG602" i="20"/>
  <c r="AF602" i="20"/>
  <c r="AE602" i="20"/>
  <c r="AD602" i="20"/>
  <c r="AC602" i="20"/>
  <c r="AB602" i="20"/>
  <c r="AA602" i="20"/>
  <c r="Z602" i="20"/>
  <c r="Y602" i="20"/>
  <c r="X602" i="20"/>
  <c r="W602" i="20"/>
  <c r="V602" i="20"/>
  <c r="U602" i="20"/>
  <c r="T602" i="20"/>
  <c r="S602" i="20"/>
  <c r="AW601" i="20"/>
  <c r="AV601" i="20"/>
  <c r="AU601" i="20"/>
  <c r="AT601" i="20"/>
  <c r="AS601" i="20"/>
  <c r="AR601" i="20"/>
  <c r="AQ601" i="20"/>
  <c r="AP601" i="20"/>
  <c r="AO601" i="20"/>
  <c r="AN601" i="20"/>
  <c r="AM601" i="20"/>
  <c r="AL601" i="20"/>
  <c r="AK601" i="20"/>
  <c r="AJ601" i="20"/>
  <c r="AI601" i="20"/>
  <c r="AH601" i="20"/>
  <c r="AG601" i="20"/>
  <c r="AF601" i="20"/>
  <c r="AE601" i="20"/>
  <c r="AD601" i="20"/>
  <c r="AC601" i="20"/>
  <c r="AB601" i="20"/>
  <c r="AA601" i="20"/>
  <c r="Z601" i="20"/>
  <c r="Y601" i="20"/>
  <c r="X601" i="20"/>
  <c r="W601" i="20"/>
  <c r="V601" i="20"/>
  <c r="U601" i="20"/>
  <c r="T601" i="20"/>
  <c r="S601" i="20"/>
  <c r="S603" i="9"/>
  <c r="AR603" i="9"/>
  <c r="AQ603" i="9"/>
  <c r="AP603" i="9"/>
  <c r="AO603" i="9"/>
  <c r="AN603" i="9"/>
  <c r="AM603" i="9"/>
  <c r="AL603" i="9"/>
  <c r="AK603" i="9"/>
  <c r="AJ603" i="9"/>
  <c r="AI603" i="9"/>
  <c r="AH603" i="9"/>
  <c r="AG603" i="9"/>
  <c r="AF603" i="9"/>
  <c r="AE603" i="9"/>
  <c r="AD603" i="9"/>
  <c r="AC603" i="9"/>
  <c r="AB603" i="9"/>
  <c r="AA603" i="9"/>
  <c r="Z603" i="9"/>
  <c r="Y603" i="9"/>
  <c r="X603" i="9"/>
  <c r="X603" i="20" s="1"/>
  <c r="W603" i="9"/>
  <c r="V603" i="9"/>
  <c r="U603" i="9"/>
  <c r="T603" i="9"/>
  <c r="AW601" i="8"/>
  <c r="AW603" i="20" s="1"/>
  <c r="AV601" i="8"/>
  <c r="AV603" i="20"/>
  <c r="AU601" i="8"/>
  <c r="AU603" i="20" s="1"/>
  <c r="AT601" i="8"/>
  <c r="AT603" i="20"/>
  <c r="AS601" i="8"/>
  <c r="AS603" i="20"/>
  <c r="AR601" i="8"/>
  <c r="AQ601" i="8"/>
  <c r="AP601" i="8"/>
  <c r="AO601" i="8"/>
  <c r="AN601" i="8"/>
  <c r="AM601" i="8"/>
  <c r="AL601" i="8"/>
  <c r="AK601" i="8"/>
  <c r="AJ601" i="8"/>
  <c r="AI601" i="8"/>
  <c r="AH601" i="8"/>
  <c r="AG601" i="8"/>
  <c r="AF601" i="8"/>
  <c r="AE601" i="8"/>
  <c r="AD601" i="8"/>
  <c r="AC601" i="8"/>
  <c r="AB601" i="8"/>
  <c r="AA601" i="8"/>
  <c r="Z601" i="8"/>
  <c r="Y601" i="8"/>
  <c r="X601" i="8"/>
  <c r="W601" i="8"/>
  <c r="V601" i="8"/>
  <c r="U601" i="8"/>
  <c r="T601" i="8"/>
  <c r="S601" i="8"/>
  <c r="AW599" i="20"/>
  <c r="AV599" i="20"/>
  <c r="AU599" i="20"/>
  <c r="AT599" i="20"/>
  <c r="AS599" i="20"/>
  <c r="AR599" i="20"/>
  <c r="AQ599" i="20"/>
  <c r="AP599" i="20"/>
  <c r="AO599" i="20"/>
  <c r="AN599" i="20"/>
  <c r="AM599" i="20"/>
  <c r="AL599" i="20"/>
  <c r="AK599" i="20"/>
  <c r="AJ599" i="20"/>
  <c r="AI599" i="20"/>
  <c r="AH599" i="20"/>
  <c r="AG599" i="20"/>
  <c r="AF599" i="20"/>
  <c r="AE599" i="20"/>
  <c r="AD599" i="20"/>
  <c r="AC599" i="20"/>
  <c r="AB599" i="20"/>
  <c r="AA599" i="20"/>
  <c r="Z599" i="20"/>
  <c r="Y599" i="20"/>
  <c r="X599" i="20"/>
  <c r="W599" i="20"/>
  <c r="V599" i="20"/>
  <c r="U599" i="20"/>
  <c r="T599" i="20"/>
  <c r="S599" i="20"/>
  <c r="AW598" i="20"/>
  <c r="AV598" i="20"/>
  <c r="AU598" i="20"/>
  <c r="AT598" i="20"/>
  <c r="AS598" i="20"/>
  <c r="AR598" i="20"/>
  <c r="AQ598" i="20"/>
  <c r="AP598" i="20"/>
  <c r="AO598" i="20"/>
  <c r="AN598" i="20"/>
  <c r="AM598" i="20"/>
  <c r="AL598" i="20"/>
  <c r="AK598" i="20"/>
  <c r="AJ598" i="20"/>
  <c r="AI598" i="20"/>
  <c r="AH598" i="20"/>
  <c r="AG598" i="20"/>
  <c r="AF598" i="20"/>
  <c r="AE598" i="20"/>
  <c r="AD598" i="20"/>
  <c r="AC598" i="20"/>
  <c r="AB598" i="20"/>
  <c r="AA598" i="20"/>
  <c r="Z598" i="20"/>
  <c r="Y598" i="20"/>
  <c r="X598" i="20"/>
  <c r="W598" i="20"/>
  <c r="V598" i="20"/>
  <c r="U598" i="20"/>
  <c r="T598" i="20"/>
  <c r="S598" i="20"/>
  <c r="AR600" i="9"/>
  <c r="AQ600" i="9"/>
  <c r="AP600" i="9"/>
  <c r="AO600" i="9"/>
  <c r="AN600" i="9"/>
  <c r="AM600" i="9"/>
  <c r="AL600" i="9"/>
  <c r="AK600" i="9"/>
  <c r="AJ600" i="9"/>
  <c r="AI600" i="9"/>
  <c r="AH600" i="9"/>
  <c r="AG600" i="9"/>
  <c r="AF600" i="9"/>
  <c r="AE600" i="9"/>
  <c r="AD600" i="9"/>
  <c r="AC600" i="9"/>
  <c r="AB600" i="9"/>
  <c r="AA600" i="9"/>
  <c r="Z600" i="9"/>
  <c r="Y600" i="9"/>
  <c r="X600" i="9"/>
  <c r="W600" i="9"/>
  <c r="V600" i="9"/>
  <c r="U600" i="9"/>
  <c r="T600" i="9"/>
  <c r="S600" i="9"/>
  <c r="AW598" i="8"/>
  <c r="AW600" i="20" s="1"/>
  <c r="AV598" i="8"/>
  <c r="AU598" i="8"/>
  <c r="AU600" i="20" s="1"/>
  <c r="AT598" i="8"/>
  <c r="AT600" i="20"/>
  <c r="AS598" i="8"/>
  <c r="AS600" i="20" s="1"/>
  <c r="AR598" i="8"/>
  <c r="AQ598" i="8"/>
  <c r="AP598" i="8"/>
  <c r="AO598" i="8"/>
  <c r="AN598" i="8"/>
  <c r="AM598" i="8"/>
  <c r="AL598" i="8"/>
  <c r="AK598" i="8"/>
  <c r="AJ598" i="8"/>
  <c r="AI598" i="8"/>
  <c r="AH598" i="8"/>
  <c r="AG598" i="8"/>
  <c r="AF598" i="8"/>
  <c r="AE598" i="8"/>
  <c r="AD598" i="8"/>
  <c r="AC598" i="8"/>
  <c r="AB598" i="8"/>
  <c r="AA598" i="8"/>
  <c r="Z598" i="8"/>
  <c r="Y598" i="8"/>
  <c r="X598" i="8"/>
  <c r="W598" i="8"/>
  <c r="V598" i="8"/>
  <c r="U598" i="8"/>
  <c r="T598" i="8"/>
  <c r="S598" i="8"/>
  <c r="AW596" i="20"/>
  <c r="AV596" i="20"/>
  <c r="AU596" i="20"/>
  <c r="AT596" i="20"/>
  <c r="AS596" i="20"/>
  <c r="AR596" i="20"/>
  <c r="AQ596" i="20"/>
  <c r="AP596" i="20"/>
  <c r="AO596" i="20"/>
  <c r="AN596" i="20"/>
  <c r="AM596" i="20"/>
  <c r="AL596" i="20"/>
  <c r="AK596" i="20"/>
  <c r="AJ596" i="20"/>
  <c r="AI596" i="20"/>
  <c r="AH596" i="20"/>
  <c r="AG596" i="20"/>
  <c r="AF596" i="20"/>
  <c r="AE596" i="20"/>
  <c r="AD596" i="20"/>
  <c r="AC596" i="20"/>
  <c r="AB596" i="20"/>
  <c r="AA596" i="20"/>
  <c r="Z596" i="20"/>
  <c r="Y596" i="20"/>
  <c r="X596" i="20"/>
  <c r="W596" i="20"/>
  <c r="V596" i="20"/>
  <c r="U596" i="20"/>
  <c r="T596" i="20"/>
  <c r="S596" i="20"/>
  <c r="AW595" i="20"/>
  <c r="AV595" i="20"/>
  <c r="AU595" i="20"/>
  <c r="AT595" i="20"/>
  <c r="AS595" i="20"/>
  <c r="AR595" i="20"/>
  <c r="AQ595" i="20"/>
  <c r="AP595" i="20"/>
  <c r="AO595" i="20"/>
  <c r="AN595" i="20"/>
  <c r="AM595" i="20"/>
  <c r="AL595" i="20"/>
  <c r="AK595" i="20"/>
  <c r="AJ595" i="20"/>
  <c r="AI595" i="20"/>
  <c r="AH595" i="20"/>
  <c r="AG595" i="20"/>
  <c r="AF595" i="20"/>
  <c r="AE595" i="20"/>
  <c r="AD595" i="20"/>
  <c r="AC595" i="20"/>
  <c r="AB595" i="20"/>
  <c r="AA595" i="20"/>
  <c r="Z595" i="20"/>
  <c r="Y595" i="20"/>
  <c r="X595" i="20"/>
  <c r="W595" i="20"/>
  <c r="V595" i="20"/>
  <c r="U595" i="20"/>
  <c r="T595" i="20"/>
  <c r="S595" i="20"/>
  <c r="AR597" i="9"/>
  <c r="AQ597" i="9"/>
  <c r="AP597" i="9"/>
  <c r="AO597" i="9"/>
  <c r="AN597" i="9"/>
  <c r="AM597" i="9"/>
  <c r="AL597" i="9"/>
  <c r="AK597" i="9"/>
  <c r="AJ597" i="9"/>
  <c r="AI597" i="9"/>
  <c r="AI597" i="20" s="1"/>
  <c r="AH597" i="9"/>
  <c r="AG597" i="9"/>
  <c r="AF597" i="9"/>
  <c r="AE597" i="9"/>
  <c r="AD597" i="9"/>
  <c r="AC597" i="9"/>
  <c r="AB597" i="9"/>
  <c r="AA597" i="9"/>
  <c r="AA597" i="20" s="1"/>
  <c r="Z597" i="9"/>
  <c r="Y597" i="9"/>
  <c r="X597" i="9"/>
  <c r="W597" i="9"/>
  <c r="V597" i="9"/>
  <c r="U597" i="9"/>
  <c r="T597" i="9"/>
  <c r="S597" i="9"/>
  <c r="AW595" i="8"/>
  <c r="AW597" i="20"/>
  <c r="S595" i="8"/>
  <c r="AV595" i="8"/>
  <c r="AV597" i="20" s="1"/>
  <c r="AU595" i="8"/>
  <c r="AU597" i="20" s="1"/>
  <c r="AT595" i="8"/>
  <c r="AT597" i="20" s="1"/>
  <c r="AS595" i="8"/>
  <c r="AS597" i="20" s="1"/>
  <c r="AR595" i="8"/>
  <c r="AQ595" i="8"/>
  <c r="AP595" i="8"/>
  <c r="AO595" i="8"/>
  <c r="AN595" i="8"/>
  <c r="AM595" i="8"/>
  <c r="AL595" i="8"/>
  <c r="AK595" i="8"/>
  <c r="AJ595" i="8"/>
  <c r="AI595" i="8"/>
  <c r="AH595" i="8"/>
  <c r="AG595" i="8"/>
  <c r="AF595" i="8"/>
  <c r="AE595" i="8"/>
  <c r="AD595" i="8"/>
  <c r="AC595" i="8"/>
  <c r="AB595" i="8"/>
  <c r="AA595" i="8"/>
  <c r="Z595" i="8"/>
  <c r="Y595" i="8"/>
  <c r="X595" i="8"/>
  <c r="W595" i="8"/>
  <c r="W597" i="20" s="1"/>
  <c r="V595" i="8"/>
  <c r="V597" i="20" s="1"/>
  <c r="U595" i="8"/>
  <c r="T595" i="8"/>
  <c r="AW593" i="20"/>
  <c r="AV593" i="20"/>
  <c r="AU593" i="20"/>
  <c r="AT593" i="20"/>
  <c r="AS593" i="20"/>
  <c r="AR593" i="20"/>
  <c r="AQ593" i="20"/>
  <c r="AP593" i="20"/>
  <c r="AO593" i="20"/>
  <c r="AN593" i="20"/>
  <c r="AM593" i="20"/>
  <c r="AL593" i="20"/>
  <c r="AK593" i="20"/>
  <c r="AJ593" i="20"/>
  <c r="AI593" i="20"/>
  <c r="AH593" i="20"/>
  <c r="AG593" i="20"/>
  <c r="AF593" i="20"/>
  <c r="AE593" i="20"/>
  <c r="AD593" i="20"/>
  <c r="AC593" i="20"/>
  <c r="AB593" i="20"/>
  <c r="AA593" i="20"/>
  <c r="Z593" i="20"/>
  <c r="Y593" i="20"/>
  <c r="X593" i="20"/>
  <c r="W593" i="20"/>
  <c r="V593" i="20"/>
  <c r="U593" i="20"/>
  <c r="T593" i="20"/>
  <c r="S593" i="20"/>
  <c r="AW592" i="20"/>
  <c r="AV592" i="20"/>
  <c r="AU592" i="20"/>
  <c r="AT592" i="20"/>
  <c r="AS592" i="20"/>
  <c r="AR592" i="20"/>
  <c r="AQ592" i="20"/>
  <c r="AP592" i="20"/>
  <c r="AO592" i="20"/>
  <c r="AN592" i="20"/>
  <c r="AM592" i="20"/>
  <c r="AL592" i="20"/>
  <c r="AK592" i="20"/>
  <c r="AJ592" i="20"/>
  <c r="AI592" i="20"/>
  <c r="AH592" i="20"/>
  <c r="AG592" i="20"/>
  <c r="AF592" i="20"/>
  <c r="AE592" i="20"/>
  <c r="AD592" i="20"/>
  <c r="AC592" i="20"/>
  <c r="AB592" i="20"/>
  <c r="AA592" i="20"/>
  <c r="Z592" i="20"/>
  <c r="Y592" i="20"/>
  <c r="X592" i="20"/>
  <c r="W592" i="20"/>
  <c r="V592" i="20"/>
  <c r="U592" i="20"/>
  <c r="T592" i="20"/>
  <c r="S592" i="20"/>
  <c r="AR594" i="9"/>
  <c r="AQ594" i="9"/>
  <c r="AP594" i="9"/>
  <c r="AO594" i="9"/>
  <c r="AN594" i="9"/>
  <c r="AM594" i="9"/>
  <c r="AL594" i="9"/>
  <c r="AK594" i="9"/>
  <c r="AJ594" i="9"/>
  <c r="AI594" i="9"/>
  <c r="AH594" i="9"/>
  <c r="AG594" i="9"/>
  <c r="AF594" i="9"/>
  <c r="AE594" i="9"/>
  <c r="AD594" i="9"/>
  <c r="AC594" i="9"/>
  <c r="AB594" i="9"/>
  <c r="AA594" i="9"/>
  <c r="Z594" i="9"/>
  <c r="Y594" i="9"/>
  <c r="X594" i="9"/>
  <c r="W594" i="9"/>
  <c r="V594" i="9"/>
  <c r="U594" i="9"/>
  <c r="T594" i="9"/>
  <c r="S594" i="9"/>
  <c r="AW592" i="8"/>
  <c r="AW594" i="20"/>
  <c r="AV592" i="8"/>
  <c r="AV594" i="20" s="1"/>
  <c r="AU592" i="8"/>
  <c r="AU594" i="20" s="1"/>
  <c r="AT592" i="8"/>
  <c r="AT594" i="20" s="1"/>
  <c r="AS592" i="8"/>
  <c r="AS594" i="20"/>
  <c r="AR592" i="8"/>
  <c r="AQ592" i="8"/>
  <c r="AP592" i="8"/>
  <c r="AO592" i="8"/>
  <c r="AN592" i="8"/>
  <c r="AM592" i="8"/>
  <c r="AL592" i="8"/>
  <c r="AK592" i="8"/>
  <c r="AJ592" i="8"/>
  <c r="AI592" i="8"/>
  <c r="AH592" i="8"/>
  <c r="AG592" i="8"/>
  <c r="AF592" i="8"/>
  <c r="AE592" i="8"/>
  <c r="AD592" i="8"/>
  <c r="AC592" i="8"/>
  <c r="AB592" i="8"/>
  <c r="AA592" i="8"/>
  <c r="Z592" i="8"/>
  <c r="Y592" i="8"/>
  <c r="X592" i="8"/>
  <c r="W592" i="8"/>
  <c r="V592" i="8"/>
  <c r="U592" i="8"/>
  <c r="U594" i="20"/>
  <c r="T592" i="8"/>
  <c r="S592" i="8"/>
  <c r="AW590" i="20"/>
  <c r="AV590" i="20"/>
  <c r="AU590" i="20"/>
  <c r="AT590" i="20"/>
  <c r="AS590" i="20"/>
  <c r="AR590" i="20"/>
  <c r="AQ590" i="20"/>
  <c r="AP590" i="20"/>
  <c r="AO590" i="20"/>
  <c r="AN590" i="20"/>
  <c r="AM590" i="20"/>
  <c r="AL590" i="20"/>
  <c r="AK590" i="20"/>
  <c r="AJ590" i="20"/>
  <c r="AI590" i="20"/>
  <c r="AH590" i="20"/>
  <c r="AG590" i="20"/>
  <c r="AF590" i="20"/>
  <c r="AE590" i="20"/>
  <c r="AD590" i="20"/>
  <c r="AC590" i="20"/>
  <c r="AB590" i="20"/>
  <c r="AA590" i="20"/>
  <c r="Z590" i="20"/>
  <c r="Y590" i="20"/>
  <c r="X590" i="20"/>
  <c r="W590" i="20"/>
  <c r="V590" i="20"/>
  <c r="U590" i="20"/>
  <c r="T590" i="20"/>
  <c r="S590" i="20"/>
  <c r="AW589" i="20"/>
  <c r="AV589" i="20"/>
  <c r="AU589" i="20"/>
  <c r="AT589" i="20"/>
  <c r="AS589" i="20"/>
  <c r="AR589" i="20"/>
  <c r="AQ589" i="20"/>
  <c r="AP589" i="20"/>
  <c r="AO589" i="20"/>
  <c r="AN589" i="20"/>
  <c r="AM589" i="20"/>
  <c r="AL589" i="20"/>
  <c r="AK589" i="20"/>
  <c r="AJ589" i="20"/>
  <c r="AI589" i="20"/>
  <c r="AH589" i="20"/>
  <c r="AG589" i="20"/>
  <c r="AF589" i="20"/>
  <c r="AE589" i="20"/>
  <c r="AD589" i="20"/>
  <c r="AC589" i="20"/>
  <c r="AB589" i="20"/>
  <c r="AA589" i="20"/>
  <c r="Z589" i="20"/>
  <c r="Y589" i="20"/>
  <c r="X589" i="20"/>
  <c r="W589" i="20"/>
  <c r="V589" i="20"/>
  <c r="U589" i="20"/>
  <c r="T589" i="20"/>
  <c r="S589" i="20"/>
  <c r="AR591" i="9"/>
  <c r="AQ591" i="9"/>
  <c r="AP591" i="9"/>
  <c r="AO591" i="9"/>
  <c r="AN591" i="9"/>
  <c r="AM591" i="9"/>
  <c r="AL591" i="9"/>
  <c r="AK591" i="9"/>
  <c r="AJ591" i="9"/>
  <c r="AI591" i="9"/>
  <c r="AH591" i="9"/>
  <c r="AG591" i="9"/>
  <c r="AF591" i="9"/>
  <c r="AF591" i="20" s="1"/>
  <c r="AE591" i="9"/>
  <c r="AD591" i="9"/>
  <c r="AC591" i="9"/>
  <c r="AB591" i="9"/>
  <c r="AA591" i="9"/>
  <c r="Z591" i="9"/>
  <c r="Y591" i="9"/>
  <c r="X591" i="9"/>
  <c r="W591" i="9"/>
  <c r="V591" i="9"/>
  <c r="U591" i="9"/>
  <c r="T591" i="9"/>
  <c r="S591" i="9"/>
  <c r="AW589" i="8"/>
  <c r="AW591" i="20" s="1"/>
  <c r="AV589" i="8"/>
  <c r="AV591" i="20"/>
  <c r="AU589" i="8"/>
  <c r="AU591" i="20"/>
  <c r="AT589" i="8"/>
  <c r="AT591" i="20"/>
  <c r="AS589" i="8"/>
  <c r="AS591" i="20" s="1"/>
  <c r="AR589" i="8"/>
  <c r="AQ589" i="8"/>
  <c r="AP589" i="8"/>
  <c r="AO589" i="8"/>
  <c r="AN589" i="8"/>
  <c r="AM589" i="8"/>
  <c r="AL589" i="8"/>
  <c r="AK589" i="8"/>
  <c r="AJ589" i="8"/>
  <c r="AI589" i="8"/>
  <c r="AH589" i="8"/>
  <c r="AG589" i="8"/>
  <c r="AF589" i="8"/>
  <c r="AE589" i="8"/>
  <c r="AD589" i="8"/>
  <c r="AC589" i="8"/>
  <c r="AB589" i="8"/>
  <c r="AA589" i="8"/>
  <c r="Z589" i="8"/>
  <c r="Y589" i="8"/>
  <c r="X589" i="8"/>
  <c r="W589" i="8"/>
  <c r="V589" i="8"/>
  <c r="U589" i="8"/>
  <c r="T589" i="8"/>
  <c r="S589" i="8"/>
  <c r="S591" i="20" s="1"/>
  <c r="AW587" i="20"/>
  <c r="AV587" i="20"/>
  <c r="AU587" i="20"/>
  <c r="AT587" i="20"/>
  <c r="AS587" i="20"/>
  <c r="AR587" i="20"/>
  <c r="AQ587" i="20"/>
  <c r="AP587" i="20"/>
  <c r="AO587" i="20"/>
  <c r="AN587" i="20"/>
  <c r="AM587" i="20"/>
  <c r="AL587" i="20"/>
  <c r="AK587" i="20"/>
  <c r="AJ587" i="20"/>
  <c r="AI587" i="20"/>
  <c r="AH587" i="20"/>
  <c r="AG587" i="20"/>
  <c r="AF587" i="20"/>
  <c r="AE587" i="20"/>
  <c r="AD587" i="20"/>
  <c r="AC587" i="20"/>
  <c r="AB587" i="20"/>
  <c r="AA587" i="20"/>
  <c r="Z587" i="20"/>
  <c r="Y587" i="20"/>
  <c r="X587" i="20"/>
  <c r="W587" i="20"/>
  <c r="V587" i="20"/>
  <c r="U587" i="20"/>
  <c r="T587" i="20"/>
  <c r="S587" i="20"/>
  <c r="AW586" i="20"/>
  <c r="AV586" i="20"/>
  <c r="AU586" i="20"/>
  <c r="AT586" i="20"/>
  <c r="AS586" i="20"/>
  <c r="AR586" i="20"/>
  <c r="AQ586" i="20"/>
  <c r="AP586" i="20"/>
  <c r="AO586" i="20"/>
  <c r="AN586" i="20"/>
  <c r="AM586" i="20"/>
  <c r="AL586" i="20"/>
  <c r="AK586" i="20"/>
  <c r="AJ586" i="20"/>
  <c r="AI586" i="20"/>
  <c r="AH586" i="20"/>
  <c r="AG586" i="20"/>
  <c r="AF586" i="20"/>
  <c r="AE586" i="20"/>
  <c r="AD586" i="20"/>
  <c r="AC586" i="20"/>
  <c r="AB586" i="20"/>
  <c r="AA586" i="20"/>
  <c r="Z586" i="20"/>
  <c r="Y586" i="20"/>
  <c r="X586" i="20"/>
  <c r="W586" i="20"/>
  <c r="V586" i="20"/>
  <c r="U586" i="20"/>
  <c r="T586" i="20"/>
  <c r="S586" i="20"/>
  <c r="AR588" i="9"/>
  <c r="AR588" i="20"/>
  <c r="AQ588" i="9"/>
  <c r="AP588" i="9"/>
  <c r="AO588" i="9"/>
  <c r="AN588" i="9"/>
  <c r="AM588" i="9"/>
  <c r="AL588" i="9"/>
  <c r="AK588" i="9"/>
  <c r="AJ588" i="9"/>
  <c r="AI588" i="9"/>
  <c r="AH588" i="9"/>
  <c r="AG588" i="9"/>
  <c r="AF588" i="9"/>
  <c r="AE588" i="9"/>
  <c r="AD588" i="9"/>
  <c r="AC588" i="9"/>
  <c r="AB588" i="9"/>
  <c r="AA588" i="9"/>
  <c r="Z588" i="9"/>
  <c r="Y588" i="9"/>
  <c r="X588" i="9"/>
  <c r="W588" i="9"/>
  <c r="V588" i="9"/>
  <c r="U588" i="9"/>
  <c r="T588" i="9"/>
  <c r="S588" i="9"/>
  <c r="AW586" i="8"/>
  <c r="AW588" i="20"/>
  <c r="AV586" i="8"/>
  <c r="AV588" i="20" s="1"/>
  <c r="AU586" i="8"/>
  <c r="AT586" i="8"/>
  <c r="AT588" i="20"/>
  <c r="AS586" i="8"/>
  <c r="AS588" i="20"/>
  <c r="AR586" i="8"/>
  <c r="AQ586" i="8"/>
  <c r="AP586" i="8"/>
  <c r="AO586" i="8"/>
  <c r="AN586" i="8"/>
  <c r="AM586" i="8"/>
  <c r="AL586" i="8"/>
  <c r="AK586" i="8"/>
  <c r="AJ586" i="8"/>
  <c r="AI586" i="8"/>
  <c r="AH586" i="8"/>
  <c r="AG586" i="8"/>
  <c r="AG588" i="20"/>
  <c r="AF586" i="8"/>
  <c r="AE586" i="8"/>
  <c r="AD586" i="8"/>
  <c r="AC586" i="8"/>
  <c r="AB586" i="8"/>
  <c r="AA586" i="8"/>
  <c r="Z586" i="8"/>
  <c r="Y586" i="8"/>
  <c r="X586" i="8"/>
  <c r="W586" i="8"/>
  <c r="V586" i="8"/>
  <c r="U586" i="8"/>
  <c r="U588" i="20"/>
  <c r="T586" i="8"/>
  <c r="S586" i="8"/>
  <c r="S583" i="20"/>
  <c r="AW584" i="20"/>
  <c r="AV584" i="20"/>
  <c r="AU584" i="20"/>
  <c r="AT584" i="20"/>
  <c r="AS584" i="20"/>
  <c r="AR584" i="20"/>
  <c r="AQ584" i="20"/>
  <c r="AP584" i="20"/>
  <c r="AO584" i="20"/>
  <c r="AN584" i="20"/>
  <c r="AM584" i="20"/>
  <c r="AL584" i="20"/>
  <c r="AK584" i="20"/>
  <c r="AJ584" i="20"/>
  <c r="AI584" i="20"/>
  <c r="AH584" i="20"/>
  <c r="AG584" i="20"/>
  <c r="AF584" i="20"/>
  <c r="AE584" i="20"/>
  <c r="AD584" i="20"/>
  <c r="AC584" i="20"/>
  <c r="AB584" i="20"/>
  <c r="AA584" i="20"/>
  <c r="Z584" i="20"/>
  <c r="Y584" i="20"/>
  <c r="X584" i="20"/>
  <c r="W584" i="20"/>
  <c r="V584" i="20"/>
  <c r="U584" i="20"/>
  <c r="T584" i="20"/>
  <c r="S584" i="20"/>
  <c r="AW583" i="20"/>
  <c r="AV583" i="20"/>
  <c r="AU583" i="20"/>
  <c r="AT583" i="20"/>
  <c r="AS583" i="20"/>
  <c r="AR583" i="20"/>
  <c r="AQ583" i="20"/>
  <c r="AP583" i="20"/>
  <c r="AO583" i="20"/>
  <c r="AN583" i="20"/>
  <c r="AM583" i="20"/>
  <c r="AL583" i="20"/>
  <c r="AK583" i="20"/>
  <c r="AJ583" i="20"/>
  <c r="AI583" i="20"/>
  <c r="AH583" i="20"/>
  <c r="AG583" i="20"/>
  <c r="AF583" i="20"/>
  <c r="AE583" i="20"/>
  <c r="AD583" i="20"/>
  <c r="AC583" i="20"/>
  <c r="AB583" i="20"/>
  <c r="AA583" i="20"/>
  <c r="Z583" i="20"/>
  <c r="Y583" i="20"/>
  <c r="X583" i="20"/>
  <c r="W583" i="20"/>
  <c r="V583" i="20"/>
  <c r="U583" i="20"/>
  <c r="T583" i="20"/>
  <c r="S585" i="9"/>
  <c r="AR585" i="9"/>
  <c r="AQ585" i="9"/>
  <c r="AP585" i="9"/>
  <c r="AO585" i="9"/>
  <c r="AN585" i="9"/>
  <c r="AM585" i="9"/>
  <c r="AL585" i="9"/>
  <c r="AK585" i="9"/>
  <c r="AJ585" i="9"/>
  <c r="AI585" i="9"/>
  <c r="AH585" i="9"/>
  <c r="AG585" i="9"/>
  <c r="AF585" i="9"/>
  <c r="AE585" i="9"/>
  <c r="AD585" i="9"/>
  <c r="AC585" i="9"/>
  <c r="AB585" i="9"/>
  <c r="AA585" i="9"/>
  <c r="Z585" i="9"/>
  <c r="Y585" i="9"/>
  <c r="X585" i="9"/>
  <c r="W585" i="9"/>
  <c r="V585" i="9"/>
  <c r="U585" i="9"/>
  <c r="U585" i="20" s="1"/>
  <c r="T585" i="9"/>
  <c r="S583" i="8"/>
  <c r="AW583" i="8"/>
  <c r="AW585" i="20" s="1"/>
  <c r="AV583" i="8"/>
  <c r="AV585" i="20"/>
  <c r="AU583" i="8"/>
  <c r="AU585" i="20" s="1"/>
  <c r="AT583" i="8"/>
  <c r="AT585" i="20"/>
  <c r="AS583" i="8"/>
  <c r="AS585" i="20" s="1"/>
  <c r="AR583" i="8"/>
  <c r="AQ583" i="8"/>
  <c r="AP583" i="8"/>
  <c r="AO583" i="8"/>
  <c r="AN583" i="8"/>
  <c r="AM583" i="8"/>
  <c r="AL583" i="8"/>
  <c r="AK583" i="8"/>
  <c r="AJ583" i="8"/>
  <c r="AI583" i="8"/>
  <c r="AH583" i="8"/>
  <c r="AG583" i="8"/>
  <c r="AF583" i="8"/>
  <c r="AE583" i="8"/>
  <c r="AD583" i="8"/>
  <c r="AC583" i="8"/>
  <c r="AB583" i="8"/>
  <c r="AA583" i="8"/>
  <c r="Z583" i="8"/>
  <c r="Y583" i="8"/>
  <c r="X583" i="8"/>
  <c r="W583" i="8"/>
  <c r="V583" i="8"/>
  <c r="U583" i="8"/>
  <c r="T583" i="8"/>
  <c r="AW581" i="20"/>
  <c r="AW580" i="20"/>
  <c r="AW579" i="20"/>
  <c r="AW578" i="20"/>
  <c r="AW577" i="20"/>
  <c r="AW576" i="20"/>
  <c r="AW575" i="20"/>
  <c r="AW574" i="20"/>
  <c r="AW573" i="20"/>
  <c r="AW572" i="20"/>
  <c r="AW571" i="20"/>
  <c r="AW570" i="20"/>
  <c r="AW569" i="20"/>
  <c r="AW568" i="20"/>
  <c r="AW567" i="20"/>
  <c r="AW566" i="20"/>
  <c r="AW565" i="20"/>
  <c r="AW564" i="20"/>
  <c r="AW563" i="20"/>
  <c r="AW562" i="20"/>
  <c r="AW561" i="20"/>
  <c r="AW560" i="20"/>
  <c r="AW559" i="20"/>
  <c r="AW558" i="20"/>
  <c r="AW557" i="20"/>
  <c r="AW556" i="20"/>
  <c r="AW555" i="20"/>
  <c r="AW554" i="20"/>
  <c r="AW553" i="20"/>
  <c r="AW552" i="20"/>
  <c r="AW551" i="20"/>
  <c r="AW550" i="20"/>
  <c r="AW549" i="20"/>
  <c r="AW548" i="20"/>
  <c r="AW547" i="20"/>
  <c r="AW546" i="20"/>
  <c r="AW545" i="20"/>
  <c r="AW544" i="20"/>
  <c r="AW543" i="20"/>
  <c r="AW542" i="20"/>
  <c r="AW541" i="20"/>
  <c r="AW540" i="20"/>
  <c r="AW539" i="20"/>
  <c r="AW538" i="20"/>
  <c r="AW537" i="20"/>
  <c r="AW536" i="20"/>
  <c r="AW535" i="20"/>
  <c r="AW534" i="20"/>
  <c r="AW533" i="20"/>
  <c r="AW532" i="20"/>
  <c r="AW531" i="20"/>
  <c r="AW530" i="20"/>
  <c r="AW529" i="20"/>
  <c r="AW528" i="20"/>
  <c r="AW527" i="20"/>
  <c r="AW526" i="20"/>
  <c r="AW525" i="20"/>
  <c r="AW524" i="20"/>
  <c r="AW523" i="20"/>
  <c r="AW522" i="20"/>
  <c r="AW521" i="20"/>
  <c r="AW520" i="20"/>
  <c r="AW519" i="20"/>
  <c r="AW518" i="20"/>
  <c r="AW517" i="20"/>
  <c r="AW516" i="20"/>
  <c r="AW515" i="20"/>
  <c r="AW514" i="20"/>
  <c r="AW513" i="20"/>
  <c r="AW512" i="20"/>
  <c r="AW511" i="20"/>
  <c r="AW510" i="20"/>
  <c r="AW509" i="20"/>
  <c r="AW508" i="20"/>
  <c r="AV581" i="20"/>
  <c r="AU581" i="20"/>
  <c r="AT581" i="20"/>
  <c r="AS581" i="20"/>
  <c r="AR581" i="20"/>
  <c r="AQ581" i="20"/>
  <c r="AP581" i="20"/>
  <c r="AO581" i="20"/>
  <c r="AN581" i="20"/>
  <c r="AM581" i="20"/>
  <c r="AL581" i="20"/>
  <c r="AK581" i="20"/>
  <c r="AJ581" i="20"/>
  <c r="AI581" i="20"/>
  <c r="AH581" i="20"/>
  <c r="AG581" i="20"/>
  <c r="AF581" i="20"/>
  <c r="AE581" i="20"/>
  <c r="AD581" i="20"/>
  <c r="AC581" i="20"/>
  <c r="AB581" i="20"/>
  <c r="AA581" i="20"/>
  <c r="Z581" i="20"/>
  <c r="Y581" i="20"/>
  <c r="X581" i="20"/>
  <c r="W581" i="20"/>
  <c r="V581" i="20"/>
  <c r="U581" i="20"/>
  <c r="T581" i="20"/>
  <c r="S581" i="20"/>
  <c r="AV580" i="20"/>
  <c r="AU580" i="20"/>
  <c r="AT580" i="20"/>
  <c r="AS580" i="20"/>
  <c r="AR580" i="20"/>
  <c r="AQ580" i="20"/>
  <c r="AP580" i="20"/>
  <c r="AO580" i="20"/>
  <c r="AN580" i="20"/>
  <c r="AM580" i="20"/>
  <c r="AL580" i="20"/>
  <c r="AK580" i="20"/>
  <c r="AJ580" i="20"/>
  <c r="AI580" i="20"/>
  <c r="AH580" i="20"/>
  <c r="AG580" i="20"/>
  <c r="AF580" i="20"/>
  <c r="AE580" i="20"/>
  <c r="AD580" i="20"/>
  <c r="AC580" i="20"/>
  <c r="AB580" i="20"/>
  <c r="AA580" i="20"/>
  <c r="Z580" i="20"/>
  <c r="Y580" i="20"/>
  <c r="X580" i="20"/>
  <c r="W580" i="20"/>
  <c r="V580" i="20"/>
  <c r="U580" i="20"/>
  <c r="T580" i="20"/>
  <c r="S580" i="20"/>
  <c r="AQ17" i="21"/>
  <c r="AR582" i="9"/>
  <c r="AQ582" i="9"/>
  <c r="AP582" i="9"/>
  <c r="AO582" i="9"/>
  <c r="AN582" i="9"/>
  <c r="AM582" i="9"/>
  <c r="AL582" i="9"/>
  <c r="AK582" i="9"/>
  <c r="AJ582" i="9"/>
  <c r="AI582" i="9"/>
  <c r="AH582" i="9"/>
  <c r="AG582" i="9"/>
  <c r="AF582" i="9"/>
  <c r="AE582" i="9"/>
  <c r="AD582" i="9"/>
  <c r="AC582" i="9"/>
  <c r="AC582" i="20" s="1"/>
  <c r="AB582" i="9"/>
  <c r="AA582" i="9"/>
  <c r="Z582" i="9"/>
  <c r="Y582" i="9"/>
  <c r="X582" i="9"/>
  <c r="W582" i="9"/>
  <c r="V582" i="9"/>
  <c r="U582" i="9"/>
  <c r="T582" i="9"/>
  <c r="S582" i="9"/>
  <c r="AW580" i="8"/>
  <c r="AV580" i="8"/>
  <c r="AV582" i="20"/>
  <c r="AU580" i="8"/>
  <c r="AU582" i="20" s="1"/>
  <c r="AT580" i="8"/>
  <c r="AT582" i="20" s="1"/>
  <c r="AS580" i="8"/>
  <c r="AS582" i="20" s="1"/>
  <c r="AR580" i="8"/>
  <c r="AQ580" i="8"/>
  <c r="AP580" i="8"/>
  <c r="AO580" i="8"/>
  <c r="AN580" i="8"/>
  <c r="AM580" i="8"/>
  <c r="AL580" i="8"/>
  <c r="AK580" i="8"/>
  <c r="AJ580" i="8"/>
  <c r="AI580" i="8"/>
  <c r="AH580" i="8"/>
  <c r="AG580" i="8"/>
  <c r="AF580" i="8"/>
  <c r="AE580" i="8"/>
  <c r="AD580" i="8"/>
  <c r="AC580" i="8"/>
  <c r="AB580" i="8"/>
  <c r="AA580" i="8"/>
  <c r="Z580" i="8"/>
  <c r="Y580" i="8"/>
  <c r="X580" i="8"/>
  <c r="W580" i="8"/>
  <c r="V580" i="8"/>
  <c r="U580" i="8"/>
  <c r="T580" i="8"/>
  <c r="S580" i="8"/>
  <c r="AV578" i="20"/>
  <c r="AU578" i="20"/>
  <c r="AT578" i="20"/>
  <c r="AS578" i="20"/>
  <c r="AR578" i="20"/>
  <c r="AQ578" i="20"/>
  <c r="AP578" i="20"/>
  <c r="AO578" i="20"/>
  <c r="AN578" i="20"/>
  <c r="AM578" i="20"/>
  <c r="AL578" i="20"/>
  <c r="AK578" i="20"/>
  <c r="AJ578" i="20"/>
  <c r="AI578" i="20"/>
  <c r="AH578" i="20"/>
  <c r="AG578" i="20"/>
  <c r="AF578" i="20"/>
  <c r="AE578" i="20"/>
  <c r="AD578" i="20"/>
  <c r="AC578" i="20"/>
  <c r="AB578" i="20"/>
  <c r="AA578" i="20"/>
  <c r="Z578" i="20"/>
  <c r="Y578" i="20"/>
  <c r="X578" i="20"/>
  <c r="W578" i="20"/>
  <c r="V578" i="20"/>
  <c r="U578" i="20"/>
  <c r="T578" i="20"/>
  <c r="S578" i="20"/>
  <c r="R578" i="20"/>
  <c r="AV577" i="20"/>
  <c r="AU577" i="20"/>
  <c r="AT577" i="20"/>
  <c r="AS577" i="20"/>
  <c r="AR577" i="20"/>
  <c r="AQ577" i="20"/>
  <c r="AP577" i="20"/>
  <c r="AO577" i="20"/>
  <c r="AN577" i="20"/>
  <c r="AM577" i="20"/>
  <c r="AL577" i="20"/>
  <c r="AK577" i="20"/>
  <c r="AJ577" i="20"/>
  <c r="AI577" i="20"/>
  <c r="AH577" i="20"/>
  <c r="AG577" i="20"/>
  <c r="AF577" i="20"/>
  <c r="AE577" i="20"/>
  <c r="AD577" i="20"/>
  <c r="AC577" i="20"/>
  <c r="AB577" i="20"/>
  <c r="AA577" i="20"/>
  <c r="Z577" i="20"/>
  <c r="Y577" i="20"/>
  <c r="X577" i="20"/>
  <c r="W577" i="20"/>
  <c r="V577" i="20"/>
  <c r="U577" i="20"/>
  <c r="T577" i="20"/>
  <c r="S577" i="20"/>
  <c r="R577" i="20"/>
  <c r="AQ579" i="9"/>
  <c r="AP579" i="9"/>
  <c r="AP579" i="20"/>
  <c r="AO579" i="9"/>
  <c r="AN579" i="9"/>
  <c r="AM579" i="9"/>
  <c r="AL579" i="9"/>
  <c r="AK579" i="9"/>
  <c r="AJ579" i="9"/>
  <c r="AI579" i="9"/>
  <c r="AH579" i="9"/>
  <c r="AG579" i="9"/>
  <c r="AF579" i="9"/>
  <c r="AE579" i="9"/>
  <c r="AD579" i="9"/>
  <c r="AD579" i="20" s="1"/>
  <c r="AC579" i="9"/>
  <c r="AB579" i="9"/>
  <c r="AA579" i="9"/>
  <c r="Z579" i="9"/>
  <c r="Y579" i="9"/>
  <c r="X579" i="9"/>
  <c r="W579" i="9"/>
  <c r="W579" i="20" s="1"/>
  <c r="V579" i="9"/>
  <c r="U579" i="9"/>
  <c r="T579" i="9"/>
  <c r="S579" i="9"/>
  <c r="R579" i="9"/>
  <c r="R577" i="8"/>
  <c r="AV577" i="8"/>
  <c r="AU577" i="8"/>
  <c r="AU579" i="20" s="1"/>
  <c r="AT577" i="8"/>
  <c r="AT579" i="20"/>
  <c r="AS577" i="8"/>
  <c r="AS579" i="20" s="1"/>
  <c r="AR577" i="8"/>
  <c r="AR579" i="20" s="1"/>
  <c r="AQ577" i="8"/>
  <c r="AQ579" i="20" s="1"/>
  <c r="AP577" i="8"/>
  <c r="AO577" i="8"/>
  <c r="AN577" i="8"/>
  <c r="AM577" i="8"/>
  <c r="AL577" i="8"/>
  <c r="AK577" i="8"/>
  <c r="AJ577" i="8"/>
  <c r="AI577" i="8"/>
  <c r="AH577" i="8"/>
  <c r="AG577" i="8"/>
  <c r="AF577" i="8"/>
  <c r="AE577" i="8"/>
  <c r="AE579" i="20"/>
  <c r="AD577" i="8"/>
  <c r="AC577" i="8"/>
  <c r="AB577" i="8"/>
  <c r="AA577" i="8"/>
  <c r="Z577" i="8"/>
  <c r="Y577" i="8"/>
  <c r="X577" i="8"/>
  <c r="W577" i="8"/>
  <c r="V577" i="8"/>
  <c r="U577" i="8"/>
  <c r="T577" i="8"/>
  <c r="S577" i="8"/>
  <c r="S579" i="20"/>
  <c r="AV575" i="20"/>
  <c r="AU575" i="20"/>
  <c r="AT575" i="20"/>
  <c r="AS575" i="20"/>
  <c r="AR575" i="20"/>
  <c r="AQ575" i="20"/>
  <c r="AP575" i="20"/>
  <c r="AO575" i="20"/>
  <c r="AN575" i="20"/>
  <c r="AM575" i="20"/>
  <c r="AL575" i="20"/>
  <c r="AK575" i="20"/>
  <c r="AJ575" i="20"/>
  <c r="AI575" i="20"/>
  <c r="AH575" i="20"/>
  <c r="AG575" i="20"/>
  <c r="AF575" i="20"/>
  <c r="AE575" i="20"/>
  <c r="AD575" i="20"/>
  <c r="AC575" i="20"/>
  <c r="AB575" i="20"/>
  <c r="AA575" i="20"/>
  <c r="Z575" i="20"/>
  <c r="Y575" i="20"/>
  <c r="X575" i="20"/>
  <c r="W575" i="20"/>
  <c r="V575" i="20"/>
  <c r="U575" i="20"/>
  <c r="T575" i="20"/>
  <c r="S575" i="20"/>
  <c r="R575" i="20"/>
  <c r="AV574" i="20"/>
  <c r="AU574" i="20"/>
  <c r="AT574" i="20"/>
  <c r="AS574" i="20"/>
  <c r="AR574" i="20"/>
  <c r="AQ574" i="20"/>
  <c r="AP574" i="20"/>
  <c r="AO574" i="20"/>
  <c r="AN574" i="20"/>
  <c r="AM574" i="20"/>
  <c r="AL574" i="20"/>
  <c r="AK574" i="20"/>
  <c r="AJ574" i="20"/>
  <c r="AI574" i="20"/>
  <c r="AH574" i="20"/>
  <c r="AG574" i="20"/>
  <c r="AF574" i="20"/>
  <c r="AE574" i="20"/>
  <c r="AD574" i="20"/>
  <c r="AC574" i="20"/>
  <c r="AB574" i="20"/>
  <c r="AA574" i="20"/>
  <c r="Z574" i="20"/>
  <c r="Y574" i="20"/>
  <c r="X574" i="20"/>
  <c r="W574" i="20"/>
  <c r="V574" i="20"/>
  <c r="U574" i="20"/>
  <c r="T574" i="20"/>
  <c r="S574" i="20"/>
  <c r="R574" i="20"/>
  <c r="R576" i="9"/>
  <c r="AQ576" i="9"/>
  <c r="AP576" i="9"/>
  <c r="AO576" i="9"/>
  <c r="AN576" i="9"/>
  <c r="AM576" i="9"/>
  <c r="AL576" i="9"/>
  <c r="AK576" i="9"/>
  <c r="AJ576" i="9"/>
  <c r="AI576" i="9"/>
  <c r="AH576" i="9"/>
  <c r="AG576" i="9"/>
  <c r="AF576" i="9"/>
  <c r="AE576" i="9"/>
  <c r="AD576" i="9"/>
  <c r="AC576" i="9"/>
  <c r="AB576" i="9"/>
  <c r="AA576" i="9"/>
  <c r="Z576" i="9"/>
  <c r="Y576" i="9"/>
  <c r="X576" i="9"/>
  <c r="W576" i="9"/>
  <c r="V576" i="9"/>
  <c r="U576" i="9"/>
  <c r="T576" i="9"/>
  <c r="S576" i="9"/>
  <c r="R574" i="8"/>
  <c r="AV574" i="8"/>
  <c r="AV576" i="20"/>
  <c r="AU574" i="8"/>
  <c r="AU576" i="20" s="1"/>
  <c r="AT574" i="8"/>
  <c r="AT576" i="20"/>
  <c r="AS574" i="8"/>
  <c r="AR574" i="8"/>
  <c r="AR576" i="20"/>
  <c r="AQ574" i="8"/>
  <c r="AP574" i="8"/>
  <c r="AO574" i="8"/>
  <c r="AN574" i="8"/>
  <c r="AM574" i="8"/>
  <c r="AL574" i="8"/>
  <c r="AK574" i="8"/>
  <c r="AJ574" i="8"/>
  <c r="AI574" i="8"/>
  <c r="AH574" i="8"/>
  <c r="AH576" i="20" s="1"/>
  <c r="AG574" i="8"/>
  <c r="AF574" i="8"/>
  <c r="AE574" i="8"/>
  <c r="AD574" i="8"/>
  <c r="AC574" i="8"/>
  <c r="AB574" i="8"/>
  <c r="AA574" i="8"/>
  <c r="Z574" i="8"/>
  <c r="Y574" i="8"/>
  <c r="X574" i="8"/>
  <c r="W574" i="8"/>
  <c r="V574" i="8"/>
  <c r="U574" i="8"/>
  <c r="T574" i="8"/>
  <c r="S574" i="8"/>
  <c r="AV572" i="20"/>
  <c r="AU572" i="20"/>
  <c r="AT572" i="20"/>
  <c r="AS572" i="20"/>
  <c r="AR572" i="20"/>
  <c r="AQ572" i="20"/>
  <c r="AP572" i="20"/>
  <c r="AO572" i="20"/>
  <c r="AN572" i="20"/>
  <c r="AM572" i="20"/>
  <c r="AL572" i="20"/>
  <c r="AK572" i="20"/>
  <c r="AJ572" i="20"/>
  <c r="AI572" i="20"/>
  <c r="AH572" i="20"/>
  <c r="AG572" i="20"/>
  <c r="AF572" i="20"/>
  <c r="AE572" i="20"/>
  <c r="AD572" i="20"/>
  <c r="AC572" i="20"/>
  <c r="AB572" i="20"/>
  <c r="AA572" i="20"/>
  <c r="Z572" i="20"/>
  <c r="Y572" i="20"/>
  <c r="X572" i="20"/>
  <c r="W572" i="20"/>
  <c r="V572" i="20"/>
  <c r="U572" i="20"/>
  <c r="T572" i="20"/>
  <c r="S572" i="20"/>
  <c r="R572" i="20"/>
  <c r="AV571" i="20"/>
  <c r="AU571" i="20"/>
  <c r="AT571" i="20"/>
  <c r="AS571" i="20"/>
  <c r="AR571" i="20"/>
  <c r="AQ571" i="20"/>
  <c r="AP571" i="20"/>
  <c r="AO571" i="20"/>
  <c r="AN571" i="20"/>
  <c r="AM571" i="20"/>
  <c r="AL571" i="20"/>
  <c r="AK571" i="20"/>
  <c r="AJ571" i="20"/>
  <c r="AI571" i="20"/>
  <c r="AH571" i="20"/>
  <c r="AG571" i="20"/>
  <c r="AF571" i="20"/>
  <c r="AE571" i="20"/>
  <c r="AD571" i="20"/>
  <c r="AC571" i="20"/>
  <c r="AB571" i="20"/>
  <c r="AA571" i="20"/>
  <c r="Z571" i="20"/>
  <c r="Y571" i="20"/>
  <c r="X571" i="20"/>
  <c r="W571" i="20"/>
  <c r="V571" i="20"/>
  <c r="U571" i="20"/>
  <c r="T571" i="20"/>
  <c r="S571" i="20"/>
  <c r="R571" i="20"/>
  <c r="AQ573" i="9"/>
  <c r="AP573" i="9"/>
  <c r="AO573" i="9"/>
  <c r="AO573" i="20" s="1"/>
  <c r="AN573" i="9"/>
  <c r="AM573" i="9"/>
  <c r="AL573" i="9"/>
  <c r="AK573" i="9"/>
  <c r="AJ573" i="9"/>
  <c r="AI573" i="9"/>
  <c r="AH573" i="9"/>
  <c r="AG573" i="9"/>
  <c r="AF573" i="9"/>
  <c r="AE573" i="9"/>
  <c r="AD573" i="9"/>
  <c r="AC573" i="9"/>
  <c r="AB573" i="9"/>
  <c r="AA573" i="9"/>
  <c r="Z573" i="9"/>
  <c r="Y573" i="9"/>
  <c r="B573" i="9" s="1"/>
  <c r="X573" i="9"/>
  <c r="W573" i="9"/>
  <c r="V573" i="9"/>
  <c r="U573" i="9"/>
  <c r="U573" i="20" s="1"/>
  <c r="T573" i="9"/>
  <c r="S573" i="9"/>
  <c r="R573" i="9"/>
  <c r="AV571" i="8"/>
  <c r="AV573" i="20" s="1"/>
  <c r="AU571" i="8"/>
  <c r="AU573" i="20"/>
  <c r="AT571" i="8"/>
  <c r="AT573" i="20" s="1"/>
  <c r="AS571" i="8"/>
  <c r="AS573" i="20"/>
  <c r="AR571" i="8"/>
  <c r="AR573" i="20" s="1"/>
  <c r="AQ571" i="8"/>
  <c r="AP571" i="8"/>
  <c r="AP573" i="20" s="1"/>
  <c r="AO571" i="8"/>
  <c r="AN571" i="8"/>
  <c r="AM571" i="8"/>
  <c r="AL571" i="8"/>
  <c r="AK571" i="8"/>
  <c r="AJ571" i="8"/>
  <c r="AI571" i="8"/>
  <c r="AH571" i="8"/>
  <c r="AG571" i="8"/>
  <c r="AF571" i="8"/>
  <c r="AE571" i="8"/>
  <c r="AD571" i="8"/>
  <c r="AD573" i="20" s="1"/>
  <c r="AC571" i="8"/>
  <c r="AC573" i="20"/>
  <c r="AB571" i="8"/>
  <c r="AA571" i="8"/>
  <c r="Z571" i="8"/>
  <c r="Y571" i="8"/>
  <c r="X571" i="8"/>
  <c r="W571" i="8"/>
  <c r="V571" i="8"/>
  <c r="U571" i="8"/>
  <c r="T571" i="8"/>
  <c r="S571" i="8"/>
  <c r="R571" i="8"/>
  <c r="AV569" i="20"/>
  <c r="AU569" i="20"/>
  <c r="AT569" i="20"/>
  <c r="AS569" i="20"/>
  <c r="AR569" i="20"/>
  <c r="AQ569" i="20"/>
  <c r="AP569" i="20"/>
  <c r="AO569" i="20"/>
  <c r="AN569" i="20"/>
  <c r="AM569" i="20"/>
  <c r="AL569" i="20"/>
  <c r="AK569" i="20"/>
  <c r="AJ569" i="20"/>
  <c r="AI569" i="20"/>
  <c r="AH569" i="20"/>
  <c r="AG569" i="20"/>
  <c r="AF569" i="20"/>
  <c r="AE569" i="20"/>
  <c r="AD569" i="20"/>
  <c r="AC569" i="20"/>
  <c r="AB569" i="20"/>
  <c r="AA569" i="20"/>
  <c r="Z569" i="20"/>
  <c r="Y569" i="20"/>
  <c r="X569" i="20"/>
  <c r="W569" i="20"/>
  <c r="V569" i="20"/>
  <c r="U569" i="20"/>
  <c r="T569" i="20"/>
  <c r="S569" i="20"/>
  <c r="R569" i="20"/>
  <c r="AV568" i="20"/>
  <c r="AU568" i="20"/>
  <c r="AT568" i="20"/>
  <c r="AS568" i="20"/>
  <c r="AR568" i="20"/>
  <c r="AQ568" i="20"/>
  <c r="AP568" i="20"/>
  <c r="AO568" i="20"/>
  <c r="AN568" i="20"/>
  <c r="AM568" i="20"/>
  <c r="AL568" i="20"/>
  <c r="AK568" i="20"/>
  <c r="AJ568" i="20"/>
  <c r="AI568" i="20"/>
  <c r="AH568" i="20"/>
  <c r="AG568" i="20"/>
  <c r="AF568" i="20"/>
  <c r="AE568" i="20"/>
  <c r="AD568" i="20"/>
  <c r="AC568" i="20"/>
  <c r="AB568" i="20"/>
  <c r="AA568" i="20"/>
  <c r="Z568" i="20"/>
  <c r="Y568" i="20"/>
  <c r="X568" i="20"/>
  <c r="W568" i="20"/>
  <c r="V568" i="20"/>
  <c r="U568" i="20"/>
  <c r="T568" i="20"/>
  <c r="S568" i="20"/>
  <c r="R568" i="20"/>
  <c r="AQ570" i="9"/>
  <c r="AP570" i="9"/>
  <c r="AO570" i="9"/>
  <c r="AN570" i="9"/>
  <c r="AM570" i="9"/>
  <c r="AL570" i="9"/>
  <c r="AK570" i="9"/>
  <c r="AJ570" i="9"/>
  <c r="AJ570" i="20" s="1"/>
  <c r="AI570" i="9"/>
  <c r="AI570" i="20"/>
  <c r="AH570" i="9"/>
  <c r="AG570" i="9"/>
  <c r="AF570" i="9"/>
  <c r="AE570" i="9"/>
  <c r="AD570" i="9"/>
  <c r="AC570" i="9"/>
  <c r="AB570" i="9"/>
  <c r="AA570" i="9"/>
  <c r="Z570" i="9"/>
  <c r="Y570" i="9"/>
  <c r="X570" i="9"/>
  <c r="W570" i="9"/>
  <c r="W570" i="20"/>
  <c r="V570" i="9"/>
  <c r="U570" i="9"/>
  <c r="T570" i="9"/>
  <c r="S570" i="9"/>
  <c r="R570" i="9"/>
  <c r="AV565" i="20"/>
  <c r="AU565" i="20"/>
  <c r="AT565" i="20"/>
  <c r="AS565" i="20"/>
  <c r="AR565" i="20"/>
  <c r="AQ565" i="20"/>
  <c r="AP565" i="20"/>
  <c r="AO565" i="20"/>
  <c r="AN565" i="20"/>
  <c r="AM565" i="20"/>
  <c r="AL565" i="20"/>
  <c r="AK565" i="20"/>
  <c r="AJ565" i="20"/>
  <c r="AI565" i="20"/>
  <c r="AH565" i="20"/>
  <c r="AG565" i="20"/>
  <c r="AF565" i="20"/>
  <c r="AE565" i="20"/>
  <c r="AD565" i="20"/>
  <c r="AC565" i="20"/>
  <c r="AB565" i="20"/>
  <c r="AA565" i="20"/>
  <c r="Z565" i="20"/>
  <c r="Y565" i="20"/>
  <c r="X565" i="20"/>
  <c r="W565" i="20"/>
  <c r="V565" i="20"/>
  <c r="U565" i="20"/>
  <c r="T565" i="20"/>
  <c r="S565" i="20"/>
  <c r="R565" i="20"/>
  <c r="AV568" i="8"/>
  <c r="AV570" i="20" s="1"/>
  <c r="AU568" i="8"/>
  <c r="AU570" i="20" s="1"/>
  <c r="AT568" i="8"/>
  <c r="AT570" i="20" s="1"/>
  <c r="AS568" i="8"/>
  <c r="AS570" i="20" s="1"/>
  <c r="AR568" i="8"/>
  <c r="AR570" i="20" s="1"/>
  <c r="AQ568" i="8"/>
  <c r="AP568" i="8"/>
  <c r="AO568" i="8"/>
  <c r="AN568" i="8"/>
  <c r="AM568" i="8"/>
  <c r="AL568" i="8"/>
  <c r="AK568" i="8"/>
  <c r="AJ568" i="8"/>
  <c r="AI568" i="8"/>
  <c r="AH568" i="8"/>
  <c r="AG568" i="8"/>
  <c r="AF568" i="8"/>
  <c r="AE568" i="8"/>
  <c r="AD568" i="8"/>
  <c r="AC568" i="8"/>
  <c r="AB568" i="8"/>
  <c r="AA568" i="8"/>
  <c r="Z568" i="8"/>
  <c r="Y568" i="8"/>
  <c r="X568" i="8"/>
  <c r="W568" i="8"/>
  <c r="V568" i="8"/>
  <c r="U568" i="8"/>
  <c r="T568" i="8"/>
  <c r="S568" i="8"/>
  <c r="R568" i="8"/>
  <c r="AV566" i="20"/>
  <c r="AU566" i="20"/>
  <c r="AT566" i="20"/>
  <c r="AS566" i="20"/>
  <c r="AR566" i="20"/>
  <c r="AQ566" i="20"/>
  <c r="AP566" i="20"/>
  <c r="AO566" i="20"/>
  <c r="AN566" i="20"/>
  <c r="AM566" i="20"/>
  <c r="AL566" i="20"/>
  <c r="AK566" i="20"/>
  <c r="AJ566" i="20"/>
  <c r="AI566" i="20"/>
  <c r="AH566" i="20"/>
  <c r="AG566" i="20"/>
  <c r="AF566" i="20"/>
  <c r="AE566" i="20"/>
  <c r="AD566" i="20"/>
  <c r="AC566" i="20"/>
  <c r="AB566" i="20"/>
  <c r="AA566" i="20"/>
  <c r="Z566" i="20"/>
  <c r="Y566" i="20"/>
  <c r="X566" i="20"/>
  <c r="W566" i="20"/>
  <c r="V566" i="20"/>
  <c r="U566" i="20"/>
  <c r="T566" i="20"/>
  <c r="S566" i="20"/>
  <c r="R566" i="20"/>
  <c r="AQ567" i="9"/>
  <c r="AP567" i="9"/>
  <c r="AO567" i="9"/>
  <c r="AN567" i="9"/>
  <c r="AM567" i="9"/>
  <c r="AL567" i="9"/>
  <c r="AK567" i="9"/>
  <c r="AJ567" i="9"/>
  <c r="AI567" i="9"/>
  <c r="AH567" i="9"/>
  <c r="AG567" i="9"/>
  <c r="AF567" i="9"/>
  <c r="AE567" i="9"/>
  <c r="AD567" i="9"/>
  <c r="AC567" i="9"/>
  <c r="AB567" i="9"/>
  <c r="AA567" i="9"/>
  <c r="Z567" i="9"/>
  <c r="Y567" i="9"/>
  <c r="X567" i="9"/>
  <c r="W567" i="9"/>
  <c r="V567" i="9"/>
  <c r="U567" i="9"/>
  <c r="T567" i="9"/>
  <c r="S567" i="9"/>
  <c r="R567" i="9"/>
  <c r="R565" i="8"/>
  <c r="AV565" i="8"/>
  <c r="AV567" i="20"/>
  <c r="AU565" i="8"/>
  <c r="AU567" i="20" s="1"/>
  <c r="AT565" i="8"/>
  <c r="AT567" i="20"/>
  <c r="AS565" i="8"/>
  <c r="AS567" i="20" s="1"/>
  <c r="AR565" i="8"/>
  <c r="AR567" i="20"/>
  <c r="AQ565" i="8"/>
  <c r="AP565" i="8"/>
  <c r="AO565" i="8"/>
  <c r="AN565" i="8"/>
  <c r="AM565" i="8"/>
  <c r="AL565" i="8"/>
  <c r="AK565" i="8"/>
  <c r="AJ565" i="8"/>
  <c r="AI565" i="8"/>
  <c r="AH565" i="8"/>
  <c r="AG565" i="8"/>
  <c r="AF565" i="8"/>
  <c r="AE565" i="8"/>
  <c r="AD565" i="8"/>
  <c r="AC565" i="8"/>
  <c r="AC567" i="20"/>
  <c r="AB565" i="8"/>
  <c r="AA565" i="8"/>
  <c r="Z565" i="8"/>
  <c r="Y565" i="8"/>
  <c r="X565" i="8"/>
  <c r="W565" i="8"/>
  <c r="V565" i="8"/>
  <c r="U565" i="8"/>
  <c r="T565" i="8"/>
  <c r="S565" i="8"/>
  <c r="AV562" i="8"/>
  <c r="AV564" i="20"/>
  <c r="AU562" i="8"/>
  <c r="AU564" i="20" s="1"/>
  <c r="AT562" i="8"/>
  <c r="AT564" i="20"/>
  <c r="AS562" i="8"/>
  <c r="AS564" i="20" s="1"/>
  <c r="AR562" i="8"/>
  <c r="AR564" i="20"/>
  <c r="AQ562" i="8"/>
  <c r="AP562" i="8"/>
  <c r="AO562" i="8"/>
  <c r="AN562" i="8"/>
  <c r="AM562" i="8"/>
  <c r="AL562" i="8"/>
  <c r="AK562" i="8"/>
  <c r="AJ562" i="8"/>
  <c r="AI562" i="8"/>
  <c r="AH562" i="8"/>
  <c r="AG562" i="8"/>
  <c r="AG564" i="20" s="1"/>
  <c r="AF562" i="8"/>
  <c r="AE562" i="8"/>
  <c r="AD562" i="8"/>
  <c r="AC562" i="8"/>
  <c r="AB562" i="8"/>
  <c r="AA562" i="8"/>
  <c r="Z562" i="8"/>
  <c r="Y562" i="8"/>
  <c r="X562" i="8"/>
  <c r="W562" i="8"/>
  <c r="V562" i="8"/>
  <c r="U562" i="8"/>
  <c r="T562" i="8"/>
  <c r="S562" i="8"/>
  <c r="R562" i="8"/>
  <c r="AV559" i="8"/>
  <c r="AV561" i="20" s="1"/>
  <c r="AU559" i="8"/>
  <c r="AU561" i="20"/>
  <c r="AT559" i="8"/>
  <c r="AT561" i="20" s="1"/>
  <c r="AS559" i="8"/>
  <c r="AS561" i="20" s="1"/>
  <c r="AR559" i="8"/>
  <c r="AR561" i="20" s="1"/>
  <c r="AQ559" i="8"/>
  <c r="AP559" i="8"/>
  <c r="AO559" i="8"/>
  <c r="AN559" i="8"/>
  <c r="AM559" i="8"/>
  <c r="AL559" i="8"/>
  <c r="AK559" i="8"/>
  <c r="AJ559" i="8"/>
  <c r="AI559" i="8"/>
  <c r="AH559" i="8"/>
  <c r="AG559" i="8"/>
  <c r="AF559" i="8"/>
  <c r="AE559" i="8"/>
  <c r="AD559" i="8"/>
  <c r="AC559" i="8"/>
  <c r="AB559" i="8"/>
  <c r="AA559" i="8"/>
  <c r="Z559" i="8"/>
  <c r="Y559" i="8"/>
  <c r="X559" i="8"/>
  <c r="W559" i="8"/>
  <c r="V559" i="8"/>
  <c r="U559" i="8"/>
  <c r="T559" i="8"/>
  <c r="S559" i="8"/>
  <c r="R559" i="8"/>
  <c r="R561" i="20" s="1"/>
  <c r="AV556" i="8"/>
  <c r="AV558" i="20" s="1"/>
  <c r="AU556" i="8"/>
  <c r="AU558" i="20" s="1"/>
  <c r="AT556" i="8"/>
  <c r="AT558" i="20" s="1"/>
  <c r="AS556" i="8"/>
  <c r="AS558" i="20" s="1"/>
  <c r="AR556" i="8"/>
  <c r="AR558" i="20"/>
  <c r="AQ556" i="8"/>
  <c r="AP556" i="8"/>
  <c r="AO556" i="8"/>
  <c r="AN556" i="8"/>
  <c r="AM556" i="8"/>
  <c r="AL556" i="8"/>
  <c r="AK556" i="8"/>
  <c r="AJ556" i="8"/>
  <c r="AI556" i="8"/>
  <c r="AH556" i="8"/>
  <c r="AG556" i="8"/>
  <c r="AF556" i="8"/>
  <c r="AE556" i="8"/>
  <c r="AD556" i="8"/>
  <c r="AC556" i="8"/>
  <c r="AB556" i="8"/>
  <c r="AA556" i="8"/>
  <c r="Z556" i="8"/>
  <c r="Y556" i="8"/>
  <c r="X556" i="8"/>
  <c r="W556" i="8"/>
  <c r="V556" i="8"/>
  <c r="U556" i="8"/>
  <c r="T556" i="8"/>
  <c r="S556" i="8"/>
  <c r="R556" i="8"/>
  <c r="AV553" i="8"/>
  <c r="AV555" i="20" s="1"/>
  <c r="AU553" i="8"/>
  <c r="AU555" i="20"/>
  <c r="AT553" i="8"/>
  <c r="AT555" i="20" s="1"/>
  <c r="AS553" i="8"/>
  <c r="AS555" i="20"/>
  <c r="AR553" i="8"/>
  <c r="AR555" i="20"/>
  <c r="AQ553" i="8"/>
  <c r="AQ555" i="20"/>
  <c r="AP553" i="8"/>
  <c r="AP555" i="20" s="1"/>
  <c r="AO553" i="8"/>
  <c r="AO555" i="20"/>
  <c r="AN553" i="8"/>
  <c r="AN555" i="20" s="1"/>
  <c r="AM553" i="8"/>
  <c r="AM555" i="20"/>
  <c r="AL553" i="8"/>
  <c r="AL555" i="20" s="1"/>
  <c r="AK553" i="8"/>
  <c r="AK555" i="20"/>
  <c r="AJ553" i="8"/>
  <c r="AJ555" i="20"/>
  <c r="AI553" i="8"/>
  <c r="AI555" i="20"/>
  <c r="AH553" i="8"/>
  <c r="AH555" i="20" s="1"/>
  <c r="AG553" i="8"/>
  <c r="AG555" i="20"/>
  <c r="AF553" i="8"/>
  <c r="AF555" i="20" s="1"/>
  <c r="AE553" i="8"/>
  <c r="AE555" i="20"/>
  <c r="AD553" i="8"/>
  <c r="AD555" i="20" s="1"/>
  <c r="AC553" i="8"/>
  <c r="AB553" i="8"/>
  <c r="AB555" i="20" s="1"/>
  <c r="AA553" i="8"/>
  <c r="AA555" i="20" s="1"/>
  <c r="Z553" i="8"/>
  <c r="Z555" i="20" s="1"/>
  <c r="Y553" i="8"/>
  <c r="Y555" i="20" s="1"/>
  <c r="X553" i="8"/>
  <c r="X555" i="20" s="1"/>
  <c r="W553" i="8"/>
  <c r="W555" i="20" s="1"/>
  <c r="V553" i="8"/>
  <c r="V555" i="20" s="1"/>
  <c r="U553" i="8"/>
  <c r="U555" i="20"/>
  <c r="T553" i="8"/>
  <c r="T555" i="20" s="1"/>
  <c r="S553" i="8"/>
  <c r="S555" i="20" s="1"/>
  <c r="R553" i="8"/>
  <c r="R555" i="20" s="1"/>
  <c r="AV550" i="8"/>
  <c r="AV552" i="20" s="1"/>
  <c r="AU550" i="8"/>
  <c r="AU552" i="20" s="1"/>
  <c r="AT550" i="8"/>
  <c r="AT552" i="20"/>
  <c r="AS550" i="8"/>
  <c r="AS552" i="20" s="1"/>
  <c r="AR550" i="8"/>
  <c r="AR552" i="20"/>
  <c r="AQ550" i="8"/>
  <c r="AP550" i="8"/>
  <c r="AO550" i="8"/>
  <c r="AN550" i="8"/>
  <c r="AM550" i="8"/>
  <c r="AL550" i="8"/>
  <c r="AK550" i="8"/>
  <c r="AJ550" i="8"/>
  <c r="AI550" i="8"/>
  <c r="AH550" i="8"/>
  <c r="AG550" i="8"/>
  <c r="AF550" i="8"/>
  <c r="AE550" i="8"/>
  <c r="AD550" i="8"/>
  <c r="AC550" i="8"/>
  <c r="AB550" i="8"/>
  <c r="AA550" i="8"/>
  <c r="Z550" i="8"/>
  <c r="Y550" i="8"/>
  <c r="X550" i="8"/>
  <c r="W550" i="8"/>
  <c r="V550" i="8"/>
  <c r="U550" i="8"/>
  <c r="T550" i="8"/>
  <c r="S550" i="8"/>
  <c r="R550" i="8"/>
  <c r="R547" i="8"/>
  <c r="AV563" i="20"/>
  <c r="AU563" i="20"/>
  <c r="AT563" i="20"/>
  <c r="AS563" i="20"/>
  <c r="AR563" i="20"/>
  <c r="AQ563" i="20"/>
  <c r="AP563" i="20"/>
  <c r="AO563" i="20"/>
  <c r="AN563" i="20"/>
  <c r="AM563" i="20"/>
  <c r="AL563" i="20"/>
  <c r="AK563" i="20"/>
  <c r="AJ563" i="20"/>
  <c r="AI563" i="20"/>
  <c r="AH563" i="20"/>
  <c r="AG563" i="20"/>
  <c r="AF563" i="20"/>
  <c r="AE563" i="20"/>
  <c r="AD563" i="20"/>
  <c r="AC563" i="20"/>
  <c r="AB563" i="20"/>
  <c r="AA563" i="20"/>
  <c r="Z563" i="20"/>
  <c r="Y563" i="20"/>
  <c r="X563" i="20"/>
  <c r="W563" i="20"/>
  <c r="V563" i="20"/>
  <c r="U563" i="20"/>
  <c r="T563" i="20"/>
  <c r="S563" i="20"/>
  <c r="R563" i="20"/>
  <c r="AV562" i="20"/>
  <c r="AU562" i="20"/>
  <c r="AT562" i="20"/>
  <c r="AS562" i="20"/>
  <c r="AR562" i="20"/>
  <c r="AQ562" i="20"/>
  <c r="AP562" i="20"/>
  <c r="AO562" i="20"/>
  <c r="AN562" i="20"/>
  <c r="AM562" i="20"/>
  <c r="AL562" i="20"/>
  <c r="AK562" i="20"/>
  <c r="AJ562" i="20"/>
  <c r="AI562" i="20"/>
  <c r="AH562" i="20"/>
  <c r="AG562" i="20"/>
  <c r="AF562" i="20"/>
  <c r="AE562" i="20"/>
  <c r="AD562" i="20"/>
  <c r="AC562" i="20"/>
  <c r="AB562" i="20"/>
  <c r="AA562" i="20"/>
  <c r="Z562" i="20"/>
  <c r="Y562" i="20"/>
  <c r="X562" i="20"/>
  <c r="W562" i="20"/>
  <c r="V562" i="20"/>
  <c r="U562" i="20"/>
  <c r="T562" i="20"/>
  <c r="S562" i="20"/>
  <c r="R562" i="20"/>
  <c r="AQ564" i="9"/>
  <c r="S564" i="9"/>
  <c r="T564" i="9"/>
  <c r="U564" i="9"/>
  <c r="V564" i="9"/>
  <c r="V564" i="20"/>
  <c r="W564" i="9"/>
  <c r="X564" i="9"/>
  <c r="Y564" i="9"/>
  <c r="Z564" i="9"/>
  <c r="AA564" i="9"/>
  <c r="AB564" i="9"/>
  <c r="AC564" i="9"/>
  <c r="AD564" i="9"/>
  <c r="AE564" i="9"/>
  <c r="AF564" i="9"/>
  <c r="AG564" i="9"/>
  <c r="AH564" i="9"/>
  <c r="AH564" i="20"/>
  <c r="AI564" i="9"/>
  <c r="AI564" i="20" s="1"/>
  <c r="AJ564" i="9"/>
  <c r="AK564" i="9"/>
  <c r="AL564" i="9"/>
  <c r="AL564" i="20" s="1"/>
  <c r="AM564" i="9"/>
  <c r="AN564" i="9"/>
  <c r="AO564" i="9"/>
  <c r="AP564" i="9"/>
  <c r="R564" i="9"/>
  <c r="AV560" i="20"/>
  <c r="AU560" i="20"/>
  <c r="AT560" i="20"/>
  <c r="AS560" i="20"/>
  <c r="AR560" i="20"/>
  <c r="AQ560" i="20"/>
  <c r="AP560" i="20"/>
  <c r="AO560" i="20"/>
  <c r="AN560" i="20"/>
  <c r="AM560" i="20"/>
  <c r="AL560" i="20"/>
  <c r="AK560" i="20"/>
  <c r="AJ560" i="20"/>
  <c r="AI560" i="20"/>
  <c r="AH560" i="20"/>
  <c r="AG560" i="20"/>
  <c r="AF560" i="20"/>
  <c r="AE560" i="20"/>
  <c r="AD560" i="20"/>
  <c r="AC560" i="20"/>
  <c r="AB560" i="20"/>
  <c r="AA560" i="20"/>
  <c r="Z560" i="20"/>
  <c r="Y560" i="20"/>
  <c r="X560" i="20"/>
  <c r="W560" i="20"/>
  <c r="V560" i="20"/>
  <c r="U560" i="20"/>
  <c r="T560" i="20"/>
  <c r="S560" i="20"/>
  <c r="R560" i="20"/>
  <c r="AV559" i="20"/>
  <c r="AU559" i="20"/>
  <c r="AT559" i="20"/>
  <c r="AS559" i="20"/>
  <c r="AR559" i="20"/>
  <c r="AQ559" i="20"/>
  <c r="AP559" i="20"/>
  <c r="AO559" i="20"/>
  <c r="AN559" i="20"/>
  <c r="AM559" i="20"/>
  <c r="AL559" i="20"/>
  <c r="AK559" i="20"/>
  <c r="AJ559" i="20"/>
  <c r="AI559" i="20"/>
  <c r="AH559" i="20"/>
  <c r="AG559" i="20"/>
  <c r="AF559" i="20"/>
  <c r="AE559" i="20"/>
  <c r="AD559" i="20"/>
  <c r="AC559" i="20"/>
  <c r="AB559" i="20"/>
  <c r="AA559" i="20"/>
  <c r="Z559" i="20"/>
  <c r="Y559" i="20"/>
  <c r="X559" i="20"/>
  <c r="W559" i="20"/>
  <c r="V559" i="20"/>
  <c r="U559" i="20"/>
  <c r="T559" i="20"/>
  <c r="S559" i="20"/>
  <c r="R559" i="20"/>
  <c r="S561" i="9"/>
  <c r="T561" i="9"/>
  <c r="U561" i="9"/>
  <c r="V561" i="9"/>
  <c r="W561" i="9"/>
  <c r="X561" i="9"/>
  <c r="Y561" i="9"/>
  <c r="Z561" i="9"/>
  <c r="AA561" i="9"/>
  <c r="AB561" i="9"/>
  <c r="AC561" i="9"/>
  <c r="AD561" i="9"/>
  <c r="AD561" i="20" s="1"/>
  <c r="AE561" i="9"/>
  <c r="AF561" i="9"/>
  <c r="AG561" i="9"/>
  <c r="AH561" i="9"/>
  <c r="AI561" i="9"/>
  <c r="AJ561" i="9"/>
  <c r="AK561" i="9"/>
  <c r="AL561" i="9"/>
  <c r="AM561" i="9"/>
  <c r="AN561" i="9"/>
  <c r="AO561" i="9"/>
  <c r="AP561" i="9"/>
  <c r="AP561" i="20" s="1"/>
  <c r="AQ561" i="9"/>
  <c r="R561" i="9"/>
  <c r="R556" i="20"/>
  <c r="AQ558" i="9"/>
  <c r="AQ558" i="20" s="1"/>
  <c r="AP558" i="9"/>
  <c r="AO558" i="9"/>
  <c r="AN558" i="9"/>
  <c r="AM558" i="9"/>
  <c r="AL558" i="9"/>
  <c r="AK558" i="9"/>
  <c r="AK558" i="20" s="1"/>
  <c r="AJ558" i="9"/>
  <c r="AI558" i="9"/>
  <c r="AH558" i="9"/>
  <c r="AG558" i="9"/>
  <c r="AF558" i="9"/>
  <c r="AE558" i="9"/>
  <c r="AD558" i="9"/>
  <c r="AC558" i="9"/>
  <c r="AB558" i="9"/>
  <c r="AA558" i="9"/>
  <c r="AA558" i="20" s="1"/>
  <c r="Z558" i="9"/>
  <c r="Y558" i="9"/>
  <c r="X558" i="9"/>
  <c r="W558" i="9"/>
  <c r="V558" i="9"/>
  <c r="U558" i="9"/>
  <c r="T558" i="9"/>
  <c r="S558" i="9"/>
  <c r="R558" i="9"/>
  <c r="AV557" i="20"/>
  <c r="AU557" i="20"/>
  <c r="AT557" i="20"/>
  <c r="AS557" i="20"/>
  <c r="AR557" i="20"/>
  <c r="AQ557" i="20"/>
  <c r="AP557" i="20"/>
  <c r="AO557" i="20"/>
  <c r="AN557" i="20"/>
  <c r="AM557" i="20"/>
  <c r="AL557" i="20"/>
  <c r="AK557" i="20"/>
  <c r="AJ557" i="20"/>
  <c r="AI557" i="20"/>
  <c r="AH557" i="20"/>
  <c r="AG557" i="20"/>
  <c r="AF557" i="20"/>
  <c r="AE557" i="20"/>
  <c r="AD557" i="20"/>
  <c r="AC557" i="20"/>
  <c r="AB557" i="20"/>
  <c r="AA557" i="20"/>
  <c r="Z557" i="20"/>
  <c r="Y557" i="20"/>
  <c r="X557" i="20"/>
  <c r="W557" i="20"/>
  <c r="V557" i="20"/>
  <c r="U557" i="20"/>
  <c r="T557" i="20"/>
  <c r="S557" i="20"/>
  <c r="R557" i="20"/>
  <c r="AV556" i="20"/>
  <c r="AU556" i="20"/>
  <c r="AT556" i="20"/>
  <c r="AS556" i="20"/>
  <c r="AR556" i="20"/>
  <c r="AQ556" i="20"/>
  <c r="AP556" i="20"/>
  <c r="AO556" i="20"/>
  <c r="AN556" i="20"/>
  <c r="AM556" i="20"/>
  <c r="AL556" i="20"/>
  <c r="AK556" i="20"/>
  <c r="AJ556" i="20"/>
  <c r="AI556" i="20"/>
  <c r="AH556" i="20"/>
  <c r="AG556" i="20"/>
  <c r="AF556" i="20"/>
  <c r="AE556" i="20"/>
  <c r="AD556" i="20"/>
  <c r="AC556" i="20"/>
  <c r="AB556" i="20"/>
  <c r="AA556" i="20"/>
  <c r="Z556" i="20"/>
  <c r="Y556" i="20"/>
  <c r="X556" i="20"/>
  <c r="W556" i="20"/>
  <c r="V556" i="20"/>
  <c r="U556" i="20"/>
  <c r="T556" i="20"/>
  <c r="S556" i="20"/>
  <c r="AV554" i="20"/>
  <c r="AU554" i="20"/>
  <c r="AT554" i="20"/>
  <c r="AS554" i="20"/>
  <c r="AR554" i="20"/>
  <c r="AQ554" i="20"/>
  <c r="AP554" i="20"/>
  <c r="AO554" i="20"/>
  <c r="AN554" i="20"/>
  <c r="AM554" i="20"/>
  <c r="AL554" i="20"/>
  <c r="AK554" i="20"/>
  <c r="AJ554" i="20"/>
  <c r="AI554" i="20"/>
  <c r="AH554" i="20"/>
  <c r="AG554" i="20"/>
  <c r="AF554" i="20"/>
  <c r="AE554" i="20"/>
  <c r="AD554" i="20"/>
  <c r="AC554" i="20"/>
  <c r="AB554" i="20"/>
  <c r="AA554" i="20"/>
  <c r="Z554" i="20"/>
  <c r="Y554" i="20"/>
  <c r="X554" i="20"/>
  <c r="W554" i="20"/>
  <c r="V554" i="20"/>
  <c r="U554" i="20"/>
  <c r="T554" i="20"/>
  <c r="S554" i="20"/>
  <c r="R554" i="20"/>
  <c r="AV553" i="20"/>
  <c r="AU553" i="20"/>
  <c r="AT553" i="20"/>
  <c r="AS553" i="20"/>
  <c r="AR553" i="20"/>
  <c r="AQ553" i="20"/>
  <c r="AP553" i="20"/>
  <c r="AO553" i="20"/>
  <c r="AN553" i="20"/>
  <c r="AM553" i="20"/>
  <c r="AL553" i="20"/>
  <c r="AK553" i="20"/>
  <c r="AJ553" i="20"/>
  <c r="AI553" i="20"/>
  <c r="AH553" i="20"/>
  <c r="AG553" i="20"/>
  <c r="AF553" i="20"/>
  <c r="AE553" i="20"/>
  <c r="AD553" i="20"/>
  <c r="AC553" i="20"/>
  <c r="AB553" i="20"/>
  <c r="AA553" i="20"/>
  <c r="Z553" i="20"/>
  <c r="Y553" i="20"/>
  <c r="X553" i="20"/>
  <c r="W553" i="20"/>
  <c r="V553" i="20"/>
  <c r="U553" i="20"/>
  <c r="T553" i="20"/>
  <c r="S553" i="20"/>
  <c r="R553" i="20"/>
  <c r="AV551" i="20"/>
  <c r="AU551" i="20"/>
  <c r="AT551" i="20"/>
  <c r="AS551" i="20"/>
  <c r="AR551" i="20"/>
  <c r="AQ551" i="20"/>
  <c r="AP551" i="20"/>
  <c r="AO551" i="20"/>
  <c r="AN551" i="20"/>
  <c r="AM551" i="20"/>
  <c r="AL551" i="20"/>
  <c r="AK551" i="20"/>
  <c r="AJ551" i="20"/>
  <c r="AI551" i="20"/>
  <c r="AH551" i="20"/>
  <c r="AG551" i="20"/>
  <c r="AF551" i="20"/>
  <c r="AE551" i="20"/>
  <c r="AD551" i="20"/>
  <c r="AC551" i="20"/>
  <c r="AB551" i="20"/>
  <c r="AA551" i="20"/>
  <c r="Z551" i="20"/>
  <c r="Y551" i="20"/>
  <c r="X551" i="20"/>
  <c r="W551" i="20"/>
  <c r="V551" i="20"/>
  <c r="U551" i="20"/>
  <c r="T551" i="20"/>
  <c r="S551" i="20"/>
  <c r="R551" i="20"/>
  <c r="AV550" i="20"/>
  <c r="AU550" i="20"/>
  <c r="AT550" i="20"/>
  <c r="AS550" i="20"/>
  <c r="AR550" i="20"/>
  <c r="AQ550" i="20"/>
  <c r="AP550" i="20"/>
  <c r="AO550" i="20"/>
  <c r="AN550" i="20"/>
  <c r="AM550" i="20"/>
  <c r="AL550" i="20"/>
  <c r="AK550" i="20"/>
  <c r="AJ550" i="20"/>
  <c r="AI550" i="20"/>
  <c r="AH550" i="20"/>
  <c r="AG550" i="20"/>
  <c r="AF550" i="20"/>
  <c r="AE550" i="20"/>
  <c r="AD550" i="20"/>
  <c r="AC550" i="20"/>
  <c r="AB550" i="20"/>
  <c r="AA550" i="20"/>
  <c r="Z550" i="20"/>
  <c r="Y550" i="20"/>
  <c r="X550" i="20"/>
  <c r="W550" i="20"/>
  <c r="V550" i="20"/>
  <c r="U550" i="20"/>
  <c r="T550" i="20"/>
  <c r="S550" i="20"/>
  <c r="R550" i="20"/>
  <c r="T552" i="9"/>
  <c r="U552" i="9"/>
  <c r="V552" i="9"/>
  <c r="W552" i="9"/>
  <c r="X552" i="9"/>
  <c r="Y552" i="9"/>
  <c r="Z552" i="9"/>
  <c r="AA552" i="9"/>
  <c r="AB552" i="9"/>
  <c r="AC552" i="9"/>
  <c r="AD552" i="9"/>
  <c r="AE552" i="9"/>
  <c r="AF552" i="9"/>
  <c r="AF552" i="20"/>
  <c r="AG552" i="9"/>
  <c r="AH552" i="9"/>
  <c r="AH552" i="20" s="1"/>
  <c r="AI552" i="9"/>
  <c r="AJ552" i="9"/>
  <c r="AK552" i="9"/>
  <c r="AL552" i="9"/>
  <c r="AM552" i="9"/>
  <c r="AM552" i="20" s="1"/>
  <c r="AN552" i="9"/>
  <c r="AO552" i="9"/>
  <c r="AP552" i="9"/>
  <c r="AQ552" i="9"/>
  <c r="S552" i="9"/>
  <c r="R552" i="9"/>
  <c r="T541" i="8"/>
  <c r="AV548" i="20"/>
  <c r="AU548" i="20"/>
  <c r="AT548" i="20"/>
  <c r="AS548" i="20"/>
  <c r="AR548" i="20"/>
  <c r="AQ548" i="20"/>
  <c r="AP548" i="20"/>
  <c r="AO548" i="20"/>
  <c r="AN548" i="20"/>
  <c r="AM548" i="20"/>
  <c r="AL548" i="20"/>
  <c r="AK548" i="20"/>
  <c r="AJ548" i="20"/>
  <c r="AI548" i="20"/>
  <c r="AH548" i="20"/>
  <c r="AG548" i="20"/>
  <c r="AF548" i="20"/>
  <c r="AE548" i="20"/>
  <c r="AD548" i="20"/>
  <c r="AC548" i="20"/>
  <c r="AB548" i="20"/>
  <c r="AA548" i="20"/>
  <c r="Z548" i="20"/>
  <c r="Y548" i="20"/>
  <c r="X548" i="20"/>
  <c r="W548" i="20"/>
  <c r="V548" i="20"/>
  <c r="U548" i="20"/>
  <c r="T548" i="20"/>
  <c r="S548" i="20"/>
  <c r="R548" i="20"/>
  <c r="AV547" i="20"/>
  <c r="AU547" i="20"/>
  <c r="AT547" i="20"/>
  <c r="AS547" i="20"/>
  <c r="AR547" i="20"/>
  <c r="AQ547" i="20"/>
  <c r="AP547" i="20"/>
  <c r="AO547" i="20"/>
  <c r="AN547" i="20"/>
  <c r="AM547" i="20"/>
  <c r="AL547" i="20"/>
  <c r="AK547" i="20"/>
  <c r="AJ547" i="20"/>
  <c r="AI547" i="20"/>
  <c r="AH547" i="20"/>
  <c r="AG547" i="20"/>
  <c r="AF547" i="20"/>
  <c r="AE547" i="20"/>
  <c r="AD547" i="20"/>
  <c r="AC547" i="20"/>
  <c r="AB547" i="20"/>
  <c r="AA547" i="20"/>
  <c r="Z547" i="20"/>
  <c r="Y547" i="20"/>
  <c r="X547" i="20"/>
  <c r="W547" i="20"/>
  <c r="V547" i="20"/>
  <c r="U547" i="20"/>
  <c r="T547" i="20"/>
  <c r="S547" i="20"/>
  <c r="R547" i="20"/>
  <c r="AQ549" i="9"/>
  <c r="AP549" i="9"/>
  <c r="AO549" i="9"/>
  <c r="AN549" i="9"/>
  <c r="AM549" i="9"/>
  <c r="AL549" i="9"/>
  <c r="AK549" i="9"/>
  <c r="AJ549" i="9"/>
  <c r="AI549" i="9"/>
  <c r="AH549" i="9"/>
  <c r="AG549" i="9"/>
  <c r="AF549" i="9"/>
  <c r="AE549" i="9"/>
  <c r="AD549" i="9"/>
  <c r="AC549" i="9"/>
  <c r="AB549" i="9"/>
  <c r="AA549" i="9"/>
  <c r="Z549" i="9"/>
  <c r="Y549" i="9"/>
  <c r="X549" i="9"/>
  <c r="W549" i="9"/>
  <c r="W549" i="20" s="1"/>
  <c r="V549" i="9"/>
  <c r="U549" i="9"/>
  <c r="T549" i="9"/>
  <c r="S549" i="9"/>
  <c r="S549" i="20" s="1"/>
  <c r="R549" i="9"/>
  <c r="AV547" i="8"/>
  <c r="AV549" i="20" s="1"/>
  <c r="AU547" i="8"/>
  <c r="AU549" i="20"/>
  <c r="AT547" i="8"/>
  <c r="AT549" i="20" s="1"/>
  <c r="AS547" i="8"/>
  <c r="AS549" i="20"/>
  <c r="AR547" i="8"/>
  <c r="AR549" i="20"/>
  <c r="AQ547" i="8"/>
  <c r="AP547" i="8"/>
  <c r="AO547" i="8"/>
  <c r="AN547" i="8"/>
  <c r="AM547" i="8"/>
  <c r="AL547" i="8"/>
  <c r="AK547" i="8"/>
  <c r="AJ547" i="8"/>
  <c r="AI547" i="8"/>
  <c r="AH547" i="8"/>
  <c r="AG547" i="8"/>
  <c r="AF547" i="8"/>
  <c r="AE547" i="8"/>
  <c r="AD547" i="8"/>
  <c r="AC547" i="8"/>
  <c r="AB547" i="8"/>
  <c r="AA547" i="8"/>
  <c r="Z547" i="8"/>
  <c r="Y547" i="8"/>
  <c r="X547" i="8"/>
  <c r="W547" i="8"/>
  <c r="V547" i="8"/>
  <c r="U547" i="8"/>
  <c r="T547" i="8"/>
  <c r="S547" i="8"/>
  <c r="AV508" i="20"/>
  <c r="AV509" i="20"/>
  <c r="AV510" i="20"/>
  <c r="AV511" i="20"/>
  <c r="AV512" i="20"/>
  <c r="AV513" i="20"/>
  <c r="AV514" i="20"/>
  <c r="AV515" i="20"/>
  <c r="AV516" i="20"/>
  <c r="AV517" i="20"/>
  <c r="AV518" i="20"/>
  <c r="AV519" i="20"/>
  <c r="AV520" i="20"/>
  <c r="AV521" i="20"/>
  <c r="AV522" i="20"/>
  <c r="AV523" i="20"/>
  <c r="AV524" i="20"/>
  <c r="AV525" i="20"/>
  <c r="AV526" i="20"/>
  <c r="AV527" i="20"/>
  <c r="AV528" i="20"/>
  <c r="AV529" i="20"/>
  <c r="AV530" i="20"/>
  <c r="AV531" i="20"/>
  <c r="AV532" i="20"/>
  <c r="AV533" i="20"/>
  <c r="AV534" i="20"/>
  <c r="AV535" i="20"/>
  <c r="AV536" i="20"/>
  <c r="AV537" i="20"/>
  <c r="AV538" i="20"/>
  <c r="AV539" i="20"/>
  <c r="AV540" i="20"/>
  <c r="AV541" i="20"/>
  <c r="AV542" i="20"/>
  <c r="AV543" i="20"/>
  <c r="AV544" i="20"/>
  <c r="AV545" i="20"/>
  <c r="AR17" i="22"/>
  <c r="AQ546" i="9"/>
  <c r="AP17" i="21"/>
  <c r="AU545" i="20"/>
  <c r="AT545" i="20"/>
  <c r="AS545" i="20"/>
  <c r="AR545" i="20"/>
  <c r="AQ545" i="20"/>
  <c r="AP545" i="20"/>
  <c r="AO545" i="20"/>
  <c r="AN545" i="20"/>
  <c r="AM545" i="20"/>
  <c r="AL545" i="20"/>
  <c r="AK545" i="20"/>
  <c r="AJ545" i="20"/>
  <c r="AI545" i="20"/>
  <c r="AH545" i="20"/>
  <c r="AG545" i="20"/>
  <c r="AF545" i="20"/>
  <c r="AE545" i="20"/>
  <c r="AD545" i="20"/>
  <c r="AC545" i="20"/>
  <c r="AB545" i="20"/>
  <c r="AA545" i="20"/>
  <c r="Z545" i="20"/>
  <c r="Y545" i="20"/>
  <c r="X545" i="20"/>
  <c r="W545" i="20"/>
  <c r="V545" i="20"/>
  <c r="U545" i="20"/>
  <c r="T545" i="20"/>
  <c r="S545" i="20"/>
  <c r="R545" i="20"/>
  <c r="AU544" i="20"/>
  <c r="AT544" i="20"/>
  <c r="AS544" i="20"/>
  <c r="AR544" i="20"/>
  <c r="AQ544" i="20"/>
  <c r="AP544" i="20"/>
  <c r="AO544" i="20"/>
  <c r="AN544" i="20"/>
  <c r="AM544" i="20"/>
  <c r="AL544" i="20"/>
  <c r="AK544" i="20"/>
  <c r="AJ544" i="20"/>
  <c r="AI544" i="20"/>
  <c r="AH544" i="20"/>
  <c r="AG544" i="20"/>
  <c r="AF544" i="20"/>
  <c r="AE544" i="20"/>
  <c r="AD544" i="20"/>
  <c r="AC544" i="20"/>
  <c r="AB544" i="20"/>
  <c r="AA544" i="20"/>
  <c r="Z544" i="20"/>
  <c r="Y544" i="20"/>
  <c r="X544" i="20"/>
  <c r="W544" i="20"/>
  <c r="V544" i="20"/>
  <c r="U544" i="20"/>
  <c r="T544" i="20"/>
  <c r="S544" i="20"/>
  <c r="R544" i="20"/>
  <c r="R546" i="9"/>
  <c r="AP546" i="9"/>
  <c r="AO546" i="9"/>
  <c r="AN546" i="9"/>
  <c r="AM546" i="9"/>
  <c r="AL546" i="9"/>
  <c r="AK546" i="9"/>
  <c r="AJ546" i="9"/>
  <c r="AI546" i="9"/>
  <c r="AH546" i="9"/>
  <c r="AG546" i="9"/>
  <c r="AF546" i="9"/>
  <c r="AE546" i="9"/>
  <c r="AD546" i="9"/>
  <c r="AC546" i="9"/>
  <c r="AB546" i="9"/>
  <c r="AA546" i="9"/>
  <c r="Z546" i="9"/>
  <c r="Y546" i="9"/>
  <c r="X546" i="9"/>
  <c r="W546" i="9"/>
  <c r="V546" i="9"/>
  <c r="U546" i="9"/>
  <c r="T546" i="9"/>
  <c r="S546" i="9"/>
  <c r="AV544" i="8"/>
  <c r="AU544" i="8"/>
  <c r="AU546" i="20" s="1"/>
  <c r="AT544" i="8"/>
  <c r="AT546" i="20"/>
  <c r="AS544" i="8"/>
  <c r="AS546" i="20" s="1"/>
  <c r="AR544" i="8"/>
  <c r="AR546" i="20" s="1"/>
  <c r="AQ544" i="8"/>
  <c r="AP544" i="8"/>
  <c r="AO544" i="8"/>
  <c r="AN544" i="8"/>
  <c r="AM544" i="8"/>
  <c r="AL544" i="8"/>
  <c r="AK544" i="8"/>
  <c r="AJ544" i="8"/>
  <c r="AI544" i="8"/>
  <c r="AH544" i="8"/>
  <c r="AG544" i="8"/>
  <c r="AF544" i="8"/>
  <c r="AE544" i="8"/>
  <c r="AD544" i="8"/>
  <c r="AC544" i="8"/>
  <c r="AB544" i="8"/>
  <c r="AA544" i="8"/>
  <c r="Z544" i="8"/>
  <c r="Y544" i="8"/>
  <c r="X544" i="8"/>
  <c r="W544" i="8"/>
  <c r="V544" i="8"/>
  <c r="U544" i="8"/>
  <c r="T544" i="8"/>
  <c r="S544" i="8"/>
  <c r="R544" i="8"/>
  <c r="Q543" i="9"/>
  <c r="R543" i="9"/>
  <c r="S543" i="9"/>
  <c r="T543" i="9"/>
  <c r="U543" i="9"/>
  <c r="V543" i="9"/>
  <c r="W543" i="9"/>
  <c r="X543" i="9"/>
  <c r="Y543" i="9"/>
  <c r="Z543" i="9"/>
  <c r="AA543" i="9"/>
  <c r="AB543" i="9"/>
  <c r="AC543" i="9"/>
  <c r="AD543" i="9"/>
  <c r="AE543" i="9"/>
  <c r="AF543" i="9"/>
  <c r="AG543" i="9"/>
  <c r="AH543" i="9"/>
  <c r="AI543" i="9"/>
  <c r="AJ543" i="9"/>
  <c r="AK543" i="9"/>
  <c r="AL543" i="9"/>
  <c r="AM543" i="9"/>
  <c r="AN543" i="9"/>
  <c r="AO543" i="9"/>
  <c r="AU542" i="20"/>
  <c r="AT542" i="20"/>
  <c r="AS542" i="20"/>
  <c r="AR542" i="20"/>
  <c r="AQ542" i="20"/>
  <c r="AP542" i="20"/>
  <c r="AO542" i="20"/>
  <c r="AN542" i="20"/>
  <c r="AM542" i="20"/>
  <c r="AL542" i="20"/>
  <c r="AK542" i="20"/>
  <c r="AJ542" i="20"/>
  <c r="AI542" i="20"/>
  <c r="AH542" i="20"/>
  <c r="AG542" i="20"/>
  <c r="AF542" i="20"/>
  <c r="AE542" i="20"/>
  <c r="AD542" i="20"/>
  <c r="AC542" i="20"/>
  <c r="AB542" i="20"/>
  <c r="AA542" i="20"/>
  <c r="Z542" i="20"/>
  <c r="Y542" i="20"/>
  <c r="X542" i="20"/>
  <c r="W542" i="20"/>
  <c r="V542" i="20"/>
  <c r="U542" i="20"/>
  <c r="T542" i="20"/>
  <c r="S542" i="20"/>
  <c r="R542" i="20"/>
  <c r="Q542" i="20"/>
  <c r="AU541" i="20"/>
  <c r="AT541" i="20"/>
  <c r="AS541" i="20"/>
  <c r="AR541" i="20"/>
  <c r="AQ541" i="20"/>
  <c r="AP541" i="20"/>
  <c r="AO541" i="20"/>
  <c r="AN541" i="20"/>
  <c r="AM541" i="20"/>
  <c r="AL541" i="20"/>
  <c r="AK541" i="20"/>
  <c r="AJ541" i="20"/>
  <c r="AI541" i="20"/>
  <c r="AH541" i="20"/>
  <c r="AG541" i="20"/>
  <c r="AF541" i="20"/>
  <c r="AE541" i="20"/>
  <c r="AD541" i="20"/>
  <c r="AC541" i="20"/>
  <c r="AB541" i="20"/>
  <c r="AA541" i="20"/>
  <c r="Z541" i="20"/>
  <c r="Y541" i="20"/>
  <c r="X541" i="20"/>
  <c r="W541" i="20"/>
  <c r="V541" i="20"/>
  <c r="U541" i="20"/>
  <c r="T541" i="20"/>
  <c r="S541" i="20"/>
  <c r="R541" i="20"/>
  <c r="Q541" i="20"/>
  <c r="AP543" i="9"/>
  <c r="AU541" i="8"/>
  <c r="AU543" i="20" s="1"/>
  <c r="AT541" i="8"/>
  <c r="AT543" i="20" s="1"/>
  <c r="AS541" i="8"/>
  <c r="AS543" i="20" s="1"/>
  <c r="AR541" i="8"/>
  <c r="AR543" i="20" s="1"/>
  <c r="AQ541" i="8"/>
  <c r="AQ543" i="20"/>
  <c r="AP541" i="8"/>
  <c r="AO541" i="8"/>
  <c r="AN541" i="8"/>
  <c r="AM541" i="8"/>
  <c r="AL541" i="8"/>
  <c r="AK541" i="8"/>
  <c r="AJ541" i="8"/>
  <c r="AI541" i="8"/>
  <c r="AH541" i="8"/>
  <c r="AG541" i="8"/>
  <c r="AF541" i="8"/>
  <c r="AE541" i="8"/>
  <c r="AD541" i="8"/>
  <c r="AD543" i="20" s="1"/>
  <c r="AC541" i="8"/>
  <c r="AB541" i="8"/>
  <c r="AA541" i="8"/>
  <c r="Z541" i="8"/>
  <c r="Y541" i="8"/>
  <c r="X541" i="8"/>
  <c r="W541" i="8"/>
  <c r="V541" i="8"/>
  <c r="U541" i="8"/>
  <c r="S541" i="8"/>
  <c r="R541" i="8"/>
  <c r="Q541" i="8"/>
  <c r="Q538" i="20"/>
  <c r="R538" i="20"/>
  <c r="S538" i="20"/>
  <c r="T538" i="20"/>
  <c r="U538" i="20"/>
  <c r="V538" i="20"/>
  <c r="W538" i="20"/>
  <c r="X538" i="20"/>
  <c r="Y538" i="20"/>
  <c r="Z538" i="20"/>
  <c r="AA538" i="20"/>
  <c r="AB538" i="20"/>
  <c r="AC538" i="20"/>
  <c r="AD538" i="20"/>
  <c r="AE538" i="20"/>
  <c r="AF538" i="20"/>
  <c r="AG538" i="20"/>
  <c r="AH538" i="20"/>
  <c r="AI538" i="20"/>
  <c r="AJ538" i="20"/>
  <c r="AK538" i="20"/>
  <c r="AL538" i="20"/>
  <c r="AM538" i="20"/>
  <c r="AN538" i="20"/>
  <c r="AO538" i="20"/>
  <c r="AP538" i="20"/>
  <c r="AQ538" i="20"/>
  <c r="AR538" i="20"/>
  <c r="AS538" i="20"/>
  <c r="AT538" i="20"/>
  <c r="AU538" i="20"/>
  <c r="Q539" i="20"/>
  <c r="R539" i="20"/>
  <c r="S539" i="20"/>
  <c r="T539" i="20"/>
  <c r="U539" i="20"/>
  <c r="V539" i="20"/>
  <c r="W539" i="20"/>
  <c r="X539" i="20"/>
  <c r="Y539" i="20"/>
  <c r="Z539" i="20"/>
  <c r="AA539" i="20"/>
  <c r="AB539" i="20"/>
  <c r="AC539" i="20"/>
  <c r="AD539" i="20"/>
  <c r="AE539" i="20"/>
  <c r="AF539" i="20"/>
  <c r="AG539" i="20"/>
  <c r="AH539" i="20"/>
  <c r="AI539" i="20"/>
  <c r="AJ539" i="20"/>
  <c r="AK539" i="20"/>
  <c r="AL539" i="20"/>
  <c r="AM539" i="20"/>
  <c r="AN539" i="20"/>
  <c r="AO539" i="20"/>
  <c r="AP539" i="20"/>
  <c r="AQ539" i="20"/>
  <c r="AR539" i="20"/>
  <c r="AS539" i="20"/>
  <c r="AT539" i="20"/>
  <c r="AU539" i="20"/>
  <c r="AP540" i="9"/>
  <c r="AO540" i="9"/>
  <c r="AN540" i="9"/>
  <c r="AM540" i="9"/>
  <c r="AL540" i="9"/>
  <c r="AK540" i="9"/>
  <c r="AK540" i="20" s="1"/>
  <c r="AJ540" i="9"/>
  <c r="AI540" i="9"/>
  <c r="AH540" i="9"/>
  <c r="AG540" i="9"/>
  <c r="AF540" i="9"/>
  <c r="AE540" i="9"/>
  <c r="AD540" i="9"/>
  <c r="AC540" i="9"/>
  <c r="AB540" i="9"/>
  <c r="AA540" i="9"/>
  <c r="Z540" i="9"/>
  <c r="Y540" i="9"/>
  <c r="X540" i="9"/>
  <c r="W540" i="9"/>
  <c r="V540" i="9"/>
  <c r="U540" i="9"/>
  <c r="U540" i="20" s="1"/>
  <c r="T540" i="9"/>
  <c r="S540" i="9"/>
  <c r="R540" i="9"/>
  <c r="Q540" i="9"/>
  <c r="AU538" i="8"/>
  <c r="AU540" i="20"/>
  <c r="AT538" i="8"/>
  <c r="AT540" i="20"/>
  <c r="AS538" i="8"/>
  <c r="AS540" i="20" s="1"/>
  <c r="AR538" i="8"/>
  <c r="AR540" i="20"/>
  <c r="AQ538" i="8"/>
  <c r="AQ540" i="20" s="1"/>
  <c r="AP538" i="8"/>
  <c r="AO538" i="8"/>
  <c r="AN538" i="8"/>
  <c r="AM538" i="8"/>
  <c r="AL538" i="8"/>
  <c r="AK538" i="8"/>
  <c r="AJ538" i="8"/>
  <c r="AI538" i="8"/>
  <c r="AH538" i="8"/>
  <c r="AG538" i="8"/>
  <c r="AF538" i="8"/>
  <c r="AE538" i="8"/>
  <c r="AD538" i="8"/>
  <c r="AC538" i="8"/>
  <c r="AB538" i="8"/>
  <c r="AA538" i="8"/>
  <c r="Z538" i="8"/>
  <c r="Y538" i="8"/>
  <c r="X538" i="8"/>
  <c r="W538" i="8"/>
  <c r="V538" i="8"/>
  <c r="U538" i="8"/>
  <c r="T538" i="8"/>
  <c r="S538" i="8"/>
  <c r="R538" i="8"/>
  <c r="Q538" i="8"/>
  <c r="AU536" i="20"/>
  <c r="AT536" i="20"/>
  <c r="AS536" i="20"/>
  <c r="AR536" i="20"/>
  <c r="AQ536" i="20"/>
  <c r="AP536" i="20"/>
  <c r="AO536" i="20"/>
  <c r="AN536" i="20"/>
  <c r="AM536" i="20"/>
  <c r="AL536" i="20"/>
  <c r="AK536" i="20"/>
  <c r="AJ536" i="20"/>
  <c r="AI536" i="20"/>
  <c r="AH536" i="20"/>
  <c r="AG536" i="20"/>
  <c r="AF536" i="20"/>
  <c r="AE536" i="20"/>
  <c r="AD536" i="20"/>
  <c r="AC536" i="20"/>
  <c r="AB536" i="20"/>
  <c r="AA536" i="20"/>
  <c r="Z536" i="20"/>
  <c r="Y536" i="20"/>
  <c r="X536" i="20"/>
  <c r="W536" i="20"/>
  <c r="V536" i="20"/>
  <c r="U536" i="20"/>
  <c r="T536" i="20"/>
  <c r="S536" i="20"/>
  <c r="R536" i="20"/>
  <c r="Q536" i="20"/>
  <c r="AU535" i="20"/>
  <c r="AT535" i="20"/>
  <c r="AS535" i="20"/>
  <c r="AR535" i="20"/>
  <c r="AQ535" i="20"/>
  <c r="AP535" i="20"/>
  <c r="AO535" i="20"/>
  <c r="AN535" i="20"/>
  <c r="AM535" i="20"/>
  <c r="AL535" i="20"/>
  <c r="AK535" i="20"/>
  <c r="AJ535" i="20"/>
  <c r="AI535" i="20"/>
  <c r="AH535" i="20"/>
  <c r="AG535" i="20"/>
  <c r="AF535" i="20"/>
  <c r="AE535" i="20"/>
  <c r="AD535" i="20"/>
  <c r="AC535" i="20"/>
  <c r="AB535" i="20"/>
  <c r="AA535" i="20"/>
  <c r="Z535" i="20"/>
  <c r="Y535" i="20"/>
  <c r="X535" i="20"/>
  <c r="W535" i="20"/>
  <c r="V535" i="20"/>
  <c r="U535" i="20"/>
  <c r="T535" i="20"/>
  <c r="S535" i="20"/>
  <c r="R535" i="20"/>
  <c r="Q535" i="20"/>
  <c r="AP537" i="9"/>
  <c r="AO537" i="9"/>
  <c r="AN537" i="9"/>
  <c r="AM537" i="9"/>
  <c r="AL537" i="9"/>
  <c r="AK537" i="9"/>
  <c r="AJ537" i="9"/>
  <c r="AI537" i="9"/>
  <c r="AH537" i="9"/>
  <c r="AG537" i="9"/>
  <c r="AF537" i="9"/>
  <c r="AE537" i="9"/>
  <c r="AD537" i="9"/>
  <c r="AC537" i="9"/>
  <c r="AB537" i="9"/>
  <c r="AA537" i="9"/>
  <c r="Z537" i="9"/>
  <c r="Y537" i="9"/>
  <c r="X537" i="9"/>
  <c r="W537" i="9"/>
  <c r="V537" i="9"/>
  <c r="U537" i="9"/>
  <c r="T537" i="9"/>
  <c r="S537" i="9"/>
  <c r="R537" i="9"/>
  <c r="Q537" i="9"/>
  <c r="R535" i="8"/>
  <c r="S535" i="8"/>
  <c r="T535" i="8"/>
  <c r="U535" i="8"/>
  <c r="V535" i="8"/>
  <c r="W535" i="8"/>
  <c r="X535" i="8"/>
  <c r="Y535" i="8"/>
  <c r="Z535" i="8"/>
  <c r="AA535" i="8"/>
  <c r="AB535" i="8"/>
  <c r="AC535" i="8"/>
  <c r="AD535" i="8"/>
  <c r="AE535" i="8"/>
  <c r="AF535" i="8"/>
  <c r="AG535" i="8"/>
  <c r="AH535" i="8"/>
  <c r="AI535" i="8"/>
  <c r="AJ535" i="8"/>
  <c r="AK535" i="8"/>
  <c r="AL535" i="8"/>
  <c r="AM535" i="8"/>
  <c r="AN535" i="8"/>
  <c r="AO535" i="8"/>
  <c r="AP535" i="8"/>
  <c r="AQ535" i="8"/>
  <c r="AQ537" i="20"/>
  <c r="AR535" i="8"/>
  <c r="AR537" i="20" s="1"/>
  <c r="AS535" i="8"/>
  <c r="AS537" i="20"/>
  <c r="AT535" i="8"/>
  <c r="AT537" i="20"/>
  <c r="AU535" i="8"/>
  <c r="AU537" i="20"/>
  <c r="Q535" i="8"/>
  <c r="AU533" i="20"/>
  <c r="AT533" i="20"/>
  <c r="AS533" i="20"/>
  <c r="AR533" i="20"/>
  <c r="AQ533" i="20"/>
  <c r="AP533" i="20"/>
  <c r="AO533" i="20"/>
  <c r="AN533" i="20"/>
  <c r="AM533" i="20"/>
  <c r="AL533" i="20"/>
  <c r="AK533" i="20"/>
  <c r="AJ533" i="20"/>
  <c r="AI533" i="20"/>
  <c r="AH533" i="20"/>
  <c r="AG533" i="20"/>
  <c r="AF533" i="20"/>
  <c r="AE533" i="20"/>
  <c r="AD533" i="20"/>
  <c r="AC533" i="20"/>
  <c r="AB533" i="20"/>
  <c r="AA533" i="20"/>
  <c r="Z533" i="20"/>
  <c r="Y533" i="20"/>
  <c r="X533" i="20"/>
  <c r="W533" i="20"/>
  <c r="V533" i="20"/>
  <c r="U533" i="20"/>
  <c r="T533" i="20"/>
  <c r="S533" i="20"/>
  <c r="R533" i="20"/>
  <c r="Q533" i="20"/>
  <c r="AU532" i="20"/>
  <c r="AT532" i="20"/>
  <c r="AS532" i="20"/>
  <c r="AR532" i="20"/>
  <c r="AQ532" i="20"/>
  <c r="AP532" i="20"/>
  <c r="AO532" i="20"/>
  <c r="AN532" i="20"/>
  <c r="AM532" i="20"/>
  <c r="AL532" i="20"/>
  <c r="AK532" i="20"/>
  <c r="AJ532" i="20"/>
  <c r="AI532" i="20"/>
  <c r="AH532" i="20"/>
  <c r="AG532" i="20"/>
  <c r="AF532" i="20"/>
  <c r="AE532" i="20"/>
  <c r="AD532" i="20"/>
  <c r="AC532" i="20"/>
  <c r="AB532" i="20"/>
  <c r="AA532" i="20"/>
  <c r="Z532" i="20"/>
  <c r="Y532" i="20"/>
  <c r="X532" i="20"/>
  <c r="W532" i="20"/>
  <c r="V532" i="20"/>
  <c r="U532" i="20"/>
  <c r="T532" i="20"/>
  <c r="S532" i="20"/>
  <c r="R532" i="20"/>
  <c r="Q532" i="20"/>
  <c r="AP534" i="9"/>
  <c r="AP534" i="20" s="1"/>
  <c r="AO534" i="9"/>
  <c r="AN534" i="9"/>
  <c r="AM534" i="9"/>
  <c r="AL534" i="9"/>
  <c r="AK534" i="9"/>
  <c r="AJ534" i="9"/>
  <c r="AI534" i="9"/>
  <c r="AH534" i="9"/>
  <c r="AG534" i="9"/>
  <c r="AF534" i="9"/>
  <c r="AE534" i="9"/>
  <c r="AD534" i="9"/>
  <c r="AC534" i="9"/>
  <c r="AB534" i="9"/>
  <c r="AA534" i="9"/>
  <c r="Z534" i="9"/>
  <c r="Z534" i="20" s="1"/>
  <c r="Y534" i="9"/>
  <c r="X534" i="9"/>
  <c r="W534" i="9"/>
  <c r="V534" i="9"/>
  <c r="U534" i="9"/>
  <c r="T534" i="9"/>
  <c r="T534" i="20" s="1"/>
  <c r="S534" i="9"/>
  <c r="R534" i="9"/>
  <c r="Q534" i="9"/>
  <c r="AU532" i="8"/>
  <c r="AU534" i="20" s="1"/>
  <c r="AT532" i="8"/>
  <c r="AT534" i="20" s="1"/>
  <c r="AS532" i="8"/>
  <c r="AS534" i="20"/>
  <c r="AR532" i="8"/>
  <c r="AR534" i="20" s="1"/>
  <c r="AQ532" i="8"/>
  <c r="AQ534" i="20" s="1"/>
  <c r="AP532" i="8"/>
  <c r="AO532" i="8"/>
  <c r="AN532" i="8"/>
  <c r="AM532" i="8"/>
  <c r="AL532" i="8"/>
  <c r="AK532" i="8"/>
  <c r="AJ532" i="8"/>
  <c r="AI532" i="8"/>
  <c r="AH532" i="8"/>
  <c r="AG532" i="8"/>
  <c r="AF532" i="8"/>
  <c r="AE532" i="8"/>
  <c r="AD532" i="8"/>
  <c r="AC532" i="8"/>
  <c r="AB532" i="8"/>
  <c r="AA532" i="8"/>
  <c r="Z532" i="8"/>
  <c r="Y532" i="8"/>
  <c r="X532" i="8"/>
  <c r="W532" i="8"/>
  <c r="V532" i="8"/>
  <c r="U532" i="8"/>
  <c r="T532" i="8"/>
  <c r="S532" i="8"/>
  <c r="R532" i="8"/>
  <c r="Q532" i="8"/>
  <c r="AU530" i="20"/>
  <c r="AT530" i="20"/>
  <c r="AS530" i="20"/>
  <c r="AR530" i="20"/>
  <c r="AQ530" i="20"/>
  <c r="AP530" i="20"/>
  <c r="AO530" i="20"/>
  <c r="AN530" i="20"/>
  <c r="AM530" i="20"/>
  <c r="AL530" i="20"/>
  <c r="AK530" i="20"/>
  <c r="AJ530" i="20"/>
  <c r="AI530" i="20"/>
  <c r="AH530" i="20"/>
  <c r="AG530" i="20"/>
  <c r="AF530" i="20"/>
  <c r="AE530" i="20"/>
  <c r="AD530" i="20"/>
  <c r="AC530" i="20"/>
  <c r="AB530" i="20"/>
  <c r="AA530" i="20"/>
  <c r="Z530" i="20"/>
  <c r="Y530" i="20"/>
  <c r="X530" i="20"/>
  <c r="W530" i="20"/>
  <c r="V530" i="20"/>
  <c r="U530" i="20"/>
  <c r="T530" i="20"/>
  <c r="S530" i="20"/>
  <c r="R530" i="20"/>
  <c r="Q530" i="20"/>
  <c r="AU529" i="20"/>
  <c r="AT529" i="20"/>
  <c r="AS529" i="20"/>
  <c r="AR529" i="20"/>
  <c r="AQ529" i="20"/>
  <c r="AP529" i="20"/>
  <c r="AO529" i="20"/>
  <c r="AN529" i="20"/>
  <c r="AM529" i="20"/>
  <c r="AL529" i="20"/>
  <c r="AK529" i="20"/>
  <c r="AJ529" i="20"/>
  <c r="AI529" i="20"/>
  <c r="AH529" i="20"/>
  <c r="AG529" i="20"/>
  <c r="AF529" i="20"/>
  <c r="AE529" i="20"/>
  <c r="AD529" i="20"/>
  <c r="AC529" i="20"/>
  <c r="AB529" i="20"/>
  <c r="AA529" i="20"/>
  <c r="Z529" i="20"/>
  <c r="Y529" i="20"/>
  <c r="X529" i="20"/>
  <c r="W529" i="20"/>
  <c r="V529" i="20"/>
  <c r="U529" i="20"/>
  <c r="T529" i="20"/>
  <c r="S529" i="20"/>
  <c r="R529" i="20"/>
  <c r="Q529" i="20"/>
  <c r="AP531" i="9"/>
  <c r="AO531" i="9"/>
  <c r="AN531" i="9"/>
  <c r="AM531" i="9"/>
  <c r="AL531" i="9"/>
  <c r="AK531" i="9"/>
  <c r="AJ531" i="9"/>
  <c r="AI531" i="9"/>
  <c r="AH531" i="9"/>
  <c r="AG531" i="9"/>
  <c r="AF531" i="9"/>
  <c r="AE531" i="9"/>
  <c r="AD531" i="9"/>
  <c r="AC531" i="9"/>
  <c r="AB531" i="9"/>
  <c r="AA531" i="9"/>
  <c r="Z531" i="9"/>
  <c r="Y531" i="9"/>
  <c r="X531" i="9"/>
  <c r="W531" i="9"/>
  <c r="V531" i="9"/>
  <c r="U531" i="9"/>
  <c r="T531" i="9"/>
  <c r="S531" i="9"/>
  <c r="R531" i="9"/>
  <c r="Q531" i="9"/>
  <c r="AU529" i="8"/>
  <c r="AU531" i="20"/>
  <c r="AT529" i="8"/>
  <c r="AT531" i="20" s="1"/>
  <c r="AS529" i="8"/>
  <c r="AS531" i="20"/>
  <c r="AR529" i="8"/>
  <c r="AR531" i="20"/>
  <c r="AQ529" i="8"/>
  <c r="AQ531" i="20"/>
  <c r="AP529" i="8"/>
  <c r="AO529" i="8"/>
  <c r="AN529" i="8"/>
  <c r="AM529" i="8"/>
  <c r="AL529" i="8"/>
  <c r="AK529" i="8"/>
  <c r="AJ529" i="8"/>
  <c r="AI529" i="8"/>
  <c r="AH529" i="8"/>
  <c r="AG529" i="8"/>
  <c r="AF529" i="8"/>
  <c r="AE529" i="8"/>
  <c r="AD529" i="8"/>
  <c r="AC529" i="8"/>
  <c r="AB529" i="8"/>
  <c r="AA529" i="8"/>
  <c r="Z529" i="8"/>
  <c r="Y529" i="8"/>
  <c r="X529" i="8"/>
  <c r="W529" i="8"/>
  <c r="V529" i="8"/>
  <c r="U529" i="8"/>
  <c r="T529" i="8"/>
  <c r="S529" i="8"/>
  <c r="R529" i="8"/>
  <c r="Q529" i="8"/>
  <c r="AU527" i="20"/>
  <c r="AT527" i="20"/>
  <c r="AS527" i="20"/>
  <c r="AR527" i="20"/>
  <c r="AQ527" i="20"/>
  <c r="AP527" i="20"/>
  <c r="AO527" i="20"/>
  <c r="AN527" i="20"/>
  <c r="AM527" i="20"/>
  <c r="AL527" i="20"/>
  <c r="AK527" i="20"/>
  <c r="AJ527" i="20"/>
  <c r="AI527" i="20"/>
  <c r="AH527" i="20"/>
  <c r="AG527" i="20"/>
  <c r="AF527" i="20"/>
  <c r="AE527" i="20"/>
  <c r="AD527" i="20"/>
  <c r="AC527" i="20"/>
  <c r="AB527" i="20"/>
  <c r="AA527" i="20"/>
  <c r="Z527" i="20"/>
  <c r="Y527" i="20"/>
  <c r="X527" i="20"/>
  <c r="W527" i="20"/>
  <c r="V527" i="20"/>
  <c r="U527" i="20"/>
  <c r="T527" i="20"/>
  <c r="S527" i="20"/>
  <c r="R527" i="20"/>
  <c r="Q527" i="20"/>
  <c r="AU526" i="20"/>
  <c r="AT526" i="20"/>
  <c r="AS526" i="20"/>
  <c r="AR526" i="20"/>
  <c r="AQ526" i="20"/>
  <c r="AP526" i="20"/>
  <c r="AO526" i="20"/>
  <c r="AN526" i="20"/>
  <c r="AM526" i="20"/>
  <c r="AL526" i="20"/>
  <c r="AK526" i="20"/>
  <c r="AJ526" i="20"/>
  <c r="AI526" i="20"/>
  <c r="AH526" i="20"/>
  <c r="AG526" i="20"/>
  <c r="AF526" i="20"/>
  <c r="AE526" i="20"/>
  <c r="AD526" i="20"/>
  <c r="AC526" i="20"/>
  <c r="AB526" i="20"/>
  <c r="AA526" i="20"/>
  <c r="Z526" i="20"/>
  <c r="Y526" i="20"/>
  <c r="X526" i="20"/>
  <c r="W526" i="20"/>
  <c r="V526" i="20"/>
  <c r="U526" i="20"/>
  <c r="T526" i="20"/>
  <c r="S526" i="20"/>
  <c r="R526" i="20"/>
  <c r="Q526" i="20"/>
  <c r="AP528" i="9"/>
  <c r="AO528" i="9"/>
  <c r="AN528" i="9"/>
  <c r="AM528" i="9"/>
  <c r="AL528" i="9"/>
  <c r="AK528" i="9"/>
  <c r="AJ528" i="9"/>
  <c r="AI528" i="9"/>
  <c r="AH528" i="9"/>
  <c r="AG528" i="9"/>
  <c r="AF528" i="9"/>
  <c r="AE528" i="9"/>
  <c r="AE528" i="20" s="1"/>
  <c r="AD528" i="9"/>
  <c r="AC528" i="9"/>
  <c r="AB528" i="9"/>
  <c r="AA528" i="9"/>
  <c r="Z528" i="9"/>
  <c r="Y528" i="9"/>
  <c r="X528" i="9"/>
  <c r="W528" i="9"/>
  <c r="V528" i="9"/>
  <c r="U528" i="9"/>
  <c r="T528" i="9"/>
  <c r="S528" i="9"/>
  <c r="S528" i="20" s="1"/>
  <c r="R528" i="9"/>
  <c r="Q528" i="9"/>
  <c r="AU526" i="8"/>
  <c r="AU528" i="20"/>
  <c r="AT526" i="8"/>
  <c r="AT528" i="20" s="1"/>
  <c r="AS526" i="8"/>
  <c r="AS528" i="20"/>
  <c r="AR526" i="8"/>
  <c r="AR528" i="20" s="1"/>
  <c r="AQ526" i="8"/>
  <c r="AQ528" i="20"/>
  <c r="AP526" i="8"/>
  <c r="AO526" i="8"/>
  <c r="AN526" i="8"/>
  <c r="AM526" i="8"/>
  <c r="AL526" i="8"/>
  <c r="AK526" i="8"/>
  <c r="AJ526" i="8"/>
  <c r="AI526" i="8"/>
  <c r="AH526" i="8"/>
  <c r="AG526" i="8"/>
  <c r="AF526" i="8"/>
  <c r="AE526" i="8"/>
  <c r="AD526" i="8"/>
  <c r="AC526" i="8"/>
  <c r="AB526" i="8"/>
  <c r="AA526" i="8"/>
  <c r="Z526" i="8"/>
  <c r="Z528" i="20"/>
  <c r="Y526" i="8"/>
  <c r="X526" i="8"/>
  <c r="W526" i="8"/>
  <c r="V526" i="8"/>
  <c r="U526" i="8"/>
  <c r="T526" i="8"/>
  <c r="S526" i="8"/>
  <c r="R526" i="8"/>
  <c r="Q526" i="8"/>
  <c r="AU524" i="20"/>
  <c r="AT524" i="20"/>
  <c r="AS524" i="20"/>
  <c r="AR524" i="20"/>
  <c r="AQ524" i="20"/>
  <c r="AP524" i="20"/>
  <c r="AO524" i="20"/>
  <c r="AN524" i="20"/>
  <c r="AM524" i="20"/>
  <c r="AL524" i="20"/>
  <c r="AK524" i="20"/>
  <c r="AJ524" i="20"/>
  <c r="AI524" i="20"/>
  <c r="AH524" i="20"/>
  <c r="AG524" i="20"/>
  <c r="AF524" i="20"/>
  <c r="AE524" i="20"/>
  <c r="AD524" i="20"/>
  <c r="AC524" i="20"/>
  <c r="AB524" i="20"/>
  <c r="AA524" i="20"/>
  <c r="Z524" i="20"/>
  <c r="Y524" i="20"/>
  <c r="X524" i="20"/>
  <c r="W524" i="20"/>
  <c r="V524" i="20"/>
  <c r="U524" i="20"/>
  <c r="T524" i="20"/>
  <c r="S524" i="20"/>
  <c r="R524" i="20"/>
  <c r="Q524" i="20"/>
  <c r="AU523" i="20"/>
  <c r="AT523" i="20"/>
  <c r="AS523" i="20"/>
  <c r="AR523" i="20"/>
  <c r="AQ523" i="20"/>
  <c r="AP523" i="20"/>
  <c r="AO523" i="20"/>
  <c r="AN523" i="20"/>
  <c r="AM523" i="20"/>
  <c r="AL523" i="20"/>
  <c r="AK523" i="20"/>
  <c r="AJ523" i="20"/>
  <c r="AI523" i="20"/>
  <c r="AH523" i="20"/>
  <c r="AG523" i="20"/>
  <c r="AF523" i="20"/>
  <c r="AE523" i="20"/>
  <c r="AD523" i="20"/>
  <c r="AC523" i="20"/>
  <c r="AB523" i="20"/>
  <c r="AA523" i="20"/>
  <c r="Z523" i="20"/>
  <c r="Y523" i="20"/>
  <c r="X523" i="20"/>
  <c r="W523" i="20"/>
  <c r="V523" i="20"/>
  <c r="U523" i="20"/>
  <c r="T523" i="20"/>
  <c r="S523" i="20"/>
  <c r="R523" i="20"/>
  <c r="Q523" i="20"/>
  <c r="AP525" i="9"/>
  <c r="AO525" i="9"/>
  <c r="AN525" i="9"/>
  <c r="AM525" i="9"/>
  <c r="AL525" i="9"/>
  <c r="AK525" i="9"/>
  <c r="AJ525" i="9"/>
  <c r="AI525" i="9"/>
  <c r="AH525" i="9"/>
  <c r="AG525" i="9"/>
  <c r="AF525" i="9"/>
  <c r="AE525" i="9"/>
  <c r="AD525" i="9"/>
  <c r="AC525" i="9"/>
  <c r="AB525" i="9"/>
  <c r="AA525" i="9"/>
  <c r="Z525" i="9"/>
  <c r="Y525" i="9"/>
  <c r="X525" i="9"/>
  <c r="W525" i="9"/>
  <c r="V525" i="9"/>
  <c r="U525" i="9"/>
  <c r="T525" i="9"/>
  <c r="S525" i="9"/>
  <c r="R525" i="9"/>
  <c r="R525" i="20" s="1"/>
  <c r="Q525" i="9"/>
  <c r="AU523" i="8"/>
  <c r="AU525" i="20" s="1"/>
  <c r="AT523" i="8"/>
  <c r="AT525" i="20" s="1"/>
  <c r="AS523" i="8"/>
  <c r="AS525" i="20" s="1"/>
  <c r="AR523" i="8"/>
  <c r="AR525" i="20" s="1"/>
  <c r="AQ523" i="8"/>
  <c r="AQ525" i="20" s="1"/>
  <c r="AP523" i="8"/>
  <c r="AO523" i="8"/>
  <c r="AN523" i="8"/>
  <c r="AM523" i="8"/>
  <c r="AM525" i="20" s="1"/>
  <c r="AL523" i="8"/>
  <c r="AK523" i="8"/>
  <c r="AJ523" i="8"/>
  <c r="AI523" i="8"/>
  <c r="AH523" i="8"/>
  <c r="AG523" i="8"/>
  <c r="AF523" i="8"/>
  <c r="AE523" i="8"/>
  <c r="AD523" i="8"/>
  <c r="AC523" i="8"/>
  <c r="AB523" i="8"/>
  <c r="AA523" i="8"/>
  <c r="Z523" i="8"/>
  <c r="Y523" i="8"/>
  <c r="X523" i="8"/>
  <c r="W523" i="8"/>
  <c r="W525" i="20" s="1"/>
  <c r="V523" i="8"/>
  <c r="U523" i="8"/>
  <c r="T523" i="8"/>
  <c r="S523" i="8"/>
  <c r="R523" i="8"/>
  <c r="Q523" i="8"/>
  <c r="AU521" i="20"/>
  <c r="AT521" i="20"/>
  <c r="AS521" i="20"/>
  <c r="AR521" i="20"/>
  <c r="AQ521" i="20"/>
  <c r="AP521" i="20"/>
  <c r="AO521" i="20"/>
  <c r="AN521" i="20"/>
  <c r="AM521" i="20"/>
  <c r="AL521" i="20"/>
  <c r="AK521" i="20"/>
  <c r="AJ521" i="20"/>
  <c r="AI521" i="20"/>
  <c r="AH521" i="20"/>
  <c r="AG521" i="20"/>
  <c r="AF521" i="20"/>
  <c r="AE521" i="20"/>
  <c r="AD521" i="20"/>
  <c r="AC521" i="20"/>
  <c r="AB521" i="20"/>
  <c r="AA521" i="20"/>
  <c r="Z521" i="20"/>
  <c r="Y521" i="20"/>
  <c r="X521" i="20"/>
  <c r="W521" i="20"/>
  <c r="V521" i="20"/>
  <c r="U521" i="20"/>
  <c r="T521" i="20"/>
  <c r="S521" i="20"/>
  <c r="R521" i="20"/>
  <c r="Q521" i="20"/>
  <c r="AU520" i="20"/>
  <c r="AT520" i="20"/>
  <c r="AS520" i="20"/>
  <c r="AR520" i="20"/>
  <c r="AQ520" i="20"/>
  <c r="AP520" i="20"/>
  <c r="AO520" i="20"/>
  <c r="AN520" i="20"/>
  <c r="AM520" i="20"/>
  <c r="AL520" i="20"/>
  <c r="AK520" i="20"/>
  <c r="AJ520" i="20"/>
  <c r="AI520" i="20"/>
  <c r="AH520" i="20"/>
  <c r="AG520" i="20"/>
  <c r="AF520" i="20"/>
  <c r="AE520" i="20"/>
  <c r="AD520" i="20"/>
  <c r="AC520" i="20"/>
  <c r="AB520" i="20"/>
  <c r="AA520" i="20"/>
  <c r="Z520" i="20"/>
  <c r="Y520" i="20"/>
  <c r="X520" i="20"/>
  <c r="W520" i="20"/>
  <c r="V520" i="20"/>
  <c r="U520" i="20"/>
  <c r="T520" i="20"/>
  <c r="S520" i="20"/>
  <c r="R520" i="20"/>
  <c r="Q520" i="20"/>
  <c r="AP522" i="9"/>
  <c r="AO522" i="9"/>
  <c r="AN522" i="9"/>
  <c r="AM522" i="9"/>
  <c r="AL522" i="9"/>
  <c r="AK522" i="9"/>
  <c r="AJ522" i="9"/>
  <c r="AI522" i="9"/>
  <c r="AH522" i="9"/>
  <c r="AG522" i="9"/>
  <c r="AF522" i="9"/>
  <c r="AE522" i="9"/>
  <c r="AE522" i="20" s="1"/>
  <c r="AD522" i="9"/>
  <c r="AC522" i="9"/>
  <c r="AB522" i="9"/>
  <c r="AA522" i="9"/>
  <c r="Z522" i="9"/>
  <c r="Y522" i="9"/>
  <c r="X522" i="9"/>
  <c r="W522" i="9"/>
  <c r="V522" i="9"/>
  <c r="U522" i="9"/>
  <c r="T522" i="9"/>
  <c r="S522" i="9"/>
  <c r="R522" i="9"/>
  <c r="Q522" i="9"/>
  <c r="AU520" i="8"/>
  <c r="AU522" i="20"/>
  <c r="AT520" i="8"/>
  <c r="AT522" i="20"/>
  <c r="AS520" i="8"/>
  <c r="AS522" i="20"/>
  <c r="AR520" i="8"/>
  <c r="AR522" i="20" s="1"/>
  <c r="AQ520" i="8"/>
  <c r="AQ522" i="20"/>
  <c r="AP520" i="8"/>
  <c r="AO520" i="8"/>
  <c r="AN520" i="8"/>
  <c r="AM520" i="8"/>
  <c r="AL520" i="8"/>
  <c r="AK520" i="8"/>
  <c r="AJ520" i="8"/>
  <c r="AI520" i="8"/>
  <c r="AH520" i="8"/>
  <c r="AG520" i="8"/>
  <c r="AF520" i="8"/>
  <c r="AE520" i="8"/>
  <c r="AD520" i="8"/>
  <c r="AC520" i="8"/>
  <c r="AB520" i="8"/>
  <c r="AA520" i="8"/>
  <c r="Z520" i="8"/>
  <c r="Y520" i="8"/>
  <c r="X520" i="8"/>
  <c r="W520" i="8"/>
  <c r="V520" i="8"/>
  <c r="U520" i="8"/>
  <c r="T520" i="8"/>
  <c r="S520" i="8"/>
  <c r="R520" i="8"/>
  <c r="Q520" i="8"/>
  <c r="AU518" i="20"/>
  <c r="AT518" i="20"/>
  <c r="AS518" i="20"/>
  <c r="AR518" i="20"/>
  <c r="AQ518" i="20"/>
  <c r="AP518" i="20"/>
  <c r="AO518" i="20"/>
  <c r="AN518" i="20"/>
  <c r="AM518" i="20"/>
  <c r="AL518" i="20"/>
  <c r="AK518" i="20"/>
  <c r="AJ518" i="20"/>
  <c r="AI518" i="20"/>
  <c r="AH518" i="20"/>
  <c r="AG518" i="20"/>
  <c r="AF518" i="20"/>
  <c r="AE518" i="20"/>
  <c r="AD518" i="20"/>
  <c r="AC518" i="20"/>
  <c r="AB518" i="20"/>
  <c r="AA518" i="20"/>
  <c r="Z518" i="20"/>
  <c r="Y518" i="20"/>
  <c r="X518" i="20"/>
  <c r="W518" i="20"/>
  <c r="V518" i="20"/>
  <c r="U518" i="20"/>
  <c r="T518" i="20"/>
  <c r="S518" i="20"/>
  <c r="R518" i="20"/>
  <c r="Q518" i="20"/>
  <c r="AU517" i="20"/>
  <c r="AT517" i="20"/>
  <c r="AS517" i="20"/>
  <c r="AR517" i="20"/>
  <c r="AQ517" i="20"/>
  <c r="AP517" i="20"/>
  <c r="AO517" i="20"/>
  <c r="AN517" i="20"/>
  <c r="AM517" i="20"/>
  <c r="AL517" i="20"/>
  <c r="AK517" i="20"/>
  <c r="AJ517" i="20"/>
  <c r="AI517" i="20"/>
  <c r="AH517" i="20"/>
  <c r="AG517" i="20"/>
  <c r="AF517" i="20"/>
  <c r="AE517" i="20"/>
  <c r="AD517" i="20"/>
  <c r="AC517" i="20"/>
  <c r="AB517" i="20"/>
  <c r="AA517" i="20"/>
  <c r="Z517" i="20"/>
  <c r="Y517" i="20"/>
  <c r="X517" i="20"/>
  <c r="W517" i="20"/>
  <c r="V517" i="20"/>
  <c r="U517" i="20"/>
  <c r="T517" i="20"/>
  <c r="S517" i="20"/>
  <c r="R517" i="20"/>
  <c r="Q517" i="20"/>
  <c r="AP519" i="9"/>
  <c r="AO519" i="9"/>
  <c r="AO519" i="20" s="1"/>
  <c r="AN519" i="9"/>
  <c r="AM519" i="9"/>
  <c r="AL519" i="9"/>
  <c r="AK519" i="9"/>
  <c r="AJ519" i="9"/>
  <c r="AI519" i="9"/>
  <c r="AH519" i="9"/>
  <c r="AG519" i="9"/>
  <c r="AF519" i="9"/>
  <c r="AE519" i="9"/>
  <c r="AD519" i="9"/>
  <c r="AC519" i="9"/>
  <c r="AB519" i="9"/>
  <c r="AA519" i="9"/>
  <c r="Z519" i="9"/>
  <c r="Y519" i="9"/>
  <c r="X519" i="9"/>
  <c r="X519" i="20" s="1"/>
  <c r="W519" i="9"/>
  <c r="V519" i="9"/>
  <c r="U519" i="9"/>
  <c r="T519" i="9"/>
  <c r="S519" i="9"/>
  <c r="R519" i="9"/>
  <c r="Q519" i="9"/>
  <c r="AU517" i="8"/>
  <c r="AU519" i="20"/>
  <c r="AT517" i="8"/>
  <c r="AT519" i="20"/>
  <c r="AS517" i="8"/>
  <c r="AS519" i="20"/>
  <c r="AR517" i="8"/>
  <c r="AR519" i="20"/>
  <c r="AQ517" i="8"/>
  <c r="AQ519" i="20"/>
  <c r="AP517" i="8"/>
  <c r="AO517" i="8"/>
  <c r="AN517" i="8"/>
  <c r="AM517" i="8"/>
  <c r="AL517" i="8"/>
  <c r="AK517" i="8"/>
  <c r="AJ517" i="8"/>
  <c r="AI517" i="8"/>
  <c r="AH517" i="8"/>
  <c r="AG517" i="8"/>
  <c r="AF517" i="8"/>
  <c r="AE517" i="8"/>
  <c r="AD517" i="8"/>
  <c r="AA9" i="22" s="1"/>
  <c r="AC517" i="8"/>
  <c r="AC519" i="20"/>
  <c r="AB517" i="8"/>
  <c r="AA517" i="8"/>
  <c r="Z517" i="8"/>
  <c r="Y517" i="8"/>
  <c r="X517" i="8"/>
  <c r="W517" i="8"/>
  <c r="V517" i="8"/>
  <c r="U517" i="8"/>
  <c r="T517" i="8"/>
  <c r="S517" i="8"/>
  <c r="R517" i="8"/>
  <c r="Q517" i="8"/>
  <c r="Q519" i="20"/>
  <c r="AU515" i="20"/>
  <c r="AT515" i="20"/>
  <c r="AS515" i="20"/>
  <c r="AR515" i="20"/>
  <c r="AQ515" i="20"/>
  <c r="AP515" i="20"/>
  <c r="AO515" i="20"/>
  <c r="AN515" i="20"/>
  <c r="AM515" i="20"/>
  <c r="AL515" i="20"/>
  <c r="AK515" i="20"/>
  <c r="AJ515" i="20"/>
  <c r="AI515" i="20"/>
  <c r="AH515" i="20"/>
  <c r="AG515" i="20"/>
  <c r="AF515" i="20"/>
  <c r="AE515" i="20"/>
  <c r="AD515" i="20"/>
  <c r="AC515" i="20"/>
  <c r="AB515" i="20"/>
  <c r="AA515" i="20"/>
  <c r="Z515" i="20"/>
  <c r="Y515" i="20"/>
  <c r="X515" i="20"/>
  <c r="W515" i="20"/>
  <c r="V515" i="20"/>
  <c r="U515" i="20"/>
  <c r="T515" i="20"/>
  <c r="S515" i="20"/>
  <c r="R515" i="20"/>
  <c r="Q515" i="20"/>
  <c r="AU514" i="20"/>
  <c r="AT514" i="20"/>
  <c r="AS514" i="20"/>
  <c r="AR514" i="20"/>
  <c r="AQ514" i="20"/>
  <c r="AP514" i="20"/>
  <c r="AO514" i="20"/>
  <c r="AN514" i="20"/>
  <c r="AM514" i="20"/>
  <c r="AL514" i="20"/>
  <c r="AK514" i="20"/>
  <c r="AJ514" i="20"/>
  <c r="AI514" i="20"/>
  <c r="AH514" i="20"/>
  <c r="AG514" i="20"/>
  <c r="AF514" i="20"/>
  <c r="AE514" i="20"/>
  <c r="AD514" i="20"/>
  <c r="AC514" i="20"/>
  <c r="AB514" i="20"/>
  <c r="AA514" i="20"/>
  <c r="Z514" i="20"/>
  <c r="Y514" i="20"/>
  <c r="X514" i="20"/>
  <c r="W514" i="20"/>
  <c r="V514" i="20"/>
  <c r="U514" i="20"/>
  <c r="T514" i="20"/>
  <c r="S514" i="20"/>
  <c r="R514" i="20"/>
  <c r="Q514" i="20"/>
  <c r="AP516" i="9"/>
  <c r="AO516" i="9"/>
  <c r="AN516" i="9"/>
  <c r="AM516" i="9"/>
  <c r="AL516" i="9"/>
  <c r="AK516" i="9"/>
  <c r="AJ516" i="9"/>
  <c r="AI516" i="9"/>
  <c r="AH516" i="9"/>
  <c r="AG516" i="9"/>
  <c r="AF516" i="9"/>
  <c r="AE516" i="9"/>
  <c r="AD516" i="9"/>
  <c r="AC516" i="9"/>
  <c r="AC516" i="20" s="1"/>
  <c r="AB516" i="9"/>
  <c r="AA516" i="9"/>
  <c r="Z516" i="9"/>
  <c r="Y516" i="9"/>
  <c r="X516" i="9"/>
  <c r="W516" i="9"/>
  <c r="V516" i="9"/>
  <c r="U516" i="9"/>
  <c r="T516" i="9"/>
  <c r="S516" i="9"/>
  <c r="R516" i="9"/>
  <c r="Q516" i="9"/>
  <c r="Q514" i="8"/>
  <c r="AU514" i="8"/>
  <c r="AU516" i="20" s="1"/>
  <c r="AT514" i="8"/>
  <c r="AT516" i="20"/>
  <c r="AS514" i="8"/>
  <c r="AS516" i="20" s="1"/>
  <c r="AR514" i="8"/>
  <c r="AR516" i="20" s="1"/>
  <c r="AQ514" i="8"/>
  <c r="AP514" i="8"/>
  <c r="AO514" i="8"/>
  <c r="AN514" i="8"/>
  <c r="AM514" i="8"/>
  <c r="AL514" i="8"/>
  <c r="AK514" i="8"/>
  <c r="AJ514" i="8"/>
  <c r="AI514" i="8"/>
  <c r="AH514" i="8"/>
  <c r="AG514" i="8"/>
  <c r="AF514" i="8"/>
  <c r="AE514" i="8"/>
  <c r="AD514" i="8"/>
  <c r="AC514" i="8"/>
  <c r="AB514" i="8"/>
  <c r="AA514" i="8"/>
  <c r="Z514" i="8"/>
  <c r="Y514" i="8"/>
  <c r="X514" i="8"/>
  <c r="W514" i="8"/>
  <c r="V514" i="8"/>
  <c r="U514" i="8"/>
  <c r="T514" i="8"/>
  <c r="S514" i="8"/>
  <c r="R514" i="8"/>
  <c r="AU512" i="20"/>
  <c r="AT512" i="20"/>
  <c r="AS512" i="20"/>
  <c r="AR512" i="20"/>
  <c r="AQ512" i="20"/>
  <c r="AP512" i="20"/>
  <c r="AO512" i="20"/>
  <c r="AN512" i="20"/>
  <c r="AM512" i="20"/>
  <c r="AL512" i="20"/>
  <c r="AK512" i="20"/>
  <c r="AJ512" i="20"/>
  <c r="AI512" i="20"/>
  <c r="AH512" i="20"/>
  <c r="AG512" i="20"/>
  <c r="AF512" i="20"/>
  <c r="AE512" i="20"/>
  <c r="AD512" i="20"/>
  <c r="AC512" i="20"/>
  <c r="AB512" i="20"/>
  <c r="AA512" i="20"/>
  <c r="Z512" i="20"/>
  <c r="Y512" i="20"/>
  <c r="X512" i="20"/>
  <c r="W512" i="20"/>
  <c r="V512" i="20"/>
  <c r="U512" i="20"/>
  <c r="T512" i="20"/>
  <c r="S512" i="20"/>
  <c r="R512" i="20"/>
  <c r="Q512" i="20"/>
  <c r="AU511" i="20"/>
  <c r="AT511" i="20"/>
  <c r="AS511" i="20"/>
  <c r="AR511" i="20"/>
  <c r="AQ511" i="20"/>
  <c r="AP511" i="20"/>
  <c r="AO511" i="20"/>
  <c r="AN511" i="20"/>
  <c r="AM511" i="20"/>
  <c r="AL511" i="20"/>
  <c r="AK511" i="20"/>
  <c r="AJ511" i="20"/>
  <c r="AI511" i="20"/>
  <c r="AH511" i="20"/>
  <c r="AG511" i="20"/>
  <c r="AF511" i="20"/>
  <c r="AE511" i="20"/>
  <c r="AD511" i="20"/>
  <c r="AC511" i="20"/>
  <c r="AB511" i="20"/>
  <c r="AA511" i="20"/>
  <c r="Z511" i="20"/>
  <c r="Y511" i="20"/>
  <c r="X511" i="20"/>
  <c r="W511" i="20"/>
  <c r="V511" i="20"/>
  <c r="U511" i="20"/>
  <c r="T511" i="20"/>
  <c r="S511" i="20"/>
  <c r="R511" i="20"/>
  <c r="Q511" i="20"/>
  <c r="AP513" i="9"/>
  <c r="AO513" i="9"/>
  <c r="AN513" i="9"/>
  <c r="AM513" i="9"/>
  <c r="AL513" i="9"/>
  <c r="AK513" i="9"/>
  <c r="AJ513" i="9"/>
  <c r="AI513" i="9"/>
  <c r="AH513" i="9"/>
  <c r="AG513" i="9"/>
  <c r="AF513" i="9"/>
  <c r="AE513" i="9"/>
  <c r="AD513" i="9"/>
  <c r="AC513" i="9"/>
  <c r="AB513" i="9"/>
  <c r="AA513" i="9"/>
  <c r="Z513" i="9"/>
  <c r="Y513" i="9"/>
  <c r="X513" i="9"/>
  <c r="W513" i="9"/>
  <c r="V513" i="9"/>
  <c r="U513" i="9"/>
  <c r="T513" i="9"/>
  <c r="S513" i="9"/>
  <c r="R513" i="9"/>
  <c r="Q513" i="9"/>
  <c r="AQ17" i="22"/>
  <c r="AU511" i="8"/>
  <c r="AU513" i="20" s="1"/>
  <c r="AT511" i="8"/>
  <c r="AT513" i="20" s="1"/>
  <c r="AS511" i="8"/>
  <c r="AS513" i="20" s="1"/>
  <c r="AR511" i="8"/>
  <c r="AR513" i="20"/>
  <c r="AQ511" i="8"/>
  <c r="AQ513" i="20" s="1"/>
  <c r="AP511" i="8"/>
  <c r="AO511" i="8"/>
  <c r="AN511" i="8"/>
  <c r="AM511" i="8"/>
  <c r="AL511" i="8"/>
  <c r="AK511" i="8"/>
  <c r="AJ511" i="8"/>
  <c r="AI511" i="8"/>
  <c r="AH511" i="8"/>
  <c r="AG511" i="8"/>
  <c r="AF511" i="8"/>
  <c r="AE511" i="8"/>
  <c r="AD511" i="8"/>
  <c r="AC511" i="8"/>
  <c r="AB511" i="8"/>
  <c r="AA511" i="8"/>
  <c r="Z511" i="8"/>
  <c r="Y511" i="8"/>
  <c r="X511" i="8"/>
  <c r="W511" i="8"/>
  <c r="V511" i="8"/>
  <c r="U511" i="8"/>
  <c r="T511" i="8"/>
  <c r="S511" i="8"/>
  <c r="R511" i="8"/>
  <c r="Q511" i="8"/>
  <c r="AO17" i="21"/>
  <c r="AU508" i="20"/>
  <c r="AU509" i="20"/>
  <c r="AT509" i="20"/>
  <c r="AS509" i="20"/>
  <c r="AR509" i="20"/>
  <c r="AQ509" i="20"/>
  <c r="AP509" i="20"/>
  <c r="AO509" i="20"/>
  <c r="AN509" i="20"/>
  <c r="AM509" i="20"/>
  <c r="AL509" i="20"/>
  <c r="AK509" i="20"/>
  <c r="AJ509" i="20"/>
  <c r="AI509" i="20"/>
  <c r="AH509" i="20"/>
  <c r="AG509" i="20"/>
  <c r="AF509" i="20"/>
  <c r="AE509" i="20"/>
  <c r="AD509" i="20"/>
  <c r="AC509" i="20"/>
  <c r="AB509" i="20"/>
  <c r="AA509" i="20"/>
  <c r="Z509" i="20"/>
  <c r="Y509" i="20"/>
  <c r="X509" i="20"/>
  <c r="W509" i="20"/>
  <c r="V509" i="20"/>
  <c r="U509" i="20"/>
  <c r="T509" i="20"/>
  <c r="S509" i="20"/>
  <c r="R509" i="20"/>
  <c r="Q509" i="20"/>
  <c r="AT508" i="20"/>
  <c r="AS508" i="20"/>
  <c r="AR508" i="20"/>
  <c r="AQ508" i="20"/>
  <c r="AP508" i="20"/>
  <c r="AO508" i="20"/>
  <c r="AN508" i="20"/>
  <c r="AM508" i="20"/>
  <c r="AL508" i="20"/>
  <c r="AK508" i="20"/>
  <c r="AJ508" i="20"/>
  <c r="AI508" i="20"/>
  <c r="AH508" i="20"/>
  <c r="AG508" i="20"/>
  <c r="AF508" i="20"/>
  <c r="AE508" i="20"/>
  <c r="AD508" i="20"/>
  <c r="AC508" i="20"/>
  <c r="AB508" i="20"/>
  <c r="AA508" i="20"/>
  <c r="Z508" i="20"/>
  <c r="Y508" i="20"/>
  <c r="X508" i="20"/>
  <c r="W508" i="20"/>
  <c r="V508" i="20"/>
  <c r="U508" i="20"/>
  <c r="T508" i="20"/>
  <c r="S508" i="20"/>
  <c r="R508" i="20"/>
  <c r="Q508" i="20"/>
  <c r="R510" i="9"/>
  <c r="S510" i="9"/>
  <c r="T510" i="9"/>
  <c r="U510" i="9"/>
  <c r="V510" i="9"/>
  <c r="W510" i="9"/>
  <c r="X510" i="9"/>
  <c r="Y510" i="9"/>
  <c r="Z510" i="9"/>
  <c r="AA510" i="9"/>
  <c r="AB510" i="9"/>
  <c r="AC510" i="9"/>
  <c r="AD510" i="9"/>
  <c r="AE510" i="9"/>
  <c r="AF510" i="9"/>
  <c r="AG510" i="9"/>
  <c r="AH510" i="9"/>
  <c r="AI510" i="9"/>
  <c r="AJ510" i="9"/>
  <c r="AK510" i="9"/>
  <c r="AL510" i="9"/>
  <c r="AM510" i="9"/>
  <c r="AN510" i="9"/>
  <c r="AO510" i="9"/>
  <c r="AP510" i="9"/>
  <c r="Q510" i="9"/>
  <c r="R508" i="8"/>
  <c r="S508" i="8"/>
  <c r="T508" i="8"/>
  <c r="U508" i="8"/>
  <c r="V508" i="8"/>
  <c r="W508" i="8"/>
  <c r="X508" i="8"/>
  <c r="Y508" i="8"/>
  <c r="Z508" i="8"/>
  <c r="AA508" i="8"/>
  <c r="AB508" i="8"/>
  <c r="AC508" i="8"/>
  <c r="AD508" i="8"/>
  <c r="AE508" i="8"/>
  <c r="AF508" i="8"/>
  <c r="AG508" i="8"/>
  <c r="AH508" i="8"/>
  <c r="AI508" i="8"/>
  <c r="AJ508" i="8"/>
  <c r="AK508" i="8"/>
  <c r="AL508" i="8"/>
  <c r="AM508" i="8"/>
  <c r="AN508" i="8"/>
  <c r="AN510" i="20" s="1"/>
  <c r="AO508" i="8"/>
  <c r="AP508" i="8"/>
  <c r="AQ508" i="8"/>
  <c r="AQ510" i="20"/>
  <c r="AR508" i="8"/>
  <c r="AR510" i="20"/>
  <c r="AS508" i="8"/>
  <c r="AT508" i="8"/>
  <c r="AT510" i="20" s="1"/>
  <c r="AU508" i="8"/>
  <c r="AU510" i="20" s="1"/>
  <c r="Q508" i="8"/>
  <c r="AT497" i="20"/>
  <c r="AS497" i="20"/>
  <c r="AR497" i="20"/>
  <c r="AQ497" i="20"/>
  <c r="AP497" i="20"/>
  <c r="AO497" i="20"/>
  <c r="AN497" i="20"/>
  <c r="AM497" i="20"/>
  <c r="AL497" i="20"/>
  <c r="AK497" i="20"/>
  <c r="AJ497" i="20"/>
  <c r="AI497" i="20"/>
  <c r="AH497" i="20"/>
  <c r="AG497" i="20"/>
  <c r="AF497" i="20"/>
  <c r="AE497" i="20"/>
  <c r="AD497" i="20"/>
  <c r="AC497" i="20"/>
  <c r="AB497" i="20"/>
  <c r="AA497" i="20"/>
  <c r="Z497" i="20"/>
  <c r="Y497" i="20"/>
  <c r="X497" i="20"/>
  <c r="W497" i="20"/>
  <c r="V497" i="20"/>
  <c r="U497" i="20"/>
  <c r="T497" i="20"/>
  <c r="S497" i="20"/>
  <c r="R497" i="20"/>
  <c r="Q497" i="20"/>
  <c r="P497" i="20"/>
  <c r="AT496" i="20"/>
  <c r="AS496" i="20"/>
  <c r="AR496" i="20"/>
  <c r="AQ496" i="20"/>
  <c r="AP496" i="20"/>
  <c r="AO496" i="20"/>
  <c r="AN496" i="20"/>
  <c r="AM496" i="20"/>
  <c r="AL496" i="20"/>
  <c r="AK496" i="20"/>
  <c r="AJ496" i="20"/>
  <c r="AI496" i="20"/>
  <c r="AH496" i="20"/>
  <c r="AG496" i="20"/>
  <c r="AF496" i="20"/>
  <c r="AE496" i="20"/>
  <c r="AD496" i="20"/>
  <c r="AC496" i="20"/>
  <c r="AB496" i="20"/>
  <c r="AA496" i="20"/>
  <c r="Z496" i="20"/>
  <c r="Y496" i="20"/>
  <c r="X496" i="20"/>
  <c r="W496" i="20"/>
  <c r="V496" i="20"/>
  <c r="U496" i="20"/>
  <c r="T496" i="20"/>
  <c r="S496" i="20"/>
  <c r="R496" i="20"/>
  <c r="Q496" i="20"/>
  <c r="P496" i="20"/>
  <c r="AT494" i="20"/>
  <c r="AS494" i="20"/>
  <c r="AR494" i="20"/>
  <c r="AQ494" i="20"/>
  <c r="AP494" i="20"/>
  <c r="AO494" i="20"/>
  <c r="AN494" i="20"/>
  <c r="AM494" i="20"/>
  <c r="AL494" i="20"/>
  <c r="AK494" i="20"/>
  <c r="AJ494" i="20"/>
  <c r="AI494" i="20"/>
  <c r="AH494" i="20"/>
  <c r="AG494" i="20"/>
  <c r="AF494" i="20"/>
  <c r="AE494" i="20"/>
  <c r="AD494" i="20"/>
  <c r="AC494" i="20"/>
  <c r="AB494" i="20"/>
  <c r="AA494" i="20"/>
  <c r="Z494" i="20"/>
  <c r="Y494" i="20"/>
  <c r="X494" i="20"/>
  <c r="W494" i="20"/>
  <c r="V494" i="20"/>
  <c r="U494" i="20"/>
  <c r="T494" i="20"/>
  <c r="S494" i="20"/>
  <c r="R494" i="20"/>
  <c r="Q494" i="20"/>
  <c r="P494" i="20"/>
  <c r="AT493" i="20"/>
  <c r="AS493" i="20"/>
  <c r="AR493" i="20"/>
  <c r="AQ493" i="20"/>
  <c r="AP493" i="20"/>
  <c r="AO493" i="20"/>
  <c r="AN493" i="20"/>
  <c r="AM493" i="20"/>
  <c r="AL493" i="20"/>
  <c r="AK493" i="20"/>
  <c r="AJ493" i="20"/>
  <c r="AI493" i="20"/>
  <c r="AH493" i="20"/>
  <c r="AG493" i="20"/>
  <c r="AF493" i="20"/>
  <c r="AE493" i="20"/>
  <c r="AD493" i="20"/>
  <c r="AC493" i="20"/>
  <c r="AB493" i="20"/>
  <c r="AA493" i="20"/>
  <c r="Z493" i="20"/>
  <c r="Y493" i="20"/>
  <c r="X493" i="20"/>
  <c r="W493" i="20"/>
  <c r="V493" i="20"/>
  <c r="U493" i="20"/>
  <c r="T493" i="20"/>
  <c r="S493" i="20"/>
  <c r="R493" i="20"/>
  <c r="Q493" i="20"/>
  <c r="P493" i="20"/>
  <c r="AT491" i="20"/>
  <c r="AS491" i="20"/>
  <c r="AR491" i="20"/>
  <c r="AQ491" i="20"/>
  <c r="AP491" i="20"/>
  <c r="AO491" i="20"/>
  <c r="AN491" i="20"/>
  <c r="AM491" i="20"/>
  <c r="AL491" i="20"/>
  <c r="AK491" i="20"/>
  <c r="AJ491" i="20"/>
  <c r="AI491" i="20"/>
  <c r="AH491" i="20"/>
  <c r="AG491" i="20"/>
  <c r="AF491" i="20"/>
  <c r="AE491" i="20"/>
  <c r="AD491" i="20"/>
  <c r="AC491" i="20"/>
  <c r="AB491" i="20"/>
  <c r="AA491" i="20"/>
  <c r="Z491" i="20"/>
  <c r="Y491" i="20"/>
  <c r="X491" i="20"/>
  <c r="W491" i="20"/>
  <c r="V491" i="20"/>
  <c r="U491" i="20"/>
  <c r="T491" i="20"/>
  <c r="S491" i="20"/>
  <c r="R491" i="20"/>
  <c r="Q491" i="20"/>
  <c r="P491" i="20"/>
  <c r="AT490" i="20"/>
  <c r="AS490" i="20"/>
  <c r="AR490" i="20"/>
  <c r="AQ490" i="20"/>
  <c r="AP490" i="20"/>
  <c r="AO490" i="20"/>
  <c r="AN490" i="20"/>
  <c r="AM490" i="20"/>
  <c r="AL490" i="20"/>
  <c r="AK490" i="20"/>
  <c r="AJ490" i="20"/>
  <c r="AI490" i="20"/>
  <c r="AH490" i="20"/>
  <c r="AG490" i="20"/>
  <c r="AF490" i="20"/>
  <c r="AE490" i="20"/>
  <c r="AD490" i="20"/>
  <c r="AC490" i="20"/>
  <c r="AB490" i="20"/>
  <c r="AA490" i="20"/>
  <c r="Z490" i="20"/>
  <c r="Y490" i="20"/>
  <c r="X490" i="20"/>
  <c r="W490" i="20"/>
  <c r="V490" i="20"/>
  <c r="U490" i="20"/>
  <c r="T490" i="20"/>
  <c r="S490" i="20"/>
  <c r="R490" i="20"/>
  <c r="Q490" i="20"/>
  <c r="P490" i="20"/>
  <c r="AO507" i="9"/>
  <c r="AN507" i="9"/>
  <c r="AM507" i="9"/>
  <c r="AL507" i="9"/>
  <c r="AK507" i="9"/>
  <c r="AJ507" i="9"/>
  <c r="AJ507" i="20" s="1"/>
  <c r="AI507" i="9"/>
  <c r="AH507" i="9"/>
  <c r="AG507" i="9"/>
  <c r="AF507" i="9"/>
  <c r="AE507" i="9"/>
  <c r="AD507" i="9"/>
  <c r="AD507" i="20" s="1"/>
  <c r="AC507" i="9"/>
  <c r="AB507" i="9"/>
  <c r="AA507" i="9"/>
  <c r="Z507" i="9"/>
  <c r="Y507" i="9"/>
  <c r="X507" i="9"/>
  <c r="W507" i="9"/>
  <c r="V507" i="9"/>
  <c r="U507" i="9"/>
  <c r="T507" i="9"/>
  <c r="S507" i="9"/>
  <c r="R507" i="9"/>
  <c r="Q507" i="9"/>
  <c r="P507" i="9"/>
  <c r="AO504" i="9"/>
  <c r="AN504" i="9"/>
  <c r="AN504" i="20" s="1"/>
  <c r="AM504" i="9"/>
  <c r="AL504" i="9"/>
  <c r="AK504" i="9"/>
  <c r="AJ504" i="9"/>
  <c r="AI504" i="9"/>
  <c r="AH504" i="9"/>
  <c r="AG504" i="9"/>
  <c r="AF504" i="9"/>
  <c r="AE504" i="9"/>
  <c r="AD504" i="9"/>
  <c r="AC504" i="9"/>
  <c r="AB504" i="9"/>
  <c r="AA504" i="9"/>
  <c r="Z504" i="9"/>
  <c r="Y504" i="9"/>
  <c r="X504" i="9"/>
  <c r="X9" i="21" s="1"/>
  <c r="W504" i="9"/>
  <c r="V504" i="9"/>
  <c r="U504" i="9"/>
  <c r="T504" i="9"/>
  <c r="S504" i="9"/>
  <c r="R504" i="9"/>
  <c r="Q504" i="9"/>
  <c r="P504" i="9"/>
  <c r="AO501" i="9"/>
  <c r="AN501" i="9"/>
  <c r="AM501" i="9"/>
  <c r="AL501" i="9"/>
  <c r="AK501" i="9"/>
  <c r="AJ501" i="9"/>
  <c r="AI501" i="9"/>
  <c r="AH501" i="9"/>
  <c r="AG501" i="9"/>
  <c r="AF501" i="9"/>
  <c r="AE501" i="9"/>
  <c r="AD501" i="9"/>
  <c r="AC501" i="9"/>
  <c r="AB501" i="9"/>
  <c r="AA501" i="9"/>
  <c r="Z501" i="9"/>
  <c r="Y501" i="9"/>
  <c r="X501" i="9"/>
  <c r="W501" i="9"/>
  <c r="V501" i="9"/>
  <c r="U501" i="9"/>
  <c r="T501" i="9"/>
  <c r="S501" i="9"/>
  <c r="R501" i="9"/>
  <c r="Q501" i="9"/>
  <c r="P501" i="9"/>
  <c r="AO498" i="9"/>
  <c r="AN498" i="9"/>
  <c r="AM498" i="9"/>
  <c r="AL498" i="9"/>
  <c r="AK498" i="9"/>
  <c r="AJ498" i="9"/>
  <c r="AI498" i="9"/>
  <c r="AH498" i="9"/>
  <c r="AG498" i="9"/>
  <c r="AF498" i="9"/>
  <c r="AE498" i="9"/>
  <c r="AD498" i="9"/>
  <c r="AC498" i="9"/>
  <c r="AB498" i="9"/>
  <c r="AA498" i="9"/>
  <c r="Z498" i="9"/>
  <c r="Y498" i="9"/>
  <c r="X498" i="9"/>
  <c r="W498" i="9"/>
  <c r="V498" i="9"/>
  <c r="U498" i="9"/>
  <c r="T498" i="9"/>
  <c r="S498" i="9"/>
  <c r="R498" i="9"/>
  <c r="Q498" i="9"/>
  <c r="P498" i="9"/>
  <c r="AO495" i="9"/>
  <c r="AN495" i="9"/>
  <c r="AM495" i="9"/>
  <c r="AL495" i="9"/>
  <c r="AL9" i="21" s="1"/>
  <c r="AK495" i="9"/>
  <c r="AJ495" i="9"/>
  <c r="AI495" i="9"/>
  <c r="AH495" i="9"/>
  <c r="AG495" i="9"/>
  <c r="AF495" i="9"/>
  <c r="AE495" i="9"/>
  <c r="AD495" i="9"/>
  <c r="AC495" i="9"/>
  <c r="AB495" i="9"/>
  <c r="AA495" i="9"/>
  <c r="Z495" i="9"/>
  <c r="Y495" i="9"/>
  <c r="X495" i="9"/>
  <c r="W495" i="9"/>
  <c r="V495" i="9"/>
  <c r="V495" i="20" s="1"/>
  <c r="U495" i="9"/>
  <c r="T495" i="9"/>
  <c r="S495" i="9"/>
  <c r="R495" i="9"/>
  <c r="Q495" i="9"/>
  <c r="P495" i="9"/>
  <c r="AT506" i="20"/>
  <c r="AS506" i="20"/>
  <c r="AR506" i="20"/>
  <c r="AQ506" i="20"/>
  <c r="AP506" i="20"/>
  <c r="AO506" i="20"/>
  <c r="AN506" i="20"/>
  <c r="AM506" i="20"/>
  <c r="AL506" i="20"/>
  <c r="AK506" i="20"/>
  <c r="AJ506" i="20"/>
  <c r="AI506" i="20"/>
  <c r="AH506" i="20"/>
  <c r="AG506" i="20"/>
  <c r="AF506" i="20"/>
  <c r="AE506" i="20"/>
  <c r="AD506" i="20"/>
  <c r="AC506" i="20"/>
  <c r="AB506" i="20"/>
  <c r="AA506" i="20"/>
  <c r="Z506" i="20"/>
  <c r="Y506" i="20"/>
  <c r="X506" i="20"/>
  <c r="W506" i="20"/>
  <c r="V506" i="20"/>
  <c r="U506" i="20"/>
  <c r="T506" i="20"/>
  <c r="S506" i="20"/>
  <c r="R506" i="20"/>
  <c r="Q506" i="20"/>
  <c r="P506" i="20"/>
  <c r="AT505" i="20"/>
  <c r="AS505" i="20"/>
  <c r="AR505" i="20"/>
  <c r="AQ505" i="20"/>
  <c r="AP505" i="20"/>
  <c r="AO505" i="20"/>
  <c r="AN505" i="20"/>
  <c r="AM505" i="20"/>
  <c r="AL505" i="20"/>
  <c r="AK505" i="20"/>
  <c r="AJ505" i="20"/>
  <c r="AI505" i="20"/>
  <c r="AH505" i="20"/>
  <c r="AG505" i="20"/>
  <c r="AF505" i="20"/>
  <c r="AE505" i="20"/>
  <c r="AD505" i="20"/>
  <c r="AC505" i="20"/>
  <c r="AB505" i="20"/>
  <c r="AA505" i="20"/>
  <c r="Z505" i="20"/>
  <c r="Y505" i="20"/>
  <c r="X505" i="20"/>
  <c r="W505" i="20"/>
  <c r="V505" i="20"/>
  <c r="U505" i="20"/>
  <c r="T505" i="20"/>
  <c r="S505" i="20"/>
  <c r="R505" i="20"/>
  <c r="Q505" i="20"/>
  <c r="P505" i="20"/>
  <c r="AT505" i="8"/>
  <c r="AT507" i="20"/>
  <c r="AS505" i="8"/>
  <c r="AS507" i="20" s="1"/>
  <c r="AR505" i="8"/>
  <c r="AR507" i="20"/>
  <c r="AQ505" i="8"/>
  <c r="AQ507" i="20"/>
  <c r="AP505" i="8"/>
  <c r="AP507" i="20"/>
  <c r="AO505" i="8"/>
  <c r="AN505" i="8"/>
  <c r="AM505" i="8"/>
  <c r="AL505" i="8"/>
  <c r="AK505" i="8"/>
  <c r="AJ505" i="8"/>
  <c r="AI505" i="8"/>
  <c r="AH505" i="8"/>
  <c r="AG505" i="8"/>
  <c r="AF505" i="8"/>
  <c r="AE505" i="8"/>
  <c r="AD505" i="8"/>
  <c r="AC505" i="8"/>
  <c r="AB505" i="8"/>
  <c r="AB507" i="20"/>
  <c r="AA505" i="8"/>
  <c r="Z505" i="8"/>
  <c r="Y505" i="8"/>
  <c r="X505" i="8"/>
  <c r="W505" i="8"/>
  <c r="V505" i="8"/>
  <c r="U505" i="8"/>
  <c r="T505" i="8"/>
  <c r="S505" i="8"/>
  <c r="R505" i="8"/>
  <c r="Q505" i="8"/>
  <c r="P505" i="8"/>
  <c r="P507" i="20"/>
  <c r="AT503" i="20"/>
  <c r="AS503" i="20"/>
  <c r="AR503" i="20"/>
  <c r="AQ503" i="20"/>
  <c r="AP503" i="20"/>
  <c r="AO503" i="20"/>
  <c r="AN503" i="20"/>
  <c r="AM503" i="20"/>
  <c r="AL503" i="20"/>
  <c r="AK503" i="20"/>
  <c r="AJ503" i="20"/>
  <c r="AI503" i="20"/>
  <c r="AH503" i="20"/>
  <c r="AG503" i="20"/>
  <c r="AF503" i="20"/>
  <c r="AE503" i="20"/>
  <c r="AD503" i="20"/>
  <c r="AC503" i="20"/>
  <c r="AB503" i="20"/>
  <c r="AA503" i="20"/>
  <c r="Z503" i="20"/>
  <c r="Y503" i="20"/>
  <c r="X503" i="20"/>
  <c r="W503" i="20"/>
  <c r="V503" i="20"/>
  <c r="U503" i="20"/>
  <c r="T503" i="20"/>
  <c r="S503" i="20"/>
  <c r="R503" i="20"/>
  <c r="Q503" i="20"/>
  <c r="P503" i="20"/>
  <c r="AT502" i="20"/>
  <c r="AS502" i="20"/>
  <c r="AR502" i="20"/>
  <c r="AQ502" i="20"/>
  <c r="AP502" i="20"/>
  <c r="AO502" i="20"/>
  <c r="AN502" i="20"/>
  <c r="AM502" i="20"/>
  <c r="AL502" i="20"/>
  <c r="AK502" i="20"/>
  <c r="AJ502" i="20"/>
  <c r="AI502" i="20"/>
  <c r="AH502" i="20"/>
  <c r="AG502" i="20"/>
  <c r="AF502" i="20"/>
  <c r="AE502" i="20"/>
  <c r="AD502" i="20"/>
  <c r="AC502" i="20"/>
  <c r="AB502" i="20"/>
  <c r="AA502" i="20"/>
  <c r="Z502" i="20"/>
  <c r="Y502" i="20"/>
  <c r="X502" i="20"/>
  <c r="W502" i="20"/>
  <c r="V502" i="20"/>
  <c r="U502" i="20"/>
  <c r="T502" i="20"/>
  <c r="S502" i="20"/>
  <c r="R502" i="20"/>
  <c r="Q502" i="20"/>
  <c r="P502" i="20"/>
  <c r="P499" i="8"/>
  <c r="Q499" i="8"/>
  <c r="R499" i="8"/>
  <c r="S499" i="8"/>
  <c r="T499" i="8"/>
  <c r="U499" i="8"/>
  <c r="V499" i="8"/>
  <c r="W499" i="8"/>
  <c r="X499" i="8"/>
  <c r="Y499" i="8"/>
  <c r="Y501" i="20" s="1"/>
  <c r="Z499" i="8"/>
  <c r="AA499" i="8"/>
  <c r="AB499" i="8"/>
  <c r="AC499" i="8"/>
  <c r="AD499" i="8"/>
  <c r="AE499" i="8"/>
  <c r="AF499" i="8"/>
  <c r="AG499" i="8"/>
  <c r="AH499" i="8"/>
  <c r="AI499" i="8"/>
  <c r="AJ499" i="8"/>
  <c r="AK499" i="8"/>
  <c r="AK501" i="20"/>
  <c r="AL499" i="8"/>
  <c r="AM499" i="8"/>
  <c r="AM501" i="20" s="1"/>
  <c r="AN499" i="8"/>
  <c r="AO499" i="8"/>
  <c r="AP499" i="8"/>
  <c r="AP501" i="20"/>
  <c r="AQ499" i="8"/>
  <c r="AR499" i="8"/>
  <c r="AR501" i="20"/>
  <c r="AS499" i="8"/>
  <c r="AS501" i="20" s="1"/>
  <c r="AT499" i="8"/>
  <c r="AT501" i="20"/>
  <c r="P502" i="8"/>
  <c r="AT502" i="8"/>
  <c r="AT504" i="20"/>
  <c r="AS502" i="8"/>
  <c r="AS504" i="20"/>
  <c r="AR502" i="8"/>
  <c r="AR504" i="20" s="1"/>
  <c r="AQ502" i="8"/>
  <c r="AQ504" i="20"/>
  <c r="AP502" i="8"/>
  <c r="AP504" i="20" s="1"/>
  <c r="AO502" i="8"/>
  <c r="AN502" i="8"/>
  <c r="AM502" i="8"/>
  <c r="AL502" i="8"/>
  <c r="AK502" i="8"/>
  <c r="AJ502" i="8"/>
  <c r="AI502" i="8"/>
  <c r="AH502" i="8"/>
  <c r="AG502" i="8"/>
  <c r="AF502" i="8"/>
  <c r="AE502" i="8"/>
  <c r="AD502" i="8"/>
  <c r="AC502" i="8"/>
  <c r="AC504" i="20" s="1"/>
  <c r="AB502" i="8"/>
  <c r="AA502" i="8"/>
  <c r="Z502" i="8"/>
  <c r="Y502" i="8"/>
  <c r="X502" i="8"/>
  <c r="W502" i="8"/>
  <c r="V502" i="8"/>
  <c r="U502" i="8"/>
  <c r="T502" i="8"/>
  <c r="S502" i="8"/>
  <c r="R502" i="8"/>
  <c r="Q502" i="8"/>
  <c r="AT466" i="8"/>
  <c r="AS466" i="8"/>
  <c r="AR466" i="8"/>
  <c r="AQ466" i="8"/>
  <c r="AP466" i="8"/>
  <c r="AO466" i="8"/>
  <c r="AN466" i="8"/>
  <c r="AM466" i="8"/>
  <c r="AL466" i="8"/>
  <c r="AK466" i="8"/>
  <c r="AJ466" i="8"/>
  <c r="AI466" i="8"/>
  <c r="AH466" i="8"/>
  <c r="AG466" i="8"/>
  <c r="AF466" i="8"/>
  <c r="AE466" i="8"/>
  <c r="AD466" i="8"/>
  <c r="AC466" i="8"/>
  <c r="AB466" i="8"/>
  <c r="AA466" i="8"/>
  <c r="Z466" i="8"/>
  <c r="Y466" i="8"/>
  <c r="X466" i="8"/>
  <c r="W466" i="8"/>
  <c r="V466" i="8"/>
  <c r="U466" i="8"/>
  <c r="T466" i="8"/>
  <c r="S466" i="8"/>
  <c r="R466" i="8"/>
  <c r="Q466" i="8"/>
  <c r="P466" i="8"/>
  <c r="O466" i="8"/>
  <c r="O469" i="8"/>
  <c r="AT469" i="8"/>
  <c r="AS469" i="8"/>
  <c r="AR469" i="8"/>
  <c r="AQ469" i="8"/>
  <c r="AP469" i="8"/>
  <c r="AO469" i="8"/>
  <c r="AN469" i="8"/>
  <c r="AM469" i="8"/>
  <c r="AL469" i="8"/>
  <c r="AK469" i="8"/>
  <c r="AJ469" i="8"/>
  <c r="AI469" i="8"/>
  <c r="AH469" i="8"/>
  <c r="AG469" i="8"/>
  <c r="AF469" i="8"/>
  <c r="AE469" i="8"/>
  <c r="AD469" i="8"/>
  <c r="AC469" i="8"/>
  <c r="AB469" i="8"/>
  <c r="AA469" i="8"/>
  <c r="Z469" i="8"/>
  <c r="Y469" i="8"/>
  <c r="X469" i="8"/>
  <c r="W469" i="8"/>
  <c r="V469" i="8"/>
  <c r="U469" i="8"/>
  <c r="T469" i="8"/>
  <c r="S469" i="8"/>
  <c r="R469" i="8"/>
  <c r="Q469" i="8"/>
  <c r="P469" i="8"/>
  <c r="AT472" i="8"/>
  <c r="AS472" i="8"/>
  <c r="AR472" i="8"/>
  <c r="AQ472" i="8"/>
  <c r="AP472" i="8"/>
  <c r="AO472" i="8"/>
  <c r="AN472" i="8"/>
  <c r="AM472" i="8"/>
  <c r="AL472" i="8"/>
  <c r="AK472" i="8"/>
  <c r="AJ472" i="8"/>
  <c r="AI472" i="8"/>
  <c r="AH472" i="8"/>
  <c r="AG472" i="8"/>
  <c r="AF472" i="8"/>
  <c r="AE472" i="8"/>
  <c r="AD472" i="8"/>
  <c r="AC472" i="8"/>
  <c r="AB472" i="8"/>
  <c r="AA472" i="8"/>
  <c r="Z472" i="8"/>
  <c r="Y472" i="8"/>
  <c r="X472" i="8"/>
  <c r="W472" i="8"/>
  <c r="V472" i="8"/>
  <c r="U472" i="8"/>
  <c r="T472" i="8"/>
  <c r="S472" i="8"/>
  <c r="R472" i="8"/>
  <c r="Q472" i="8"/>
  <c r="P472" i="8"/>
  <c r="AT475" i="8"/>
  <c r="AS475" i="8"/>
  <c r="AR475" i="8"/>
  <c r="AQ475" i="8"/>
  <c r="AP475" i="8"/>
  <c r="AO475" i="8"/>
  <c r="AN475" i="8"/>
  <c r="AM475" i="8"/>
  <c r="AL475" i="8"/>
  <c r="AK475" i="8"/>
  <c r="AJ475" i="8"/>
  <c r="AI475" i="8"/>
  <c r="AH475" i="8"/>
  <c r="AG475" i="8"/>
  <c r="AF475" i="8"/>
  <c r="AE475" i="8"/>
  <c r="AD475" i="8"/>
  <c r="AC475" i="8"/>
  <c r="AB475" i="8"/>
  <c r="AA475" i="8"/>
  <c r="Z475" i="8"/>
  <c r="Y475" i="8"/>
  <c r="X475" i="8"/>
  <c r="W475" i="8"/>
  <c r="V475" i="8"/>
  <c r="U475" i="8"/>
  <c r="T475" i="8"/>
  <c r="S475" i="8"/>
  <c r="R475" i="8"/>
  <c r="Q475" i="8"/>
  <c r="P475" i="8"/>
  <c r="AT478" i="8"/>
  <c r="AS478" i="8"/>
  <c r="AR478" i="8"/>
  <c r="AQ478" i="8"/>
  <c r="AP478" i="8"/>
  <c r="AO478" i="8"/>
  <c r="AN478" i="8"/>
  <c r="AM478" i="8"/>
  <c r="AL478" i="8"/>
  <c r="AK478" i="8"/>
  <c r="AJ478" i="8"/>
  <c r="AI478" i="8"/>
  <c r="AH478" i="8"/>
  <c r="AG478" i="8"/>
  <c r="AF478" i="8"/>
  <c r="AE478" i="8"/>
  <c r="AD478" i="8"/>
  <c r="AC478" i="8"/>
  <c r="AB478" i="8"/>
  <c r="AA478" i="8"/>
  <c r="Z478" i="8"/>
  <c r="Y478" i="8"/>
  <c r="X478" i="8"/>
  <c r="W478" i="8"/>
  <c r="V478" i="8"/>
  <c r="U478" i="8"/>
  <c r="T478" i="8"/>
  <c r="S478" i="8"/>
  <c r="R478" i="8"/>
  <c r="Q478" i="8"/>
  <c r="P478" i="8"/>
  <c r="AT481" i="8"/>
  <c r="AS481" i="8"/>
  <c r="AR481" i="8"/>
  <c r="AQ481" i="8"/>
  <c r="AP481" i="8"/>
  <c r="AO481" i="8"/>
  <c r="AN481" i="8"/>
  <c r="AM481" i="8"/>
  <c r="AL481" i="8"/>
  <c r="AK481" i="8"/>
  <c r="AJ481" i="8"/>
  <c r="AI481" i="8"/>
  <c r="AH481" i="8"/>
  <c r="AG481" i="8"/>
  <c r="AF481" i="8"/>
  <c r="AE481" i="8"/>
  <c r="AD481" i="8"/>
  <c r="AC481" i="8"/>
  <c r="AB481" i="8"/>
  <c r="AA481" i="8"/>
  <c r="Z481" i="8"/>
  <c r="Y481" i="8"/>
  <c r="X481" i="8"/>
  <c r="W481" i="8"/>
  <c r="V481" i="8"/>
  <c r="U481" i="8"/>
  <c r="T481" i="8"/>
  <c r="S481" i="8"/>
  <c r="R481" i="8"/>
  <c r="Q481" i="8"/>
  <c r="P481" i="8"/>
  <c r="AT484" i="8"/>
  <c r="AS484" i="8"/>
  <c r="AR484" i="8"/>
  <c r="AQ484" i="8"/>
  <c r="AP484" i="8"/>
  <c r="AO484" i="8"/>
  <c r="AN484" i="8"/>
  <c r="AM484" i="8"/>
  <c r="AL484" i="8"/>
  <c r="AK484" i="8"/>
  <c r="AJ484" i="8"/>
  <c r="AI484" i="8"/>
  <c r="AH484" i="8"/>
  <c r="AG484" i="8"/>
  <c r="AF484" i="8"/>
  <c r="AE484" i="8"/>
  <c r="AD484" i="8"/>
  <c r="AC484" i="8"/>
  <c r="AB484" i="8"/>
  <c r="AA484" i="8"/>
  <c r="Z484" i="8"/>
  <c r="Y484" i="8"/>
  <c r="X484" i="8"/>
  <c r="W484" i="8"/>
  <c r="V484" i="8"/>
  <c r="U484" i="8"/>
  <c r="T484" i="8"/>
  <c r="S484" i="8"/>
  <c r="R484" i="8"/>
  <c r="Q484" i="8"/>
  <c r="P484" i="8"/>
  <c r="AT487" i="8"/>
  <c r="AS487" i="8"/>
  <c r="AR487" i="8"/>
  <c r="AQ487" i="8"/>
  <c r="AP487" i="8"/>
  <c r="AO487" i="8"/>
  <c r="AN487" i="8"/>
  <c r="AM487" i="8"/>
  <c r="AL487" i="8"/>
  <c r="AK487" i="8"/>
  <c r="AJ487" i="8"/>
  <c r="AI487" i="8"/>
  <c r="AH487" i="8"/>
  <c r="AG487" i="8"/>
  <c r="AF487" i="8"/>
  <c r="AE487" i="8"/>
  <c r="AD487" i="8"/>
  <c r="AC487" i="8"/>
  <c r="AB487" i="8"/>
  <c r="AA487" i="8"/>
  <c r="Z487" i="8"/>
  <c r="Y487" i="8"/>
  <c r="X487" i="8"/>
  <c r="W487" i="8"/>
  <c r="V487" i="8"/>
  <c r="U487" i="8"/>
  <c r="T487" i="8"/>
  <c r="S487" i="8"/>
  <c r="R487" i="8"/>
  <c r="Q487" i="8"/>
  <c r="P487" i="8"/>
  <c r="AT490" i="8"/>
  <c r="AT492" i="20"/>
  <c r="AS490" i="8"/>
  <c r="AS492" i="20" s="1"/>
  <c r="AR490" i="8"/>
  <c r="AR492" i="20" s="1"/>
  <c r="AQ490" i="8"/>
  <c r="AQ492" i="20" s="1"/>
  <c r="AP490" i="8"/>
  <c r="AP492" i="20" s="1"/>
  <c r="AO490" i="8"/>
  <c r="AN490" i="8"/>
  <c r="AM490" i="8"/>
  <c r="AL490" i="8"/>
  <c r="AK490" i="8"/>
  <c r="AJ490" i="8"/>
  <c r="AI490" i="8"/>
  <c r="AH490" i="8"/>
  <c r="AG490" i="8"/>
  <c r="AF490" i="8"/>
  <c r="AE490" i="8"/>
  <c r="AD490" i="8"/>
  <c r="AC490" i="8"/>
  <c r="AB490" i="8"/>
  <c r="AA490" i="8"/>
  <c r="Z490" i="8"/>
  <c r="Y490" i="8"/>
  <c r="X490" i="8"/>
  <c r="W490" i="8"/>
  <c r="V490" i="8"/>
  <c r="V492" i="20" s="1"/>
  <c r="U490" i="8"/>
  <c r="T490" i="8"/>
  <c r="S490" i="8"/>
  <c r="R490" i="8"/>
  <c r="Q490" i="8"/>
  <c r="P490" i="8"/>
  <c r="AT493" i="8"/>
  <c r="AT495" i="20"/>
  <c r="AS493" i="8"/>
  <c r="AS495" i="20" s="1"/>
  <c r="AR493" i="8"/>
  <c r="AR495" i="20"/>
  <c r="AQ493" i="8"/>
  <c r="AQ495" i="20" s="1"/>
  <c r="AP493" i="8"/>
  <c r="AP495" i="20"/>
  <c r="AO493" i="8"/>
  <c r="AN493" i="8"/>
  <c r="AM493" i="8"/>
  <c r="AL493" i="8"/>
  <c r="AK493" i="8"/>
  <c r="AJ493" i="8"/>
  <c r="AI493" i="8"/>
  <c r="AH493" i="8"/>
  <c r="AG493" i="8"/>
  <c r="AF493" i="8"/>
  <c r="AE493" i="8"/>
  <c r="AD493" i="8"/>
  <c r="AC493" i="8"/>
  <c r="AB493" i="8"/>
  <c r="AA493" i="8"/>
  <c r="Z493" i="8"/>
  <c r="Y493" i="8"/>
  <c r="X493" i="8"/>
  <c r="W493" i="8"/>
  <c r="V493" i="8"/>
  <c r="U493" i="8"/>
  <c r="T493" i="8"/>
  <c r="S493" i="8"/>
  <c r="R493" i="8"/>
  <c r="Q493" i="8"/>
  <c r="P493" i="8"/>
  <c r="AT496" i="8"/>
  <c r="AT498" i="20"/>
  <c r="AS496" i="8"/>
  <c r="AS498" i="20" s="1"/>
  <c r="AR496" i="8"/>
  <c r="AR498" i="20"/>
  <c r="AQ496" i="8"/>
  <c r="AQ498" i="20"/>
  <c r="AP496" i="8"/>
  <c r="AM9" i="22" s="1"/>
  <c r="AO496" i="8"/>
  <c r="AN496" i="8"/>
  <c r="AM496" i="8"/>
  <c r="AL496" i="8"/>
  <c r="AL498" i="20" s="1"/>
  <c r="AK496" i="8"/>
  <c r="AJ496" i="8"/>
  <c r="AI496" i="8"/>
  <c r="AH496" i="8"/>
  <c r="AG496" i="8"/>
  <c r="AF496" i="8"/>
  <c r="AE496" i="8"/>
  <c r="AD496" i="8"/>
  <c r="AC496" i="8"/>
  <c r="AB496" i="8"/>
  <c r="AB498" i="20"/>
  <c r="AA496" i="8"/>
  <c r="Z496" i="8"/>
  <c r="Y496" i="8"/>
  <c r="X496" i="8"/>
  <c r="W496" i="8"/>
  <c r="V496" i="8"/>
  <c r="U496" i="8"/>
  <c r="T496" i="8"/>
  <c r="S496" i="8"/>
  <c r="R496" i="8"/>
  <c r="Q496" i="8"/>
  <c r="P496" i="8"/>
  <c r="AT500" i="20"/>
  <c r="AS500" i="20"/>
  <c r="AR500" i="20"/>
  <c r="AQ500" i="20"/>
  <c r="AP500" i="20"/>
  <c r="AO500" i="20"/>
  <c r="AN500" i="20"/>
  <c r="AM500" i="20"/>
  <c r="AL500" i="20"/>
  <c r="AK500" i="20"/>
  <c r="AJ500" i="20"/>
  <c r="AI500" i="20"/>
  <c r="AH500" i="20"/>
  <c r="AG500" i="20"/>
  <c r="AF500" i="20"/>
  <c r="AE500" i="20"/>
  <c r="AD500" i="20"/>
  <c r="AC500" i="20"/>
  <c r="AB500" i="20"/>
  <c r="AA500" i="20"/>
  <c r="Z500" i="20"/>
  <c r="Y500" i="20"/>
  <c r="X500" i="20"/>
  <c r="W500" i="20"/>
  <c r="V500" i="20"/>
  <c r="U500" i="20"/>
  <c r="T500" i="20"/>
  <c r="S500" i="20"/>
  <c r="R500" i="20"/>
  <c r="Q500" i="20"/>
  <c r="P500" i="20"/>
  <c r="AT499" i="20"/>
  <c r="AS499" i="20"/>
  <c r="AR499" i="20"/>
  <c r="AQ499" i="20"/>
  <c r="AP499" i="20"/>
  <c r="AO499" i="20"/>
  <c r="AN499" i="20"/>
  <c r="AM499" i="20"/>
  <c r="AL499" i="20"/>
  <c r="AK499" i="20"/>
  <c r="AJ499" i="20"/>
  <c r="AI499" i="20"/>
  <c r="AH499" i="20"/>
  <c r="AG499" i="20"/>
  <c r="AF499" i="20"/>
  <c r="AE499" i="20"/>
  <c r="AD499" i="20"/>
  <c r="AC499" i="20"/>
  <c r="AB499" i="20"/>
  <c r="AA499" i="20"/>
  <c r="Z499" i="20"/>
  <c r="Y499" i="20"/>
  <c r="X499" i="20"/>
  <c r="W499" i="20"/>
  <c r="V499" i="20"/>
  <c r="U499" i="20"/>
  <c r="T499" i="20"/>
  <c r="S499" i="20"/>
  <c r="R499" i="20"/>
  <c r="Q499" i="20"/>
  <c r="P499" i="20"/>
  <c r="B164" i="24"/>
  <c r="E3" i="1"/>
  <c r="B163" i="24"/>
  <c r="E2" i="1"/>
  <c r="B26" i="24"/>
  <c r="B22" i="14"/>
  <c r="AO492" i="9"/>
  <c r="AN492" i="9"/>
  <c r="AM492" i="9"/>
  <c r="AL492" i="9"/>
  <c r="AK492" i="9"/>
  <c r="AJ492" i="9"/>
  <c r="AJ492" i="20" s="1"/>
  <c r="AI492" i="9"/>
  <c r="AH492" i="9"/>
  <c r="AG492" i="9"/>
  <c r="AF492" i="9"/>
  <c r="AE492" i="9"/>
  <c r="AD492" i="9"/>
  <c r="AC492" i="9"/>
  <c r="AB492" i="9"/>
  <c r="AA492" i="9"/>
  <c r="Z492" i="9"/>
  <c r="Y492" i="9"/>
  <c r="Y492" i="20" s="1"/>
  <c r="X492" i="9"/>
  <c r="W492" i="9"/>
  <c r="V492" i="9"/>
  <c r="U492" i="9"/>
  <c r="T492" i="9"/>
  <c r="S492" i="9"/>
  <c r="R492" i="9"/>
  <c r="Q492" i="9"/>
  <c r="P492" i="9"/>
  <c r="AO489" i="9"/>
  <c r="AN489" i="9"/>
  <c r="AM489" i="9"/>
  <c r="AL489" i="9"/>
  <c r="AK489" i="9"/>
  <c r="AJ489" i="9"/>
  <c r="AI489" i="9"/>
  <c r="AH489" i="9"/>
  <c r="AG489" i="9"/>
  <c r="AF489" i="9"/>
  <c r="AE489" i="9"/>
  <c r="AD489" i="9"/>
  <c r="AC489" i="9"/>
  <c r="AB489" i="9"/>
  <c r="AA489" i="9"/>
  <c r="Z489" i="9"/>
  <c r="Y489" i="9"/>
  <c r="X489" i="9"/>
  <c r="W489" i="9"/>
  <c r="V489" i="9"/>
  <c r="U489" i="9"/>
  <c r="T489" i="9"/>
  <c r="S489" i="9"/>
  <c r="R489" i="9"/>
  <c r="Q489" i="9"/>
  <c r="P489" i="9"/>
  <c r="P486" i="9"/>
  <c r="P483" i="9"/>
  <c r="AN17" i="21"/>
  <c r="P477" i="9"/>
  <c r="AO390" i="9"/>
  <c r="AO387" i="9"/>
  <c r="AO384" i="9"/>
  <c r="AO381" i="9"/>
  <c r="AO378" i="9"/>
  <c r="AO375" i="9"/>
  <c r="AO372" i="9"/>
  <c r="AO369" i="9"/>
  <c r="AO366" i="9"/>
  <c r="AO363" i="9"/>
  <c r="AO360" i="9"/>
  <c r="AO357" i="9"/>
  <c r="P480" i="9"/>
  <c r="AP17" i="22"/>
  <c r="G150" i="7"/>
  <c r="O471" i="20"/>
  <c r="P474" i="9"/>
  <c r="O471" i="9"/>
  <c r="AK17" i="22"/>
  <c r="AL17" i="22"/>
  <c r="AM17" i="22"/>
  <c r="AN17" i="22"/>
  <c r="AO17" i="22"/>
  <c r="AN390" i="9"/>
  <c r="AN390" i="20" s="1"/>
  <c r="AM390" i="9"/>
  <c r="AM390" i="20" s="1"/>
  <c r="AN387" i="9"/>
  <c r="AM387" i="9"/>
  <c r="AN384" i="9"/>
  <c r="AM384" i="9"/>
  <c r="AN381" i="9"/>
  <c r="AM381" i="9"/>
  <c r="AN378" i="9"/>
  <c r="AM378" i="9"/>
  <c r="P450" i="9"/>
  <c r="Q450" i="9"/>
  <c r="R450" i="9"/>
  <c r="S450" i="9"/>
  <c r="T450" i="9"/>
  <c r="U450" i="9"/>
  <c r="V450" i="9"/>
  <c r="W450" i="9"/>
  <c r="X450" i="9"/>
  <c r="Y450" i="9"/>
  <c r="Z450" i="9"/>
  <c r="AA450" i="9"/>
  <c r="AB450" i="9"/>
  <c r="AC450" i="9"/>
  <c r="AD450" i="9"/>
  <c r="AE450" i="9"/>
  <c r="AF450" i="9"/>
  <c r="AG450" i="9"/>
  <c r="AH450" i="9"/>
  <c r="AI450" i="9"/>
  <c r="AJ450" i="9"/>
  <c r="AK450" i="9"/>
  <c r="AK9" i="21" s="1"/>
  <c r="AL450" i="9"/>
  <c r="AM450" i="9"/>
  <c r="AN450" i="9"/>
  <c r="O450" i="9"/>
  <c r="O425" i="20"/>
  <c r="P425" i="20"/>
  <c r="Q425" i="20"/>
  <c r="R425" i="20"/>
  <c r="S425" i="20"/>
  <c r="T425" i="20"/>
  <c r="U425" i="20"/>
  <c r="V425" i="20"/>
  <c r="W425" i="20"/>
  <c r="X425" i="20"/>
  <c r="Y425" i="20"/>
  <c r="Z425" i="20"/>
  <c r="Z426" i="20" s="1"/>
  <c r="AA425" i="20"/>
  <c r="AB425" i="20"/>
  <c r="AC425" i="20"/>
  <c r="AD425" i="20"/>
  <c r="AE425" i="20"/>
  <c r="AF425" i="20"/>
  <c r="AG425" i="20"/>
  <c r="AH425" i="20"/>
  <c r="AI425" i="20"/>
  <c r="AJ425" i="20"/>
  <c r="AK425" i="20"/>
  <c r="AL425" i="20"/>
  <c r="AM425" i="20"/>
  <c r="AN425" i="20"/>
  <c r="O424" i="20"/>
  <c r="P424" i="20"/>
  <c r="P426" i="20" s="1"/>
  <c r="Q424" i="20"/>
  <c r="R424" i="20"/>
  <c r="S424" i="20"/>
  <c r="T424" i="20"/>
  <c r="U424" i="20"/>
  <c r="V424" i="20"/>
  <c r="W424" i="20"/>
  <c r="X424" i="20"/>
  <c r="Y424" i="20"/>
  <c r="Z424" i="20"/>
  <c r="AA424" i="20"/>
  <c r="AB424" i="20"/>
  <c r="AC424" i="20"/>
  <c r="AD424" i="20"/>
  <c r="AE424" i="20"/>
  <c r="AF424" i="20"/>
  <c r="AF426" i="20" s="1"/>
  <c r="AG424" i="20"/>
  <c r="AH424" i="20"/>
  <c r="AI424" i="20"/>
  <c r="AJ424" i="20"/>
  <c r="AK424" i="20"/>
  <c r="AL424" i="20"/>
  <c r="AM424" i="20"/>
  <c r="AN424" i="20"/>
  <c r="N425" i="20"/>
  <c r="N424" i="20"/>
  <c r="AN140" i="20"/>
  <c r="AN139" i="20"/>
  <c r="AN137" i="20"/>
  <c r="AN136" i="20"/>
  <c r="AN134" i="20"/>
  <c r="AN133" i="20"/>
  <c r="AN135" i="20" s="1"/>
  <c r="AN131" i="20"/>
  <c r="AN130" i="20"/>
  <c r="AN128" i="20"/>
  <c r="AN127" i="20"/>
  <c r="AN125" i="20"/>
  <c r="AN124" i="20"/>
  <c r="AN122" i="20"/>
  <c r="AN121" i="20"/>
  <c r="AN119" i="20"/>
  <c r="AN118" i="20"/>
  <c r="AN116" i="20"/>
  <c r="AN115" i="20"/>
  <c r="AN113" i="20"/>
  <c r="AN112" i="20"/>
  <c r="AN110" i="20"/>
  <c r="AN109" i="20"/>
  <c r="AN111" i="20" s="1"/>
  <c r="AN107" i="20"/>
  <c r="AN106" i="20"/>
  <c r="AN104" i="20"/>
  <c r="AN103" i="20"/>
  <c r="AN101" i="20"/>
  <c r="AN100" i="20"/>
  <c r="AN98" i="20"/>
  <c r="AN97" i="20"/>
  <c r="AN95" i="20"/>
  <c r="AN94" i="20"/>
  <c r="AN92" i="20"/>
  <c r="AN91" i="20"/>
  <c r="AN89" i="20"/>
  <c r="AN88" i="20"/>
  <c r="AN86" i="20"/>
  <c r="AN85" i="20"/>
  <c r="AN87" i="20" s="1"/>
  <c r="AN83" i="20"/>
  <c r="AN82" i="20"/>
  <c r="AN80" i="20"/>
  <c r="AN79" i="20"/>
  <c r="AN77" i="20"/>
  <c r="AN76" i="20"/>
  <c r="AN74" i="20"/>
  <c r="AN73" i="20"/>
  <c r="AN71" i="20"/>
  <c r="AN70" i="20"/>
  <c r="AN68" i="20"/>
  <c r="AN67" i="20"/>
  <c r="AN65" i="20"/>
  <c r="AN64" i="20"/>
  <c r="AN62" i="20"/>
  <c r="AN61" i="20"/>
  <c r="AN63" i="20" s="1"/>
  <c r="AN59" i="20"/>
  <c r="AN58" i="20"/>
  <c r="AN56" i="20"/>
  <c r="AN55" i="20"/>
  <c r="AN53" i="20"/>
  <c r="AN52" i="20"/>
  <c r="AN50" i="20"/>
  <c r="AN49" i="20"/>
  <c r="AN47" i="20"/>
  <c r="AN46" i="20"/>
  <c r="AN44" i="20"/>
  <c r="AN43" i="20"/>
  <c r="AN41" i="20"/>
  <c r="AN40" i="20"/>
  <c r="AN38" i="20"/>
  <c r="AN37" i="20"/>
  <c r="AN39" i="20" s="1"/>
  <c r="AN35" i="20"/>
  <c r="AN34" i="20"/>
  <c r="AN32" i="20"/>
  <c r="AN31" i="20"/>
  <c r="AN29" i="20"/>
  <c r="AN28" i="20"/>
  <c r="AN26" i="20"/>
  <c r="AN25" i="20"/>
  <c r="P445" i="20"/>
  <c r="Q445" i="20"/>
  <c r="R445" i="20"/>
  <c r="S445" i="20"/>
  <c r="T445" i="20"/>
  <c r="U445" i="20"/>
  <c r="V445" i="20"/>
  <c r="W445" i="20"/>
  <c r="X445" i="20"/>
  <c r="Y445" i="20"/>
  <c r="Z445" i="20"/>
  <c r="AA445" i="20"/>
  <c r="AB445" i="20"/>
  <c r="AC445" i="20"/>
  <c r="AD445" i="20"/>
  <c r="AE445" i="20"/>
  <c r="AF445" i="20"/>
  <c r="AG445" i="20"/>
  <c r="AH445" i="20"/>
  <c r="AI445" i="20"/>
  <c r="AJ445" i="20"/>
  <c r="AK445" i="20"/>
  <c r="AL445" i="20"/>
  <c r="AM445" i="20"/>
  <c r="AN445" i="20"/>
  <c r="AN446" i="20"/>
  <c r="AM446" i="20"/>
  <c r="AL446" i="20"/>
  <c r="AK446" i="20"/>
  <c r="AJ446" i="20"/>
  <c r="AI446" i="20"/>
  <c r="AH446" i="20"/>
  <c r="AG446" i="20"/>
  <c r="AF446" i="20"/>
  <c r="AE446" i="20"/>
  <c r="AD446" i="20"/>
  <c r="AC446" i="20"/>
  <c r="AB446" i="20"/>
  <c r="AA446" i="20"/>
  <c r="Z446" i="20"/>
  <c r="Y446" i="20"/>
  <c r="X446" i="20"/>
  <c r="W446" i="20"/>
  <c r="V446" i="20"/>
  <c r="U446" i="20"/>
  <c r="T446" i="20"/>
  <c r="S446" i="20"/>
  <c r="R446" i="20"/>
  <c r="Q446" i="20"/>
  <c r="P446" i="20"/>
  <c r="O446" i="20"/>
  <c r="O445" i="20"/>
  <c r="P447" i="9"/>
  <c r="Q447" i="9"/>
  <c r="R447" i="9"/>
  <c r="S447" i="9"/>
  <c r="S447" i="20" s="1"/>
  <c r="T447" i="9"/>
  <c r="U447" i="9"/>
  <c r="V447" i="9"/>
  <c r="W447" i="9"/>
  <c r="X447" i="9"/>
  <c r="Y447" i="9"/>
  <c r="Z447" i="9"/>
  <c r="AA447" i="9"/>
  <c r="AB447" i="9"/>
  <c r="AC447" i="9"/>
  <c r="AD447" i="9"/>
  <c r="AE447" i="9"/>
  <c r="AF447" i="9"/>
  <c r="AG447" i="9"/>
  <c r="AH447" i="9"/>
  <c r="AI447" i="9"/>
  <c r="AI447" i="20" s="1"/>
  <c r="AJ447" i="9"/>
  <c r="AK447" i="9"/>
  <c r="AL447" i="9"/>
  <c r="AM447" i="9"/>
  <c r="AN447" i="9"/>
  <c r="O447" i="9"/>
  <c r="P445" i="8"/>
  <c r="Q445" i="8"/>
  <c r="R445" i="8"/>
  <c r="R447" i="20"/>
  <c r="S445" i="8"/>
  <c r="T445" i="8"/>
  <c r="U445" i="8"/>
  <c r="V445" i="8"/>
  <c r="W445" i="8"/>
  <c r="X445" i="8"/>
  <c r="X447" i="20" s="1"/>
  <c r="Y445" i="8"/>
  <c r="Z445" i="8"/>
  <c r="AA445" i="8"/>
  <c r="AB445" i="8"/>
  <c r="AC445" i="8"/>
  <c r="AD445" i="8"/>
  <c r="AE445" i="8"/>
  <c r="AF445" i="8"/>
  <c r="AG445" i="8"/>
  <c r="AH445" i="8"/>
  <c r="AI445" i="8"/>
  <c r="AJ445" i="8"/>
  <c r="AK445" i="8"/>
  <c r="AL445" i="8"/>
  <c r="AM445" i="8"/>
  <c r="AM447" i="20" s="1"/>
  <c r="AN445" i="8"/>
  <c r="O445" i="8"/>
  <c r="AN443" i="20"/>
  <c r="AM443" i="20"/>
  <c r="AL443" i="20"/>
  <c r="AK443" i="20"/>
  <c r="AJ443" i="20"/>
  <c r="AI443" i="20"/>
  <c r="AH443" i="20"/>
  <c r="AG443" i="20"/>
  <c r="AF443" i="20"/>
  <c r="AE443" i="20"/>
  <c r="AD443" i="20"/>
  <c r="AC443" i="20"/>
  <c r="AB443" i="20"/>
  <c r="AA443" i="20"/>
  <c r="Z443" i="20"/>
  <c r="Y443" i="20"/>
  <c r="X443" i="20"/>
  <c r="W443" i="20"/>
  <c r="V443" i="20"/>
  <c r="U443" i="20"/>
  <c r="T443" i="20"/>
  <c r="S443" i="20"/>
  <c r="R443" i="20"/>
  <c r="Q443" i="20"/>
  <c r="P443" i="20"/>
  <c r="O443" i="20"/>
  <c r="AN442" i="20"/>
  <c r="AM442" i="20"/>
  <c r="AL442" i="20"/>
  <c r="AK442" i="20"/>
  <c r="AJ442" i="20"/>
  <c r="AI442" i="20"/>
  <c r="AH442" i="20"/>
  <c r="AG442" i="20"/>
  <c r="AF442" i="20"/>
  <c r="AE442" i="20"/>
  <c r="AD442" i="20"/>
  <c r="AC442" i="20"/>
  <c r="AB442" i="20"/>
  <c r="AA442" i="20"/>
  <c r="Z442" i="20"/>
  <c r="Y442" i="20"/>
  <c r="X442" i="20"/>
  <c r="W442" i="20"/>
  <c r="V442" i="20"/>
  <c r="U442" i="20"/>
  <c r="T442" i="20"/>
  <c r="S442" i="20"/>
  <c r="R442" i="20"/>
  <c r="Q442" i="20"/>
  <c r="P442" i="20"/>
  <c r="O442" i="20"/>
  <c r="AN444" i="9"/>
  <c r="AN444" i="20"/>
  <c r="AM444" i="9"/>
  <c r="AL444" i="9"/>
  <c r="AK444" i="9"/>
  <c r="AJ444" i="9"/>
  <c r="AI444" i="9"/>
  <c r="AH444" i="9"/>
  <c r="AG444" i="9"/>
  <c r="AF444" i="9"/>
  <c r="AF444" i="20" s="1"/>
  <c r="AE444" i="9"/>
  <c r="AD444" i="9"/>
  <c r="AC444" i="9"/>
  <c r="AB444" i="9"/>
  <c r="AA444" i="9"/>
  <c r="Z444" i="9"/>
  <c r="Y444" i="9"/>
  <c r="X444" i="9"/>
  <c r="W444" i="9"/>
  <c r="V444" i="9"/>
  <c r="U444" i="9"/>
  <c r="T444" i="9"/>
  <c r="S444" i="9"/>
  <c r="R444" i="9"/>
  <c r="Q444" i="9"/>
  <c r="P444" i="9"/>
  <c r="P444" i="20" s="1"/>
  <c r="O444" i="9"/>
  <c r="O442" i="8"/>
  <c r="AN442" i="8"/>
  <c r="AM442" i="8"/>
  <c r="AL442" i="8"/>
  <c r="AK442" i="8"/>
  <c r="AJ442" i="8"/>
  <c r="AI442" i="8"/>
  <c r="AH442" i="8"/>
  <c r="AG442" i="8"/>
  <c r="AF442" i="8"/>
  <c r="AE442" i="8"/>
  <c r="AD442" i="8"/>
  <c r="AC442" i="8"/>
  <c r="AB442" i="8"/>
  <c r="AA442" i="8"/>
  <c r="Z442" i="8"/>
  <c r="Y442" i="8"/>
  <c r="X442" i="8"/>
  <c r="W442" i="8"/>
  <c r="V442" i="8"/>
  <c r="U442" i="8"/>
  <c r="T442" i="8"/>
  <c r="S442" i="8"/>
  <c r="R442" i="8"/>
  <c r="Q442" i="8"/>
  <c r="P442" i="8"/>
  <c r="AN440" i="20"/>
  <c r="AN439" i="20"/>
  <c r="AM440" i="20"/>
  <c r="AM439" i="20"/>
  <c r="AL440" i="20"/>
  <c r="AL439" i="20"/>
  <c r="AK440" i="20"/>
  <c r="AK439" i="20"/>
  <c r="AJ440" i="20"/>
  <c r="AJ439" i="20"/>
  <c r="AI440" i="20"/>
  <c r="AI439" i="20"/>
  <c r="AH440" i="20"/>
  <c r="AH439" i="20"/>
  <c r="AG440" i="20"/>
  <c r="AG439" i="20"/>
  <c r="AF440" i="20"/>
  <c r="AF439" i="20"/>
  <c r="AE440" i="20"/>
  <c r="AE439" i="20"/>
  <c r="AD440" i="20"/>
  <c r="AD439" i="20"/>
  <c r="AC440" i="20"/>
  <c r="AC439" i="20"/>
  <c r="AB440" i="20"/>
  <c r="AB439" i="20"/>
  <c r="AA440" i="20"/>
  <c r="AA439" i="20"/>
  <c r="Z440" i="20"/>
  <c r="Z439" i="20"/>
  <c r="Y440" i="20"/>
  <c r="Y439" i="20"/>
  <c r="X440" i="20"/>
  <c r="X439" i="20"/>
  <c r="W440" i="20"/>
  <c r="W439" i="20"/>
  <c r="V440" i="20"/>
  <c r="V439" i="20"/>
  <c r="U440" i="20"/>
  <c r="U439" i="20"/>
  <c r="T440" i="20"/>
  <c r="T439" i="20"/>
  <c r="S440" i="20"/>
  <c r="S439" i="20"/>
  <c r="R440" i="20"/>
  <c r="R439" i="20"/>
  <c r="Q440" i="20"/>
  <c r="Q439" i="20"/>
  <c r="P440" i="20"/>
  <c r="O440" i="20"/>
  <c r="O439" i="20"/>
  <c r="P439" i="20"/>
  <c r="P441" i="9"/>
  <c r="Q441" i="9"/>
  <c r="R441" i="9"/>
  <c r="S441" i="9"/>
  <c r="T441" i="9"/>
  <c r="U441" i="9"/>
  <c r="V441" i="9"/>
  <c r="W441" i="9"/>
  <c r="X441" i="9"/>
  <c r="Y441" i="9"/>
  <c r="Z441" i="9"/>
  <c r="AA441" i="9"/>
  <c r="AB441" i="9"/>
  <c r="AC441" i="9"/>
  <c r="AD441" i="9"/>
  <c r="AE441" i="9"/>
  <c r="AF441" i="9"/>
  <c r="AG441" i="9"/>
  <c r="AH441" i="9"/>
  <c r="AI441" i="9"/>
  <c r="AJ441" i="9"/>
  <c r="AK441" i="9"/>
  <c r="AL441" i="9"/>
  <c r="AM441" i="9"/>
  <c r="AN441" i="9"/>
  <c r="O441" i="9"/>
  <c r="P439" i="8"/>
  <c r="Q439" i="8"/>
  <c r="R439" i="8"/>
  <c r="S439" i="8"/>
  <c r="T439" i="8"/>
  <c r="U439" i="8"/>
  <c r="V439" i="8"/>
  <c r="W439" i="8"/>
  <c r="X439" i="8"/>
  <c r="Y439" i="8"/>
  <c r="Z439" i="8"/>
  <c r="Z441" i="20" s="1"/>
  <c r="AA439" i="8"/>
  <c r="AB439" i="8"/>
  <c r="AC439" i="8"/>
  <c r="AD439" i="8"/>
  <c r="AE439" i="8"/>
  <c r="AF439" i="8"/>
  <c r="AG439" i="8"/>
  <c r="AH439" i="8"/>
  <c r="AI439" i="8"/>
  <c r="AJ439" i="8"/>
  <c r="AK439" i="8"/>
  <c r="AL439" i="8"/>
  <c r="AL441" i="20"/>
  <c r="AM439" i="8"/>
  <c r="AN439" i="8"/>
  <c r="O439" i="8"/>
  <c r="O437" i="20"/>
  <c r="O436" i="20"/>
  <c r="AN438" i="20"/>
  <c r="AM438" i="20"/>
  <c r="AL438" i="20"/>
  <c r="AK438" i="20"/>
  <c r="AJ438" i="20"/>
  <c r="AI438" i="20"/>
  <c r="AH438" i="20"/>
  <c r="AG438" i="20"/>
  <c r="AF438" i="20"/>
  <c r="AE438" i="20"/>
  <c r="AD438" i="20"/>
  <c r="AC438" i="20"/>
  <c r="AB438" i="20"/>
  <c r="AA438" i="20"/>
  <c r="Z438" i="20"/>
  <c r="Y438" i="20"/>
  <c r="X438" i="20"/>
  <c r="W438" i="20"/>
  <c r="V438" i="20"/>
  <c r="U438" i="20"/>
  <c r="T438" i="20"/>
  <c r="S438" i="20"/>
  <c r="R438" i="20"/>
  <c r="Q438" i="20"/>
  <c r="P438" i="20"/>
  <c r="O438" i="20"/>
  <c r="AN437" i="20"/>
  <c r="AM437" i="20"/>
  <c r="AL437" i="20"/>
  <c r="AK437" i="20"/>
  <c r="AJ437" i="20"/>
  <c r="AI437" i="20"/>
  <c r="AH437" i="20"/>
  <c r="AG437" i="20"/>
  <c r="AF437" i="20"/>
  <c r="AE437" i="20"/>
  <c r="AD437" i="20"/>
  <c r="AC437" i="20"/>
  <c r="AB437" i="20"/>
  <c r="AA437" i="20"/>
  <c r="Z437" i="20"/>
  <c r="Y437" i="20"/>
  <c r="X437" i="20"/>
  <c r="W437" i="20"/>
  <c r="V437" i="20"/>
  <c r="U437" i="20"/>
  <c r="T437" i="20"/>
  <c r="S437" i="20"/>
  <c r="R437" i="20"/>
  <c r="Q437" i="20"/>
  <c r="P437" i="20"/>
  <c r="AN436" i="20"/>
  <c r="AM436" i="20"/>
  <c r="AL436" i="20"/>
  <c r="AK436" i="20"/>
  <c r="AJ436" i="20"/>
  <c r="AI436" i="20"/>
  <c r="AH436" i="20"/>
  <c r="AG436" i="20"/>
  <c r="AF436" i="20"/>
  <c r="AE436" i="20"/>
  <c r="AD436" i="20"/>
  <c r="AC436" i="20"/>
  <c r="AB436" i="20"/>
  <c r="AA436" i="20"/>
  <c r="Z436" i="20"/>
  <c r="Y436" i="20"/>
  <c r="X436" i="20"/>
  <c r="W436" i="20"/>
  <c r="V436" i="20"/>
  <c r="U436" i="20"/>
  <c r="T436" i="20"/>
  <c r="S436" i="20"/>
  <c r="R436" i="20"/>
  <c r="Q436" i="20"/>
  <c r="P436" i="20"/>
  <c r="O435" i="20"/>
  <c r="P435" i="20"/>
  <c r="Q435" i="20"/>
  <c r="R435" i="20"/>
  <c r="S435" i="20"/>
  <c r="T435" i="20"/>
  <c r="U435" i="20"/>
  <c r="V435" i="20"/>
  <c r="W435" i="20"/>
  <c r="X435" i="20"/>
  <c r="Y435" i="20"/>
  <c r="Z435" i="20"/>
  <c r="AA435" i="20"/>
  <c r="AB435" i="20"/>
  <c r="AC435" i="20"/>
  <c r="AD435" i="20"/>
  <c r="AE435" i="20"/>
  <c r="AF435" i="20"/>
  <c r="AG435" i="20"/>
  <c r="AH435" i="20"/>
  <c r="AI435" i="20"/>
  <c r="AJ435" i="20"/>
  <c r="AK435" i="20"/>
  <c r="AL435" i="20"/>
  <c r="AM435" i="20"/>
  <c r="AN435" i="20"/>
  <c r="N435" i="20"/>
  <c r="O434" i="20"/>
  <c r="P434" i="20"/>
  <c r="Q434" i="20"/>
  <c r="R434" i="20"/>
  <c r="S434" i="20"/>
  <c r="T434" i="20"/>
  <c r="U434" i="20"/>
  <c r="V434" i="20"/>
  <c r="W434" i="20"/>
  <c r="X434" i="20"/>
  <c r="Y434" i="20"/>
  <c r="Z434" i="20"/>
  <c r="AA434" i="20"/>
  <c r="AB434" i="20"/>
  <c r="AC434" i="20"/>
  <c r="AD434" i="20"/>
  <c r="AE434" i="20"/>
  <c r="AF434" i="20"/>
  <c r="AG434" i="20"/>
  <c r="AH434" i="20"/>
  <c r="AI434" i="20"/>
  <c r="AJ434" i="20"/>
  <c r="AK434" i="20"/>
  <c r="AL434" i="20"/>
  <c r="AM434" i="20"/>
  <c r="AN434" i="20"/>
  <c r="N434" i="20"/>
  <c r="O433" i="20"/>
  <c r="P433" i="20"/>
  <c r="Q433" i="20"/>
  <c r="R433" i="20"/>
  <c r="S433" i="20"/>
  <c r="T433" i="20"/>
  <c r="U433" i="20"/>
  <c r="V433" i="20"/>
  <c r="W433" i="20"/>
  <c r="X433" i="20"/>
  <c r="Y433" i="20"/>
  <c r="Z433" i="20"/>
  <c r="AA433" i="20"/>
  <c r="AB433" i="20"/>
  <c r="AC433" i="20"/>
  <c r="AD433" i="20"/>
  <c r="AE433" i="20"/>
  <c r="AF433" i="20"/>
  <c r="AG433" i="20"/>
  <c r="AH433" i="20"/>
  <c r="AI433" i="20"/>
  <c r="AJ433" i="20"/>
  <c r="AK433" i="20"/>
  <c r="AL433" i="20"/>
  <c r="AM433" i="20"/>
  <c r="AN433" i="20"/>
  <c r="N433" i="20"/>
  <c r="O432" i="20"/>
  <c r="P432" i="20"/>
  <c r="Q432" i="20"/>
  <c r="R432" i="20"/>
  <c r="S432" i="20"/>
  <c r="T432" i="20"/>
  <c r="U432" i="20"/>
  <c r="V432" i="20"/>
  <c r="W432" i="20"/>
  <c r="X432" i="20"/>
  <c r="Y432" i="20"/>
  <c r="Z432" i="20"/>
  <c r="AA432" i="20"/>
  <c r="AB432" i="20"/>
  <c r="AC432" i="20"/>
  <c r="AD432" i="20"/>
  <c r="AE432" i="20"/>
  <c r="AF432" i="20"/>
  <c r="AG432" i="20"/>
  <c r="AH432" i="20"/>
  <c r="AI432" i="20"/>
  <c r="AJ432" i="20"/>
  <c r="AK432" i="20"/>
  <c r="AL432" i="20"/>
  <c r="AM432" i="20"/>
  <c r="AN432" i="20"/>
  <c r="AN431" i="20"/>
  <c r="O431" i="20"/>
  <c r="P431" i="20"/>
  <c r="Q431" i="20"/>
  <c r="R431" i="20"/>
  <c r="S431" i="20"/>
  <c r="T431" i="20"/>
  <c r="U431" i="20"/>
  <c r="V431" i="20"/>
  <c r="W431" i="20"/>
  <c r="X431" i="20"/>
  <c r="Y431" i="20"/>
  <c r="Z431" i="20"/>
  <c r="AA431" i="20"/>
  <c r="AB431" i="20"/>
  <c r="AC431" i="20"/>
  <c r="AD431" i="20"/>
  <c r="AE431" i="20"/>
  <c r="AF431" i="20"/>
  <c r="AG431" i="20"/>
  <c r="AH431" i="20"/>
  <c r="AI431" i="20"/>
  <c r="AJ431" i="20"/>
  <c r="AK431" i="20"/>
  <c r="AL431" i="20"/>
  <c r="AM431" i="20"/>
  <c r="O430" i="20"/>
  <c r="P430" i="20"/>
  <c r="Q430" i="20"/>
  <c r="R430" i="20"/>
  <c r="S430" i="20"/>
  <c r="T430" i="20"/>
  <c r="U430" i="20"/>
  <c r="V430" i="20"/>
  <c r="W430" i="20"/>
  <c r="X430" i="20"/>
  <c r="Y430" i="20"/>
  <c r="Z430" i="20"/>
  <c r="AA430" i="20"/>
  <c r="AB430" i="20"/>
  <c r="AC430" i="20"/>
  <c r="AD430" i="20"/>
  <c r="AE430" i="20"/>
  <c r="AF430" i="20"/>
  <c r="AG430" i="20"/>
  <c r="AH430" i="20"/>
  <c r="AI430" i="20"/>
  <c r="AJ430" i="20"/>
  <c r="AK430" i="20"/>
  <c r="AL430" i="20"/>
  <c r="AM430" i="20"/>
  <c r="AN430" i="20"/>
  <c r="N431" i="20"/>
  <c r="N432" i="20"/>
  <c r="N430" i="20"/>
  <c r="O428" i="20"/>
  <c r="P428" i="20"/>
  <c r="Q428" i="20"/>
  <c r="R428" i="20"/>
  <c r="S428" i="20"/>
  <c r="T428" i="20"/>
  <c r="U428" i="20"/>
  <c r="V428" i="20"/>
  <c r="W428" i="20"/>
  <c r="X428" i="20"/>
  <c r="X429" i="20" s="1"/>
  <c r="Y428" i="20"/>
  <c r="Z428" i="20"/>
  <c r="AA428" i="20"/>
  <c r="AB428" i="20"/>
  <c r="AC428" i="20"/>
  <c r="AD428" i="20"/>
  <c r="AD429" i="20" s="1"/>
  <c r="AE428" i="20"/>
  <c r="AF428" i="20"/>
  <c r="AG428" i="20"/>
  <c r="AH428" i="20"/>
  <c r="AI428" i="20"/>
  <c r="AJ428" i="20"/>
  <c r="AK428" i="20"/>
  <c r="AL428" i="20"/>
  <c r="AM428" i="20"/>
  <c r="AN428" i="20"/>
  <c r="N428" i="20"/>
  <c r="O427" i="20"/>
  <c r="O429" i="20" s="1"/>
  <c r="P427" i="20"/>
  <c r="Q427" i="20"/>
  <c r="R427" i="20"/>
  <c r="S427" i="20"/>
  <c r="T427" i="20"/>
  <c r="U427" i="20"/>
  <c r="V427" i="20"/>
  <c r="W427" i="20"/>
  <c r="X427" i="20"/>
  <c r="Y427" i="20"/>
  <c r="Y429" i="20"/>
  <c r="Z427" i="20"/>
  <c r="AA427" i="20"/>
  <c r="AB427" i="20"/>
  <c r="AB429" i="20" s="1"/>
  <c r="AC427" i="20"/>
  <c r="AD427" i="20"/>
  <c r="AE427" i="20"/>
  <c r="AF427" i="20"/>
  <c r="AG427" i="20"/>
  <c r="AH427" i="20"/>
  <c r="AI427" i="20"/>
  <c r="AJ427" i="20"/>
  <c r="AK427" i="20"/>
  <c r="AL427" i="20"/>
  <c r="AM427" i="20"/>
  <c r="AN427" i="20"/>
  <c r="N427" i="20"/>
  <c r="O426" i="9"/>
  <c r="P426" i="9"/>
  <c r="Q426" i="9"/>
  <c r="R426" i="9"/>
  <c r="R9" i="21" s="1"/>
  <c r="S426" i="9"/>
  <c r="T426" i="9"/>
  <c r="U426" i="9"/>
  <c r="V426" i="9"/>
  <c r="W426" i="9"/>
  <c r="X426" i="9"/>
  <c r="Y426" i="9"/>
  <c r="Z426" i="9"/>
  <c r="AA426" i="9"/>
  <c r="AB426" i="9"/>
  <c r="AC426" i="9"/>
  <c r="AD426" i="9"/>
  <c r="AE426" i="9"/>
  <c r="AF426" i="9"/>
  <c r="AG426" i="9"/>
  <c r="AH426" i="9"/>
  <c r="AH9" i="21" s="1"/>
  <c r="AI426" i="9"/>
  <c r="AJ426" i="9"/>
  <c r="AK426" i="9"/>
  <c r="AL426" i="9"/>
  <c r="AM426" i="9"/>
  <c r="N426" i="9"/>
  <c r="O421" i="20"/>
  <c r="P421" i="20"/>
  <c r="Q421" i="20"/>
  <c r="R421" i="20"/>
  <c r="S421" i="20"/>
  <c r="T421" i="20"/>
  <c r="U421" i="20"/>
  <c r="V421" i="20"/>
  <c r="W421" i="20"/>
  <c r="X421" i="20"/>
  <c r="Y421" i="20"/>
  <c r="Z421" i="20"/>
  <c r="AA421" i="20"/>
  <c r="AB421" i="20"/>
  <c r="AC421" i="20"/>
  <c r="AD421" i="20"/>
  <c r="AE421" i="20"/>
  <c r="AF421" i="20"/>
  <c r="AG421" i="20"/>
  <c r="AH421" i="20"/>
  <c r="AI421" i="20"/>
  <c r="AJ421" i="20"/>
  <c r="AK421" i="20"/>
  <c r="AL421" i="20"/>
  <c r="AM421" i="20"/>
  <c r="AN421" i="20"/>
  <c r="O422" i="20"/>
  <c r="P422" i="20"/>
  <c r="Q422" i="20"/>
  <c r="R422" i="20"/>
  <c r="S422" i="20"/>
  <c r="T422" i="20"/>
  <c r="U422" i="20"/>
  <c r="V422" i="20"/>
  <c r="W422" i="20"/>
  <c r="X422" i="20"/>
  <c r="Y422" i="20"/>
  <c r="Z422" i="20"/>
  <c r="AA422" i="20"/>
  <c r="AB422" i="20"/>
  <c r="AC422" i="20"/>
  <c r="AD422" i="20"/>
  <c r="AE422" i="20"/>
  <c r="AF422" i="20"/>
  <c r="AG422" i="20"/>
  <c r="AH422" i="20"/>
  <c r="AI422" i="20"/>
  <c r="AJ422" i="20"/>
  <c r="AK422" i="20"/>
  <c r="AL422" i="20"/>
  <c r="AM422" i="20"/>
  <c r="AN422" i="20"/>
  <c r="O423" i="20"/>
  <c r="P423" i="20"/>
  <c r="Q423" i="20"/>
  <c r="R423" i="20"/>
  <c r="S423" i="20"/>
  <c r="T423" i="20"/>
  <c r="U423" i="20"/>
  <c r="V423" i="20"/>
  <c r="W423" i="20"/>
  <c r="X423" i="20"/>
  <c r="Y423" i="20"/>
  <c r="Z423" i="20"/>
  <c r="AA423" i="20"/>
  <c r="AB423" i="20"/>
  <c r="AC423" i="20"/>
  <c r="AD423" i="20"/>
  <c r="AE423" i="20"/>
  <c r="AF423" i="20"/>
  <c r="AG423" i="20"/>
  <c r="AH423" i="20"/>
  <c r="AI423" i="20"/>
  <c r="AJ423" i="20"/>
  <c r="AK423" i="20"/>
  <c r="AL423" i="20"/>
  <c r="AM423" i="20"/>
  <c r="AN423" i="20"/>
  <c r="N421" i="20"/>
  <c r="N422" i="20"/>
  <c r="N423" i="20"/>
  <c r="O418" i="20"/>
  <c r="P418" i="20"/>
  <c r="Q418" i="20"/>
  <c r="R418" i="20"/>
  <c r="S418" i="20"/>
  <c r="T418" i="20"/>
  <c r="U418" i="20"/>
  <c r="V418" i="20"/>
  <c r="W418" i="20"/>
  <c r="X418" i="20"/>
  <c r="Y418" i="20"/>
  <c r="Z418" i="20"/>
  <c r="AA418" i="20"/>
  <c r="AB418" i="20"/>
  <c r="AC418" i="20"/>
  <c r="AD418" i="20"/>
  <c r="AE418" i="20"/>
  <c r="AF418" i="20"/>
  <c r="AG418" i="20"/>
  <c r="AH418" i="20"/>
  <c r="AI418" i="20"/>
  <c r="AJ418" i="20"/>
  <c r="AK418" i="20"/>
  <c r="AL418" i="20"/>
  <c r="AM418" i="20"/>
  <c r="AN418" i="20"/>
  <c r="O419" i="20"/>
  <c r="P419" i="20"/>
  <c r="Q419" i="20"/>
  <c r="R419" i="20"/>
  <c r="S419" i="20"/>
  <c r="T419" i="20"/>
  <c r="U419" i="20"/>
  <c r="V419" i="20"/>
  <c r="W419" i="20"/>
  <c r="X419" i="20"/>
  <c r="Y419" i="20"/>
  <c r="Z419" i="20"/>
  <c r="AA419" i="20"/>
  <c r="AB419" i="20"/>
  <c r="AC419" i="20"/>
  <c r="AD419" i="20"/>
  <c r="AE419" i="20"/>
  <c r="AF419" i="20"/>
  <c r="AG419" i="20"/>
  <c r="AH419" i="20"/>
  <c r="AI419" i="20"/>
  <c r="AJ419" i="20"/>
  <c r="AK419" i="20"/>
  <c r="AL419" i="20"/>
  <c r="AM419" i="20"/>
  <c r="AN419" i="20"/>
  <c r="N419" i="20"/>
  <c r="N418" i="20"/>
  <c r="P420" i="20"/>
  <c r="Q420" i="20"/>
  <c r="R420" i="20"/>
  <c r="S420" i="20"/>
  <c r="T420" i="20"/>
  <c r="U420" i="20"/>
  <c r="V420" i="20"/>
  <c r="W420" i="20"/>
  <c r="X420" i="20"/>
  <c r="Y420" i="20"/>
  <c r="Z420" i="20"/>
  <c r="AA420" i="20"/>
  <c r="AB420" i="20"/>
  <c r="AC420" i="20"/>
  <c r="AD420" i="20"/>
  <c r="AE420" i="20"/>
  <c r="AF420" i="20"/>
  <c r="AG420" i="20"/>
  <c r="AH420" i="20"/>
  <c r="AI420" i="20"/>
  <c r="AJ420" i="20"/>
  <c r="AK420" i="20"/>
  <c r="AL420" i="20"/>
  <c r="AM420" i="20"/>
  <c r="AN420" i="20"/>
  <c r="O420" i="20"/>
  <c r="N420" i="20"/>
  <c r="O415" i="20"/>
  <c r="P415" i="20"/>
  <c r="Q415" i="20"/>
  <c r="R415" i="20"/>
  <c r="S415" i="20"/>
  <c r="T415" i="20"/>
  <c r="U415" i="20"/>
  <c r="V415" i="20"/>
  <c r="W415" i="20"/>
  <c r="X415" i="20"/>
  <c r="Y415" i="20"/>
  <c r="Z415" i="20"/>
  <c r="AA415" i="20"/>
  <c r="AB415" i="20"/>
  <c r="AC415" i="20"/>
  <c r="AD415" i="20"/>
  <c r="AE415" i="20"/>
  <c r="AF415" i="20"/>
  <c r="AG415" i="20"/>
  <c r="AH415" i="20"/>
  <c r="AI415" i="20"/>
  <c r="AJ415" i="20"/>
  <c r="AK415" i="20"/>
  <c r="AL415" i="20"/>
  <c r="AM415" i="20"/>
  <c r="AN415" i="20"/>
  <c r="O416" i="20"/>
  <c r="P416" i="20"/>
  <c r="Q416" i="20"/>
  <c r="R416" i="20"/>
  <c r="S416" i="20"/>
  <c r="T416" i="20"/>
  <c r="U416" i="20"/>
  <c r="V416" i="20"/>
  <c r="W416" i="20"/>
  <c r="X416" i="20"/>
  <c r="Y416" i="20"/>
  <c r="Z416" i="20"/>
  <c r="AA416" i="20"/>
  <c r="AB416" i="20"/>
  <c r="AC416" i="20"/>
  <c r="AD416" i="20"/>
  <c r="AE416" i="20"/>
  <c r="AF416" i="20"/>
  <c r="AG416" i="20"/>
  <c r="AH416" i="20"/>
  <c r="AI416" i="20"/>
  <c r="AJ416" i="20"/>
  <c r="AK416" i="20"/>
  <c r="AL416" i="20"/>
  <c r="AM416" i="20"/>
  <c r="AN416" i="20"/>
  <c r="O417" i="20"/>
  <c r="P417" i="20"/>
  <c r="Q417" i="20"/>
  <c r="R417" i="20"/>
  <c r="S417" i="20"/>
  <c r="T417" i="20"/>
  <c r="U417" i="20"/>
  <c r="V417" i="20"/>
  <c r="W417" i="20"/>
  <c r="X417" i="20"/>
  <c r="Y417" i="20"/>
  <c r="Z417" i="20"/>
  <c r="AA417" i="20"/>
  <c r="AB417" i="20"/>
  <c r="AC417" i="20"/>
  <c r="AD417" i="20"/>
  <c r="AE417" i="20"/>
  <c r="AF417" i="20"/>
  <c r="AG417" i="20"/>
  <c r="AH417" i="20"/>
  <c r="AI417" i="20"/>
  <c r="AJ417" i="20"/>
  <c r="AK417" i="20"/>
  <c r="AL417" i="20"/>
  <c r="AM417" i="20"/>
  <c r="AN417" i="20"/>
  <c r="N416" i="20"/>
  <c r="N417" i="20"/>
  <c r="N415" i="20"/>
  <c r="O412" i="20"/>
  <c r="P412" i="20"/>
  <c r="Q412" i="20"/>
  <c r="R412" i="20"/>
  <c r="S412" i="20"/>
  <c r="T412" i="20"/>
  <c r="U412" i="20"/>
  <c r="V412" i="20"/>
  <c r="W412" i="20"/>
  <c r="X412" i="20"/>
  <c r="Y412" i="20"/>
  <c r="Z412" i="20"/>
  <c r="AA412" i="20"/>
  <c r="AB412" i="20"/>
  <c r="AC412" i="20"/>
  <c r="AD412" i="20"/>
  <c r="AE412" i="20"/>
  <c r="AF412" i="20"/>
  <c r="AG412" i="20"/>
  <c r="AH412" i="20"/>
  <c r="AI412" i="20"/>
  <c r="AJ412" i="20"/>
  <c r="AK412" i="20"/>
  <c r="AL412" i="20"/>
  <c r="AM412" i="20"/>
  <c r="AN412" i="20"/>
  <c r="O413" i="20"/>
  <c r="P413" i="20"/>
  <c r="Q413" i="20"/>
  <c r="R413" i="20"/>
  <c r="S413" i="20"/>
  <c r="T413" i="20"/>
  <c r="U413" i="20"/>
  <c r="V413" i="20"/>
  <c r="W413" i="20"/>
  <c r="X413" i="20"/>
  <c r="Y413" i="20"/>
  <c r="Z413" i="20"/>
  <c r="AA413" i="20"/>
  <c r="AB413" i="20"/>
  <c r="AC413" i="20"/>
  <c r="AD413" i="20"/>
  <c r="AE413" i="20"/>
  <c r="AF413" i="20"/>
  <c r="AG413" i="20"/>
  <c r="AH413" i="20"/>
  <c r="AI413" i="20"/>
  <c r="AJ413" i="20"/>
  <c r="AK413" i="20"/>
  <c r="AL413" i="20"/>
  <c r="AM413" i="20"/>
  <c r="AN413" i="20"/>
  <c r="O414" i="20"/>
  <c r="P414" i="20"/>
  <c r="Q414" i="20"/>
  <c r="R414" i="20"/>
  <c r="S414" i="20"/>
  <c r="T414" i="20"/>
  <c r="U414" i="20"/>
  <c r="V414" i="20"/>
  <c r="W414" i="20"/>
  <c r="X414" i="20"/>
  <c r="Y414" i="20"/>
  <c r="Z414" i="20"/>
  <c r="AA414" i="20"/>
  <c r="AB414" i="20"/>
  <c r="AC414" i="20"/>
  <c r="AD414" i="20"/>
  <c r="AE414" i="20"/>
  <c r="AF414" i="20"/>
  <c r="AG414" i="20"/>
  <c r="AH414" i="20"/>
  <c r="AI414" i="20"/>
  <c r="AJ414" i="20"/>
  <c r="AK414" i="20"/>
  <c r="AL414" i="20"/>
  <c r="AM414" i="20"/>
  <c r="AN414" i="20"/>
  <c r="N414" i="20"/>
  <c r="N413" i="20"/>
  <c r="N412" i="20"/>
  <c r="O409" i="20"/>
  <c r="P409" i="20"/>
  <c r="Q409" i="20"/>
  <c r="R409" i="20"/>
  <c r="S409" i="20"/>
  <c r="T409" i="20"/>
  <c r="U409" i="20"/>
  <c r="V409" i="20"/>
  <c r="W409" i="20"/>
  <c r="X409" i="20"/>
  <c r="Y409" i="20"/>
  <c r="Z409" i="20"/>
  <c r="AA409" i="20"/>
  <c r="AB409" i="20"/>
  <c r="AC409" i="20"/>
  <c r="AD409" i="20"/>
  <c r="AE409" i="20"/>
  <c r="AF409" i="20"/>
  <c r="AG409" i="20"/>
  <c r="AH409" i="20"/>
  <c r="AI409" i="20"/>
  <c r="AJ409" i="20"/>
  <c r="AK409" i="20"/>
  <c r="AL409" i="20"/>
  <c r="AM409" i="20"/>
  <c r="AN409" i="20"/>
  <c r="O410" i="20"/>
  <c r="P410" i="20"/>
  <c r="Q410" i="20"/>
  <c r="R410" i="20"/>
  <c r="S410" i="20"/>
  <c r="T410" i="20"/>
  <c r="U410" i="20"/>
  <c r="V410" i="20"/>
  <c r="W410" i="20"/>
  <c r="X410" i="20"/>
  <c r="Y410" i="20"/>
  <c r="Z410" i="20"/>
  <c r="AA410" i="20"/>
  <c r="AB410" i="20"/>
  <c r="AC410" i="20"/>
  <c r="AD410" i="20"/>
  <c r="AE410" i="20"/>
  <c r="AF410" i="20"/>
  <c r="AG410" i="20"/>
  <c r="AH410" i="20"/>
  <c r="AI410" i="20"/>
  <c r="AJ410" i="20"/>
  <c r="AK410" i="20"/>
  <c r="AL410" i="20"/>
  <c r="AM410" i="20"/>
  <c r="AN410" i="20"/>
  <c r="O411" i="20"/>
  <c r="P411" i="20"/>
  <c r="Q411" i="20"/>
  <c r="R411" i="20"/>
  <c r="S411" i="20"/>
  <c r="T411" i="20"/>
  <c r="U411" i="20"/>
  <c r="V411" i="20"/>
  <c r="W411" i="20"/>
  <c r="X411" i="20"/>
  <c r="Y411" i="20"/>
  <c r="Z411" i="20"/>
  <c r="AA411" i="20"/>
  <c r="AB411" i="20"/>
  <c r="AC411" i="20"/>
  <c r="AD411" i="20"/>
  <c r="AE411" i="20"/>
  <c r="AF411" i="20"/>
  <c r="AG411" i="20"/>
  <c r="AH411" i="20"/>
  <c r="AI411" i="20"/>
  <c r="AJ411" i="20"/>
  <c r="AK411" i="20"/>
  <c r="AL411" i="20"/>
  <c r="AM411" i="20"/>
  <c r="AN411" i="20"/>
  <c r="N409" i="20"/>
  <c r="N411" i="20"/>
  <c r="N410" i="20"/>
  <c r="AN408" i="20"/>
  <c r="AM408" i="20"/>
  <c r="AL408" i="20"/>
  <c r="AK408" i="20"/>
  <c r="AJ408" i="20"/>
  <c r="AI408" i="20"/>
  <c r="AH408" i="20"/>
  <c r="AG408" i="20"/>
  <c r="AF408" i="20"/>
  <c r="AE408" i="20"/>
  <c r="AD408" i="20"/>
  <c r="AC408" i="20"/>
  <c r="AB408" i="20"/>
  <c r="AA408" i="20"/>
  <c r="Z408" i="20"/>
  <c r="Y408" i="20"/>
  <c r="X408" i="20"/>
  <c r="W408" i="20"/>
  <c r="V408" i="20"/>
  <c r="U408" i="20"/>
  <c r="T408" i="20"/>
  <c r="S408" i="20"/>
  <c r="R408" i="20"/>
  <c r="Q408" i="20"/>
  <c r="P408" i="20"/>
  <c r="O408" i="20"/>
  <c r="N408" i="20"/>
  <c r="M408" i="20"/>
  <c r="AN407" i="20"/>
  <c r="AM407" i="20"/>
  <c r="AL407" i="20"/>
  <c r="AK407" i="20"/>
  <c r="AJ407" i="20"/>
  <c r="AI407" i="20"/>
  <c r="AH407" i="20"/>
  <c r="AG407" i="20"/>
  <c r="AF407" i="20"/>
  <c r="AE407" i="20"/>
  <c r="AD407" i="20"/>
  <c r="AC407" i="20"/>
  <c r="AB407" i="20"/>
  <c r="AA407" i="20"/>
  <c r="Z407" i="20"/>
  <c r="Y407" i="20"/>
  <c r="X407" i="20"/>
  <c r="W407" i="20"/>
  <c r="V407" i="20"/>
  <c r="U407" i="20"/>
  <c r="T407" i="20"/>
  <c r="S407" i="20"/>
  <c r="R407" i="20"/>
  <c r="Q407" i="20"/>
  <c r="P407" i="20"/>
  <c r="O407" i="20"/>
  <c r="N407" i="20"/>
  <c r="M407" i="20"/>
  <c r="AN406" i="20"/>
  <c r="AM406" i="20"/>
  <c r="AL406" i="20"/>
  <c r="AK406" i="20"/>
  <c r="AJ406" i="20"/>
  <c r="AI406" i="20"/>
  <c r="AH406" i="20"/>
  <c r="AG406" i="20"/>
  <c r="AF406" i="20"/>
  <c r="AE406" i="20"/>
  <c r="AD406" i="20"/>
  <c r="AC406" i="20"/>
  <c r="AB406" i="20"/>
  <c r="AA406" i="20"/>
  <c r="Z406" i="20"/>
  <c r="Y406" i="20"/>
  <c r="X406" i="20"/>
  <c r="W406" i="20"/>
  <c r="V406" i="20"/>
  <c r="U406" i="20"/>
  <c r="T406" i="20"/>
  <c r="S406" i="20"/>
  <c r="R406" i="20"/>
  <c r="Q406" i="20"/>
  <c r="P406" i="20"/>
  <c r="O406" i="20"/>
  <c r="N406" i="20"/>
  <c r="M406" i="20"/>
  <c r="AN405" i="20"/>
  <c r="AM405" i="20"/>
  <c r="AL405" i="20"/>
  <c r="AK405" i="20"/>
  <c r="AJ405" i="20"/>
  <c r="AI405" i="20"/>
  <c r="AH405" i="20"/>
  <c r="AG405" i="20"/>
  <c r="AF405" i="20"/>
  <c r="AE405" i="20"/>
  <c r="AD405" i="20"/>
  <c r="AC405" i="20"/>
  <c r="AB405" i="20"/>
  <c r="AA405" i="20"/>
  <c r="Z405" i="20"/>
  <c r="Y405" i="20"/>
  <c r="X405" i="20"/>
  <c r="W405" i="20"/>
  <c r="V405" i="20"/>
  <c r="U405" i="20"/>
  <c r="T405" i="20"/>
  <c r="S405" i="20"/>
  <c r="R405" i="20"/>
  <c r="Q405" i="20"/>
  <c r="P405" i="20"/>
  <c r="O405" i="20"/>
  <c r="N405" i="20"/>
  <c r="M405" i="20"/>
  <c r="AN404" i="20"/>
  <c r="AM404" i="20"/>
  <c r="AL404" i="20"/>
  <c r="AK404" i="20"/>
  <c r="AJ404" i="20"/>
  <c r="AI404" i="20"/>
  <c r="AH404" i="20"/>
  <c r="AG404" i="20"/>
  <c r="AF404" i="20"/>
  <c r="AE404" i="20"/>
  <c r="AD404" i="20"/>
  <c r="AC404" i="20"/>
  <c r="AB404" i="20"/>
  <c r="AA404" i="20"/>
  <c r="Z404" i="20"/>
  <c r="Y404" i="20"/>
  <c r="X404" i="20"/>
  <c r="W404" i="20"/>
  <c r="V404" i="20"/>
  <c r="U404" i="20"/>
  <c r="T404" i="20"/>
  <c r="S404" i="20"/>
  <c r="R404" i="20"/>
  <c r="Q404" i="20"/>
  <c r="P404" i="20"/>
  <c r="O404" i="20"/>
  <c r="N404" i="20"/>
  <c r="M404" i="20"/>
  <c r="AN403" i="20"/>
  <c r="AM403" i="20"/>
  <c r="AL403" i="20"/>
  <c r="AK403" i="20"/>
  <c r="AJ403" i="20"/>
  <c r="AI403" i="20"/>
  <c r="AH403" i="20"/>
  <c r="AG403" i="20"/>
  <c r="AF403" i="20"/>
  <c r="AE403" i="20"/>
  <c r="AD403" i="20"/>
  <c r="AC403" i="20"/>
  <c r="AB403" i="20"/>
  <c r="AA403" i="20"/>
  <c r="Z403" i="20"/>
  <c r="Y403" i="20"/>
  <c r="X403" i="20"/>
  <c r="W403" i="20"/>
  <c r="V403" i="20"/>
  <c r="U403" i="20"/>
  <c r="T403" i="20"/>
  <c r="S403" i="20"/>
  <c r="R403" i="20"/>
  <c r="Q403" i="20"/>
  <c r="P403" i="20"/>
  <c r="O403" i="20"/>
  <c r="N403" i="20"/>
  <c r="M403" i="20"/>
  <c r="AN402" i="20"/>
  <c r="AM402" i="20"/>
  <c r="AL402" i="20"/>
  <c r="AK402" i="20"/>
  <c r="AJ402" i="20"/>
  <c r="AI402" i="20"/>
  <c r="AH402" i="20"/>
  <c r="AG402" i="20"/>
  <c r="AF402" i="20"/>
  <c r="AE402" i="20"/>
  <c r="AD402" i="20"/>
  <c r="AC402" i="20"/>
  <c r="AB402" i="20"/>
  <c r="AA402" i="20"/>
  <c r="Z402" i="20"/>
  <c r="Y402" i="20"/>
  <c r="X402" i="20"/>
  <c r="W402" i="20"/>
  <c r="V402" i="20"/>
  <c r="U402" i="20"/>
  <c r="T402" i="20"/>
  <c r="S402" i="20"/>
  <c r="R402" i="20"/>
  <c r="Q402" i="20"/>
  <c r="P402" i="20"/>
  <c r="O402" i="20"/>
  <c r="N402" i="20"/>
  <c r="M402" i="20"/>
  <c r="AN401" i="20"/>
  <c r="AM401" i="20"/>
  <c r="AL401" i="20"/>
  <c r="AK401" i="20"/>
  <c r="AJ401" i="20"/>
  <c r="AI401" i="20"/>
  <c r="AH401" i="20"/>
  <c r="AG401" i="20"/>
  <c r="AF401" i="20"/>
  <c r="AE401" i="20"/>
  <c r="AD401" i="20"/>
  <c r="AC401" i="20"/>
  <c r="AB401" i="20"/>
  <c r="AA401" i="20"/>
  <c r="Z401" i="20"/>
  <c r="Y401" i="20"/>
  <c r="X401" i="20"/>
  <c r="W401" i="20"/>
  <c r="V401" i="20"/>
  <c r="U401" i="20"/>
  <c r="T401" i="20"/>
  <c r="S401" i="20"/>
  <c r="R401" i="20"/>
  <c r="Q401" i="20"/>
  <c r="P401" i="20"/>
  <c r="O401" i="20"/>
  <c r="N401" i="20"/>
  <c r="M401" i="20"/>
  <c r="AN400" i="20"/>
  <c r="AM400" i="20"/>
  <c r="AL400" i="20"/>
  <c r="AK400" i="20"/>
  <c r="AJ400" i="20"/>
  <c r="AI400" i="20"/>
  <c r="AH400" i="20"/>
  <c r="AG400" i="20"/>
  <c r="AF400" i="20"/>
  <c r="AE400" i="20"/>
  <c r="AD400" i="20"/>
  <c r="AC400" i="20"/>
  <c r="AB400" i="20"/>
  <c r="AA400" i="20"/>
  <c r="Z400" i="20"/>
  <c r="Y400" i="20"/>
  <c r="X400" i="20"/>
  <c r="W400" i="20"/>
  <c r="V400" i="20"/>
  <c r="U400" i="20"/>
  <c r="T400" i="20"/>
  <c r="S400" i="20"/>
  <c r="R400" i="20"/>
  <c r="Q400" i="20"/>
  <c r="P400" i="20"/>
  <c r="O400" i="20"/>
  <c r="N400" i="20"/>
  <c r="M400" i="20"/>
  <c r="N397" i="20"/>
  <c r="O397" i="20"/>
  <c r="P397" i="20"/>
  <c r="Q397" i="20"/>
  <c r="R397" i="20"/>
  <c r="S397" i="20"/>
  <c r="T397" i="20"/>
  <c r="U397" i="20"/>
  <c r="V397" i="20"/>
  <c r="W397" i="20"/>
  <c r="X397" i="20"/>
  <c r="Y397" i="20"/>
  <c r="Z397" i="20"/>
  <c r="AA397" i="20"/>
  <c r="AB397" i="20"/>
  <c r="AC397" i="20"/>
  <c r="AD397" i="20"/>
  <c r="AE397" i="20"/>
  <c r="AF397" i="20"/>
  <c r="AG397" i="20"/>
  <c r="AH397" i="20"/>
  <c r="AI397" i="20"/>
  <c r="AJ397" i="20"/>
  <c r="AK397" i="20"/>
  <c r="AL397" i="20"/>
  <c r="AM397" i="20"/>
  <c r="AN397" i="20"/>
  <c r="N398" i="20"/>
  <c r="O398" i="20"/>
  <c r="P398" i="20"/>
  <c r="Q398" i="20"/>
  <c r="R398" i="20"/>
  <c r="S398" i="20"/>
  <c r="T398" i="20"/>
  <c r="U398" i="20"/>
  <c r="V398" i="20"/>
  <c r="W398" i="20"/>
  <c r="X398" i="20"/>
  <c r="Y398" i="20"/>
  <c r="Z398" i="20"/>
  <c r="AA398" i="20"/>
  <c r="AB398" i="20"/>
  <c r="AC398" i="20"/>
  <c r="AD398" i="20"/>
  <c r="AE398" i="20"/>
  <c r="AF398" i="20"/>
  <c r="AG398" i="20"/>
  <c r="AH398" i="20"/>
  <c r="AI398" i="20"/>
  <c r="AJ398" i="20"/>
  <c r="AK398" i="20"/>
  <c r="AL398" i="20"/>
  <c r="AM398" i="20"/>
  <c r="AN398" i="20"/>
  <c r="N399" i="20"/>
  <c r="O399" i="20"/>
  <c r="P399" i="20"/>
  <c r="Q399" i="20"/>
  <c r="R399" i="20"/>
  <c r="S399" i="20"/>
  <c r="T399" i="20"/>
  <c r="U399" i="20"/>
  <c r="V399" i="20"/>
  <c r="W399" i="20"/>
  <c r="X399" i="20"/>
  <c r="Y399" i="20"/>
  <c r="Z399" i="20"/>
  <c r="AA399" i="20"/>
  <c r="AB399" i="20"/>
  <c r="AC399" i="20"/>
  <c r="AD399" i="20"/>
  <c r="AE399" i="20"/>
  <c r="AF399" i="20"/>
  <c r="AG399" i="20"/>
  <c r="AH399" i="20"/>
  <c r="AI399" i="20"/>
  <c r="AJ399" i="20"/>
  <c r="AK399" i="20"/>
  <c r="AL399" i="20"/>
  <c r="AM399" i="20"/>
  <c r="AN399" i="20"/>
  <c r="M398" i="20"/>
  <c r="M399" i="20"/>
  <c r="M397" i="20"/>
  <c r="AC396" i="20"/>
  <c r="AN396" i="20"/>
  <c r="AM396" i="20"/>
  <c r="AL396" i="20"/>
  <c r="AK396" i="20"/>
  <c r="AJ396" i="20"/>
  <c r="AI396" i="20"/>
  <c r="AH396" i="20"/>
  <c r="AG396" i="20"/>
  <c r="AF396" i="20"/>
  <c r="AE396" i="20"/>
  <c r="AD396" i="20"/>
  <c r="AB396" i="20"/>
  <c r="AA396" i="20"/>
  <c r="Z396" i="20"/>
  <c r="Y396" i="20"/>
  <c r="X396" i="20"/>
  <c r="W396" i="20"/>
  <c r="V396" i="20"/>
  <c r="U396" i="20"/>
  <c r="T396" i="20"/>
  <c r="S396" i="20"/>
  <c r="R396" i="20"/>
  <c r="Q396" i="20"/>
  <c r="P396" i="20"/>
  <c r="O396" i="20"/>
  <c r="N396" i="20"/>
  <c r="M396" i="20"/>
  <c r="AN395" i="20"/>
  <c r="AM395" i="20"/>
  <c r="AL395" i="20"/>
  <c r="AK395" i="20"/>
  <c r="AJ395" i="20"/>
  <c r="AI395" i="20"/>
  <c r="AH395" i="20"/>
  <c r="AG395" i="20"/>
  <c r="AF395" i="20"/>
  <c r="AE395" i="20"/>
  <c r="AD395" i="20"/>
  <c r="AC395" i="20"/>
  <c r="AB395" i="20"/>
  <c r="AA395" i="20"/>
  <c r="Z395" i="20"/>
  <c r="Y395" i="20"/>
  <c r="X395" i="20"/>
  <c r="W395" i="20"/>
  <c r="V395" i="20"/>
  <c r="U395" i="20"/>
  <c r="T395" i="20"/>
  <c r="S395" i="20"/>
  <c r="R395" i="20"/>
  <c r="Q395" i="20"/>
  <c r="P395" i="20"/>
  <c r="O395" i="20"/>
  <c r="N395" i="20"/>
  <c r="M395" i="20"/>
  <c r="AN394" i="20"/>
  <c r="AM394" i="20"/>
  <c r="AL394" i="20"/>
  <c r="AK394" i="20"/>
  <c r="AJ394" i="20"/>
  <c r="AI394" i="20"/>
  <c r="AH394" i="20"/>
  <c r="AG394" i="20"/>
  <c r="AF394" i="20"/>
  <c r="AE394" i="20"/>
  <c r="AD394" i="20"/>
  <c r="AC394" i="20"/>
  <c r="AB394" i="20"/>
  <c r="AA394" i="20"/>
  <c r="Z394" i="20"/>
  <c r="Y394" i="20"/>
  <c r="X394" i="20"/>
  <c r="W394" i="20"/>
  <c r="V394" i="20"/>
  <c r="U394" i="20"/>
  <c r="T394" i="20"/>
  <c r="S394" i="20"/>
  <c r="R394" i="20"/>
  <c r="Q394" i="20"/>
  <c r="P394" i="20"/>
  <c r="O394" i="20"/>
  <c r="N394" i="20"/>
  <c r="M394" i="20"/>
  <c r="AN393" i="20"/>
  <c r="AM393" i="20"/>
  <c r="AL393" i="20"/>
  <c r="AK393" i="20"/>
  <c r="AJ393" i="20"/>
  <c r="AI393" i="20"/>
  <c r="AH393" i="20"/>
  <c r="AG393" i="20"/>
  <c r="AF393" i="20"/>
  <c r="AE393" i="20"/>
  <c r="AD393" i="20"/>
  <c r="AC393" i="20"/>
  <c r="AB393" i="20"/>
  <c r="AA393" i="20"/>
  <c r="Z393" i="20"/>
  <c r="Y393" i="20"/>
  <c r="X393" i="20"/>
  <c r="W393" i="20"/>
  <c r="V393" i="20"/>
  <c r="U393" i="20"/>
  <c r="T393" i="20"/>
  <c r="S393" i="20"/>
  <c r="R393" i="20"/>
  <c r="Q393" i="20"/>
  <c r="P393" i="20"/>
  <c r="O393" i="20"/>
  <c r="N393" i="20"/>
  <c r="M393" i="20"/>
  <c r="AN392" i="20"/>
  <c r="AM392" i="20"/>
  <c r="AL392" i="20"/>
  <c r="AK392" i="20"/>
  <c r="AJ392" i="20"/>
  <c r="AI392" i="20"/>
  <c r="AH392" i="20"/>
  <c r="AG392" i="20"/>
  <c r="AF392" i="20"/>
  <c r="AE392" i="20"/>
  <c r="AD392" i="20"/>
  <c r="AC392" i="20"/>
  <c r="AB392" i="20"/>
  <c r="AA392" i="20"/>
  <c r="Z392" i="20"/>
  <c r="Y392" i="20"/>
  <c r="X392" i="20"/>
  <c r="W392" i="20"/>
  <c r="V392" i="20"/>
  <c r="U392" i="20"/>
  <c r="T392" i="20"/>
  <c r="S392" i="20"/>
  <c r="R392" i="20"/>
  <c r="Q392" i="20"/>
  <c r="P392" i="20"/>
  <c r="O392" i="20"/>
  <c r="N392" i="20"/>
  <c r="M392" i="20"/>
  <c r="AN391" i="20"/>
  <c r="AM391" i="20"/>
  <c r="AL391" i="20"/>
  <c r="AK391" i="20"/>
  <c r="AJ391" i="20"/>
  <c r="AI391" i="20"/>
  <c r="AH391" i="20"/>
  <c r="AG391" i="20"/>
  <c r="AF391" i="20"/>
  <c r="AE391" i="20"/>
  <c r="AD391" i="20"/>
  <c r="AC391" i="20"/>
  <c r="AB391" i="20"/>
  <c r="AA391" i="20"/>
  <c r="Z391" i="20"/>
  <c r="Y391" i="20"/>
  <c r="X391" i="20"/>
  <c r="W391" i="20"/>
  <c r="V391" i="20"/>
  <c r="U391" i="20"/>
  <c r="T391" i="20"/>
  <c r="S391" i="20"/>
  <c r="R391" i="20"/>
  <c r="Q391" i="20"/>
  <c r="P391" i="20"/>
  <c r="O391" i="20"/>
  <c r="N391" i="20"/>
  <c r="M391" i="20"/>
  <c r="M388" i="20"/>
  <c r="N388" i="20"/>
  <c r="O388" i="20"/>
  <c r="P388" i="20"/>
  <c r="Q388" i="20"/>
  <c r="R388" i="20"/>
  <c r="S388" i="20"/>
  <c r="T388" i="20"/>
  <c r="U388" i="20"/>
  <c r="V388" i="20"/>
  <c r="W388" i="20"/>
  <c r="X388" i="20"/>
  <c r="Y388" i="20"/>
  <c r="Z388" i="20"/>
  <c r="AA388" i="20"/>
  <c r="AB388" i="20"/>
  <c r="AC388" i="20"/>
  <c r="AD388" i="20"/>
  <c r="AE388" i="20"/>
  <c r="AF388" i="20"/>
  <c r="AG388" i="20"/>
  <c r="AH388" i="20"/>
  <c r="AI388" i="20"/>
  <c r="AJ388" i="20"/>
  <c r="AK388" i="20"/>
  <c r="AL388" i="20"/>
  <c r="AM388" i="20"/>
  <c r="AN388" i="20"/>
  <c r="AL390" i="20"/>
  <c r="AK390" i="20"/>
  <c r="AJ390" i="20"/>
  <c r="AI390" i="20"/>
  <c r="AH390" i="20"/>
  <c r="AG390" i="20"/>
  <c r="AF390" i="20"/>
  <c r="AE390" i="20"/>
  <c r="AD390" i="20"/>
  <c r="AC390" i="20"/>
  <c r="AB390" i="20"/>
  <c r="AA390" i="20"/>
  <c r="Z390" i="20"/>
  <c r="Y390" i="20"/>
  <c r="X390" i="20"/>
  <c r="W390" i="20"/>
  <c r="V390" i="20"/>
  <c r="U390" i="20"/>
  <c r="T390" i="20"/>
  <c r="S390" i="20"/>
  <c r="R390" i="20"/>
  <c r="Q390" i="20"/>
  <c r="P390" i="20"/>
  <c r="O390" i="20"/>
  <c r="N390" i="20"/>
  <c r="M390" i="20"/>
  <c r="L390" i="20"/>
  <c r="K390" i="20"/>
  <c r="J390" i="20"/>
  <c r="I390" i="20"/>
  <c r="H390" i="20"/>
  <c r="G390" i="20"/>
  <c r="F390" i="20"/>
  <c r="AN389" i="20"/>
  <c r="AM389" i="20"/>
  <c r="AL389" i="20"/>
  <c r="AK389" i="20"/>
  <c r="AJ389" i="20"/>
  <c r="AI389" i="20"/>
  <c r="AH389" i="20"/>
  <c r="AG389" i="20"/>
  <c r="AF389" i="20"/>
  <c r="AE389" i="20"/>
  <c r="AD389" i="20"/>
  <c r="AC389" i="20"/>
  <c r="AB389" i="20"/>
  <c r="AA389" i="20"/>
  <c r="Z389" i="20"/>
  <c r="Y389" i="20"/>
  <c r="X389" i="20"/>
  <c r="W389" i="20"/>
  <c r="V389" i="20"/>
  <c r="U389" i="20"/>
  <c r="T389" i="20"/>
  <c r="S389" i="20"/>
  <c r="R389" i="20"/>
  <c r="Q389" i="20"/>
  <c r="P389" i="20"/>
  <c r="O389" i="20"/>
  <c r="N389" i="20"/>
  <c r="M389" i="20"/>
  <c r="L389" i="20"/>
  <c r="K389" i="20"/>
  <c r="J389" i="20"/>
  <c r="I389" i="20"/>
  <c r="H389" i="20"/>
  <c r="G389" i="20"/>
  <c r="F389" i="20"/>
  <c r="L388" i="20"/>
  <c r="K388" i="20"/>
  <c r="J388" i="20"/>
  <c r="I388" i="20"/>
  <c r="H388" i="20"/>
  <c r="G388" i="20"/>
  <c r="F388" i="20"/>
  <c r="L387" i="20"/>
  <c r="K387" i="20"/>
  <c r="J387" i="20"/>
  <c r="I387" i="20"/>
  <c r="H387" i="20"/>
  <c r="G387" i="20"/>
  <c r="F387" i="20"/>
  <c r="AN386" i="20"/>
  <c r="AM386" i="20"/>
  <c r="AL386" i="20"/>
  <c r="AK386" i="20"/>
  <c r="AJ386" i="20"/>
  <c r="AI386" i="20"/>
  <c r="AH386" i="20"/>
  <c r="AG386" i="20"/>
  <c r="AF386" i="20"/>
  <c r="AE386" i="20"/>
  <c r="AD386" i="20"/>
  <c r="AC386" i="20"/>
  <c r="AB386" i="20"/>
  <c r="AA386" i="20"/>
  <c r="Z386" i="20"/>
  <c r="Y386" i="20"/>
  <c r="X386" i="20"/>
  <c r="W386" i="20"/>
  <c r="V386" i="20"/>
  <c r="U386" i="20"/>
  <c r="T386" i="20"/>
  <c r="S386" i="20"/>
  <c r="R386" i="20"/>
  <c r="Q386" i="20"/>
  <c r="P386" i="20"/>
  <c r="O386" i="20"/>
  <c r="N386" i="20"/>
  <c r="M386" i="20"/>
  <c r="L386" i="20"/>
  <c r="K386" i="20"/>
  <c r="J386" i="20"/>
  <c r="I386" i="20"/>
  <c r="H386" i="20"/>
  <c r="G386" i="20"/>
  <c r="F386" i="20"/>
  <c r="AN385" i="20"/>
  <c r="AM385" i="20"/>
  <c r="AL385" i="20"/>
  <c r="AK385" i="20"/>
  <c r="AJ385" i="20"/>
  <c r="AI385" i="20"/>
  <c r="AH385" i="20"/>
  <c r="AG385" i="20"/>
  <c r="AF385" i="20"/>
  <c r="AE385" i="20"/>
  <c r="AD385" i="20"/>
  <c r="AC385" i="20"/>
  <c r="AB385" i="20"/>
  <c r="AA385" i="20"/>
  <c r="Z385" i="20"/>
  <c r="Y385" i="20"/>
  <c r="X385" i="20"/>
  <c r="W385" i="20"/>
  <c r="V385" i="20"/>
  <c r="U385" i="20"/>
  <c r="T385" i="20"/>
  <c r="S385" i="20"/>
  <c r="R385" i="20"/>
  <c r="Q385" i="20"/>
  <c r="P385" i="20"/>
  <c r="O385" i="20"/>
  <c r="N385" i="20"/>
  <c r="M385" i="20"/>
  <c r="L385" i="20"/>
  <c r="K385" i="20"/>
  <c r="J385" i="20"/>
  <c r="I385" i="20"/>
  <c r="H385" i="20"/>
  <c r="G385" i="20"/>
  <c r="F385" i="20"/>
  <c r="N385" i="8"/>
  <c r="N387" i="20" s="1"/>
  <c r="O385" i="8"/>
  <c r="O387" i="20" s="1"/>
  <c r="P385" i="8"/>
  <c r="P387" i="20"/>
  <c r="Q385" i="8"/>
  <c r="Q387" i="20" s="1"/>
  <c r="R385" i="8"/>
  <c r="R387" i="20" s="1"/>
  <c r="S385" i="8"/>
  <c r="S387" i="20" s="1"/>
  <c r="T385" i="8"/>
  <c r="T387" i="20"/>
  <c r="U385" i="8"/>
  <c r="U387" i="20" s="1"/>
  <c r="V385" i="8"/>
  <c r="V387" i="20" s="1"/>
  <c r="W385" i="8"/>
  <c r="W387" i="20" s="1"/>
  <c r="X385" i="8"/>
  <c r="X387" i="20"/>
  <c r="Y385" i="8"/>
  <c r="Y387" i="20" s="1"/>
  <c r="Z385" i="8"/>
  <c r="Z387" i="20" s="1"/>
  <c r="AA385" i="8"/>
  <c r="AA387" i="20" s="1"/>
  <c r="AB385" i="8"/>
  <c r="AB387" i="20"/>
  <c r="AC385" i="8"/>
  <c r="AC387" i="20" s="1"/>
  <c r="AD385" i="8"/>
  <c r="AD387" i="20" s="1"/>
  <c r="AE385" i="8"/>
  <c r="AE387" i="20" s="1"/>
  <c r="AF385" i="8"/>
  <c r="AF387" i="20" s="1"/>
  <c r="AG385" i="8"/>
  <c r="AG387" i="20" s="1"/>
  <c r="AH385" i="8"/>
  <c r="AH387" i="20" s="1"/>
  <c r="AI385" i="8"/>
  <c r="AI387" i="20" s="1"/>
  <c r="AJ385" i="8"/>
  <c r="AJ387" i="20"/>
  <c r="AK385" i="8"/>
  <c r="AK387" i="20"/>
  <c r="AL385" i="8"/>
  <c r="AL387" i="20" s="1"/>
  <c r="AM385" i="8"/>
  <c r="AN385" i="8"/>
  <c r="M385" i="8"/>
  <c r="M387" i="20" s="1"/>
  <c r="F379" i="20"/>
  <c r="G379" i="20"/>
  <c r="H379" i="20"/>
  <c r="I379" i="20"/>
  <c r="J379" i="20"/>
  <c r="K379" i="20"/>
  <c r="L379" i="20"/>
  <c r="M379" i="20"/>
  <c r="N379" i="20"/>
  <c r="O379" i="20"/>
  <c r="P379" i="20"/>
  <c r="Q379" i="20"/>
  <c r="R379" i="20"/>
  <c r="S379" i="20"/>
  <c r="T379" i="20"/>
  <c r="U379" i="20"/>
  <c r="V379" i="20"/>
  <c r="W379" i="20"/>
  <c r="X379" i="20"/>
  <c r="Y379" i="20"/>
  <c r="Z379" i="20"/>
  <c r="AA379" i="20"/>
  <c r="AB379" i="20"/>
  <c r="AC379" i="20"/>
  <c r="AD379" i="20"/>
  <c r="AE379" i="20"/>
  <c r="AF379" i="20"/>
  <c r="AG379" i="20"/>
  <c r="AH379" i="20"/>
  <c r="AI379" i="20"/>
  <c r="AJ379" i="20"/>
  <c r="AK379" i="20"/>
  <c r="AL379" i="20"/>
  <c r="AM379" i="20"/>
  <c r="AN379" i="20"/>
  <c r="F380" i="20"/>
  <c r="G380" i="20"/>
  <c r="H380" i="20"/>
  <c r="I380" i="20"/>
  <c r="J380" i="20"/>
  <c r="K380" i="20"/>
  <c r="L380" i="20"/>
  <c r="M380" i="20"/>
  <c r="N380" i="20"/>
  <c r="O380" i="20"/>
  <c r="P380" i="20"/>
  <c r="Q380" i="20"/>
  <c r="R380" i="20"/>
  <c r="S380" i="20"/>
  <c r="T380" i="20"/>
  <c r="U380" i="20"/>
  <c r="V380" i="20"/>
  <c r="W380" i="20"/>
  <c r="X380" i="20"/>
  <c r="Y380" i="20"/>
  <c r="Z380" i="20"/>
  <c r="AA380" i="20"/>
  <c r="AB380" i="20"/>
  <c r="AC380" i="20"/>
  <c r="AD380" i="20"/>
  <c r="AE380" i="20"/>
  <c r="AF380" i="20"/>
  <c r="AG380" i="20"/>
  <c r="AH380" i="20"/>
  <c r="AI380" i="20"/>
  <c r="AJ380" i="20"/>
  <c r="AK380" i="20"/>
  <c r="AL380" i="20"/>
  <c r="AM380" i="20"/>
  <c r="AN380" i="20"/>
  <c r="F381" i="20"/>
  <c r="G381" i="20"/>
  <c r="H381" i="20"/>
  <c r="I381" i="20"/>
  <c r="J381" i="20"/>
  <c r="K381" i="20"/>
  <c r="L381" i="20"/>
  <c r="F382" i="20"/>
  <c r="G382" i="20"/>
  <c r="H382" i="20"/>
  <c r="I382" i="20"/>
  <c r="J382" i="20"/>
  <c r="K382" i="20"/>
  <c r="L382" i="20"/>
  <c r="M382" i="20"/>
  <c r="N382" i="20"/>
  <c r="O382" i="20"/>
  <c r="P382" i="20"/>
  <c r="Q382" i="20"/>
  <c r="R382" i="20"/>
  <c r="S382" i="20"/>
  <c r="T382" i="20"/>
  <c r="U382" i="20"/>
  <c r="V382" i="20"/>
  <c r="W382" i="20"/>
  <c r="X382" i="20"/>
  <c r="Y382" i="20"/>
  <c r="Z382" i="20"/>
  <c r="AA382" i="20"/>
  <c r="AB382" i="20"/>
  <c r="AC382" i="20"/>
  <c r="AD382" i="20"/>
  <c r="AE382" i="20"/>
  <c r="AF382" i="20"/>
  <c r="AG382" i="20"/>
  <c r="AH382" i="20"/>
  <c r="AI382" i="20"/>
  <c r="AJ382" i="20"/>
  <c r="AK382" i="20"/>
  <c r="AL382" i="20"/>
  <c r="AM382" i="20"/>
  <c r="AN382" i="20"/>
  <c r="F383" i="20"/>
  <c r="G383" i="20"/>
  <c r="H383" i="20"/>
  <c r="I383" i="20"/>
  <c r="J383" i="20"/>
  <c r="K383" i="20"/>
  <c r="L383" i="20"/>
  <c r="M383" i="20"/>
  <c r="N383" i="20"/>
  <c r="O383" i="20"/>
  <c r="P383" i="20"/>
  <c r="Q383" i="20"/>
  <c r="R383" i="20"/>
  <c r="S383" i="20"/>
  <c r="T383" i="20"/>
  <c r="U383" i="20"/>
  <c r="V383" i="20"/>
  <c r="W383" i="20"/>
  <c r="X383" i="20"/>
  <c r="Y383" i="20"/>
  <c r="Z383" i="20"/>
  <c r="AA383" i="20"/>
  <c r="AB383" i="20"/>
  <c r="AC383" i="20"/>
  <c r="AD383" i="20"/>
  <c r="AE383" i="20"/>
  <c r="AF383" i="20"/>
  <c r="AG383" i="20"/>
  <c r="AH383" i="20"/>
  <c r="AI383" i="20"/>
  <c r="AJ383" i="20"/>
  <c r="AK383" i="20"/>
  <c r="AL383" i="20"/>
  <c r="AM383" i="20"/>
  <c r="AN383" i="20"/>
  <c r="F384" i="20"/>
  <c r="G384" i="20"/>
  <c r="H384" i="20"/>
  <c r="I384" i="20"/>
  <c r="J384" i="20"/>
  <c r="K384" i="20"/>
  <c r="L384" i="20"/>
  <c r="M382" i="8"/>
  <c r="M384" i="20" s="1"/>
  <c r="N382" i="8"/>
  <c r="N384" i="20" s="1"/>
  <c r="O382" i="8"/>
  <c r="O384" i="20"/>
  <c r="P382" i="8"/>
  <c r="P384" i="20" s="1"/>
  <c r="Q382" i="8"/>
  <c r="Q384" i="20" s="1"/>
  <c r="R382" i="8"/>
  <c r="R384" i="20" s="1"/>
  <c r="S382" i="8"/>
  <c r="S384" i="20"/>
  <c r="T382" i="8"/>
  <c r="T384" i="20" s="1"/>
  <c r="U382" i="8"/>
  <c r="U384" i="20" s="1"/>
  <c r="V382" i="8"/>
  <c r="V384" i="20" s="1"/>
  <c r="W382" i="8"/>
  <c r="W384" i="20"/>
  <c r="X382" i="8"/>
  <c r="X384" i="20" s="1"/>
  <c r="Y382" i="8"/>
  <c r="Y384" i="20" s="1"/>
  <c r="Z382" i="8"/>
  <c r="Z384" i="20" s="1"/>
  <c r="AA382" i="8"/>
  <c r="AA384" i="20"/>
  <c r="AB382" i="8"/>
  <c r="AB384" i="20" s="1"/>
  <c r="AC382" i="8"/>
  <c r="AC384" i="20" s="1"/>
  <c r="AD382" i="8"/>
  <c r="AD384" i="20" s="1"/>
  <c r="AE382" i="8"/>
  <c r="AE384" i="20" s="1"/>
  <c r="AF382" i="8"/>
  <c r="AF384" i="20" s="1"/>
  <c r="AG382" i="8"/>
  <c r="AG384" i="20" s="1"/>
  <c r="AH382" i="8"/>
  <c r="AH384" i="20" s="1"/>
  <c r="AI382" i="8"/>
  <c r="AI384" i="20"/>
  <c r="AJ382" i="8"/>
  <c r="AJ384" i="20"/>
  <c r="AK382" i="8"/>
  <c r="AK384" i="20" s="1"/>
  <c r="AL382" i="8"/>
  <c r="AL384" i="20" s="1"/>
  <c r="AM382" i="8"/>
  <c r="AN382" i="8"/>
  <c r="D22" i="8"/>
  <c r="E22" i="8"/>
  <c r="D25" i="8"/>
  <c r="E25" i="8"/>
  <c r="D28" i="8"/>
  <c r="E28" i="8"/>
  <c r="D31" i="8"/>
  <c r="E31" i="8"/>
  <c r="D34" i="8"/>
  <c r="E34" i="8"/>
  <c r="D37" i="8"/>
  <c r="E37" i="8"/>
  <c r="D40" i="8"/>
  <c r="E40" i="8"/>
  <c r="D43" i="8"/>
  <c r="E43" i="8"/>
  <c r="D46" i="8"/>
  <c r="E46" i="8"/>
  <c r="D49" i="8"/>
  <c r="E49" i="8"/>
  <c r="D52" i="8"/>
  <c r="E52" i="8"/>
  <c r="D55" i="8"/>
  <c r="E55" i="8"/>
  <c r="D58" i="8"/>
  <c r="E58" i="8"/>
  <c r="D61" i="8"/>
  <c r="E61" i="8"/>
  <c r="D64" i="8"/>
  <c r="E64" i="8"/>
  <c r="D67" i="8"/>
  <c r="E67" i="8"/>
  <c r="D70" i="8"/>
  <c r="E70" i="8"/>
  <c r="D73" i="8"/>
  <c r="E73" i="8"/>
  <c r="E76" i="8"/>
  <c r="D79" i="8"/>
  <c r="E79" i="8"/>
  <c r="D82" i="8"/>
  <c r="E82" i="8"/>
  <c r="D85" i="8"/>
  <c r="E85" i="8"/>
  <c r="D88" i="8"/>
  <c r="E88" i="8"/>
  <c r="D91" i="8"/>
  <c r="E91" i="8"/>
  <c r="D94" i="8"/>
  <c r="E94" i="8"/>
  <c r="D97" i="8"/>
  <c r="E97" i="8"/>
  <c r="D100" i="8"/>
  <c r="E100" i="8"/>
  <c r="D103" i="8"/>
  <c r="E103" i="8"/>
  <c r="D106" i="8"/>
  <c r="E106" i="8"/>
  <c r="D109" i="8"/>
  <c r="E109" i="8"/>
  <c r="D112" i="8"/>
  <c r="E112" i="8"/>
  <c r="D115" i="8"/>
  <c r="E115" i="8"/>
  <c r="D118" i="8"/>
  <c r="E118" i="8"/>
  <c r="D121" i="8"/>
  <c r="E121" i="8"/>
  <c r="D124" i="8"/>
  <c r="E124" i="8"/>
  <c r="D127" i="8"/>
  <c r="E127" i="8"/>
  <c r="D130" i="8"/>
  <c r="E130" i="8"/>
  <c r="D133" i="8"/>
  <c r="E133" i="8"/>
  <c r="D136" i="8"/>
  <c r="E136" i="8"/>
  <c r="D139" i="8"/>
  <c r="E139" i="8"/>
  <c r="D142" i="8"/>
  <c r="E142" i="8"/>
  <c r="D145" i="8"/>
  <c r="E145" i="8"/>
  <c r="D364" i="8"/>
  <c r="E364" i="8"/>
  <c r="D367" i="8"/>
  <c r="E367" i="8"/>
  <c r="D370" i="8"/>
  <c r="E370" i="8"/>
  <c r="M379" i="8"/>
  <c r="M381" i="20" s="1"/>
  <c r="N379" i="8"/>
  <c r="N381" i="20"/>
  <c r="O379" i="8"/>
  <c r="O381" i="20"/>
  <c r="P379" i="8"/>
  <c r="Q379" i="8"/>
  <c r="Q381" i="20" s="1"/>
  <c r="R379" i="8"/>
  <c r="R381" i="20" s="1"/>
  <c r="S379" i="8"/>
  <c r="S381" i="20" s="1"/>
  <c r="T379" i="8"/>
  <c r="T381" i="20" s="1"/>
  <c r="U379" i="8"/>
  <c r="U381" i="20"/>
  <c r="V379" i="8"/>
  <c r="W379" i="8"/>
  <c r="W381" i="20"/>
  <c r="X379" i="8"/>
  <c r="X381" i="20"/>
  <c r="Y379" i="8"/>
  <c r="Y381" i="20" s="1"/>
  <c r="Z379" i="8"/>
  <c r="Z381" i="20"/>
  <c r="AA379" i="8"/>
  <c r="AA381" i="20" s="1"/>
  <c r="AB379" i="8"/>
  <c r="AB381" i="20"/>
  <c r="AC379" i="8"/>
  <c r="AC381" i="20"/>
  <c r="AD379" i="8"/>
  <c r="AD381" i="20" s="1"/>
  <c r="AE379" i="8"/>
  <c r="AE381" i="20"/>
  <c r="AF379" i="8"/>
  <c r="AF381" i="20"/>
  <c r="AG379" i="8"/>
  <c r="AG381" i="20" s="1"/>
  <c r="AH379" i="8"/>
  <c r="AH381" i="20"/>
  <c r="AI379" i="8"/>
  <c r="AI381" i="20" s="1"/>
  <c r="AJ379" i="8"/>
  <c r="AJ381" i="20"/>
  <c r="AK379" i="8"/>
  <c r="AK381" i="20" s="1"/>
  <c r="AL379" i="8"/>
  <c r="AM379" i="8"/>
  <c r="AM381" i="20" s="1"/>
  <c r="AN379" i="8"/>
  <c r="F376" i="20"/>
  <c r="G376" i="20"/>
  <c r="H376" i="20"/>
  <c r="I376" i="20"/>
  <c r="J376" i="20"/>
  <c r="K376" i="20"/>
  <c r="L376" i="20"/>
  <c r="M376" i="20"/>
  <c r="N376" i="20"/>
  <c r="O376" i="20"/>
  <c r="P376" i="20"/>
  <c r="Q376" i="20"/>
  <c r="R376" i="20"/>
  <c r="S376" i="20"/>
  <c r="T376" i="20"/>
  <c r="U376" i="20"/>
  <c r="V376" i="20"/>
  <c r="W376" i="20"/>
  <c r="X376" i="20"/>
  <c r="Y376" i="20"/>
  <c r="Z376" i="20"/>
  <c r="AA376" i="20"/>
  <c r="AB376" i="20"/>
  <c r="AC376" i="20"/>
  <c r="AD376" i="20"/>
  <c r="AE376" i="20"/>
  <c r="AF376" i="20"/>
  <c r="AG376" i="20"/>
  <c r="AH376" i="20"/>
  <c r="AI376" i="20"/>
  <c r="AJ376" i="20"/>
  <c r="AK376" i="20"/>
  <c r="AL376" i="20"/>
  <c r="AM376" i="20"/>
  <c r="AN376" i="20"/>
  <c r="F377" i="20"/>
  <c r="G377" i="20"/>
  <c r="H377" i="20"/>
  <c r="I377" i="20"/>
  <c r="J377" i="20"/>
  <c r="K377" i="20"/>
  <c r="L377" i="20"/>
  <c r="M377" i="20"/>
  <c r="N377" i="20"/>
  <c r="O377" i="20"/>
  <c r="P377" i="20"/>
  <c r="Q377" i="20"/>
  <c r="R377" i="20"/>
  <c r="S377" i="20"/>
  <c r="T377" i="20"/>
  <c r="U377" i="20"/>
  <c r="V377" i="20"/>
  <c r="W377" i="20"/>
  <c r="X377" i="20"/>
  <c r="Y377" i="20"/>
  <c r="Z377" i="20"/>
  <c r="AA377" i="20"/>
  <c r="AB377" i="20"/>
  <c r="AC377" i="20"/>
  <c r="AD377" i="20"/>
  <c r="AE377" i="20"/>
  <c r="AF377" i="20"/>
  <c r="AG377" i="20"/>
  <c r="AH377" i="20"/>
  <c r="AI377" i="20"/>
  <c r="AJ377" i="20"/>
  <c r="AK377" i="20"/>
  <c r="AL377" i="20"/>
  <c r="AM377" i="20"/>
  <c r="AN377" i="20"/>
  <c r="F378" i="20"/>
  <c r="G378" i="20"/>
  <c r="H378" i="20"/>
  <c r="I378" i="20"/>
  <c r="J378" i="20"/>
  <c r="K378" i="20"/>
  <c r="L378" i="20"/>
  <c r="AN376" i="8"/>
  <c r="AM376" i="8"/>
  <c r="AL376" i="8"/>
  <c r="AL378" i="20" s="1"/>
  <c r="AK376" i="8"/>
  <c r="AK378" i="20"/>
  <c r="AJ376" i="8"/>
  <c r="AJ378" i="20" s="1"/>
  <c r="AI376" i="8"/>
  <c r="AI378" i="20"/>
  <c r="AH376" i="8"/>
  <c r="AH378" i="20" s="1"/>
  <c r="AG376" i="8"/>
  <c r="AG378" i="20" s="1"/>
  <c r="AF376" i="8"/>
  <c r="AF378" i="20"/>
  <c r="AE376" i="8"/>
  <c r="AE378" i="20" s="1"/>
  <c r="AD376" i="8"/>
  <c r="AD378" i="20" s="1"/>
  <c r="AC376" i="8"/>
  <c r="AC378" i="20" s="1"/>
  <c r="AB376" i="8"/>
  <c r="AB378" i="20" s="1"/>
  <c r="AA376" i="8"/>
  <c r="AA378" i="20" s="1"/>
  <c r="Z376" i="8"/>
  <c r="Z378" i="20" s="1"/>
  <c r="Y376" i="8"/>
  <c r="Y378" i="20" s="1"/>
  <c r="X376" i="8"/>
  <c r="X378" i="20" s="1"/>
  <c r="W376" i="8"/>
  <c r="W378" i="20" s="1"/>
  <c r="V376" i="8"/>
  <c r="V378" i="20" s="1"/>
  <c r="U376" i="8"/>
  <c r="U378" i="20"/>
  <c r="T376" i="8"/>
  <c r="T378" i="20" s="1"/>
  <c r="S376" i="8"/>
  <c r="S378" i="20" s="1"/>
  <c r="R376" i="8"/>
  <c r="R378" i="20" s="1"/>
  <c r="Q376" i="8"/>
  <c r="Q378" i="20" s="1"/>
  <c r="P376" i="8"/>
  <c r="P378" i="20" s="1"/>
  <c r="O376" i="8"/>
  <c r="O378" i="20" s="1"/>
  <c r="N376" i="8"/>
  <c r="N378" i="20" s="1"/>
  <c r="M376" i="8"/>
  <c r="F373" i="20"/>
  <c r="G373" i="20"/>
  <c r="H373" i="20"/>
  <c r="I373" i="20"/>
  <c r="J373" i="20"/>
  <c r="K373" i="20"/>
  <c r="L373" i="20"/>
  <c r="M373" i="20"/>
  <c r="N373" i="20"/>
  <c r="O373" i="20"/>
  <c r="P373" i="20"/>
  <c r="Q373" i="20"/>
  <c r="R373" i="20"/>
  <c r="S373" i="20"/>
  <c r="T373" i="20"/>
  <c r="U373" i="20"/>
  <c r="V373" i="20"/>
  <c r="W373" i="20"/>
  <c r="X373" i="20"/>
  <c r="Y373" i="20"/>
  <c r="Z373" i="20"/>
  <c r="AA373" i="20"/>
  <c r="AB373" i="20"/>
  <c r="AC373" i="20"/>
  <c r="AD373" i="20"/>
  <c r="AE373" i="20"/>
  <c r="AF373" i="20"/>
  <c r="AG373" i="20"/>
  <c r="AH373" i="20"/>
  <c r="AI373" i="20"/>
  <c r="AJ373" i="20"/>
  <c r="AK373" i="20"/>
  <c r="AL373" i="20"/>
  <c r="AM373" i="20"/>
  <c r="AN373" i="20"/>
  <c r="F374" i="20"/>
  <c r="G374" i="20"/>
  <c r="H374" i="20"/>
  <c r="I374" i="20"/>
  <c r="J374" i="20"/>
  <c r="K374" i="20"/>
  <c r="L374" i="20"/>
  <c r="M374" i="20"/>
  <c r="N374" i="20"/>
  <c r="O374" i="20"/>
  <c r="P374" i="20"/>
  <c r="Q374" i="20"/>
  <c r="R374" i="20"/>
  <c r="S374" i="20"/>
  <c r="T374" i="20"/>
  <c r="U374" i="20"/>
  <c r="V374" i="20"/>
  <c r="W374" i="20"/>
  <c r="X374" i="20"/>
  <c r="Y374" i="20"/>
  <c r="Z374" i="20"/>
  <c r="AA374" i="20"/>
  <c r="AB374" i="20"/>
  <c r="AC374" i="20"/>
  <c r="AD374" i="20"/>
  <c r="AE374" i="20"/>
  <c r="AF374" i="20"/>
  <c r="AG374" i="20"/>
  <c r="AH374" i="20"/>
  <c r="AI374" i="20"/>
  <c r="AJ374" i="20"/>
  <c r="AK374" i="20"/>
  <c r="AL374" i="20"/>
  <c r="AM374" i="20"/>
  <c r="AN374" i="20"/>
  <c r="F375" i="20"/>
  <c r="G375" i="20"/>
  <c r="H375" i="20"/>
  <c r="I375" i="20"/>
  <c r="J375" i="20"/>
  <c r="K375" i="20"/>
  <c r="L375" i="20"/>
  <c r="AM375" i="9"/>
  <c r="AN375" i="9"/>
  <c r="N373" i="8"/>
  <c r="N375" i="20" s="1"/>
  <c r="O373" i="8"/>
  <c r="O375" i="20" s="1"/>
  <c r="P373" i="8"/>
  <c r="P375" i="20" s="1"/>
  <c r="Q373" i="8"/>
  <c r="Q375" i="20" s="1"/>
  <c r="R373" i="8"/>
  <c r="R375" i="20" s="1"/>
  <c r="S373" i="8"/>
  <c r="S375" i="20" s="1"/>
  <c r="T373" i="8"/>
  <c r="T375" i="20" s="1"/>
  <c r="U373" i="8"/>
  <c r="U375" i="20" s="1"/>
  <c r="V373" i="8"/>
  <c r="V375" i="20" s="1"/>
  <c r="W373" i="8"/>
  <c r="W375" i="20" s="1"/>
  <c r="X373" i="8"/>
  <c r="X375" i="20"/>
  <c r="Y373" i="8"/>
  <c r="Y375" i="20" s="1"/>
  <c r="Z373" i="8"/>
  <c r="Z375" i="20"/>
  <c r="AA373" i="8"/>
  <c r="AA375" i="20"/>
  <c r="AB373" i="8"/>
  <c r="AB375" i="20" s="1"/>
  <c r="AC373" i="8"/>
  <c r="AC375" i="20" s="1"/>
  <c r="AD373" i="8"/>
  <c r="AD375" i="20" s="1"/>
  <c r="AE373" i="8"/>
  <c r="AE375" i="20" s="1"/>
  <c r="AF373" i="8"/>
  <c r="AF375" i="20" s="1"/>
  <c r="AG373" i="8"/>
  <c r="AG375" i="20" s="1"/>
  <c r="AH373" i="8"/>
  <c r="AH375" i="20" s="1"/>
  <c r="AI373" i="8"/>
  <c r="AI375" i="20" s="1"/>
  <c r="AJ373" i="8"/>
  <c r="AJ375" i="20" s="1"/>
  <c r="AK373" i="8"/>
  <c r="AK375" i="20" s="1"/>
  <c r="AL373" i="8"/>
  <c r="AL375" i="20"/>
  <c r="AM373" i="8"/>
  <c r="AN373" i="8"/>
  <c r="M373" i="8"/>
  <c r="M375" i="20" s="1"/>
  <c r="F370" i="20"/>
  <c r="G370" i="20"/>
  <c r="H370" i="20"/>
  <c r="I370" i="20"/>
  <c r="J370" i="20"/>
  <c r="K370" i="20"/>
  <c r="L370" i="20"/>
  <c r="M370" i="20"/>
  <c r="N370" i="20"/>
  <c r="O370" i="20"/>
  <c r="P370" i="20"/>
  <c r="Q370" i="20"/>
  <c r="R370" i="20"/>
  <c r="S370" i="20"/>
  <c r="T370" i="20"/>
  <c r="U370" i="20"/>
  <c r="V370" i="20"/>
  <c r="W370" i="20"/>
  <c r="X370" i="20"/>
  <c r="Y370" i="20"/>
  <c r="Z370" i="20"/>
  <c r="AA370" i="20"/>
  <c r="AB370" i="20"/>
  <c r="AC370" i="20"/>
  <c r="AD370" i="20"/>
  <c r="AE370" i="20"/>
  <c r="AF370" i="20"/>
  <c r="AG370" i="20"/>
  <c r="AH370" i="20"/>
  <c r="AI370" i="20"/>
  <c r="AJ370" i="20"/>
  <c r="AK370" i="20"/>
  <c r="AL370" i="20"/>
  <c r="AM370" i="20"/>
  <c r="AN370" i="20"/>
  <c r="F371" i="20"/>
  <c r="G371" i="20"/>
  <c r="H371" i="20"/>
  <c r="I371" i="20"/>
  <c r="J371" i="20"/>
  <c r="K371" i="20"/>
  <c r="L371" i="20"/>
  <c r="M371" i="20"/>
  <c r="N371" i="20"/>
  <c r="O371" i="20"/>
  <c r="P371" i="20"/>
  <c r="Q371" i="20"/>
  <c r="R371" i="20"/>
  <c r="S371" i="20"/>
  <c r="T371" i="20"/>
  <c r="U371" i="20"/>
  <c r="V371" i="20"/>
  <c r="W371" i="20"/>
  <c r="X371" i="20"/>
  <c r="Y371" i="20"/>
  <c r="Z371" i="20"/>
  <c r="AA371" i="20"/>
  <c r="AB371" i="20"/>
  <c r="AC371" i="20"/>
  <c r="AD371" i="20"/>
  <c r="AE371" i="20"/>
  <c r="AF371" i="20"/>
  <c r="AG371" i="20"/>
  <c r="AH371" i="20"/>
  <c r="AI371" i="20"/>
  <c r="AJ371" i="20"/>
  <c r="AK371" i="20"/>
  <c r="AL371" i="20"/>
  <c r="AM371" i="20"/>
  <c r="AN371" i="20"/>
  <c r="AN370" i="8"/>
  <c r="AM370" i="8"/>
  <c r="AL370" i="8"/>
  <c r="AK370" i="8"/>
  <c r="AJ370" i="8"/>
  <c r="AI370" i="8"/>
  <c r="AH370" i="8"/>
  <c r="AG370" i="8"/>
  <c r="AF370" i="8"/>
  <c r="AE370" i="8"/>
  <c r="AD370" i="8"/>
  <c r="AC370" i="8"/>
  <c r="AB370" i="8"/>
  <c r="AA370" i="8"/>
  <c r="Z370" i="8"/>
  <c r="Y370" i="8"/>
  <c r="X370" i="8"/>
  <c r="W370" i="8"/>
  <c r="V370" i="8"/>
  <c r="U370" i="8"/>
  <c r="T370" i="8"/>
  <c r="S370" i="8"/>
  <c r="R370" i="8"/>
  <c r="Q370" i="8"/>
  <c r="P370" i="8"/>
  <c r="O370" i="8"/>
  <c r="N370" i="8"/>
  <c r="M370" i="8"/>
  <c r="L370" i="8"/>
  <c r="K370" i="8"/>
  <c r="J370" i="8"/>
  <c r="I370" i="8"/>
  <c r="H370" i="8"/>
  <c r="G370" i="8"/>
  <c r="F370" i="8"/>
  <c r="C370" i="8"/>
  <c r="AN372" i="9"/>
  <c r="AN372" i="20" s="1"/>
  <c r="AM372" i="9"/>
  <c r="AL372" i="9"/>
  <c r="AK372" i="9"/>
  <c r="AJ372" i="9"/>
  <c r="AI372" i="9"/>
  <c r="AH372" i="9"/>
  <c r="AH372" i="20" s="1"/>
  <c r="AG372" i="9"/>
  <c r="AF372" i="9"/>
  <c r="AF372" i="20" s="1"/>
  <c r="AE372" i="9"/>
  <c r="AD372" i="9"/>
  <c r="AC372" i="9"/>
  <c r="AB372" i="9"/>
  <c r="AA372" i="9"/>
  <c r="Z372" i="9"/>
  <c r="Y372" i="9"/>
  <c r="X372" i="9"/>
  <c r="W372" i="9"/>
  <c r="V372" i="9"/>
  <c r="U372" i="9"/>
  <c r="T372" i="9"/>
  <c r="S372" i="9"/>
  <c r="R372" i="9"/>
  <c r="Q372" i="9"/>
  <c r="P372" i="9"/>
  <c r="O372" i="9"/>
  <c r="N372" i="9"/>
  <c r="M372" i="9"/>
  <c r="L372" i="9"/>
  <c r="K372" i="9"/>
  <c r="J372" i="9"/>
  <c r="I372" i="9"/>
  <c r="H372" i="9"/>
  <c r="G372" i="9"/>
  <c r="F372" i="9"/>
  <c r="E372" i="9"/>
  <c r="D372" i="9"/>
  <c r="C372" i="9"/>
  <c r="L363" i="9"/>
  <c r="N367" i="20"/>
  <c r="O367" i="20"/>
  <c r="P367" i="20"/>
  <c r="Q367" i="20"/>
  <c r="R367" i="20"/>
  <c r="S367" i="20"/>
  <c r="T367" i="20"/>
  <c r="U367" i="20"/>
  <c r="V367" i="20"/>
  <c r="W367" i="20"/>
  <c r="X367" i="20"/>
  <c r="Y367" i="20"/>
  <c r="Z367" i="20"/>
  <c r="AA367" i="20"/>
  <c r="AB367" i="20"/>
  <c r="AC367" i="20"/>
  <c r="AD367" i="20"/>
  <c r="AE367" i="20"/>
  <c r="AF367" i="20"/>
  <c r="AG367" i="20"/>
  <c r="AH367" i="20"/>
  <c r="AI367" i="20"/>
  <c r="AJ367" i="20"/>
  <c r="AK367" i="20"/>
  <c r="AL367" i="20"/>
  <c r="AM367" i="20"/>
  <c r="AN367" i="20"/>
  <c r="N368" i="20"/>
  <c r="O368" i="20"/>
  <c r="P368" i="20"/>
  <c r="Q368" i="20"/>
  <c r="R368" i="20"/>
  <c r="S368" i="20"/>
  <c r="T368" i="20"/>
  <c r="U368" i="20"/>
  <c r="V368" i="20"/>
  <c r="W368" i="20"/>
  <c r="X368" i="20"/>
  <c r="Y368" i="20"/>
  <c r="Z368" i="20"/>
  <c r="AA368" i="20"/>
  <c r="AB368" i="20"/>
  <c r="AC368" i="20"/>
  <c r="AD368" i="20"/>
  <c r="AE368" i="20"/>
  <c r="AF368" i="20"/>
  <c r="AG368" i="20"/>
  <c r="AH368" i="20"/>
  <c r="AI368" i="20"/>
  <c r="AJ368" i="20"/>
  <c r="AK368" i="20"/>
  <c r="AL368" i="20"/>
  <c r="AM368" i="20"/>
  <c r="AN368" i="20"/>
  <c r="F367" i="20"/>
  <c r="G367" i="20"/>
  <c r="H367" i="20"/>
  <c r="I367" i="20"/>
  <c r="J367" i="20"/>
  <c r="K367" i="20"/>
  <c r="L367" i="20"/>
  <c r="M367" i="20"/>
  <c r="F368" i="20"/>
  <c r="G368" i="20"/>
  <c r="H368" i="20"/>
  <c r="I368" i="20"/>
  <c r="J368" i="20"/>
  <c r="K368" i="20"/>
  <c r="L368" i="20"/>
  <c r="M368" i="20"/>
  <c r="AN369" i="9"/>
  <c r="AM369" i="9"/>
  <c r="AL369" i="9"/>
  <c r="AK369" i="9"/>
  <c r="AJ369" i="9"/>
  <c r="AI369" i="9"/>
  <c r="AH369" i="9"/>
  <c r="AG369" i="9"/>
  <c r="AF369" i="9"/>
  <c r="AE369" i="9"/>
  <c r="AD369" i="9"/>
  <c r="AC369" i="9"/>
  <c r="AB369" i="9"/>
  <c r="AA369" i="9"/>
  <c r="Z369" i="9"/>
  <c r="Y369" i="9"/>
  <c r="X369" i="9"/>
  <c r="W369" i="9"/>
  <c r="V369" i="9"/>
  <c r="U369" i="9"/>
  <c r="T369" i="9"/>
  <c r="S369" i="9"/>
  <c r="R369" i="9"/>
  <c r="Q369" i="9"/>
  <c r="P369" i="9"/>
  <c r="O369" i="9"/>
  <c r="N369" i="9"/>
  <c r="M369" i="9"/>
  <c r="L369" i="9"/>
  <c r="K369" i="9"/>
  <c r="J369" i="9"/>
  <c r="I369" i="9"/>
  <c r="H369" i="9"/>
  <c r="G369" i="9"/>
  <c r="F369" i="9"/>
  <c r="E369" i="9"/>
  <c r="D369" i="9"/>
  <c r="D9" i="21" s="1"/>
  <c r="C369" i="9"/>
  <c r="AN367" i="8"/>
  <c r="AM367" i="8"/>
  <c r="AL367" i="8"/>
  <c r="AK367" i="8"/>
  <c r="AJ367" i="8"/>
  <c r="AI367" i="8"/>
  <c r="AH367" i="8"/>
  <c r="AG367" i="8"/>
  <c r="AF367" i="8"/>
  <c r="AE367" i="8"/>
  <c r="AD367" i="8"/>
  <c r="AC367" i="8"/>
  <c r="AB367" i="8"/>
  <c r="AA367" i="8"/>
  <c r="Z367" i="8"/>
  <c r="Y367" i="8"/>
  <c r="X367" i="8"/>
  <c r="W367" i="8"/>
  <c r="W369" i="20"/>
  <c r="V367" i="8"/>
  <c r="U367" i="8"/>
  <c r="T367" i="8"/>
  <c r="S367" i="8"/>
  <c r="R367" i="8"/>
  <c r="Q367" i="8"/>
  <c r="P367" i="8"/>
  <c r="O367" i="8"/>
  <c r="N367" i="8"/>
  <c r="M367" i="8"/>
  <c r="L367" i="8"/>
  <c r="K367" i="8"/>
  <c r="K369" i="20" s="1"/>
  <c r="J367" i="8"/>
  <c r="I367" i="8"/>
  <c r="H367" i="8"/>
  <c r="G367" i="8"/>
  <c r="F367" i="8"/>
  <c r="C367" i="8"/>
  <c r="G137" i="2"/>
  <c r="D137" i="2"/>
  <c r="M364" i="8"/>
  <c r="AN364" i="8"/>
  <c r="AM364" i="8"/>
  <c r="AL364" i="8"/>
  <c r="AK364" i="8"/>
  <c r="AJ364" i="8"/>
  <c r="AI364" i="8"/>
  <c r="AH364" i="8"/>
  <c r="AG364" i="8"/>
  <c r="AF364" i="8"/>
  <c r="AF366" i="20" s="1"/>
  <c r="AE364" i="8"/>
  <c r="AD364" i="8"/>
  <c r="AC364" i="8"/>
  <c r="AB364" i="8"/>
  <c r="AA364" i="8"/>
  <c r="Z364" i="8"/>
  <c r="Y364" i="8"/>
  <c r="X364" i="8"/>
  <c r="W364" i="8"/>
  <c r="V364" i="8"/>
  <c r="U364" i="8"/>
  <c r="T364" i="8"/>
  <c r="S364" i="8"/>
  <c r="R364" i="8"/>
  <c r="Q364" i="8"/>
  <c r="P364" i="8"/>
  <c r="P366" i="20" s="1"/>
  <c r="O364" i="8"/>
  <c r="N364" i="8"/>
  <c r="L364" i="8"/>
  <c r="K364" i="8"/>
  <c r="J364" i="8"/>
  <c r="I364" i="8"/>
  <c r="H364" i="8"/>
  <c r="G364" i="8"/>
  <c r="F364" i="8"/>
  <c r="C364" i="8"/>
  <c r="AN366" i="9"/>
  <c r="AN366" i="20" s="1"/>
  <c r="AM366" i="9"/>
  <c r="AL366" i="9"/>
  <c r="AL366" i="20" s="1"/>
  <c r="AK366" i="9"/>
  <c r="AJ366" i="9"/>
  <c r="AJ9" i="21" s="1"/>
  <c r="AI366" i="9"/>
  <c r="AH366" i="9"/>
  <c r="AG366" i="9"/>
  <c r="AF366" i="9"/>
  <c r="AE366" i="9"/>
  <c r="AD366" i="9"/>
  <c r="AC366" i="9"/>
  <c r="AB366" i="9"/>
  <c r="AA366" i="9"/>
  <c r="Z366" i="9"/>
  <c r="Y366" i="9"/>
  <c r="Y366" i="20" s="1"/>
  <c r="X366" i="9"/>
  <c r="W366" i="9"/>
  <c r="V366" i="9"/>
  <c r="V366" i="20" s="1"/>
  <c r="U366" i="9"/>
  <c r="U366" i="20" s="1"/>
  <c r="T366" i="9"/>
  <c r="S366" i="9"/>
  <c r="R366" i="9"/>
  <c r="Q366" i="9"/>
  <c r="P366" i="9"/>
  <c r="O366" i="9"/>
  <c r="N366" i="9"/>
  <c r="N366" i="20" s="1"/>
  <c r="M366" i="9"/>
  <c r="L366" i="9"/>
  <c r="K366" i="9"/>
  <c r="J366" i="9"/>
  <c r="I366" i="9"/>
  <c r="H366" i="9"/>
  <c r="H366" i="20" s="1"/>
  <c r="G366" i="9"/>
  <c r="F366" i="9"/>
  <c r="F9" i="21" s="1"/>
  <c r="E366" i="9"/>
  <c r="D366" i="9"/>
  <c r="C366" i="9"/>
  <c r="F364" i="20"/>
  <c r="G364" i="20"/>
  <c r="H364" i="20"/>
  <c r="I364" i="20"/>
  <c r="J364" i="20"/>
  <c r="K364" i="20"/>
  <c r="L364" i="20"/>
  <c r="M364" i="20"/>
  <c r="N364" i="20"/>
  <c r="O364" i="20"/>
  <c r="P364" i="20"/>
  <c r="Q364" i="20"/>
  <c r="R364" i="20"/>
  <c r="S364" i="20"/>
  <c r="T364" i="20"/>
  <c r="U364" i="20"/>
  <c r="V364" i="20"/>
  <c r="W364" i="20"/>
  <c r="X364" i="20"/>
  <c r="Y364" i="20"/>
  <c r="Z364" i="20"/>
  <c r="AA364" i="20"/>
  <c r="AB364" i="20"/>
  <c r="AC364" i="20"/>
  <c r="AD364" i="20"/>
  <c r="AE364" i="20"/>
  <c r="AF364" i="20"/>
  <c r="AG364" i="20"/>
  <c r="AH364" i="20"/>
  <c r="AI364" i="20"/>
  <c r="AJ364" i="20"/>
  <c r="AK364" i="20"/>
  <c r="AL364" i="20"/>
  <c r="AM364" i="20"/>
  <c r="AN364" i="20"/>
  <c r="F365" i="20"/>
  <c r="G365" i="20"/>
  <c r="H365" i="20"/>
  <c r="I365" i="20"/>
  <c r="J365" i="20"/>
  <c r="K365" i="20"/>
  <c r="L365" i="20"/>
  <c r="M365" i="20"/>
  <c r="N365" i="20"/>
  <c r="O365" i="20"/>
  <c r="P365" i="20"/>
  <c r="Q365" i="20"/>
  <c r="R365" i="20"/>
  <c r="S365" i="20"/>
  <c r="T365" i="20"/>
  <c r="U365" i="20"/>
  <c r="V365" i="20"/>
  <c r="W365" i="20"/>
  <c r="X365" i="20"/>
  <c r="Y365" i="20"/>
  <c r="Z365" i="20"/>
  <c r="AA365" i="20"/>
  <c r="AB365" i="20"/>
  <c r="AC365" i="20"/>
  <c r="AD365" i="20"/>
  <c r="AE365" i="20"/>
  <c r="AF365" i="20"/>
  <c r="AG365" i="20"/>
  <c r="AH365" i="20"/>
  <c r="AI365" i="20"/>
  <c r="AJ365" i="20"/>
  <c r="AK365" i="20"/>
  <c r="AL365" i="20"/>
  <c r="AM365" i="20"/>
  <c r="AN365" i="20"/>
  <c r="M22" i="8"/>
  <c r="M25" i="8"/>
  <c r="M28" i="8"/>
  <c r="M31" i="8"/>
  <c r="M34" i="8"/>
  <c r="M37" i="8"/>
  <c r="M40" i="8"/>
  <c r="M43" i="8"/>
  <c r="M46" i="8"/>
  <c r="M49" i="8"/>
  <c r="M52" i="8"/>
  <c r="M55" i="8"/>
  <c r="M58" i="8"/>
  <c r="M61" i="8"/>
  <c r="M64" i="8"/>
  <c r="M67" i="8"/>
  <c r="M70" i="8"/>
  <c r="M73" i="8"/>
  <c r="M76" i="8"/>
  <c r="M79" i="8"/>
  <c r="M82" i="8"/>
  <c r="M85" i="8"/>
  <c r="M88" i="8"/>
  <c r="M91" i="8"/>
  <c r="M94" i="8"/>
  <c r="M97" i="8"/>
  <c r="M100" i="8"/>
  <c r="M103" i="8"/>
  <c r="M106" i="8"/>
  <c r="M109" i="8"/>
  <c r="M112" i="8"/>
  <c r="M115" i="8"/>
  <c r="M117" i="20"/>
  <c r="M118" i="8"/>
  <c r="M120" i="20"/>
  <c r="M121" i="8"/>
  <c r="M123" i="20" s="1"/>
  <c r="M124" i="8"/>
  <c r="M126" i="20" s="1"/>
  <c r="M127" i="8"/>
  <c r="M130" i="8"/>
  <c r="M132" i="20"/>
  <c r="M133" i="8"/>
  <c r="M136" i="8"/>
  <c r="M138" i="20"/>
  <c r="M139" i="8"/>
  <c r="M141" i="20" s="1"/>
  <c r="M142" i="8"/>
  <c r="M144" i="20"/>
  <c r="M145" i="8"/>
  <c r="M349" i="8"/>
  <c r="M351" i="20"/>
  <c r="M352" i="8"/>
  <c r="M354" i="20" s="1"/>
  <c r="M355" i="8"/>
  <c r="F361" i="20"/>
  <c r="G361" i="20"/>
  <c r="H361" i="20"/>
  <c r="I361" i="20"/>
  <c r="J361" i="20"/>
  <c r="K361" i="20"/>
  <c r="L361" i="20"/>
  <c r="N361" i="20"/>
  <c r="O361" i="20"/>
  <c r="P361" i="20"/>
  <c r="Q361" i="20"/>
  <c r="R361" i="20"/>
  <c r="S361" i="20"/>
  <c r="T361" i="20"/>
  <c r="U361" i="20"/>
  <c r="V361" i="20"/>
  <c r="W361" i="20"/>
  <c r="X361" i="20"/>
  <c r="Y361" i="20"/>
  <c r="Z361" i="20"/>
  <c r="AA361" i="20"/>
  <c r="AB361" i="20"/>
  <c r="AC361" i="20"/>
  <c r="AD361" i="20"/>
  <c r="AE361" i="20"/>
  <c r="AF361" i="20"/>
  <c r="AG361" i="20"/>
  <c r="AH361" i="20"/>
  <c r="AI361" i="20"/>
  <c r="AJ361" i="20"/>
  <c r="AK361" i="20"/>
  <c r="AL361" i="20"/>
  <c r="AM361" i="20"/>
  <c r="AN361" i="20"/>
  <c r="F362" i="20"/>
  <c r="G362" i="20"/>
  <c r="H362" i="20"/>
  <c r="I362" i="20"/>
  <c r="J362" i="20"/>
  <c r="K362" i="20"/>
  <c r="L362" i="20"/>
  <c r="N362" i="20"/>
  <c r="O362" i="20"/>
  <c r="P362" i="20"/>
  <c r="Q362" i="20"/>
  <c r="R362" i="20"/>
  <c r="S362" i="20"/>
  <c r="T362" i="20"/>
  <c r="U362" i="20"/>
  <c r="V362" i="20"/>
  <c r="W362" i="20"/>
  <c r="X362" i="20"/>
  <c r="Y362" i="20"/>
  <c r="Z362" i="20"/>
  <c r="AA362" i="20"/>
  <c r="AB362" i="20"/>
  <c r="AC362" i="20"/>
  <c r="AD362" i="20"/>
  <c r="AE362" i="20"/>
  <c r="AF362" i="20"/>
  <c r="AG362" i="20"/>
  <c r="AH362" i="20"/>
  <c r="AI362" i="20"/>
  <c r="AJ362" i="20"/>
  <c r="AK362" i="20"/>
  <c r="AL362" i="20"/>
  <c r="AM362" i="20"/>
  <c r="AN362" i="20"/>
  <c r="F363" i="20"/>
  <c r="G363" i="20"/>
  <c r="H363" i="20"/>
  <c r="I363" i="20"/>
  <c r="J363" i="20"/>
  <c r="K363" i="20"/>
  <c r="O363" i="9"/>
  <c r="Q363" i="9"/>
  <c r="S363" i="9"/>
  <c r="U363" i="9"/>
  <c r="W363" i="9"/>
  <c r="Y363" i="9"/>
  <c r="AM363" i="9"/>
  <c r="AM9" i="21" s="1"/>
  <c r="M363" i="9"/>
  <c r="N363" i="9"/>
  <c r="P363" i="9"/>
  <c r="R363" i="9"/>
  <c r="T363" i="9"/>
  <c r="V363" i="9"/>
  <c r="X363" i="9"/>
  <c r="Z363" i="9"/>
  <c r="AL363" i="9"/>
  <c r="AN363" i="9"/>
  <c r="N361" i="8"/>
  <c r="O361" i="8"/>
  <c r="P361" i="8"/>
  <c r="Q361" i="8"/>
  <c r="R361" i="8"/>
  <c r="S361" i="8"/>
  <c r="T361" i="8"/>
  <c r="U361" i="8"/>
  <c r="V361" i="8"/>
  <c r="W361" i="8"/>
  <c r="X361" i="8"/>
  <c r="Y361" i="8"/>
  <c r="Z361" i="8"/>
  <c r="AA361" i="8"/>
  <c r="AA363" i="20"/>
  <c r="AB361" i="8"/>
  <c r="AB363" i="20"/>
  <c r="AC361" i="8"/>
  <c r="AC363" i="20" s="1"/>
  <c r="AD361" i="8"/>
  <c r="AD363" i="20" s="1"/>
  <c r="AE361" i="8"/>
  <c r="AE363" i="20"/>
  <c r="AF361" i="8"/>
  <c r="AF363" i="20" s="1"/>
  <c r="AG361" i="8"/>
  <c r="AG363" i="20" s="1"/>
  <c r="AH361" i="8"/>
  <c r="AH363" i="20"/>
  <c r="AI361" i="8"/>
  <c r="AI363" i="20"/>
  <c r="AJ361" i="8"/>
  <c r="AJ363" i="20"/>
  <c r="AK361" i="8"/>
  <c r="AK363" i="20" s="1"/>
  <c r="AL361" i="8"/>
  <c r="AM361" i="8"/>
  <c r="AN361" i="8"/>
  <c r="L361" i="8"/>
  <c r="B17" i="23"/>
  <c r="C17" i="23"/>
  <c r="D17" i="23"/>
  <c r="E17" i="23"/>
  <c r="F17" i="23"/>
  <c r="G17" i="23"/>
  <c r="H17" i="23"/>
  <c r="I17" i="23"/>
  <c r="J17" i="23"/>
  <c r="K17" i="23"/>
  <c r="L17" i="23"/>
  <c r="M17" i="23"/>
  <c r="N17" i="23"/>
  <c r="O17" i="23"/>
  <c r="P17" i="23"/>
  <c r="Q17" i="23"/>
  <c r="R17" i="23"/>
  <c r="S17" i="23"/>
  <c r="T17" i="23"/>
  <c r="U17" i="23"/>
  <c r="V17" i="23"/>
  <c r="W17" i="23"/>
  <c r="X17" i="23"/>
  <c r="Y17" i="23"/>
  <c r="Z17" i="23"/>
  <c r="AA17" i="23"/>
  <c r="AB17" i="23"/>
  <c r="AC17" i="23"/>
  <c r="AD17" i="23"/>
  <c r="AE17" i="23"/>
  <c r="AF17" i="23"/>
  <c r="AG17" i="23"/>
  <c r="AH17" i="23"/>
  <c r="AI17" i="23"/>
  <c r="AJ17" i="23"/>
  <c r="AK17" i="23"/>
  <c r="AL17" i="23"/>
  <c r="AM17" i="23"/>
  <c r="AN17" i="23"/>
  <c r="AO17" i="23"/>
  <c r="AP17" i="23"/>
  <c r="AQ17" i="23"/>
  <c r="AR17" i="23"/>
  <c r="AS17" i="23"/>
  <c r="AT17" i="23"/>
  <c r="AU17" i="23"/>
  <c r="AV17" i="23"/>
  <c r="AW17" i="23"/>
  <c r="AX17" i="23"/>
  <c r="G14" i="22"/>
  <c r="B17" i="22"/>
  <c r="C17" i="22"/>
  <c r="D17" i="22"/>
  <c r="E17" i="22"/>
  <c r="F17" i="22"/>
  <c r="G17" i="22"/>
  <c r="H17" i="22"/>
  <c r="J17" i="22"/>
  <c r="K17" i="22"/>
  <c r="L17" i="22"/>
  <c r="M17" i="22"/>
  <c r="N17" i="22"/>
  <c r="O17" i="22"/>
  <c r="P17" i="22"/>
  <c r="Q17" i="22"/>
  <c r="R17" i="22"/>
  <c r="S17" i="22"/>
  <c r="T17" i="22"/>
  <c r="U17" i="22"/>
  <c r="V17" i="22"/>
  <c r="W17" i="22"/>
  <c r="X17" i="22"/>
  <c r="Y17" i="22"/>
  <c r="Z17" i="22"/>
  <c r="AA17" i="22"/>
  <c r="AB17" i="22"/>
  <c r="AC17" i="22"/>
  <c r="AD17" i="22"/>
  <c r="AE17" i="22"/>
  <c r="AF17" i="22"/>
  <c r="AG17" i="22"/>
  <c r="AH17" i="22"/>
  <c r="AI17" i="22"/>
  <c r="AJ17" i="22"/>
  <c r="L357" i="9"/>
  <c r="L360" i="9"/>
  <c r="L360" i="20"/>
  <c r="M357" i="9"/>
  <c r="M360" i="9"/>
  <c r="M360" i="20"/>
  <c r="N357" i="9"/>
  <c r="N360" i="9"/>
  <c r="O357" i="9"/>
  <c r="O360" i="9"/>
  <c r="P357" i="9"/>
  <c r="P360" i="9"/>
  <c r="P360" i="20" s="1"/>
  <c r="Q357" i="9"/>
  <c r="Q360" i="9"/>
  <c r="Q360" i="20" s="1"/>
  <c r="R357" i="9"/>
  <c r="R360" i="9"/>
  <c r="R360" i="20"/>
  <c r="S357" i="9"/>
  <c r="S360" i="9"/>
  <c r="T357" i="9"/>
  <c r="T360" i="9"/>
  <c r="U357" i="9"/>
  <c r="U360" i="9"/>
  <c r="V357" i="9"/>
  <c r="V360" i="9"/>
  <c r="V360" i="20"/>
  <c r="W357" i="9"/>
  <c r="W360" i="9"/>
  <c r="W360" i="20"/>
  <c r="X357" i="9"/>
  <c r="X360" i="9"/>
  <c r="X360" i="20"/>
  <c r="Y357" i="9"/>
  <c r="Y360" i="9"/>
  <c r="Z357" i="9"/>
  <c r="Z360" i="9"/>
  <c r="AA357" i="9"/>
  <c r="AB357" i="9"/>
  <c r="AB9" i="21" s="1"/>
  <c r="AC357" i="9"/>
  <c r="AD357" i="9"/>
  <c r="AE357" i="9"/>
  <c r="AF357" i="9"/>
  <c r="AG357" i="9"/>
  <c r="AH357" i="9"/>
  <c r="AI357" i="9"/>
  <c r="AJ357" i="9"/>
  <c r="AK357" i="9"/>
  <c r="AL357" i="9"/>
  <c r="AL360" i="9"/>
  <c r="AL360" i="20"/>
  <c r="AM357" i="9"/>
  <c r="AM360" i="9"/>
  <c r="AM360" i="20"/>
  <c r="AN357" i="9"/>
  <c r="AN360" i="9"/>
  <c r="AN360" i="20"/>
  <c r="B17" i="21"/>
  <c r="C17" i="21"/>
  <c r="D17" i="21"/>
  <c r="E17" i="21"/>
  <c r="F17" i="21"/>
  <c r="G17" i="21"/>
  <c r="H17" i="21"/>
  <c r="I17" i="21"/>
  <c r="J17" i="21"/>
  <c r="K17" i="21"/>
  <c r="L17" i="21"/>
  <c r="M17" i="21"/>
  <c r="N17" i="21"/>
  <c r="O17" i="21"/>
  <c r="P17" i="21"/>
  <c r="Q17" i="21"/>
  <c r="R17" i="21"/>
  <c r="S17" i="21"/>
  <c r="T17" i="21"/>
  <c r="U17" i="21"/>
  <c r="V17" i="21"/>
  <c r="W17" i="21"/>
  <c r="X17" i="21"/>
  <c r="Y17" i="21"/>
  <c r="Z17" i="21"/>
  <c r="AA17" i="21"/>
  <c r="AB17" i="21"/>
  <c r="AC17" i="21"/>
  <c r="AD17" i="21"/>
  <c r="AE17" i="21"/>
  <c r="AF17" i="21"/>
  <c r="AG17" i="21"/>
  <c r="AH17" i="21"/>
  <c r="AI17" i="21"/>
  <c r="AJ17" i="21"/>
  <c r="AK17" i="21"/>
  <c r="AL17" i="21"/>
  <c r="AM17" i="21"/>
  <c r="B2" i="24"/>
  <c r="B3" i="24"/>
  <c r="B4" i="24"/>
  <c r="A7" i="14" s="1"/>
  <c r="B5" i="24"/>
  <c r="B11" i="14"/>
  <c r="B6" i="24"/>
  <c r="C11" i="14" s="1"/>
  <c r="B7" i="24"/>
  <c r="B9" i="14"/>
  <c r="B8" i="24"/>
  <c r="C9" i="14"/>
  <c r="B9" i="24"/>
  <c r="B12" i="14"/>
  <c r="B10" i="24"/>
  <c r="C12" i="14" s="1"/>
  <c r="B11" i="24"/>
  <c r="B12" i="24"/>
  <c r="C13" i="14"/>
  <c r="B13" i="24"/>
  <c r="B14" i="14" s="1"/>
  <c r="B14" i="24"/>
  <c r="C14" i="14"/>
  <c r="B15" i="24"/>
  <c r="B15" i="14" s="1"/>
  <c r="B17" i="24"/>
  <c r="A22" i="2" s="1"/>
  <c r="B19" i="24"/>
  <c r="A17" i="14"/>
  <c r="B20" i="24"/>
  <c r="B17" i="14" s="1"/>
  <c r="B21" i="24"/>
  <c r="D17" i="14" s="1"/>
  <c r="B22" i="24"/>
  <c r="A18" i="14" s="1"/>
  <c r="B23" i="24"/>
  <c r="B19" i="14" s="1"/>
  <c r="B24" i="24"/>
  <c r="A21" i="14"/>
  <c r="B25" i="24"/>
  <c r="B21" i="14" s="1"/>
  <c r="B27" i="24"/>
  <c r="B23" i="14" s="1"/>
  <c r="B28" i="24"/>
  <c r="A24" i="14" s="1"/>
  <c r="B29" i="24"/>
  <c r="B24" i="14"/>
  <c r="B30" i="24"/>
  <c r="B25" i="14" s="1"/>
  <c r="B31" i="24"/>
  <c r="B26" i="14" s="1"/>
  <c r="B32" i="24"/>
  <c r="A28" i="14" s="1"/>
  <c r="B33" i="24"/>
  <c r="B34" i="24"/>
  <c r="B29" i="14"/>
  <c r="B35" i="24"/>
  <c r="B30" i="14"/>
  <c r="B36" i="24"/>
  <c r="B37" i="24"/>
  <c r="B32" i="14"/>
  <c r="B38" i="24"/>
  <c r="B33" i="14" s="1"/>
  <c r="B39" i="24"/>
  <c r="B34" i="14" s="1"/>
  <c r="B40" i="24"/>
  <c r="A36" i="14"/>
  <c r="B41" i="24"/>
  <c r="B37" i="14" s="1"/>
  <c r="B42" i="24"/>
  <c r="C40" i="14"/>
  <c r="B43" i="24"/>
  <c r="D40" i="14" s="1"/>
  <c r="B44" i="24"/>
  <c r="E40" i="14"/>
  <c r="B45" i="24"/>
  <c r="B46" i="24"/>
  <c r="G40" i="14" s="1"/>
  <c r="B47" i="24"/>
  <c r="B48" i="24"/>
  <c r="B49" i="24"/>
  <c r="B50" i="24"/>
  <c r="B51" i="24"/>
  <c r="B52" i="24"/>
  <c r="B53" i="24"/>
  <c r="A22" i="10"/>
  <c r="B54" i="24"/>
  <c r="B19" i="1"/>
  <c r="B55" i="24"/>
  <c r="B20" i="1"/>
  <c r="B56" i="24"/>
  <c r="E19" i="1"/>
  <c r="B57" i="24"/>
  <c r="E20" i="1" s="1"/>
  <c r="B58" i="24"/>
  <c r="H19" i="1"/>
  <c r="B59" i="24"/>
  <c r="H20" i="1"/>
  <c r="B60" i="24"/>
  <c r="B21" i="1"/>
  <c r="B61" i="24"/>
  <c r="C21" i="1"/>
  <c r="B62" i="24"/>
  <c r="G21" i="1"/>
  <c r="B63" i="24"/>
  <c r="B64" i="24"/>
  <c r="B65" i="24"/>
  <c r="B20" i="10"/>
  <c r="B66" i="24"/>
  <c r="B21" i="10" s="1"/>
  <c r="B67" i="24"/>
  <c r="B22" i="10"/>
  <c r="B68" i="24"/>
  <c r="C22" i="10"/>
  <c r="B69" i="24"/>
  <c r="D22" i="10"/>
  <c r="B70" i="24"/>
  <c r="E22" i="10"/>
  <c r="B71" i="24"/>
  <c r="F22" i="10"/>
  <c r="B72" i="24"/>
  <c r="G22" i="10"/>
  <c r="B73" i="24"/>
  <c r="H22" i="10"/>
  <c r="B74" i="24"/>
  <c r="J22" i="10" s="1"/>
  <c r="B76" i="24"/>
  <c r="B20" i="3"/>
  <c r="B77" i="24"/>
  <c r="B21" i="3"/>
  <c r="B78" i="24"/>
  <c r="B22" i="3"/>
  <c r="B79" i="24"/>
  <c r="C22" i="3"/>
  <c r="B80" i="24"/>
  <c r="D22" i="3"/>
  <c r="B81" i="24"/>
  <c r="I22" i="3"/>
  <c r="B82" i="24"/>
  <c r="E22" i="3"/>
  <c r="B83" i="24"/>
  <c r="G22" i="3" s="1"/>
  <c r="B84" i="24"/>
  <c r="H22" i="3"/>
  <c r="B85" i="24"/>
  <c r="F22" i="3"/>
  <c r="B86" i="24"/>
  <c r="J22" i="3"/>
  <c r="B87" i="24"/>
  <c r="L22" i="3"/>
  <c r="B88" i="24"/>
  <c r="K22" i="3"/>
  <c r="B89" i="24"/>
  <c r="N22" i="3"/>
  <c r="B90" i="24"/>
  <c r="O22" i="3"/>
  <c r="B91" i="24"/>
  <c r="B92" i="24"/>
  <c r="B93" i="24"/>
  <c r="B20" i="12"/>
  <c r="B94" i="24"/>
  <c r="B21" i="12"/>
  <c r="B95" i="24"/>
  <c r="B22" i="12"/>
  <c r="B96" i="24"/>
  <c r="D22" i="12"/>
  <c r="B97" i="24"/>
  <c r="C22" i="12"/>
  <c r="B98" i="24"/>
  <c r="E22" i="12"/>
  <c r="B99" i="24"/>
  <c r="F22" i="12"/>
  <c r="B100" i="24"/>
  <c r="G22" i="12" s="1"/>
  <c r="B101" i="24"/>
  <c r="H22" i="12"/>
  <c r="B102" i="24"/>
  <c r="I22" i="12"/>
  <c r="B103" i="24"/>
  <c r="B20" i="6"/>
  <c r="B104" i="24"/>
  <c r="B21" i="6"/>
  <c r="B105" i="24"/>
  <c r="B22" i="6"/>
  <c r="B106" i="24"/>
  <c r="C22" i="6"/>
  <c r="B107" i="24"/>
  <c r="B20" i="4"/>
  <c r="B108" i="24"/>
  <c r="B21" i="4" s="1"/>
  <c r="B109" i="24"/>
  <c r="B22" i="4"/>
  <c r="B110" i="24"/>
  <c r="C22" i="4"/>
  <c r="B111" i="24"/>
  <c r="B20" i="11"/>
  <c r="B112" i="24"/>
  <c r="B21" i="11"/>
  <c r="B113" i="24"/>
  <c r="B114" i="24"/>
  <c r="C22" i="11" s="1"/>
  <c r="B115" i="24"/>
  <c r="D22" i="11" s="1"/>
  <c r="B116" i="24"/>
  <c r="E22" i="11" s="1"/>
  <c r="B117" i="24"/>
  <c r="F22" i="11"/>
  <c r="B118" i="24"/>
  <c r="B20" i="7" s="1"/>
  <c r="B119" i="24"/>
  <c r="B21" i="7" s="1"/>
  <c r="B120" i="24"/>
  <c r="B22" i="7" s="1"/>
  <c r="B121" i="24"/>
  <c r="C22" i="7" s="1"/>
  <c r="B122" i="24"/>
  <c r="B123" i="24"/>
  <c r="E22" i="7"/>
  <c r="B124" i="24"/>
  <c r="F22" i="7"/>
  <c r="B125" i="24"/>
  <c r="G22" i="7"/>
  <c r="B126" i="24"/>
  <c r="B18" i="5" s="1"/>
  <c r="B127" i="24"/>
  <c r="B19" i="5"/>
  <c r="B128" i="24"/>
  <c r="B20" i="5" s="1"/>
  <c r="B129" i="24"/>
  <c r="C20" i="5"/>
  <c r="B130" i="24"/>
  <c r="D20" i="5" s="1"/>
  <c r="B131" i="24"/>
  <c r="E20" i="5"/>
  <c r="B132" i="24"/>
  <c r="F20" i="5"/>
  <c r="B133" i="24"/>
  <c r="G20" i="5"/>
  <c r="B134" i="24"/>
  <c r="H20" i="5" s="1"/>
  <c r="B135" i="24"/>
  <c r="C19" i="9"/>
  <c r="B136" i="24"/>
  <c r="C20" i="9" s="1"/>
  <c r="B137" i="24"/>
  <c r="B21" i="9"/>
  <c r="B138" i="24"/>
  <c r="B293" i="8" s="1"/>
  <c r="B139" i="24"/>
  <c r="B140" i="24"/>
  <c r="B483" i="9" s="1"/>
  <c r="B558" i="20"/>
  <c r="B141" i="24"/>
  <c r="C17" i="8"/>
  <c r="B142" i="24"/>
  <c r="C18" i="8"/>
  <c r="B143" i="24"/>
  <c r="C19" i="20" s="1"/>
  <c r="B144" i="24"/>
  <c r="C20" i="20"/>
  <c r="B145" i="24"/>
  <c r="B20" i="2" s="1"/>
  <c r="B146" i="24"/>
  <c r="B21" i="2"/>
  <c r="B147" i="24"/>
  <c r="E20" i="2" s="1"/>
  <c r="B148" i="24"/>
  <c r="E21" i="2"/>
  <c r="B149" i="24"/>
  <c r="H20" i="2"/>
  <c r="B150" i="24"/>
  <c r="H21" i="2"/>
  <c r="B151" i="24"/>
  <c r="E22" i="2" s="1"/>
  <c r="B152" i="24"/>
  <c r="F22" i="2"/>
  <c r="B153" i="24"/>
  <c r="G22" i="2" s="1"/>
  <c r="B154" i="24"/>
  <c r="H22" i="2"/>
  <c r="B155" i="24"/>
  <c r="I22" i="2" s="1"/>
  <c r="B156" i="24"/>
  <c r="B20" i="25"/>
  <c r="B157" i="24"/>
  <c r="B158" i="24"/>
  <c r="B22" i="25" s="1"/>
  <c r="B159" i="24"/>
  <c r="C22" i="25" s="1"/>
  <c r="B160" i="24"/>
  <c r="D22" i="25" s="1"/>
  <c r="B161" i="24"/>
  <c r="E22" i="25"/>
  <c r="B162" i="24"/>
  <c r="F22" i="25" s="1"/>
  <c r="C22" i="20"/>
  <c r="D22" i="20"/>
  <c r="E22" i="20"/>
  <c r="E23" i="20"/>
  <c r="E24" i="20" s="1"/>
  <c r="F22" i="20"/>
  <c r="G22" i="20"/>
  <c r="H22" i="20"/>
  <c r="I22" i="20"/>
  <c r="I23" i="20"/>
  <c r="J22" i="20"/>
  <c r="K22" i="20"/>
  <c r="L22" i="20"/>
  <c r="M22" i="20"/>
  <c r="M23" i="20"/>
  <c r="N22" i="20"/>
  <c r="O22" i="20"/>
  <c r="P22" i="20"/>
  <c r="Q22" i="20"/>
  <c r="Q24" i="20" s="1"/>
  <c r="Q23" i="20"/>
  <c r="R22" i="20"/>
  <c r="S22" i="20"/>
  <c r="T22" i="20"/>
  <c r="T24" i="20" s="1"/>
  <c r="U22" i="20"/>
  <c r="U23" i="20"/>
  <c r="V22" i="20"/>
  <c r="W22" i="20"/>
  <c r="X22" i="20"/>
  <c r="Y22" i="20"/>
  <c r="Y23" i="20"/>
  <c r="Z22" i="20"/>
  <c r="AA22" i="20"/>
  <c r="AB22" i="20"/>
  <c r="AC22" i="20"/>
  <c r="AC23" i="20"/>
  <c r="AC24" i="20" s="1"/>
  <c r="AD22" i="20"/>
  <c r="AE22" i="20"/>
  <c r="AF22" i="20"/>
  <c r="AG22" i="20"/>
  <c r="AG23" i="20"/>
  <c r="AH22" i="20"/>
  <c r="AI22" i="20"/>
  <c r="AJ22" i="20"/>
  <c r="AK22" i="20"/>
  <c r="AK23" i="20"/>
  <c r="AL22" i="20"/>
  <c r="AM22" i="20"/>
  <c r="AN22" i="20"/>
  <c r="C23" i="20"/>
  <c r="D23" i="20"/>
  <c r="F23" i="20"/>
  <c r="F24" i="20" s="1"/>
  <c r="G23" i="20"/>
  <c r="H23" i="20"/>
  <c r="H24" i="20"/>
  <c r="J23" i="20"/>
  <c r="K23" i="20"/>
  <c r="L23" i="20"/>
  <c r="N23" i="20"/>
  <c r="O23" i="20"/>
  <c r="P23" i="20"/>
  <c r="R23" i="20"/>
  <c r="S23" i="20"/>
  <c r="T23" i="20"/>
  <c r="V23" i="20"/>
  <c r="W23" i="20"/>
  <c r="W24" i="20" s="1"/>
  <c r="X23" i="20"/>
  <c r="Z23" i="20"/>
  <c r="AA23" i="20"/>
  <c r="AB23" i="20"/>
  <c r="AD23" i="20"/>
  <c r="AE23" i="20"/>
  <c r="AF23" i="20"/>
  <c r="AH23" i="20"/>
  <c r="AI23" i="20"/>
  <c r="AJ23" i="20"/>
  <c r="AJ24" i="20"/>
  <c r="AL23" i="20"/>
  <c r="AM23" i="20"/>
  <c r="AN23" i="20"/>
  <c r="C25" i="20"/>
  <c r="D25" i="20"/>
  <c r="D27" i="20" s="1"/>
  <c r="E25" i="20"/>
  <c r="F25" i="20"/>
  <c r="G25" i="20"/>
  <c r="H25" i="20"/>
  <c r="I25" i="20"/>
  <c r="J25" i="20"/>
  <c r="K25" i="20"/>
  <c r="L25" i="20"/>
  <c r="M25" i="20"/>
  <c r="N25" i="20"/>
  <c r="O25" i="20"/>
  <c r="P25" i="20"/>
  <c r="Q25" i="20"/>
  <c r="R25" i="20"/>
  <c r="S25" i="20"/>
  <c r="T25" i="20"/>
  <c r="T27" i="20" s="1"/>
  <c r="U25" i="20"/>
  <c r="V25" i="20"/>
  <c r="W25" i="20"/>
  <c r="X25" i="20"/>
  <c r="Y25" i="20"/>
  <c r="Z25" i="20"/>
  <c r="AA25" i="20"/>
  <c r="AB25" i="20"/>
  <c r="AC25" i="20"/>
  <c r="AD25" i="20"/>
  <c r="AE25" i="20"/>
  <c r="AF25" i="20"/>
  <c r="AG25" i="20"/>
  <c r="AH25" i="20"/>
  <c r="AI25" i="20"/>
  <c r="AJ25" i="20"/>
  <c r="AK25" i="20"/>
  <c r="AL25" i="20"/>
  <c r="AM25" i="20"/>
  <c r="C26" i="20"/>
  <c r="D26" i="20"/>
  <c r="E26" i="20"/>
  <c r="F26" i="20"/>
  <c r="G26" i="20"/>
  <c r="H26" i="20"/>
  <c r="I26" i="20"/>
  <c r="J26" i="20"/>
  <c r="J27" i="20"/>
  <c r="K26" i="20"/>
  <c r="L26" i="20"/>
  <c r="M26" i="20"/>
  <c r="N26" i="20"/>
  <c r="N27" i="20" s="1"/>
  <c r="O26" i="20"/>
  <c r="P26" i="20"/>
  <c r="Q26" i="20"/>
  <c r="R26" i="20"/>
  <c r="S26" i="20"/>
  <c r="T26" i="20"/>
  <c r="U26" i="20"/>
  <c r="V26" i="20"/>
  <c r="V27" i="20" s="1"/>
  <c r="W26" i="20"/>
  <c r="X26" i="20"/>
  <c r="Y26" i="20"/>
  <c r="Z26" i="20"/>
  <c r="AA26" i="20"/>
  <c r="AB26" i="20"/>
  <c r="AC26" i="20"/>
  <c r="AD26" i="20"/>
  <c r="AD27" i="20" s="1"/>
  <c r="AE26" i="20"/>
  <c r="AF26" i="20"/>
  <c r="AG26" i="20"/>
  <c r="AH26" i="20"/>
  <c r="AH27" i="20" s="1"/>
  <c r="AI26" i="20"/>
  <c r="AJ26" i="20"/>
  <c r="AK26" i="20"/>
  <c r="AL26" i="20"/>
  <c r="AM26" i="20"/>
  <c r="C28" i="20"/>
  <c r="D28" i="20"/>
  <c r="E28" i="20"/>
  <c r="E29" i="20"/>
  <c r="F28" i="20"/>
  <c r="G28" i="20"/>
  <c r="G30" i="20" s="1"/>
  <c r="H28" i="20"/>
  <c r="I28" i="20"/>
  <c r="I29" i="20"/>
  <c r="J28" i="20"/>
  <c r="K28" i="20"/>
  <c r="L28" i="20"/>
  <c r="M28" i="20"/>
  <c r="M29" i="20"/>
  <c r="N28" i="20"/>
  <c r="O28" i="20"/>
  <c r="P28" i="20"/>
  <c r="Q28" i="20"/>
  <c r="Q29" i="20"/>
  <c r="Q30" i="20" s="1"/>
  <c r="R28" i="20"/>
  <c r="R30" i="20"/>
  <c r="S28" i="20"/>
  <c r="T28" i="20"/>
  <c r="U28" i="20"/>
  <c r="U29" i="20"/>
  <c r="V28" i="20"/>
  <c r="W28" i="20"/>
  <c r="X28" i="20"/>
  <c r="Y28" i="20"/>
  <c r="Y29" i="20"/>
  <c r="Z28" i="20"/>
  <c r="AA28" i="20"/>
  <c r="AB28" i="20"/>
  <c r="AC28" i="20"/>
  <c r="AC29" i="20"/>
  <c r="AD28" i="20"/>
  <c r="AD30" i="20" s="1"/>
  <c r="AE28" i="20"/>
  <c r="AF28" i="20"/>
  <c r="AG28" i="20"/>
  <c r="AG29" i="20"/>
  <c r="AH28" i="20"/>
  <c r="AI28" i="20"/>
  <c r="AJ28" i="20"/>
  <c r="AK28" i="20"/>
  <c r="AK29" i="20"/>
  <c r="AL28" i="20"/>
  <c r="AM28" i="20"/>
  <c r="C29" i="20"/>
  <c r="D29" i="20"/>
  <c r="F29" i="20"/>
  <c r="G29" i="20"/>
  <c r="H29" i="20"/>
  <c r="J29" i="20"/>
  <c r="K29" i="20"/>
  <c r="L29" i="20"/>
  <c r="N29" i="20"/>
  <c r="N30" i="20" s="1"/>
  <c r="O29" i="20"/>
  <c r="O30" i="20" s="1"/>
  <c r="P29" i="20"/>
  <c r="R29" i="20"/>
  <c r="S29" i="20"/>
  <c r="T29" i="20"/>
  <c r="V29" i="20"/>
  <c r="W29" i="20"/>
  <c r="X29" i="20"/>
  <c r="Z29" i="20"/>
  <c r="AA29" i="20"/>
  <c r="AA30" i="20" s="1"/>
  <c r="AB29" i="20"/>
  <c r="AB30" i="20" s="1"/>
  <c r="AD29" i="20"/>
  <c r="AE29" i="20"/>
  <c r="AF29" i="20"/>
  <c r="AF30" i="20"/>
  <c r="AH29" i="20"/>
  <c r="AI29" i="20"/>
  <c r="AJ29" i="20"/>
  <c r="AL29" i="20"/>
  <c r="AM29" i="20"/>
  <c r="C31" i="20"/>
  <c r="D31" i="20"/>
  <c r="E31" i="20"/>
  <c r="F31" i="20"/>
  <c r="G31" i="20"/>
  <c r="H31" i="20"/>
  <c r="I31" i="20"/>
  <c r="J31" i="20"/>
  <c r="K31" i="20"/>
  <c r="L31" i="20"/>
  <c r="M31" i="20"/>
  <c r="N31" i="20"/>
  <c r="O31" i="20"/>
  <c r="P31" i="20"/>
  <c r="Q31" i="20"/>
  <c r="R31" i="20"/>
  <c r="S31" i="20"/>
  <c r="T31" i="20"/>
  <c r="U31" i="20"/>
  <c r="V31" i="20"/>
  <c r="W31" i="20"/>
  <c r="X31" i="20"/>
  <c r="Y31" i="20"/>
  <c r="Y33" i="20" s="1"/>
  <c r="Z31" i="20"/>
  <c r="AA31" i="20"/>
  <c r="AB31" i="20"/>
  <c r="AC31" i="20"/>
  <c r="AD31" i="20"/>
  <c r="AE31" i="20"/>
  <c r="AF31" i="20"/>
  <c r="AG31" i="20"/>
  <c r="AH31" i="20"/>
  <c r="AI31" i="20"/>
  <c r="AJ31" i="20"/>
  <c r="AK31" i="20"/>
  <c r="AL31" i="20"/>
  <c r="AM31" i="20"/>
  <c r="C32" i="20"/>
  <c r="C33" i="20" s="1"/>
  <c r="D32" i="20"/>
  <c r="E32" i="20"/>
  <c r="F32" i="20"/>
  <c r="F33" i="20"/>
  <c r="G32" i="20"/>
  <c r="H32" i="20"/>
  <c r="I32" i="20"/>
  <c r="J32" i="20"/>
  <c r="K32" i="20"/>
  <c r="L32" i="20"/>
  <c r="M32" i="20"/>
  <c r="N32" i="20"/>
  <c r="O32" i="20"/>
  <c r="P32" i="20"/>
  <c r="P33" i="20"/>
  <c r="Q32" i="20"/>
  <c r="Q33" i="20" s="1"/>
  <c r="R32" i="20"/>
  <c r="S32" i="20"/>
  <c r="T32" i="20"/>
  <c r="U32" i="20"/>
  <c r="V32" i="20"/>
  <c r="W32" i="20"/>
  <c r="X32" i="20"/>
  <c r="Y32" i="20"/>
  <c r="Z32" i="20"/>
  <c r="AA32" i="20"/>
  <c r="AB32" i="20"/>
  <c r="AC32" i="20"/>
  <c r="AD32" i="20"/>
  <c r="AE32" i="20"/>
  <c r="AF32" i="20"/>
  <c r="AF33" i="20" s="1"/>
  <c r="AG32" i="20"/>
  <c r="AG33" i="20" s="1"/>
  <c r="AH32" i="20"/>
  <c r="AI32" i="20"/>
  <c r="AJ32" i="20"/>
  <c r="AK32" i="20"/>
  <c r="AL32" i="20"/>
  <c r="AM32" i="20"/>
  <c r="C34" i="20"/>
  <c r="D34" i="20"/>
  <c r="E34" i="20"/>
  <c r="E35" i="20"/>
  <c r="F34" i="20"/>
  <c r="G34" i="20"/>
  <c r="H34" i="20"/>
  <c r="I34" i="20"/>
  <c r="I35" i="20"/>
  <c r="J34" i="20"/>
  <c r="J36" i="20" s="1"/>
  <c r="K34" i="20"/>
  <c r="L34" i="20"/>
  <c r="M34" i="20"/>
  <c r="M35" i="20"/>
  <c r="N34" i="20"/>
  <c r="O34" i="20"/>
  <c r="P34" i="20"/>
  <c r="Q34" i="20"/>
  <c r="Q35" i="20"/>
  <c r="R34" i="20"/>
  <c r="S34" i="20"/>
  <c r="T34" i="20"/>
  <c r="U34" i="20"/>
  <c r="U35" i="20"/>
  <c r="V34" i="20"/>
  <c r="W34" i="20"/>
  <c r="W36" i="20" s="1"/>
  <c r="X34" i="20"/>
  <c r="Y34" i="20"/>
  <c r="Y35" i="20"/>
  <c r="Z34" i="20"/>
  <c r="AA34" i="20"/>
  <c r="AB34" i="20"/>
  <c r="AC34" i="20"/>
  <c r="AC35" i="20"/>
  <c r="AD34" i="20"/>
  <c r="AE34" i="20"/>
  <c r="AF34" i="20"/>
  <c r="AG34" i="20"/>
  <c r="AG35" i="20"/>
  <c r="AH34" i="20"/>
  <c r="AI34" i="20"/>
  <c r="AJ34" i="20"/>
  <c r="AK34" i="20"/>
  <c r="AK35" i="20"/>
  <c r="AL34" i="20"/>
  <c r="AM34" i="20"/>
  <c r="C35" i="20"/>
  <c r="D35" i="20"/>
  <c r="F35" i="20"/>
  <c r="G35" i="20"/>
  <c r="H35" i="20"/>
  <c r="J35" i="20"/>
  <c r="K35" i="20"/>
  <c r="L35" i="20"/>
  <c r="N35" i="20"/>
  <c r="O35" i="20"/>
  <c r="P35" i="20"/>
  <c r="P36" i="20" s="1"/>
  <c r="R35" i="20"/>
  <c r="S35" i="20"/>
  <c r="T35" i="20"/>
  <c r="V35" i="20"/>
  <c r="W35" i="20"/>
  <c r="X35" i="20"/>
  <c r="X36" i="20" s="1"/>
  <c r="Z35" i="20"/>
  <c r="AA35" i="20"/>
  <c r="AB35" i="20"/>
  <c r="AD35" i="20"/>
  <c r="AE35" i="20"/>
  <c r="AF35" i="20"/>
  <c r="AH35" i="20"/>
  <c r="AI35" i="20"/>
  <c r="AJ35" i="20"/>
  <c r="AJ36" i="20" s="1"/>
  <c r="AL35" i="20"/>
  <c r="AM35" i="20"/>
  <c r="C37" i="20"/>
  <c r="D37" i="20"/>
  <c r="E37" i="20"/>
  <c r="F37" i="20"/>
  <c r="G37" i="20"/>
  <c r="H37" i="20"/>
  <c r="I37" i="20"/>
  <c r="J37" i="20"/>
  <c r="K37" i="20"/>
  <c r="L37" i="20"/>
  <c r="M37" i="20"/>
  <c r="N37" i="20"/>
  <c r="O37" i="20"/>
  <c r="P37" i="20"/>
  <c r="Q37" i="20"/>
  <c r="R37" i="20"/>
  <c r="S37" i="20"/>
  <c r="T37" i="20"/>
  <c r="U37" i="20"/>
  <c r="V37" i="20"/>
  <c r="W37" i="20"/>
  <c r="X37" i="20"/>
  <c r="Y37" i="20"/>
  <c r="Z37" i="20"/>
  <c r="AA37" i="20"/>
  <c r="AB37" i="20"/>
  <c r="AC37" i="20"/>
  <c r="AD37" i="20"/>
  <c r="AE37" i="20"/>
  <c r="AE39" i="20" s="1"/>
  <c r="AF37" i="20"/>
  <c r="AG37" i="20"/>
  <c r="AH37" i="20"/>
  <c r="AI37" i="20"/>
  <c r="AJ37" i="20"/>
  <c r="AK37" i="20"/>
  <c r="AL37" i="20"/>
  <c r="AM37" i="20"/>
  <c r="C38" i="20"/>
  <c r="D38" i="20"/>
  <c r="E38" i="20"/>
  <c r="F38" i="20"/>
  <c r="G38" i="20"/>
  <c r="H38" i="20"/>
  <c r="I38" i="20"/>
  <c r="J38" i="20"/>
  <c r="J39" i="20" s="1"/>
  <c r="K38" i="20"/>
  <c r="L38" i="20"/>
  <c r="M38" i="20"/>
  <c r="N38" i="20"/>
  <c r="N39" i="20" s="1"/>
  <c r="O38" i="20"/>
  <c r="P38" i="20"/>
  <c r="P39" i="20" s="1"/>
  <c r="Q38" i="20"/>
  <c r="R38" i="20"/>
  <c r="S38" i="20"/>
  <c r="T38" i="20"/>
  <c r="U38" i="20"/>
  <c r="V38" i="20"/>
  <c r="W38" i="20"/>
  <c r="X38" i="20"/>
  <c r="Y38" i="20"/>
  <c r="Y39" i="20" s="1"/>
  <c r="Z38" i="20"/>
  <c r="AA38" i="20"/>
  <c r="AB38" i="20"/>
  <c r="AC38" i="20"/>
  <c r="AD38" i="20"/>
  <c r="AE38" i="20"/>
  <c r="AF38" i="20"/>
  <c r="AG38" i="20"/>
  <c r="AH38" i="20"/>
  <c r="AI38" i="20"/>
  <c r="AJ38" i="20"/>
  <c r="AK38" i="20"/>
  <c r="AL38" i="20"/>
  <c r="AL39" i="20" s="1"/>
  <c r="AM38" i="20"/>
  <c r="C40" i="20"/>
  <c r="D40" i="20"/>
  <c r="E40" i="20"/>
  <c r="E41" i="20"/>
  <c r="F40" i="20"/>
  <c r="G40" i="20"/>
  <c r="H40" i="20"/>
  <c r="I40" i="20"/>
  <c r="I41" i="20"/>
  <c r="J40" i="20"/>
  <c r="K40" i="20"/>
  <c r="K42" i="20"/>
  <c r="L40" i="20"/>
  <c r="M40" i="20"/>
  <c r="M41" i="20"/>
  <c r="N40" i="20"/>
  <c r="O40" i="20"/>
  <c r="P40" i="20"/>
  <c r="Q40" i="20"/>
  <c r="Q41" i="20"/>
  <c r="R40" i="20"/>
  <c r="S40" i="20"/>
  <c r="T40" i="20"/>
  <c r="U40" i="20"/>
  <c r="U41" i="20"/>
  <c r="V40" i="20"/>
  <c r="W40" i="20"/>
  <c r="X40" i="20"/>
  <c r="Y40" i="20"/>
  <c r="Y41" i="20"/>
  <c r="Z40" i="20"/>
  <c r="AA40" i="20"/>
  <c r="AB40" i="20"/>
  <c r="AB42" i="20" s="1"/>
  <c r="AC40" i="20"/>
  <c r="AC41" i="20"/>
  <c r="AD40" i="20"/>
  <c r="AE40" i="20"/>
  <c r="AE42" i="20" s="1"/>
  <c r="AF40" i="20"/>
  <c r="AG40" i="20"/>
  <c r="AG41" i="20"/>
  <c r="AH40" i="20"/>
  <c r="AI40" i="20"/>
  <c r="AJ40" i="20"/>
  <c r="AK40" i="20"/>
  <c r="AK41" i="20"/>
  <c r="AL40" i="20"/>
  <c r="AM40" i="20"/>
  <c r="C41" i="20"/>
  <c r="C42" i="20" s="1"/>
  <c r="D41" i="20"/>
  <c r="F41" i="20"/>
  <c r="G41" i="20"/>
  <c r="H41" i="20"/>
  <c r="J41" i="20"/>
  <c r="K41" i="20"/>
  <c r="L41" i="20"/>
  <c r="N41" i="20"/>
  <c r="O41" i="20"/>
  <c r="P41" i="20"/>
  <c r="R41" i="20"/>
  <c r="S41" i="20"/>
  <c r="S42" i="20" s="1"/>
  <c r="T41" i="20"/>
  <c r="T42" i="20"/>
  <c r="V41" i="20"/>
  <c r="W41" i="20"/>
  <c r="X41" i="20"/>
  <c r="Z41" i="20"/>
  <c r="AA41" i="20"/>
  <c r="AB41" i="20"/>
  <c r="AD41" i="20"/>
  <c r="AE41" i="20"/>
  <c r="AF41" i="20"/>
  <c r="AH41" i="20"/>
  <c r="AI41" i="20"/>
  <c r="AI42" i="20"/>
  <c r="AJ41" i="20"/>
  <c r="AL41" i="20"/>
  <c r="AM41" i="20"/>
  <c r="C43" i="20"/>
  <c r="C45" i="20" s="1"/>
  <c r="D43" i="20"/>
  <c r="E43" i="20"/>
  <c r="F43" i="20"/>
  <c r="G43" i="20"/>
  <c r="H43" i="20"/>
  <c r="I43" i="20"/>
  <c r="J43" i="20"/>
  <c r="K43" i="20"/>
  <c r="L43" i="20"/>
  <c r="M43" i="20"/>
  <c r="N43" i="20"/>
  <c r="O43" i="20"/>
  <c r="P43" i="20"/>
  <c r="Q43" i="20"/>
  <c r="R43" i="20"/>
  <c r="S43" i="20"/>
  <c r="T43" i="20"/>
  <c r="U43" i="20"/>
  <c r="V43" i="20"/>
  <c r="W43" i="20"/>
  <c r="X43" i="20"/>
  <c r="Y43" i="20"/>
  <c r="Z43" i="20"/>
  <c r="AA43" i="20"/>
  <c r="AB43" i="20"/>
  <c r="AC43" i="20"/>
  <c r="AD43" i="20"/>
  <c r="AE43" i="20"/>
  <c r="AF43" i="20"/>
  <c r="AG43" i="20"/>
  <c r="AH43" i="20"/>
  <c r="AI43" i="20"/>
  <c r="AI45" i="20" s="1"/>
  <c r="AJ43" i="20"/>
  <c r="AK43" i="20"/>
  <c r="AL43" i="20"/>
  <c r="AM43" i="20"/>
  <c r="C44" i="20"/>
  <c r="D44" i="20"/>
  <c r="E44" i="20"/>
  <c r="F44" i="20"/>
  <c r="G44" i="20"/>
  <c r="H44" i="20"/>
  <c r="I44" i="20"/>
  <c r="J44" i="20"/>
  <c r="J45" i="20" s="1"/>
  <c r="K44" i="20"/>
  <c r="L44" i="20"/>
  <c r="M44" i="20"/>
  <c r="M45" i="20" s="1"/>
  <c r="N44" i="20"/>
  <c r="O44" i="20"/>
  <c r="P44" i="20"/>
  <c r="Q44" i="20"/>
  <c r="R44" i="20"/>
  <c r="S44" i="20"/>
  <c r="S45" i="20" s="1"/>
  <c r="T44" i="20"/>
  <c r="U44" i="20"/>
  <c r="V44" i="20"/>
  <c r="W44" i="20"/>
  <c r="X44" i="20"/>
  <c r="Y44" i="20"/>
  <c r="Z44" i="20"/>
  <c r="AA44" i="20"/>
  <c r="AB44" i="20"/>
  <c r="AB45" i="20" s="1"/>
  <c r="AC44" i="20"/>
  <c r="AD44" i="20"/>
  <c r="AE44" i="20"/>
  <c r="AF44" i="20"/>
  <c r="AG44" i="20"/>
  <c r="AH44" i="20"/>
  <c r="AH45" i="20" s="1"/>
  <c r="AI44" i="20"/>
  <c r="AJ44" i="20"/>
  <c r="AK44" i="20"/>
  <c r="AL44" i="20"/>
  <c r="AM44" i="20"/>
  <c r="C46" i="20"/>
  <c r="D46" i="20"/>
  <c r="E46" i="20"/>
  <c r="E47" i="20"/>
  <c r="E48" i="20" s="1"/>
  <c r="F46" i="20"/>
  <c r="G46" i="20"/>
  <c r="H46" i="20"/>
  <c r="I46" i="20"/>
  <c r="I47" i="20"/>
  <c r="J46" i="20"/>
  <c r="K46" i="20"/>
  <c r="L46" i="20"/>
  <c r="M46" i="20"/>
  <c r="M47" i="20"/>
  <c r="N46" i="20"/>
  <c r="O46" i="20"/>
  <c r="O48" i="20" s="1"/>
  <c r="P46" i="20"/>
  <c r="Q46" i="20"/>
  <c r="Q47" i="20"/>
  <c r="Q48" i="20"/>
  <c r="R46" i="20"/>
  <c r="S46" i="20"/>
  <c r="T46" i="20"/>
  <c r="U46" i="20"/>
  <c r="U47" i="20"/>
  <c r="V46" i="20"/>
  <c r="W46" i="20"/>
  <c r="X46" i="20"/>
  <c r="Y46" i="20"/>
  <c r="Y47" i="20"/>
  <c r="Z46" i="20"/>
  <c r="AA46" i="20"/>
  <c r="AA48" i="20" s="1"/>
  <c r="AB46" i="20"/>
  <c r="AB48" i="20"/>
  <c r="AC46" i="20"/>
  <c r="AC48" i="20" s="1"/>
  <c r="AC47" i="20"/>
  <c r="AD46" i="20"/>
  <c r="AE46" i="20"/>
  <c r="AF46" i="20"/>
  <c r="AG46" i="20"/>
  <c r="AG47" i="20"/>
  <c r="AH46" i="20"/>
  <c r="AH48" i="20" s="1"/>
  <c r="AI46" i="20"/>
  <c r="AJ46" i="20"/>
  <c r="AK46" i="20"/>
  <c r="AK47" i="20"/>
  <c r="AL46" i="20"/>
  <c r="AM46" i="20"/>
  <c r="C47" i="20"/>
  <c r="D47" i="20"/>
  <c r="F47" i="20"/>
  <c r="G47" i="20"/>
  <c r="H47" i="20"/>
  <c r="J47" i="20"/>
  <c r="K47" i="20"/>
  <c r="L47" i="20"/>
  <c r="N47" i="20"/>
  <c r="N48" i="20" s="1"/>
  <c r="O47" i="20"/>
  <c r="P47" i="20"/>
  <c r="R47" i="20"/>
  <c r="S47" i="20"/>
  <c r="T47" i="20"/>
  <c r="V47" i="20"/>
  <c r="W47" i="20"/>
  <c r="X47" i="20"/>
  <c r="X48" i="20" s="1"/>
  <c r="Z47" i="20"/>
  <c r="AA47" i="20"/>
  <c r="AB47" i="20"/>
  <c r="AD47" i="20"/>
  <c r="AD48" i="20" s="1"/>
  <c r="AE47" i="20"/>
  <c r="AF47" i="20"/>
  <c r="AH47" i="20"/>
  <c r="AI47" i="20"/>
  <c r="AJ47" i="20"/>
  <c r="AL47" i="20"/>
  <c r="AM47" i="20"/>
  <c r="C49" i="20"/>
  <c r="D49" i="20"/>
  <c r="E49" i="20"/>
  <c r="E51" i="20" s="1"/>
  <c r="F49" i="20"/>
  <c r="G49" i="20"/>
  <c r="H49" i="20"/>
  <c r="I49" i="20"/>
  <c r="J49" i="20"/>
  <c r="K49" i="20"/>
  <c r="L49" i="20"/>
  <c r="M49" i="20"/>
  <c r="N49" i="20"/>
  <c r="O49" i="20"/>
  <c r="P49" i="20"/>
  <c r="Q49" i="20"/>
  <c r="R49" i="20"/>
  <c r="S49" i="20"/>
  <c r="T49" i="20"/>
  <c r="U49" i="20"/>
  <c r="V49" i="20"/>
  <c r="W49" i="20"/>
  <c r="X49" i="20"/>
  <c r="Y49" i="20"/>
  <c r="Z49" i="20"/>
  <c r="AA49" i="20"/>
  <c r="AB49" i="20"/>
  <c r="AC49" i="20"/>
  <c r="AD49" i="20"/>
  <c r="AE49" i="20"/>
  <c r="AF49" i="20"/>
  <c r="AG49" i="20"/>
  <c r="AH49" i="20"/>
  <c r="AH51" i="20" s="1"/>
  <c r="AI49" i="20"/>
  <c r="AJ49" i="20"/>
  <c r="AK49" i="20"/>
  <c r="AL49" i="20"/>
  <c r="AM49" i="20"/>
  <c r="C50" i="20"/>
  <c r="D50" i="20"/>
  <c r="E50" i="20"/>
  <c r="F50" i="20"/>
  <c r="F51" i="20" s="1"/>
  <c r="G50" i="20"/>
  <c r="H50" i="20"/>
  <c r="H51" i="20" s="1"/>
  <c r="I50" i="20"/>
  <c r="J50" i="20"/>
  <c r="K50" i="20"/>
  <c r="L50" i="20"/>
  <c r="L51" i="20" s="1"/>
  <c r="M50" i="20"/>
  <c r="N50" i="20"/>
  <c r="O50" i="20"/>
  <c r="P50" i="20"/>
  <c r="Q50" i="20"/>
  <c r="R50" i="20"/>
  <c r="R51" i="20" s="1"/>
  <c r="S50" i="20"/>
  <c r="T50" i="20"/>
  <c r="T51" i="20" s="1"/>
  <c r="U50" i="20"/>
  <c r="U51" i="20"/>
  <c r="V50" i="20"/>
  <c r="W50" i="20"/>
  <c r="X50" i="20"/>
  <c r="Y50" i="20"/>
  <c r="Z50" i="20"/>
  <c r="Z51" i="20" s="1"/>
  <c r="AA50" i="20"/>
  <c r="AB50" i="20"/>
  <c r="AC50" i="20"/>
  <c r="AD50" i="20"/>
  <c r="AD51" i="20" s="1"/>
  <c r="AE50" i="20"/>
  <c r="AF50" i="20"/>
  <c r="AF51" i="20" s="1"/>
  <c r="AG50" i="20"/>
  <c r="AH50" i="20"/>
  <c r="AI50" i="20"/>
  <c r="AJ50" i="20"/>
  <c r="AK50" i="20"/>
  <c r="AL50" i="20"/>
  <c r="AM50" i="20"/>
  <c r="C52" i="20"/>
  <c r="D52" i="20"/>
  <c r="D54" i="20" s="1"/>
  <c r="E52" i="20"/>
  <c r="E53" i="20"/>
  <c r="F52" i="20"/>
  <c r="G52" i="20"/>
  <c r="H52" i="20"/>
  <c r="I52" i="20"/>
  <c r="I53" i="20"/>
  <c r="J52" i="20"/>
  <c r="K52" i="20"/>
  <c r="L52" i="20"/>
  <c r="M52" i="20"/>
  <c r="M53" i="20"/>
  <c r="N52" i="20"/>
  <c r="O52" i="20"/>
  <c r="O54" i="20"/>
  <c r="P52" i="20"/>
  <c r="Q52" i="20"/>
  <c r="Q53" i="20"/>
  <c r="R52" i="20"/>
  <c r="S52" i="20"/>
  <c r="T52" i="20"/>
  <c r="U52" i="20"/>
  <c r="U53" i="20"/>
  <c r="V52" i="20"/>
  <c r="W52" i="20"/>
  <c r="W54" i="20" s="1"/>
  <c r="X52" i="20"/>
  <c r="Y52" i="20"/>
  <c r="Y54" i="20" s="1"/>
  <c r="Y53" i="20"/>
  <c r="Z52" i="20"/>
  <c r="Z54" i="20" s="1"/>
  <c r="AA52" i="20"/>
  <c r="AA54" i="20" s="1"/>
  <c r="AB52" i="20"/>
  <c r="AC52" i="20"/>
  <c r="AC53" i="20"/>
  <c r="AD52" i="20"/>
  <c r="AE52" i="20"/>
  <c r="AF52" i="20"/>
  <c r="AG52" i="20"/>
  <c r="AG54" i="20" s="1"/>
  <c r="AG53" i="20"/>
  <c r="AH52" i="20"/>
  <c r="AI52" i="20"/>
  <c r="AJ52" i="20"/>
  <c r="AK52" i="20"/>
  <c r="AK53" i="20"/>
  <c r="AL52" i="20"/>
  <c r="AL54" i="20" s="1"/>
  <c r="AM52" i="20"/>
  <c r="C53" i="20"/>
  <c r="D53" i="20"/>
  <c r="F53" i="20"/>
  <c r="G53" i="20"/>
  <c r="H53" i="20"/>
  <c r="H54" i="20" s="1"/>
  <c r="J53" i="20"/>
  <c r="K53" i="20"/>
  <c r="L53" i="20"/>
  <c r="N53" i="20"/>
  <c r="N54" i="20" s="1"/>
  <c r="O53" i="20"/>
  <c r="P53" i="20"/>
  <c r="R53" i="20"/>
  <c r="S53" i="20"/>
  <c r="T53" i="20"/>
  <c r="T54" i="20" s="1"/>
  <c r="V53" i="20"/>
  <c r="W53" i="20"/>
  <c r="X53" i="20"/>
  <c r="Z53" i="20"/>
  <c r="AA53" i="20"/>
  <c r="AB53" i="20"/>
  <c r="AD53" i="20"/>
  <c r="AE53" i="20"/>
  <c r="AF53" i="20"/>
  <c r="AH53" i="20"/>
  <c r="AH54" i="20" s="1"/>
  <c r="AI53" i="20"/>
  <c r="AJ53" i="20"/>
  <c r="AL53" i="20"/>
  <c r="AM53" i="20"/>
  <c r="AM54" i="20" s="1"/>
  <c r="C55" i="20"/>
  <c r="D55" i="20"/>
  <c r="E55" i="20"/>
  <c r="F55" i="20"/>
  <c r="G55" i="20"/>
  <c r="H55" i="20"/>
  <c r="I55" i="20"/>
  <c r="J55" i="20"/>
  <c r="K55" i="20"/>
  <c r="L55" i="20"/>
  <c r="M55" i="20"/>
  <c r="N55" i="20"/>
  <c r="O55" i="20"/>
  <c r="P55" i="20"/>
  <c r="P57" i="20"/>
  <c r="Q55" i="20"/>
  <c r="R55" i="20"/>
  <c r="S55" i="20"/>
  <c r="T55" i="20"/>
  <c r="U55" i="20"/>
  <c r="V55" i="20"/>
  <c r="W55" i="20"/>
  <c r="X55" i="20"/>
  <c r="Y55" i="20"/>
  <c r="Z55" i="20"/>
  <c r="AA55" i="20"/>
  <c r="AB55" i="20"/>
  <c r="AC55" i="20"/>
  <c r="AD55" i="20"/>
  <c r="AE55" i="20"/>
  <c r="AE57" i="20" s="1"/>
  <c r="AF55" i="20"/>
  <c r="AG55" i="20"/>
  <c r="AH55" i="20"/>
  <c r="AI55" i="20"/>
  <c r="AJ55" i="20"/>
  <c r="AK55" i="20"/>
  <c r="AL55" i="20"/>
  <c r="AM55" i="20"/>
  <c r="C56" i="20"/>
  <c r="D56" i="20"/>
  <c r="D57" i="20" s="1"/>
  <c r="E56" i="20"/>
  <c r="F56" i="20"/>
  <c r="G56" i="20"/>
  <c r="H56" i="20"/>
  <c r="I56" i="20"/>
  <c r="J56" i="20"/>
  <c r="J57" i="20" s="1"/>
  <c r="K56" i="20"/>
  <c r="L56" i="20"/>
  <c r="M56" i="20"/>
  <c r="N56" i="20"/>
  <c r="N57" i="20" s="1"/>
  <c r="O56" i="20"/>
  <c r="P56" i="20"/>
  <c r="Q56" i="20"/>
  <c r="R56" i="20"/>
  <c r="S56" i="20"/>
  <c r="T56" i="20"/>
  <c r="U56" i="20"/>
  <c r="V56" i="20"/>
  <c r="W56" i="20"/>
  <c r="W57" i="20"/>
  <c r="X56" i="20"/>
  <c r="Y56" i="20"/>
  <c r="Z56" i="20"/>
  <c r="AA56" i="20"/>
  <c r="AB56" i="20"/>
  <c r="AB57" i="20" s="1"/>
  <c r="AC56" i="20"/>
  <c r="AD56" i="20"/>
  <c r="AE56" i="20"/>
  <c r="AF56" i="20"/>
  <c r="AG56" i="20"/>
  <c r="AH56" i="20"/>
  <c r="AI56" i="20"/>
  <c r="AI57" i="20"/>
  <c r="AJ56" i="20"/>
  <c r="AK56" i="20"/>
  <c r="AL56" i="20"/>
  <c r="AL57" i="20"/>
  <c r="AM56" i="20"/>
  <c r="C58" i="20"/>
  <c r="D58" i="20"/>
  <c r="E58" i="20"/>
  <c r="E59" i="20"/>
  <c r="F58" i="20"/>
  <c r="G58" i="20"/>
  <c r="H58" i="20"/>
  <c r="I58" i="20"/>
  <c r="I59" i="20"/>
  <c r="J58" i="20"/>
  <c r="K58" i="20"/>
  <c r="K60" i="20" s="1"/>
  <c r="L58" i="20"/>
  <c r="L60" i="20"/>
  <c r="M58" i="20"/>
  <c r="M60" i="20" s="1"/>
  <c r="M59" i="20"/>
  <c r="N58" i="20"/>
  <c r="O58" i="20"/>
  <c r="P58" i="20"/>
  <c r="Q58" i="20"/>
  <c r="Q59" i="20"/>
  <c r="R58" i="20"/>
  <c r="S58" i="20"/>
  <c r="T58" i="20"/>
  <c r="U58" i="20"/>
  <c r="U59" i="20"/>
  <c r="V58" i="20"/>
  <c r="W58" i="20"/>
  <c r="X58" i="20"/>
  <c r="Y58" i="20"/>
  <c r="Y59" i="20"/>
  <c r="Y60" i="20" s="1"/>
  <c r="Z58" i="20"/>
  <c r="AA58" i="20"/>
  <c r="AB58" i="20"/>
  <c r="AC58" i="20"/>
  <c r="AC59" i="20"/>
  <c r="AD58" i="20"/>
  <c r="AE58" i="20"/>
  <c r="AF58" i="20"/>
  <c r="AG58" i="20"/>
  <c r="AG59" i="20"/>
  <c r="AH58" i="20"/>
  <c r="AI58" i="20"/>
  <c r="AJ58" i="20"/>
  <c r="AK58" i="20"/>
  <c r="AK59" i="20"/>
  <c r="AK60" i="20" s="1"/>
  <c r="AL58" i="20"/>
  <c r="AM58" i="20"/>
  <c r="C59" i="20"/>
  <c r="C60" i="20"/>
  <c r="D59" i="20"/>
  <c r="D60" i="20"/>
  <c r="F59" i="20"/>
  <c r="G59" i="20"/>
  <c r="H59" i="20"/>
  <c r="J59" i="20"/>
  <c r="K59" i="20"/>
  <c r="L59" i="20"/>
  <c r="N59" i="20"/>
  <c r="O59" i="20"/>
  <c r="P59" i="20"/>
  <c r="R59" i="20"/>
  <c r="R60" i="20" s="1"/>
  <c r="S59" i="20"/>
  <c r="S60" i="20" s="1"/>
  <c r="T59" i="20"/>
  <c r="T60" i="20"/>
  <c r="V59" i="20"/>
  <c r="W59" i="20"/>
  <c r="X59" i="20"/>
  <c r="Z59" i="20"/>
  <c r="AA59" i="20"/>
  <c r="AB59" i="20"/>
  <c r="AD59" i="20"/>
  <c r="AD60" i="20" s="1"/>
  <c r="AE59" i="20"/>
  <c r="AF59" i="20"/>
  <c r="AH59" i="20"/>
  <c r="AI59" i="20"/>
  <c r="AJ59" i="20"/>
  <c r="AJ60" i="20" s="1"/>
  <c r="AL59" i="20"/>
  <c r="AM59" i="20"/>
  <c r="C61" i="20"/>
  <c r="D61" i="20"/>
  <c r="E61" i="20"/>
  <c r="F61" i="20"/>
  <c r="G61" i="20"/>
  <c r="H61" i="20"/>
  <c r="I61" i="20"/>
  <c r="J61" i="20"/>
  <c r="K61" i="20"/>
  <c r="L61" i="20"/>
  <c r="M61" i="20"/>
  <c r="N61" i="20"/>
  <c r="O61" i="20"/>
  <c r="P61" i="20"/>
  <c r="P63" i="20" s="1"/>
  <c r="Q61" i="20"/>
  <c r="R61" i="20"/>
  <c r="S61" i="20"/>
  <c r="T61" i="20"/>
  <c r="U61" i="20"/>
  <c r="V61" i="20"/>
  <c r="W61" i="20"/>
  <c r="X61" i="20"/>
  <c r="Y61" i="20"/>
  <c r="Z61" i="20"/>
  <c r="AA61" i="20"/>
  <c r="AB61" i="20"/>
  <c r="AC61" i="20"/>
  <c r="AD61" i="20"/>
  <c r="AE61" i="20"/>
  <c r="AF61" i="20"/>
  <c r="AF63" i="20" s="1"/>
  <c r="AG61" i="20"/>
  <c r="AH61" i="20"/>
  <c r="AI61" i="20"/>
  <c r="AJ61" i="20"/>
  <c r="AK61" i="20"/>
  <c r="AL61" i="20"/>
  <c r="AM61" i="20"/>
  <c r="C62" i="20"/>
  <c r="D62" i="20"/>
  <c r="E62" i="20"/>
  <c r="F62" i="20"/>
  <c r="G62" i="20"/>
  <c r="H62" i="20"/>
  <c r="I62" i="20"/>
  <c r="J62" i="20"/>
  <c r="J63" i="20"/>
  <c r="K62" i="20"/>
  <c r="L62" i="20"/>
  <c r="M62" i="20"/>
  <c r="N62" i="20"/>
  <c r="O62" i="20"/>
  <c r="P62" i="20"/>
  <c r="Q62" i="20"/>
  <c r="R62" i="20"/>
  <c r="S62" i="20"/>
  <c r="S63" i="20" s="1"/>
  <c r="T62" i="20"/>
  <c r="U62" i="20"/>
  <c r="V62" i="20"/>
  <c r="W62" i="20"/>
  <c r="X62" i="20"/>
  <c r="Y62" i="20"/>
  <c r="Y63" i="20" s="1"/>
  <c r="Z62" i="20"/>
  <c r="AA62" i="20"/>
  <c r="AB62" i="20"/>
  <c r="AC62" i="20"/>
  <c r="AD62" i="20"/>
  <c r="AE62" i="20"/>
  <c r="AF62" i="20"/>
  <c r="AG62" i="20"/>
  <c r="AH62" i="20"/>
  <c r="AI62" i="20"/>
  <c r="AJ62" i="20"/>
  <c r="AK62" i="20"/>
  <c r="AL62" i="20"/>
  <c r="AM62" i="20"/>
  <c r="C64" i="20"/>
  <c r="D64" i="20"/>
  <c r="E64" i="20"/>
  <c r="F64" i="20"/>
  <c r="G64" i="20"/>
  <c r="H64" i="20"/>
  <c r="I64" i="20"/>
  <c r="J64" i="20"/>
  <c r="K64" i="20"/>
  <c r="L64" i="20"/>
  <c r="M64" i="20"/>
  <c r="N64" i="20"/>
  <c r="O64" i="20"/>
  <c r="P64" i="20"/>
  <c r="Q64" i="20"/>
  <c r="R64" i="20"/>
  <c r="S64" i="20"/>
  <c r="T64" i="20"/>
  <c r="U64" i="20"/>
  <c r="V64" i="20"/>
  <c r="W64" i="20"/>
  <c r="X64" i="20"/>
  <c r="Y64" i="20"/>
  <c r="Z64" i="20"/>
  <c r="AA64" i="20"/>
  <c r="AB64" i="20"/>
  <c r="AC64" i="20"/>
  <c r="AD64" i="20"/>
  <c r="AE64" i="20"/>
  <c r="AF64" i="20"/>
  <c r="AG64" i="20"/>
  <c r="AH64" i="20"/>
  <c r="AH66" i="20"/>
  <c r="AI64" i="20"/>
  <c r="AI66" i="20" s="1"/>
  <c r="AJ64" i="20"/>
  <c r="AK64" i="20"/>
  <c r="AL64" i="20"/>
  <c r="AM64" i="20"/>
  <c r="C65" i="20"/>
  <c r="D65" i="20"/>
  <c r="D66" i="20" s="1"/>
  <c r="E65" i="20"/>
  <c r="F65" i="20"/>
  <c r="G65" i="20"/>
  <c r="H65" i="20"/>
  <c r="I65" i="20"/>
  <c r="J65" i="20"/>
  <c r="K65" i="20"/>
  <c r="L65" i="20"/>
  <c r="L66" i="20"/>
  <c r="M65" i="20"/>
  <c r="N65" i="20"/>
  <c r="O65" i="20"/>
  <c r="P65" i="20"/>
  <c r="P66" i="20" s="1"/>
  <c r="Q65" i="20"/>
  <c r="R65" i="20"/>
  <c r="S65" i="20"/>
  <c r="T65" i="20"/>
  <c r="T66" i="20" s="1"/>
  <c r="U65" i="20"/>
  <c r="V65" i="20"/>
  <c r="W65" i="20"/>
  <c r="X65" i="20"/>
  <c r="Y65" i="20"/>
  <c r="Z65" i="20"/>
  <c r="Z66" i="20" s="1"/>
  <c r="AA65" i="20"/>
  <c r="AB65" i="20"/>
  <c r="AB66" i="20"/>
  <c r="AC65" i="20"/>
  <c r="AD65" i="20"/>
  <c r="AE65" i="20"/>
  <c r="AF65" i="20"/>
  <c r="AG65" i="20"/>
  <c r="AH65" i="20"/>
  <c r="AI65" i="20"/>
  <c r="AJ65" i="20"/>
  <c r="AK65" i="20"/>
  <c r="AL65" i="20"/>
  <c r="AM65" i="20"/>
  <c r="C67" i="20"/>
  <c r="D67" i="20"/>
  <c r="D69" i="20" s="1"/>
  <c r="E67" i="20"/>
  <c r="F67" i="20"/>
  <c r="G67" i="20"/>
  <c r="H67" i="20"/>
  <c r="I67" i="20"/>
  <c r="J67" i="20"/>
  <c r="K67" i="20"/>
  <c r="L67" i="20"/>
  <c r="M67" i="20"/>
  <c r="N67" i="20"/>
  <c r="O67" i="20"/>
  <c r="P67" i="20"/>
  <c r="P69" i="20" s="1"/>
  <c r="Q67" i="20"/>
  <c r="R67" i="20"/>
  <c r="R69" i="20" s="1"/>
  <c r="S67" i="20"/>
  <c r="T67" i="20"/>
  <c r="U67" i="20"/>
  <c r="V67" i="20"/>
  <c r="W67" i="20"/>
  <c r="X67" i="20"/>
  <c r="Y67" i="20"/>
  <c r="Z67" i="20"/>
  <c r="AA67" i="20"/>
  <c r="AB67" i="20"/>
  <c r="AB69" i="20"/>
  <c r="AC67" i="20"/>
  <c r="AD67" i="20"/>
  <c r="AE67" i="20"/>
  <c r="AF67" i="20"/>
  <c r="AF69" i="20" s="1"/>
  <c r="AG67" i="20"/>
  <c r="AH67" i="20"/>
  <c r="AI67" i="20"/>
  <c r="AJ67" i="20"/>
  <c r="AK67" i="20"/>
  <c r="AL67" i="20"/>
  <c r="AM67" i="20"/>
  <c r="C68" i="20"/>
  <c r="D68" i="20"/>
  <c r="E68" i="20"/>
  <c r="F68" i="20"/>
  <c r="G68" i="20"/>
  <c r="H68" i="20"/>
  <c r="H69" i="20" s="1"/>
  <c r="I68" i="20"/>
  <c r="J68" i="20"/>
  <c r="K68" i="20"/>
  <c r="K69" i="20" s="1"/>
  <c r="L68" i="20"/>
  <c r="M68" i="20"/>
  <c r="N68" i="20"/>
  <c r="O68" i="20"/>
  <c r="P68" i="20"/>
  <c r="Q68" i="20"/>
  <c r="R68" i="20"/>
  <c r="S68" i="20"/>
  <c r="T68" i="20"/>
  <c r="T69" i="20" s="1"/>
  <c r="U68" i="20"/>
  <c r="V68" i="20"/>
  <c r="W68" i="20"/>
  <c r="X68" i="20"/>
  <c r="Y68" i="20"/>
  <c r="Z68" i="20"/>
  <c r="AA68" i="20"/>
  <c r="AB68" i="20"/>
  <c r="AC68" i="20"/>
  <c r="AD68" i="20"/>
  <c r="AE68" i="20"/>
  <c r="AF68" i="20"/>
  <c r="AG68" i="20"/>
  <c r="AH68" i="20"/>
  <c r="AI68" i="20"/>
  <c r="AJ68" i="20"/>
  <c r="AK68" i="20"/>
  <c r="AL68" i="20"/>
  <c r="AM68" i="20"/>
  <c r="C70" i="20"/>
  <c r="D70" i="20"/>
  <c r="E70" i="20"/>
  <c r="E72" i="20" s="1"/>
  <c r="F70" i="20"/>
  <c r="G70" i="20"/>
  <c r="H70" i="20"/>
  <c r="I70" i="20"/>
  <c r="J70" i="20"/>
  <c r="K70" i="20"/>
  <c r="L70" i="20"/>
  <c r="M70" i="20"/>
  <c r="N70" i="20"/>
  <c r="O70" i="20"/>
  <c r="P70" i="20"/>
  <c r="Q70" i="20"/>
  <c r="R70" i="20"/>
  <c r="R72" i="20" s="1"/>
  <c r="S70" i="20"/>
  <c r="T70" i="20"/>
  <c r="T72" i="20" s="1"/>
  <c r="U70" i="20"/>
  <c r="V70" i="20"/>
  <c r="W70" i="20"/>
  <c r="X70" i="20"/>
  <c r="Y70" i="20"/>
  <c r="Z70" i="20"/>
  <c r="AA70" i="20"/>
  <c r="AB70" i="20"/>
  <c r="AC70" i="20"/>
  <c r="AD70" i="20"/>
  <c r="AD72" i="20"/>
  <c r="AE70" i="20"/>
  <c r="AF70" i="20"/>
  <c r="AG70" i="20"/>
  <c r="AH70" i="20"/>
  <c r="AI70" i="20"/>
  <c r="AI72" i="20" s="1"/>
  <c r="AJ70" i="20"/>
  <c r="AK70" i="20"/>
  <c r="AL70" i="20"/>
  <c r="AM70" i="20"/>
  <c r="C71" i="20"/>
  <c r="D71" i="20"/>
  <c r="E71" i="20"/>
  <c r="F71" i="20"/>
  <c r="G71" i="20"/>
  <c r="H71" i="20"/>
  <c r="I71" i="20"/>
  <c r="J71" i="20"/>
  <c r="K71" i="20"/>
  <c r="L71" i="20"/>
  <c r="L72" i="20"/>
  <c r="M71" i="20"/>
  <c r="M72" i="20" s="1"/>
  <c r="N71" i="20"/>
  <c r="O71" i="20"/>
  <c r="P71" i="20"/>
  <c r="Q71" i="20"/>
  <c r="R71" i="20"/>
  <c r="S71" i="20"/>
  <c r="T71" i="20"/>
  <c r="U71" i="20"/>
  <c r="V71" i="20"/>
  <c r="W71" i="20"/>
  <c r="X71" i="20"/>
  <c r="Y71" i="20"/>
  <c r="Z71" i="20"/>
  <c r="AA71" i="20"/>
  <c r="AB71" i="20"/>
  <c r="AB72" i="20"/>
  <c r="AC71" i="20"/>
  <c r="AD71" i="20"/>
  <c r="AE71" i="20"/>
  <c r="AF71" i="20"/>
  <c r="AG71" i="20"/>
  <c r="AH71" i="20"/>
  <c r="AI71" i="20"/>
  <c r="AJ71" i="20"/>
  <c r="AJ72" i="20" s="1"/>
  <c r="AK71" i="20"/>
  <c r="AL71" i="20"/>
  <c r="AM71" i="20"/>
  <c r="C73" i="20"/>
  <c r="D73" i="20"/>
  <c r="D75" i="20"/>
  <c r="E73" i="20"/>
  <c r="E75" i="20" s="1"/>
  <c r="F73" i="20"/>
  <c r="G73" i="20"/>
  <c r="H73" i="20"/>
  <c r="I73" i="20"/>
  <c r="J73" i="20"/>
  <c r="K73" i="20"/>
  <c r="L73" i="20"/>
  <c r="M73" i="20"/>
  <c r="N73" i="20"/>
  <c r="O73" i="20"/>
  <c r="P73" i="20"/>
  <c r="Q73" i="20"/>
  <c r="R73" i="20"/>
  <c r="S73" i="20"/>
  <c r="T73" i="20"/>
  <c r="U73" i="20"/>
  <c r="V73" i="20"/>
  <c r="W73" i="20"/>
  <c r="X73" i="20"/>
  <c r="Y73" i="20"/>
  <c r="Z73" i="20"/>
  <c r="AA73" i="20"/>
  <c r="AB73" i="20"/>
  <c r="AC73" i="20"/>
  <c r="AD73" i="20"/>
  <c r="AE73" i="20"/>
  <c r="AE75" i="20"/>
  <c r="AF73" i="20"/>
  <c r="AG73" i="20"/>
  <c r="AH73" i="20"/>
  <c r="AI73" i="20"/>
  <c r="AJ73" i="20"/>
  <c r="AJ75" i="20" s="1"/>
  <c r="AK73" i="20"/>
  <c r="AL73" i="20"/>
  <c r="AM73" i="20"/>
  <c r="C74" i="20"/>
  <c r="D74" i="20"/>
  <c r="E74" i="20"/>
  <c r="F74" i="20"/>
  <c r="F75" i="20"/>
  <c r="G74" i="20"/>
  <c r="H74" i="20"/>
  <c r="I74" i="20"/>
  <c r="J74" i="20"/>
  <c r="K74" i="20"/>
  <c r="L74" i="20"/>
  <c r="M74" i="20"/>
  <c r="N74" i="20"/>
  <c r="N75" i="20" s="1"/>
  <c r="O74" i="20"/>
  <c r="P74" i="20"/>
  <c r="Q74" i="20"/>
  <c r="R74" i="20"/>
  <c r="S74" i="20"/>
  <c r="T74" i="20"/>
  <c r="U74" i="20"/>
  <c r="V74" i="20"/>
  <c r="V75" i="20" s="1"/>
  <c r="W74" i="20"/>
  <c r="X74" i="20"/>
  <c r="Y74" i="20"/>
  <c r="Z74" i="20"/>
  <c r="AA74" i="20"/>
  <c r="AB74" i="20"/>
  <c r="AB75" i="20" s="1"/>
  <c r="AC74" i="20"/>
  <c r="AD74" i="20"/>
  <c r="AE74" i="20"/>
  <c r="AF74" i="20"/>
  <c r="AG74" i="20"/>
  <c r="AH74" i="20"/>
  <c r="AI74" i="20"/>
  <c r="AJ74" i="20"/>
  <c r="AK74" i="20"/>
  <c r="AL74" i="20"/>
  <c r="AM74" i="20"/>
  <c r="C76" i="20"/>
  <c r="D76" i="20"/>
  <c r="E76" i="20"/>
  <c r="F76" i="20"/>
  <c r="G76" i="20"/>
  <c r="G78" i="20" s="1"/>
  <c r="H76" i="20"/>
  <c r="I76" i="20"/>
  <c r="J76" i="20"/>
  <c r="K76" i="20"/>
  <c r="L76" i="20"/>
  <c r="M76" i="20"/>
  <c r="N76" i="20"/>
  <c r="O76" i="20"/>
  <c r="P76" i="20"/>
  <c r="Q76" i="20"/>
  <c r="Q78" i="20"/>
  <c r="R76" i="20"/>
  <c r="S76" i="20"/>
  <c r="T76" i="20"/>
  <c r="U76" i="20"/>
  <c r="U78" i="20" s="1"/>
  <c r="V76" i="20"/>
  <c r="W76" i="20"/>
  <c r="X76" i="20"/>
  <c r="Y76" i="20"/>
  <c r="Z76" i="20"/>
  <c r="AA76" i="20"/>
  <c r="AB76" i="20"/>
  <c r="AC76" i="20"/>
  <c r="AD76" i="20"/>
  <c r="AE76" i="20"/>
  <c r="AF76" i="20"/>
  <c r="AG76" i="20"/>
  <c r="AH76" i="20"/>
  <c r="AI76" i="20"/>
  <c r="AJ76" i="20"/>
  <c r="AJ78" i="20" s="1"/>
  <c r="AK76" i="20"/>
  <c r="AL76" i="20"/>
  <c r="AM76" i="20"/>
  <c r="C77" i="20"/>
  <c r="D77" i="20"/>
  <c r="E77" i="20"/>
  <c r="F77" i="20"/>
  <c r="G77" i="20"/>
  <c r="H77" i="20"/>
  <c r="I77" i="20"/>
  <c r="J77" i="20"/>
  <c r="K77" i="20"/>
  <c r="L77" i="20"/>
  <c r="M77" i="20"/>
  <c r="N77" i="20"/>
  <c r="N78" i="20" s="1"/>
  <c r="O77" i="20"/>
  <c r="P77" i="20"/>
  <c r="Q77" i="20"/>
  <c r="R77" i="20"/>
  <c r="S77" i="20"/>
  <c r="T77" i="20"/>
  <c r="U77" i="20"/>
  <c r="V77" i="20"/>
  <c r="W77" i="20"/>
  <c r="X77" i="20"/>
  <c r="Y77" i="20"/>
  <c r="Z77" i="20"/>
  <c r="AA77" i="20"/>
  <c r="AB77" i="20"/>
  <c r="AB78" i="20"/>
  <c r="AC77" i="20"/>
  <c r="AC78" i="20" s="1"/>
  <c r="AD77" i="20"/>
  <c r="AE77" i="20"/>
  <c r="AF77" i="20"/>
  <c r="AG77" i="20"/>
  <c r="AH77" i="20"/>
  <c r="AI77" i="20"/>
  <c r="AJ77" i="20"/>
  <c r="AK77" i="20"/>
  <c r="AL77" i="20"/>
  <c r="AL78" i="20" s="1"/>
  <c r="AM77" i="20"/>
  <c r="C79" i="20"/>
  <c r="C81" i="20"/>
  <c r="D79" i="20"/>
  <c r="E79" i="20"/>
  <c r="F79" i="20"/>
  <c r="G79" i="20"/>
  <c r="H79" i="20"/>
  <c r="I79" i="20"/>
  <c r="J79" i="20"/>
  <c r="K79" i="20"/>
  <c r="L79" i="20"/>
  <c r="M79" i="20"/>
  <c r="N79" i="20"/>
  <c r="O79" i="20"/>
  <c r="O81" i="20" s="1"/>
  <c r="P79" i="20"/>
  <c r="Q79" i="20"/>
  <c r="R79" i="20"/>
  <c r="S79" i="20"/>
  <c r="T79" i="20"/>
  <c r="U79" i="20"/>
  <c r="V79" i="20"/>
  <c r="V81" i="20" s="1"/>
  <c r="W79" i="20"/>
  <c r="X79" i="20"/>
  <c r="Y79" i="20"/>
  <c r="Z79" i="20"/>
  <c r="AA79" i="20"/>
  <c r="AB79" i="20"/>
  <c r="AC79" i="20"/>
  <c r="AD79" i="20"/>
  <c r="AE79" i="20"/>
  <c r="AF79" i="20"/>
  <c r="AG79" i="20"/>
  <c r="AH79" i="20"/>
  <c r="AI79" i="20"/>
  <c r="AJ79" i="20"/>
  <c r="AK79" i="20"/>
  <c r="AL79" i="20"/>
  <c r="AM79" i="20"/>
  <c r="C80" i="20"/>
  <c r="D80" i="20"/>
  <c r="E80" i="20"/>
  <c r="F80" i="20"/>
  <c r="G80" i="20"/>
  <c r="H80" i="20"/>
  <c r="I80" i="20"/>
  <c r="J80" i="20"/>
  <c r="K80" i="20"/>
  <c r="L80" i="20"/>
  <c r="L81" i="20" s="1"/>
  <c r="M80" i="20"/>
  <c r="N80" i="20"/>
  <c r="N81" i="20" s="1"/>
  <c r="O80" i="20"/>
  <c r="P80" i="20"/>
  <c r="Q80" i="20"/>
  <c r="R80" i="20"/>
  <c r="S80" i="20"/>
  <c r="T80" i="20"/>
  <c r="U80" i="20"/>
  <c r="V80" i="20"/>
  <c r="W80" i="20"/>
  <c r="X80" i="20"/>
  <c r="X81" i="20" s="1"/>
  <c r="Y80" i="20"/>
  <c r="Z80" i="20"/>
  <c r="Z81" i="20" s="1"/>
  <c r="AA80" i="20"/>
  <c r="AA81" i="20" s="1"/>
  <c r="AB80" i="20"/>
  <c r="AB81" i="20" s="1"/>
  <c r="AC80" i="20"/>
  <c r="AD80" i="20"/>
  <c r="AE80" i="20"/>
  <c r="AF80" i="20"/>
  <c r="AG80" i="20"/>
  <c r="AH80" i="20"/>
  <c r="AI80" i="20"/>
  <c r="AJ80" i="20"/>
  <c r="AJ81" i="20" s="1"/>
  <c r="AK80" i="20"/>
  <c r="AL80" i="20"/>
  <c r="AL81" i="20"/>
  <c r="AM80" i="20"/>
  <c r="AM81" i="20" s="1"/>
  <c r="C82" i="20"/>
  <c r="D82" i="20"/>
  <c r="E82" i="20"/>
  <c r="F82" i="20"/>
  <c r="G82" i="20"/>
  <c r="H82" i="20"/>
  <c r="I82" i="20"/>
  <c r="J82" i="20"/>
  <c r="K82" i="20"/>
  <c r="L82" i="20"/>
  <c r="M82" i="20"/>
  <c r="M84" i="20" s="1"/>
  <c r="N82" i="20"/>
  <c r="O82" i="20"/>
  <c r="P82" i="20"/>
  <c r="Q82" i="20"/>
  <c r="R82" i="20"/>
  <c r="S82" i="20"/>
  <c r="T82" i="20"/>
  <c r="T84" i="20" s="1"/>
  <c r="U82" i="20"/>
  <c r="V82" i="20"/>
  <c r="W82" i="20"/>
  <c r="X82" i="20"/>
  <c r="Y82" i="20"/>
  <c r="Z82" i="20"/>
  <c r="AA82" i="20"/>
  <c r="AB82" i="20"/>
  <c r="AC82" i="20"/>
  <c r="AD82" i="20"/>
  <c r="AE82" i="20"/>
  <c r="AF82" i="20"/>
  <c r="AG82" i="20"/>
  <c r="AH82" i="20"/>
  <c r="AI82" i="20"/>
  <c r="AJ82" i="20"/>
  <c r="AK82" i="20"/>
  <c r="AL82" i="20"/>
  <c r="AM82" i="20"/>
  <c r="C83" i="20"/>
  <c r="D83" i="20"/>
  <c r="E83" i="20"/>
  <c r="F83" i="20"/>
  <c r="G83" i="20"/>
  <c r="H83" i="20"/>
  <c r="I83" i="20"/>
  <c r="J83" i="20"/>
  <c r="J84" i="20" s="1"/>
  <c r="K83" i="20"/>
  <c r="K84" i="20" s="1"/>
  <c r="L83" i="20"/>
  <c r="L84" i="20" s="1"/>
  <c r="M83" i="20"/>
  <c r="N83" i="20"/>
  <c r="O83" i="20"/>
  <c r="P83" i="20"/>
  <c r="Q83" i="20"/>
  <c r="R83" i="20"/>
  <c r="S83" i="20"/>
  <c r="T83" i="20"/>
  <c r="U83" i="20"/>
  <c r="V83" i="20"/>
  <c r="V84" i="20" s="1"/>
  <c r="W83" i="20"/>
  <c r="X83" i="20"/>
  <c r="Y83" i="20"/>
  <c r="Y84" i="20" s="1"/>
  <c r="Z83" i="20"/>
  <c r="Z84" i="20" s="1"/>
  <c r="AA83" i="20"/>
  <c r="AB83" i="20"/>
  <c r="AC83" i="20"/>
  <c r="AD83" i="20"/>
  <c r="AE83" i="20"/>
  <c r="AF83" i="20"/>
  <c r="AG83" i="20"/>
  <c r="AH83" i="20"/>
  <c r="AH84" i="20" s="1"/>
  <c r="AI83" i="20"/>
  <c r="AJ83" i="20"/>
  <c r="AK83" i="20"/>
  <c r="AK84" i="20" s="1"/>
  <c r="AL83" i="20"/>
  <c r="AM83" i="20"/>
  <c r="C85" i="20"/>
  <c r="D85" i="20"/>
  <c r="E85" i="20"/>
  <c r="E87" i="20" s="1"/>
  <c r="F85" i="20"/>
  <c r="G85" i="20"/>
  <c r="H85" i="20"/>
  <c r="I85" i="20"/>
  <c r="J85" i="20"/>
  <c r="K85" i="20"/>
  <c r="K87" i="20" s="1"/>
  <c r="L85" i="20"/>
  <c r="M85" i="20"/>
  <c r="N85" i="20"/>
  <c r="O85" i="20"/>
  <c r="P85" i="20"/>
  <c r="Q85" i="20"/>
  <c r="R85" i="20"/>
  <c r="S85" i="20"/>
  <c r="T85" i="20"/>
  <c r="U85" i="20"/>
  <c r="V85" i="20"/>
  <c r="W85" i="20"/>
  <c r="X85" i="20"/>
  <c r="Y85" i="20"/>
  <c r="Z85" i="20"/>
  <c r="AA85" i="20"/>
  <c r="AB85" i="20"/>
  <c r="AC85" i="20"/>
  <c r="AD85" i="20"/>
  <c r="AE85" i="20"/>
  <c r="AF85" i="20"/>
  <c r="AG85" i="20"/>
  <c r="AH85" i="20"/>
  <c r="AI85" i="20"/>
  <c r="AI87" i="20" s="1"/>
  <c r="AJ85" i="20"/>
  <c r="AK85" i="20"/>
  <c r="AL85" i="20"/>
  <c r="AM85" i="20"/>
  <c r="C86" i="20"/>
  <c r="D86" i="20"/>
  <c r="E86" i="20"/>
  <c r="F86" i="20"/>
  <c r="G86" i="20"/>
  <c r="H86" i="20"/>
  <c r="I86" i="20"/>
  <c r="J86" i="20"/>
  <c r="J87" i="20" s="1"/>
  <c r="K86" i="20"/>
  <c r="L86" i="20"/>
  <c r="M86" i="20"/>
  <c r="M87" i="20" s="1"/>
  <c r="N86" i="20"/>
  <c r="O86" i="20"/>
  <c r="P86" i="20"/>
  <c r="Q86" i="20"/>
  <c r="R86" i="20"/>
  <c r="S86" i="20"/>
  <c r="T86" i="20"/>
  <c r="T87" i="20" s="1"/>
  <c r="U86" i="20"/>
  <c r="V86" i="20"/>
  <c r="V87" i="20" s="1"/>
  <c r="W86" i="20"/>
  <c r="X86" i="20"/>
  <c r="Y86" i="20"/>
  <c r="Z86" i="20"/>
  <c r="AA86" i="20"/>
  <c r="AB86" i="20"/>
  <c r="AB87" i="20" s="1"/>
  <c r="AC86" i="20"/>
  <c r="AD86" i="20"/>
  <c r="AE86" i="20"/>
  <c r="AF86" i="20"/>
  <c r="AG86" i="20"/>
  <c r="AH86" i="20"/>
  <c r="AI86" i="20"/>
  <c r="AJ86" i="20"/>
  <c r="AK86" i="20"/>
  <c r="AL86" i="20"/>
  <c r="AM86" i="20"/>
  <c r="C88" i="20"/>
  <c r="D88" i="20"/>
  <c r="E88" i="20"/>
  <c r="F88" i="20"/>
  <c r="G88" i="20"/>
  <c r="G90" i="20" s="1"/>
  <c r="H88" i="20"/>
  <c r="I88" i="20"/>
  <c r="J88" i="20"/>
  <c r="K88" i="20"/>
  <c r="L88" i="20"/>
  <c r="M88" i="20"/>
  <c r="N88" i="20"/>
  <c r="O88" i="20"/>
  <c r="P88" i="20"/>
  <c r="Q88" i="20"/>
  <c r="R88" i="20"/>
  <c r="R90" i="20"/>
  <c r="S88" i="20"/>
  <c r="T88" i="20"/>
  <c r="U88" i="20"/>
  <c r="V88" i="20"/>
  <c r="V90" i="20" s="1"/>
  <c r="W88" i="20"/>
  <c r="X88" i="20"/>
  <c r="Y88" i="20"/>
  <c r="Z88" i="20"/>
  <c r="AA88" i="20"/>
  <c r="AB88" i="20"/>
  <c r="AC88" i="20"/>
  <c r="AD88" i="20"/>
  <c r="AD90" i="20" s="1"/>
  <c r="AE88" i="20"/>
  <c r="AF88" i="20"/>
  <c r="AG88" i="20"/>
  <c r="AG90" i="20" s="1"/>
  <c r="AH88" i="20"/>
  <c r="AI88" i="20"/>
  <c r="AJ88" i="20"/>
  <c r="AJ90" i="20" s="1"/>
  <c r="AK88" i="20"/>
  <c r="AL88" i="20"/>
  <c r="AM88" i="20"/>
  <c r="C89" i="20"/>
  <c r="D89" i="20"/>
  <c r="E89" i="20"/>
  <c r="F89" i="20"/>
  <c r="G89" i="20"/>
  <c r="H89" i="20"/>
  <c r="H90" i="20" s="1"/>
  <c r="I89" i="20"/>
  <c r="J89" i="20"/>
  <c r="K89" i="20"/>
  <c r="L89" i="20"/>
  <c r="M89" i="20"/>
  <c r="N89" i="20"/>
  <c r="N90" i="20" s="1"/>
  <c r="O89" i="20"/>
  <c r="P89" i="20"/>
  <c r="Q89" i="20"/>
  <c r="R89" i="20"/>
  <c r="S89" i="20"/>
  <c r="T89" i="20"/>
  <c r="T90" i="20" s="1"/>
  <c r="U89" i="20"/>
  <c r="V89" i="20"/>
  <c r="W89" i="20"/>
  <c r="X89" i="20"/>
  <c r="Y89" i="20"/>
  <c r="Z89" i="20"/>
  <c r="AA89" i="20"/>
  <c r="AB89" i="20"/>
  <c r="AC89" i="20"/>
  <c r="AC90" i="20" s="1"/>
  <c r="AD89" i="20"/>
  <c r="AE89" i="20"/>
  <c r="AF89" i="20"/>
  <c r="AF90" i="20"/>
  <c r="AG89" i="20"/>
  <c r="AH89" i="20"/>
  <c r="AI89" i="20"/>
  <c r="AJ89" i="20"/>
  <c r="AK89" i="20"/>
  <c r="AL89" i="20"/>
  <c r="AM89" i="20"/>
  <c r="C91" i="20"/>
  <c r="D91" i="20"/>
  <c r="E91" i="20"/>
  <c r="F91" i="20"/>
  <c r="F93" i="20" s="1"/>
  <c r="G91" i="20"/>
  <c r="H91" i="20"/>
  <c r="I91" i="20"/>
  <c r="J91" i="20"/>
  <c r="K91" i="20"/>
  <c r="L91" i="20"/>
  <c r="M91" i="20"/>
  <c r="N91" i="20"/>
  <c r="O91" i="20"/>
  <c r="P91" i="20"/>
  <c r="P93" i="20"/>
  <c r="Q91" i="20"/>
  <c r="R91" i="20"/>
  <c r="S91" i="20"/>
  <c r="T91" i="20"/>
  <c r="U91" i="20"/>
  <c r="U93" i="20" s="1"/>
  <c r="V91" i="20"/>
  <c r="W91" i="20"/>
  <c r="X91" i="20"/>
  <c r="Y91" i="20"/>
  <c r="Z91" i="20"/>
  <c r="AA91" i="20"/>
  <c r="AB91" i="20"/>
  <c r="AC91" i="20"/>
  <c r="AD91" i="20"/>
  <c r="AE91" i="20"/>
  <c r="AF91" i="20"/>
  <c r="AG91" i="20"/>
  <c r="AH91" i="20"/>
  <c r="AI91" i="20"/>
  <c r="AJ91" i="20"/>
  <c r="AJ93" i="20" s="1"/>
  <c r="AK91" i="20"/>
  <c r="AL91" i="20"/>
  <c r="AM91" i="20"/>
  <c r="C92" i="20"/>
  <c r="D92" i="20"/>
  <c r="E92" i="20"/>
  <c r="F92" i="20"/>
  <c r="G92" i="20"/>
  <c r="G93" i="20" s="1"/>
  <c r="H92" i="20"/>
  <c r="I92" i="20"/>
  <c r="J92" i="20"/>
  <c r="K92" i="20"/>
  <c r="L92" i="20"/>
  <c r="M92" i="20"/>
  <c r="N92" i="20"/>
  <c r="N93" i="20" s="1"/>
  <c r="O92" i="20"/>
  <c r="P92" i="20"/>
  <c r="Q92" i="20"/>
  <c r="R92" i="20"/>
  <c r="R93" i="20" s="1"/>
  <c r="S92" i="20"/>
  <c r="T92" i="20"/>
  <c r="U92" i="20"/>
  <c r="V92" i="20"/>
  <c r="W92" i="20"/>
  <c r="X92" i="20"/>
  <c r="Y92" i="20"/>
  <c r="Z92" i="20"/>
  <c r="AA92" i="20"/>
  <c r="AB92" i="20"/>
  <c r="AB93" i="20" s="1"/>
  <c r="AC92" i="20"/>
  <c r="AC93" i="20" s="1"/>
  <c r="AD92" i="20"/>
  <c r="AD93" i="20" s="1"/>
  <c r="AE92" i="20"/>
  <c r="AF92" i="20"/>
  <c r="AG92" i="20"/>
  <c r="AH92" i="20"/>
  <c r="AI92" i="20"/>
  <c r="AJ92" i="20"/>
  <c r="AK92" i="20"/>
  <c r="AL92" i="20"/>
  <c r="AM92" i="20"/>
  <c r="C94" i="20"/>
  <c r="D94" i="20"/>
  <c r="D96" i="20" s="1"/>
  <c r="E94" i="20"/>
  <c r="E96" i="20"/>
  <c r="F94" i="20"/>
  <c r="F96" i="20" s="1"/>
  <c r="G94" i="20"/>
  <c r="H94" i="20"/>
  <c r="I94" i="20"/>
  <c r="J94" i="20"/>
  <c r="K94" i="20"/>
  <c r="L94" i="20"/>
  <c r="M94" i="20"/>
  <c r="N94" i="20"/>
  <c r="N96" i="20" s="1"/>
  <c r="O94" i="20"/>
  <c r="P94" i="20"/>
  <c r="Q94" i="20"/>
  <c r="R94" i="20"/>
  <c r="S94" i="20"/>
  <c r="T94" i="20"/>
  <c r="U94" i="20"/>
  <c r="U96" i="20" s="1"/>
  <c r="V94" i="20"/>
  <c r="W94" i="20"/>
  <c r="X94" i="20"/>
  <c r="Y94" i="20"/>
  <c r="Z94" i="20"/>
  <c r="AA94" i="20"/>
  <c r="AB94" i="20"/>
  <c r="AC94" i="20"/>
  <c r="AC96" i="20" s="1"/>
  <c r="AD94" i="20"/>
  <c r="AE94" i="20"/>
  <c r="AF94" i="20"/>
  <c r="AG94" i="20"/>
  <c r="AH94" i="20"/>
  <c r="AI94" i="20"/>
  <c r="AI96" i="20" s="1"/>
  <c r="AJ94" i="20"/>
  <c r="AK94" i="20"/>
  <c r="AL94" i="20"/>
  <c r="AM94" i="20"/>
  <c r="C95" i="20"/>
  <c r="D95" i="20"/>
  <c r="E95" i="20"/>
  <c r="F95" i="20"/>
  <c r="G95" i="20"/>
  <c r="H95" i="20"/>
  <c r="I95" i="20"/>
  <c r="J95" i="20"/>
  <c r="K95" i="20"/>
  <c r="L95" i="20"/>
  <c r="L96" i="20" s="1"/>
  <c r="M95" i="20"/>
  <c r="N95" i="20"/>
  <c r="O95" i="20"/>
  <c r="P95" i="20"/>
  <c r="P96" i="20" s="1"/>
  <c r="Q95" i="20"/>
  <c r="R95" i="20"/>
  <c r="S95" i="20"/>
  <c r="T95" i="20"/>
  <c r="U95" i="20"/>
  <c r="V95" i="20"/>
  <c r="W95" i="20"/>
  <c r="X95" i="20"/>
  <c r="Y95" i="20"/>
  <c r="Z95" i="20"/>
  <c r="Z96" i="20" s="1"/>
  <c r="AA95" i="20"/>
  <c r="AA96" i="20" s="1"/>
  <c r="AB95" i="20"/>
  <c r="AC95" i="20"/>
  <c r="AD95" i="20"/>
  <c r="AE95" i="20"/>
  <c r="AF95" i="20"/>
  <c r="AG95" i="20"/>
  <c r="AH95" i="20"/>
  <c r="AI95" i="20"/>
  <c r="AJ95" i="20"/>
  <c r="AK95" i="20"/>
  <c r="AK96" i="20"/>
  <c r="AL95" i="20"/>
  <c r="AL96" i="20" s="1"/>
  <c r="AM95" i="20"/>
  <c r="C97" i="20"/>
  <c r="D97" i="20"/>
  <c r="E97" i="20"/>
  <c r="F97" i="20"/>
  <c r="G97" i="20"/>
  <c r="H97" i="20"/>
  <c r="I97" i="20"/>
  <c r="J97" i="20"/>
  <c r="K97" i="20"/>
  <c r="L97" i="20"/>
  <c r="M97" i="20"/>
  <c r="N97" i="20"/>
  <c r="O97" i="20"/>
  <c r="O99" i="20"/>
  <c r="P97" i="20"/>
  <c r="Q97" i="20"/>
  <c r="R97" i="20"/>
  <c r="S97" i="20"/>
  <c r="T97" i="20"/>
  <c r="T99" i="20" s="1"/>
  <c r="U97" i="20"/>
  <c r="V97" i="20"/>
  <c r="W97" i="20"/>
  <c r="X97" i="20"/>
  <c r="Y97" i="20"/>
  <c r="Z97" i="20"/>
  <c r="AA97" i="20"/>
  <c r="AA99" i="20" s="1"/>
  <c r="AB97" i="20"/>
  <c r="AC97" i="20"/>
  <c r="AD97" i="20"/>
  <c r="AE97" i="20"/>
  <c r="AF97" i="20"/>
  <c r="AG97" i="20"/>
  <c r="AH97" i="20"/>
  <c r="AH99" i="20" s="1"/>
  <c r="AI97" i="20"/>
  <c r="AJ97" i="20"/>
  <c r="AK97" i="20"/>
  <c r="AL97" i="20"/>
  <c r="AM97" i="20"/>
  <c r="AM99" i="20"/>
  <c r="C98" i="20"/>
  <c r="D98" i="20"/>
  <c r="E98" i="20"/>
  <c r="F98" i="20"/>
  <c r="G98" i="20"/>
  <c r="H98" i="20"/>
  <c r="I98" i="20"/>
  <c r="J98" i="20"/>
  <c r="K98" i="20"/>
  <c r="L98" i="20"/>
  <c r="L99" i="20" s="1"/>
  <c r="M98" i="20"/>
  <c r="N98" i="20"/>
  <c r="O98" i="20"/>
  <c r="P98" i="20"/>
  <c r="Q98" i="20"/>
  <c r="R98" i="20"/>
  <c r="S98" i="20"/>
  <c r="T98" i="20"/>
  <c r="U98" i="20"/>
  <c r="U99" i="20" s="1"/>
  <c r="V98" i="20"/>
  <c r="W98" i="20"/>
  <c r="X98" i="20"/>
  <c r="X99" i="20" s="1"/>
  <c r="Y98" i="20"/>
  <c r="Z98" i="20"/>
  <c r="Z99" i="20"/>
  <c r="AA98" i="20"/>
  <c r="AB98" i="20"/>
  <c r="AC98" i="20"/>
  <c r="AD98" i="20"/>
  <c r="AE98" i="20"/>
  <c r="AF98" i="20"/>
  <c r="AG98" i="20"/>
  <c r="AH98" i="20"/>
  <c r="AI98" i="20"/>
  <c r="AJ98" i="20"/>
  <c r="AK98" i="20"/>
  <c r="AL98" i="20"/>
  <c r="AL99" i="20" s="1"/>
  <c r="AM98" i="20"/>
  <c r="C100" i="20"/>
  <c r="D100" i="20"/>
  <c r="D102" i="20" s="1"/>
  <c r="E100" i="20"/>
  <c r="F100" i="20"/>
  <c r="G100" i="20"/>
  <c r="H100" i="20"/>
  <c r="I100" i="20"/>
  <c r="J100" i="20"/>
  <c r="K100" i="20"/>
  <c r="L100" i="20"/>
  <c r="M100" i="20"/>
  <c r="M102" i="20"/>
  <c r="N100" i="20"/>
  <c r="O100" i="20"/>
  <c r="P100" i="20"/>
  <c r="Q100" i="20"/>
  <c r="R100" i="20"/>
  <c r="R102" i="20" s="1"/>
  <c r="S100" i="20"/>
  <c r="T100" i="20"/>
  <c r="U100" i="20"/>
  <c r="V100" i="20"/>
  <c r="W100" i="20"/>
  <c r="X100" i="20"/>
  <c r="Y100" i="20"/>
  <c r="Y102" i="20"/>
  <c r="Z100" i="20"/>
  <c r="AA100" i="20"/>
  <c r="AB100" i="20"/>
  <c r="AC100" i="20"/>
  <c r="AD100" i="20"/>
  <c r="AE100" i="20"/>
  <c r="AF100" i="20"/>
  <c r="AF102" i="20"/>
  <c r="AG100" i="20"/>
  <c r="AH100" i="20"/>
  <c r="AI100" i="20"/>
  <c r="AJ100" i="20"/>
  <c r="AK100" i="20"/>
  <c r="AL100" i="20"/>
  <c r="AM100" i="20"/>
  <c r="C101" i="20"/>
  <c r="D101" i="20"/>
  <c r="E101" i="20"/>
  <c r="F101" i="20"/>
  <c r="G101" i="20"/>
  <c r="G102" i="20" s="1"/>
  <c r="H101" i="20"/>
  <c r="H102" i="20" s="1"/>
  <c r="I101" i="20"/>
  <c r="I102" i="20" s="1"/>
  <c r="J101" i="20"/>
  <c r="K101" i="20"/>
  <c r="L101" i="20"/>
  <c r="L102" i="20" s="1"/>
  <c r="M101" i="20"/>
  <c r="N101" i="20"/>
  <c r="O101" i="20"/>
  <c r="P101" i="20"/>
  <c r="Q101" i="20"/>
  <c r="R101" i="20"/>
  <c r="S101" i="20"/>
  <c r="T101" i="20"/>
  <c r="U101" i="20"/>
  <c r="V101" i="20"/>
  <c r="W101" i="20"/>
  <c r="W102" i="20" s="1"/>
  <c r="X101" i="20"/>
  <c r="Y101" i="20"/>
  <c r="Z101" i="20"/>
  <c r="AA101" i="20"/>
  <c r="AB101" i="20"/>
  <c r="AC101" i="20"/>
  <c r="AD101" i="20"/>
  <c r="AE101" i="20"/>
  <c r="AE102" i="20" s="1"/>
  <c r="AF101" i="20"/>
  <c r="AG101" i="20"/>
  <c r="AG102" i="20"/>
  <c r="AH101" i="20"/>
  <c r="AH102" i="20" s="1"/>
  <c r="AI101" i="20"/>
  <c r="AJ101" i="20"/>
  <c r="AK101" i="20"/>
  <c r="AK102" i="20" s="1"/>
  <c r="AL101" i="20"/>
  <c r="AM101" i="20"/>
  <c r="C103" i="20"/>
  <c r="D103" i="20"/>
  <c r="E103" i="20"/>
  <c r="F103" i="20"/>
  <c r="G103" i="20"/>
  <c r="H103" i="20"/>
  <c r="H105" i="20" s="1"/>
  <c r="I103" i="20"/>
  <c r="J103" i="20"/>
  <c r="K103" i="20"/>
  <c r="L103" i="20"/>
  <c r="M103" i="20"/>
  <c r="N103" i="20"/>
  <c r="O103" i="20"/>
  <c r="P103" i="20"/>
  <c r="Q103" i="20"/>
  <c r="R103" i="20"/>
  <c r="S103" i="20"/>
  <c r="T103" i="20"/>
  <c r="U103" i="20"/>
  <c r="V103" i="20"/>
  <c r="W103" i="20"/>
  <c r="X103" i="20"/>
  <c r="Y103" i="20"/>
  <c r="Z103" i="20"/>
  <c r="AA103" i="20"/>
  <c r="AB103" i="20"/>
  <c r="AC103" i="20"/>
  <c r="AD103" i="20"/>
  <c r="AD105" i="20" s="1"/>
  <c r="AE103" i="20"/>
  <c r="AF103" i="20"/>
  <c r="AG103" i="20"/>
  <c r="AH103" i="20"/>
  <c r="AI103" i="20"/>
  <c r="AJ103" i="20"/>
  <c r="AK103" i="20"/>
  <c r="AL103" i="20"/>
  <c r="AM103" i="20"/>
  <c r="C104" i="20"/>
  <c r="D104" i="20"/>
  <c r="E104" i="20"/>
  <c r="E105" i="20" s="1"/>
  <c r="F104" i="20"/>
  <c r="G104" i="20"/>
  <c r="G105" i="20" s="1"/>
  <c r="H104" i="20"/>
  <c r="I104" i="20"/>
  <c r="J104" i="20"/>
  <c r="K104" i="20"/>
  <c r="L104" i="20"/>
  <c r="M104" i="20"/>
  <c r="N104" i="20"/>
  <c r="O104" i="20"/>
  <c r="P104" i="20"/>
  <c r="Q104" i="20"/>
  <c r="Q105" i="20"/>
  <c r="R104" i="20"/>
  <c r="S104" i="20"/>
  <c r="T104" i="20"/>
  <c r="T105" i="20" s="1"/>
  <c r="U104" i="20"/>
  <c r="U105" i="20" s="1"/>
  <c r="V104" i="20"/>
  <c r="V105" i="20" s="1"/>
  <c r="W104" i="20"/>
  <c r="X104" i="20"/>
  <c r="Y104" i="20"/>
  <c r="Z104" i="20"/>
  <c r="AA104" i="20"/>
  <c r="AB104" i="20"/>
  <c r="AC104" i="20"/>
  <c r="AC105" i="20" s="1"/>
  <c r="AD104" i="20"/>
  <c r="AE104" i="20"/>
  <c r="AF104" i="20"/>
  <c r="AF105" i="20" s="1"/>
  <c r="AG104" i="20"/>
  <c r="AH104" i="20"/>
  <c r="AI104" i="20"/>
  <c r="AI105" i="20" s="1"/>
  <c r="AJ104" i="20"/>
  <c r="AK104" i="20"/>
  <c r="AL104" i="20"/>
  <c r="AM104" i="20"/>
  <c r="C106" i="20"/>
  <c r="D106" i="20"/>
  <c r="D108" i="20" s="1"/>
  <c r="E106" i="20"/>
  <c r="F106" i="20"/>
  <c r="F108" i="20" s="1"/>
  <c r="G106" i="20"/>
  <c r="H106" i="20"/>
  <c r="H108" i="20" s="1"/>
  <c r="I106" i="20"/>
  <c r="J106" i="20"/>
  <c r="K106" i="20"/>
  <c r="K108" i="20" s="1"/>
  <c r="L106" i="20"/>
  <c r="M106" i="20"/>
  <c r="N106" i="20"/>
  <c r="O106" i="20"/>
  <c r="P106" i="20"/>
  <c r="Q106" i="20"/>
  <c r="R106" i="20"/>
  <c r="R108" i="20" s="1"/>
  <c r="S106" i="20"/>
  <c r="T106" i="20"/>
  <c r="U106" i="20"/>
  <c r="U108" i="20" s="1"/>
  <c r="V106" i="20"/>
  <c r="W106" i="20"/>
  <c r="X106" i="20"/>
  <c r="X108" i="20" s="1"/>
  <c r="Y106" i="20"/>
  <c r="Z106" i="20"/>
  <c r="AA106" i="20"/>
  <c r="AB106" i="20"/>
  <c r="AC106" i="20"/>
  <c r="AD106" i="20"/>
  <c r="AE106" i="20"/>
  <c r="AF106" i="20"/>
  <c r="AG106" i="20"/>
  <c r="AH106" i="20"/>
  <c r="AI106" i="20"/>
  <c r="AJ106" i="20"/>
  <c r="AK106" i="20"/>
  <c r="AL106" i="20"/>
  <c r="AM106" i="20"/>
  <c r="C107" i="20"/>
  <c r="D107" i="20"/>
  <c r="E107" i="20"/>
  <c r="E108" i="20"/>
  <c r="F107" i="20"/>
  <c r="G107" i="20"/>
  <c r="H107" i="20"/>
  <c r="I107" i="20"/>
  <c r="I108" i="20" s="1"/>
  <c r="J107" i="20"/>
  <c r="K107" i="20"/>
  <c r="L107" i="20"/>
  <c r="M107" i="20"/>
  <c r="N107" i="20"/>
  <c r="O107" i="20"/>
  <c r="P107" i="20"/>
  <c r="P108" i="20" s="1"/>
  <c r="Q107" i="20"/>
  <c r="R107" i="20"/>
  <c r="S107" i="20"/>
  <c r="T107" i="20"/>
  <c r="T108" i="20" s="1"/>
  <c r="U107" i="20"/>
  <c r="V107" i="20"/>
  <c r="W107" i="20"/>
  <c r="X107" i="20"/>
  <c r="Y107" i="20"/>
  <c r="Z107" i="20"/>
  <c r="AA107" i="20"/>
  <c r="AA108" i="20" s="1"/>
  <c r="AB107" i="20"/>
  <c r="AC107" i="20"/>
  <c r="AD107" i="20"/>
  <c r="AD108" i="20" s="1"/>
  <c r="AE107" i="20"/>
  <c r="AF107" i="20"/>
  <c r="AG107" i="20"/>
  <c r="AG108" i="20" s="1"/>
  <c r="AH107" i="20"/>
  <c r="AI107" i="20"/>
  <c r="AJ107" i="20"/>
  <c r="AK107" i="20"/>
  <c r="AL107" i="20"/>
  <c r="AM107" i="20"/>
  <c r="AM108" i="20" s="1"/>
  <c r="C109" i="20"/>
  <c r="D109" i="20"/>
  <c r="E109" i="20"/>
  <c r="F109" i="20"/>
  <c r="G109" i="20"/>
  <c r="H109" i="20"/>
  <c r="H111" i="20" s="1"/>
  <c r="I109" i="20"/>
  <c r="J109" i="20"/>
  <c r="K109" i="20"/>
  <c r="L109" i="20"/>
  <c r="M109" i="20"/>
  <c r="N109" i="20"/>
  <c r="O109" i="20"/>
  <c r="P109" i="20"/>
  <c r="Q109" i="20"/>
  <c r="R109" i="20"/>
  <c r="S109" i="20"/>
  <c r="T109" i="20"/>
  <c r="U109" i="20"/>
  <c r="V109" i="20"/>
  <c r="W109" i="20"/>
  <c r="W111" i="20" s="1"/>
  <c r="X109" i="20"/>
  <c r="Y109" i="20"/>
  <c r="Z109" i="20"/>
  <c r="AA109" i="20"/>
  <c r="AB109" i="20"/>
  <c r="AB111" i="20"/>
  <c r="AC109" i="20"/>
  <c r="AD109" i="20"/>
  <c r="AE109" i="20"/>
  <c r="AF109" i="20"/>
  <c r="AG109" i="20"/>
  <c r="AH109" i="20"/>
  <c r="AI109" i="20"/>
  <c r="AJ109" i="20"/>
  <c r="AK109" i="20"/>
  <c r="AK111" i="20" s="1"/>
  <c r="AL109" i="20"/>
  <c r="AM109" i="20"/>
  <c r="C110" i="20"/>
  <c r="D110" i="20"/>
  <c r="E110" i="20"/>
  <c r="F110" i="20"/>
  <c r="F111" i="20" s="1"/>
  <c r="G110" i="20"/>
  <c r="H110" i="20"/>
  <c r="I110" i="20"/>
  <c r="J110" i="20"/>
  <c r="K110" i="20"/>
  <c r="L110" i="20"/>
  <c r="M110" i="20"/>
  <c r="N110" i="20"/>
  <c r="N111" i="20" s="1"/>
  <c r="O110" i="20"/>
  <c r="O111" i="20" s="1"/>
  <c r="P110" i="20"/>
  <c r="Q110" i="20"/>
  <c r="R110" i="20"/>
  <c r="S110" i="20"/>
  <c r="T110" i="20"/>
  <c r="U110" i="20"/>
  <c r="V110" i="20"/>
  <c r="W110" i="20"/>
  <c r="X110" i="20"/>
  <c r="Y110" i="20"/>
  <c r="Z110" i="20"/>
  <c r="AA110" i="20"/>
  <c r="AA111" i="20" s="1"/>
  <c r="AB110" i="20"/>
  <c r="AC110" i="20"/>
  <c r="AD110" i="20"/>
  <c r="AD111" i="20" s="1"/>
  <c r="AE110" i="20"/>
  <c r="AF110" i="20"/>
  <c r="AG110" i="20"/>
  <c r="AH110" i="20"/>
  <c r="AI110" i="20"/>
  <c r="AJ110" i="20"/>
  <c r="AK110" i="20"/>
  <c r="AL110" i="20"/>
  <c r="AL111" i="20" s="1"/>
  <c r="AM110" i="20"/>
  <c r="AM111" i="20"/>
  <c r="C112" i="20"/>
  <c r="D112" i="20"/>
  <c r="E112" i="20"/>
  <c r="E114" i="20"/>
  <c r="F112" i="20"/>
  <c r="F114" i="20" s="1"/>
  <c r="G112" i="20"/>
  <c r="H112" i="20"/>
  <c r="I112" i="20"/>
  <c r="J112" i="20"/>
  <c r="K112" i="20"/>
  <c r="L112" i="20"/>
  <c r="L114" i="20" s="1"/>
  <c r="M112" i="20"/>
  <c r="M114" i="20" s="1"/>
  <c r="N112" i="20"/>
  <c r="O112" i="20"/>
  <c r="P112" i="20"/>
  <c r="Q112" i="20"/>
  <c r="R112" i="20"/>
  <c r="S112" i="20"/>
  <c r="T112" i="20"/>
  <c r="T114" i="20" s="1"/>
  <c r="U112" i="20"/>
  <c r="V112" i="20"/>
  <c r="W112" i="20"/>
  <c r="X112" i="20"/>
  <c r="Y112" i="20"/>
  <c r="Z112" i="20"/>
  <c r="Z114" i="20"/>
  <c r="AA112" i="20"/>
  <c r="AB112" i="20"/>
  <c r="AC112" i="20"/>
  <c r="AC114" i="20"/>
  <c r="AD112" i="20"/>
  <c r="AE112" i="20"/>
  <c r="AF112" i="20"/>
  <c r="AG112" i="20"/>
  <c r="AG114" i="20" s="1"/>
  <c r="AH112" i="20"/>
  <c r="AI112" i="20"/>
  <c r="AJ112" i="20"/>
  <c r="AK112" i="20"/>
  <c r="AL112" i="20"/>
  <c r="AM112" i="20"/>
  <c r="C113" i="20"/>
  <c r="D113" i="20"/>
  <c r="E113" i="20"/>
  <c r="F113" i="20"/>
  <c r="G113" i="20"/>
  <c r="H113" i="20"/>
  <c r="I113" i="20"/>
  <c r="J113" i="20"/>
  <c r="K113" i="20"/>
  <c r="K114" i="20"/>
  <c r="L113" i="20"/>
  <c r="M113" i="20"/>
  <c r="N113" i="20"/>
  <c r="N114" i="20" s="1"/>
  <c r="O113" i="20"/>
  <c r="P113" i="20"/>
  <c r="P114" i="20" s="1"/>
  <c r="Q113" i="20"/>
  <c r="R113" i="20"/>
  <c r="S113" i="20"/>
  <c r="T113" i="20"/>
  <c r="U113" i="20"/>
  <c r="V113" i="20"/>
  <c r="W113" i="20"/>
  <c r="W114" i="20"/>
  <c r="X113" i="20"/>
  <c r="X114" i="20" s="1"/>
  <c r="Y113" i="20"/>
  <c r="Y114" i="20" s="1"/>
  <c r="Z113" i="20"/>
  <c r="AA113" i="20"/>
  <c r="AB113" i="20"/>
  <c r="AB114" i="20"/>
  <c r="AC113" i="20"/>
  <c r="AD113" i="20"/>
  <c r="AE113" i="20"/>
  <c r="AF113" i="20"/>
  <c r="AG113" i="20"/>
  <c r="AH113" i="20"/>
  <c r="AI113" i="20"/>
  <c r="AJ113" i="20"/>
  <c r="AK113" i="20"/>
  <c r="AK114" i="20"/>
  <c r="AL113" i="20"/>
  <c r="AM113" i="20"/>
  <c r="F115" i="20"/>
  <c r="G115" i="20"/>
  <c r="H115" i="20"/>
  <c r="I115" i="20"/>
  <c r="J115" i="20"/>
  <c r="K115" i="20"/>
  <c r="L115" i="20"/>
  <c r="N115" i="20"/>
  <c r="O115" i="20"/>
  <c r="P115" i="20"/>
  <c r="Q115" i="20"/>
  <c r="R115" i="20"/>
  <c r="S115" i="20"/>
  <c r="T115" i="20"/>
  <c r="U115" i="20"/>
  <c r="V115" i="20"/>
  <c r="W115" i="20"/>
  <c r="X115" i="20"/>
  <c r="Y115" i="20"/>
  <c r="Z115" i="20"/>
  <c r="AA115" i="20"/>
  <c r="AB115" i="20"/>
  <c r="AC115" i="20"/>
  <c r="AD115" i="20"/>
  <c r="AE115" i="20"/>
  <c r="AF115" i="20"/>
  <c r="AG115" i="20"/>
  <c r="AH115" i="20"/>
  <c r="AI115" i="20"/>
  <c r="AJ115" i="20"/>
  <c r="AK115" i="20"/>
  <c r="AL115" i="20"/>
  <c r="AM115" i="20"/>
  <c r="F116" i="20"/>
  <c r="G116" i="20"/>
  <c r="H116" i="20"/>
  <c r="I116" i="20"/>
  <c r="J116" i="20"/>
  <c r="K116" i="20"/>
  <c r="L116" i="20"/>
  <c r="N116" i="20"/>
  <c r="O116" i="20"/>
  <c r="P116" i="20"/>
  <c r="Q116" i="20"/>
  <c r="R116" i="20"/>
  <c r="S116" i="20"/>
  <c r="T116" i="20"/>
  <c r="U116" i="20"/>
  <c r="V116" i="20"/>
  <c r="W116" i="20"/>
  <c r="X116" i="20"/>
  <c r="Y116" i="20"/>
  <c r="Z116" i="20"/>
  <c r="AA116" i="20"/>
  <c r="AB116" i="20"/>
  <c r="AC116" i="20"/>
  <c r="AD116" i="20"/>
  <c r="AE116" i="20"/>
  <c r="AF116" i="20"/>
  <c r="AG116" i="20"/>
  <c r="AH116" i="20"/>
  <c r="AI116" i="20"/>
  <c r="AJ116" i="20"/>
  <c r="AK116" i="20"/>
  <c r="AL116" i="20"/>
  <c r="AM116" i="20"/>
  <c r="F118" i="20"/>
  <c r="G118" i="20"/>
  <c r="H118" i="20"/>
  <c r="I118" i="20"/>
  <c r="J118" i="20"/>
  <c r="K118" i="20"/>
  <c r="L118" i="20"/>
  <c r="N118" i="20"/>
  <c r="O118" i="20"/>
  <c r="P118" i="20"/>
  <c r="Q118" i="20"/>
  <c r="R118" i="20"/>
  <c r="S118" i="20"/>
  <c r="T118" i="20"/>
  <c r="U118" i="20"/>
  <c r="V118" i="20"/>
  <c r="W118" i="20"/>
  <c r="X118" i="20"/>
  <c r="Y118" i="20"/>
  <c r="Z118" i="20"/>
  <c r="AA118" i="20"/>
  <c r="AB118" i="20"/>
  <c r="AC118" i="20"/>
  <c r="AD118" i="20"/>
  <c r="AE118" i="20"/>
  <c r="AF118" i="20"/>
  <c r="AG118" i="20"/>
  <c r="AH118" i="20"/>
  <c r="AI118" i="20"/>
  <c r="AJ118" i="20"/>
  <c r="AK118" i="20"/>
  <c r="AL118" i="20"/>
  <c r="AM118" i="20"/>
  <c r="F119" i="20"/>
  <c r="G119" i="20"/>
  <c r="H119" i="20"/>
  <c r="I119" i="20"/>
  <c r="J119" i="20"/>
  <c r="K119" i="20"/>
  <c r="L119" i="20"/>
  <c r="N119" i="20"/>
  <c r="O119" i="20"/>
  <c r="P119" i="20"/>
  <c r="Q119" i="20"/>
  <c r="R119" i="20"/>
  <c r="S119" i="20"/>
  <c r="T119" i="20"/>
  <c r="U119" i="20"/>
  <c r="V119" i="20"/>
  <c r="W119" i="20"/>
  <c r="X119" i="20"/>
  <c r="Y119" i="20"/>
  <c r="Z119" i="20"/>
  <c r="AA119" i="20"/>
  <c r="AB119" i="20"/>
  <c r="AC119" i="20"/>
  <c r="AD119" i="20"/>
  <c r="AE119" i="20"/>
  <c r="AF119" i="20"/>
  <c r="AG119" i="20"/>
  <c r="AH119" i="20"/>
  <c r="AI119" i="20"/>
  <c r="AJ119" i="20"/>
  <c r="AK119" i="20"/>
  <c r="AL119" i="20"/>
  <c r="AM119" i="20"/>
  <c r="F121" i="20"/>
  <c r="G121" i="20"/>
  <c r="H121" i="20"/>
  <c r="I121" i="20"/>
  <c r="J121" i="20"/>
  <c r="K121" i="20"/>
  <c r="L121" i="20"/>
  <c r="N121" i="20"/>
  <c r="O121" i="20"/>
  <c r="P121" i="20"/>
  <c r="Q121" i="20"/>
  <c r="R121" i="20"/>
  <c r="S121" i="20"/>
  <c r="T121" i="20"/>
  <c r="U121" i="20"/>
  <c r="V121" i="20"/>
  <c r="W121" i="20"/>
  <c r="X121" i="20"/>
  <c r="Y121" i="20"/>
  <c r="Z121" i="20"/>
  <c r="AA121" i="20"/>
  <c r="AB121" i="20"/>
  <c r="AC121" i="20"/>
  <c r="AD121" i="20"/>
  <c r="AE121" i="20"/>
  <c r="AF121" i="20"/>
  <c r="AG121" i="20"/>
  <c r="AH121" i="20"/>
  <c r="AI121" i="20"/>
  <c r="AJ121" i="20"/>
  <c r="AK121" i="20"/>
  <c r="AL121" i="20"/>
  <c r="AM121" i="20"/>
  <c r="F122" i="20"/>
  <c r="G122" i="20"/>
  <c r="H122" i="20"/>
  <c r="I122" i="20"/>
  <c r="J122" i="20"/>
  <c r="K122" i="20"/>
  <c r="L122" i="20"/>
  <c r="N122" i="20"/>
  <c r="O122" i="20"/>
  <c r="P122" i="20"/>
  <c r="Q122" i="20"/>
  <c r="R122" i="20"/>
  <c r="S122" i="20"/>
  <c r="T122" i="20"/>
  <c r="U122" i="20"/>
  <c r="V122" i="20"/>
  <c r="W122" i="20"/>
  <c r="X122" i="20"/>
  <c r="Y122" i="20"/>
  <c r="Z122" i="20"/>
  <c r="AA122" i="20"/>
  <c r="AB122" i="20"/>
  <c r="AC122" i="20"/>
  <c r="AD122" i="20"/>
  <c r="AE122" i="20"/>
  <c r="AF122" i="20"/>
  <c r="AG122" i="20"/>
  <c r="AH122" i="20"/>
  <c r="AI122" i="20"/>
  <c r="AJ122" i="20"/>
  <c r="AK122" i="20"/>
  <c r="AL122" i="20"/>
  <c r="AM122" i="20"/>
  <c r="F124" i="20"/>
  <c r="G124" i="20"/>
  <c r="H124" i="20"/>
  <c r="I124" i="20"/>
  <c r="J124" i="20"/>
  <c r="K124" i="20"/>
  <c r="L124" i="20"/>
  <c r="N124" i="20"/>
  <c r="O124" i="20"/>
  <c r="P124" i="20"/>
  <c r="Q124" i="20"/>
  <c r="R124" i="20"/>
  <c r="S124" i="20"/>
  <c r="T124" i="20"/>
  <c r="U124" i="20"/>
  <c r="V124" i="20"/>
  <c r="W124" i="20"/>
  <c r="X124" i="20"/>
  <c r="Y124" i="20"/>
  <c r="Z124" i="20"/>
  <c r="AA124" i="20"/>
  <c r="AB124" i="20"/>
  <c r="AC124" i="20"/>
  <c r="AD124" i="20"/>
  <c r="AE124" i="20"/>
  <c r="AF124" i="20"/>
  <c r="AG124" i="20"/>
  <c r="AH124" i="20"/>
  <c r="AI124" i="20"/>
  <c r="AJ124" i="20"/>
  <c r="AK124" i="20"/>
  <c r="AL124" i="20"/>
  <c r="AM124" i="20"/>
  <c r="F125" i="20"/>
  <c r="G125" i="20"/>
  <c r="H125" i="20"/>
  <c r="I125" i="20"/>
  <c r="J125" i="20"/>
  <c r="K125" i="20"/>
  <c r="L125" i="20"/>
  <c r="N125" i="20"/>
  <c r="O125" i="20"/>
  <c r="P125" i="20"/>
  <c r="Q125" i="20"/>
  <c r="R125" i="20"/>
  <c r="S125" i="20"/>
  <c r="T125" i="20"/>
  <c r="U125" i="20"/>
  <c r="V125" i="20"/>
  <c r="W125" i="20"/>
  <c r="X125" i="20"/>
  <c r="Y125" i="20"/>
  <c r="Z125" i="20"/>
  <c r="AA125" i="20"/>
  <c r="AB125" i="20"/>
  <c r="AC125" i="20"/>
  <c r="AD125" i="20"/>
  <c r="AE125" i="20"/>
  <c r="AF125" i="20"/>
  <c r="AG125" i="20"/>
  <c r="AH125" i="20"/>
  <c r="AI125" i="20"/>
  <c r="AJ125" i="20"/>
  <c r="AK125" i="20"/>
  <c r="AL125" i="20"/>
  <c r="AM125" i="20"/>
  <c r="F127" i="20"/>
  <c r="G127" i="20"/>
  <c r="H127" i="20"/>
  <c r="I127" i="20"/>
  <c r="J127" i="20"/>
  <c r="K127" i="20"/>
  <c r="L127" i="20"/>
  <c r="N127" i="20"/>
  <c r="O127" i="20"/>
  <c r="P127" i="20"/>
  <c r="Q127" i="20"/>
  <c r="R127" i="20"/>
  <c r="S127" i="20"/>
  <c r="T127" i="20"/>
  <c r="U127" i="20"/>
  <c r="V127" i="20"/>
  <c r="W127" i="20"/>
  <c r="X127" i="20"/>
  <c r="Y127" i="20"/>
  <c r="Z127" i="20"/>
  <c r="AA127" i="20"/>
  <c r="AB127" i="20"/>
  <c r="AC127" i="20"/>
  <c r="AD127" i="20"/>
  <c r="AE127" i="20"/>
  <c r="AF127" i="20"/>
  <c r="AG127" i="20"/>
  <c r="AH127" i="20"/>
  <c r="AI127" i="20"/>
  <c r="AJ127" i="20"/>
  <c r="AK127" i="20"/>
  <c r="AL127" i="20"/>
  <c r="AM127" i="20"/>
  <c r="F128" i="20"/>
  <c r="G128" i="20"/>
  <c r="H128" i="20"/>
  <c r="I128" i="20"/>
  <c r="J128" i="20"/>
  <c r="K128" i="20"/>
  <c r="L128" i="20"/>
  <c r="N128" i="20"/>
  <c r="O128" i="20"/>
  <c r="P128" i="20"/>
  <c r="Q128" i="20"/>
  <c r="R128" i="20"/>
  <c r="S128" i="20"/>
  <c r="T128" i="20"/>
  <c r="U128" i="20"/>
  <c r="V128" i="20"/>
  <c r="W128" i="20"/>
  <c r="X128" i="20"/>
  <c r="Y128" i="20"/>
  <c r="Z128" i="20"/>
  <c r="AA128" i="20"/>
  <c r="AB128" i="20"/>
  <c r="AC128" i="20"/>
  <c r="AD128" i="20"/>
  <c r="AE128" i="20"/>
  <c r="AF128" i="20"/>
  <c r="AG128" i="20"/>
  <c r="AH128" i="20"/>
  <c r="AI128" i="20"/>
  <c r="AJ128" i="20"/>
  <c r="AK128" i="20"/>
  <c r="AL128" i="20"/>
  <c r="AM128" i="20"/>
  <c r="F130" i="20"/>
  <c r="G130" i="20"/>
  <c r="H130" i="20"/>
  <c r="I130" i="20"/>
  <c r="J130" i="20"/>
  <c r="K130" i="20"/>
  <c r="L130" i="20"/>
  <c r="N130" i="20"/>
  <c r="O130" i="20"/>
  <c r="P130" i="20"/>
  <c r="Q130" i="20"/>
  <c r="R130" i="20"/>
  <c r="S130" i="20"/>
  <c r="T130" i="20"/>
  <c r="U130" i="20"/>
  <c r="V130" i="20"/>
  <c r="W130" i="20"/>
  <c r="X130" i="20"/>
  <c r="Y130" i="20"/>
  <c r="Z130" i="20"/>
  <c r="AA130" i="20"/>
  <c r="AB130" i="20"/>
  <c r="AC130" i="20"/>
  <c r="AD130" i="20"/>
  <c r="AE130" i="20"/>
  <c r="AF130" i="20"/>
  <c r="AG130" i="20"/>
  <c r="AH130" i="20"/>
  <c r="AI130" i="20"/>
  <c r="AJ130" i="20"/>
  <c r="AK130" i="20"/>
  <c r="AL130" i="20"/>
  <c r="AM130" i="20"/>
  <c r="F131" i="20"/>
  <c r="G131" i="20"/>
  <c r="H131" i="20"/>
  <c r="I131" i="20"/>
  <c r="J131" i="20"/>
  <c r="K131" i="20"/>
  <c r="L131" i="20"/>
  <c r="N131" i="20"/>
  <c r="O131" i="20"/>
  <c r="P131" i="20"/>
  <c r="Q131" i="20"/>
  <c r="R131" i="20"/>
  <c r="S131" i="20"/>
  <c r="T131" i="20"/>
  <c r="U131" i="20"/>
  <c r="V131" i="20"/>
  <c r="W131" i="20"/>
  <c r="X131" i="20"/>
  <c r="Y131" i="20"/>
  <c r="Z131" i="20"/>
  <c r="AA131" i="20"/>
  <c r="AB131" i="20"/>
  <c r="AC131" i="20"/>
  <c r="AD131" i="20"/>
  <c r="AE131" i="20"/>
  <c r="AF131" i="20"/>
  <c r="AG131" i="20"/>
  <c r="AH131" i="20"/>
  <c r="AI131" i="20"/>
  <c r="AJ131" i="20"/>
  <c r="AK131" i="20"/>
  <c r="AL131" i="20"/>
  <c r="AM131" i="20"/>
  <c r="F133" i="20"/>
  <c r="G133" i="20"/>
  <c r="H133" i="20"/>
  <c r="I133" i="20"/>
  <c r="J133" i="20"/>
  <c r="K133" i="20"/>
  <c r="L133" i="20"/>
  <c r="N133" i="20"/>
  <c r="O133" i="20"/>
  <c r="P133" i="20"/>
  <c r="Q133" i="20"/>
  <c r="R133" i="20"/>
  <c r="S133" i="20"/>
  <c r="T133" i="20"/>
  <c r="U133" i="20"/>
  <c r="V133" i="20"/>
  <c r="W133" i="20"/>
  <c r="X133" i="20"/>
  <c r="Y133" i="20"/>
  <c r="Z133" i="20"/>
  <c r="AA133" i="20"/>
  <c r="AB133" i="20"/>
  <c r="AC133" i="20"/>
  <c r="AD133" i="20"/>
  <c r="AE133" i="20"/>
  <c r="AF133" i="20"/>
  <c r="AG133" i="20"/>
  <c r="AH133" i="20"/>
  <c r="AI133" i="20"/>
  <c r="AJ133" i="20"/>
  <c r="AK133" i="20"/>
  <c r="AL133" i="20"/>
  <c r="AM133" i="20"/>
  <c r="F134" i="20"/>
  <c r="G134" i="20"/>
  <c r="H134" i="20"/>
  <c r="I134" i="20"/>
  <c r="J134" i="20"/>
  <c r="K134" i="20"/>
  <c r="L134" i="20"/>
  <c r="N134" i="20"/>
  <c r="O134" i="20"/>
  <c r="P134" i="20"/>
  <c r="Q134" i="20"/>
  <c r="R134" i="20"/>
  <c r="S134" i="20"/>
  <c r="T134" i="20"/>
  <c r="U134" i="20"/>
  <c r="V134" i="20"/>
  <c r="W134" i="20"/>
  <c r="X134" i="20"/>
  <c r="Y134" i="20"/>
  <c r="Z134" i="20"/>
  <c r="AA134" i="20"/>
  <c r="AB134" i="20"/>
  <c r="AC134" i="20"/>
  <c r="AD134" i="20"/>
  <c r="AE134" i="20"/>
  <c r="AF134" i="20"/>
  <c r="AG134" i="20"/>
  <c r="AH134" i="20"/>
  <c r="AI134" i="20"/>
  <c r="AJ134" i="20"/>
  <c r="AK134" i="20"/>
  <c r="AL134" i="20"/>
  <c r="AM134" i="20"/>
  <c r="F136" i="20"/>
  <c r="G136" i="20"/>
  <c r="H136" i="20"/>
  <c r="I136" i="20"/>
  <c r="J136" i="20"/>
  <c r="K136" i="20"/>
  <c r="L136" i="20"/>
  <c r="N136" i="20"/>
  <c r="O136" i="20"/>
  <c r="P136" i="20"/>
  <c r="Q136" i="20"/>
  <c r="R136" i="20"/>
  <c r="S136" i="20"/>
  <c r="T136" i="20"/>
  <c r="U136" i="20"/>
  <c r="V136" i="20"/>
  <c r="W136" i="20"/>
  <c r="X136" i="20"/>
  <c r="Y136" i="20"/>
  <c r="Z136" i="20"/>
  <c r="AA136" i="20"/>
  <c r="AB136" i="20"/>
  <c r="AC136" i="20"/>
  <c r="AD136" i="20"/>
  <c r="AE136" i="20"/>
  <c r="AF136" i="20"/>
  <c r="AG136" i="20"/>
  <c r="AH136" i="20"/>
  <c r="AI136" i="20"/>
  <c r="AJ136" i="20"/>
  <c r="AK136" i="20"/>
  <c r="AL136" i="20"/>
  <c r="AM136" i="20"/>
  <c r="F137" i="20"/>
  <c r="G137" i="20"/>
  <c r="H137" i="20"/>
  <c r="I137" i="20"/>
  <c r="J137" i="20"/>
  <c r="K137" i="20"/>
  <c r="L137" i="20"/>
  <c r="N137" i="20"/>
  <c r="O137" i="20"/>
  <c r="P137" i="20"/>
  <c r="Q137" i="20"/>
  <c r="R137" i="20"/>
  <c r="S137" i="20"/>
  <c r="T137" i="20"/>
  <c r="U137" i="20"/>
  <c r="V137" i="20"/>
  <c r="W137" i="20"/>
  <c r="X137" i="20"/>
  <c r="Y137" i="20"/>
  <c r="Z137" i="20"/>
  <c r="AA137" i="20"/>
  <c r="AB137" i="20"/>
  <c r="AC137" i="20"/>
  <c r="AD137" i="20"/>
  <c r="AE137" i="20"/>
  <c r="AF137" i="20"/>
  <c r="AG137" i="20"/>
  <c r="AH137" i="20"/>
  <c r="AI137" i="20"/>
  <c r="AJ137" i="20"/>
  <c r="AK137" i="20"/>
  <c r="AL137" i="20"/>
  <c r="AM137" i="20"/>
  <c r="F139" i="20"/>
  <c r="G139" i="20"/>
  <c r="H139" i="20"/>
  <c r="I139" i="20"/>
  <c r="J139" i="20"/>
  <c r="K139" i="20"/>
  <c r="L139" i="20"/>
  <c r="N139" i="20"/>
  <c r="O139" i="20"/>
  <c r="P139" i="20"/>
  <c r="Q139" i="20"/>
  <c r="R139" i="20"/>
  <c r="S139" i="20"/>
  <c r="T139" i="20"/>
  <c r="U139" i="20"/>
  <c r="V139" i="20"/>
  <c r="W139" i="20"/>
  <c r="X139" i="20"/>
  <c r="Y139" i="20"/>
  <c r="Z139" i="20"/>
  <c r="AA139" i="20"/>
  <c r="AB139" i="20"/>
  <c r="AC139" i="20"/>
  <c r="AD139" i="20"/>
  <c r="AE139" i="20"/>
  <c r="AF139" i="20"/>
  <c r="AG139" i="20"/>
  <c r="AH139" i="20"/>
  <c r="AI139" i="20"/>
  <c r="AJ139" i="20"/>
  <c r="AK139" i="20"/>
  <c r="AL139" i="20"/>
  <c r="AM139" i="20"/>
  <c r="F140" i="20"/>
  <c r="G140" i="20"/>
  <c r="H140" i="20"/>
  <c r="I140" i="20"/>
  <c r="J140" i="20"/>
  <c r="K140" i="20"/>
  <c r="L140" i="20"/>
  <c r="N140" i="20"/>
  <c r="O140" i="20"/>
  <c r="P140" i="20"/>
  <c r="Q140" i="20"/>
  <c r="R140" i="20"/>
  <c r="S140" i="20"/>
  <c r="T140" i="20"/>
  <c r="U140" i="20"/>
  <c r="V140" i="20"/>
  <c r="W140" i="20"/>
  <c r="X140" i="20"/>
  <c r="Y140" i="20"/>
  <c r="Z140" i="20"/>
  <c r="AA140" i="20"/>
  <c r="AB140" i="20"/>
  <c r="AC140" i="20"/>
  <c r="AD140" i="20"/>
  <c r="AE140" i="20"/>
  <c r="AF140" i="20"/>
  <c r="AG140" i="20"/>
  <c r="AH140" i="20"/>
  <c r="AI140" i="20"/>
  <c r="AJ140" i="20"/>
  <c r="AK140" i="20"/>
  <c r="AL140" i="20"/>
  <c r="AM140" i="20"/>
  <c r="F142" i="20"/>
  <c r="G142" i="20"/>
  <c r="H142" i="20"/>
  <c r="I142" i="20"/>
  <c r="J142" i="20"/>
  <c r="K142" i="20"/>
  <c r="L142" i="20"/>
  <c r="N142" i="20"/>
  <c r="O142" i="20"/>
  <c r="P142" i="20"/>
  <c r="Q142" i="20"/>
  <c r="R142" i="20"/>
  <c r="S142" i="20"/>
  <c r="T142" i="20"/>
  <c r="U142" i="20"/>
  <c r="V142" i="20"/>
  <c r="W142" i="20"/>
  <c r="X142" i="20"/>
  <c r="Y142" i="20"/>
  <c r="Z142" i="20"/>
  <c r="AA142" i="20"/>
  <c r="AB142" i="20"/>
  <c r="AC142" i="20"/>
  <c r="AD142" i="20"/>
  <c r="AE142" i="20"/>
  <c r="AF142" i="20"/>
  <c r="AG142" i="20"/>
  <c r="AH142" i="20"/>
  <c r="AI142" i="20"/>
  <c r="AJ142" i="20"/>
  <c r="AK142" i="20"/>
  <c r="AL142" i="20"/>
  <c r="AM142" i="20"/>
  <c r="AN142" i="20"/>
  <c r="F143" i="20"/>
  <c r="G143" i="20"/>
  <c r="H143" i="20"/>
  <c r="I143" i="20"/>
  <c r="J143" i="20"/>
  <c r="K143" i="20"/>
  <c r="L143" i="20"/>
  <c r="N143" i="20"/>
  <c r="O143" i="20"/>
  <c r="P143" i="20"/>
  <c r="Q143" i="20"/>
  <c r="R143" i="20"/>
  <c r="S143" i="20"/>
  <c r="T143" i="20"/>
  <c r="U143" i="20"/>
  <c r="V143" i="20"/>
  <c r="W143" i="20"/>
  <c r="X143" i="20"/>
  <c r="Y143" i="20"/>
  <c r="Z143" i="20"/>
  <c r="AA143" i="20"/>
  <c r="AB143" i="20"/>
  <c r="AC143" i="20"/>
  <c r="AD143" i="20"/>
  <c r="AE143" i="20"/>
  <c r="AF143" i="20"/>
  <c r="AG143" i="20"/>
  <c r="AH143" i="20"/>
  <c r="AI143" i="20"/>
  <c r="AJ143" i="20"/>
  <c r="AK143" i="20"/>
  <c r="AL143" i="20"/>
  <c r="AM143" i="20"/>
  <c r="AN143" i="20"/>
  <c r="F145" i="20"/>
  <c r="G145" i="20"/>
  <c r="H145" i="20"/>
  <c r="I145" i="20"/>
  <c r="J145" i="20"/>
  <c r="K145" i="20"/>
  <c r="L145" i="20"/>
  <c r="N145" i="20"/>
  <c r="O145" i="20"/>
  <c r="P145" i="20"/>
  <c r="Q145" i="20"/>
  <c r="R145" i="20"/>
  <c r="S145" i="20"/>
  <c r="T145" i="20"/>
  <c r="U145" i="20"/>
  <c r="V145" i="20"/>
  <c r="W145" i="20"/>
  <c r="X145" i="20"/>
  <c r="Y145" i="20"/>
  <c r="Z145" i="20"/>
  <c r="AA145" i="20"/>
  <c r="AB145" i="20"/>
  <c r="AC145" i="20"/>
  <c r="AD145" i="20"/>
  <c r="AE145" i="20"/>
  <c r="AF145" i="20"/>
  <c r="AG145" i="20"/>
  <c r="AH145" i="20"/>
  <c r="AI145" i="20"/>
  <c r="AJ145" i="20"/>
  <c r="AK145" i="20"/>
  <c r="AL145" i="20"/>
  <c r="AM145" i="20"/>
  <c r="AN145" i="20"/>
  <c r="F146" i="20"/>
  <c r="G146" i="20"/>
  <c r="H146" i="20"/>
  <c r="I146" i="20"/>
  <c r="J146" i="20"/>
  <c r="K146" i="20"/>
  <c r="L146" i="20"/>
  <c r="N146" i="20"/>
  <c r="O146" i="20"/>
  <c r="P146" i="20"/>
  <c r="Q146" i="20"/>
  <c r="R146" i="20"/>
  <c r="S146" i="20"/>
  <c r="T146" i="20"/>
  <c r="U146" i="20"/>
  <c r="V146" i="20"/>
  <c r="W146" i="20"/>
  <c r="X146" i="20"/>
  <c r="Y146" i="20"/>
  <c r="Z146" i="20"/>
  <c r="AA146" i="20"/>
  <c r="AB146" i="20"/>
  <c r="AC146" i="20"/>
  <c r="AD146" i="20"/>
  <c r="AE146" i="20"/>
  <c r="AF146" i="20"/>
  <c r="AG146" i="20"/>
  <c r="AH146" i="20"/>
  <c r="AI146" i="20"/>
  <c r="AJ146" i="20"/>
  <c r="AK146" i="20"/>
  <c r="AL146" i="20"/>
  <c r="AM146" i="20"/>
  <c r="AN146" i="20"/>
  <c r="F148" i="20"/>
  <c r="G148" i="20"/>
  <c r="H148" i="20"/>
  <c r="I148" i="20"/>
  <c r="J148" i="20"/>
  <c r="K148" i="20"/>
  <c r="L148" i="20"/>
  <c r="N148" i="20"/>
  <c r="O148" i="20"/>
  <c r="P148" i="20"/>
  <c r="Q148" i="20"/>
  <c r="R148" i="20"/>
  <c r="S148" i="20"/>
  <c r="T148" i="20"/>
  <c r="U148" i="20"/>
  <c r="V148" i="20"/>
  <c r="W148" i="20"/>
  <c r="X148" i="20"/>
  <c r="Y148" i="20"/>
  <c r="Z148" i="20"/>
  <c r="AA148" i="20"/>
  <c r="AB148" i="20"/>
  <c r="AC148" i="20"/>
  <c r="AD148" i="20"/>
  <c r="AE148" i="20"/>
  <c r="AF148" i="20"/>
  <c r="AG148" i="20"/>
  <c r="AH148" i="20"/>
  <c r="AI148" i="20"/>
  <c r="AJ148" i="20"/>
  <c r="AK148" i="20"/>
  <c r="AL148" i="20"/>
  <c r="AM148" i="20"/>
  <c r="AN148" i="20"/>
  <c r="F149" i="20"/>
  <c r="G149" i="20"/>
  <c r="H149" i="20"/>
  <c r="I149" i="20"/>
  <c r="J149" i="20"/>
  <c r="K149" i="20"/>
  <c r="L149" i="20"/>
  <c r="N149" i="20"/>
  <c r="O149" i="20"/>
  <c r="P149" i="20"/>
  <c r="Q149" i="20"/>
  <c r="R149" i="20"/>
  <c r="S149" i="20"/>
  <c r="T149" i="20"/>
  <c r="U149" i="20"/>
  <c r="V149" i="20"/>
  <c r="W149" i="20"/>
  <c r="X149" i="20"/>
  <c r="Y149" i="20"/>
  <c r="Z149" i="20"/>
  <c r="AA149" i="20"/>
  <c r="AB149" i="20"/>
  <c r="AC149" i="20"/>
  <c r="AD149" i="20"/>
  <c r="AE149" i="20"/>
  <c r="AF149" i="20"/>
  <c r="AG149" i="20"/>
  <c r="AH149" i="20"/>
  <c r="AI149" i="20"/>
  <c r="AJ149" i="20"/>
  <c r="AK149" i="20"/>
  <c r="AL149" i="20"/>
  <c r="AM149" i="20"/>
  <c r="AN149" i="20"/>
  <c r="F150" i="20"/>
  <c r="G150" i="20"/>
  <c r="H150" i="20"/>
  <c r="I150" i="20"/>
  <c r="J150" i="20"/>
  <c r="K150" i="20"/>
  <c r="L150" i="20"/>
  <c r="N150" i="20"/>
  <c r="O150" i="20"/>
  <c r="P150" i="20"/>
  <c r="Q150" i="20"/>
  <c r="R150" i="20"/>
  <c r="S150" i="20"/>
  <c r="T150" i="20"/>
  <c r="U150" i="20"/>
  <c r="V150" i="20"/>
  <c r="W150" i="20"/>
  <c r="X150" i="20"/>
  <c r="Y150" i="20"/>
  <c r="Z150" i="20"/>
  <c r="AA150" i="20"/>
  <c r="AB150" i="20"/>
  <c r="AC150" i="20"/>
  <c r="AD150" i="20"/>
  <c r="AE150" i="20"/>
  <c r="AF150" i="20"/>
  <c r="AG150" i="20"/>
  <c r="AH150" i="20"/>
  <c r="AI150" i="20"/>
  <c r="AJ150" i="20"/>
  <c r="AK150" i="20"/>
  <c r="AL150" i="20"/>
  <c r="AM150" i="20"/>
  <c r="AN150" i="20"/>
  <c r="F151" i="20"/>
  <c r="G151" i="20"/>
  <c r="H151" i="20"/>
  <c r="I151" i="20"/>
  <c r="J151" i="20"/>
  <c r="K151" i="20"/>
  <c r="L151" i="20"/>
  <c r="N151" i="20"/>
  <c r="O151" i="20"/>
  <c r="P151" i="20"/>
  <c r="Q151" i="20"/>
  <c r="R151" i="20"/>
  <c r="S151" i="20"/>
  <c r="T151" i="20"/>
  <c r="U151" i="20"/>
  <c r="V151" i="20"/>
  <c r="W151" i="20"/>
  <c r="X151" i="20"/>
  <c r="Y151" i="20"/>
  <c r="Z151" i="20"/>
  <c r="AA151" i="20"/>
  <c r="AB151" i="20"/>
  <c r="AC151" i="20"/>
  <c r="AD151" i="20"/>
  <c r="AE151" i="20"/>
  <c r="AF151" i="20"/>
  <c r="AG151" i="20"/>
  <c r="AH151" i="20"/>
  <c r="AI151" i="20"/>
  <c r="AJ151" i="20"/>
  <c r="AK151" i="20"/>
  <c r="AL151" i="20"/>
  <c r="AM151" i="20"/>
  <c r="AN151" i="20"/>
  <c r="F152" i="20"/>
  <c r="G152" i="20"/>
  <c r="H152" i="20"/>
  <c r="I152" i="20"/>
  <c r="J152" i="20"/>
  <c r="K152" i="20"/>
  <c r="L152" i="20"/>
  <c r="N152" i="20"/>
  <c r="O152" i="20"/>
  <c r="P152" i="20"/>
  <c r="Q152" i="20"/>
  <c r="R152" i="20"/>
  <c r="S152" i="20"/>
  <c r="T152" i="20"/>
  <c r="U152" i="20"/>
  <c r="V152" i="20"/>
  <c r="W152" i="20"/>
  <c r="X152" i="20"/>
  <c r="Y152" i="20"/>
  <c r="Z152" i="20"/>
  <c r="AA152" i="20"/>
  <c r="AB152" i="20"/>
  <c r="AC152" i="20"/>
  <c r="AD152" i="20"/>
  <c r="AE152" i="20"/>
  <c r="AF152" i="20"/>
  <c r="AG152" i="20"/>
  <c r="AH152" i="20"/>
  <c r="AI152" i="20"/>
  <c r="AJ152" i="20"/>
  <c r="AK152" i="20"/>
  <c r="AL152" i="20"/>
  <c r="AM152" i="20"/>
  <c r="AN152" i="20"/>
  <c r="F153" i="20"/>
  <c r="G153" i="20"/>
  <c r="H153" i="20"/>
  <c r="I153" i="20"/>
  <c r="J153" i="20"/>
  <c r="K153" i="20"/>
  <c r="L153" i="20"/>
  <c r="N153" i="20"/>
  <c r="O153" i="20"/>
  <c r="P153" i="20"/>
  <c r="Q153" i="20"/>
  <c r="R153" i="20"/>
  <c r="S153" i="20"/>
  <c r="T153" i="20"/>
  <c r="U153" i="20"/>
  <c r="V153" i="20"/>
  <c r="W153" i="20"/>
  <c r="X153" i="20"/>
  <c r="Y153" i="20"/>
  <c r="Z153" i="20"/>
  <c r="AA153" i="20"/>
  <c r="AB153" i="20"/>
  <c r="AC153" i="20"/>
  <c r="AD153" i="20"/>
  <c r="AE153" i="20"/>
  <c r="AF153" i="20"/>
  <c r="AG153" i="20"/>
  <c r="AH153" i="20"/>
  <c r="AI153" i="20"/>
  <c r="AJ153" i="20"/>
  <c r="AK153" i="20"/>
  <c r="AL153" i="20"/>
  <c r="AM153" i="20"/>
  <c r="AN153" i="20"/>
  <c r="F154" i="20"/>
  <c r="G154" i="20"/>
  <c r="H154" i="20"/>
  <c r="I154" i="20"/>
  <c r="J154" i="20"/>
  <c r="K154" i="20"/>
  <c r="L154" i="20"/>
  <c r="N154" i="20"/>
  <c r="O154" i="20"/>
  <c r="P154" i="20"/>
  <c r="Q154" i="20"/>
  <c r="R154" i="20"/>
  <c r="S154" i="20"/>
  <c r="T154" i="20"/>
  <c r="U154" i="20"/>
  <c r="V154" i="20"/>
  <c r="W154" i="20"/>
  <c r="X154" i="20"/>
  <c r="Y154" i="20"/>
  <c r="Z154" i="20"/>
  <c r="AA154" i="20"/>
  <c r="AB154" i="20"/>
  <c r="AC154" i="20"/>
  <c r="AD154" i="20"/>
  <c r="AE154" i="20"/>
  <c r="AF154" i="20"/>
  <c r="AG154" i="20"/>
  <c r="AH154" i="20"/>
  <c r="AI154" i="20"/>
  <c r="AJ154" i="20"/>
  <c r="AK154" i="20"/>
  <c r="AL154" i="20"/>
  <c r="AM154" i="20"/>
  <c r="AN154" i="20"/>
  <c r="F155" i="20"/>
  <c r="G155" i="20"/>
  <c r="H155" i="20"/>
  <c r="I155" i="20"/>
  <c r="J155" i="20"/>
  <c r="K155" i="20"/>
  <c r="L155" i="20"/>
  <c r="N155" i="20"/>
  <c r="O155" i="20"/>
  <c r="P155" i="20"/>
  <c r="Q155" i="20"/>
  <c r="R155" i="20"/>
  <c r="S155" i="20"/>
  <c r="T155" i="20"/>
  <c r="U155" i="20"/>
  <c r="V155" i="20"/>
  <c r="W155" i="20"/>
  <c r="X155" i="20"/>
  <c r="Y155" i="20"/>
  <c r="Z155" i="20"/>
  <c r="AA155" i="20"/>
  <c r="AB155" i="20"/>
  <c r="AC155" i="20"/>
  <c r="AD155" i="20"/>
  <c r="AE155" i="20"/>
  <c r="AF155" i="20"/>
  <c r="AG155" i="20"/>
  <c r="AH155" i="20"/>
  <c r="AI155" i="20"/>
  <c r="AJ155" i="20"/>
  <c r="AK155" i="20"/>
  <c r="AL155" i="20"/>
  <c r="AM155" i="20"/>
  <c r="AN155" i="20"/>
  <c r="F156" i="20"/>
  <c r="G156" i="20"/>
  <c r="H156" i="20"/>
  <c r="I156" i="20"/>
  <c r="J156" i="20"/>
  <c r="K156" i="20"/>
  <c r="L156" i="20"/>
  <c r="N156" i="20"/>
  <c r="O156" i="20"/>
  <c r="P156" i="20"/>
  <c r="Q156" i="20"/>
  <c r="R156" i="20"/>
  <c r="S156" i="20"/>
  <c r="T156" i="20"/>
  <c r="U156" i="20"/>
  <c r="V156" i="20"/>
  <c r="W156" i="20"/>
  <c r="X156" i="20"/>
  <c r="Y156" i="20"/>
  <c r="Z156" i="20"/>
  <c r="AA156" i="20"/>
  <c r="AB156" i="20"/>
  <c r="AC156" i="20"/>
  <c r="AD156" i="20"/>
  <c r="AE156" i="20"/>
  <c r="AF156" i="20"/>
  <c r="AG156" i="20"/>
  <c r="AH156" i="20"/>
  <c r="AI156" i="20"/>
  <c r="AJ156" i="20"/>
  <c r="AK156" i="20"/>
  <c r="AL156" i="20"/>
  <c r="AM156" i="20"/>
  <c r="AN156" i="20"/>
  <c r="F157" i="20"/>
  <c r="G157" i="20"/>
  <c r="H157" i="20"/>
  <c r="I157" i="20"/>
  <c r="J157" i="20"/>
  <c r="K157" i="20"/>
  <c r="L157" i="20"/>
  <c r="N157" i="20"/>
  <c r="O157" i="20"/>
  <c r="P157" i="20"/>
  <c r="Q157" i="20"/>
  <c r="R157" i="20"/>
  <c r="S157" i="20"/>
  <c r="T157" i="20"/>
  <c r="U157" i="20"/>
  <c r="V157" i="20"/>
  <c r="W157" i="20"/>
  <c r="X157" i="20"/>
  <c r="Y157" i="20"/>
  <c r="Z157" i="20"/>
  <c r="AA157" i="20"/>
  <c r="AB157" i="20"/>
  <c r="AC157" i="20"/>
  <c r="AD157" i="20"/>
  <c r="AE157" i="20"/>
  <c r="AF157" i="20"/>
  <c r="AG157" i="20"/>
  <c r="AH157" i="20"/>
  <c r="AI157" i="20"/>
  <c r="AJ157" i="20"/>
  <c r="AK157" i="20"/>
  <c r="AL157" i="20"/>
  <c r="AM157" i="20"/>
  <c r="AN157" i="20"/>
  <c r="F158" i="20"/>
  <c r="G158" i="20"/>
  <c r="H158" i="20"/>
  <c r="I158" i="20"/>
  <c r="J158" i="20"/>
  <c r="K158" i="20"/>
  <c r="L158" i="20"/>
  <c r="N158" i="20"/>
  <c r="O158" i="20"/>
  <c r="P158" i="20"/>
  <c r="Q158" i="20"/>
  <c r="R158" i="20"/>
  <c r="S158" i="20"/>
  <c r="T158" i="20"/>
  <c r="U158" i="20"/>
  <c r="V158" i="20"/>
  <c r="W158" i="20"/>
  <c r="X158" i="20"/>
  <c r="Y158" i="20"/>
  <c r="Z158" i="20"/>
  <c r="AA158" i="20"/>
  <c r="AB158" i="20"/>
  <c r="AC158" i="20"/>
  <c r="AD158" i="20"/>
  <c r="AE158" i="20"/>
  <c r="AF158" i="20"/>
  <c r="AG158" i="20"/>
  <c r="AH158" i="20"/>
  <c r="AI158" i="20"/>
  <c r="AJ158" i="20"/>
  <c r="AK158" i="20"/>
  <c r="AL158" i="20"/>
  <c r="AM158" i="20"/>
  <c r="AN158" i="20"/>
  <c r="F159" i="20"/>
  <c r="G159" i="20"/>
  <c r="H159" i="20"/>
  <c r="I159" i="20"/>
  <c r="J159" i="20"/>
  <c r="K159" i="20"/>
  <c r="L159" i="20"/>
  <c r="N159" i="20"/>
  <c r="O159" i="20"/>
  <c r="P159" i="20"/>
  <c r="Q159" i="20"/>
  <c r="R159" i="20"/>
  <c r="S159" i="20"/>
  <c r="T159" i="20"/>
  <c r="U159" i="20"/>
  <c r="V159" i="20"/>
  <c r="W159" i="20"/>
  <c r="X159" i="20"/>
  <c r="Y159" i="20"/>
  <c r="Z159" i="20"/>
  <c r="AA159" i="20"/>
  <c r="AB159" i="20"/>
  <c r="AC159" i="20"/>
  <c r="AD159" i="20"/>
  <c r="AE159" i="20"/>
  <c r="AF159" i="20"/>
  <c r="AG159" i="20"/>
  <c r="AH159" i="20"/>
  <c r="AI159" i="20"/>
  <c r="AJ159" i="20"/>
  <c r="AK159" i="20"/>
  <c r="AL159" i="20"/>
  <c r="AM159" i="20"/>
  <c r="AN159" i="20"/>
  <c r="F160" i="20"/>
  <c r="G160" i="20"/>
  <c r="H160" i="20"/>
  <c r="I160" i="20"/>
  <c r="J160" i="20"/>
  <c r="K160" i="20"/>
  <c r="L160" i="20"/>
  <c r="N160" i="20"/>
  <c r="O160" i="20"/>
  <c r="P160" i="20"/>
  <c r="Q160" i="20"/>
  <c r="R160" i="20"/>
  <c r="S160" i="20"/>
  <c r="T160" i="20"/>
  <c r="U160" i="20"/>
  <c r="V160" i="20"/>
  <c r="W160" i="20"/>
  <c r="X160" i="20"/>
  <c r="Y160" i="20"/>
  <c r="Z160" i="20"/>
  <c r="AA160" i="20"/>
  <c r="AB160" i="20"/>
  <c r="AC160" i="20"/>
  <c r="AD160" i="20"/>
  <c r="AE160" i="20"/>
  <c r="AF160" i="20"/>
  <c r="AG160" i="20"/>
  <c r="AH160" i="20"/>
  <c r="AI160" i="20"/>
  <c r="AJ160" i="20"/>
  <c r="AK160" i="20"/>
  <c r="AL160" i="20"/>
  <c r="AM160" i="20"/>
  <c r="AN160" i="20"/>
  <c r="F161" i="20"/>
  <c r="G161" i="20"/>
  <c r="H161" i="20"/>
  <c r="I161" i="20"/>
  <c r="J161" i="20"/>
  <c r="K161" i="20"/>
  <c r="L161" i="20"/>
  <c r="N161" i="20"/>
  <c r="O161" i="20"/>
  <c r="P161" i="20"/>
  <c r="Q161" i="20"/>
  <c r="R161" i="20"/>
  <c r="S161" i="20"/>
  <c r="T161" i="20"/>
  <c r="U161" i="20"/>
  <c r="V161" i="20"/>
  <c r="W161" i="20"/>
  <c r="X161" i="20"/>
  <c r="Y161" i="20"/>
  <c r="Z161" i="20"/>
  <c r="AA161" i="20"/>
  <c r="AB161" i="20"/>
  <c r="AC161" i="20"/>
  <c r="AD161" i="20"/>
  <c r="AE161" i="20"/>
  <c r="AF161" i="20"/>
  <c r="AG161" i="20"/>
  <c r="AH161" i="20"/>
  <c r="AI161" i="20"/>
  <c r="AJ161" i="20"/>
  <c r="AK161" i="20"/>
  <c r="AL161" i="20"/>
  <c r="AM161" i="20"/>
  <c r="AN161" i="20"/>
  <c r="F162" i="20"/>
  <c r="G162" i="20"/>
  <c r="H162" i="20"/>
  <c r="I162" i="20"/>
  <c r="J162" i="20"/>
  <c r="K162" i="20"/>
  <c r="L162" i="20"/>
  <c r="N162" i="20"/>
  <c r="O162" i="20"/>
  <c r="P162" i="20"/>
  <c r="Q162" i="20"/>
  <c r="R162" i="20"/>
  <c r="S162" i="20"/>
  <c r="T162" i="20"/>
  <c r="U162" i="20"/>
  <c r="V162" i="20"/>
  <c r="W162" i="20"/>
  <c r="X162" i="20"/>
  <c r="Y162" i="20"/>
  <c r="Z162" i="20"/>
  <c r="AA162" i="20"/>
  <c r="AB162" i="20"/>
  <c r="AC162" i="20"/>
  <c r="AD162" i="20"/>
  <c r="AE162" i="20"/>
  <c r="AF162" i="20"/>
  <c r="AG162" i="20"/>
  <c r="AH162" i="20"/>
  <c r="AI162" i="20"/>
  <c r="AJ162" i="20"/>
  <c r="AK162" i="20"/>
  <c r="AL162" i="20"/>
  <c r="AM162" i="20"/>
  <c r="AN162" i="20"/>
  <c r="F163" i="20"/>
  <c r="G163" i="20"/>
  <c r="H163" i="20"/>
  <c r="I163" i="20"/>
  <c r="J163" i="20"/>
  <c r="K163" i="20"/>
  <c r="L163" i="20"/>
  <c r="N163" i="20"/>
  <c r="O163" i="20"/>
  <c r="P163" i="20"/>
  <c r="Q163" i="20"/>
  <c r="R163" i="20"/>
  <c r="S163" i="20"/>
  <c r="T163" i="20"/>
  <c r="U163" i="20"/>
  <c r="V163" i="20"/>
  <c r="W163" i="20"/>
  <c r="X163" i="20"/>
  <c r="Y163" i="20"/>
  <c r="Z163" i="20"/>
  <c r="AA163" i="20"/>
  <c r="AB163" i="20"/>
  <c r="AC163" i="20"/>
  <c r="AD163" i="20"/>
  <c r="AE163" i="20"/>
  <c r="AF163" i="20"/>
  <c r="AG163" i="20"/>
  <c r="AH163" i="20"/>
  <c r="AI163" i="20"/>
  <c r="AJ163" i="20"/>
  <c r="AK163" i="20"/>
  <c r="AL163" i="20"/>
  <c r="AM163" i="20"/>
  <c r="AN163" i="20"/>
  <c r="F164" i="20"/>
  <c r="G164" i="20"/>
  <c r="H164" i="20"/>
  <c r="I164" i="20"/>
  <c r="J164" i="20"/>
  <c r="K164" i="20"/>
  <c r="L164" i="20"/>
  <c r="N164" i="20"/>
  <c r="O164" i="20"/>
  <c r="P164" i="20"/>
  <c r="Q164" i="20"/>
  <c r="R164" i="20"/>
  <c r="S164" i="20"/>
  <c r="T164" i="20"/>
  <c r="U164" i="20"/>
  <c r="V164" i="20"/>
  <c r="W164" i="20"/>
  <c r="X164" i="20"/>
  <c r="Y164" i="20"/>
  <c r="Z164" i="20"/>
  <c r="AA164" i="20"/>
  <c r="AB164" i="20"/>
  <c r="AC164" i="20"/>
  <c r="AD164" i="20"/>
  <c r="AE164" i="20"/>
  <c r="AF164" i="20"/>
  <c r="AG164" i="20"/>
  <c r="AH164" i="20"/>
  <c r="AI164" i="20"/>
  <c r="AJ164" i="20"/>
  <c r="AK164" i="20"/>
  <c r="AL164" i="20"/>
  <c r="AM164" i="20"/>
  <c r="AN164" i="20"/>
  <c r="F165" i="20"/>
  <c r="G165" i="20"/>
  <c r="H165" i="20"/>
  <c r="I165" i="20"/>
  <c r="J165" i="20"/>
  <c r="K165" i="20"/>
  <c r="L165" i="20"/>
  <c r="N165" i="20"/>
  <c r="O165" i="20"/>
  <c r="P165" i="20"/>
  <c r="Q165" i="20"/>
  <c r="R165" i="20"/>
  <c r="S165" i="20"/>
  <c r="T165" i="20"/>
  <c r="U165" i="20"/>
  <c r="V165" i="20"/>
  <c r="W165" i="20"/>
  <c r="X165" i="20"/>
  <c r="Y165" i="20"/>
  <c r="Z165" i="20"/>
  <c r="AA165" i="20"/>
  <c r="AB165" i="20"/>
  <c r="AC165" i="20"/>
  <c r="AD165" i="20"/>
  <c r="AE165" i="20"/>
  <c r="AF165" i="20"/>
  <c r="AG165" i="20"/>
  <c r="AH165" i="20"/>
  <c r="AI165" i="20"/>
  <c r="AJ165" i="20"/>
  <c r="AK165" i="20"/>
  <c r="AL165" i="20"/>
  <c r="AM165" i="20"/>
  <c r="AN165" i="20"/>
  <c r="F166" i="20"/>
  <c r="G166" i="20"/>
  <c r="H166" i="20"/>
  <c r="I166" i="20"/>
  <c r="J166" i="20"/>
  <c r="K166" i="20"/>
  <c r="L166" i="20"/>
  <c r="N166" i="20"/>
  <c r="O166" i="20"/>
  <c r="P166" i="20"/>
  <c r="Q166" i="20"/>
  <c r="R166" i="20"/>
  <c r="S166" i="20"/>
  <c r="T166" i="20"/>
  <c r="U166" i="20"/>
  <c r="V166" i="20"/>
  <c r="W166" i="20"/>
  <c r="X166" i="20"/>
  <c r="Y166" i="20"/>
  <c r="Z166" i="20"/>
  <c r="AA166" i="20"/>
  <c r="AB166" i="20"/>
  <c r="AC166" i="20"/>
  <c r="AD166" i="20"/>
  <c r="AE166" i="20"/>
  <c r="AF166" i="20"/>
  <c r="AG166" i="20"/>
  <c r="AH166" i="20"/>
  <c r="AI166" i="20"/>
  <c r="AJ166" i="20"/>
  <c r="AK166" i="20"/>
  <c r="AL166" i="20"/>
  <c r="AM166" i="20"/>
  <c r="AN166" i="20"/>
  <c r="F167" i="20"/>
  <c r="G167" i="20"/>
  <c r="H167" i="20"/>
  <c r="I167" i="20"/>
  <c r="J167" i="20"/>
  <c r="K167" i="20"/>
  <c r="L167" i="20"/>
  <c r="N167" i="20"/>
  <c r="O167" i="20"/>
  <c r="P167" i="20"/>
  <c r="Q167" i="20"/>
  <c r="R167" i="20"/>
  <c r="S167" i="20"/>
  <c r="T167" i="20"/>
  <c r="U167" i="20"/>
  <c r="V167" i="20"/>
  <c r="W167" i="20"/>
  <c r="X167" i="20"/>
  <c r="Y167" i="20"/>
  <c r="Z167" i="20"/>
  <c r="AA167" i="20"/>
  <c r="AB167" i="20"/>
  <c r="AC167" i="20"/>
  <c r="AD167" i="20"/>
  <c r="AE167" i="20"/>
  <c r="AF167" i="20"/>
  <c r="AG167" i="20"/>
  <c r="AH167" i="20"/>
  <c r="AI167" i="20"/>
  <c r="AJ167" i="20"/>
  <c r="AK167" i="20"/>
  <c r="AL167" i="20"/>
  <c r="AM167" i="20"/>
  <c r="AN167" i="20"/>
  <c r="F168" i="20"/>
  <c r="G168" i="20"/>
  <c r="H168" i="20"/>
  <c r="I168" i="20"/>
  <c r="J168" i="20"/>
  <c r="K168" i="20"/>
  <c r="L168" i="20"/>
  <c r="N168" i="20"/>
  <c r="O168" i="20"/>
  <c r="P168" i="20"/>
  <c r="Q168" i="20"/>
  <c r="R168" i="20"/>
  <c r="S168" i="20"/>
  <c r="T168" i="20"/>
  <c r="U168" i="20"/>
  <c r="V168" i="20"/>
  <c r="W168" i="20"/>
  <c r="X168" i="20"/>
  <c r="Y168" i="20"/>
  <c r="Z168" i="20"/>
  <c r="AA168" i="20"/>
  <c r="AB168" i="20"/>
  <c r="AC168" i="20"/>
  <c r="AD168" i="20"/>
  <c r="AE168" i="20"/>
  <c r="AF168" i="20"/>
  <c r="AG168" i="20"/>
  <c r="AH168" i="20"/>
  <c r="AI168" i="20"/>
  <c r="AJ168" i="20"/>
  <c r="AK168" i="20"/>
  <c r="AL168" i="20"/>
  <c r="AM168" i="20"/>
  <c r="AN168" i="20"/>
  <c r="F169" i="20"/>
  <c r="G169" i="20"/>
  <c r="H169" i="20"/>
  <c r="I169" i="20"/>
  <c r="J169" i="20"/>
  <c r="K169" i="20"/>
  <c r="L169" i="20"/>
  <c r="N169" i="20"/>
  <c r="O169" i="20"/>
  <c r="P169" i="20"/>
  <c r="Q169" i="20"/>
  <c r="R169" i="20"/>
  <c r="S169" i="20"/>
  <c r="T169" i="20"/>
  <c r="U169" i="20"/>
  <c r="V169" i="20"/>
  <c r="W169" i="20"/>
  <c r="X169" i="20"/>
  <c r="Y169" i="20"/>
  <c r="Z169" i="20"/>
  <c r="AA169" i="20"/>
  <c r="AB169" i="20"/>
  <c r="AC169" i="20"/>
  <c r="AD169" i="20"/>
  <c r="AE169" i="20"/>
  <c r="AF169" i="20"/>
  <c r="AG169" i="20"/>
  <c r="AH169" i="20"/>
  <c r="AI169" i="20"/>
  <c r="AJ169" i="20"/>
  <c r="AK169" i="20"/>
  <c r="AL169" i="20"/>
  <c r="AM169" i="20"/>
  <c r="AN169" i="20"/>
  <c r="F170" i="20"/>
  <c r="G170" i="20"/>
  <c r="H170" i="20"/>
  <c r="I170" i="20"/>
  <c r="J170" i="20"/>
  <c r="K170" i="20"/>
  <c r="L170" i="20"/>
  <c r="N170" i="20"/>
  <c r="O170" i="20"/>
  <c r="P170" i="20"/>
  <c r="Q170" i="20"/>
  <c r="R170" i="20"/>
  <c r="S170" i="20"/>
  <c r="T170" i="20"/>
  <c r="U170" i="20"/>
  <c r="V170" i="20"/>
  <c r="W170" i="20"/>
  <c r="X170" i="20"/>
  <c r="Y170" i="20"/>
  <c r="Z170" i="20"/>
  <c r="AA170" i="20"/>
  <c r="AB170" i="20"/>
  <c r="AC170" i="20"/>
  <c r="AD170" i="20"/>
  <c r="AE170" i="20"/>
  <c r="AF170" i="20"/>
  <c r="AG170" i="20"/>
  <c r="AH170" i="20"/>
  <c r="AI170" i="20"/>
  <c r="AJ170" i="20"/>
  <c r="AK170" i="20"/>
  <c r="AL170" i="20"/>
  <c r="AM170" i="20"/>
  <c r="AN170" i="20"/>
  <c r="F171" i="20"/>
  <c r="G171" i="20"/>
  <c r="H171" i="20"/>
  <c r="I171" i="20"/>
  <c r="J171" i="20"/>
  <c r="K171" i="20"/>
  <c r="L171" i="20"/>
  <c r="N171" i="20"/>
  <c r="O171" i="20"/>
  <c r="P171" i="20"/>
  <c r="Q171" i="20"/>
  <c r="R171" i="20"/>
  <c r="S171" i="20"/>
  <c r="T171" i="20"/>
  <c r="U171" i="20"/>
  <c r="V171" i="20"/>
  <c r="W171" i="20"/>
  <c r="X171" i="20"/>
  <c r="Y171" i="20"/>
  <c r="Z171" i="20"/>
  <c r="AA171" i="20"/>
  <c r="AB171" i="20"/>
  <c r="AC171" i="20"/>
  <c r="AD171" i="20"/>
  <c r="AE171" i="20"/>
  <c r="AF171" i="20"/>
  <c r="AG171" i="20"/>
  <c r="AH171" i="20"/>
  <c r="AI171" i="20"/>
  <c r="AJ171" i="20"/>
  <c r="AK171" i="20"/>
  <c r="AL171" i="20"/>
  <c r="AM171" i="20"/>
  <c r="AN171" i="20"/>
  <c r="F172" i="20"/>
  <c r="G172" i="20"/>
  <c r="H172" i="20"/>
  <c r="I172" i="20"/>
  <c r="J172" i="20"/>
  <c r="K172" i="20"/>
  <c r="L172" i="20"/>
  <c r="N172" i="20"/>
  <c r="O172" i="20"/>
  <c r="P172" i="20"/>
  <c r="Q172" i="20"/>
  <c r="R172" i="20"/>
  <c r="S172" i="20"/>
  <c r="T172" i="20"/>
  <c r="U172" i="20"/>
  <c r="V172" i="20"/>
  <c r="W172" i="20"/>
  <c r="X172" i="20"/>
  <c r="Y172" i="20"/>
  <c r="Z172" i="20"/>
  <c r="AA172" i="20"/>
  <c r="AB172" i="20"/>
  <c r="AC172" i="20"/>
  <c r="AD172" i="20"/>
  <c r="AE172" i="20"/>
  <c r="AF172" i="20"/>
  <c r="AG172" i="20"/>
  <c r="AH172" i="20"/>
  <c r="AI172" i="20"/>
  <c r="AJ172" i="20"/>
  <c r="AK172" i="20"/>
  <c r="AL172" i="20"/>
  <c r="AM172" i="20"/>
  <c r="AN172" i="20"/>
  <c r="F173" i="20"/>
  <c r="G173" i="20"/>
  <c r="H173" i="20"/>
  <c r="I173" i="20"/>
  <c r="J173" i="20"/>
  <c r="K173" i="20"/>
  <c r="L173" i="20"/>
  <c r="N173" i="20"/>
  <c r="O173" i="20"/>
  <c r="P173" i="20"/>
  <c r="Q173" i="20"/>
  <c r="R173" i="20"/>
  <c r="S173" i="20"/>
  <c r="T173" i="20"/>
  <c r="U173" i="20"/>
  <c r="V173" i="20"/>
  <c r="W173" i="20"/>
  <c r="X173" i="20"/>
  <c r="Y173" i="20"/>
  <c r="Z173" i="20"/>
  <c r="AA173" i="20"/>
  <c r="AB173" i="20"/>
  <c r="AC173" i="20"/>
  <c r="AD173" i="20"/>
  <c r="AE173" i="20"/>
  <c r="AF173" i="20"/>
  <c r="AG173" i="20"/>
  <c r="AH173" i="20"/>
  <c r="AI173" i="20"/>
  <c r="AJ173" i="20"/>
  <c r="AK173" i="20"/>
  <c r="AL173" i="20"/>
  <c r="AM173" i="20"/>
  <c r="AN173" i="20"/>
  <c r="F174" i="20"/>
  <c r="G174" i="20"/>
  <c r="H174" i="20"/>
  <c r="I174" i="20"/>
  <c r="J174" i="20"/>
  <c r="K174" i="20"/>
  <c r="L174" i="20"/>
  <c r="N174" i="20"/>
  <c r="O174" i="20"/>
  <c r="P174" i="20"/>
  <c r="Q174" i="20"/>
  <c r="R174" i="20"/>
  <c r="S174" i="20"/>
  <c r="T174" i="20"/>
  <c r="U174" i="20"/>
  <c r="V174" i="20"/>
  <c r="W174" i="20"/>
  <c r="X174" i="20"/>
  <c r="Y174" i="20"/>
  <c r="Z174" i="20"/>
  <c r="AA174" i="20"/>
  <c r="AB174" i="20"/>
  <c r="AC174" i="20"/>
  <c r="AD174" i="20"/>
  <c r="AE174" i="20"/>
  <c r="AF174" i="20"/>
  <c r="AG174" i="20"/>
  <c r="AH174" i="20"/>
  <c r="AI174" i="20"/>
  <c r="AJ174" i="20"/>
  <c r="AK174" i="20"/>
  <c r="AL174" i="20"/>
  <c r="AM174" i="20"/>
  <c r="AN174" i="20"/>
  <c r="F175" i="20"/>
  <c r="G175" i="20"/>
  <c r="H175" i="20"/>
  <c r="I175" i="20"/>
  <c r="J175" i="20"/>
  <c r="K175" i="20"/>
  <c r="L175" i="20"/>
  <c r="N175" i="20"/>
  <c r="O175" i="20"/>
  <c r="P175" i="20"/>
  <c r="Q175" i="20"/>
  <c r="R175" i="20"/>
  <c r="S175" i="20"/>
  <c r="T175" i="20"/>
  <c r="U175" i="20"/>
  <c r="V175" i="20"/>
  <c r="W175" i="20"/>
  <c r="X175" i="20"/>
  <c r="Y175" i="20"/>
  <c r="Z175" i="20"/>
  <c r="AA175" i="20"/>
  <c r="AB175" i="20"/>
  <c r="AC175" i="20"/>
  <c r="AD175" i="20"/>
  <c r="AE175" i="20"/>
  <c r="AF175" i="20"/>
  <c r="AG175" i="20"/>
  <c r="AH175" i="20"/>
  <c r="AI175" i="20"/>
  <c r="AJ175" i="20"/>
  <c r="AK175" i="20"/>
  <c r="AL175" i="20"/>
  <c r="AM175" i="20"/>
  <c r="AN175" i="20"/>
  <c r="F176" i="20"/>
  <c r="G176" i="20"/>
  <c r="H176" i="20"/>
  <c r="I176" i="20"/>
  <c r="J176" i="20"/>
  <c r="K176" i="20"/>
  <c r="L176" i="20"/>
  <c r="N176" i="20"/>
  <c r="O176" i="20"/>
  <c r="P176" i="20"/>
  <c r="Q176" i="20"/>
  <c r="R176" i="20"/>
  <c r="S176" i="20"/>
  <c r="T176" i="20"/>
  <c r="U176" i="20"/>
  <c r="V176" i="20"/>
  <c r="W176" i="20"/>
  <c r="X176" i="20"/>
  <c r="Y176" i="20"/>
  <c r="Z176" i="20"/>
  <c r="AA176" i="20"/>
  <c r="AB176" i="20"/>
  <c r="AC176" i="20"/>
  <c r="AD176" i="20"/>
  <c r="AE176" i="20"/>
  <c r="AF176" i="20"/>
  <c r="AG176" i="20"/>
  <c r="AH176" i="20"/>
  <c r="AI176" i="20"/>
  <c r="AJ176" i="20"/>
  <c r="AK176" i="20"/>
  <c r="AL176" i="20"/>
  <c r="AM176" i="20"/>
  <c r="AN176" i="20"/>
  <c r="F177" i="20"/>
  <c r="G177" i="20"/>
  <c r="H177" i="20"/>
  <c r="I177" i="20"/>
  <c r="J177" i="20"/>
  <c r="K177" i="20"/>
  <c r="L177" i="20"/>
  <c r="N177" i="20"/>
  <c r="O177" i="20"/>
  <c r="P177" i="20"/>
  <c r="Q177" i="20"/>
  <c r="R177" i="20"/>
  <c r="S177" i="20"/>
  <c r="T177" i="20"/>
  <c r="U177" i="20"/>
  <c r="V177" i="20"/>
  <c r="W177" i="20"/>
  <c r="X177" i="20"/>
  <c r="Y177" i="20"/>
  <c r="Z177" i="20"/>
  <c r="AA177" i="20"/>
  <c r="AB177" i="20"/>
  <c r="AC177" i="20"/>
  <c r="AD177" i="20"/>
  <c r="AE177" i="20"/>
  <c r="AF177" i="20"/>
  <c r="AG177" i="20"/>
  <c r="AH177" i="20"/>
  <c r="AI177" i="20"/>
  <c r="AJ177" i="20"/>
  <c r="AK177" i="20"/>
  <c r="AL177" i="20"/>
  <c r="AM177" i="20"/>
  <c r="AN177" i="20"/>
  <c r="F178" i="20"/>
  <c r="G178" i="20"/>
  <c r="H178" i="20"/>
  <c r="I178" i="20"/>
  <c r="J178" i="20"/>
  <c r="K178" i="20"/>
  <c r="L178" i="20"/>
  <c r="N178" i="20"/>
  <c r="O178" i="20"/>
  <c r="P178" i="20"/>
  <c r="Q178" i="20"/>
  <c r="R178" i="20"/>
  <c r="S178" i="20"/>
  <c r="T178" i="20"/>
  <c r="U178" i="20"/>
  <c r="V178" i="20"/>
  <c r="W178" i="20"/>
  <c r="X178" i="20"/>
  <c r="Y178" i="20"/>
  <c r="Z178" i="20"/>
  <c r="AA178" i="20"/>
  <c r="AB178" i="20"/>
  <c r="AC178" i="20"/>
  <c r="AD178" i="20"/>
  <c r="AE178" i="20"/>
  <c r="AF178" i="20"/>
  <c r="AG178" i="20"/>
  <c r="AH178" i="20"/>
  <c r="AI178" i="20"/>
  <c r="AJ178" i="20"/>
  <c r="AK178" i="20"/>
  <c r="AL178" i="20"/>
  <c r="AM178" i="20"/>
  <c r="AN178" i="20"/>
  <c r="F179" i="20"/>
  <c r="G179" i="20"/>
  <c r="H179" i="20"/>
  <c r="I179" i="20"/>
  <c r="J179" i="20"/>
  <c r="K179" i="20"/>
  <c r="L179" i="20"/>
  <c r="N179" i="20"/>
  <c r="O179" i="20"/>
  <c r="P179" i="20"/>
  <c r="Q179" i="20"/>
  <c r="R179" i="20"/>
  <c r="S179" i="20"/>
  <c r="T179" i="20"/>
  <c r="U179" i="20"/>
  <c r="V179" i="20"/>
  <c r="W179" i="20"/>
  <c r="X179" i="20"/>
  <c r="Y179" i="20"/>
  <c r="Z179" i="20"/>
  <c r="AA179" i="20"/>
  <c r="AB179" i="20"/>
  <c r="AC179" i="20"/>
  <c r="AD179" i="20"/>
  <c r="AE179" i="20"/>
  <c r="AF179" i="20"/>
  <c r="AG179" i="20"/>
  <c r="AH179" i="20"/>
  <c r="AI179" i="20"/>
  <c r="AJ179" i="20"/>
  <c r="AK179" i="20"/>
  <c r="AL179" i="20"/>
  <c r="AM179" i="20"/>
  <c r="AN179" i="20"/>
  <c r="F180" i="20"/>
  <c r="G180" i="20"/>
  <c r="H180" i="20"/>
  <c r="I180" i="20"/>
  <c r="J180" i="20"/>
  <c r="K180" i="20"/>
  <c r="L180" i="20"/>
  <c r="N180" i="20"/>
  <c r="O180" i="20"/>
  <c r="P180" i="20"/>
  <c r="Q180" i="20"/>
  <c r="R180" i="20"/>
  <c r="S180" i="20"/>
  <c r="T180" i="20"/>
  <c r="U180" i="20"/>
  <c r="V180" i="20"/>
  <c r="W180" i="20"/>
  <c r="X180" i="20"/>
  <c r="Y180" i="20"/>
  <c r="Z180" i="20"/>
  <c r="AA180" i="20"/>
  <c r="AB180" i="20"/>
  <c r="AC180" i="20"/>
  <c r="AD180" i="20"/>
  <c r="AE180" i="20"/>
  <c r="AF180" i="20"/>
  <c r="AG180" i="20"/>
  <c r="AH180" i="20"/>
  <c r="AI180" i="20"/>
  <c r="AJ180" i="20"/>
  <c r="AK180" i="20"/>
  <c r="AL180" i="20"/>
  <c r="AM180" i="20"/>
  <c r="AN180" i="20"/>
  <c r="F181" i="20"/>
  <c r="G181" i="20"/>
  <c r="H181" i="20"/>
  <c r="I181" i="20"/>
  <c r="J181" i="20"/>
  <c r="K181" i="20"/>
  <c r="L181" i="20"/>
  <c r="N181" i="20"/>
  <c r="O181" i="20"/>
  <c r="P181" i="20"/>
  <c r="Q181" i="20"/>
  <c r="R181" i="20"/>
  <c r="S181" i="20"/>
  <c r="T181" i="20"/>
  <c r="U181" i="20"/>
  <c r="V181" i="20"/>
  <c r="W181" i="20"/>
  <c r="X181" i="20"/>
  <c r="Y181" i="20"/>
  <c r="Z181" i="20"/>
  <c r="AA181" i="20"/>
  <c r="AB181" i="20"/>
  <c r="AC181" i="20"/>
  <c r="AD181" i="20"/>
  <c r="AE181" i="20"/>
  <c r="AF181" i="20"/>
  <c r="AG181" i="20"/>
  <c r="AH181" i="20"/>
  <c r="AI181" i="20"/>
  <c r="AJ181" i="20"/>
  <c r="AK181" i="20"/>
  <c r="AL181" i="20"/>
  <c r="AM181" i="20"/>
  <c r="AN181" i="20"/>
  <c r="F182" i="20"/>
  <c r="G182" i="20"/>
  <c r="H182" i="20"/>
  <c r="I182" i="20"/>
  <c r="J182" i="20"/>
  <c r="K182" i="20"/>
  <c r="L182" i="20"/>
  <c r="N182" i="20"/>
  <c r="O182" i="20"/>
  <c r="P182" i="20"/>
  <c r="Q182" i="20"/>
  <c r="R182" i="20"/>
  <c r="S182" i="20"/>
  <c r="T182" i="20"/>
  <c r="U182" i="20"/>
  <c r="V182" i="20"/>
  <c r="W182" i="20"/>
  <c r="X182" i="20"/>
  <c r="Y182" i="20"/>
  <c r="Z182" i="20"/>
  <c r="AA182" i="20"/>
  <c r="AB182" i="20"/>
  <c r="AC182" i="20"/>
  <c r="AD182" i="20"/>
  <c r="AE182" i="20"/>
  <c r="AF182" i="20"/>
  <c r="AG182" i="20"/>
  <c r="AH182" i="20"/>
  <c r="AI182" i="20"/>
  <c r="AJ182" i="20"/>
  <c r="AK182" i="20"/>
  <c r="AL182" i="20"/>
  <c r="AM182" i="20"/>
  <c r="AN182" i="20"/>
  <c r="F183" i="20"/>
  <c r="G183" i="20"/>
  <c r="H183" i="20"/>
  <c r="I183" i="20"/>
  <c r="J183" i="20"/>
  <c r="K183" i="20"/>
  <c r="L183" i="20"/>
  <c r="N183" i="20"/>
  <c r="O183" i="20"/>
  <c r="P183" i="20"/>
  <c r="Q183" i="20"/>
  <c r="R183" i="20"/>
  <c r="S183" i="20"/>
  <c r="T183" i="20"/>
  <c r="U183" i="20"/>
  <c r="V183" i="20"/>
  <c r="W183" i="20"/>
  <c r="X183" i="20"/>
  <c r="Y183" i="20"/>
  <c r="Z183" i="20"/>
  <c r="AA183" i="20"/>
  <c r="AB183" i="20"/>
  <c r="AC183" i="20"/>
  <c r="AD183" i="20"/>
  <c r="AE183" i="20"/>
  <c r="AF183" i="20"/>
  <c r="AG183" i="20"/>
  <c r="AH183" i="20"/>
  <c r="AI183" i="20"/>
  <c r="AJ183" i="20"/>
  <c r="AK183" i="20"/>
  <c r="AL183" i="20"/>
  <c r="AM183" i="20"/>
  <c r="AN183" i="20"/>
  <c r="F184" i="20"/>
  <c r="G184" i="20"/>
  <c r="H184" i="20"/>
  <c r="I184" i="20"/>
  <c r="J184" i="20"/>
  <c r="K184" i="20"/>
  <c r="L184" i="20"/>
  <c r="N184" i="20"/>
  <c r="O184" i="20"/>
  <c r="P184" i="20"/>
  <c r="Q184" i="20"/>
  <c r="R184" i="20"/>
  <c r="S184" i="20"/>
  <c r="T184" i="20"/>
  <c r="U184" i="20"/>
  <c r="V184" i="20"/>
  <c r="W184" i="20"/>
  <c r="X184" i="20"/>
  <c r="Y184" i="20"/>
  <c r="Z184" i="20"/>
  <c r="AA184" i="20"/>
  <c r="AB184" i="20"/>
  <c r="AC184" i="20"/>
  <c r="AD184" i="20"/>
  <c r="AE184" i="20"/>
  <c r="AF184" i="20"/>
  <c r="AG184" i="20"/>
  <c r="AH184" i="20"/>
  <c r="AI184" i="20"/>
  <c r="AJ184" i="20"/>
  <c r="AK184" i="20"/>
  <c r="AL184" i="20"/>
  <c r="AM184" i="20"/>
  <c r="AN184" i="20"/>
  <c r="F185" i="20"/>
  <c r="G185" i="20"/>
  <c r="H185" i="20"/>
  <c r="I185" i="20"/>
  <c r="J185" i="20"/>
  <c r="K185" i="20"/>
  <c r="L185" i="20"/>
  <c r="N185" i="20"/>
  <c r="O185" i="20"/>
  <c r="P185" i="20"/>
  <c r="Q185" i="20"/>
  <c r="R185" i="20"/>
  <c r="S185" i="20"/>
  <c r="T185" i="20"/>
  <c r="U185" i="20"/>
  <c r="V185" i="20"/>
  <c r="W185" i="20"/>
  <c r="X185" i="20"/>
  <c r="Y185" i="20"/>
  <c r="Z185" i="20"/>
  <c r="AA185" i="20"/>
  <c r="AB185" i="20"/>
  <c r="AC185" i="20"/>
  <c r="AD185" i="20"/>
  <c r="AE185" i="20"/>
  <c r="AF185" i="20"/>
  <c r="AG185" i="20"/>
  <c r="AH185" i="20"/>
  <c r="AI185" i="20"/>
  <c r="AJ185" i="20"/>
  <c r="AK185" i="20"/>
  <c r="AL185" i="20"/>
  <c r="AM185" i="20"/>
  <c r="AN185" i="20"/>
  <c r="F186" i="20"/>
  <c r="G186" i="20"/>
  <c r="H186" i="20"/>
  <c r="I186" i="20"/>
  <c r="J186" i="20"/>
  <c r="K186" i="20"/>
  <c r="L186" i="20"/>
  <c r="N186" i="20"/>
  <c r="O186" i="20"/>
  <c r="P186" i="20"/>
  <c r="Q186" i="20"/>
  <c r="R186" i="20"/>
  <c r="S186" i="20"/>
  <c r="T186" i="20"/>
  <c r="U186" i="20"/>
  <c r="V186" i="20"/>
  <c r="W186" i="20"/>
  <c r="X186" i="20"/>
  <c r="Y186" i="20"/>
  <c r="Z186" i="20"/>
  <c r="AA186" i="20"/>
  <c r="AB186" i="20"/>
  <c r="AC186" i="20"/>
  <c r="AD186" i="20"/>
  <c r="AE186" i="20"/>
  <c r="AF186" i="20"/>
  <c r="AG186" i="20"/>
  <c r="AH186" i="20"/>
  <c r="AI186" i="20"/>
  <c r="AJ186" i="20"/>
  <c r="AK186" i="20"/>
  <c r="AL186" i="20"/>
  <c r="AM186" i="20"/>
  <c r="AN186" i="20"/>
  <c r="F187" i="20"/>
  <c r="G187" i="20"/>
  <c r="H187" i="20"/>
  <c r="I187" i="20"/>
  <c r="J187" i="20"/>
  <c r="K187" i="20"/>
  <c r="L187" i="20"/>
  <c r="N187" i="20"/>
  <c r="O187" i="20"/>
  <c r="P187" i="20"/>
  <c r="Q187" i="20"/>
  <c r="R187" i="20"/>
  <c r="S187" i="20"/>
  <c r="T187" i="20"/>
  <c r="U187" i="20"/>
  <c r="V187" i="20"/>
  <c r="W187" i="20"/>
  <c r="X187" i="20"/>
  <c r="Y187" i="20"/>
  <c r="Z187" i="20"/>
  <c r="AA187" i="20"/>
  <c r="AB187" i="20"/>
  <c r="AC187" i="20"/>
  <c r="AD187" i="20"/>
  <c r="AE187" i="20"/>
  <c r="AF187" i="20"/>
  <c r="AG187" i="20"/>
  <c r="AH187" i="20"/>
  <c r="AI187" i="20"/>
  <c r="AJ187" i="20"/>
  <c r="AK187" i="20"/>
  <c r="AL187" i="20"/>
  <c r="AM187" i="20"/>
  <c r="AN187" i="20"/>
  <c r="F188" i="20"/>
  <c r="G188" i="20"/>
  <c r="H188" i="20"/>
  <c r="I188" i="20"/>
  <c r="J188" i="20"/>
  <c r="K188" i="20"/>
  <c r="L188" i="20"/>
  <c r="N188" i="20"/>
  <c r="O188" i="20"/>
  <c r="P188" i="20"/>
  <c r="Q188" i="20"/>
  <c r="R188" i="20"/>
  <c r="S188" i="20"/>
  <c r="T188" i="20"/>
  <c r="U188" i="20"/>
  <c r="V188" i="20"/>
  <c r="W188" i="20"/>
  <c r="X188" i="20"/>
  <c r="Y188" i="20"/>
  <c r="Z188" i="20"/>
  <c r="AA188" i="20"/>
  <c r="AB188" i="20"/>
  <c r="AC188" i="20"/>
  <c r="AD188" i="20"/>
  <c r="AE188" i="20"/>
  <c r="AF188" i="20"/>
  <c r="AG188" i="20"/>
  <c r="AH188" i="20"/>
  <c r="AI188" i="20"/>
  <c r="AJ188" i="20"/>
  <c r="AK188" i="20"/>
  <c r="AL188" i="20"/>
  <c r="AM188" i="20"/>
  <c r="AN188" i="20"/>
  <c r="F189" i="20"/>
  <c r="G189" i="20"/>
  <c r="H189" i="20"/>
  <c r="I189" i="20"/>
  <c r="J189" i="20"/>
  <c r="K189" i="20"/>
  <c r="L189" i="20"/>
  <c r="N189" i="20"/>
  <c r="O189" i="20"/>
  <c r="P189" i="20"/>
  <c r="Q189" i="20"/>
  <c r="R189" i="20"/>
  <c r="S189" i="20"/>
  <c r="T189" i="20"/>
  <c r="U189" i="20"/>
  <c r="V189" i="20"/>
  <c r="W189" i="20"/>
  <c r="X189" i="20"/>
  <c r="Y189" i="20"/>
  <c r="Z189" i="20"/>
  <c r="AA189" i="20"/>
  <c r="AB189" i="20"/>
  <c r="AC189" i="20"/>
  <c r="AD189" i="20"/>
  <c r="AE189" i="20"/>
  <c r="AF189" i="20"/>
  <c r="AG189" i="20"/>
  <c r="AH189" i="20"/>
  <c r="AI189" i="20"/>
  <c r="AJ189" i="20"/>
  <c r="AK189" i="20"/>
  <c r="AL189" i="20"/>
  <c r="AM189" i="20"/>
  <c r="AN189" i="20"/>
  <c r="F190" i="20"/>
  <c r="G190" i="20"/>
  <c r="H190" i="20"/>
  <c r="I190" i="20"/>
  <c r="J190" i="20"/>
  <c r="K190" i="20"/>
  <c r="L190" i="20"/>
  <c r="N190" i="20"/>
  <c r="O190" i="20"/>
  <c r="P190" i="20"/>
  <c r="Q190" i="20"/>
  <c r="R190" i="20"/>
  <c r="S190" i="20"/>
  <c r="T190" i="20"/>
  <c r="U190" i="20"/>
  <c r="V190" i="20"/>
  <c r="W190" i="20"/>
  <c r="X190" i="20"/>
  <c r="Y190" i="20"/>
  <c r="Z190" i="20"/>
  <c r="AA190" i="20"/>
  <c r="AB190" i="20"/>
  <c r="AC190" i="20"/>
  <c r="AD190" i="20"/>
  <c r="AE190" i="20"/>
  <c r="AF190" i="20"/>
  <c r="AG190" i="20"/>
  <c r="AH190" i="20"/>
  <c r="AI190" i="20"/>
  <c r="AJ190" i="20"/>
  <c r="AK190" i="20"/>
  <c r="AL190" i="20"/>
  <c r="AM190" i="20"/>
  <c r="AN190" i="20"/>
  <c r="F191" i="20"/>
  <c r="G191" i="20"/>
  <c r="H191" i="20"/>
  <c r="I191" i="20"/>
  <c r="J191" i="20"/>
  <c r="K191" i="20"/>
  <c r="L191" i="20"/>
  <c r="N191" i="20"/>
  <c r="O191" i="20"/>
  <c r="P191" i="20"/>
  <c r="Q191" i="20"/>
  <c r="R191" i="20"/>
  <c r="S191" i="20"/>
  <c r="T191" i="20"/>
  <c r="U191" i="20"/>
  <c r="V191" i="20"/>
  <c r="W191" i="20"/>
  <c r="X191" i="20"/>
  <c r="Y191" i="20"/>
  <c r="Z191" i="20"/>
  <c r="AA191" i="20"/>
  <c r="AB191" i="20"/>
  <c r="AC191" i="20"/>
  <c r="AD191" i="20"/>
  <c r="AE191" i="20"/>
  <c r="AF191" i="20"/>
  <c r="AG191" i="20"/>
  <c r="AH191" i="20"/>
  <c r="AI191" i="20"/>
  <c r="AJ191" i="20"/>
  <c r="AK191" i="20"/>
  <c r="AL191" i="20"/>
  <c r="AM191" i="20"/>
  <c r="AN191" i="20"/>
  <c r="F192" i="20"/>
  <c r="G192" i="20"/>
  <c r="H192" i="20"/>
  <c r="I192" i="20"/>
  <c r="J192" i="20"/>
  <c r="K192" i="20"/>
  <c r="L192" i="20"/>
  <c r="N192" i="20"/>
  <c r="O192" i="20"/>
  <c r="P192" i="20"/>
  <c r="Q192" i="20"/>
  <c r="R192" i="20"/>
  <c r="S192" i="20"/>
  <c r="T192" i="20"/>
  <c r="U192" i="20"/>
  <c r="V192" i="20"/>
  <c r="W192" i="20"/>
  <c r="X192" i="20"/>
  <c r="Y192" i="20"/>
  <c r="Z192" i="20"/>
  <c r="AA192" i="20"/>
  <c r="AB192" i="20"/>
  <c r="AC192" i="20"/>
  <c r="AD192" i="20"/>
  <c r="AE192" i="20"/>
  <c r="AF192" i="20"/>
  <c r="AG192" i="20"/>
  <c r="AH192" i="20"/>
  <c r="AI192" i="20"/>
  <c r="AJ192" i="20"/>
  <c r="AK192" i="20"/>
  <c r="AL192" i="20"/>
  <c r="AM192" i="20"/>
  <c r="AN192" i="20"/>
  <c r="F193" i="20"/>
  <c r="G193" i="20"/>
  <c r="H193" i="20"/>
  <c r="I193" i="20"/>
  <c r="J193" i="20"/>
  <c r="K193" i="20"/>
  <c r="L193" i="20"/>
  <c r="N193" i="20"/>
  <c r="O193" i="20"/>
  <c r="P193" i="20"/>
  <c r="Q193" i="20"/>
  <c r="R193" i="20"/>
  <c r="S193" i="20"/>
  <c r="T193" i="20"/>
  <c r="U193" i="20"/>
  <c r="V193" i="20"/>
  <c r="W193" i="20"/>
  <c r="X193" i="20"/>
  <c r="Y193" i="20"/>
  <c r="Z193" i="20"/>
  <c r="AA193" i="20"/>
  <c r="AB193" i="20"/>
  <c r="AC193" i="20"/>
  <c r="AD193" i="20"/>
  <c r="AE193" i="20"/>
  <c r="AF193" i="20"/>
  <c r="AG193" i="20"/>
  <c r="AH193" i="20"/>
  <c r="AI193" i="20"/>
  <c r="AJ193" i="20"/>
  <c r="AK193" i="20"/>
  <c r="AL193" i="20"/>
  <c r="AM193" i="20"/>
  <c r="AN193" i="20"/>
  <c r="F194" i="20"/>
  <c r="G194" i="20"/>
  <c r="H194" i="20"/>
  <c r="I194" i="20"/>
  <c r="J194" i="20"/>
  <c r="K194" i="20"/>
  <c r="L194" i="20"/>
  <c r="N194" i="20"/>
  <c r="O194" i="20"/>
  <c r="P194" i="20"/>
  <c r="Q194" i="20"/>
  <c r="R194" i="20"/>
  <c r="S194" i="20"/>
  <c r="T194" i="20"/>
  <c r="U194" i="20"/>
  <c r="V194" i="20"/>
  <c r="W194" i="20"/>
  <c r="X194" i="20"/>
  <c r="Y194" i="20"/>
  <c r="Z194" i="20"/>
  <c r="AA194" i="20"/>
  <c r="AB194" i="20"/>
  <c r="AC194" i="20"/>
  <c r="AD194" i="20"/>
  <c r="AE194" i="20"/>
  <c r="AF194" i="20"/>
  <c r="AG194" i="20"/>
  <c r="AH194" i="20"/>
  <c r="AI194" i="20"/>
  <c r="AJ194" i="20"/>
  <c r="AK194" i="20"/>
  <c r="AL194" i="20"/>
  <c r="AM194" i="20"/>
  <c r="AN194" i="20"/>
  <c r="F195" i="20"/>
  <c r="G195" i="20"/>
  <c r="H195" i="20"/>
  <c r="I195" i="20"/>
  <c r="J195" i="20"/>
  <c r="K195" i="20"/>
  <c r="L195" i="20"/>
  <c r="N195" i="20"/>
  <c r="O195" i="20"/>
  <c r="P195" i="20"/>
  <c r="Q195" i="20"/>
  <c r="R195" i="20"/>
  <c r="S195" i="20"/>
  <c r="T195" i="20"/>
  <c r="U195" i="20"/>
  <c r="V195" i="20"/>
  <c r="W195" i="20"/>
  <c r="X195" i="20"/>
  <c r="Y195" i="20"/>
  <c r="Z195" i="20"/>
  <c r="AA195" i="20"/>
  <c r="AB195" i="20"/>
  <c r="AC195" i="20"/>
  <c r="AD195" i="20"/>
  <c r="AE195" i="20"/>
  <c r="AF195" i="20"/>
  <c r="AG195" i="20"/>
  <c r="AH195" i="20"/>
  <c r="AI195" i="20"/>
  <c r="AJ195" i="20"/>
  <c r="AK195" i="20"/>
  <c r="AL195" i="20"/>
  <c r="AM195" i="20"/>
  <c r="AN195" i="20"/>
  <c r="F196" i="20"/>
  <c r="G196" i="20"/>
  <c r="H196" i="20"/>
  <c r="I196" i="20"/>
  <c r="J196" i="20"/>
  <c r="K196" i="20"/>
  <c r="L196" i="20"/>
  <c r="N196" i="20"/>
  <c r="O196" i="20"/>
  <c r="P196" i="20"/>
  <c r="Q196" i="20"/>
  <c r="R196" i="20"/>
  <c r="S196" i="20"/>
  <c r="T196" i="20"/>
  <c r="U196" i="20"/>
  <c r="V196" i="20"/>
  <c r="W196" i="20"/>
  <c r="X196" i="20"/>
  <c r="Y196" i="20"/>
  <c r="Z196" i="20"/>
  <c r="AA196" i="20"/>
  <c r="AB196" i="20"/>
  <c r="AC196" i="20"/>
  <c r="AD196" i="20"/>
  <c r="AE196" i="20"/>
  <c r="AF196" i="20"/>
  <c r="AG196" i="20"/>
  <c r="AH196" i="20"/>
  <c r="AI196" i="20"/>
  <c r="AJ196" i="20"/>
  <c r="AK196" i="20"/>
  <c r="AL196" i="20"/>
  <c r="AM196" i="20"/>
  <c r="AN196" i="20"/>
  <c r="F197" i="20"/>
  <c r="G197" i="20"/>
  <c r="H197" i="20"/>
  <c r="I197" i="20"/>
  <c r="J197" i="20"/>
  <c r="K197" i="20"/>
  <c r="L197" i="20"/>
  <c r="N197" i="20"/>
  <c r="O197" i="20"/>
  <c r="P197" i="20"/>
  <c r="Q197" i="20"/>
  <c r="R197" i="20"/>
  <c r="S197" i="20"/>
  <c r="T197" i="20"/>
  <c r="U197" i="20"/>
  <c r="V197" i="20"/>
  <c r="W197" i="20"/>
  <c r="X197" i="20"/>
  <c r="Y197" i="20"/>
  <c r="Z197" i="20"/>
  <c r="AA197" i="20"/>
  <c r="AB197" i="20"/>
  <c r="AC197" i="20"/>
  <c r="AD197" i="20"/>
  <c r="AE197" i="20"/>
  <c r="AF197" i="20"/>
  <c r="AG197" i="20"/>
  <c r="AH197" i="20"/>
  <c r="AI197" i="20"/>
  <c r="AJ197" i="20"/>
  <c r="AK197" i="20"/>
  <c r="AL197" i="20"/>
  <c r="AM197" i="20"/>
  <c r="AN197" i="20"/>
  <c r="F198" i="20"/>
  <c r="G198" i="20"/>
  <c r="H198" i="20"/>
  <c r="I198" i="20"/>
  <c r="J198" i="20"/>
  <c r="K198" i="20"/>
  <c r="L198" i="20"/>
  <c r="N198" i="20"/>
  <c r="O198" i="20"/>
  <c r="P198" i="20"/>
  <c r="Q198" i="20"/>
  <c r="R198" i="20"/>
  <c r="S198" i="20"/>
  <c r="T198" i="20"/>
  <c r="U198" i="20"/>
  <c r="V198" i="20"/>
  <c r="W198" i="20"/>
  <c r="X198" i="20"/>
  <c r="Y198" i="20"/>
  <c r="Z198" i="20"/>
  <c r="AA198" i="20"/>
  <c r="AB198" i="20"/>
  <c r="AC198" i="20"/>
  <c r="AD198" i="20"/>
  <c r="AE198" i="20"/>
  <c r="AF198" i="20"/>
  <c r="AG198" i="20"/>
  <c r="AH198" i="20"/>
  <c r="AI198" i="20"/>
  <c r="AJ198" i="20"/>
  <c r="AK198" i="20"/>
  <c r="AL198" i="20"/>
  <c r="AM198" i="20"/>
  <c r="AN198" i="20"/>
  <c r="F199" i="20"/>
  <c r="G199" i="20"/>
  <c r="H199" i="20"/>
  <c r="I199" i="20"/>
  <c r="J199" i="20"/>
  <c r="K199" i="20"/>
  <c r="L199" i="20"/>
  <c r="N199" i="20"/>
  <c r="O199" i="20"/>
  <c r="P199" i="20"/>
  <c r="Q199" i="20"/>
  <c r="R199" i="20"/>
  <c r="S199" i="20"/>
  <c r="T199" i="20"/>
  <c r="U199" i="20"/>
  <c r="V199" i="20"/>
  <c r="W199" i="20"/>
  <c r="X199" i="20"/>
  <c r="Y199" i="20"/>
  <c r="Z199" i="20"/>
  <c r="AA199" i="20"/>
  <c r="AB199" i="20"/>
  <c r="AC199" i="20"/>
  <c r="AD199" i="20"/>
  <c r="AE199" i="20"/>
  <c r="AF199" i="20"/>
  <c r="AG199" i="20"/>
  <c r="AH199" i="20"/>
  <c r="AI199" i="20"/>
  <c r="AJ199" i="20"/>
  <c r="AK199" i="20"/>
  <c r="AL199" i="20"/>
  <c r="AM199" i="20"/>
  <c r="AN199" i="20"/>
  <c r="F200" i="20"/>
  <c r="G200" i="20"/>
  <c r="H200" i="20"/>
  <c r="I200" i="20"/>
  <c r="J200" i="20"/>
  <c r="K200" i="20"/>
  <c r="L200" i="20"/>
  <c r="N200" i="20"/>
  <c r="O200" i="20"/>
  <c r="P200" i="20"/>
  <c r="Q200" i="20"/>
  <c r="R200" i="20"/>
  <c r="S200" i="20"/>
  <c r="T200" i="20"/>
  <c r="U200" i="20"/>
  <c r="V200" i="20"/>
  <c r="W200" i="20"/>
  <c r="X200" i="20"/>
  <c r="Y200" i="20"/>
  <c r="Z200" i="20"/>
  <c r="AA200" i="20"/>
  <c r="AB200" i="20"/>
  <c r="AC200" i="20"/>
  <c r="AD200" i="20"/>
  <c r="AE200" i="20"/>
  <c r="AF200" i="20"/>
  <c r="AG200" i="20"/>
  <c r="AH200" i="20"/>
  <c r="AI200" i="20"/>
  <c r="AJ200" i="20"/>
  <c r="AK200" i="20"/>
  <c r="AL200" i="20"/>
  <c r="AM200" i="20"/>
  <c r="AN200" i="20"/>
  <c r="F201" i="20"/>
  <c r="G201" i="20"/>
  <c r="H201" i="20"/>
  <c r="I201" i="20"/>
  <c r="J201" i="20"/>
  <c r="K201" i="20"/>
  <c r="L201" i="20"/>
  <c r="N201" i="20"/>
  <c r="O201" i="20"/>
  <c r="P201" i="20"/>
  <c r="Q201" i="20"/>
  <c r="R201" i="20"/>
  <c r="S201" i="20"/>
  <c r="T201" i="20"/>
  <c r="U201" i="20"/>
  <c r="V201" i="20"/>
  <c r="W201" i="20"/>
  <c r="X201" i="20"/>
  <c r="Y201" i="20"/>
  <c r="Z201" i="20"/>
  <c r="AA201" i="20"/>
  <c r="AB201" i="20"/>
  <c r="AC201" i="20"/>
  <c r="AD201" i="20"/>
  <c r="AE201" i="20"/>
  <c r="AF201" i="20"/>
  <c r="AG201" i="20"/>
  <c r="AH201" i="20"/>
  <c r="AI201" i="20"/>
  <c r="AJ201" i="20"/>
  <c r="AK201" i="20"/>
  <c r="AL201" i="20"/>
  <c r="AM201" i="20"/>
  <c r="AN201" i="20"/>
  <c r="F202" i="20"/>
  <c r="G202" i="20"/>
  <c r="H202" i="20"/>
  <c r="I202" i="20"/>
  <c r="J202" i="20"/>
  <c r="K202" i="20"/>
  <c r="L202" i="20"/>
  <c r="N202" i="20"/>
  <c r="O202" i="20"/>
  <c r="P202" i="20"/>
  <c r="Q202" i="20"/>
  <c r="R202" i="20"/>
  <c r="S202" i="20"/>
  <c r="T202" i="20"/>
  <c r="U202" i="20"/>
  <c r="V202" i="20"/>
  <c r="W202" i="20"/>
  <c r="X202" i="20"/>
  <c r="Y202" i="20"/>
  <c r="Z202" i="20"/>
  <c r="AA202" i="20"/>
  <c r="AB202" i="20"/>
  <c r="AC202" i="20"/>
  <c r="AD202" i="20"/>
  <c r="AE202" i="20"/>
  <c r="AF202" i="20"/>
  <c r="AG202" i="20"/>
  <c r="AH202" i="20"/>
  <c r="AI202" i="20"/>
  <c r="AJ202" i="20"/>
  <c r="AK202" i="20"/>
  <c r="AL202" i="20"/>
  <c r="AM202" i="20"/>
  <c r="AN202" i="20"/>
  <c r="F203" i="20"/>
  <c r="G203" i="20"/>
  <c r="H203" i="20"/>
  <c r="I203" i="20"/>
  <c r="J203" i="20"/>
  <c r="K203" i="20"/>
  <c r="L203" i="20"/>
  <c r="N203" i="20"/>
  <c r="O203" i="20"/>
  <c r="P203" i="20"/>
  <c r="Q203" i="20"/>
  <c r="R203" i="20"/>
  <c r="S203" i="20"/>
  <c r="T203" i="20"/>
  <c r="U203" i="20"/>
  <c r="V203" i="20"/>
  <c r="W203" i="20"/>
  <c r="X203" i="20"/>
  <c r="Y203" i="20"/>
  <c r="Z203" i="20"/>
  <c r="AA203" i="20"/>
  <c r="AB203" i="20"/>
  <c r="AC203" i="20"/>
  <c r="AD203" i="20"/>
  <c r="AE203" i="20"/>
  <c r="AF203" i="20"/>
  <c r="AG203" i="20"/>
  <c r="AH203" i="20"/>
  <c r="AI203" i="20"/>
  <c r="AJ203" i="20"/>
  <c r="AK203" i="20"/>
  <c r="AL203" i="20"/>
  <c r="AM203" i="20"/>
  <c r="AN203" i="20"/>
  <c r="F204" i="20"/>
  <c r="G204" i="20"/>
  <c r="H204" i="20"/>
  <c r="I204" i="20"/>
  <c r="J204" i="20"/>
  <c r="K204" i="20"/>
  <c r="L204" i="20"/>
  <c r="N204" i="20"/>
  <c r="O204" i="20"/>
  <c r="P204" i="20"/>
  <c r="Q204" i="20"/>
  <c r="R204" i="20"/>
  <c r="S204" i="20"/>
  <c r="T204" i="20"/>
  <c r="U204" i="20"/>
  <c r="V204" i="20"/>
  <c r="W204" i="20"/>
  <c r="X204" i="20"/>
  <c r="Y204" i="20"/>
  <c r="Z204" i="20"/>
  <c r="AA204" i="20"/>
  <c r="AB204" i="20"/>
  <c r="AC204" i="20"/>
  <c r="AD204" i="20"/>
  <c r="AE204" i="20"/>
  <c r="AF204" i="20"/>
  <c r="AG204" i="20"/>
  <c r="AH204" i="20"/>
  <c r="AI204" i="20"/>
  <c r="AJ204" i="20"/>
  <c r="AK204" i="20"/>
  <c r="AL204" i="20"/>
  <c r="AM204" i="20"/>
  <c r="AN204" i="20"/>
  <c r="F205" i="20"/>
  <c r="G205" i="20"/>
  <c r="H205" i="20"/>
  <c r="I205" i="20"/>
  <c r="J205" i="20"/>
  <c r="K205" i="20"/>
  <c r="L205" i="20"/>
  <c r="N205" i="20"/>
  <c r="O205" i="20"/>
  <c r="P205" i="20"/>
  <c r="Q205" i="20"/>
  <c r="R205" i="20"/>
  <c r="S205" i="20"/>
  <c r="T205" i="20"/>
  <c r="U205" i="20"/>
  <c r="V205" i="20"/>
  <c r="W205" i="20"/>
  <c r="X205" i="20"/>
  <c r="Y205" i="20"/>
  <c r="Z205" i="20"/>
  <c r="AA205" i="20"/>
  <c r="AB205" i="20"/>
  <c r="AC205" i="20"/>
  <c r="AD205" i="20"/>
  <c r="AE205" i="20"/>
  <c r="AF205" i="20"/>
  <c r="AG205" i="20"/>
  <c r="AH205" i="20"/>
  <c r="AI205" i="20"/>
  <c r="AJ205" i="20"/>
  <c r="AK205" i="20"/>
  <c r="AL205" i="20"/>
  <c r="AM205" i="20"/>
  <c r="AN205" i="20"/>
  <c r="F206" i="20"/>
  <c r="G206" i="20"/>
  <c r="H206" i="20"/>
  <c r="I206" i="20"/>
  <c r="J206" i="20"/>
  <c r="K206" i="20"/>
  <c r="L206" i="20"/>
  <c r="N206" i="20"/>
  <c r="O206" i="20"/>
  <c r="P206" i="20"/>
  <c r="Q206" i="20"/>
  <c r="R206" i="20"/>
  <c r="S206" i="20"/>
  <c r="T206" i="20"/>
  <c r="U206" i="20"/>
  <c r="V206" i="20"/>
  <c r="W206" i="20"/>
  <c r="X206" i="20"/>
  <c r="Y206" i="20"/>
  <c r="Z206" i="20"/>
  <c r="AA206" i="20"/>
  <c r="AB206" i="20"/>
  <c r="AC206" i="20"/>
  <c r="AD206" i="20"/>
  <c r="AE206" i="20"/>
  <c r="AF206" i="20"/>
  <c r="AG206" i="20"/>
  <c r="AH206" i="20"/>
  <c r="AI206" i="20"/>
  <c r="AJ206" i="20"/>
  <c r="AK206" i="20"/>
  <c r="AL206" i="20"/>
  <c r="AM206" i="20"/>
  <c r="AN206" i="20"/>
  <c r="F207" i="20"/>
  <c r="G207" i="20"/>
  <c r="H207" i="20"/>
  <c r="I207" i="20"/>
  <c r="J207" i="20"/>
  <c r="K207" i="20"/>
  <c r="L207" i="20"/>
  <c r="N207" i="20"/>
  <c r="O207" i="20"/>
  <c r="P207" i="20"/>
  <c r="Q207" i="20"/>
  <c r="R207" i="20"/>
  <c r="S207" i="20"/>
  <c r="T207" i="20"/>
  <c r="U207" i="20"/>
  <c r="V207" i="20"/>
  <c r="W207" i="20"/>
  <c r="X207" i="20"/>
  <c r="Y207" i="20"/>
  <c r="Z207" i="20"/>
  <c r="AA207" i="20"/>
  <c r="AB207" i="20"/>
  <c r="AC207" i="20"/>
  <c r="AD207" i="20"/>
  <c r="AE207" i="20"/>
  <c r="AF207" i="20"/>
  <c r="AG207" i="20"/>
  <c r="AH207" i="20"/>
  <c r="AI207" i="20"/>
  <c r="AJ207" i="20"/>
  <c r="AK207" i="20"/>
  <c r="AL207" i="20"/>
  <c r="AM207" i="20"/>
  <c r="AN207" i="20"/>
  <c r="F208" i="20"/>
  <c r="G208" i="20"/>
  <c r="H208" i="20"/>
  <c r="I208" i="20"/>
  <c r="J208" i="20"/>
  <c r="K208" i="20"/>
  <c r="L208" i="20"/>
  <c r="N208" i="20"/>
  <c r="O208" i="20"/>
  <c r="P208" i="20"/>
  <c r="Q208" i="20"/>
  <c r="R208" i="20"/>
  <c r="S208" i="20"/>
  <c r="T208" i="20"/>
  <c r="U208" i="20"/>
  <c r="V208" i="20"/>
  <c r="W208" i="20"/>
  <c r="X208" i="20"/>
  <c r="Y208" i="20"/>
  <c r="Z208" i="20"/>
  <c r="AA208" i="20"/>
  <c r="AB208" i="20"/>
  <c r="AC208" i="20"/>
  <c r="AD208" i="20"/>
  <c r="AE208" i="20"/>
  <c r="AF208" i="20"/>
  <c r="AG208" i="20"/>
  <c r="AH208" i="20"/>
  <c r="AI208" i="20"/>
  <c r="AJ208" i="20"/>
  <c r="AK208" i="20"/>
  <c r="AL208" i="20"/>
  <c r="AM208" i="20"/>
  <c r="AN208" i="20"/>
  <c r="F209" i="20"/>
  <c r="G209" i="20"/>
  <c r="H209" i="20"/>
  <c r="I209" i="20"/>
  <c r="J209" i="20"/>
  <c r="K209" i="20"/>
  <c r="L209" i="20"/>
  <c r="N209" i="20"/>
  <c r="O209" i="20"/>
  <c r="P209" i="20"/>
  <c r="Q209" i="20"/>
  <c r="R209" i="20"/>
  <c r="S209" i="20"/>
  <c r="T209" i="20"/>
  <c r="U209" i="20"/>
  <c r="V209" i="20"/>
  <c r="W209" i="20"/>
  <c r="X209" i="20"/>
  <c r="Y209" i="20"/>
  <c r="Z209" i="20"/>
  <c r="AA209" i="20"/>
  <c r="AB209" i="20"/>
  <c r="AC209" i="20"/>
  <c r="AD209" i="20"/>
  <c r="AE209" i="20"/>
  <c r="AF209" i="20"/>
  <c r="AG209" i="20"/>
  <c r="AH209" i="20"/>
  <c r="AI209" i="20"/>
  <c r="AJ209" i="20"/>
  <c r="AK209" i="20"/>
  <c r="AL209" i="20"/>
  <c r="AM209" i="20"/>
  <c r="AN209" i="20"/>
  <c r="F210" i="20"/>
  <c r="G210" i="20"/>
  <c r="H210" i="20"/>
  <c r="I210" i="20"/>
  <c r="J210" i="20"/>
  <c r="K210" i="20"/>
  <c r="L210" i="20"/>
  <c r="N210" i="20"/>
  <c r="O210" i="20"/>
  <c r="P210" i="20"/>
  <c r="Q210" i="20"/>
  <c r="R210" i="20"/>
  <c r="S210" i="20"/>
  <c r="T210" i="20"/>
  <c r="U210" i="20"/>
  <c r="V210" i="20"/>
  <c r="W210" i="20"/>
  <c r="X210" i="20"/>
  <c r="Y210" i="20"/>
  <c r="Z210" i="20"/>
  <c r="AA210" i="20"/>
  <c r="AB210" i="20"/>
  <c r="AC210" i="20"/>
  <c r="AD210" i="20"/>
  <c r="AE210" i="20"/>
  <c r="AF210" i="20"/>
  <c r="AG210" i="20"/>
  <c r="AH210" i="20"/>
  <c r="AI210" i="20"/>
  <c r="AJ210" i="20"/>
  <c r="AK210" i="20"/>
  <c r="AL210" i="20"/>
  <c r="AM210" i="20"/>
  <c r="AN210" i="20"/>
  <c r="F211" i="20"/>
  <c r="G211" i="20"/>
  <c r="H211" i="20"/>
  <c r="I211" i="20"/>
  <c r="J211" i="20"/>
  <c r="K211" i="20"/>
  <c r="L211" i="20"/>
  <c r="N211" i="20"/>
  <c r="O211" i="20"/>
  <c r="P211" i="20"/>
  <c r="Q211" i="20"/>
  <c r="R211" i="20"/>
  <c r="S211" i="20"/>
  <c r="T211" i="20"/>
  <c r="U211" i="20"/>
  <c r="V211" i="20"/>
  <c r="W211" i="20"/>
  <c r="X211" i="20"/>
  <c r="Y211" i="20"/>
  <c r="Z211" i="20"/>
  <c r="AA211" i="20"/>
  <c r="AB211" i="20"/>
  <c r="AC211" i="20"/>
  <c r="AD211" i="20"/>
  <c r="AE211" i="20"/>
  <c r="AF211" i="20"/>
  <c r="AG211" i="20"/>
  <c r="AH211" i="20"/>
  <c r="AI211" i="20"/>
  <c r="AJ211" i="20"/>
  <c r="AK211" i="20"/>
  <c r="AL211" i="20"/>
  <c r="AM211" i="20"/>
  <c r="AN211" i="20"/>
  <c r="F212" i="20"/>
  <c r="G212" i="20"/>
  <c r="H212" i="20"/>
  <c r="I212" i="20"/>
  <c r="J212" i="20"/>
  <c r="K212" i="20"/>
  <c r="L212" i="20"/>
  <c r="N212" i="20"/>
  <c r="O212" i="20"/>
  <c r="P212" i="20"/>
  <c r="Q212" i="20"/>
  <c r="R212" i="20"/>
  <c r="S212" i="20"/>
  <c r="T212" i="20"/>
  <c r="U212" i="20"/>
  <c r="V212" i="20"/>
  <c r="W212" i="20"/>
  <c r="X212" i="20"/>
  <c r="Y212" i="20"/>
  <c r="Z212" i="20"/>
  <c r="AA212" i="20"/>
  <c r="AB212" i="20"/>
  <c r="AC212" i="20"/>
  <c r="AD212" i="20"/>
  <c r="AE212" i="20"/>
  <c r="AF212" i="20"/>
  <c r="AG212" i="20"/>
  <c r="AH212" i="20"/>
  <c r="AI212" i="20"/>
  <c r="AJ212" i="20"/>
  <c r="AK212" i="20"/>
  <c r="AL212" i="20"/>
  <c r="AM212" i="20"/>
  <c r="AN212" i="20"/>
  <c r="F213" i="20"/>
  <c r="G213" i="20"/>
  <c r="H213" i="20"/>
  <c r="I213" i="20"/>
  <c r="J213" i="20"/>
  <c r="K213" i="20"/>
  <c r="L213" i="20"/>
  <c r="N213" i="20"/>
  <c r="O213" i="20"/>
  <c r="P213" i="20"/>
  <c r="Q213" i="20"/>
  <c r="R213" i="20"/>
  <c r="S213" i="20"/>
  <c r="T213" i="20"/>
  <c r="U213" i="20"/>
  <c r="V213" i="20"/>
  <c r="W213" i="20"/>
  <c r="X213" i="20"/>
  <c r="Y213" i="20"/>
  <c r="Z213" i="20"/>
  <c r="AA213" i="20"/>
  <c r="AB213" i="20"/>
  <c r="AC213" i="20"/>
  <c r="AD213" i="20"/>
  <c r="AE213" i="20"/>
  <c r="AF213" i="20"/>
  <c r="AG213" i="20"/>
  <c r="AH213" i="20"/>
  <c r="AI213" i="20"/>
  <c r="AJ213" i="20"/>
  <c r="AK213" i="20"/>
  <c r="AL213" i="20"/>
  <c r="AM213" i="20"/>
  <c r="AN213" i="20"/>
  <c r="F214" i="20"/>
  <c r="G214" i="20"/>
  <c r="H214" i="20"/>
  <c r="I214" i="20"/>
  <c r="J214" i="20"/>
  <c r="K214" i="20"/>
  <c r="L214" i="20"/>
  <c r="N214" i="20"/>
  <c r="O214" i="20"/>
  <c r="P214" i="20"/>
  <c r="Q214" i="20"/>
  <c r="R214" i="20"/>
  <c r="S214" i="20"/>
  <c r="T214" i="20"/>
  <c r="U214" i="20"/>
  <c r="V214" i="20"/>
  <c r="W214" i="20"/>
  <c r="X214" i="20"/>
  <c r="Y214" i="20"/>
  <c r="Z214" i="20"/>
  <c r="AA214" i="20"/>
  <c r="AB214" i="20"/>
  <c r="AC214" i="20"/>
  <c r="AD214" i="20"/>
  <c r="AE214" i="20"/>
  <c r="AF214" i="20"/>
  <c r="AG214" i="20"/>
  <c r="AH214" i="20"/>
  <c r="AI214" i="20"/>
  <c r="AJ214" i="20"/>
  <c r="AK214" i="20"/>
  <c r="AL214" i="20"/>
  <c r="AM214" i="20"/>
  <c r="AN214" i="20"/>
  <c r="F215" i="20"/>
  <c r="G215" i="20"/>
  <c r="H215" i="20"/>
  <c r="I215" i="20"/>
  <c r="J215" i="20"/>
  <c r="K215" i="20"/>
  <c r="L215" i="20"/>
  <c r="N215" i="20"/>
  <c r="O215" i="20"/>
  <c r="P215" i="20"/>
  <c r="Q215" i="20"/>
  <c r="R215" i="20"/>
  <c r="S215" i="20"/>
  <c r="T215" i="20"/>
  <c r="U215" i="20"/>
  <c r="V215" i="20"/>
  <c r="W215" i="20"/>
  <c r="X215" i="20"/>
  <c r="Y215" i="20"/>
  <c r="Z215" i="20"/>
  <c r="AA215" i="20"/>
  <c r="AB215" i="20"/>
  <c r="AC215" i="20"/>
  <c r="AD215" i="20"/>
  <c r="AE215" i="20"/>
  <c r="AF215" i="20"/>
  <c r="AG215" i="20"/>
  <c r="AH215" i="20"/>
  <c r="AI215" i="20"/>
  <c r="AJ215" i="20"/>
  <c r="AK215" i="20"/>
  <c r="AL215" i="20"/>
  <c r="AM215" i="20"/>
  <c r="AN215" i="20"/>
  <c r="F216" i="20"/>
  <c r="G216" i="20"/>
  <c r="H216" i="20"/>
  <c r="I216" i="20"/>
  <c r="J216" i="20"/>
  <c r="K216" i="20"/>
  <c r="L216" i="20"/>
  <c r="N216" i="20"/>
  <c r="O216" i="20"/>
  <c r="P216" i="20"/>
  <c r="Q216" i="20"/>
  <c r="R216" i="20"/>
  <c r="S216" i="20"/>
  <c r="T216" i="20"/>
  <c r="U216" i="20"/>
  <c r="V216" i="20"/>
  <c r="W216" i="20"/>
  <c r="X216" i="20"/>
  <c r="Y216" i="20"/>
  <c r="Z216" i="20"/>
  <c r="AA216" i="20"/>
  <c r="AB216" i="20"/>
  <c r="AC216" i="20"/>
  <c r="AD216" i="20"/>
  <c r="AE216" i="20"/>
  <c r="AF216" i="20"/>
  <c r="AG216" i="20"/>
  <c r="AH216" i="20"/>
  <c r="AI216" i="20"/>
  <c r="AJ216" i="20"/>
  <c r="AK216" i="20"/>
  <c r="AL216" i="20"/>
  <c r="AM216" i="20"/>
  <c r="AN216" i="20"/>
  <c r="F217" i="20"/>
  <c r="G217" i="20"/>
  <c r="H217" i="20"/>
  <c r="I217" i="20"/>
  <c r="J217" i="20"/>
  <c r="K217" i="20"/>
  <c r="L217" i="20"/>
  <c r="N217" i="20"/>
  <c r="O217" i="20"/>
  <c r="P217" i="20"/>
  <c r="Q217" i="20"/>
  <c r="R217" i="20"/>
  <c r="S217" i="20"/>
  <c r="T217" i="20"/>
  <c r="U217" i="20"/>
  <c r="V217" i="20"/>
  <c r="W217" i="20"/>
  <c r="X217" i="20"/>
  <c r="Y217" i="20"/>
  <c r="Z217" i="20"/>
  <c r="AA217" i="20"/>
  <c r="AB217" i="20"/>
  <c r="AC217" i="20"/>
  <c r="AD217" i="20"/>
  <c r="AE217" i="20"/>
  <c r="AF217" i="20"/>
  <c r="AG217" i="20"/>
  <c r="AH217" i="20"/>
  <c r="AI217" i="20"/>
  <c r="AJ217" i="20"/>
  <c r="AK217" i="20"/>
  <c r="AL217" i="20"/>
  <c r="AM217" i="20"/>
  <c r="AN217" i="20"/>
  <c r="F218" i="20"/>
  <c r="G218" i="20"/>
  <c r="H218" i="20"/>
  <c r="I218" i="20"/>
  <c r="J218" i="20"/>
  <c r="K218" i="20"/>
  <c r="L218" i="20"/>
  <c r="N218" i="20"/>
  <c r="O218" i="20"/>
  <c r="P218" i="20"/>
  <c r="Q218" i="20"/>
  <c r="R218" i="20"/>
  <c r="S218" i="20"/>
  <c r="T218" i="20"/>
  <c r="U218" i="20"/>
  <c r="V218" i="20"/>
  <c r="W218" i="20"/>
  <c r="X218" i="20"/>
  <c r="Y218" i="20"/>
  <c r="Z218" i="20"/>
  <c r="AA218" i="20"/>
  <c r="AB218" i="20"/>
  <c r="AC218" i="20"/>
  <c r="AD218" i="20"/>
  <c r="AE218" i="20"/>
  <c r="AF218" i="20"/>
  <c r="AG218" i="20"/>
  <c r="AH218" i="20"/>
  <c r="AI218" i="20"/>
  <c r="AJ218" i="20"/>
  <c r="AK218" i="20"/>
  <c r="AL218" i="20"/>
  <c r="AM218" i="20"/>
  <c r="AN218" i="20"/>
  <c r="F219" i="20"/>
  <c r="G219" i="20"/>
  <c r="H219" i="20"/>
  <c r="I219" i="20"/>
  <c r="J219" i="20"/>
  <c r="K219" i="20"/>
  <c r="L219" i="20"/>
  <c r="N219" i="20"/>
  <c r="O219" i="20"/>
  <c r="P219" i="20"/>
  <c r="Q219" i="20"/>
  <c r="R219" i="20"/>
  <c r="S219" i="20"/>
  <c r="T219" i="20"/>
  <c r="U219" i="20"/>
  <c r="V219" i="20"/>
  <c r="W219" i="20"/>
  <c r="X219" i="20"/>
  <c r="Y219" i="20"/>
  <c r="Z219" i="20"/>
  <c r="AA219" i="20"/>
  <c r="AB219" i="20"/>
  <c r="AC219" i="20"/>
  <c r="AD219" i="20"/>
  <c r="AE219" i="20"/>
  <c r="AF219" i="20"/>
  <c r="AG219" i="20"/>
  <c r="AH219" i="20"/>
  <c r="AI219" i="20"/>
  <c r="AJ219" i="20"/>
  <c r="AK219" i="20"/>
  <c r="AL219" i="20"/>
  <c r="AM219" i="20"/>
  <c r="AN219" i="20"/>
  <c r="F220" i="20"/>
  <c r="G220" i="20"/>
  <c r="H220" i="20"/>
  <c r="I220" i="20"/>
  <c r="J220" i="20"/>
  <c r="K220" i="20"/>
  <c r="L220" i="20"/>
  <c r="N220" i="20"/>
  <c r="O220" i="20"/>
  <c r="P220" i="20"/>
  <c r="Q220" i="20"/>
  <c r="R220" i="20"/>
  <c r="S220" i="20"/>
  <c r="T220" i="20"/>
  <c r="U220" i="20"/>
  <c r="V220" i="20"/>
  <c r="W220" i="20"/>
  <c r="X220" i="20"/>
  <c r="Y220" i="20"/>
  <c r="Z220" i="20"/>
  <c r="AA220" i="20"/>
  <c r="AB220" i="20"/>
  <c r="AC220" i="20"/>
  <c r="AD220" i="20"/>
  <c r="AE220" i="20"/>
  <c r="AF220" i="20"/>
  <c r="AG220" i="20"/>
  <c r="AH220" i="20"/>
  <c r="AI220" i="20"/>
  <c r="AJ220" i="20"/>
  <c r="AK220" i="20"/>
  <c r="AL220" i="20"/>
  <c r="AM220" i="20"/>
  <c r="AN220" i="20"/>
  <c r="F221" i="20"/>
  <c r="G221" i="20"/>
  <c r="H221" i="20"/>
  <c r="I221" i="20"/>
  <c r="J221" i="20"/>
  <c r="K221" i="20"/>
  <c r="L221" i="20"/>
  <c r="N221" i="20"/>
  <c r="O221" i="20"/>
  <c r="P221" i="20"/>
  <c r="Q221" i="20"/>
  <c r="R221" i="20"/>
  <c r="S221" i="20"/>
  <c r="T221" i="20"/>
  <c r="U221" i="20"/>
  <c r="V221" i="20"/>
  <c r="W221" i="20"/>
  <c r="X221" i="20"/>
  <c r="Y221" i="20"/>
  <c r="Z221" i="20"/>
  <c r="AA221" i="20"/>
  <c r="AB221" i="20"/>
  <c r="AC221" i="20"/>
  <c r="AD221" i="20"/>
  <c r="AE221" i="20"/>
  <c r="AF221" i="20"/>
  <c r="AG221" i="20"/>
  <c r="AH221" i="20"/>
  <c r="AI221" i="20"/>
  <c r="AJ221" i="20"/>
  <c r="AK221" i="20"/>
  <c r="AL221" i="20"/>
  <c r="AM221" i="20"/>
  <c r="AN221" i="20"/>
  <c r="F222" i="20"/>
  <c r="G222" i="20"/>
  <c r="H222" i="20"/>
  <c r="I222" i="20"/>
  <c r="J222" i="20"/>
  <c r="K222" i="20"/>
  <c r="L222" i="20"/>
  <c r="N222" i="20"/>
  <c r="O222" i="20"/>
  <c r="P222" i="20"/>
  <c r="Q222" i="20"/>
  <c r="R222" i="20"/>
  <c r="S222" i="20"/>
  <c r="T222" i="20"/>
  <c r="U222" i="20"/>
  <c r="V222" i="20"/>
  <c r="W222" i="20"/>
  <c r="X222" i="20"/>
  <c r="Y222" i="20"/>
  <c r="Z222" i="20"/>
  <c r="AA222" i="20"/>
  <c r="AB222" i="20"/>
  <c r="AC222" i="20"/>
  <c r="AD222" i="20"/>
  <c r="AE222" i="20"/>
  <c r="AF222" i="20"/>
  <c r="AG222" i="20"/>
  <c r="AH222" i="20"/>
  <c r="AI222" i="20"/>
  <c r="AJ222" i="20"/>
  <c r="AK222" i="20"/>
  <c r="AL222" i="20"/>
  <c r="AM222" i="20"/>
  <c r="AN222" i="20"/>
  <c r="F223" i="20"/>
  <c r="G223" i="20"/>
  <c r="H223" i="20"/>
  <c r="I223" i="20"/>
  <c r="J223" i="20"/>
  <c r="K223" i="20"/>
  <c r="L223" i="20"/>
  <c r="N223" i="20"/>
  <c r="O223" i="20"/>
  <c r="P223" i="20"/>
  <c r="Q223" i="20"/>
  <c r="R223" i="20"/>
  <c r="S223" i="20"/>
  <c r="T223" i="20"/>
  <c r="U223" i="20"/>
  <c r="V223" i="20"/>
  <c r="W223" i="20"/>
  <c r="X223" i="20"/>
  <c r="Y223" i="20"/>
  <c r="Z223" i="20"/>
  <c r="AA223" i="20"/>
  <c r="AB223" i="20"/>
  <c r="AC223" i="20"/>
  <c r="AD223" i="20"/>
  <c r="AE223" i="20"/>
  <c r="AF223" i="20"/>
  <c r="AG223" i="20"/>
  <c r="AH223" i="20"/>
  <c r="AI223" i="20"/>
  <c r="AJ223" i="20"/>
  <c r="AK223" i="20"/>
  <c r="AL223" i="20"/>
  <c r="AM223" i="20"/>
  <c r="AN223" i="20"/>
  <c r="F224" i="20"/>
  <c r="G224" i="20"/>
  <c r="H224" i="20"/>
  <c r="I224" i="20"/>
  <c r="J224" i="20"/>
  <c r="K224" i="20"/>
  <c r="L224" i="20"/>
  <c r="N224" i="20"/>
  <c r="O224" i="20"/>
  <c r="P224" i="20"/>
  <c r="Q224" i="20"/>
  <c r="R224" i="20"/>
  <c r="S224" i="20"/>
  <c r="T224" i="20"/>
  <c r="U224" i="20"/>
  <c r="V224" i="20"/>
  <c r="W224" i="20"/>
  <c r="X224" i="20"/>
  <c r="Y224" i="20"/>
  <c r="Z224" i="20"/>
  <c r="AA224" i="20"/>
  <c r="AB224" i="20"/>
  <c r="AC224" i="20"/>
  <c r="AD224" i="20"/>
  <c r="AE224" i="20"/>
  <c r="AF224" i="20"/>
  <c r="AG224" i="20"/>
  <c r="AH224" i="20"/>
  <c r="AI224" i="20"/>
  <c r="AJ224" i="20"/>
  <c r="AK224" i="20"/>
  <c r="AL224" i="20"/>
  <c r="AM224" i="20"/>
  <c r="AN224" i="20"/>
  <c r="F225" i="20"/>
  <c r="G225" i="20"/>
  <c r="H225" i="20"/>
  <c r="I225" i="20"/>
  <c r="J225" i="20"/>
  <c r="K225" i="20"/>
  <c r="L225" i="20"/>
  <c r="N225" i="20"/>
  <c r="O225" i="20"/>
  <c r="P225" i="20"/>
  <c r="Q225" i="20"/>
  <c r="R225" i="20"/>
  <c r="S225" i="20"/>
  <c r="T225" i="20"/>
  <c r="U225" i="20"/>
  <c r="V225" i="20"/>
  <c r="W225" i="20"/>
  <c r="X225" i="20"/>
  <c r="Y225" i="20"/>
  <c r="Z225" i="20"/>
  <c r="AA225" i="20"/>
  <c r="AB225" i="20"/>
  <c r="AC225" i="20"/>
  <c r="AD225" i="20"/>
  <c r="AE225" i="20"/>
  <c r="AF225" i="20"/>
  <c r="AG225" i="20"/>
  <c r="AH225" i="20"/>
  <c r="AI225" i="20"/>
  <c r="AJ225" i="20"/>
  <c r="AK225" i="20"/>
  <c r="AL225" i="20"/>
  <c r="AM225" i="20"/>
  <c r="AN225" i="20"/>
  <c r="F226" i="20"/>
  <c r="G226" i="20"/>
  <c r="H226" i="20"/>
  <c r="I226" i="20"/>
  <c r="J226" i="20"/>
  <c r="K226" i="20"/>
  <c r="L226" i="20"/>
  <c r="N226" i="20"/>
  <c r="O226" i="20"/>
  <c r="P226" i="20"/>
  <c r="Q226" i="20"/>
  <c r="R226" i="20"/>
  <c r="S226" i="20"/>
  <c r="T226" i="20"/>
  <c r="U226" i="20"/>
  <c r="V226" i="20"/>
  <c r="W226" i="20"/>
  <c r="X226" i="20"/>
  <c r="Y226" i="20"/>
  <c r="Z226" i="20"/>
  <c r="AA226" i="20"/>
  <c r="AB226" i="20"/>
  <c r="AC226" i="20"/>
  <c r="AD226" i="20"/>
  <c r="AE226" i="20"/>
  <c r="AF226" i="20"/>
  <c r="AG226" i="20"/>
  <c r="AH226" i="20"/>
  <c r="AI226" i="20"/>
  <c r="AJ226" i="20"/>
  <c r="AK226" i="20"/>
  <c r="AL226" i="20"/>
  <c r="AM226" i="20"/>
  <c r="AN226" i="20"/>
  <c r="F227" i="20"/>
  <c r="G227" i="20"/>
  <c r="H227" i="20"/>
  <c r="I227" i="20"/>
  <c r="J227" i="20"/>
  <c r="K227" i="20"/>
  <c r="L227" i="20"/>
  <c r="N227" i="20"/>
  <c r="O227" i="20"/>
  <c r="P227" i="20"/>
  <c r="Q227" i="20"/>
  <c r="R227" i="20"/>
  <c r="S227" i="20"/>
  <c r="T227" i="20"/>
  <c r="U227" i="20"/>
  <c r="V227" i="20"/>
  <c r="W227" i="20"/>
  <c r="X227" i="20"/>
  <c r="Y227" i="20"/>
  <c r="Z227" i="20"/>
  <c r="AA227" i="20"/>
  <c r="AB227" i="20"/>
  <c r="AC227" i="20"/>
  <c r="AD227" i="20"/>
  <c r="AE227" i="20"/>
  <c r="AF227" i="20"/>
  <c r="AG227" i="20"/>
  <c r="AH227" i="20"/>
  <c r="AI227" i="20"/>
  <c r="AJ227" i="20"/>
  <c r="AK227" i="20"/>
  <c r="AL227" i="20"/>
  <c r="AM227" i="20"/>
  <c r="AN227" i="20"/>
  <c r="F228" i="20"/>
  <c r="G228" i="20"/>
  <c r="H228" i="20"/>
  <c r="I228" i="20"/>
  <c r="J228" i="20"/>
  <c r="K228" i="20"/>
  <c r="L228" i="20"/>
  <c r="N228" i="20"/>
  <c r="O228" i="20"/>
  <c r="P228" i="20"/>
  <c r="Q228" i="20"/>
  <c r="R228" i="20"/>
  <c r="S228" i="20"/>
  <c r="T228" i="20"/>
  <c r="U228" i="20"/>
  <c r="V228" i="20"/>
  <c r="W228" i="20"/>
  <c r="X228" i="20"/>
  <c r="Y228" i="20"/>
  <c r="Z228" i="20"/>
  <c r="AA228" i="20"/>
  <c r="AB228" i="20"/>
  <c r="AC228" i="20"/>
  <c r="AD228" i="20"/>
  <c r="AE228" i="20"/>
  <c r="AF228" i="20"/>
  <c r="AG228" i="20"/>
  <c r="AH228" i="20"/>
  <c r="AI228" i="20"/>
  <c r="AJ228" i="20"/>
  <c r="AK228" i="20"/>
  <c r="AL228" i="20"/>
  <c r="AM228" i="20"/>
  <c r="AN228" i="20"/>
  <c r="F229" i="20"/>
  <c r="G229" i="20"/>
  <c r="H229" i="20"/>
  <c r="I229" i="20"/>
  <c r="J229" i="20"/>
  <c r="K229" i="20"/>
  <c r="L229" i="20"/>
  <c r="N229" i="20"/>
  <c r="O229" i="20"/>
  <c r="P229" i="20"/>
  <c r="Q229" i="20"/>
  <c r="R229" i="20"/>
  <c r="S229" i="20"/>
  <c r="T229" i="20"/>
  <c r="U229" i="20"/>
  <c r="V229" i="20"/>
  <c r="W229" i="20"/>
  <c r="X229" i="20"/>
  <c r="Y229" i="20"/>
  <c r="Z229" i="20"/>
  <c r="AA229" i="20"/>
  <c r="AB229" i="20"/>
  <c r="AC229" i="20"/>
  <c r="AD229" i="20"/>
  <c r="AE229" i="20"/>
  <c r="AF229" i="20"/>
  <c r="AG229" i="20"/>
  <c r="AH229" i="20"/>
  <c r="AI229" i="20"/>
  <c r="AJ229" i="20"/>
  <c r="AK229" i="20"/>
  <c r="AL229" i="20"/>
  <c r="AM229" i="20"/>
  <c r="AN229" i="20"/>
  <c r="F230" i="20"/>
  <c r="G230" i="20"/>
  <c r="H230" i="20"/>
  <c r="I230" i="20"/>
  <c r="J230" i="20"/>
  <c r="K230" i="20"/>
  <c r="L230" i="20"/>
  <c r="N230" i="20"/>
  <c r="O230" i="20"/>
  <c r="P230" i="20"/>
  <c r="Q230" i="20"/>
  <c r="R230" i="20"/>
  <c r="S230" i="20"/>
  <c r="T230" i="20"/>
  <c r="U230" i="20"/>
  <c r="V230" i="20"/>
  <c r="W230" i="20"/>
  <c r="X230" i="20"/>
  <c r="Y230" i="20"/>
  <c r="Z230" i="20"/>
  <c r="AA230" i="20"/>
  <c r="AB230" i="20"/>
  <c r="AC230" i="20"/>
  <c r="AD230" i="20"/>
  <c r="AE230" i="20"/>
  <c r="AF230" i="20"/>
  <c r="AG230" i="20"/>
  <c r="AH230" i="20"/>
  <c r="AI230" i="20"/>
  <c r="AJ230" i="20"/>
  <c r="AK230" i="20"/>
  <c r="AL230" i="20"/>
  <c r="AM230" i="20"/>
  <c r="AN230" i="20"/>
  <c r="F231" i="20"/>
  <c r="G231" i="20"/>
  <c r="H231" i="20"/>
  <c r="I231" i="20"/>
  <c r="J231" i="20"/>
  <c r="K231" i="20"/>
  <c r="L231" i="20"/>
  <c r="N231" i="20"/>
  <c r="O231" i="20"/>
  <c r="P231" i="20"/>
  <c r="Q231" i="20"/>
  <c r="R231" i="20"/>
  <c r="S231" i="20"/>
  <c r="T231" i="20"/>
  <c r="U231" i="20"/>
  <c r="V231" i="20"/>
  <c r="W231" i="20"/>
  <c r="X231" i="20"/>
  <c r="Y231" i="20"/>
  <c r="Z231" i="20"/>
  <c r="AA231" i="20"/>
  <c r="AB231" i="20"/>
  <c r="AC231" i="20"/>
  <c r="AD231" i="20"/>
  <c r="AE231" i="20"/>
  <c r="AF231" i="20"/>
  <c r="AG231" i="20"/>
  <c r="AH231" i="20"/>
  <c r="AI231" i="20"/>
  <c r="AJ231" i="20"/>
  <c r="AK231" i="20"/>
  <c r="AL231" i="20"/>
  <c r="AM231" i="20"/>
  <c r="AN231" i="20"/>
  <c r="F232" i="20"/>
  <c r="G232" i="20"/>
  <c r="H232" i="20"/>
  <c r="I232" i="20"/>
  <c r="J232" i="20"/>
  <c r="K232" i="20"/>
  <c r="L232" i="20"/>
  <c r="N232" i="20"/>
  <c r="O232" i="20"/>
  <c r="P232" i="20"/>
  <c r="Q232" i="20"/>
  <c r="R232" i="20"/>
  <c r="S232" i="20"/>
  <c r="T232" i="20"/>
  <c r="U232" i="20"/>
  <c r="V232" i="20"/>
  <c r="W232" i="20"/>
  <c r="X232" i="20"/>
  <c r="Y232" i="20"/>
  <c r="Z232" i="20"/>
  <c r="AA232" i="20"/>
  <c r="AB232" i="20"/>
  <c r="AC232" i="20"/>
  <c r="AD232" i="20"/>
  <c r="AE232" i="20"/>
  <c r="AF232" i="20"/>
  <c r="AG232" i="20"/>
  <c r="AH232" i="20"/>
  <c r="AI232" i="20"/>
  <c r="AJ232" i="20"/>
  <c r="AK232" i="20"/>
  <c r="AL232" i="20"/>
  <c r="AM232" i="20"/>
  <c r="AN232" i="20"/>
  <c r="F233" i="20"/>
  <c r="G233" i="20"/>
  <c r="H233" i="20"/>
  <c r="I233" i="20"/>
  <c r="J233" i="20"/>
  <c r="K233" i="20"/>
  <c r="L233" i="20"/>
  <c r="N233" i="20"/>
  <c r="O233" i="20"/>
  <c r="P233" i="20"/>
  <c r="Q233" i="20"/>
  <c r="R233" i="20"/>
  <c r="S233" i="20"/>
  <c r="T233" i="20"/>
  <c r="U233" i="20"/>
  <c r="V233" i="20"/>
  <c r="W233" i="20"/>
  <c r="X233" i="20"/>
  <c r="Y233" i="20"/>
  <c r="Z233" i="20"/>
  <c r="AA233" i="20"/>
  <c r="AB233" i="20"/>
  <c r="AC233" i="20"/>
  <c r="AD233" i="20"/>
  <c r="AE233" i="20"/>
  <c r="AF233" i="20"/>
  <c r="AG233" i="20"/>
  <c r="AH233" i="20"/>
  <c r="AI233" i="20"/>
  <c r="AJ233" i="20"/>
  <c r="AK233" i="20"/>
  <c r="AL233" i="20"/>
  <c r="AM233" i="20"/>
  <c r="AN233" i="20"/>
  <c r="F234" i="20"/>
  <c r="G234" i="20"/>
  <c r="H234" i="20"/>
  <c r="I234" i="20"/>
  <c r="J234" i="20"/>
  <c r="K234" i="20"/>
  <c r="L234" i="20"/>
  <c r="N234" i="20"/>
  <c r="O234" i="20"/>
  <c r="P234" i="20"/>
  <c r="Q234" i="20"/>
  <c r="R234" i="20"/>
  <c r="S234" i="20"/>
  <c r="T234" i="20"/>
  <c r="U234" i="20"/>
  <c r="V234" i="20"/>
  <c r="W234" i="20"/>
  <c r="X234" i="20"/>
  <c r="Y234" i="20"/>
  <c r="Z234" i="20"/>
  <c r="AA234" i="20"/>
  <c r="AB234" i="20"/>
  <c r="AC234" i="20"/>
  <c r="AD234" i="20"/>
  <c r="AE234" i="20"/>
  <c r="AF234" i="20"/>
  <c r="AG234" i="20"/>
  <c r="AH234" i="20"/>
  <c r="AI234" i="20"/>
  <c r="AJ234" i="20"/>
  <c r="AK234" i="20"/>
  <c r="AL234" i="20"/>
  <c r="AM234" i="20"/>
  <c r="AN234" i="20"/>
  <c r="F235" i="20"/>
  <c r="G235" i="20"/>
  <c r="H235" i="20"/>
  <c r="I235" i="20"/>
  <c r="J235" i="20"/>
  <c r="K235" i="20"/>
  <c r="L235" i="20"/>
  <c r="N235" i="20"/>
  <c r="O235" i="20"/>
  <c r="P235" i="20"/>
  <c r="Q235" i="20"/>
  <c r="R235" i="20"/>
  <c r="S235" i="20"/>
  <c r="T235" i="20"/>
  <c r="U235" i="20"/>
  <c r="V235" i="20"/>
  <c r="W235" i="20"/>
  <c r="X235" i="20"/>
  <c r="Y235" i="20"/>
  <c r="Z235" i="20"/>
  <c r="AA235" i="20"/>
  <c r="AB235" i="20"/>
  <c r="AC235" i="20"/>
  <c r="AD235" i="20"/>
  <c r="AE235" i="20"/>
  <c r="AF235" i="20"/>
  <c r="AG235" i="20"/>
  <c r="AH235" i="20"/>
  <c r="AI235" i="20"/>
  <c r="AJ235" i="20"/>
  <c r="AK235" i="20"/>
  <c r="AL235" i="20"/>
  <c r="AM235" i="20"/>
  <c r="AN235" i="20"/>
  <c r="F236" i="20"/>
  <c r="G236" i="20"/>
  <c r="H236" i="20"/>
  <c r="I236" i="20"/>
  <c r="J236" i="20"/>
  <c r="K236" i="20"/>
  <c r="L236" i="20"/>
  <c r="N236" i="20"/>
  <c r="O236" i="20"/>
  <c r="P236" i="20"/>
  <c r="Q236" i="20"/>
  <c r="R236" i="20"/>
  <c r="S236" i="20"/>
  <c r="T236" i="20"/>
  <c r="U236" i="20"/>
  <c r="V236" i="20"/>
  <c r="W236" i="20"/>
  <c r="X236" i="20"/>
  <c r="Y236" i="20"/>
  <c r="Z236" i="20"/>
  <c r="AA236" i="20"/>
  <c r="AB236" i="20"/>
  <c r="AC236" i="20"/>
  <c r="AD236" i="20"/>
  <c r="AE236" i="20"/>
  <c r="AF236" i="20"/>
  <c r="AG236" i="20"/>
  <c r="AH236" i="20"/>
  <c r="AI236" i="20"/>
  <c r="AJ236" i="20"/>
  <c r="AK236" i="20"/>
  <c r="AL236" i="20"/>
  <c r="AM236" i="20"/>
  <c r="AN236" i="20"/>
  <c r="F237" i="20"/>
  <c r="G237" i="20"/>
  <c r="H237" i="20"/>
  <c r="I237" i="20"/>
  <c r="J237" i="20"/>
  <c r="K237" i="20"/>
  <c r="L237" i="20"/>
  <c r="N237" i="20"/>
  <c r="O237" i="20"/>
  <c r="P237" i="20"/>
  <c r="Q237" i="20"/>
  <c r="R237" i="20"/>
  <c r="S237" i="20"/>
  <c r="T237" i="20"/>
  <c r="U237" i="20"/>
  <c r="V237" i="20"/>
  <c r="W237" i="20"/>
  <c r="X237" i="20"/>
  <c r="Y237" i="20"/>
  <c r="Z237" i="20"/>
  <c r="AA237" i="20"/>
  <c r="AB237" i="20"/>
  <c r="AC237" i="20"/>
  <c r="AD237" i="20"/>
  <c r="AE237" i="20"/>
  <c r="AF237" i="20"/>
  <c r="AG237" i="20"/>
  <c r="AH237" i="20"/>
  <c r="AI237" i="20"/>
  <c r="AJ237" i="20"/>
  <c r="AK237" i="20"/>
  <c r="AL237" i="20"/>
  <c r="AM237" i="20"/>
  <c r="AN237" i="20"/>
  <c r="F238" i="20"/>
  <c r="G238" i="20"/>
  <c r="H238" i="20"/>
  <c r="I238" i="20"/>
  <c r="J238" i="20"/>
  <c r="K238" i="20"/>
  <c r="L238" i="20"/>
  <c r="N238" i="20"/>
  <c r="O238" i="20"/>
  <c r="P238" i="20"/>
  <c r="Q238" i="20"/>
  <c r="R238" i="20"/>
  <c r="S238" i="20"/>
  <c r="T238" i="20"/>
  <c r="U238" i="20"/>
  <c r="V238" i="20"/>
  <c r="W238" i="20"/>
  <c r="X238" i="20"/>
  <c r="Y238" i="20"/>
  <c r="Z238" i="20"/>
  <c r="AA238" i="20"/>
  <c r="AB238" i="20"/>
  <c r="AC238" i="20"/>
  <c r="AD238" i="20"/>
  <c r="AE238" i="20"/>
  <c r="AF238" i="20"/>
  <c r="AG238" i="20"/>
  <c r="AH238" i="20"/>
  <c r="AI238" i="20"/>
  <c r="AJ238" i="20"/>
  <c r="AK238" i="20"/>
  <c r="AL238" i="20"/>
  <c r="AM238" i="20"/>
  <c r="AN238" i="20"/>
  <c r="F239" i="20"/>
  <c r="G239" i="20"/>
  <c r="H239" i="20"/>
  <c r="I239" i="20"/>
  <c r="J239" i="20"/>
  <c r="K239" i="20"/>
  <c r="L239" i="20"/>
  <c r="N239" i="20"/>
  <c r="O239" i="20"/>
  <c r="P239" i="20"/>
  <c r="Q239" i="20"/>
  <c r="R239" i="20"/>
  <c r="S239" i="20"/>
  <c r="T239" i="20"/>
  <c r="U239" i="20"/>
  <c r="V239" i="20"/>
  <c r="W239" i="20"/>
  <c r="X239" i="20"/>
  <c r="Y239" i="20"/>
  <c r="Z239" i="20"/>
  <c r="AA239" i="20"/>
  <c r="AB239" i="20"/>
  <c r="AC239" i="20"/>
  <c r="AD239" i="20"/>
  <c r="AE239" i="20"/>
  <c r="AF239" i="20"/>
  <c r="AG239" i="20"/>
  <c r="AH239" i="20"/>
  <c r="AI239" i="20"/>
  <c r="AJ239" i="20"/>
  <c r="AK239" i="20"/>
  <c r="AL239" i="20"/>
  <c r="AM239" i="20"/>
  <c r="AN239" i="20"/>
  <c r="F240" i="20"/>
  <c r="G240" i="20"/>
  <c r="H240" i="20"/>
  <c r="I240" i="20"/>
  <c r="J240" i="20"/>
  <c r="K240" i="20"/>
  <c r="L240" i="20"/>
  <c r="N240" i="20"/>
  <c r="O240" i="20"/>
  <c r="P240" i="20"/>
  <c r="Q240" i="20"/>
  <c r="R240" i="20"/>
  <c r="S240" i="20"/>
  <c r="T240" i="20"/>
  <c r="U240" i="20"/>
  <c r="V240" i="20"/>
  <c r="W240" i="20"/>
  <c r="X240" i="20"/>
  <c r="Y240" i="20"/>
  <c r="Z240" i="20"/>
  <c r="AA240" i="20"/>
  <c r="AB240" i="20"/>
  <c r="AC240" i="20"/>
  <c r="AD240" i="20"/>
  <c r="AE240" i="20"/>
  <c r="AF240" i="20"/>
  <c r="AG240" i="20"/>
  <c r="AH240" i="20"/>
  <c r="AI240" i="20"/>
  <c r="AJ240" i="20"/>
  <c r="AK240" i="20"/>
  <c r="AL240" i="20"/>
  <c r="AM240" i="20"/>
  <c r="AN240" i="20"/>
  <c r="F241" i="20"/>
  <c r="G241" i="20"/>
  <c r="H241" i="20"/>
  <c r="I241" i="20"/>
  <c r="J241" i="20"/>
  <c r="K241" i="20"/>
  <c r="L241" i="20"/>
  <c r="N241" i="20"/>
  <c r="O241" i="20"/>
  <c r="P241" i="20"/>
  <c r="Q241" i="20"/>
  <c r="R241" i="20"/>
  <c r="S241" i="20"/>
  <c r="T241" i="20"/>
  <c r="U241" i="20"/>
  <c r="V241" i="20"/>
  <c r="W241" i="20"/>
  <c r="X241" i="20"/>
  <c r="Y241" i="20"/>
  <c r="Z241" i="20"/>
  <c r="AA241" i="20"/>
  <c r="AB241" i="20"/>
  <c r="AC241" i="20"/>
  <c r="AD241" i="20"/>
  <c r="AE241" i="20"/>
  <c r="AF241" i="20"/>
  <c r="AG241" i="20"/>
  <c r="AH241" i="20"/>
  <c r="AI241" i="20"/>
  <c r="AJ241" i="20"/>
  <c r="AK241" i="20"/>
  <c r="AL241" i="20"/>
  <c r="AM241" i="20"/>
  <c r="AN241" i="20"/>
  <c r="F242" i="20"/>
  <c r="G242" i="20"/>
  <c r="H242" i="20"/>
  <c r="I242" i="20"/>
  <c r="J242" i="20"/>
  <c r="K242" i="20"/>
  <c r="L242" i="20"/>
  <c r="N242" i="20"/>
  <c r="O242" i="20"/>
  <c r="P242" i="20"/>
  <c r="Q242" i="20"/>
  <c r="R242" i="20"/>
  <c r="S242" i="20"/>
  <c r="T242" i="20"/>
  <c r="U242" i="20"/>
  <c r="V242" i="20"/>
  <c r="W242" i="20"/>
  <c r="X242" i="20"/>
  <c r="Y242" i="20"/>
  <c r="Z242" i="20"/>
  <c r="AA242" i="20"/>
  <c r="AB242" i="20"/>
  <c r="AC242" i="20"/>
  <c r="AD242" i="20"/>
  <c r="AE242" i="20"/>
  <c r="AF242" i="20"/>
  <c r="AG242" i="20"/>
  <c r="AH242" i="20"/>
  <c r="AI242" i="20"/>
  <c r="AJ242" i="20"/>
  <c r="AK242" i="20"/>
  <c r="AL242" i="20"/>
  <c r="AM242" i="20"/>
  <c r="AN242" i="20"/>
  <c r="F243" i="20"/>
  <c r="G243" i="20"/>
  <c r="H243" i="20"/>
  <c r="I243" i="20"/>
  <c r="J243" i="20"/>
  <c r="K243" i="20"/>
  <c r="L243" i="20"/>
  <c r="N243" i="20"/>
  <c r="O243" i="20"/>
  <c r="P243" i="20"/>
  <c r="Q243" i="20"/>
  <c r="R243" i="20"/>
  <c r="S243" i="20"/>
  <c r="T243" i="20"/>
  <c r="U243" i="20"/>
  <c r="V243" i="20"/>
  <c r="W243" i="20"/>
  <c r="X243" i="20"/>
  <c r="Y243" i="20"/>
  <c r="Z243" i="20"/>
  <c r="AA243" i="20"/>
  <c r="AB243" i="20"/>
  <c r="AC243" i="20"/>
  <c r="AD243" i="20"/>
  <c r="AE243" i="20"/>
  <c r="AF243" i="20"/>
  <c r="AG243" i="20"/>
  <c r="AH243" i="20"/>
  <c r="AI243" i="20"/>
  <c r="AJ243" i="20"/>
  <c r="AK243" i="20"/>
  <c r="AL243" i="20"/>
  <c r="AM243" i="20"/>
  <c r="AN243" i="20"/>
  <c r="F244" i="20"/>
  <c r="G244" i="20"/>
  <c r="H244" i="20"/>
  <c r="I244" i="20"/>
  <c r="J244" i="20"/>
  <c r="K244" i="20"/>
  <c r="L244" i="20"/>
  <c r="N244" i="20"/>
  <c r="O244" i="20"/>
  <c r="P244" i="20"/>
  <c r="Q244" i="20"/>
  <c r="R244" i="20"/>
  <c r="S244" i="20"/>
  <c r="T244" i="20"/>
  <c r="U244" i="20"/>
  <c r="V244" i="20"/>
  <c r="W244" i="20"/>
  <c r="X244" i="20"/>
  <c r="Y244" i="20"/>
  <c r="Z244" i="20"/>
  <c r="AA244" i="20"/>
  <c r="AB244" i="20"/>
  <c r="AC244" i="20"/>
  <c r="AD244" i="20"/>
  <c r="AE244" i="20"/>
  <c r="AF244" i="20"/>
  <c r="AG244" i="20"/>
  <c r="AH244" i="20"/>
  <c r="AI244" i="20"/>
  <c r="AJ244" i="20"/>
  <c r="AK244" i="20"/>
  <c r="AL244" i="20"/>
  <c r="AM244" i="20"/>
  <c r="AN244" i="20"/>
  <c r="F245" i="20"/>
  <c r="G245" i="20"/>
  <c r="H245" i="20"/>
  <c r="I245" i="20"/>
  <c r="J245" i="20"/>
  <c r="K245" i="20"/>
  <c r="L245" i="20"/>
  <c r="N245" i="20"/>
  <c r="O245" i="20"/>
  <c r="P245" i="20"/>
  <c r="Q245" i="20"/>
  <c r="R245" i="20"/>
  <c r="S245" i="20"/>
  <c r="T245" i="20"/>
  <c r="U245" i="20"/>
  <c r="V245" i="20"/>
  <c r="W245" i="20"/>
  <c r="X245" i="20"/>
  <c r="Y245" i="20"/>
  <c r="Z245" i="20"/>
  <c r="AA245" i="20"/>
  <c r="AB245" i="20"/>
  <c r="AC245" i="20"/>
  <c r="AD245" i="20"/>
  <c r="AE245" i="20"/>
  <c r="AF245" i="20"/>
  <c r="AG245" i="20"/>
  <c r="AH245" i="20"/>
  <c r="AI245" i="20"/>
  <c r="AJ245" i="20"/>
  <c r="AK245" i="20"/>
  <c r="AL245" i="20"/>
  <c r="AM245" i="20"/>
  <c r="AN245" i="20"/>
  <c r="F246" i="20"/>
  <c r="G246" i="20"/>
  <c r="H246" i="20"/>
  <c r="I246" i="20"/>
  <c r="J246" i="20"/>
  <c r="K246" i="20"/>
  <c r="L246" i="20"/>
  <c r="N246" i="20"/>
  <c r="O246" i="20"/>
  <c r="P246" i="20"/>
  <c r="Q246" i="20"/>
  <c r="R246" i="20"/>
  <c r="S246" i="20"/>
  <c r="T246" i="20"/>
  <c r="U246" i="20"/>
  <c r="V246" i="20"/>
  <c r="W246" i="20"/>
  <c r="X246" i="20"/>
  <c r="Y246" i="20"/>
  <c r="Z246" i="20"/>
  <c r="AA246" i="20"/>
  <c r="AB246" i="20"/>
  <c r="AC246" i="20"/>
  <c r="AD246" i="20"/>
  <c r="AE246" i="20"/>
  <c r="AF246" i="20"/>
  <c r="AG246" i="20"/>
  <c r="AH246" i="20"/>
  <c r="AI246" i="20"/>
  <c r="AJ246" i="20"/>
  <c r="AK246" i="20"/>
  <c r="AL246" i="20"/>
  <c r="AM246" i="20"/>
  <c r="AN246" i="20"/>
  <c r="F247" i="20"/>
  <c r="G247" i="20"/>
  <c r="H247" i="20"/>
  <c r="I247" i="20"/>
  <c r="J247" i="20"/>
  <c r="K247" i="20"/>
  <c r="L247" i="20"/>
  <c r="N247" i="20"/>
  <c r="O247" i="20"/>
  <c r="P247" i="20"/>
  <c r="Q247" i="20"/>
  <c r="R247" i="20"/>
  <c r="S247" i="20"/>
  <c r="T247" i="20"/>
  <c r="U247" i="20"/>
  <c r="V247" i="20"/>
  <c r="W247" i="20"/>
  <c r="X247" i="20"/>
  <c r="Y247" i="20"/>
  <c r="Z247" i="20"/>
  <c r="AA247" i="20"/>
  <c r="AB247" i="20"/>
  <c r="AC247" i="20"/>
  <c r="AD247" i="20"/>
  <c r="AE247" i="20"/>
  <c r="AF247" i="20"/>
  <c r="AG247" i="20"/>
  <c r="AH247" i="20"/>
  <c r="AI247" i="20"/>
  <c r="AJ247" i="20"/>
  <c r="AK247" i="20"/>
  <c r="AL247" i="20"/>
  <c r="AM247" i="20"/>
  <c r="AN247" i="20"/>
  <c r="F248" i="20"/>
  <c r="G248" i="20"/>
  <c r="H248" i="20"/>
  <c r="I248" i="20"/>
  <c r="J248" i="20"/>
  <c r="K248" i="20"/>
  <c r="L248" i="20"/>
  <c r="N248" i="20"/>
  <c r="O248" i="20"/>
  <c r="P248" i="20"/>
  <c r="Q248" i="20"/>
  <c r="R248" i="20"/>
  <c r="S248" i="20"/>
  <c r="T248" i="20"/>
  <c r="U248" i="20"/>
  <c r="V248" i="20"/>
  <c r="W248" i="20"/>
  <c r="X248" i="20"/>
  <c r="Y248" i="20"/>
  <c r="Z248" i="20"/>
  <c r="AA248" i="20"/>
  <c r="AB248" i="20"/>
  <c r="AC248" i="20"/>
  <c r="AD248" i="20"/>
  <c r="AE248" i="20"/>
  <c r="AF248" i="20"/>
  <c r="AG248" i="20"/>
  <c r="AH248" i="20"/>
  <c r="AI248" i="20"/>
  <c r="AJ248" i="20"/>
  <c r="AK248" i="20"/>
  <c r="AL248" i="20"/>
  <c r="AM248" i="20"/>
  <c r="AN248" i="20"/>
  <c r="F249" i="20"/>
  <c r="G249" i="20"/>
  <c r="H249" i="20"/>
  <c r="I249" i="20"/>
  <c r="J249" i="20"/>
  <c r="K249" i="20"/>
  <c r="L249" i="20"/>
  <c r="N249" i="20"/>
  <c r="O249" i="20"/>
  <c r="P249" i="20"/>
  <c r="Q249" i="20"/>
  <c r="R249" i="20"/>
  <c r="S249" i="20"/>
  <c r="T249" i="20"/>
  <c r="U249" i="20"/>
  <c r="V249" i="20"/>
  <c r="W249" i="20"/>
  <c r="X249" i="20"/>
  <c r="Y249" i="20"/>
  <c r="Z249" i="20"/>
  <c r="AA249" i="20"/>
  <c r="AB249" i="20"/>
  <c r="AC249" i="20"/>
  <c r="AD249" i="20"/>
  <c r="AE249" i="20"/>
  <c r="AF249" i="20"/>
  <c r="AG249" i="20"/>
  <c r="AH249" i="20"/>
  <c r="AI249" i="20"/>
  <c r="AJ249" i="20"/>
  <c r="AK249" i="20"/>
  <c r="AL249" i="20"/>
  <c r="AM249" i="20"/>
  <c r="AN249" i="20"/>
  <c r="F250" i="20"/>
  <c r="G250" i="20"/>
  <c r="H250" i="20"/>
  <c r="I250" i="20"/>
  <c r="J250" i="20"/>
  <c r="K250" i="20"/>
  <c r="L250" i="20"/>
  <c r="N250" i="20"/>
  <c r="O250" i="20"/>
  <c r="P250" i="20"/>
  <c r="Q250" i="20"/>
  <c r="R250" i="20"/>
  <c r="S250" i="20"/>
  <c r="T250" i="20"/>
  <c r="U250" i="20"/>
  <c r="V250" i="20"/>
  <c r="W250" i="20"/>
  <c r="X250" i="20"/>
  <c r="Y250" i="20"/>
  <c r="Z250" i="20"/>
  <c r="AA250" i="20"/>
  <c r="AB250" i="20"/>
  <c r="AC250" i="20"/>
  <c r="AD250" i="20"/>
  <c r="AE250" i="20"/>
  <c r="AF250" i="20"/>
  <c r="AG250" i="20"/>
  <c r="AH250" i="20"/>
  <c r="AI250" i="20"/>
  <c r="AJ250" i="20"/>
  <c r="AK250" i="20"/>
  <c r="AL250" i="20"/>
  <c r="AM250" i="20"/>
  <c r="AN250" i="20"/>
  <c r="F251" i="20"/>
  <c r="G251" i="20"/>
  <c r="H251" i="20"/>
  <c r="I251" i="20"/>
  <c r="J251" i="20"/>
  <c r="K251" i="20"/>
  <c r="L251" i="20"/>
  <c r="N251" i="20"/>
  <c r="O251" i="20"/>
  <c r="P251" i="20"/>
  <c r="Q251" i="20"/>
  <c r="R251" i="20"/>
  <c r="S251" i="20"/>
  <c r="T251" i="20"/>
  <c r="U251" i="20"/>
  <c r="V251" i="20"/>
  <c r="W251" i="20"/>
  <c r="X251" i="20"/>
  <c r="Y251" i="20"/>
  <c r="Z251" i="20"/>
  <c r="AA251" i="20"/>
  <c r="AB251" i="20"/>
  <c r="AC251" i="20"/>
  <c r="AD251" i="20"/>
  <c r="AE251" i="20"/>
  <c r="AF251" i="20"/>
  <c r="AG251" i="20"/>
  <c r="AH251" i="20"/>
  <c r="AI251" i="20"/>
  <c r="AJ251" i="20"/>
  <c r="AK251" i="20"/>
  <c r="AL251" i="20"/>
  <c r="AM251" i="20"/>
  <c r="AN251" i="20"/>
  <c r="F252" i="20"/>
  <c r="G252" i="20"/>
  <c r="H252" i="20"/>
  <c r="I252" i="20"/>
  <c r="J252" i="20"/>
  <c r="K252" i="20"/>
  <c r="L252" i="20"/>
  <c r="N252" i="20"/>
  <c r="O252" i="20"/>
  <c r="P252" i="20"/>
  <c r="Q252" i="20"/>
  <c r="R252" i="20"/>
  <c r="S252" i="20"/>
  <c r="T252" i="20"/>
  <c r="U252" i="20"/>
  <c r="V252" i="20"/>
  <c r="W252" i="20"/>
  <c r="X252" i="20"/>
  <c r="Y252" i="20"/>
  <c r="Z252" i="20"/>
  <c r="AA252" i="20"/>
  <c r="AB252" i="20"/>
  <c r="AC252" i="20"/>
  <c r="AD252" i="20"/>
  <c r="AE252" i="20"/>
  <c r="AF252" i="20"/>
  <c r="AG252" i="20"/>
  <c r="AH252" i="20"/>
  <c r="AI252" i="20"/>
  <c r="AJ252" i="20"/>
  <c r="AK252" i="20"/>
  <c r="AL252" i="20"/>
  <c r="AM252" i="20"/>
  <c r="AN252" i="20"/>
  <c r="F253" i="20"/>
  <c r="G253" i="20"/>
  <c r="H253" i="20"/>
  <c r="I253" i="20"/>
  <c r="J253" i="20"/>
  <c r="K253" i="20"/>
  <c r="L253" i="20"/>
  <c r="N253" i="20"/>
  <c r="O253" i="20"/>
  <c r="P253" i="20"/>
  <c r="Q253" i="20"/>
  <c r="R253" i="20"/>
  <c r="S253" i="20"/>
  <c r="T253" i="20"/>
  <c r="U253" i="20"/>
  <c r="V253" i="20"/>
  <c r="W253" i="20"/>
  <c r="X253" i="20"/>
  <c r="Y253" i="20"/>
  <c r="Z253" i="20"/>
  <c r="AA253" i="20"/>
  <c r="AB253" i="20"/>
  <c r="AC253" i="20"/>
  <c r="AD253" i="20"/>
  <c r="AE253" i="20"/>
  <c r="AF253" i="20"/>
  <c r="AG253" i="20"/>
  <c r="AH253" i="20"/>
  <c r="AI253" i="20"/>
  <c r="AJ253" i="20"/>
  <c r="AK253" i="20"/>
  <c r="AL253" i="20"/>
  <c r="AM253" i="20"/>
  <c r="AN253" i="20"/>
  <c r="F254" i="20"/>
  <c r="G254" i="20"/>
  <c r="H254" i="20"/>
  <c r="I254" i="20"/>
  <c r="J254" i="20"/>
  <c r="K254" i="20"/>
  <c r="L254" i="20"/>
  <c r="N254" i="20"/>
  <c r="O254" i="20"/>
  <c r="P254" i="20"/>
  <c r="Q254" i="20"/>
  <c r="R254" i="20"/>
  <c r="S254" i="20"/>
  <c r="T254" i="20"/>
  <c r="U254" i="20"/>
  <c r="V254" i="20"/>
  <c r="W254" i="20"/>
  <c r="X254" i="20"/>
  <c r="Y254" i="20"/>
  <c r="Z254" i="20"/>
  <c r="AA254" i="20"/>
  <c r="AB254" i="20"/>
  <c r="AC254" i="20"/>
  <c r="AD254" i="20"/>
  <c r="AE254" i="20"/>
  <c r="AF254" i="20"/>
  <c r="AG254" i="20"/>
  <c r="AH254" i="20"/>
  <c r="AI254" i="20"/>
  <c r="AJ254" i="20"/>
  <c r="AK254" i="20"/>
  <c r="AL254" i="20"/>
  <c r="AM254" i="20"/>
  <c r="AN254" i="20"/>
  <c r="F255" i="20"/>
  <c r="G255" i="20"/>
  <c r="H255" i="20"/>
  <c r="I255" i="20"/>
  <c r="J255" i="20"/>
  <c r="K255" i="20"/>
  <c r="L255" i="20"/>
  <c r="N255" i="20"/>
  <c r="O255" i="20"/>
  <c r="P255" i="20"/>
  <c r="Q255" i="20"/>
  <c r="R255" i="20"/>
  <c r="S255" i="20"/>
  <c r="T255" i="20"/>
  <c r="U255" i="20"/>
  <c r="V255" i="20"/>
  <c r="W255" i="20"/>
  <c r="X255" i="20"/>
  <c r="Y255" i="20"/>
  <c r="Z255" i="20"/>
  <c r="AA255" i="20"/>
  <c r="AB255" i="20"/>
  <c r="AC255" i="20"/>
  <c r="AD255" i="20"/>
  <c r="AE255" i="20"/>
  <c r="AF255" i="20"/>
  <c r="AG255" i="20"/>
  <c r="AH255" i="20"/>
  <c r="AI255" i="20"/>
  <c r="AJ255" i="20"/>
  <c r="AK255" i="20"/>
  <c r="AL255" i="20"/>
  <c r="AM255" i="20"/>
  <c r="AN255" i="20"/>
  <c r="F256" i="20"/>
  <c r="G256" i="20"/>
  <c r="H256" i="20"/>
  <c r="I256" i="20"/>
  <c r="J256" i="20"/>
  <c r="K256" i="20"/>
  <c r="L256" i="20"/>
  <c r="N256" i="20"/>
  <c r="O256" i="20"/>
  <c r="P256" i="20"/>
  <c r="Q256" i="20"/>
  <c r="R256" i="20"/>
  <c r="S256" i="20"/>
  <c r="T256" i="20"/>
  <c r="U256" i="20"/>
  <c r="V256" i="20"/>
  <c r="W256" i="20"/>
  <c r="X256" i="20"/>
  <c r="Y256" i="20"/>
  <c r="Z256" i="20"/>
  <c r="AA256" i="20"/>
  <c r="AB256" i="20"/>
  <c r="AC256" i="20"/>
  <c r="AD256" i="20"/>
  <c r="AE256" i="20"/>
  <c r="AF256" i="20"/>
  <c r="AG256" i="20"/>
  <c r="AH256" i="20"/>
  <c r="AI256" i="20"/>
  <c r="AJ256" i="20"/>
  <c r="AK256" i="20"/>
  <c r="AL256" i="20"/>
  <c r="AM256" i="20"/>
  <c r="AN256" i="20"/>
  <c r="F257" i="20"/>
  <c r="G257" i="20"/>
  <c r="H257" i="20"/>
  <c r="I257" i="20"/>
  <c r="J257" i="20"/>
  <c r="K257" i="20"/>
  <c r="L257" i="20"/>
  <c r="N257" i="20"/>
  <c r="O257" i="20"/>
  <c r="P257" i="20"/>
  <c r="Q257" i="20"/>
  <c r="R257" i="20"/>
  <c r="S257" i="20"/>
  <c r="T257" i="20"/>
  <c r="U257" i="20"/>
  <c r="V257" i="20"/>
  <c r="W257" i="20"/>
  <c r="X257" i="20"/>
  <c r="Y257" i="20"/>
  <c r="Z257" i="20"/>
  <c r="AA257" i="20"/>
  <c r="AB257" i="20"/>
  <c r="AC257" i="20"/>
  <c r="AD257" i="20"/>
  <c r="AE257" i="20"/>
  <c r="AF257" i="20"/>
  <c r="AG257" i="20"/>
  <c r="AH257" i="20"/>
  <c r="AI257" i="20"/>
  <c r="AJ257" i="20"/>
  <c r="AK257" i="20"/>
  <c r="AL257" i="20"/>
  <c r="AM257" i="20"/>
  <c r="AN257" i="20"/>
  <c r="F258" i="20"/>
  <c r="G258" i="20"/>
  <c r="H258" i="20"/>
  <c r="I258" i="20"/>
  <c r="J258" i="20"/>
  <c r="K258" i="20"/>
  <c r="L258" i="20"/>
  <c r="N258" i="20"/>
  <c r="O258" i="20"/>
  <c r="P258" i="20"/>
  <c r="Q258" i="20"/>
  <c r="R258" i="20"/>
  <c r="S258" i="20"/>
  <c r="T258" i="20"/>
  <c r="U258" i="20"/>
  <c r="V258" i="20"/>
  <c r="W258" i="20"/>
  <c r="X258" i="20"/>
  <c r="Y258" i="20"/>
  <c r="Z258" i="20"/>
  <c r="AA258" i="20"/>
  <c r="AB258" i="20"/>
  <c r="AC258" i="20"/>
  <c r="AD258" i="20"/>
  <c r="AE258" i="20"/>
  <c r="AF258" i="20"/>
  <c r="AG258" i="20"/>
  <c r="AH258" i="20"/>
  <c r="AI258" i="20"/>
  <c r="AJ258" i="20"/>
  <c r="AK258" i="20"/>
  <c r="AL258" i="20"/>
  <c r="AM258" i="20"/>
  <c r="AN258" i="20"/>
  <c r="F259" i="20"/>
  <c r="G259" i="20"/>
  <c r="H259" i="20"/>
  <c r="I259" i="20"/>
  <c r="J259" i="20"/>
  <c r="K259" i="20"/>
  <c r="L259" i="20"/>
  <c r="N259" i="20"/>
  <c r="O259" i="20"/>
  <c r="P259" i="20"/>
  <c r="Q259" i="20"/>
  <c r="R259" i="20"/>
  <c r="S259" i="20"/>
  <c r="T259" i="20"/>
  <c r="U259" i="20"/>
  <c r="V259" i="20"/>
  <c r="W259" i="20"/>
  <c r="X259" i="20"/>
  <c r="Y259" i="20"/>
  <c r="Z259" i="20"/>
  <c r="AA259" i="20"/>
  <c r="AB259" i="20"/>
  <c r="AC259" i="20"/>
  <c r="AD259" i="20"/>
  <c r="AE259" i="20"/>
  <c r="AF259" i="20"/>
  <c r="AG259" i="20"/>
  <c r="AH259" i="20"/>
  <c r="AI259" i="20"/>
  <c r="AJ259" i="20"/>
  <c r="AK259" i="20"/>
  <c r="AL259" i="20"/>
  <c r="AM259" i="20"/>
  <c r="AN259" i="20"/>
  <c r="F260" i="20"/>
  <c r="G260" i="20"/>
  <c r="H260" i="20"/>
  <c r="I260" i="20"/>
  <c r="J260" i="20"/>
  <c r="K260" i="20"/>
  <c r="L260" i="20"/>
  <c r="N260" i="20"/>
  <c r="O260" i="20"/>
  <c r="P260" i="20"/>
  <c r="Q260" i="20"/>
  <c r="R260" i="20"/>
  <c r="S260" i="20"/>
  <c r="T260" i="20"/>
  <c r="U260" i="20"/>
  <c r="V260" i="20"/>
  <c r="W260" i="20"/>
  <c r="X260" i="20"/>
  <c r="Y260" i="20"/>
  <c r="Z260" i="20"/>
  <c r="AA260" i="20"/>
  <c r="AB260" i="20"/>
  <c r="AC260" i="20"/>
  <c r="AD260" i="20"/>
  <c r="AE260" i="20"/>
  <c r="AF260" i="20"/>
  <c r="AG260" i="20"/>
  <c r="AH260" i="20"/>
  <c r="AI260" i="20"/>
  <c r="AJ260" i="20"/>
  <c r="AK260" i="20"/>
  <c r="AL260" i="20"/>
  <c r="AM260" i="20"/>
  <c r="AN260" i="20"/>
  <c r="F261" i="20"/>
  <c r="G261" i="20"/>
  <c r="H261" i="20"/>
  <c r="I261" i="20"/>
  <c r="J261" i="20"/>
  <c r="K261" i="20"/>
  <c r="L261" i="20"/>
  <c r="N261" i="20"/>
  <c r="O261" i="20"/>
  <c r="P261" i="20"/>
  <c r="Q261" i="20"/>
  <c r="R261" i="20"/>
  <c r="S261" i="20"/>
  <c r="T261" i="20"/>
  <c r="U261" i="20"/>
  <c r="V261" i="20"/>
  <c r="W261" i="20"/>
  <c r="X261" i="20"/>
  <c r="Y261" i="20"/>
  <c r="Z261" i="20"/>
  <c r="AA261" i="20"/>
  <c r="AB261" i="20"/>
  <c r="AC261" i="20"/>
  <c r="AD261" i="20"/>
  <c r="AE261" i="20"/>
  <c r="AF261" i="20"/>
  <c r="AG261" i="20"/>
  <c r="AH261" i="20"/>
  <c r="AI261" i="20"/>
  <c r="AJ261" i="20"/>
  <c r="AK261" i="20"/>
  <c r="AL261" i="20"/>
  <c r="AM261" i="20"/>
  <c r="AN261" i="20"/>
  <c r="F262" i="20"/>
  <c r="G262" i="20"/>
  <c r="H262" i="20"/>
  <c r="I262" i="20"/>
  <c r="J262" i="20"/>
  <c r="K262" i="20"/>
  <c r="L262" i="20"/>
  <c r="N262" i="20"/>
  <c r="O262" i="20"/>
  <c r="P262" i="20"/>
  <c r="Q262" i="20"/>
  <c r="R262" i="20"/>
  <c r="S262" i="20"/>
  <c r="T262" i="20"/>
  <c r="U262" i="20"/>
  <c r="V262" i="20"/>
  <c r="W262" i="20"/>
  <c r="X262" i="20"/>
  <c r="Y262" i="20"/>
  <c r="Z262" i="20"/>
  <c r="AA262" i="20"/>
  <c r="AB262" i="20"/>
  <c r="AC262" i="20"/>
  <c r="AD262" i="20"/>
  <c r="AE262" i="20"/>
  <c r="AF262" i="20"/>
  <c r="AG262" i="20"/>
  <c r="AH262" i="20"/>
  <c r="AI262" i="20"/>
  <c r="AJ262" i="20"/>
  <c r="AK262" i="20"/>
  <c r="AL262" i="20"/>
  <c r="AM262" i="20"/>
  <c r="AN262" i="20"/>
  <c r="F263" i="20"/>
  <c r="G263" i="20"/>
  <c r="H263" i="20"/>
  <c r="I263" i="20"/>
  <c r="J263" i="20"/>
  <c r="K263" i="20"/>
  <c r="L263" i="20"/>
  <c r="N263" i="20"/>
  <c r="O263" i="20"/>
  <c r="P263" i="20"/>
  <c r="Q263" i="20"/>
  <c r="R263" i="20"/>
  <c r="S263" i="20"/>
  <c r="T263" i="20"/>
  <c r="U263" i="20"/>
  <c r="V263" i="20"/>
  <c r="W263" i="20"/>
  <c r="X263" i="20"/>
  <c r="Y263" i="20"/>
  <c r="Z263" i="20"/>
  <c r="AA263" i="20"/>
  <c r="AB263" i="20"/>
  <c r="AC263" i="20"/>
  <c r="AD263" i="20"/>
  <c r="AE263" i="20"/>
  <c r="AF263" i="20"/>
  <c r="AG263" i="20"/>
  <c r="AH263" i="20"/>
  <c r="AI263" i="20"/>
  <c r="AJ263" i="20"/>
  <c r="AK263" i="20"/>
  <c r="AL263" i="20"/>
  <c r="AM263" i="20"/>
  <c r="AN263" i="20"/>
  <c r="F264" i="20"/>
  <c r="G264" i="20"/>
  <c r="H264" i="20"/>
  <c r="I264" i="20"/>
  <c r="J264" i="20"/>
  <c r="K264" i="20"/>
  <c r="L264" i="20"/>
  <c r="N264" i="20"/>
  <c r="O264" i="20"/>
  <c r="P264" i="20"/>
  <c r="Q264" i="20"/>
  <c r="R264" i="20"/>
  <c r="S264" i="20"/>
  <c r="T264" i="20"/>
  <c r="U264" i="20"/>
  <c r="V264" i="20"/>
  <c r="W264" i="20"/>
  <c r="X264" i="20"/>
  <c r="Y264" i="20"/>
  <c r="Z264" i="20"/>
  <c r="AA264" i="20"/>
  <c r="AB264" i="20"/>
  <c r="AC264" i="20"/>
  <c r="AD264" i="20"/>
  <c r="AE264" i="20"/>
  <c r="AF264" i="20"/>
  <c r="AG264" i="20"/>
  <c r="AH264" i="20"/>
  <c r="AI264" i="20"/>
  <c r="AJ264" i="20"/>
  <c r="AK264" i="20"/>
  <c r="AL264" i="20"/>
  <c r="AM264" i="20"/>
  <c r="AN264" i="20"/>
  <c r="F265" i="20"/>
  <c r="G265" i="20"/>
  <c r="H265" i="20"/>
  <c r="I265" i="20"/>
  <c r="J265" i="20"/>
  <c r="K265" i="20"/>
  <c r="L265" i="20"/>
  <c r="N265" i="20"/>
  <c r="O265" i="20"/>
  <c r="P265" i="20"/>
  <c r="Q265" i="20"/>
  <c r="R265" i="20"/>
  <c r="S265" i="20"/>
  <c r="T265" i="20"/>
  <c r="U265" i="20"/>
  <c r="V265" i="20"/>
  <c r="W265" i="20"/>
  <c r="X265" i="20"/>
  <c r="Y265" i="20"/>
  <c r="Z265" i="20"/>
  <c r="AA265" i="20"/>
  <c r="AB265" i="20"/>
  <c r="AC265" i="20"/>
  <c r="AD265" i="20"/>
  <c r="AE265" i="20"/>
  <c r="AF265" i="20"/>
  <c r="AG265" i="20"/>
  <c r="AH265" i="20"/>
  <c r="AI265" i="20"/>
  <c r="AJ265" i="20"/>
  <c r="AK265" i="20"/>
  <c r="AL265" i="20"/>
  <c r="AM265" i="20"/>
  <c r="AN265" i="20"/>
  <c r="F266" i="20"/>
  <c r="G266" i="20"/>
  <c r="H266" i="20"/>
  <c r="I266" i="20"/>
  <c r="J266" i="20"/>
  <c r="K266" i="20"/>
  <c r="L266" i="20"/>
  <c r="N266" i="20"/>
  <c r="O266" i="20"/>
  <c r="P266" i="20"/>
  <c r="Q266" i="20"/>
  <c r="R266" i="20"/>
  <c r="S266" i="20"/>
  <c r="T266" i="20"/>
  <c r="U266" i="20"/>
  <c r="V266" i="20"/>
  <c r="W266" i="20"/>
  <c r="X266" i="20"/>
  <c r="Y266" i="20"/>
  <c r="Z266" i="20"/>
  <c r="AA266" i="20"/>
  <c r="AB266" i="20"/>
  <c r="AC266" i="20"/>
  <c r="AD266" i="20"/>
  <c r="AE266" i="20"/>
  <c r="AF266" i="20"/>
  <c r="AG266" i="20"/>
  <c r="AH266" i="20"/>
  <c r="AI266" i="20"/>
  <c r="AJ266" i="20"/>
  <c r="AK266" i="20"/>
  <c r="AL266" i="20"/>
  <c r="AM266" i="20"/>
  <c r="AN266" i="20"/>
  <c r="F267" i="20"/>
  <c r="G267" i="20"/>
  <c r="H267" i="20"/>
  <c r="I267" i="20"/>
  <c r="J267" i="20"/>
  <c r="K267" i="20"/>
  <c r="L267" i="20"/>
  <c r="N267" i="20"/>
  <c r="O267" i="20"/>
  <c r="P267" i="20"/>
  <c r="Q267" i="20"/>
  <c r="R267" i="20"/>
  <c r="S267" i="20"/>
  <c r="T267" i="20"/>
  <c r="U267" i="20"/>
  <c r="V267" i="20"/>
  <c r="W267" i="20"/>
  <c r="X267" i="20"/>
  <c r="Y267" i="20"/>
  <c r="Z267" i="20"/>
  <c r="AA267" i="20"/>
  <c r="AB267" i="20"/>
  <c r="AC267" i="20"/>
  <c r="AD267" i="20"/>
  <c r="AE267" i="20"/>
  <c r="AF267" i="20"/>
  <c r="AG267" i="20"/>
  <c r="AH267" i="20"/>
  <c r="AI267" i="20"/>
  <c r="AJ267" i="20"/>
  <c r="AK267" i="20"/>
  <c r="AL267" i="20"/>
  <c r="AM267" i="20"/>
  <c r="AN267" i="20"/>
  <c r="F268" i="20"/>
  <c r="G268" i="20"/>
  <c r="H268" i="20"/>
  <c r="I268" i="20"/>
  <c r="J268" i="20"/>
  <c r="K268" i="20"/>
  <c r="L268" i="20"/>
  <c r="N268" i="20"/>
  <c r="O268" i="20"/>
  <c r="P268" i="20"/>
  <c r="Q268" i="20"/>
  <c r="R268" i="20"/>
  <c r="S268" i="20"/>
  <c r="T268" i="20"/>
  <c r="U268" i="20"/>
  <c r="V268" i="20"/>
  <c r="W268" i="20"/>
  <c r="X268" i="20"/>
  <c r="Y268" i="20"/>
  <c r="Z268" i="20"/>
  <c r="AA268" i="20"/>
  <c r="AB268" i="20"/>
  <c r="AC268" i="20"/>
  <c r="AD268" i="20"/>
  <c r="AE268" i="20"/>
  <c r="AF268" i="20"/>
  <c r="AG268" i="20"/>
  <c r="AH268" i="20"/>
  <c r="AI268" i="20"/>
  <c r="AJ268" i="20"/>
  <c r="AK268" i="20"/>
  <c r="AL268" i="20"/>
  <c r="AM268" i="20"/>
  <c r="AN268" i="20"/>
  <c r="F269" i="20"/>
  <c r="G269" i="20"/>
  <c r="H269" i="20"/>
  <c r="I269" i="20"/>
  <c r="J269" i="20"/>
  <c r="K269" i="20"/>
  <c r="L269" i="20"/>
  <c r="N269" i="20"/>
  <c r="O269" i="20"/>
  <c r="P269" i="20"/>
  <c r="Q269" i="20"/>
  <c r="R269" i="20"/>
  <c r="S269" i="20"/>
  <c r="T269" i="20"/>
  <c r="U269" i="20"/>
  <c r="V269" i="20"/>
  <c r="W269" i="20"/>
  <c r="X269" i="20"/>
  <c r="Y269" i="20"/>
  <c r="Z269" i="20"/>
  <c r="AA269" i="20"/>
  <c r="AB269" i="20"/>
  <c r="AC269" i="20"/>
  <c r="AD269" i="20"/>
  <c r="AE269" i="20"/>
  <c r="AF269" i="20"/>
  <c r="AG269" i="20"/>
  <c r="AH269" i="20"/>
  <c r="AI269" i="20"/>
  <c r="AJ269" i="20"/>
  <c r="AK269" i="20"/>
  <c r="AL269" i="20"/>
  <c r="AM269" i="20"/>
  <c r="AN269" i="20"/>
  <c r="F270" i="20"/>
  <c r="G270" i="20"/>
  <c r="H270" i="20"/>
  <c r="I270" i="20"/>
  <c r="J270" i="20"/>
  <c r="K270" i="20"/>
  <c r="L270" i="20"/>
  <c r="N270" i="20"/>
  <c r="O270" i="20"/>
  <c r="P270" i="20"/>
  <c r="Q270" i="20"/>
  <c r="R270" i="20"/>
  <c r="S270" i="20"/>
  <c r="T270" i="20"/>
  <c r="U270" i="20"/>
  <c r="V270" i="20"/>
  <c r="W270" i="20"/>
  <c r="X270" i="20"/>
  <c r="Y270" i="20"/>
  <c r="Z270" i="20"/>
  <c r="AA270" i="20"/>
  <c r="AB270" i="20"/>
  <c r="AC270" i="20"/>
  <c r="AD270" i="20"/>
  <c r="AE270" i="20"/>
  <c r="AF270" i="20"/>
  <c r="AG270" i="20"/>
  <c r="AH270" i="20"/>
  <c r="AI270" i="20"/>
  <c r="AJ270" i="20"/>
  <c r="AK270" i="20"/>
  <c r="AL270" i="20"/>
  <c r="AM270" i="20"/>
  <c r="AN270" i="20"/>
  <c r="F271" i="20"/>
  <c r="G271" i="20"/>
  <c r="H271" i="20"/>
  <c r="I271" i="20"/>
  <c r="J271" i="20"/>
  <c r="K271" i="20"/>
  <c r="L271" i="20"/>
  <c r="N271" i="20"/>
  <c r="O271" i="20"/>
  <c r="P271" i="20"/>
  <c r="Q271" i="20"/>
  <c r="R271" i="20"/>
  <c r="S271" i="20"/>
  <c r="T271" i="20"/>
  <c r="U271" i="20"/>
  <c r="V271" i="20"/>
  <c r="W271" i="20"/>
  <c r="X271" i="20"/>
  <c r="Y271" i="20"/>
  <c r="Z271" i="20"/>
  <c r="AA271" i="20"/>
  <c r="AB271" i="20"/>
  <c r="AC271" i="20"/>
  <c r="AD271" i="20"/>
  <c r="AE271" i="20"/>
  <c r="AF271" i="20"/>
  <c r="AG271" i="20"/>
  <c r="AH271" i="20"/>
  <c r="AI271" i="20"/>
  <c r="AJ271" i="20"/>
  <c r="AK271" i="20"/>
  <c r="AL271" i="20"/>
  <c r="AM271" i="20"/>
  <c r="AN271" i="20"/>
  <c r="F272" i="20"/>
  <c r="G272" i="20"/>
  <c r="H272" i="20"/>
  <c r="I272" i="20"/>
  <c r="J272" i="20"/>
  <c r="K272" i="20"/>
  <c r="L272" i="20"/>
  <c r="N272" i="20"/>
  <c r="O272" i="20"/>
  <c r="P272" i="20"/>
  <c r="Q272" i="20"/>
  <c r="R272" i="20"/>
  <c r="S272" i="20"/>
  <c r="T272" i="20"/>
  <c r="U272" i="20"/>
  <c r="V272" i="20"/>
  <c r="W272" i="20"/>
  <c r="X272" i="20"/>
  <c r="Y272" i="20"/>
  <c r="Z272" i="20"/>
  <c r="AA272" i="20"/>
  <c r="AB272" i="20"/>
  <c r="AC272" i="20"/>
  <c r="AD272" i="20"/>
  <c r="AE272" i="20"/>
  <c r="AF272" i="20"/>
  <c r="AG272" i="20"/>
  <c r="AH272" i="20"/>
  <c r="AI272" i="20"/>
  <c r="AJ272" i="20"/>
  <c r="AK272" i="20"/>
  <c r="AL272" i="20"/>
  <c r="AM272" i="20"/>
  <c r="AN272" i="20"/>
  <c r="F273" i="20"/>
  <c r="G273" i="20"/>
  <c r="H273" i="20"/>
  <c r="I273" i="20"/>
  <c r="J273" i="20"/>
  <c r="K273" i="20"/>
  <c r="L273" i="20"/>
  <c r="N273" i="20"/>
  <c r="O273" i="20"/>
  <c r="P273" i="20"/>
  <c r="Q273" i="20"/>
  <c r="R273" i="20"/>
  <c r="S273" i="20"/>
  <c r="T273" i="20"/>
  <c r="U273" i="20"/>
  <c r="V273" i="20"/>
  <c r="W273" i="20"/>
  <c r="X273" i="20"/>
  <c r="Y273" i="20"/>
  <c r="Z273" i="20"/>
  <c r="AA273" i="20"/>
  <c r="AB273" i="20"/>
  <c r="AC273" i="20"/>
  <c r="AD273" i="20"/>
  <c r="AE273" i="20"/>
  <c r="AF273" i="20"/>
  <c r="AG273" i="20"/>
  <c r="AH273" i="20"/>
  <c r="AI273" i="20"/>
  <c r="AJ273" i="20"/>
  <c r="AK273" i="20"/>
  <c r="AL273" i="20"/>
  <c r="AM273" i="20"/>
  <c r="AN273" i="20"/>
  <c r="F274" i="20"/>
  <c r="G274" i="20"/>
  <c r="H274" i="20"/>
  <c r="I274" i="20"/>
  <c r="J274" i="20"/>
  <c r="K274" i="20"/>
  <c r="L274" i="20"/>
  <c r="N274" i="20"/>
  <c r="O274" i="20"/>
  <c r="P274" i="20"/>
  <c r="Q274" i="20"/>
  <c r="R274" i="20"/>
  <c r="S274" i="20"/>
  <c r="T274" i="20"/>
  <c r="U274" i="20"/>
  <c r="V274" i="20"/>
  <c r="W274" i="20"/>
  <c r="X274" i="20"/>
  <c r="Y274" i="20"/>
  <c r="Z274" i="20"/>
  <c r="AA274" i="20"/>
  <c r="AB274" i="20"/>
  <c r="AC274" i="20"/>
  <c r="AD274" i="20"/>
  <c r="AE274" i="20"/>
  <c r="AF274" i="20"/>
  <c r="AG274" i="20"/>
  <c r="AH274" i="20"/>
  <c r="AI274" i="20"/>
  <c r="AJ274" i="20"/>
  <c r="AK274" i="20"/>
  <c r="AL274" i="20"/>
  <c r="AM274" i="20"/>
  <c r="AN274" i="20"/>
  <c r="F275" i="20"/>
  <c r="G275" i="20"/>
  <c r="H275" i="20"/>
  <c r="I275" i="20"/>
  <c r="J275" i="20"/>
  <c r="K275" i="20"/>
  <c r="L275" i="20"/>
  <c r="N275" i="20"/>
  <c r="O275" i="20"/>
  <c r="P275" i="20"/>
  <c r="Q275" i="20"/>
  <c r="R275" i="20"/>
  <c r="S275" i="20"/>
  <c r="T275" i="20"/>
  <c r="U275" i="20"/>
  <c r="V275" i="20"/>
  <c r="W275" i="20"/>
  <c r="X275" i="20"/>
  <c r="Y275" i="20"/>
  <c r="Z275" i="20"/>
  <c r="AA275" i="20"/>
  <c r="AB275" i="20"/>
  <c r="AC275" i="20"/>
  <c r="AD275" i="20"/>
  <c r="AE275" i="20"/>
  <c r="AF275" i="20"/>
  <c r="AG275" i="20"/>
  <c r="AH275" i="20"/>
  <c r="AI275" i="20"/>
  <c r="AJ275" i="20"/>
  <c r="AK275" i="20"/>
  <c r="AL275" i="20"/>
  <c r="AM275" i="20"/>
  <c r="AN275" i="20"/>
  <c r="F276" i="20"/>
  <c r="G276" i="20"/>
  <c r="H276" i="20"/>
  <c r="I276" i="20"/>
  <c r="J276" i="20"/>
  <c r="K276" i="20"/>
  <c r="L276" i="20"/>
  <c r="N276" i="20"/>
  <c r="O276" i="20"/>
  <c r="P276" i="20"/>
  <c r="Q276" i="20"/>
  <c r="R276" i="20"/>
  <c r="S276" i="20"/>
  <c r="T276" i="20"/>
  <c r="U276" i="20"/>
  <c r="V276" i="20"/>
  <c r="W276" i="20"/>
  <c r="X276" i="20"/>
  <c r="Y276" i="20"/>
  <c r="Z276" i="20"/>
  <c r="AA276" i="20"/>
  <c r="AB276" i="20"/>
  <c r="AC276" i="20"/>
  <c r="AD276" i="20"/>
  <c r="AE276" i="20"/>
  <c r="AF276" i="20"/>
  <c r="AG276" i="20"/>
  <c r="AH276" i="20"/>
  <c r="AI276" i="20"/>
  <c r="AJ276" i="20"/>
  <c r="AK276" i="20"/>
  <c r="AL276" i="20"/>
  <c r="AM276" i="20"/>
  <c r="AN276" i="20"/>
  <c r="F277" i="20"/>
  <c r="G277" i="20"/>
  <c r="H277" i="20"/>
  <c r="I277" i="20"/>
  <c r="J277" i="20"/>
  <c r="K277" i="20"/>
  <c r="L277" i="20"/>
  <c r="N277" i="20"/>
  <c r="O277" i="20"/>
  <c r="P277" i="20"/>
  <c r="Q277" i="20"/>
  <c r="R277" i="20"/>
  <c r="S277" i="20"/>
  <c r="T277" i="20"/>
  <c r="U277" i="20"/>
  <c r="V277" i="20"/>
  <c r="W277" i="20"/>
  <c r="X277" i="20"/>
  <c r="Y277" i="20"/>
  <c r="Z277" i="20"/>
  <c r="AA277" i="20"/>
  <c r="AB277" i="20"/>
  <c r="AC277" i="20"/>
  <c r="AD277" i="20"/>
  <c r="AE277" i="20"/>
  <c r="AF277" i="20"/>
  <c r="AG277" i="20"/>
  <c r="AH277" i="20"/>
  <c r="AI277" i="20"/>
  <c r="AJ277" i="20"/>
  <c r="AK277" i="20"/>
  <c r="AL277" i="20"/>
  <c r="AM277" i="20"/>
  <c r="AN277" i="20"/>
  <c r="F278" i="20"/>
  <c r="G278" i="20"/>
  <c r="H278" i="20"/>
  <c r="I278" i="20"/>
  <c r="J278" i="20"/>
  <c r="K278" i="20"/>
  <c r="L278" i="20"/>
  <c r="N278" i="20"/>
  <c r="O278" i="20"/>
  <c r="P278" i="20"/>
  <c r="Q278" i="20"/>
  <c r="R278" i="20"/>
  <c r="S278" i="20"/>
  <c r="T278" i="20"/>
  <c r="U278" i="20"/>
  <c r="V278" i="20"/>
  <c r="W278" i="20"/>
  <c r="X278" i="20"/>
  <c r="Y278" i="20"/>
  <c r="Z278" i="20"/>
  <c r="AA278" i="20"/>
  <c r="AB278" i="20"/>
  <c r="AC278" i="20"/>
  <c r="AD278" i="20"/>
  <c r="AE278" i="20"/>
  <c r="AF278" i="20"/>
  <c r="AG278" i="20"/>
  <c r="AH278" i="20"/>
  <c r="AI278" i="20"/>
  <c r="AJ278" i="20"/>
  <c r="AK278" i="20"/>
  <c r="AL278" i="20"/>
  <c r="AM278" i="20"/>
  <c r="AN278" i="20"/>
  <c r="F279" i="20"/>
  <c r="G279" i="20"/>
  <c r="H279" i="20"/>
  <c r="I279" i="20"/>
  <c r="J279" i="20"/>
  <c r="K279" i="20"/>
  <c r="L279" i="20"/>
  <c r="N279" i="20"/>
  <c r="O279" i="20"/>
  <c r="P279" i="20"/>
  <c r="Q279" i="20"/>
  <c r="R279" i="20"/>
  <c r="S279" i="20"/>
  <c r="T279" i="20"/>
  <c r="U279" i="20"/>
  <c r="V279" i="20"/>
  <c r="W279" i="20"/>
  <c r="X279" i="20"/>
  <c r="Y279" i="20"/>
  <c r="Z279" i="20"/>
  <c r="AA279" i="20"/>
  <c r="AB279" i="20"/>
  <c r="AC279" i="20"/>
  <c r="AD279" i="20"/>
  <c r="AE279" i="20"/>
  <c r="AF279" i="20"/>
  <c r="AG279" i="20"/>
  <c r="AH279" i="20"/>
  <c r="AI279" i="20"/>
  <c r="AJ279" i="20"/>
  <c r="AK279" i="20"/>
  <c r="AL279" i="20"/>
  <c r="AM279" i="20"/>
  <c r="AN279" i="20"/>
  <c r="F280" i="20"/>
  <c r="G280" i="20"/>
  <c r="H280" i="20"/>
  <c r="I280" i="20"/>
  <c r="J280" i="20"/>
  <c r="K280" i="20"/>
  <c r="L280" i="20"/>
  <c r="N280" i="20"/>
  <c r="O280" i="20"/>
  <c r="P280" i="20"/>
  <c r="Q280" i="20"/>
  <c r="R280" i="20"/>
  <c r="S280" i="20"/>
  <c r="T280" i="20"/>
  <c r="U280" i="20"/>
  <c r="V280" i="20"/>
  <c r="W280" i="20"/>
  <c r="X280" i="20"/>
  <c r="Y280" i="20"/>
  <c r="Z280" i="20"/>
  <c r="AA280" i="20"/>
  <c r="AB280" i="20"/>
  <c r="AC280" i="20"/>
  <c r="AD280" i="20"/>
  <c r="AE280" i="20"/>
  <c r="AF280" i="20"/>
  <c r="AG280" i="20"/>
  <c r="AH280" i="20"/>
  <c r="AI280" i="20"/>
  <c r="AJ280" i="20"/>
  <c r="AK280" i="20"/>
  <c r="AL280" i="20"/>
  <c r="AM280" i="20"/>
  <c r="AN280" i="20"/>
  <c r="F281" i="20"/>
  <c r="G281" i="20"/>
  <c r="H281" i="20"/>
  <c r="I281" i="20"/>
  <c r="J281" i="20"/>
  <c r="K281" i="20"/>
  <c r="L281" i="20"/>
  <c r="N281" i="20"/>
  <c r="O281" i="20"/>
  <c r="P281" i="20"/>
  <c r="Q281" i="20"/>
  <c r="R281" i="20"/>
  <c r="S281" i="20"/>
  <c r="T281" i="20"/>
  <c r="U281" i="20"/>
  <c r="V281" i="20"/>
  <c r="W281" i="20"/>
  <c r="X281" i="20"/>
  <c r="Y281" i="20"/>
  <c r="Z281" i="20"/>
  <c r="AA281" i="20"/>
  <c r="AB281" i="20"/>
  <c r="AC281" i="20"/>
  <c r="AD281" i="20"/>
  <c r="AE281" i="20"/>
  <c r="AF281" i="20"/>
  <c r="AG281" i="20"/>
  <c r="AH281" i="20"/>
  <c r="AI281" i="20"/>
  <c r="AJ281" i="20"/>
  <c r="AK281" i="20"/>
  <c r="AL281" i="20"/>
  <c r="AM281" i="20"/>
  <c r="AN281" i="20"/>
  <c r="F282" i="20"/>
  <c r="G282" i="20"/>
  <c r="H282" i="20"/>
  <c r="I282" i="20"/>
  <c r="J282" i="20"/>
  <c r="K282" i="20"/>
  <c r="L282" i="20"/>
  <c r="N282" i="20"/>
  <c r="O282" i="20"/>
  <c r="P282" i="20"/>
  <c r="Q282" i="20"/>
  <c r="R282" i="20"/>
  <c r="S282" i="20"/>
  <c r="T282" i="20"/>
  <c r="U282" i="20"/>
  <c r="V282" i="20"/>
  <c r="W282" i="20"/>
  <c r="X282" i="20"/>
  <c r="Y282" i="20"/>
  <c r="Z282" i="20"/>
  <c r="AA282" i="20"/>
  <c r="AB282" i="20"/>
  <c r="AC282" i="20"/>
  <c r="AD282" i="20"/>
  <c r="AE282" i="20"/>
  <c r="AF282" i="20"/>
  <c r="AG282" i="20"/>
  <c r="AH282" i="20"/>
  <c r="AI282" i="20"/>
  <c r="AJ282" i="20"/>
  <c r="AK282" i="20"/>
  <c r="AL282" i="20"/>
  <c r="AM282" i="20"/>
  <c r="AN282" i="20"/>
  <c r="F283" i="20"/>
  <c r="G283" i="20"/>
  <c r="H283" i="20"/>
  <c r="I283" i="20"/>
  <c r="J283" i="20"/>
  <c r="K283" i="20"/>
  <c r="L283" i="20"/>
  <c r="N283" i="20"/>
  <c r="O283" i="20"/>
  <c r="P283" i="20"/>
  <c r="Q283" i="20"/>
  <c r="R283" i="20"/>
  <c r="S283" i="20"/>
  <c r="T283" i="20"/>
  <c r="U283" i="20"/>
  <c r="V283" i="20"/>
  <c r="W283" i="20"/>
  <c r="X283" i="20"/>
  <c r="Y283" i="20"/>
  <c r="Z283" i="20"/>
  <c r="AA283" i="20"/>
  <c r="AB283" i="20"/>
  <c r="AC283" i="20"/>
  <c r="AD283" i="20"/>
  <c r="AE283" i="20"/>
  <c r="AF283" i="20"/>
  <c r="AG283" i="20"/>
  <c r="AH283" i="20"/>
  <c r="AI283" i="20"/>
  <c r="AJ283" i="20"/>
  <c r="AK283" i="20"/>
  <c r="AL283" i="20"/>
  <c r="AM283" i="20"/>
  <c r="AN283" i="20"/>
  <c r="F284" i="20"/>
  <c r="G284" i="20"/>
  <c r="H284" i="20"/>
  <c r="I284" i="20"/>
  <c r="J284" i="20"/>
  <c r="K284" i="20"/>
  <c r="L284" i="20"/>
  <c r="N284" i="20"/>
  <c r="O284" i="20"/>
  <c r="P284" i="20"/>
  <c r="Q284" i="20"/>
  <c r="R284" i="20"/>
  <c r="S284" i="20"/>
  <c r="T284" i="20"/>
  <c r="U284" i="20"/>
  <c r="V284" i="20"/>
  <c r="W284" i="20"/>
  <c r="X284" i="20"/>
  <c r="Y284" i="20"/>
  <c r="Z284" i="20"/>
  <c r="AA284" i="20"/>
  <c r="AB284" i="20"/>
  <c r="AC284" i="20"/>
  <c r="AD284" i="20"/>
  <c r="AE284" i="20"/>
  <c r="AF284" i="20"/>
  <c r="AG284" i="20"/>
  <c r="AH284" i="20"/>
  <c r="AI284" i="20"/>
  <c r="AJ284" i="20"/>
  <c r="AK284" i="20"/>
  <c r="AL284" i="20"/>
  <c r="AM284" i="20"/>
  <c r="AN284" i="20"/>
  <c r="F285" i="20"/>
  <c r="G285" i="20"/>
  <c r="H285" i="20"/>
  <c r="I285" i="20"/>
  <c r="J285" i="20"/>
  <c r="K285" i="20"/>
  <c r="L285" i="20"/>
  <c r="N285" i="20"/>
  <c r="O285" i="20"/>
  <c r="P285" i="20"/>
  <c r="Q285" i="20"/>
  <c r="R285" i="20"/>
  <c r="S285" i="20"/>
  <c r="T285" i="20"/>
  <c r="U285" i="20"/>
  <c r="V285" i="20"/>
  <c r="W285" i="20"/>
  <c r="X285" i="20"/>
  <c r="Y285" i="20"/>
  <c r="Z285" i="20"/>
  <c r="AA285" i="20"/>
  <c r="AB285" i="20"/>
  <c r="AC285" i="20"/>
  <c r="AD285" i="20"/>
  <c r="AE285" i="20"/>
  <c r="AF285" i="20"/>
  <c r="AG285" i="20"/>
  <c r="AH285" i="20"/>
  <c r="AI285" i="20"/>
  <c r="AJ285" i="20"/>
  <c r="AK285" i="20"/>
  <c r="AL285" i="20"/>
  <c r="AM285" i="20"/>
  <c r="AN285" i="20"/>
  <c r="F286" i="20"/>
  <c r="G286" i="20"/>
  <c r="H286" i="20"/>
  <c r="I286" i="20"/>
  <c r="J286" i="20"/>
  <c r="K286" i="20"/>
  <c r="L286" i="20"/>
  <c r="N286" i="20"/>
  <c r="O286" i="20"/>
  <c r="P286" i="20"/>
  <c r="Q286" i="20"/>
  <c r="R286" i="20"/>
  <c r="S286" i="20"/>
  <c r="T286" i="20"/>
  <c r="U286" i="20"/>
  <c r="V286" i="20"/>
  <c r="W286" i="20"/>
  <c r="X286" i="20"/>
  <c r="Y286" i="20"/>
  <c r="Z286" i="20"/>
  <c r="AA286" i="20"/>
  <c r="AB286" i="20"/>
  <c r="AC286" i="20"/>
  <c r="AD286" i="20"/>
  <c r="AE286" i="20"/>
  <c r="AF286" i="20"/>
  <c r="AG286" i="20"/>
  <c r="AH286" i="20"/>
  <c r="AI286" i="20"/>
  <c r="AJ286" i="20"/>
  <c r="AK286" i="20"/>
  <c r="AL286" i="20"/>
  <c r="AM286" i="20"/>
  <c r="AN286" i="20"/>
  <c r="F287" i="20"/>
  <c r="G287" i="20"/>
  <c r="H287" i="20"/>
  <c r="I287" i="20"/>
  <c r="J287" i="20"/>
  <c r="K287" i="20"/>
  <c r="L287" i="20"/>
  <c r="N287" i="20"/>
  <c r="O287" i="20"/>
  <c r="P287" i="20"/>
  <c r="Q287" i="20"/>
  <c r="R287" i="20"/>
  <c r="S287" i="20"/>
  <c r="T287" i="20"/>
  <c r="U287" i="20"/>
  <c r="V287" i="20"/>
  <c r="W287" i="20"/>
  <c r="X287" i="20"/>
  <c r="Y287" i="20"/>
  <c r="Z287" i="20"/>
  <c r="AA287" i="20"/>
  <c r="AB287" i="20"/>
  <c r="AC287" i="20"/>
  <c r="AD287" i="20"/>
  <c r="AE287" i="20"/>
  <c r="AF287" i="20"/>
  <c r="AG287" i="20"/>
  <c r="AH287" i="20"/>
  <c r="AI287" i="20"/>
  <c r="AJ287" i="20"/>
  <c r="AK287" i="20"/>
  <c r="AL287" i="20"/>
  <c r="AM287" i="20"/>
  <c r="AN287" i="20"/>
  <c r="F288" i="20"/>
  <c r="G288" i="20"/>
  <c r="H288" i="20"/>
  <c r="I288" i="20"/>
  <c r="J288" i="20"/>
  <c r="K288" i="20"/>
  <c r="L288" i="20"/>
  <c r="N288" i="20"/>
  <c r="O288" i="20"/>
  <c r="P288" i="20"/>
  <c r="Q288" i="20"/>
  <c r="R288" i="20"/>
  <c r="S288" i="20"/>
  <c r="T288" i="20"/>
  <c r="U288" i="20"/>
  <c r="V288" i="20"/>
  <c r="W288" i="20"/>
  <c r="X288" i="20"/>
  <c r="Y288" i="20"/>
  <c r="Z288" i="20"/>
  <c r="AA288" i="20"/>
  <c r="AB288" i="20"/>
  <c r="AC288" i="20"/>
  <c r="AD288" i="20"/>
  <c r="AE288" i="20"/>
  <c r="AF288" i="20"/>
  <c r="AG288" i="20"/>
  <c r="AH288" i="20"/>
  <c r="AI288" i="20"/>
  <c r="AJ288" i="20"/>
  <c r="AK288" i="20"/>
  <c r="AL288" i="20"/>
  <c r="AM288" i="20"/>
  <c r="AN288" i="20"/>
  <c r="F289" i="20"/>
  <c r="G289" i="20"/>
  <c r="H289" i="20"/>
  <c r="I289" i="20"/>
  <c r="J289" i="20"/>
  <c r="K289" i="20"/>
  <c r="L289" i="20"/>
  <c r="N289" i="20"/>
  <c r="O289" i="20"/>
  <c r="P289" i="20"/>
  <c r="Q289" i="20"/>
  <c r="R289" i="20"/>
  <c r="S289" i="20"/>
  <c r="T289" i="20"/>
  <c r="U289" i="20"/>
  <c r="V289" i="20"/>
  <c r="W289" i="20"/>
  <c r="X289" i="20"/>
  <c r="Y289" i="20"/>
  <c r="Z289" i="20"/>
  <c r="AA289" i="20"/>
  <c r="AB289" i="20"/>
  <c r="AC289" i="20"/>
  <c r="AD289" i="20"/>
  <c r="AE289" i="20"/>
  <c r="AF289" i="20"/>
  <c r="AG289" i="20"/>
  <c r="AH289" i="20"/>
  <c r="AI289" i="20"/>
  <c r="AJ289" i="20"/>
  <c r="AK289" i="20"/>
  <c r="AL289" i="20"/>
  <c r="AM289" i="20"/>
  <c r="AN289" i="20"/>
  <c r="F290" i="20"/>
  <c r="G290" i="20"/>
  <c r="H290" i="20"/>
  <c r="I290" i="20"/>
  <c r="J290" i="20"/>
  <c r="K290" i="20"/>
  <c r="L290" i="20"/>
  <c r="N290" i="20"/>
  <c r="O290" i="20"/>
  <c r="P290" i="20"/>
  <c r="Q290" i="20"/>
  <c r="R290" i="20"/>
  <c r="S290" i="20"/>
  <c r="T290" i="20"/>
  <c r="U290" i="20"/>
  <c r="V290" i="20"/>
  <c r="W290" i="20"/>
  <c r="X290" i="20"/>
  <c r="Y290" i="20"/>
  <c r="Z290" i="20"/>
  <c r="AA290" i="20"/>
  <c r="AB290" i="20"/>
  <c r="AC290" i="20"/>
  <c r="AD290" i="20"/>
  <c r="AE290" i="20"/>
  <c r="AF290" i="20"/>
  <c r="AG290" i="20"/>
  <c r="AH290" i="20"/>
  <c r="AI290" i="20"/>
  <c r="AJ290" i="20"/>
  <c r="AK290" i="20"/>
  <c r="AL290" i="20"/>
  <c r="AM290" i="20"/>
  <c r="AN290" i="20"/>
  <c r="F291" i="20"/>
  <c r="G291" i="20"/>
  <c r="H291" i="20"/>
  <c r="I291" i="20"/>
  <c r="J291" i="20"/>
  <c r="K291" i="20"/>
  <c r="L291" i="20"/>
  <c r="N291" i="20"/>
  <c r="O291" i="20"/>
  <c r="P291" i="20"/>
  <c r="Q291" i="20"/>
  <c r="R291" i="20"/>
  <c r="S291" i="20"/>
  <c r="T291" i="20"/>
  <c r="U291" i="20"/>
  <c r="V291" i="20"/>
  <c r="W291" i="20"/>
  <c r="X291" i="20"/>
  <c r="Y291" i="20"/>
  <c r="Z291" i="20"/>
  <c r="AA291" i="20"/>
  <c r="AB291" i="20"/>
  <c r="AC291" i="20"/>
  <c r="AD291" i="20"/>
  <c r="AE291" i="20"/>
  <c r="AF291" i="20"/>
  <c r="AG291" i="20"/>
  <c r="AH291" i="20"/>
  <c r="AI291" i="20"/>
  <c r="AJ291" i="20"/>
  <c r="AK291" i="20"/>
  <c r="AL291" i="20"/>
  <c r="AM291" i="20"/>
  <c r="AN291" i="20"/>
  <c r="F292" i="20"/>
  <c r="G292" i="20"/>
  <c r="H292" i="20"/>
  <c r="I292" i="20"/>
  <c r="J292" i="20"/>
  <c r="K292" i="20"/>
  <c r="L292" i="20"/>
  <c r="N292" i="20"/>
  <c r="O292" i="20"/>
  <c r="P292" i="20"/>
  <c r="Q292" i="20"/>
  <c r="R292" i="20"/>
  <c r="S292" i="20"/>
  <c r="T292" i="20"/>
  <c r="U292" i="20"/>
  <c r="V292" i="20"/>
  <c r="W292" i="20"/>
  <c r="X292" i="20"/>
  <c r="Y292" i="20"/>
  <c r="Z292" i="20"/>
  <c r="AA292" i="20"/>
  <c r="AB292" i="20"/>
  <c r="AC292" i="20"/>
  <c r="AD292" i="20"/>
  <c r="AE292" i="20"/>
  <c r="AF292" i="20"/>
  <c r="AG292" i="20"/>
  <c r="AH292" i="20"/>
  <c r="AI292" i="20"/>
  <c r="AJ292" i="20"/>
  <c r="AK292" i="20"/>
  <c r="AL292" i="20"/>
  <c r="AM292" i="20"/>
  <c r="AN292" i="20"/>
  <c r="F295" i="20"/>
  <c r="G295" i="20"/>
  <c r="H295" i="20"/>
  <c r="I295" i="20"/>
  <c r="J295" i="20"/>
  <c r="K295" i="20"/>
  <c r="L295" i="20"/>
  <c r="N295" i="20"/>
  <c r="O295" i="20"/>
  <c r="P295" i="20"/>
  <c r="Q295" i="20"/>
  <c r="R295" i="20"/>
  <c r="S295" i="20"/>
  <c r="T295" i="20"/>
  <c r="U295" i="20"/>
  <c r="V295" i="20"/>
  <c r="W295" i="20"/>
  <c r="X295" i="20"/>
  <c r="Y295" i="20"/>
  <c r="Z295" i="20"/>
  <c r="AA295" i="20"/>
  <c r="AB295" i="20"/>
  <c r="AC295" i="20"/>
  <c r="AD295" i="20"/>
  <c r="AE295" i="20"/>
  <c r="AF295" i="20"/>
  <c r="AG295" i="20"/>
  <c r="AH295" i="20"/>
  <c r="AI295" i="20"/>
  <c r="AJ295" i="20"/>
  <c r="AK295" i="20"/>
  <c r="AL295" i="20"/>
  <c r="AM295" i="20"/>
  <c r="AN295" i="20"/>
  <c r="F296" i="20"/>
  <c r="G296" i="20"/>
  <c r="H296" i="20"/>
  <c r="I296" i="20"/>
  <c r="J296" i="20"/>
  <c r="K296" i="20"/>
  <c r="L296" i="20"/>
  <c r="N296" i="20"/>
  <c r="O296" i="20"/>
  <c r="P296" i="20"/>
  <c r="Q296" i="20"/>
  <c r="R296" i="20"/>
  <c r="S296" i="20"/>
  <c r="T296" i="20"/>
  <c r="U296" i="20"/>
  <c r="V296" i="20"/>
  <c r="W296" i="20"/>
  <c r="X296" i="20"/>
  <c r="Y296" i="20"/>
  <c r="Z296" i="20"/>
  <c r="AA296" i="20"/>
  <c r="AB296" i="20"/>
  <c r="AC296" i="20"/>
  <c r="AD296" i="20"/>
  <c r="AE296" i="20"/>
  <c r="AF296" i="20"/>
  <c r="AG296" i="20"/>
  <c r="AH296" i="20"/>
  <c r="AI296" i="20"/>
  <c r="AJ296" i="20"/>
  <c r="AK296" i="20"/>
  <c r="AL296" i="20"/>
  <c r="AM296" i="20"/>
  <c r="AN296" i="20"/>
  <c r="F297" i="20"/>
  <c r="G297" i="20"/>
  <c r="H297" i="20"/>
  <c r="I297" i="20"/>
  <c r="J297" i="20"/>
  <c r="K297" i="20"/>
  <c r="L297" i="20"/>
  <c r="N297" i="20"/>
  <c r="O297" i="20"/>
  <c r="P297" i="20"/>
  <c r="Q297" i="20"/>
  <c r="R297" i="20"/>
  <c r="S297" i="20"/>
  <c r="T297" i="20"/>
  <c r="U297" i="20"/>
  <c r="V297" i="20"/>
  <c r="W297" i="20"/>
  <c r="X297" i="20"/>
  <c r="Y297" i="20"/>
  <c r="Z297" i="20"/>
  <c r="AA297" i="20"/>
  <c r="AB297" i="20"/>
  <c r="AC297" i="20"/>
  <c r="AD297" i="20"/>
  <c r="AE297" i="20"/>
  <c r="AF297" i="20"/>
  <c r="AG297" i="20"/>
  <c r="AH297" i="20"/>
  <c r="AI297" i="20"/>
  <c r="AJ297" i="20"/>
  <c r="AK297" i="20"/>
  <c r="AL297" i="20"/>
  <c r="AM297" i="20"/>
  <c r="AN297" i="20"/>
  <c r="F298" i="20"/>
  <c r="G298" i="20"/>
  <c r="H298" i="20"/>
  <c r="I298" i="20"/>
  <c r="J298" i="20"/>
  <c r="K298" i="20"/>
  <c r="L298" i="20"/>
  <c r="N298" i="20"/>
  <c r="O298" i="20"/>
  <c r="P298" i="20"/>
  <c r="Q298" i="20"/>
  <c r="R298" i="20"/>
  <c r="S298" i="20"/>
  <c r="T298" i="20"/>
  <c r="U298" i="20"/>
  <c r="V298" i="20"/>
  <c r="W298" i="20"/>
  <c r="X298" i="20"/>
  <c r="Y298" i="20"/>
  <c r="Z298" i="20"/>
  <c r="AA298" i="20"/>
  <c r="AB298" i="20"/>
  <c r="AC298" i="20"/>
  <c r="AD298" i="20"/>
  <c r="AE298" i="20"/>
  <c r="AF298" i="20"/>
  <c r="AG298" i="20"/>
  <c r="AH298" i="20"/>
  <c r="AI298" i="20"/>
  <c r="AJ298" i="20"/>
  <c r="AK298" i="20"/>
  <c r="AL298" i="20"/>
  <c r="AM298" i="20"/>
  <c r="AN298" i="20"/>
  <c r="F299" i="20"/>
  <c r="G299" i="20"/>
  <c r="H299" i="20"/>
  <c r="I299" i="20"/>
  <c r="J299" i="20"/>
  <c r="K299" i="20"/>
  <c r="L299" i="20"/>
  <c r="N299" i="20"/>
  <c r="O299" i="20"/>
  <c r="P299" i="20"/>
  <c r="Q299" i="20"/>
  <c r="R299" i="20"/>
  <c r="S299" i="20"/>
  <c r="T299" i="20"/>
  <c r="U299" i="20"/>
  <c r="V299" i="20"/>
  <c r="W299" i="20"/>
  <c r="X299" i="20"/>
  <c r="Y299" i="20"/>
  <c r="Z299" i="20"/>
  <c r="AA299" i="20"/>
  <c r="AB299" i="20"/>
  <c r="AC299" i="20"/>
  <c r="AD299" i="20"/>
  <c r="AE299" i="20"/>
  <c r="AF299" i="20"/>
  <c r="AG299" i="20"/>
  <c r="AH299" i="20"/>
  <c r="AI299" i="20"/>
  <c r="AJ299" i="20"/>
  <c r="AK299" i="20"/>
  <c r="AL299" i="20"/>
  <c r="AM299" i="20"/>
  <c r="AN299" i="20"/>
  <c r="F300" i="20"/>
  <c r="G300" i="20"/>
  <c r="H300" i="20"/>
  <c r="I300" i="20"/>
  <c r="J300" i="20"/>
  <c r="K300" i="20"/>
  <c r="L300" i="20"/>
  <c r="N300" i="20"/>
  <c r="O300" i="20"/>
  <c r="P300" i="20"/>
  <c r="Q300" i="20"/>
  <c r="R300" i="20"/>
  <c r="S300" i="20"/>
  <c r="T300" i="20"/>
  <c r="U300" i="20"/>
  <c r="V300" i="20"/>
  <c r="W300" i="20"/>
  <c r="X300" i="20"/>
  <c r="Y300" i="20"/>
  <c r="Z300" i="20"/>
  <c r="AA300" i="20"/>
  <c r="AB300" i="20"/>
  <c r="AC300" i="20"/>
  <c r="AD300" i="20"/>
  <c r="AE300" i="20"/>
  <c r="AF300" i="20"/>
  <c r="AG300" i="20"/>
  <c r="AH300" i="20"/>
  <c r="AI300" i="20"/>
  <c r="AJ300" i="20"/>
  <c r="AK300" i="20"/>
  <c r="AL300" i="20"/>
  <c r="AM300" i="20"/>
  <c r="AN300" i="20"/>
  <c r="F301" i="20"/>
  <c r="G301" i="20"/>
  <c r="H301" i="20"/>
  <c r="I301" i="20"/>
  <c r="J301" i="20"/>
  <c r="K301" i="20"/>
  <c r="L301" i="20"/>
  <c r="N301" i="20"/>
  <c r="O301" i="20"/>
  <c r="P301" i="20"/>
  <c r="Q301" i="20"/>
  <c r="R301" i="20"/>
  <c r="S301" i="20"/>
  <c r="T301" i="20"/>
  <c r="U301" i="20"/>
  <c r="V301" i="20"/>
  <c r="W301" i="20"/>
  <c r="X301" i="20"/>
  <c r="Y301" i="20"/>
  <c r="Z301" i="20"/>
  <c r="AA301" i="20"/>
  <c r="AB301" i="20"/>
  <c r="AC301" i="20"/>
  <c r="AD301" i="20"/>
  <c r="AE301" i="20"/>
  <c r="AF301" i="20"/>
  <c r="AG301" i="20"/>
  <c r="AH301" i="20"/>
  <c r="AI301" i="20"/>
  <c r="AJ301" i="20"/>
  <c r="AK301" i="20"/>
  <c r="AL301" i="20"/>
  <c r="AM301" i="20"/>
  <c r="AN301" i="20"/>
  <c r="F302" i="20"/>
  <c r="G302" i="20"/>
  <c r="H302" i="20"/>
  <c r="I302" i="20"/>
  <c r="J302" i="20"/>
  <c r="K302" i="20"/>
  <c r="L302" i="20"/>
  <c r="N302" i="20"/>
  <c r="O302" i="20"/>
  <c r="P302" i="20"/>
  <c r="Q302" i="20"/>
  <c r="R302" i="20"/>
  <c r="S302" i="20"/>
  <c r="T302" i="20"/>
  <c r="U302" i="20"/>
  <c r="V302" i="20"/>
  <c r="W302" i="20"/>
  <c r="X302" i="20"/>
  <c r="Y302" i="20"/>
  <c r="Z302" i="20"/>
  <c r="AA302" i="20"/>
  <c r="AB302" i="20"/>
  <c r="AC302" i="20"/>
  <c r="AD302" i="20"/>
  <c r="AE302" i="20"/>
  <c r="AF302" i="20"/>
  <c r="AG302" i="20"/>
  <c r="AH302" i="20"/>
  <c r="AI302" i="20"/>
  <c r="AJ302" i="20"/>
  <c r="AK302" i="20"/>
  <c r="AL302" i="20"/>
  <c r="AM302" i="20"/>
  <c r="AN302" i="20"/>
  <c r="F303" i="20"/>
  <c r="G303" i="20"/>
  <c r="H303" i="20"/>
  <c r="I303" i="20"/>
  <c r="J303" i="20"/>
  <c r="K303" i="20"/>
  <c r="L303" i="20"/>
  <c r="N303" i="20"/>
  <c r="O303" i="20"/>
  <c r="P303" i="20"/>
  <c r="Q303" i="20"/>
  <c r="R303" i="20"/>
  <c r="S303" i="20"/>
  <c r="T303" i="20"/>
  <c r="U303" i="20"/>
  <c r="V303" i="20"/>
  <c r="W303" i="20"/>
  <c r="X303" i="20"/>
  <c r="Y303" i="20"/>
  <c r="Z303" i="20"/>
  <c r="AA303" i="20"/>
  <c r="AB303" i="20"/>
  <c r="AC303" i="20"/>
  <c r="AD303" i="20"/>
  <c r="AE303" i="20"/>
  <c r="AF303" i="20"/>
  <c r="AG303" i="20"/>
  <c r="AH303" i="20"/>
  <c r="AI303" i="20"/>
  <c r="AJ303" i="20"/>
  <c r="AK303" i="20"/>
  <c r="AL303" i="20"/>
  <c r="AM303" i="20"/>
  <c r="AN303" i="20"/>
  <c r="F304" i="20"/>
  <c r="G304" i="20"/>
  <c r="H304" i="20"/>
  <c r="I304" i="20"/>
  <c r="J304" i="20"/>
  <c r="K304" i="20"/>
  <c r="L304" i="20"/>
  <c r="N304" i="20"/>
  <c r="O304" i="20"/>
  <c r="P304" i="20"/>
  <c r="Q304" i="20"/>
  <c r="R304" i="20"/>
  <c r="S304" i="20"/>
  <c r="T304" i="20"/>
  <c r="U304" i="20"/>
  <c r="V304" i="20"/>
  <c r="W304" i="20"/>
  <c r="X304" i="20"/>
  <c r="Y304" i="20"/>
  <c r="Z304" i="20"/>
  <c r="AA304" i="20"/>
  <c r="AB304" i="20"/>
  <c r="AC304" i="20"/>
  <c r="AD304" i="20"/>
  <c r="AE304" i="20"/>
  <c r="AF304" i="20"/>
  <c r="AG304" i="20"/>
  <c r="AH304" i="20"/>
  <c r="AI304" i="20"/>
  <c r="AJ304" i="20"/>
  <c r="AK304" i="20"/>
  <c r="AL304" i="20"/>
  <c r="AM304" i="20"/>
  <c r="AN304" i="20"/>
  <c r="F305" i="20"/>
  <c r="G305" i="20"/>
  <c r="H305" i="20"/>
  <c r="I305" i="20"/>
  <c r="J305" i="20"/>
  <c r="K305" i="20"/>
  <c r="L305" i="20"/>
  <c r="N305" i="20"/>
  <c r="O305" i="20"/>
  <c r="P305" i="20"/>
  <c r="Q305" i="20"/>
  <c r="R305" i="20"/>
  <c r="S305" i="20"/>
  <c r="T305" i="20"/>
  <c r="U305" i="20"/>
  <c r="V305" i="20"/>
  <c r="W305" i="20"/>
  <c r="X305" i="20"/>
  <c r="Y305" i="20"/>
  <c r="Z305" i="20"/>
  <c r="AA305" i="20"/>
  <c r="AB305" i="20"/>
  <c r="AC305" i="20"/>
  <c r="AD305" i="20"/>
  <c r="AE305" i="20"/>
  <c r="AF305" i="20"/>
  <c r="AG305" i="20"/>
  <c r="AH305" i="20"/>
  <c r="AI305" i="20"/>
  <c r="AJ305" i="20"/>
  <c r="AK305" i="20"/>
  <c r="AL305" i="20"/>
  <c r="AM305" i="20"/>
  <c r="AN305" i="20"/>
  <c r="F306" i="20"/>
  <c r="G306" i="20"/>
  <c r="H306" i="20"/>
  <c r="I306" i="20"/>
  <c r="J306" i="20"/>
  <c r="K306" i="20"/>
  <c r="L306" i="20"/>
  <c r="N306" i="20"/>
  <c r="O306" i="20"/>
  <c r="P306" i="20"/>
  <c r="Q306" i="20"/>
  <c r="R306" i="20"/>
  <c r="S306" i="20"/>
  <c r="T306" i="20"/>
  <c r="U306" i="20"/>
  <c r="V306" i="20"/>
  <c r="W306" i="20"/>
  <c r="X306" i="20"/>
  <c r="Y306" i="20"/>
  <c r="Z306" i="20"/>
  <c r="AA306" i="20"/>
  <c r="AB306" i="20"/>
  <c r="AC306" i="20"/>
  <c r="AD306" i="20"/>
  <c r="AE306" i="20"/>
  <c r="AF306" i="20"/>
  <c r="AG306" i="20"/>
  <c r="AH306" i="20"/>
  <c r="AI306" i="20"/>
  <c r="AJ306" i="20"/>
  <c r="AK306" i="20"/>
  <c r="AL306" i="20"/>
  <c r="AM306" i="20"/>
  <c r="AN306" i="20"/>
  <c r="F307" i="20"/>
  <c r="G307" i="20"/>
  <c r="H307" i="20"/>
  <c r="I307" i="20"/>
  <c r="J307" i="20"/>
  <c r="K307" i="20"/>
  <c r="L307" i="20"/>
  <c r="N307" i="20"/>
  <c r="O307" i="20"/>
  <c r="P307" i="20"/>
  <c r="Q307" i="20"/>
  <c r="R307" i="20"/>
  <c r="S307" i="20"/>
  <c r="T307" i="20"/>
  <c r="U307" i="20"/>
  <c r="V307" i="20"/>
  <c r="W307" i="20"/>
  <c r="X307" i="20"/>
  <c r="Y307" i="20"/>
  <c r="Z307" i="20"/>
  <c r="AA307" i="20"/>
  <c r="AB307" i="20"/>
  <c r="AC307" i="20"/>
  <c r="AD307" i="20"/>
  <c r="AE307" i="20"/>
  <c r="AF307" i="20"/>
  <c r="AG307" i="20"/>
  <c r="AH307" i="20"/>
  <c r="AI307" i="20"/>
  <c r="AJ307" i="20"/>
  <c r="AK307" i="20"/>
  <c r="AL307" i="20"/>
  <c r="AM307" i="20"/>
  <c r="AN307" i="20"/>
  <c r="F308" i="20"/>
  <c r="G308" i="20"/>
  <c r="H308" i="20"/>
  <c r="I308" i="20"/>
  <c r="J308" i="20"/>
  <c r="K308" i="20"/>
  <c r="L308" i="20"/>
  <c r="N308" i="20"/>
  <c r="O308" i="20"/>
  <c r="P308" i="20"/>
  <c r="Q308" i="20"/>
  <c r="R308" i="20"/>
  <c r="S308" i="20"/>
  <c r="T308" i="20"/>
  <c r="U308" i="20"/>
  <c r="V308" i="20"/>
  <c r="W308" i="20"/>
  <c r="X308" i="20"/>
  <c r="Y308" i="20"/>
  <c r="Z308" i="20"/>
  <c r="AA308" i="20"/>
  <c r="AB308" i="20"/>
  <c r="AC308" i="20"/>
  <c r="AD308" i="20"/>
  <c r="AE308" i="20"/>
  <c r="AF308" i="20"/>
  <c r="AG308" i="20"/>
  <c r="AH308" i="20"/>
  <c r="AI308" i="20"/>
  <c r="AJ308" i="20"/>
  <c r="AK308" i="20"/>
  <c r="AL308" i="20"/>
  <c r="AM308" i="20"/>
  <c r="AN308" i="20"/>
  <c r="F309" i="20"/>
  <c r="G309" i="20"/>
  <c r="H309" i="20"/>
  <c r="I309" i="20"/>
  <c r="J309" i="20"/>
  <c r="K309" i="20"/>
  <c r="L309" i="20"/>
  <c r="N309" i="20"/>
  <c r="O309" i="20"/>
  <c r="P309" i="20"/>
  <c r="Q309" i="20"/>
  <c r="R309" i="20"/>
  <c r="S309" i="20"/>
  <c r="T309" i="20"/>
  <c r="U309" i="20"/>
  <c r="V309" i="20"/>
  <c r="W309" i="20"/>
  <c r="X309" i="20"/>
  <c r="Y309" i="20"/>
  <c r="Z309" i="20"/>
  <c r="AA309" i="20"/>
  <c r="AB309" i="20"/>
  <c r="AC309" i="20"/>
  <c r="AD309" i="20"/>
  <c r="AE309" i="20"/>
  <c r="AF309" i="20"/>
  <c r="AG309" i="20"/>
  <c r="AH309" i="20"/>
  <c r="AI309" i="20"/>
  <c r="AJ309" i="20"/>
  <c r="AK309" i="20"/>
  <c r="AL309" i="20"/>
  <c r="AM309" i="20"/>
  <c r="AN309" i="20"/>
  <c r="F310" i="20"/>
  <c r="G310" i="20"/>
  <c r="H310" i="20"/>
  <c r="I310" i="20"/>
  <c r="J310" i="20"/>
  <c r="K310" i="20"/>
  <c r="L310" i="20"/>
  <c r="N310" i="20"/>
  <c r="O310" i="20"/>
  <c r="P310" i="20"/>
  <c r="Q310" i="20"/>
  <c r="R310" i="20"/>
  <c r="S310" i="20"/>
  <c r="T310" i="20"/>
  <c r="U310" i="20"/>
  <c r="V310" i="20"/>
  <c r="W310" i="20"/>
  <c r="X310" i="20"/>
  <c r="Y310" i="20"/>
  <c r="Z310" i="20"/>
  <c r="AA310" i="20"/>
  <c r="AB310" i="20"/>
  <c r="AC310" i="20"/>
  <c r="AD310" i="20"/>
  <c r="AE310" i="20"/>
  <c r="AF310" i="20"/>
  <c r="AG310" i="20"/>
  <c r="AH310" i="20"/>
  <c r="AI310" i="20"/>
  <c r="AJ310" i="20"/>
  <c r="AK310" i="20"/>
  <c r="AL310" i="20"/>
  <c r="AM310" i="20"/>
  <c r="AN310" i="20"/>
  <c r="F311" i="20"/>
  <c r="G311" i="20"/>
  <c r="H311" i="20"/>
  <c r="I311" i="20"/>
  <c r="J311" i="20"/>
  <c r="K311" i="20"/>
  <c r="L311" i="20"/>
  <c r="N311" i="20"/>
  <c r="O311" i="20"/>
  <c r="P311" i="20"/>
  <c r="Q311" i="20"/>
  <c r="R311" i="20"/>
  <c r="S311" i="20"/>
  <c r="T311" i="20"/>
  <c r="U311" i="20"/>
  <c r="V311" i="20"/>
  <c r="W311" i="20"/>
  <c r="X311" i="20"/>
  <c r="Y311" i="20"/>
  <c r="Z311" i="20"/>
  <c r="AA311" i="20"/>
  <c r="AB311" i="20"/>
  <c r="AC311" i="20"/>
  <c r="AD311" i="20"/>
  <c r="AE311" i="20"/>
  <c r="AF311" i="20"/>
  <c r="AG311" i="20"/>
  <c r="AH311" i="20"/>
  <c r="AI311" i="20"/>
  <c r="AJ311" i="20"/>
  <c r="AK311" i="20"/>
  <c r="AL311" i="20"/>
  <c r="AM311" i="20"/>
  <c r="AN311" i="20"/>
  <c r="F312" i="20"/>
  <c r="G312" i="20"/>
  <c r="H312" i="20"/>
  <c r="I312" i="20"/>
  <c r="J312" i="20"/>
  <c r="K312" i="20"/>
  <c r="L312" i="20"/>
  <c r="N312" i="20"/>
  <c r="O312" i="20"/>
  <c r="P312" i="20"/>
  <c r="Q312" i="20"/>
  <c r="R312" i="20"/>
  <c r="S312" i="20"/>
  <c r="T312" i="20"/>
  <c r="U312" i="20"/>
  <c r="V312" i="20"/>
  <c r="W312" i="20"/>
  <c r="X312" i="20"/>
  <c r="Y312" i="20"/>
  <c r="Z312" i="20"/>
  <c r="AA312" i="20"/>
  <c r="AB312" i="20"/>
  <c r="AC312" i="20"/>
  <c r="AD312" i="20"/>
  <c r="AE312" i="20"/>
  <c r="AF312" i="20"/>
  <c r="AG312" i="20"/>
  <c r="AH312" i="20"/>
  <c r="AI312" i="20"/>
  <c r="AJ312" i="20"/>
  <c r="AK312" i="20"/>
  <c r="AL312" i="20"/>
  <c r="AM312" i="20"/>
  <c r="AN312" i="20"/>
  <c r="F313" i="20"/>
  <c r="G313" i="20"/>
  <c r="H313" i="20"/>
  <c r="I313" i="20"/>
  <c r="J313" i="20"/>
  <c r="K313" i="20"/>
  <c r="L313" i="20"/>
  <c r="N313" i="20"/>
  <c r="O313" i="20"/>
  <c r="P313" i="20"/>
  <c r="Q313" i="20"/>
  <c r="R313" i="20"/>
  <c r="S313" i="20"/>
  <c r="T313" i="20"/>
  <c r="U313" i="20"/>
  <c r="V313" i="20"/>
  <c r="W313" i="20"/>
  <c r="X313" i="20"/>
  <c r="Y313" i="20"/>
  <c r="Z313" i="20"/>
  <c r="AA313" i="20"/>
  <c r="AB313" i="20"/>
  <c r="AC313" i="20"/>
  <c r="AD313" i="20"/>
  <c r="AE313" i="20"/>
  <c r="AF313" i="20"/>
  <c r="AG313" i="20"/>
  <c r="AH313" i="20"/>
  <c r="AI313" i="20"/>
  <c r="AJ313" i="20"/>
  <c r="AK313" i="20"/>
  <c r="AL313" i="20"/>
  <c r="AM313" i="20"/>
  <c r="AN313" i="20"/>
  <c r="F314" i="20"/>
  <c r="G314" i="20"/>
  <c r="H314" i="20"/>
  <c r="I314" i="20"/>
  <c r="J314" i="20"/>
  <c r="K314" i="20"/>
  <c r="L314" i="20"/>
  <c r="N314" i="20"/>
  <c r="O314" i="20"/>
  <c r="P314" i="20"/>
  <c r="Q314" i="20"/>
  <c r="R314" i="20"/>
  <c r="S314" i="20"/>
  <c r="T314" i="20"/>
  <c r="U314" i="20"/>
  <c r="V314" i="20"/>
  <c r="W314" i="20"/>
  <c r="X314" i="20"/>
  <c r="Y314" i="20"/>
  <c r="Z314" i="20"/>
  <c r="AA314" i="20"/>
  <c r="AB314" i="20"/>
  <c r="AC314" i="20"/>
  <c r="AD314" i="20"/>
  <c r="AE314" i="20"/>
  <c r="AF314" i="20"/>
  <c r="AG314" i="20"/>
  <c r="AH314" i="20"/>
  <c r="AI314" i="20"/>
  <c r="AJ314" i="20"/>
  <c r="AK314" i="20"/>
  <c r="AL314" i="20"/>
  <c r="AM314" i="20"/>
  <c r="AN314" i="20"/>
  <c r="F315" i="20"/>
  <c r="G315" i="20"/>
  <c r="H315" i="20"/>
  <c r="I315" i="20"/>
  <c r="J315" i="20"/>
  <c r="K315" i="20"/>
  <c r="L315" i="20"/>
  <c r="N315" i="20"/>
  <c r="O315" i="20"/>
  <c r="P315" i="20"/>
  <c r="Q315" i="20"/>
  <c r="R315" i="20"/>
  <c r="S315" i="20"/>
  <c r="T315" i="20"/>
  <c r="U315" i="20"/>
  <c r="V315" i="20"/>
  <c r="W315" i="20"/>
  <c r="X315" i="20"/>
  <c r="Y315" i="20"/>
  <c r="Z315" i="20"/>
  <c r="AA315" i="20"/>
  <c r="AB315" i="20"/>
  <c r="AC315" i="20"/>
  <c r="AD315" i="20"/>
  <c r="AE315" i="20"/>
  <c r="AF315" i="20"/>
  <c r="AG315" i="20"/>
  <c r="AH315" i="20"/>
  <c r="AI315" i="20"/>
  <c r="AJ315" i="20"/>
  <c r="AK315" i="20"/>
  <c r="AL315" i="20"/>
  <c r="AM315" i="20"/>
  <c r="AN315" i="20"/>
  <c r="F316" i="20"/>
  <c r="G316" i="20"/>
  <c r="H316" i="20"/>
  <c r="I316" i="20"/>
  <c r="J316" i="20"/>
  <c r="K316" i="20"/>
  <c r="L316" i="20"/>
  <c r="N316" i="20"/>
  <c r="O316" i="20"/>
  <c r="P316" i="20"/>
  <c r="Q316" i="20"/>
  <c r="R316" i="20"/>
  <c r="S316" i="20"/>
  <c r="T316" i="20"/>
  <c r="U316" i="20"/>
  <c r="V316" i="20"/>
  <c r="W316" i="20"/>
  <c r="X316" i="20"/>
  <c r="Y316" i="20"/>
  <c r="Z316" i="20"/>
  <c r="AA316" i="20"/>
  <c r="AB316" i="20"/>
  <c r="AC316" i="20"/>
  <c r="AD316" i="20"/>
  <c r="AE316" i="20"/>
  <c r="AF316" i="20"/>
  <c r="AG316" i="20"/>
  <c r="AH316" i="20"/>
  <c r="AI316" i="20"/>
  <c r="AJ316" i="20"/>
  <c r="AK316" i="20"/>
  <c r="AL316" i="20"/>
  <c r="AM316" i="20"/>
  <c r="AN316" i="20"/>
  <c r="F317" i="20"/>
  <c r="G317" i="20"/>
  <c r="H317" i="20"/>
  <c r="I317" i="20"/>
  <c r="J317" i="20"/>
  <c r="K317" i="20"/>
  <c r="L317" i="20"/>
  <c r="N317" i="20"/>
  <c r="O317" i="20"/>
  <c r="P317" i="20"/>
  <c r="Q317" i="20"/>
  <c r="R317" i="20"/>
  <c r="S317" i="20"/>
  <c r="T317" i="20"/>
  <c r="U317" i="20"/>
  <c r="V317" i="20"/>
  <c r="W317" i="20"/>
  <c r="X317" i="20"/>
  <c r="Y317" i="20"/>
  <c r="Z317" i="20"/>
  <c r="AA317" i="20"/>
  <c r="AB317" i="20"/>
  <c r="AC317" i="20"/>
  <c r="AD317" i="20"/>
  <c r="AE317" i="20"/>
  <c r="AF317" i="20"/>
  <c r="AG317" i="20"/>
  <c r="AH317" i="20"/>
  <c r="AI317" i="20"/>
  <c r="AJ317" i="20"/>
  <c r="AK317" i="20"/>
  <c r="AL317" i="20"/>
  <c r="AM317" i="20"/>
  <c r="AN317" i="20"/>
  <c r="F318" i="20"/>
  <c r="G318" i="20"/>
  <c r="H318" i="20"/>
  <c r="I318" i="20"/>
  <c r="J318" i="20"/>
  <c r="K318" i="20"/>
  <c r="L318" i="20"/>
  <c r="N318" i="20"/>
  <c r="O318" i="20"/>
  <c r="P318" i="20"/>
  <c r="Q318" i="20"/>
  <c r="R318" i="20"/>
  <c r="S318" i="20"/>
  <c r="T318" i="20"/>
  <c r="U318" i="20"/>
  <c r="V318" i="20"/>
  <c r="W318" i="20"/>
  <c r="X318" i="20"/>
  <c r="Y318" i="20"/>
  <c r="Z318" i="20"/>
  <c r="AA318" i="20"/>
  <c r="AB318" i="20"/>
  <c r="AC318" i="20"/>
  <c r="AD318" i="20"/>
  <c r="AE318" i="20"/>
  <c r="AF318" i="20"/>
  <c r="AG318" i="20"/>
  <c r="AH318" i="20"/>
  <c r="AI318" i="20"/>
  <c r="AJ318" i="20"/>
  <c r="AK318" i="20"/>
  <c r="AL318" i="20"/>
  <c r="AM318" i="20"/>
  <c r="AN318" i="20"/>
  <c r="F319" i="20"/>
  <c r="G319" i="20"/>
  <c r="H319" i="20"/>
  <c r="I319" i="20"/>
  <c r="J319" i="20"/>
  <c r="K319" i="20"/>
  <c r="L319" i="20"/>
  <c r="N319" i="20"/>
  <c r="O319" i="20"/>
  <c r="P319" i="20"/>
  <c r="Q319" i="20"/>
  <c r="R319" i="20"/>
  <c r="S319" i="20"/>
  <c r="T319" i="20"/>
  <c r="U319" i="20"/>
  <c r="V319" i="20"/>
  <c r="W319" i="20"/>
  <c r="X319" i="20"/>
  <c r="Y319" i="20"/>
  <c r="Z319" i="20"/>
  <c r="AA319" i="20"/>
  <c r="AB319" i="20"/>
  <c r="AC319" i="20"/>
  <c r="AD319" i="20"/>
  <c r="AE319" i="20"/>
  <c r="AF319" i="20"/>
  <c r="AG319" i="20"/>
  <c r="AH319" i="20"/>
  <c r="AI319" i="20"/>
  <c r="AJ319" i="20"/>
  <c r="AK319" i="20"/>
  <c r="AL319" i="20"/>
  <c r="AM319" i="20"/>
  <c r="AN319" i="20"/>
  <c r="F320" i="20"/>
  <c r="G320" i="20"/>
  <c r="H320" i="20"/>
  <c r="I320" i="20"/>
  <c r="J320" i="20"/>
  <c r="K320" i="20"/>
  <c r="L320" i="20"/>
  <c r="N320" i="20"/>
  <c r="O320" i="20"/>
  <c r="P320" i="20"/>
  <c r="Q320" i="20"/>
  <c r="R320" i="20"/>
  <c r="S320" i="20"/>
  <c r="T320" i="20"/>
  <c r="U320" i="20"/>
  <c r="V320" i="20"/>
  <c r="W320" i="20"/>
  <c r="X320" i="20"/>
  <c r="Y320" i="20"/>
  <c r="Z320" i="20"/>
  <c r="AA320" i="20"/>
  <c r="AB320" i="20"/>
  <c r="AC320" i="20"/>
  <c r="AD320" i="20"/>
  <c r="AE320" i="20"/>
  <c r="AF320" i="20"/>
  <c r="AG320" i="20"/>
  <c r="AH320" i="20"/>
  <c r="AI320" i="20"/>
  <c r="AJ320" i="20"/>
  <c r="AK320" i="20"/>
  <c r="AL320" i="20"/>
  <c r="AM320" i="20"/>
  <c r="AN320" i="20"/>
  <c r="F321" i="20"/>
  <c r="G321" i="20"/>
  <c r="H321" i="20"/>
  <c r="I321" i="20"/>
  <c r="J321" i="20"/>
  <c r="K321" i="20"/>
  <c r="L321" i="20"/>
  <c r="N321" i="20"/>
  <c r="O321" i="20"/>
  <c r="P321" i="20"/>
  <c r="Q321" i="20"/>
  <c r="R321" i="20"/>
  <c r="S321" i="20"/>
  <c r="T321" i="20"/>
  <c r="U321" i="20"/>
  <c r="V321" i="20"/>
  <c r="W321" i="20"/>
  <c r="X321" i="20"/>
  <c r="Y321" i="20"/>
  <c r="Z321" i="20"/>
  <c r="AA321" i="20"/>
  <c r="AB321" i="20"/>
  <c r="AC321" i="20"/>
  <c r="AD321" i="20"/>
  <c r="AE321" i="20"/>
  <c r="AF321" i="20"/>
  <c r="AG321" i="20"/>
  <c r="AH321" i="20"/>
  <c r="AI321" i="20"/>
  <c r="AJ321" i="20"/>
  <c r="AK321" i="20"/>
  <c r="AL321" i="20"/>
  <c r="AM321" i="20"/>
  <c r="AN321" i="20"/>
  <c r="F322" i="20"/>
  <c r="G322" i="20"/>
  <c r="H322" i="20"/>
  <c r="I322" i="20"/>
  <c r="J322" i="20"/>
  <c r="K322" i="20"/>
  <c r="L322" i="20"/>
  <c r="N322" i="20"/>
  <c r="O322" i="20"/>
  <c r="P322" i="20"/>
  <c r="Q322" i="20"/>
  <c r="R322" i="20"/>
  <c r="S322" i="20"/>
  <c r="T322" i="20"/>
  <c r="U322" i="20"/>
  <c r="V322" i="20"/>
  <c r="W322" i="20"/>
  <c r="X322" i="20"/>
  <c r="Y322" i="20"/>
  <c r="Z322" i="20"/>
  <c r="AA322" i="20"/>
  <c r="AB322" i="20"/>
  <c r="AC322" i="20"/>
  <c r="AD322" i="20"/>
  <c r="AE322" i="20"/>
  <c r="AF322" i="20"/>
  <c r="AG322" i="20"/>
  <c r="AH322" i="20"/>
  <c r="AI322" i="20"/>
  <c r="AJ322" i="20"/>
  <c r="AK322" i="20"/>
  <c r="AL322" i="20"/>
  <c r="AM322" i="20"/>
  <c r="AN322" i="20"/>
  <c r="F323" i="20"/>
  <c r="G323" i="20"/>
  <c r="H323" i="20"/>
  <c r="I323" i="20"/>
  <c r="J323" i="20"/>
  <c r="K323" i="20"/>
  <c r="L323" i="20"/>
  <c r="N323" i="20"/>
  <c r="O323" i="20"/>
  <c r="P323" i="20"/>
  <c r="Q323" i="20"/>
  <c r="R323" i="20"/>
  <c r="S323" i="20"/>
  <c r="T323" i="20"/>
  <c r="U323" i="20"/>
  <c r="V323" i="20"/>
  <c r="W323" i="20"/>
  <c r="X323" i="20"/>
  <c r="Y323" i="20"/>
  <c r="Z323" i="20"/>
  <c r="AA323" i="20"/>
  <c r="AB323" i="20"/>
  <c r="AC323" i="20"/>
  <c r="AD323" i="20"/>
  <c r="AE323" i="20"/>
  <c r="AF323" i="20"/>
  <c r="AG323" i="20"/>
  <c r="AH323" i="20"/>
  <c r="AI323" i="20"/>
  <c r="AJ323" i="20"/>
  <c r="AK323" i="20"/>
  <c r="AL323" i="20"/>
  <c r="AM323" i="20"/>
  <c r="AN323" i="20"/>
  <c r="F324" i="20"/>
  <c r="G324" i="20"/>
  <c r="H324" i="20"/>
  <c r="I324" i="20"/>
  <c r="J324" i="20"/>
  <c r="K324" i="20"/>
  <c r="L324" i="20"/>
  <c r="N324" i="20"/>
  <c r="O324" i="20"/>
  <c r="P324" i="20"/>
  <c r="Q324" i="20"/>
  <c r="R324" i="20"/>
  <c r="S324" i="20"/>
  <c r="T324" i="20"/>
  <c r="U324" i="20"/>
  <c r="V324" i="20"/>
  <c r="W324" i="20"/>
  <c r="X324" i="20"/>
  <c r="Y324" i="20"/>
  <c r="Z324" i="20"/>
  <c r="AA324" i="20"/>
  <c r="AB324" i="20"/>
  <c r="AC324" i="20"/>
  <c r="AD324" i="20"/>
  <c r="AE324" i="20"/>
  <c r="AF324" i="20"/>
  <c r="AG324" i="20"/>
  <c r="AH324" i="20"/>
  <c r="AI324" i="20"/>
  <c r="AJ324" i="20"/>
  <c r="AK324" i="20"/>
  <c r="AL324" i="20"/>
  <c r="AM324" i="20"/>
  <c r="AN324" i="20"/>
  <c r="F325" i="20"/>
  <c r="G325" i="20"/>
  <c r="H325" i="20"/>
  <c r="I325" i="20"/>
  <c r="J325" i="20"/>
  <c r="K325" i="20"/>
  <c r="L325" i="20"/>
  <c r="N325" i="20"/>
  <c r="O325" i="20"/>
  <c r="P325" i="20"/>
  <c r="Q325" i="20"/>
  <c r="R325" i="20"/>
  <c r="S325" i="20"/>
  <c r="T325" i="20"/>
  <c r="U325" i="20"/>
  <c r="V325" i="20"/>
  <c r="W325" i="20"/>
  <c r="X325" i="20"/>
  <c r="Y325" i="20"/>
  <c r="Z325" i="20"/>
  <c r="AA325" i="20"/>
  <c r="AB325" i="20"/>
  <c r="AC325" i="20"/>
  <c r="AD325" i="20"/>
  <c r="AE325" i="20"/>
  <c r="AF325" i="20"/>
  <c r="AG325" i="20"/>
  <c r="AH325" i="20"/>
  <c r="AI325" i="20"/>
  <c r="AJ325" i="20"/>
  <c r="AK325" i="20"/>
  <c r="AL325" i="20"/>
  <c r="AM325" i="20"/>
  <c r="AN325" i="20"/>
  <c r="F326" i="20"/>
  <c r="G326" i="20"/>
  <c r="H326" i="20"/>
  <c r="I326" i="20"/>
  <c r="J326" i="20"/>
  <c r="K326" i="20"/>
  <c r="L326" i="20"/>
  <c r="N326" i="20"/>
  <c r="O326" i="20"/>
  <c r="P326" i="20"/>
  <c r="Q326" i="20"/>
  <c r="R326" i="20"/>
  <c r="S326" i="20"/>
  <c r="T326" i="20"/>
  <c r="U326" i="20"/>
  <c r="V326" i="20"/>
  <c r="W326" i="20"/>
  <c r="X326" i="20"/>
  <c r="Y326" i="20"/>
  <c r="Z326" i="20"/>
  <c r="AA326" i="20"/>
  <c r="AB326" i="20"/>
  <c r="AC326" i="20"/>
  <c r="AD326" i="20"/>
  <c r="AE326" i="20"/>
  <c r="AF326" i="20"/>
  <c r="AG326" i="20"/>
  <c r="AH326" i="20"/>
  <c r="AI326" i="20"/>
  <c r="AJ326" i="20"/>
  <c r="AK326" i="20"/>
  <c r="AL326" i="20"/>
  <c r="AM326" i="20"/>
  <c r="AN326" i="20"/>
  <c r="F327" i="20"/>
  <c r="G327" i="20"/>
  <c r="H327" i="20"/>
  <c r="I327" i="20"/>
  <c r="J327" i="20"/>
  <c r="K327" i="20"/>
  <c r="L327" i="20"/>
  <c r="N327" i="20"/>
  <c r="O327" i="20"/>
  <c r="P327" i="20"/>
  <c r="Q327" i="20"/>
  <c r="R327" i="20"/>
  <c r="S327" i="20"/>
  <c r="T327" i="20"/>
  <c r="U327" i="20"/>
  <c r="V327" i="20"/>
  <c r="W327" i="20"/>
  <c r="X327" i="20"/>
  <c r="Y327" i="20"/>
  <c r="Z327" i="20"/>
  <c r="AA327" i="20"/>
  <c r="AB327" i="20"/>
  <c r="AC327" i="20"/>
  <c r="AD327" i="20"/>
  <c r="AE327" i="20"/>
  <c r="AF327" i="20"/>
  <c r="AG327" i="20"/>
  <c r="AH327" i="20"/>
  <c r="AI327" i="20"/>
  <c r="AJ327" i="20"/>
  <c r="AK327" i="20"/>
  <c r="AL327" i="20"/>
  <c r="AM327" i="20"/>
  <c r="AN327" i="20"/>
  <c r="F328" i="20"/>
  <c r="G328" i="20"/>
  <c r="H328" i="20"/>
  <c r="I328" i="20"/>
  <c r="J328" i="20"/>
  <c r="K328" i="20"/>
  <c r="L328" i="20"/>
  <c r="N328" i="20"/>
  <c r="O328" i="20"/>
  <c r="P328" i="20"/>
  <c r="Q328" i="20"/>
  <c r="R328" i="20"/>
  <c r="S328" i="20"/>
  <c r="T328" i="20"/>
  <c r="U328" i="20"/>
  <c r="V328" i="20"/>
  <c r="W328" i="20"/>
  <c r="X328" i="20"/>
  <c r="Y328" i="20"/>
  <c r="Z328" i="20"/>
  <c r="AA328" i="20"/>
  <c r="AB328" i="20"/>
  <c r="AC328" i="20"/>
  <c r="AD328" i="20"/>
  <c r="AE328" i="20"/>
  <c r="AF328" i="20"/>
  <c r="AG328" i="20"/>
  <c r="AH328" i="20"/>
  <c r="AI328" i="20"/>
  <c r="AJ328" i="20"/>
  <c r="AK328" i="20"/>
  <c r="AL328" i="20"/>
  <c r="AM328" i="20"/>
  <c r="AN328" i="20"/>
  <c r="F329" i="20"/>
  <c r="G329" i="20"/>
  <c r="H329" i="20"/>
  <c r="I329" i="20"/>
  <c r="J329" i="20"/>
  <c r="K329" i="20"/>
  <c r="L329" i="20"/>
  <c r="N329" i="20"/>
  <c r="O329" i="20"/>
  <c r="P329" i="20"/>
  <c r="Q329" i="20"/>
  <c r="R329" i="20"/>
  <c r="S329" i="20"/>
  <c r="T329" i="20"/>
  <c r="U329" i="20"/>
  <c r="V329" i="20"/>
  <c r="W329" i="20"/>
  <c r="X329" i="20"/>
  <c r="Y329" i="20"/>
  <c r="Z329" i="20"/>
  <c r="AA329" i="20"/>
  <c r="AB329" i="20"/>
  <c r="AC329" i="20"/>
  <c r="AD329" i="20"/>
  <c r="AE329" i="20"/>
  <c r="AF329" i="20"/>
  <c r="AG329" i="20"/>
  <c r="AH329" i="20"/>
  <c r="AI329" i="20"/>
  <c r="AJ329" i="20"/>
  <c r="AK329" i="20"/>
  <c r="AL329" i="20"/>
  <c r="AM329" i="20"/>
  <c r="AN329" i="20"/>
  <c r="F330" i="20"/>
  <c r="G330" i="20"/>
  <c r="H330" i="20"/>
  <c r="I330" i="20"/>
  <c r="J330" i="20"/>
  <c r="K330" i="20"/>
  <c r="L330" i="20"/>
  <c r="N330" i="20"/>
  <c r="O330" i="20"/>
  <c r="P330" i="20"/>
  <c r="Q330" i="20"/>
  <c r="R330" i="20"/>
  <c r="S330" i="20"/>
  <c r="T330" i="20"/>
  <c r="U330" i="20"/>
  <c r="V330" i="20"/>
  <c r="W330" i="20"/>
  <c r="X330" i="20"/>
  <c r="Y330" i="20"/>
  <c r="Z330" i="20"/>
  <c r="AA330" i="20"/>
  <c r="AB330" i="20"/>
  <c r="AC330" i="20"/>
  <c r="AD330" i="20"/>
  <c r="AE330" i="20"/>
  <c r="AF330" i="20"/>
  <c r="AG330" i="20"/>
  <c r="AH330" i="20"/>
  <c r="AI330" i="20"/>
  <c r="AJ330" i="20"/>
  <c r="AK330" i="20"/>
  <c r="AL330" i="20"/>
  <c r="AM330" i="20"/>
  <c r="AN330" i="20"/>
  <c r="F331" i="20"/>
  <c r="G331" i="20"/>
  <c r="H331" i="20"/>
  <c r="I331" i="20"/>
  <c r="J331" i="20"/>
  <c r="K331" i="20"/>
  <c r="L331" i="20"/>
  <c r="N331" i="20"/>
  <c r="O331" i="20"/>
  <c r="P331" i="20"/>
  <c r="Q331" i="20"/>
  <c r="R331" i="20"/>
  <c r="S331" i="20"/>
  <c r="T331" i="20"/>
  <c r="U331" i="20"/>
  <c r="V331" i="20"/>
  <c r="W331" i="20"/>
  <c r="X331" i="20"/>
  <c r="Y331" i="20"/>
  <c r="Z331" i="20"/>
  <c r="AA331" i="20"/>
  <c r="AB331" i="20"/>
  <c r="AC331" i="20"/>
  <c r="AD331" i="20"/>
  <c r="AE331" i="20"/>
  <c r="AF331" i="20"/>
  <c r="AG331" i="20"/>
  <c r="AH331" i="20"/>
  <c r="AI331" i="20"/>
  <c r="AJ331" i="20"/>
  <c r="AK331" i="20"/>
  <c r="AL331" i="20"/>
  <c r="AM331" i="20"/>
  <c r="AN331" i="20"/>
  <c r="F332" i="20"/>
  <c r="G332" i="20"/>
  <c r="H332" i="20"/>
  <c r="I332" i="20"/>
  <c r="J332" i="20"/>
  <c r="K332" i="20"/>
  <c r="L332" i="20"/>
  <c r="N332" i="20"/>
  <c r="O332" i="20"/>
  <c r="P332" i="20"/>
  <c r="Q332" i="20"/>
  <c r="R332" i="20"/>
  <c r="S332" i="20"/>
  <c r="T332" i="20"/>
  <c r="U332" i="20"/>
  <c r="V332" i="20"/>
  <c r="W332" i="20"/>
  <c r="X332" i="20"/>
  <c r="Y332" i="20"/>
  <c r="Z332" i="20"/>
  <c r="AA332" i="20"/>
  <c r="AB332" i="20"/>
  <c r="AC332" i="20"/>
  <c r="AD332" i="20"/>
  <c r="AE332" i="20"/>
  <c r="AF332" i="20"/>
  <c r="AG332" i="20"/>
  <c r="AH332" i="20"/>
  <c r="AI332" i="20"/>
  <c r="AJ332" i="20"/>
  <c r="AK332" i="20"/>
  <c r="AL332" i="20"/>
  <c r="AM332" i="20"/>
  <c r="AN332" i="20"/>
  <c r="F333" i="20"/>
  <c r="G333" i="20"/>
  <c r="H333" i="20"/>
  <c r="I333" i="20"/>
  <c r="J333" i="20"/>
  <c r="K333" i="20"/>
  <c r="L333" i="20"/>
  <c r="N333" i="20"/>
  <c r="O333" i="20"/>
  <c r="P333" i="20"/>
  <c r="Q333" i="20"/>
  <c r="R333" i="20"/>
  <c r="S333" i="20"/>
  <c r="T333" i="20"/>
  <c r="U333" i="20"/>
  <c r="V333" i="20"/>
  <c r="W333" i="20"/>
  <c r="X333" i="20"/>
  <c r="Y333" i="20"/>
  <c r="Z333" i="20"/>
  <c r="AA333" i="20"/>
  <c r="AB333" i="20"/>
  <c r="AC333" i="20"/>
  <c r="AD333" i="20"/>
  <c r="AE333" i="20"/>
  <c r="AF333" i="20"/>
  <c r="AG333" i="20"/>
  <c r="AH333" i="20"/>
  <c r="AI333" i="20"/>
  <c r="AJ333" i="20"/>
  <c r="AK333" i="20"/>
  <c r="AL333" i="20"/>
  <c r="AM333" i="20"/>
  <c r="AN333" i="20"/>
  <c r="F334" i="20"/>
  <c r="G334" i="20"/>
  <c r="H334" i="20"/>
  <c r="I334" i="20"/>
  <c r="J334" i="20"/>
  <c r="K334" i="20"/>
  <c r="L334" i="20"/>
  <c r="N334" i="20"/>
  <c r="O334" i="20"/>
  <c r="P334" i="20"/>
  <c r="Q334" i="20"/>
  <c r="R334" i="20"/>
  <c r="S334" i="20"/>
  <c r="T334" i="20"/>
  <c r="U334" i="20"/>
  <c r="V334" i="20"/>
  <c r="W334" i="20"/>
  <c r="X334" i="20"/>
  <c r="Y334" i="20"/>
  <c r="Z334" i="20"/>
  <c r="AA334" i="20"/>
  <c r="AB334" i="20"/>
  <c r="AC334" i="20"/>
  <c r="AD334" i="20"/>
  <c r="AE334" i="20"/>
  <c r="AF334" i="20"/>
  <c r="AG334" i="20"/>
  <c r="AH334" i="20"/>
  <c r="AI334" i="20"/>
  <c r="AJ334" i="20"/>
  <c r="AK334" i="20"/>
  <c r="AL334" i="20"/>
  <c r="AM334" i="20"/>
  <c r="AN334" i="20"/>
  <c r="F335" i="20"/>
  <c r="G335" i="20"/>
  <c r="H335" i="20"/>
  <c r="I335" i="20"/>
  <c r="J335" i="20"/>
  <c r="K335" i="20"/>
  <c r="L335" i="20"/>
  <c r="N335" i="20"/>
  <c r="O335" i="20"/>
  <c r="P335" i="20"/>
  <c r="Q335" i="20"/>
  <c r="R335" i="20"/>
  <c r="S335" i="20"/>
  <c r="T335" i="20"/>
  <c r="U335" i="20"/>
  <c r="V335" i="20"/>
  <c r="W335" i="20"/>
  <c r="X335" i="20"/>
  <c r="Y335" i="20"/>
  <c r="Z335" i="20"/>
  <c r="AA335" i="20"/>
  <c r="AB335" i="20"/>
  <c r="AC335" i="20"/>
  <c r="AD335" i="20"/>
  <c r="AE335" i="20"/>
  <c r="AF335" i="20"/>
  <c r="AG335" i="20"/>
  <c r="AH335" i="20"/>
  <c r="AI335" i="20"/>
  <c r="AJ335" i="20"/>
  <c r="AK335" i="20"/>
  <c r="AL335" i="20"/>
  <c r="AM335" i="20"/>
  <c r="AN335" i="20"/>
  <c r="F336" i="20"/>
  <c r="G336" i="20"/>
  <c r="H336" i="20"/>
  <c r="I336" i="20"/>
  <c r="J336" i="20"/>
  <c r="K336" i="20"/>
  <c r="L336" i="20"/>
  <c r="N336" i="20"/>
  <c r="O336" i="20"/>
  <c r="P336" i="20"/>
  <c r="Q336" i="20"/>
  <c r="R336" i="20"/>
  <c r="S336" i="20"/>
  <c r="T336" i="20"/>
  <c r="U336" i="20"/>
  <c r="V336" i="20"/>
  <c r="W336" i="20"/>
  <c r="X336" i="20"/>
  <c r="Y336" i="20"/>
  <c r="Z336" i="20"/>
  <c r="AA336" i="20"/>
  <c r="AB336" i="20"/>
  <c r="AC336" i="20"/>
  <c r="AD336" i="20"/>
  <c r="AE336" i="20"/>
  <c r="AF336" i="20"/>
  <c r="AG336" i="20"/>
  <c r="AH336" i="20"/>
  <c r="AI336" i="20"/>
  <c r="AJ336" i="20"/>
  <c r="AK336" i="20"/>
  <c r="AL336" i="20"/>
  <c r="AM336" i="20"/>
  <c r="AN336" i="20"/>
  <c r="F337" i="20"/>
  <c r="G337" i="20"/>
  <c r="H337" i="20"/>
  <c r="I337" i="20"/>
  <c r="J337" i="20"/>
  <c r="K337" i="20"/>
  <c r="L337" i="20"/>
  <c r="N337" i="20"/>
  <c r="O337" i="20"/>
  <c r="P337" i="20"/>
  <c r="Q337" i="20"/>
  <c r="R337" i="20"/>
  <c r="S337" i="20"/>
  <c r="T337" i="20"/>
  <c r="U337" i="20"/>
  <c r="V337" i="20"/>
  <c r="W337" i="20"/>
  <c r="X337" i="20"/>
  <c r="Y337" i="20"/>
  <c r="Z337" i="20"/>
  <c r="AA337" i="20"/>
  <c r="AB337" i="20"/>
  <c r="AC337" i="20"/>
  <c r="AD337" i="20"/>
  <c r="AE337" i="20"/>
  <c r="AF337" i="20"/>
  <c r="AG337" i="20"/>
  <c r="AH337" i="20"/>
  <c r="AI337" i="20"/>
  <c r="AJ337" i="20"/>
  <c r="AK337" i="20"/>
  <c r="AL337" i="20"/>
  <c r="AM337" i="20"/>
  <c r="AN337" i="20"/>
  <c r="F338" i="20"/>
  <c r="G338" i="20"/>
  <c r="H338" i="20"/>
  <c r="I338" i="20"/>
  <c r="J338" i="20"/>
  <c r="K338" i="20"/>
  <c r="L338" i="20"/>
  <c r="N338" i="20"/>
  <c r="O338" i="20"/>
  <c r="P338" i="20"/>
  <c r="Q338" i="20"/>
  <c r="R338" i="20"/>
  <c r="S338" i="20"/>
  <c r="T338" i="20"/>
  <c r="U338" i="20"/>
  <c r="V338" i="20"/>
  <c r="W338" i="20"/>
  <c r="X338" i="20"/>
  <c r="Y338" i="20"/>
  <c r="Z338" i="20"/>
  <c r="AA338" i="20"/>
  <c r="AB338" i="20"/>
  <c r="AC338" i="20"/>
  <c r="AD338" i="20"/>
  <c r="AE338" i="20"/>
  <c r="AF338" i="20"/>
  <c r="AG338" i="20"/>
  <c r="AH338" i="20"/>
  <c r="AI338" i="20"/>
  <c r="AJ338" i="20"/>
  <c r="AK338" i="20"/>
  <c r="AL338" i="20"/>
  <c r="AM338" i="20"/>
  <c r="AN338" i="20"/>
  <c r="F339" i="20"/>
  <c r="G339" i="20"/>
  <c r="H339" i="20"/>
  <c r="I339" i="20"/>
  <c r="J339" i="20"/>
  <c r="K339" i="20"/>
  <c r="L339" i="20"/>
  <c r="N339" i="20"/>
  <c r="O339" i="20"/>
  <c r="P339" i="20"/>
  <c r="Q339" i="20"/>
  <c r="R339" i="20"/>
  <c r="S339" i="20"/>
  <c r="T339" i="20"/>
  <c r="U339" i="20"/>
  <c r="V339" i="20"/>
  <c r="W339" i="20"/>
  <c r="X339" i="20"/>
  <c r="Y339" i="20"/>
  <c r="Z339" i="20"/>
  <c r="AA339" i="20"/>
  <c r="AB339" i="20"/>
  <c r="AC339" i="20"/>
  <c r="AD339" i="20"/>
  <c r="AE339" i="20"/>
  <c r="AF339" i="20"/>
  <c r="AG339" i="20"/>
  <c r="AH339" i="20"/>
  <c r="AI339" i="20"/>
  <c r="AJ339" i="20"/>
  <c r="AK339" i="20"/>
  <c r="AL339" i="20"/>
  <c r="AM339" i="20"/>
  <c r="AN339" i="20"/>
  <c r="F340" i="20"/>
  <c r="G340" i="20"/>
  <c r="H340" i="20"/>
  <c r="I340" i="20"/>
  <c r="J340" i="20"/>
  <c r="K340" i="20"/>
  <c r="L340" i="20"/>
  <c r="N340" i="20"/>
  <c r="O340" i="20"/>
  <c r="P340" i="20"/>
  <c r="Q340" i="20"/>
  <c r="R340" i="20"/>
  <c r="S340" i="20"/>
  <c r="T340" i="20"/>
  <c r="U340" i="20"/>
  <c r="V340" i="20"/>
  <c r="W340" i="20"/>
  <c r="X340" i="20"/>
  <c r="Y340" i="20"/>
  <c r="Z340" i="20"/>
  <c r="AA340" i="20"/>
  <c r="AB340" i="20"/>
  <c r="AC340" i="20"/>
  <c r="AD340" i="20"/>
  <c r="AE340" i="20"/>
  <c r="AF340" i="20"/>
  <c r="AG340" i="20"/>
  <c r="AH340" i="20"/>
  <c r="AI340" i="20"/>
  <c r="AJ340" i="20"/>
  <c r="AK340" i="20"/>
  <c r="AL340" i="20"/>
  <c r="AM340" i="20"/>
  <c r="AN340" i="20"/>
  <c r="F341" i="20"/>
  <c r="G341" i="20"/>
  <c r="H341" i="20"/>
  <c r="I341" i="20"/>
  <c r="J341" i="20"/>
  <c r="K341" i="20"/>
  <c r="L341" i="20"/>
  <c r="N341" i="20"/>
  <c r="O341" i="20"/>
  <c r="P341" i="20"/>
  <c r="Q341" i="20"/>
  <c r="R341" i="20"/>
  <c r="S341" i="20"/>
  <c r="T341" i="20"/>
  <c r="U341" i="20"/>
  <c r="V341" i="20"/>
  <c r="W341" i="20"/>
  <c r="X341" i="20"/>
  <c r="Y341" i="20"/>
  <c r="Z341" i="20"/>
  <c r="AA341" i="20"/>
  <c r="AB341" i="20"/>
  <c r="AC341" i="20"/>
  <c r="AD341" i="20"/>
  <c r="AE341" i="20"/>
  <c r="AF341" i="20"/>
  <c r="AG341" i="20"/>
  <c r="AH341" i="20"/>
  <c r="AI341" i="20"/>
  <c r="AJ341" i="20"/>
  <c r="AK341" i="20"/>
  <c r="AL341" i="20"/>
  <c r="AM341" i="20"/>
  <c r="AN341" i="20"/>
  <c r="F342" i="20"/>
  <c r="G342" i="20"/>
  <c r="H342" i="20"/>
  <c r="I342" i="20"/>
  <c r="J342" i="20"/>
  <c r="K342" i="20"/>
  <c r="L342" i="20"/>
  <c r="N342" i="20"/>
  <c r="O342" i="20"/>
  <c r="P342" i="20"/>
  <c r="Q342" i="20"/>
  <c r="R342" i="20"/>
  <c r="S342" i="20"/>
  <c r="T342" i="20"/>
  <c r="U342" i="20"/>
  <c r="V342" i="20"/>
  <c r="W342" i="20"/>
  <c r="X342" i="20"/>
  <c r="Y342" i="20"/>
  <c r="Z342" i="20"/>
  <c r="AA342" i="20"/>
  <c r="AB342" i="20"/>
  <c r="AC342" i="20"/>
  <c r="AD342" i="20"/>
  <c r="AE342" i="20"/>
  <c r="AF342" i="20"/>
  <c r="AG342" i="20"/>
  <c r="AH342" i="20"/>
  <c r="AI342" i="20"/>
  <c r="AJ342" i="20"/>
  <c r="AK342" i="20"/>
  <c r="AL342" i="20"/>
  <c r="AM342" i="20"/>
  <c r="AN342" i="20"/>
  <c r="F343" i="20"/>
  <c r="G343" i="20"/>
  <c r="H343" i="20"/>
  <c r="I343" i="20"/>
  <c r="J343" i="20"/>
  <c r="K343" i="20"/>
  <c r="L343" i="20"/>
  <c r="N343" i="20"/>
  <c r="O343" i="20"/>
  <c r="P343" i="20"/>
  <c r="Q343" i="20"/>
  <c r="R343" i="20"/>
  <c r="S343" i="20"/>
  <c r="T343" i="20"/>
  <c r="U343" i="20"/>
  <c r="V343" i="20"/>
  <c r="W343" i="20"/>
  <c r="X343" i="20"/>
  <c r="Y343" i="20"/>
  <c r="Z343" i="20"/>
  <c r="AA343" i="20"/>
  <c r="AB343" i="20"/>
  <c r="AC343" i="20"/>
  <c r="AD343" i="20"/>
  <c r="AE343" i="20"/>
  <c r="AF343" i="20"/>
  <c r="AG343" i="20"/>
  <c r="AH343" i="20"/>
  <c r="AI343" i="20"/>
  <c r="AJ343" i="20"/>
  <c r="AK343" i="20"/>
  <c r="AL343" i="20"/>
  <c r="AM343" i="20"/>
  <c r="AN343" i="20"/>
  <c r="F344" i="20"/>
  <c r="G344" i="20"/>
  <c r="H344" i="20"/>
  <c r="I344" i="20"/>
  <c r="J344" i="20"/>
  <c r="K344" i="20"/>
  <c r="L344" i="20"/>
  <c r="N344" i="20"/>
  <c r="O344" i="20"/>
  <c r="P344" i="20"/>
  <c r="Q344" i="20"/>
  <c r="R344" i="20"/>
  <c r="S344" i="20"/>
  <c r="T344" i="20"/>
  <c r="U344" i="20"/>
  <c r="V344" i="20"/>
  <c r="W344" i="20"/>
  <c r="X344" i="20"/>
  <c r="Y344" i="20"/>
  <c r="Z344" i="20"/>
  <c r="AA344" i="20"/>
  <c r="AB344" i="20"/>
  <c r="AC344" i="20"/>
  <c r="AD344" i="20"/>
  <c r="AE344" i="20"/>
  <c r="AF344" i="20"/>
  <c r="AG344" i="20"/>
  <c r="AH344" i="20"/>
  <c r="AI344" i="20"/>
  <c r="AJ344" i="20"/>
  <c r="AK344" i="20"/>
  <c r="AL344" i="20"/>
  <c r="AM344" i="20"/>
  <c r="AN344" i="20"/>
  <c r="F345" i="20"/>
  <c r="G345" i="20"/>
  <c r="H345" i="20"/>
  <c r="I345" i="20"/>
  <c r="J345" i="20"/>
  <c r="K345" i="20"/>
  <c r="L345" i="20"/>
  <c r="N345" i="20"/>
  <c r="O345" i="20"/>
  <c r="P345" i="20"/>
  <c r="Q345" i="20"/>
  <c r="R345" i="20"/>
  <c r="S345" i="20"/>
  <c r="T345" i="20"/>
  <c r="U345" i="20"/>
  <c r="V345" i="20"/>
  <c r="W345" i="20"/>
  <c r="X345" i="20"/>
  <c r="Y345" i="20"/>
  <c r="Z345" i="20"/>
  <c r="AA345" i="20"/>
  <c r="AB345" i="20"/>
  <c r="AC345" i="20"/>
  <c r="AD345" i="20"/>
  <c r="AE345" i="20"/>
  <c r="AF345" i="20"/>
  <c r="AG345" i="20"/>
  <c r="AH345" i="20"/>
  <c r="AI345" i="20"/>
  <c r="AJ345" i="20"/>
  <c r="AK345" i="20"/>
  <c r="AL345" i="20"/>
  <c r="AM345" i="20"/>
  <c r="AN345" i="20"/>
  <c r="F346" i="20"/>
  <c r="G346" i="20"/>
  <c r="H346" i="20"/>
  <c r="I346" i="20"/>
  <c r="J346" i="20"/>
  <c r="K346" i="20"/>
  <c r="L346" i="20"/>
  <c r="N346" i="20"/>
  <c r="O346" i="20"/>
  <c r="P346" i="20"/>
  <c r="Q346" i="20"/>
  <c r="R346" i="20"/>
  <c r="S346" i="20"/>
  <c r="T346" i="20"/>
  <c r="U346" i="20"/>
  <c r="V346" i="20"/>
  <c r="W346" i="20"/>
  <c r="X346" i="20"/>
  <c r="Y346" i="20"/>
  <c r="Z346" i="20"/>
  <c r="AA346" i="20"/>
  <c r="AB346" i="20"/>
  <c r="AC346" i="20"/>
  <c r="AD346" i="20"/>
  <c r="AE346" i="20"/>
  <c r="AF346" i="20"/>
  <c r="AG346" i="20"/>
  <c r="AH346" i="20"/>
  <c r="AI346" i="20"/>
  <c r="AJ346" i="20"/>
  <c r="AK346" i="20"/>
  <c r="AL346" i="20"/>
  <c r="AM346" i="20"/>
  <c r="AN346" i="20"/>
  <c r="F347" i="20"/>
  <c r="G347" i="20"/>
  <c r="H347" i="20"/>
  <c r="I347" i="20"/>
  <c r="J347" i="20"/>
  <c r="K347" i="20"/>
  <c r="L347" i="20"/>
  <c r="N347" i="20"/>
  <c r="O347" i="20"/>
  <c r="P347" i="20"/>
  <c r="Q347" i="20"/>
  <c r="R347" i="20"/>
  <c r="S347" i="20"/>
  <c r="T347" i="20"/>
  <c r="U347" i="20"/>
  <c r="V347" i="20"/>
  <c r="W347" i="20"/>
  <c r="X347" i="20"/>
  <c r="Y347" i="20"/>
  <c r="Z347" i="20"/>
  <c r="AA347" i="20"/>
  <c r="AB347" i="20"/>
  <c r="AC347" i="20"/>
  <c r="AD347" i="20"/>
  <c r="AE347" i="20"/>
  <c r="AF347" i="20"/>
  <c r="AG347" i="20"/>
  <c r="AH347" i="20"/>
  <c r="AI347" i="20"/>
  <c r="AJ347" i="20"/>
  <c r="AK347" i="20"/>
  <c r="AL347" i="20"/>
  <c r="AM347" i="20"/>
  <c r="AN347" i="20"/>
  <c r="F348" i="20"/>
  <c r="G348" i="20"/>
  <c r="H348" i="20"/>
  <c r="I348" i="20"/>
  <c r="J348" i="20"/>
  <c r="K348" i="20"/>
  <c r="L348" i="20"/>
  <c r="N348" i="20"/>
  <c r="O348" i="20"/>
  <c r="P348" i="20"/>
  <c r="Q348" i="20"/>
  <c r="R348" i="20"/>
  <c r="S348" i="20"/>
  <c r="T348" i="20"/>
  <c r="U348" i="20"/>
  <c r="V348" i="20"/>
  <c r="W348" i="20"/>
  <c r="X348" i="20"/>
  <c r="Y348" i="20"/>
  <c r="Z348" i="20"/>
  <c r="AA348" i="20"/>
  <c r="AB348" i="20"/>
  <c r="AC348" i="20"/>
  <c r="AD348" i="20"/>
  <c r="AE348" i="20"/>
  <c r="AF348" i="20"/>
  <c r="AG348" i="20"/>
  <c r="AH348" i="20"/>
  <c r="AI348" i="20"/>
  <c r="AJ348" i="20"/>
  <c r="AK348" i="20"/>
  <c r="AL348" i="20"/>
  <c r="AM348" i="20"/>
  <c r="AN348" i="20"/>
  <c r="F349" i="20"/>
  <c r="G349" i="20"/>
  <c r="H349" i="20"/>
  <c r="I349" i="20"/>
  <c r="J349" i="20"/>
  <c r="K349" i="20"/>
  <c r="L349" i="20"/>
  <c r="N349" i="20"/>
  <c r="O349" i="20"/>
  <c r="P349" i="20"/>
  <c r="Q349" i="20"/>
  <c r="R349" i="20"/>
  <c r="S349" i="20"/>
  <c r="T349" i="20"/>
  <c r="U349" i="20"/>
  <c r="V349" i="20"/>
  <c r="W349" i="20"/>
  <c r="X349" i="20"/>
  <c r="Y349" i="20"/>
  <c r="Z349" i="20"/>
  <c r="AA349" i="20"/>
  <c r="AB349" i="20"/>
  <c r="AC349" i="20"/>
  <c r="AD349" i="20"/>
  <c r="AE349" i="20"/>
  <c r="AF349" i="20"/>
  <c r="AG349" i="20"/>
  <c r="AH349" i="20"/>
  <c r="AI349" i="20"/>
  <c r="AJ349" i="20"/>
  <c r="AK349" i="20"/>
  <c r="AL349" i="20"/>
  <c r="AM349" i="20"/>
  <c r="AN349" i="20"/>
  <c r="F350" i="20"/>
  <c r="G350" i="20"/>
  <c r="H350" i="20"/>
  <c r="I350" i="20"/>
  <c r="J350" i="20"/>
  <c r="K350" i="20"/>
  <c r="L350" i="20"/>
  <c r="N350" i="20"/>
  <c r="O350" i="20"/>
  <c r="P350" i="20"/>
  <c r="Q350" i="20"/>
  <c r="R350" i="20"/>
  <c r="S350" i="20"/>
  <c r="T350" i="20"/>
  <c r="U350" i="20"/>
  <c r="V350" i="20"/>
  <c r="W350" i="20"/>
  <c r="X350" i="20"/>
  <c r="Y350" i="20"/>
  <c r="Z350" i="20"/>
  <c r="AA350" i="20"/>
  <c r="AB350" i="20"/>
  <c r="AC350" i="20"/>
  <c r="AD350" i="20"/>
  <c r="AE350" i="20"/>
  <c r="AF350" i="20"/>
  <c r="AG350" i="20"/>
  <c r="AH350" i="20"/>
  <c r="AI350" i="20"/>
  <c r="AJ350" i="20"/>
  <c r="AK350" i="20"/>
  <c r="AL350" i="20"/>
  <c r="AM350" i="20"/>
  <c r="AN350" i="20"/>
  <c r="F351" i="20"/>
  <c r="G351" i="20"/>
  <c r="H351" i="20"/>
  <c r="I351" i="20"/>
  <c r="J351" i="20"/>
  <c r="K351" i="20"/>
  <c r="F352" i="20"/>
  <c r="G352" i="20"/>
  <c r="H352" i="20"/>
  <c r="I352" i="20"/>
  <c r="J352" i="20"/>
  <c r="K352" i="20"/>
  <c r="L352" i="20"/>
  <c r="N352" i="20"/>
  <c r="O352" i="20"/>
  <c r="P352" i="20"/>
  <c r="Q352" i="20"/>
  <c r="R352" i="20"/>
  <c r="S352" i="20"/>
  <c r="T352" i="20"/>
  <c r="U352" i="20"/>
  <c r="V352" i="20"/>
  <c r="W352" i="20"/>
  <c r="X352" i="20"/>
  <c r="Y352" i="20"/>
  <c r="Z352" i="20"/>
  <c r="AA352" i="20"/>
  <c r="AB352" i="20"/>
  <c r="AC352" i="20"/>
  <c r="AD352" i="20"/>
  <c r="AE352" i="20"/>
  <c r="AF352" i="20"/>
  <c r="AG352" i="20"/>
  <c r="AH352" i="20"/>
  <c r="AI352" i="20"/>
  <c r="AJ352" i="20"/>
  <c r="AK352" i="20"/>
  <c r="AL352" i="20"/>
  <c r="AM352" i="20"/>
  <c r="AN352" i="20"/>
  <c r="F353" i="20"/>
  <c r="G353" i="20"/>
  <c r="H353" i="20"/>
  <c r="I353" i="20"/>
  <c r="J353" i="20"/>
  <c r="K353" i="20"/>
  <c r="L353" i="20"/>
  <c r="N353" i="20"/>
  <c r="O353" i="20"/>
  <c r="P353" i="20"/>
  <c r="Q353" i="20"/>
  <c r="R353" i="20"/>
  <c r="S353" i="20"/>
  <c r="T353" i="20"/>
  <c r="U353" i="20"/>
  <c r="V353" i="20"/>
  <c r="W353" i="20"/>
  <c r="X353" i="20"/>
  <c r="Y353" i="20"/>
  <c r="Z353" i="20"/>
  <c r="AA353" i="20"/>
  <c r="AB353" i="20"/>
  <c r="AC353" i="20"/>
  <c r="AD353" i="20"/>
  <c r="AE353" i="20"/>
  <c r="AF353" i="20"/>
  <c r="AG353" i="20"/>
  <c r="AH353" i="20"/>
  <c r="AI353" i="20"/>
  <c r="AJ353" i="20"/>
  <c r="AK353" i="20"/>
  <c r="AL353" i="20"/>
  <c r="AM353" i="20"/>
  <c r="AN353" i="20"/>
  <c r="F354" i="20"/>
  <c r="G354" i="20"/>
  <c r="H354" i="20"/>
  <c r="I354" i="20"/>
  <c r="J354" i="20"/>
  <c r="K354" i="20"/>
  <c r="F355" i="20"/>
  <c r="G355" i="20"/>
  <c r="H355" i="20"/>
  <c r="I355" i="20"/>
  <c r="J355" i="20"/>
  <c r="K355" i="20"/>
  <c r="L355" i="20"/>
  <c r="N355" i="20"/>
  <c r="O355" i="20"/>
  <c r="P355" i="20"/>
  <c r="Q355" i="20"/>
  <c r="R355" i="20"/>
  <c r="S355" i="20"/>
  <c r="T355" i="20"/>
  <c r="U355" i="20"/>
  <c r="V355" i="20"/>
  <c r="W355" i="20"/>
  <c r="X355" i="20"/>
  <c r="Y355" i="20"/>
  <c r="Z355" i="20"/>
  <c r="AA355" i="20"/>
  <c r="AB355" i="20"/>
  <c r="AC355" i="20"/>
  <c r="AD355" i="20"/>
  <c r="AE355" i="20"/>
  <c r="AF355" i="20"/>
  <c r="AG355" i="20"/>
  <c r="AH355" i="20"/>
  <c r="AI355" i="20"/>
  <c r="AJ355" i="20"/>
  <c r="AK355" i="20"/>
  <c r="AL355" i="20"/>
  <c r="AM355" i="20"/>
  <c r="AN355" i="20"/>
  <c r="F356" i="20"/>
  <c r="G356" i="20"/>
  <c r="H356" i="20"/>
  <c r="I356" i="20"/>
  <c r="J356" i="20"/>
  <c r="K356" i="20"/>
  <c r="L356" i="20"/>
  <c r="N356" i="20"/>
  <c r="O356" i="20"/>
  <c r="P356" i="20"/>
  <c r="Q356" i="20"/>
  <c r="R356" i="20"/>
  <c r="S356" i="20"/>
  <c r="T356" i="20"/>
  <c r="U356" i="20"/>
  <c r="V356" i="20"/>
  <c r="W356" i="20"/>
  <c r="X356" i="20"/>
  <c r="Y356" i="20"/>
  <c r="Z356" i="20"/>
  <c r="AA356" i="20"/>
  <c r="AB356" i="20"/>
  <c r="AC356" i="20"/>
  <c r="AD356" i="20"/>
  <c r="AE356" i="20"/>
  <c r="AF356" i="20"/>
  <c r="AG356" i="20"/>
  <c r="AH356" i="20"/>
  <c r="AI356" i="20"/>
  <c r="AJ356" i="20"/>
  <c r="AK356" i="20"/>
  <c r="AL356" i="20"/>
  <c r="AM356" i="20"/>
  <c r="AN356" i="20"/>
  <c r="F357" i="20"/>
  <c r="G357" i="20"/>
  <c r="H357" i="20"/>
  <c r="I357" i="20"/>
  <c r="J357" i="20"/>
  <c r="K357" i="20"/>
  <c r="F358" i="20"/>
  <c r="G358" i="20"/>
  <c r="H358" i="20"/>
  <c r="I358" i="20"/>
  <c r="J358" i="20"/>
  <c r="K358" i="20"/>
  <c r="L358" i="20"/>
  <c r="N358" i="20"/>
  <c r="O358" i="20"/>
  <c r="P358" i="20"/>
  <c r="Q358" i="20"/>
  <c r="R358" i="20"/>
  <c r="S358" i="20"/>
  <c r="T358" i="20"/>
  <c r="U358" i="20"/>
  <c r="V358" i="20"/>
  <c r="W358" i="20"/>
  <c r="X358" i="20"/>
  <c r="Y358" i="20"/>
  <c r="Z358" i="20"/>
  <c r="AA358" i="20"/>
  <c r="AB358" i="20"/>
  <c r="AC358" i="20"/>
  <c r="AD358" i="20"/>
  <c r="AE358" i="20"/>
  <c r="AF358" i="20"/>
  <c r="AG358" i="20"/>
  <c r="AH358" i="20"/>
  <c r="AI358" i="20"/>
  <c r="AJ358" i="20"/>
  <c r="AK358" i="20"/>
  <c r="AL358" i="20"/>
  <c r="AM358" i="20"/>
  <c r="AN358" i="20"/>
  <c r="F359" i="20"/>
  <c r="G359" i="20"/>
  <c r="H359" i="20"/>
  <c r="I359" i="20"/>
  <c r="J359" i="20"/>
  <c r="K359" i="20"/>
  <c r="L359" i="20"/>
  <c r="N359" i="20"/>
  <c r="O359" i="20"/>
  <c r="P359" i="20"/>
  <c r="Q359" i="20"/>
  <c r="R359" i="20"/>
  <c r="S359" i="20"/>
  <c r="T359" i="20"/>
  <c r="U359" i="20"/>
  <c r="V359" i="20"/>
  <c r="W359" i="20"/>
  <c r="X359" i="20"/>
  <c r="Y359" i="20"/>
  <c r="Z359" i="20"/>
  <c r="AA359" i="20"/>
  <c r="AB359" i="20"/>
  <c r="AC359" i="20"/>
  <c r="AD359" i="20"/>
  <c r="AE359" i="20"/>
  <c r="AF359" i="20"/>
  <c r="AG359" i="20"/>
  <c r="AH359" i="20"/>
  <c r="AI359" i="20"/>
  <c r="AJ359" i="20"/>
  <c r="AK359" i="20"/>
  <c r="AL359" i="20"/>
  <c r="AM359" i="20"/>
  <c r="AN359" i="20"/>
  <c r="F360" i="20"/>
  <c r="G360" i="20"/>
  <c r="H360" i="20"/>
  <c r="I360" i="20"/>
  <c r="J360" i="20"/>
  <c r="K360" i="20"/>
  <c r="N360" i="20"/>
  <c r="T360" i="20"/>
  <c r="U360" i="20"/>
  <c r="Y360" i="20"/>
  <c r="AA360" i="20"/>
  <c r="AB360" i="20"/>
  <c r="AC360" i="20"/>
  <c r="AD360" i="20"/>
  <c r="AE360" i="20"/>
  <c r="AF360" i="20"/>
  <c r="AG360" i="20"/>
  <c r="AH360" i="20"/>
  <c r="AI360" i="20"/>
  <c r="AJ360" i="20"/>
  <c r="AK360" i="20"/>
  <c r="A21" i="9"/>
  <c r="B27" i="21"/>
  <c r="F22" i="8"/>
  <c r="G22" i="8"/>
  <c r="H22" i="8"/>
  <c r="I22" i="8"/>
  <c r="J22" i="8"/>
  <c r="K22" i="8"/>
  <c r="L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F25" i="8"/>
  <c r="G25" i="8"/>
  <c r="H25" i="8"/>
  <c r="I25" i="8"/>
  <c r="J25" i="8"/>
  <c r="K25" i="8"/>
  <c r="L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F28" i="8"/>
  <c r="G28" i="8"/>
  <c r="H28" i="8"/>
  <c r="I28" i="8"/>
  <c r="J28" i="8"/>
  <c r="K28" i="8"/>
  <c r="L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F31" i="8"/>
  <c r="G31" i="8"/>
  <c r="H31" i="8"/>
  <c r="I31" i="8"/>
  <c r="J31" i="8"/>
  <c r="K31" i="8"/>
  <c r="L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F34" i="8"/>
  <c r="G34" i="8"/>
  <c r="H34" i="8"/>
  <c r="I34" i="8"/>
  <c r="J34" i="8"/>
  <c r="K34" i="8"/>
  <c r="L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F37" i="8"/>
  <c r="G37" i="8"/>
  <c r="H37" i="8"/>
  <c r="I37" i="8"/>
  <c r="J37" i="8"/>
  <c r="K37" i="8"/>
  <c r="L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F40" i="8"/>
  <c r="G40" i="8"/>
  <c r="H40" i="8"/>
  <c r="I40" i="8"/>
  <c r="J40" i="8"/>
  <c r="K40" i="8"/>
  <c r="L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F43" i="8"/>
  <c r="G43" i="8"/>
  <c r="H43" i="8"/>
  <c r="I43" i="8"/>
  <c r="J43" i="8"/>
  <c r="K43" i="8"/>
  <c r="L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F46" i="8"/>
  <c r="G46" i="8"/>
  <c r="H46" i="8"/>
  <c r="I46" i="8"/>
  <c r="J46" i="8"/>
  <c r="K46" i="8"/>
  <c r="L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F49" i="8"/>
  <c r="G49" i="8"/>
  <c r="H49" i="8"/>
  <c r="I49" i="8"/>
  <c r="J49" i="8"/>
  <c r="K49" i="8"/>
  <c r="L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F52" i="8"/>
  <c r="G52" i="8"/>
  <c r="H52" i="8"/>
  <c r="I52" i="8"/>
  <c r="J52" i="8"/>
  <c r="K52" i="8"/>
  <c r="L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F55" i="8"/>
  <c r="G55" i="8"/>
  <c r="H55" i="8"/>
  <c r="I55" i="8"/>
  <c r="J55" i="8"/>
  <c r="K55" i="8"/>
  <c r="L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F58" i="8"/>
  <c r="G58" i="8"/>
  <c r="H58" i="8"/>
  <c r="I58" i="8"/>
  <c r="J58" i="8"/>
  <c r="K58" i="8"/>
  <c r="L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F61" i="8"/>
  <c r="G61" i="8"/>
  <c r="H61" i="8"/>
  <c r="I61" i="8"/>
  <c r="J61" i="8"/>
  <c r="K61" i="8"/>
  <c r="L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F64" i="8"/>
  <c r="G64" i="8"/>
  <c r="H64" i="8"/>
  <c r="I64" i="8"/>
  <c r="J64" i="8"/>
  <c r="K64" i="8"/>
  <c r="L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F67" i="8"/>
  <c r="G67" i="8"/>
  <c r="H67" i="8"/>
  <c r="I67" i="8"/>
  <c r="J67" i="8"/>
  <c r="K67" i="8"/>
  <c r="L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F70" i="8"/>
  <c r="G70" i="8"/>
  <c r="H70" i="8"/>
  <c r="I70" i="8"/>
  <c r="J70" i="8"/>
  <c r="K70" i="8"/>
  <c r="L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F73" i="8"/>
  <c r="G73" i="8"/>
  <c r="H73" i="8"/>
  <c r="I73" i="8"/>
  <c r="J73" i="8"/>
  <c r="K73" i="8"/>
  <c r="L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F76" i="8"/>
  <c r="G76" i="8"/>
  <c r="H76" i="8"/>
  <c r="I76" i="8"/>
  <c r="J76" i="8"/>
  <c r="K76" i="8"/>
  <c r="L76" i="8"/>
  <c r="N76" i="8"/>
  <c r="O76" i="8"/>
  <c r="P76" i="8"/>
  <c r="Q76" i="8"/>
  <c r="R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AF76" i="8"/>
  <c r="AG76" i="8"/>
  <c r="AH76" i="8"/>
  <c r="AI76" i="8"/>
  <c r="AJ76" i="8"/>
  <c r="AK76" i="8"/>
  <c r="AL76" i="8"/>
  <c r="AM76" i="8"/>
  <c r="AN76" i="8"/>
  <c r="F79" i="8"/>
  <c r="G79" i="8"/>
  <c r="H79" i="8"/>
  <c r="I79" i="8"/>
  <c r="J79" i="8"/>
  <c r="K79" i="8"/>
  <c r="L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AG79" i="8"/>
  <c r="AH79" i="8"/>
  <c r="AI79" i="8"/>
  <c r="AJ79" i="8"/>
  <c r="AK79" i="8"/>
  <c r="AL79" i="8"/>
  <c r="AM79" i="8"/>
  <c r="AN79" i="8"/>
  <c r="F82" i="8"/>
  <c r="G82" i="8"/>
  <c r="H82" i="8"/>
  <c r="I82" i="8"/>
  <c r="J82" i="8"/>
  <c r="K82" i="8"/>
  <c r="L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AF82" i="8"/>
  <c r="AG82" i="8"/>
  <c r="AH82" i="8"/>
  <c r="AI82" i="8"/>
  <c r="AJ82" i="8"/>
  <c r="AK82" i="8"/>
  <c r="AL82" i="8"/>
  <c r="AM82" i="8"/>
  <c r="AN82" i="8"/>
  <c r="F85" i="8"/>
  <c r="G85" i="8"/>
  <c r="H85" i="8"/>
  <c r="I85" i="8"/>
  <c r="J85" i="8"/>
  <c r="K85" i="8"/>
  <c r="L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M85" i="8"/>
  <c r="AN85" i="8"/>
  <c r="F88" i="8"/>
  <c r="G88" i="8"/>
  <c r="H88" i="8"/>
  <c r="I88" i="8"/>
  <c r="J88" i="8"/>
  <c r="K88" i="8"/>
  <c r="L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AI88" i="8"/>
  <c r="AJ88" i="8"/>
  <c r="AK88" i="8"/>
  <c r="AL88" i="8"/>
  <c r="AM88" i="8"/>
  <c r="AN88" i="8"/>
  <c r="F91" i="8"/>
  <c r="G91" i="8"/>
  <c r="H91" i="8"/>
  <c r="I91" i="8"/>
  <c r="J91" i="8"/>
  <c r="K91" i="8"/>
  <c r="L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AM91" i="8"/>
  <c r="AN91" i="8"/>
  <c r="F94" i="8"/>
  <c r="G94" i="8"/>
  <c r="H94" i="8"/>
  <c r="I94" i="8"/>
  <c r="J94" i="8"/>
  <c r="K94" i="8"/>
  <c r="L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AI94" i="8"/>
  <c r="AJ94" i="8"/>
  <c r="AK94" i="8"/>
  <c r="AL94" i="8"/>
  <c r="AM94" i="8"/>
  <c r="AN94" i="8"/>
  <c r="F97" i="8"/>
  <c r="G97" i="8"/>
  <c r="H97" i="8"/>
  <c r="I97" i="8"/>
  <c r="J97" i="8"/>
  <c r="K97" i="8"/>
  <c r="L97" i="8"/>
  <c r="N97" i="8"/>
  <c r="O97" i="8"/>
  <c r="P97" i="8"/>
  <c r="Q97" i="8"/>
  <c r="R97" i="8"/>
  <c r="S97" i="8"/>
  <c r="T97" i="8"/>
  <c r="U97" i="8"/>
  <c r="V97" i="8"/>
  <c r="W97" i="8"/>
  <c r="X97" i="8"/>
  <c r="Y97" i="8"/>
  <c r="Z97" i="8"/>
  <c r="AA97" i="8"/>
  <c r="AB97" i="8"/>
  <c r="AC97" i="8"/>
  <c r="AD97" i="8"/>
  <c r="AE97" i="8"/>
  <c r="AF97" i="8"/>
  <c r="AG97" i="8"/>
  <c r="AH97" i="8"/>
  <c r="AI97" i="8"/>
  <c r="AJ97" i="8"/>
  <c r="AK97" i="8"/>
  <c r="AL97" i="8"/>
  <c r="AM97" i="8"/>
  <c r="AN97" i="8"/>
  <c r="F100" i="8"/>
  <c r="G100" i="8"/>
  <c r="H100" i="8"/>
  <c r="I100" i="8"/>
  <c r="J100" i="8"/>
  <c r="K100" i="8"/>
  <c r="L100" i="8"/>
  <c r="N100" i="8"/>
  <c r="O100" i="8"/>
  <c r="P100" i="8"/>
  <c r="Q100" i="8"/>
  <c r="R100" i="8"/>
  <c r="S100" i="8"/>
  <c r="T100" i="8"/>
  <c r="U100" i="8"/>
  <c r="V100" i="8"/>
  <c r="W100" i="8"/>
  <c r="X100" i="8"/>
  <c r="Y100" i="8"/>
  <c r="Z100" i="8"/>
  <c r="AA100" i="8"/>
  <c r="AB100" i="8"/>
  <c r="AC100" i="8"/>
  <c r="AD100" i="8"/>
  <c r="AE100" i="8"/>
  <c r="AF100" i="8"/>
  <c r="AG100" i="8"/>
  <c r="AH100" i="8"/>
  <c r="AI100" i="8"/>
  <c r="AJ100" i="8"/>
  <c r="AK100" i="8"/>
  <c r="AL100" i="8"/>
  <c r="AM100" i="8"/>
  <c r="AN100" i="8"/>
  <c r="F103" i="8"/>
  <c r="G103" i="8"/>
  <c r="H103" i="8"/>
  <c r="I103" i="8"/>
  <c r="J103" i="8"/>
  <c r="K103" i="8"/>
  <c r="L103" i="8"/>
  <c r="N103" i="8"/>
  <c r="O103" i="8"/>
  <c r="P103" i="8"/>
  <c r="Q103" i="8"/>
  <c r="R103" i="8"/>
  <c r="S103" i="8"/>
  <c r="T103" i="8"/>
  <c r="U103" i="8"/>
  <c r="V103" i="8"/>
  <c r="W103" i="8"/>
  <c r="X103" i="8"/>
  <c r="Y103" i="8"/>
  <c r="Z103" i="8"/>
  <c r="AA103" i="8"/>
  <c r="AB103" i="8"/>
  <c r="AC103" i="8"/>
  <c r="AD103" i="8"/>
  <c r="AE103" i="8"/>
  <c r="AF103" i="8"/>
  <c r="AG103" i="8"/>
  <c r="AH103" i="8"/>
  <c r="AI103" i="8"/>
  <c r="AJ103" i="8"/>
  <c r="AK103" i="8"/>
  <c r="AL103" i="8"/>
  <c r="AM103" i="8"/>
  <c r="AN103" i="8"/>
  <c r="F106" i="8"/>
  <c r="G106" i="8"/>
  <c r="H106" i="8"/>
  <c r="I106" i="8"/>
  <c r="J106" i="8"/>
  <c r="K106" i="8"/>
  <c r="L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AI106" i="8"/>
  <c r="AJ106" i="8"/>
  <c r="AK106" i="8"/>
  <c r="AL106" i="8"/>
  <c r="AM106" i="8"/>
  <c r="AN106" i="8"/>
  <c r="F109" i="8"/>
  <c r="G109" i="8"/>
  <c r="H109" i="8"/>
  <c r="I109" i="8"/>
  <c r="J109" i="8"/>
  <c r="K109" i="8"/>
  <c r="L109" i="8"/>
  <c r="N109" i="8"/>
  <c r="O109" i="8"/>
  <c r="P109" i="8"/>
  <c r="Q109" i="8"/>
  <c r="R109" i="8"/>
  <c r="S109" i="8"/>
  <c r="T109" i="8"/>
  <c r="U109" i="8"/>
  <c r="V109" i="8"/>
  <c r="W109" i="8"/>
  <c r="X109" i="8"/>
  <c r="Y109" i="8"/>
  <c r="Z109" i="8"/>
  <c r="AA109" i="8"/>
  <c r="AB109" i="8"/>
  <c r="AC109" i="8"/>
  <c r="AD109" i="8"/>
  <c r="AE109" i="8"/>
  <c r="AF109" i="8"/>
  <c r="AG109" i="8"/>
  <c r="AH109" i="8"/>
  <c r="AI109" i="8"/>
  <c r="AJ109" i="8"/>
  <c r="AK109" i="8"/>
  <c r="AL109" i="8"/>
  <c r="AM109" i="8"/>
  <c r="AN109" i="8"/>
  <c r="F112" i="8"/>
  <c r="G112" i="8"/>
  <c r="H112" i="8"/>
  <c r="I112" i="8"/>
  <c r="J112" i="8"/>
  <c r="K112" i="8"/>
  <c r="L112" i="8"/>
  <c r="N112" i="8"/>
  <c r="O112" i="8"/>
  <c r="P112" i="8"/>
  <c r="Q112" i="8"/>
  <c r="R112" i="8"/>
  <c r="S112" i="8"/>
  <c r="T112" i="8"/>
  <c r="U112" i="8"/>
  <c r="V112" i="8"/>
  <c r="W112" i="8"/>
  <c r="X112" i="8"/>
  <c r="Y112" i="8"/>
  <c r="Z112" i="8"/>
  <c r="AA112" i="8"/>
  <c r="AB112" i="8"/>
  <c r="AC112" i="8"/>
  <c r="AD112" i="8"/>
  <c r="AE112" i="8"/>
  <c r="AF112" i="8"/>
  <c r="AG112" i="8"/>
  <c r="AH112" i="8"/>
  <c r="AI112" i="8"/>
  <c r="AJ112" i="8"/>
  <c r="AK112" i="8"/>
  <c r="AL112" i="8"/>
  <c r="AM112" i="8"/>
  <c r="AN112" i="8"/>
  <c r="F115" i="8"/>
  <c r="F117" i="20"/>
  <c r="G115" i="8"/>
  <c r="G117" i="20" s="1"/>
  <c r="H115" i="8"/>
  <c r="I115" i="8"/>
  <c r="J115" i="8"/>
  <c r="J117" i="20"/>
  <c r="K115" i="8"/>
  <c r="K117" i="20"/>
  <c r="L115" i="8"/>
  <c r="N115" i="8"/>
  <c r="N117" i="20"/>
  <c r="O115" i="8"/>
  <c r="O117" i="20"/>
  <c r="P115" i="8"/>
  <c r="Q115" i="8"/>
  <c r="R115" i="8"/>
  <c r="R117" i="20"/>
  <c r="S115" i="8"/>
  <c r="S117" i="20"/>
  <c r="T115" i="8"/>
  <c r="U115" i="8"/>
  <c r="U117" i="20"/>
  <c r="V115" i="8"/>
  <c r="V117" i="20"/>
  <c r="W115" i="8"/>
  <c r="W117" i="20" s="1"/>
  <c r="X115" i="8"/>
  <c r="X117" i="20" s="1"/>
  <c r="Y115" i="8"/>
  <c r="V9" i="22" s="1"/>
  <c r="Z115" i="8"/>
  <c r="Z117" i="20"/>
  <c r="AA115" i="8"/>
  <c r="AB115" i="8"/>
  <c r="AC115" i="8"/>
  <c r="AD115" i="8"/>
  <c r="AD117" i="20"/>
  <c r="AE115" i="8"/>
  <c r="AE117" i="20"/>
  <c r="AF115" i="8"/>
  <c r="AF117" i="20"/>
  <c r="AG115" i="8"/>
  <c r="AH115" i="8"/>
  <c r="AH117" i="20"/>
  <c r="AI115" i="8"/>
  <c r="AI117" i="20"/>
  <c r="AJ115" i="8"/>
  <c r="AK115" i="8"/>
  <c r="AL115" i="8"/>
  <c r="AM115" i="8"/>
  <c r="AM117" i="20" s="1"/>
  <c r="AN115" i="8"/>
  <c r="F118" i="8"/>
  <c r="F120" i="20" s="1"/>
  <c r="G118" i="8"/>
  <c r="G120" i="20" s="1"/>
  <c r="H118" i="8"/>
  <c r="H120" i="20"/>
  <c r="I118" i="8"/>
  <c r="I120" i="20"/>
  <c r="J118" i="8"/>
  <c r="K118" i="8"/>
  <c r="H9" i="22" s="1"/>
  <c r="L118" i="8"/>
  <c r="L120" i="20"/>
  <c r="N118" i="8"/>
  <c r="O118" i="8"/>
  <c r="P118" i="8"/>
  <c r="P120" i="20"/>
  <c r="Q118" i="8"/>
  <c r="Q120" i="20" s="1"/>
  <c r="R118" i="8"/>
  <c r="R120" i="20"/>
  <c r="S118" i="8"/>
  <c r="S120" i="20" s="1"/>
  <c r="T118" i="8"/>
  <c r="T120" i="20" s="1"/>
  <c r="U118" i="8"/>
  <c r="R9" i="22" s="1"/>
  <c r="V118" i="8"/>
  <c r="W118" i="8"/>
  <c r="X118" i="8"/>
  <c r="X120" i="20"/>
  <c r="Y118" i="8"/>
  <c r="Y120" i="20"/>
  <c r="Z118" i="8"/>
  <c r="AA118" i="8"/>
  <c r="AA120" i="20" s="1"/>
  <c r="AB118" i="8"/>
  <c r="AB120" i="20"/>
  <c r="AC118" i="8"/>
  <c r="AC120" i="20" s="1"/>
  <c r="AD118" i="8"/>
  <c r="AD120" i="20" s="1"/>
  <c r="AE118" i="8"/>
  <c r="AE120" i="20" s="1"/>
  <c r="AF118" i="8"/>
  <c r="AF120" i="20"/>
  <c r="AG118" i="8"/>
  <c r="AG120" i="20" s="1"/>
  <c r="AH118" i="8"/>
  <c r="AH120" i="20"/>
  <c r="AI118" i="8"/>
  <c r="AI120" i="20" s="1"/>
  <c r="AJ118" i="8"/>
  <c r="AJ120" i="20"/>
  <c r="AK118" i="8"/>
  <c r="AK120" i="20" s="1"/>
  <c r="AL118" i="8"/>
  <c r="AL120" i="20" s="1"/>
  <c r="AM118" i="8"/>
  <c r="AM120" i="20" s="1"/>
  <c r="AN118" i="8"/>
  <c r="F121" i="8"/>
  <c r="F123" i="20"/>
  <c r="G121" i="8"/>
  <c r="G123" i="20" s="1"/>
  <c r="H121" i="8"/>
  <c r="I121" i="8"/>
  <c r="J121" i="8"/>
  <c r="J123" i="20" s="1"/>
  <c r="K121" i="8"/>
  <c r="K123" i="20"/>
  <c r="L121" i="8"/>
  <c r="L123" i="20" s="1"/>
  <c r="N121" i="8"/>
  <c r="N123" i="20" s="1"/>
  <c r="O121" i="8"/>
  <c r="O123" i="20" s="1"/>
  <c r="P121" i="8"/>
  <c r="P123" i="20"/>
  <c r="Q121" i="8"/>
  <c r="Q123" i="20" s="1"/>
  <c r="R121" i="8"/>
  <c r="R123" i="20"/>
  <c r="S121" i="8"/>
  <c r="S123" i="20" s="1"/>
  <c r="T121" i="8"/>
  <c r="U121" i="8"/>
  <c r="U123" i="20"/>
  <c r="V121" i="8"/>
  <c r="W121" i="8"/>
  <c r="X121" i="8"/>
  <c r="X123" i="20"/>
  <c r="Y121" i="8"/>
  <c r="Y123" i="20" s="1"/>
  <c r="Z121" i="8"/>
  <c r="AA121" i="8"/>
  <c r="AA123" i="20" s="1"/>
  <c r="AB121" i="8"/>
  <c r="AC121" i="8"/>
  <c r="AC123" i="20" s="1"/>
  <c r="AD121" i="8"/>
  <c r="AD123" i="20" s="1"/>
  <c r="AE121" i="8"/>
  <c r="AE123" i="20"/>
  <c r="AF121" i="8"/>
  <c r="AF123" i="20"/>
  <c r="AG121" i="8"/>
  <c r="AG123" i="20"/>
  <c r="AH121" i="8"/>
  <c r="AH123" i="20" s="1"/>
  <c r="AI121" i="8"/>
  <c r="AI123" i="20"/>
  <c r="AJ121" i="8"/>
  <c r="AJ123" i="20"/>
  <c r="AK121" i="8"/>
  <c r="AK123" i="20" s="1"/>
  <c r="AL121" i="8"/>
  <c r="AL123" i="20" s="1"/>
  <c r="AM121" i="8"/>
  <c r="AM123" i="20"/>
  <c r="AN121" i="8"/>
  <c r="F124" i="8"/>
  <c r="F126" i="20" s="1"/>
  <c r="G124" i="8"/>
  <c r="D9" i="22" s="1"/>
  <c r="H124" i="8"/>
  <c r="H126" i="20"/>
  <c r="I124" i="8"/>
  <c r="I126" i="20" s="1"/>
  <c r="J124" i="8"/>
  <c r="J126" i="20"/>
  <c r="K124" i="8"/>
  <c r="L124" i="8"/>
  <c r="L126" i="20" s="1"/>
  <c r="N124" i="8"/>
  <c r="N126" i="20"/>
  <c r="O124" i="8"/>
  <c r="O126" i="20"/>
  <c r="P124" i="8"/>
  <c r="P126" i="20"/>
  <c r="Q124" i="8"/>
  <c r="Q126" i="20" s="1"/>
  <c r="R124" i="8"/>
  <c r="R126" i="20"/>
  <c r="S124" i="8"/>
  <c r="S126" i="20"/>
  <c r="T124" i="8"/>
  <c r="T126" i="20" s="1"/>
  <c r="U124" i="8"/>
  <c r="V124" i="8"/>
  <c r="V126" i="20"/>
  <c r="W124" i="8"/>
  <c r="W126" i="20" s="1"/>
  <c r="X124" i="8"/>
  <c r="X126" i="20" s="1"/>
  <c r="Y124" i="8"/>
  <c r="Y126" i="20" s="1"/>
  <c r="Z124" i="8"/>
  <c r="Z126" i="20"/>
  <c r="AA124" i="8"/>
  <c r="AB124" i="8"/>
  <c r="AB126" i="20"/>
  <c r="AC124" i="8"/>
  <c r="AC126" i="20" s="1"/>
  <c r="AD124" i="8"/>
  <c r="AD126" i="20" s="1"/>
  <c r="AE124" i="8"/>
  <c r="AE126" i="20"/>
  <c r="AF124" i="8"/>
  <c r="AF126" i="20"/>
  <c r="AG124" i="8"/>
  <c r="AG126" i="20"/>
  <c r="AH124" i="8"/>
  <c r="AH126" i="20" s="1"/>
  <c r="AI124" i="8"/>
  <c r="AI126" i="20"/>
  <c r="AJ124" i="8"/>
  <c r="AJ126" i="20"/>
  <c r="AK124" i="8"/>
  <c r="AL124" i="8"/>
  <c r="AL126" i="20" s="1"/>
  <c r="AM124" i="8"/>
  <c r="AM126" i="20"/>
  <c r="AN124" i="8"/>
  <c r="F127" i="8"/>
  <c r="G127" i="8"/>
  <c r="G129" i="20" s="1"/>
  <c r="H127" i="8"/>
  <c r="H129" i="20" s="1"/>
  <c r="I127" i="8"/>
  <c r="I129" i="20"/>
  <c r="J127" i="8"/>
  <c r="J129" i="20" s="1"/>
  <c r="K127" i="8"/>
  <c r="K129" i="20"/>
  <c r="L127" i="8"/>
  <c r="L129" i="20" s="1"/>
  <c r="N127" i="8"/>
  <c r="N129" i="20"/>
  <c r="O127" i="8"/>
  <c r="O129" i="20" s="1"/>
  <c r="P127" i="8"/>
  <c r="P129" i="20" s="1"/>
  <c r="Q127" i="8"/>
  <c r="Q129" i="20" s="1"/>
  <c r="R127" i="8"/>
  <c r="R129" i="20"/>
  <c r="S127" i="8"/>
  <c r="S129" i="20" s="1"/>
  <c r="T127" i="8"/>
  <c r="T129" i="20"/>
  <c r="U127" i="8"/>
  <c r="U129" i="20" s="1"/>
  <c r="V127" i="8"/>
  <c r="V129" i="20"/>
  <c r="W127" i="8"/>
  <c r="W129" i="20" s="1"/>
  <c r="X127" i="8"/>
  <c r="Y127" i="8"/>
  <c r="Y129" i="20"/>
  <c r="Z127" i="8"/>
  <c r="Z129" i="20" s="1"/>
  <c r="AA127" i="8"/>
  <c r="AA129" i="20"/>
  <c r="AB127" i="8"/>
  <c r="AB129" i="20"/>
  <c r="AC127" i="8"/>
  <c r="AC129" i="20" s="1"/>
  <c r="AD127" i="8"/>
  <c r="AD129" i="20"/>
  <c r="AE127" i="8"/>
  <c r="AE129" i="20"/>
  <c r="AF127" i="8"/>
  <c r="AF129" i="20"/>
  <c r="AG127" i="8"/>
  <c r="AH127" i="8"/>
  <c r="AH129" i="20" s="1"/>
  <c r="AI127" i="8"/>
  <c r="AJ127" i="8"/>
  <c r="AK127" i="8"/>
  <c r="AK129" i="20" s="1"/>
  <c r="AL127" i="8"/>
  <c r="AL129" i="20"/>
  <c r="AM127" i="8"/>
  <c r="AM129" i="20" s="1"/>
  <c r="AN127" i="8"/>
  <c r="F130" i="8"/>
  <c r="F132" i="20"/>
  <c r="G130" i="8"/>
  <c r="G132" i="20"/>
  <c r="H130" i="8"/>
  <c r="H132" i="20"/>
  <c r="I130" i="8"/>
  <c r="I132" i="20"/>
  <c r="J130" i="8"/>
  <c r="J132" i="20"/>
  <c r="K130" i="8"/>
  <c r="K132" i="20"/>
  <c r="L130" i="8"/>
  <c r="L132" i="20" s="1"/>
  <c r="N130" i="8"/>
  <c r="N132" i="20"/>
  <c r="O130" i="8"/>
  <c r="P130" i="8"/>
  <c r="Q130" i="8"/>
  <c r="Q132" i="20"/>
  <c r="R130" i="8"/>
  <c r="S130" i="8"/>
  <c r="P9" i="22" s="1"/>
  <c r="T130" i="8"/>
  <c r="T132" i="20"/>
  <c r="U130" i="8"/>
  <c r="U132" i="20" s="1"/>
  <c r="V130" i="8"/>
  <c r="V132" i="20"/>
  <c r="W130" i="8"/>
  <c r="W132" i="20" s="1"/>
  <c r="X130" i="8"/>
  <c r="X132" i="20"/>
  <c r="Y130" i="8"/>
  <c r="Y132" i="20" s="1"/>
  <c r="Z130" i="8"/>
  <c r="Z132" i="20" s="1"/>
  <c r="AA130" i="8"/>
  <c r="AA132" i="20" s="1"/>
  <c r="AB130" i="8"/>
  <c r="AB132" i="20"/>
  <c r="AC130" i="8"/>
  <c r="AC132" i="20" s="1"/>
  <c r="AD130" i="8"/>
  <c r="AD132" i="20"/>
  <c r="AE130" i="8"/>
  <c r="AE132" i="20" s="1"/>
  <c r="AF130" i="8"/>
  <c r="AF132" i="20"/>
  <c r="AG130" i="8"/>
  <c r="AG132" i="20" s="1"/>
  <c r="AH130" i="8"/>
  <c r="AH132" i="20" s="1"/>
  <c r="AI130" i="8"/>
  <c r="AI132" i="20" s="1"/>
  <c r="AJ130" i="8"/>
  <c r="AJ132" i="20"/>
  <c r="AK130" i="8"/>
  <c r="AK132" i="20" s="1"/>
  <c r="AL130" i="8"/>
  <c r="AL132" i="20"/>
  <c r="AM130" i="8"/>
  <c r="AM132" i="20" s="1"/>
  <c r="AN130" i="8"/>
  <c r="F133" i="8"/>
  <c r="F135" i="20"/>
  <c r="G133" i="8"/>
  <c r="G135" i="20"/>
  <c r="H133" i="8"/>
  <c r="H135" i="20"/>
  <c r="I133" i="8"/>
  <c r="J133" i="8"/>
  <c r="K133" i="8"/>
  <c r="K135" i="20"/>
  <c r="L133" i="8"/>
  <c r="L135" i="20"/>
  <c r="N133" i="8"/>
  <c r="N135" i="20" s="1"/>
  <c r="O133" i="8"/>
  <c r="O135" i="20"/>
  <c r="P133" i="8"/>
  <c r="P135" i="20"/>
  <c r="Q133" i="8"/>
  <c r="Q135" i="20"/>
  <c r="R133" i="8"/>
  <c r="R135" i="20"/>
  <c r="S133" i="8"/>
  <c r="S135" i="20"/>
  <c r="T133" i="8"/>
  <c r="T135" i="20"/>
  <c r="U133" i="8"/>
  <c r="V133" i="8"/>
  <c r="V135" i="20"/>
  <c r="W133" i="8"/>
  <c r="W135" i="20" s="1"/>
  <c r="X133" i="8"/>
  <c r="X135" i="20"/>
  <c r="Y133" i="8"/>
  <c r="Y135" i="20" s="1"/>
  <c r="Z133" i="8"/>
  <c r="Z135" i="20" s="1"/>
  <c r="AA133" i="8"/>
  <c r="AA135" i="20" s="1"/>
  <c r="AB133" i="8"/>
  <c r="AB135" i="20"/>
  <c r="AC133" i="8"/>
  <c r="AC135" i="20" s="1"/>
  <c r="AD133" i="8"/>
  <c r="AD135" i="20"/>
  <c r="AE133" i="8"/>
  <c r="AE135" i="20" s="1"/>
  <c r="AF133" i="8"/>
  <c r="AF135" i="20"/>
  <c r="AG133" i="8"/>
  <c r="AG135" i="20" s="1"/>
  <c r="AH133" i="8"/>
  <c r="AH135" i="20" s="1"/>
  <c r="AI133" i="8"/>
  <c r="AI135" i="20" s="1"/>
  <c r="AJ133" i="8"/>
  <c r="AJ135" i="20"/>
  <c r="AK133" i="8"/>
  <c r="AK135" i="20" s="1"/>
  <c r="AL133" i="8"/>
  <c r="AL135" i="20"/>
  <c r="AM133" i="8"/>
  <c r="AN133" i="8"/>
  <c r="F136" i="8"/>
  <c r="F138" i="20"/>
  <c r="G136" i="8"/>
  <c r="G138" i="20" s="1"/>
  <c r="H136" i="8"/>
  <c r="H138" i="20" s="1"/>
  <c r="I136" i="8"/>
  <c r="F9" i="22" s="1"/>
  <c r="J136" i="8"/>
  <c r="J138" i="20"/>
  <c r="K136" i="8"/>
  <c r="L136" i="8"/>
  <c r="L138" i="20"/>
  <c r="N136" i="8"/>
  <c r="O136" i="8"/>
  <c r="O138" i="20" s="1"/>
  <c r="P136" i="8"/>
  <c r="P138" i="20"/>
  <c r="Q136" i="8"/>
  <c r="Q138" i="20" s="1"/>
  <c r="R136" i="8"/>
  <c r="R138" i="20" s="1"/>
  <c r="S136" i="8"/>
  <c r="S138" i="20" s="1"/>
  <c r="T136" i="8"/>
  <c r="T138" i="20"/>
  <c r="U136" i="8"/>
  <c r="U138" i="20" s="1"/>
  <c r="V136" i="8"/>
  <c r="V138" i="20"/>
  <c r="W136" i="8"/>
  <c r="W138" i="20" s="1"/>
  <c r="X136" i="8"/>
  <c r="X138" i="20"/>
  <c r="Y136" i="8"/>
  <c r="Y138" i="20" s="1"/>
  <c r="Z136" i="8"/>
  <c r="Z138" i="20" s="1"/>
  <c r="AA136" i="8"/>
  <c r="AA138" i="20" s="1"/>
  <c r="AB136" i="8"/>
  <c r="AB138" i="20"/>
  <c r="AC136" i="8"/>
  <c r="AC138" i="20" s="1"/>
  <c r="AD136" i="8"/>
  <c r="AD138" i="20"/>
  <c r="AE136" i="8"/>
  <c r="AE138" i="20" s="1"/>
  <c r="AF136" i="8"/>
  <c r="AF138" i="20"/>
  <c r="AG136" i="8"/>
  <c r="AG138" i="20" s="1"/>
  <c r="AH136" i="8"/>
  <c r="AH138" i="20" s="1"/>
  <c r="AI136" i="8"/>
  <c r="AI138" i="20" s="1"/>
  <c r="AJ136" i="8"/>
  <c r="AJ138" i="20"/>
  <c r="AK136" i="8"/>
  <c r="AK138" i="20" s="1"/>
  <c r="AL136" i="8"/>
  <c r="AL138" i="20"/>
  <c r="AM136" i="8"/>
  <c r="AM138" i="20" s="1"/>
  <c r="AN136" i="8"/>
  <c r="F139" i="8"/>
  <c r="F141" i="20"/>
  <c r="G139" i="8"/>
  <c r="G141" i="20"/>
  <c r="H139" i="8"/>
  <c r="H141" i="20"/>
  <c r="I139" i="8"/>
  <c r="I141" i="20"/>
  <c r="J139" i="8"/>
  <c r="J141" i="20"/>
  <c r="K139" i="8"/>
  <c r="K141" i="20"/>
  <c r="L139" i="8"/>
  <c r="L141" i="20" s="1"/>
  <c r="N139" i="8"/>
  <c r="N141" i="20"/>
  <c r="O139" i="8"/>
  <c r="O141" i="20"/>
  <c r="P139" i="8"/>
  <c r="P141" i="20"/>
  <c r="Q139" i="8"/>
  <c r="Q141" i="20"/>
  <c r="R139" i="8"/>
  <c r="R141" i="20"/>
  <c r="S139" i="8"/>
  <c r="S141" i="20"/>
  <c r="T139" i="8"/>
  <c r="T141" i="20"/>
  <c r="U139" i="8"/>
  <c r="U141" i="20" s="1"/>
  <c r="V139" i="8"/>
  <c r="V141" i="20"/>
  <c r="W139" i="8"/>
  <c r="W141" i="20"/>
  <c r="X139" i="8"/>
  <c r="X141" i="20"/>
  <c r="Y139" i="8"/>
  <c r="Y141" i="20"/>
  <c r="Z139" i="8"/>
  <c r="Z141" i="20"/>
  <c r="AA139" i="8"/>
  <c r="AA141" i="20"/>
  <c r="AB139" i="8"/>
  <c r="AB141" i="20"/>
  <c r="AC139" i="8"/>
  <c r="AC141" i="20" s="1"/>
  <c r="AD139" i="8"/>
  <c r="AD141" i="20"/>
  <c r="AE139" i="8"/>
  <c r="AE141" i="20"/>
  <c r="AF139" i="8"/>
  <c r="AF141" i="20"/>
  <c r="AG139" i="8"/>
  <c r="AG141" i="20"/>
  <c r="AH139" i="8"/>
  <c r="AH141" i="20"/>
  <c r="AI139" i="8"/>
  <c r="AJ139" i="8"/>
  <c r="AJ141" i="20" s="1"/>
  <c r="AK139" i="8"/>
  <c r="AK141" i="20"/>
  <c r="AL139" i="8"/>
  <c r="AL141" i="20" s="1"/>
  <c r="AM139" i="8"/>
  <c r="AM141" i="20"/>
  <c r="AN139" i="8"/>
  <c r="F142" i="8"/>
  <c r="F144" i="20"/>
  <c r="G142" i="8"/>
  <c r="G144" i="20"/>
  <c r="H142" i="8"/>
  <c r="H144" i="20"/>
  <c r="I142" i="8"/>
  <c r="I144" i="20"/>
  <c r="J142" i="8"/>
  <c r="J144" i="20"/>
  <c r="K142" i="8"/>
  <c r="K144" i="20" s="1"/>
  <c r="L142" i="8"/>
  <c r="L144" i="20"/>
  <c r="N142" i="8"/>
  <c r="N144" i="20"/>
  <c r="O142" i="8"/>
  <c r="O144" i="20"/>
  <c r="P142" i="8"/>
  <c r="P144" i="20"/>
  <c r="Q142" i="8"/>
  <c r="Q144" i="20"/>
  <c r="R142" i="8"/>
  <c r="S142" i="8"/>
  <c r="S144" i="20" s="1"/>
  <c r="T142" i="8"/>
  <c r="T144" i="20"/>
  <c r="U142" i="8"/>
  <c r="U144" i="20" s="1"/>
  <c r="V142" i="8"/>
  <c r="V144" i="20"/>
  <c r="W142" i="8"/>
  <c r="W144" i="20" s="1"/>
  <c r="X142" i="8"/>
  <c r="X144" i="20" s="1"/>
  <c r="Y142" i="8"/>
  <c r="Y144" i="20" s="1"/>
  <c r="Z142" i="8"/>
  <c r="Z144" i="20"/>
  <c r="AA142" i="8"/>
  <c r="AB142" i="8"/>
  <c r="AB144" i="20"/>
  <c r="AC142" i="8"/>
  <c r="AC144" i="20" s="1"/>
  <c r="AD142" i="8"/>
  <c r="AD144" i="20"/>
  <c r="AE142" i="8"/>
  <c r="AE144" i="20"/>
  <c r="AF142" i="8"/>
  <c r="AF144" i="20"/>
  <c r="AG142" i="8"/>
  <c r="AG144" i="20"/>
  <c r="AH142" i="8"/>
  <c r="AH144" i="20"/>
  <c r="AI142" i="8"/>
  <c r="AI144" i="20"/>
  <c r="AJ142" i="8"/>
  <c r="AJ144" i="20"/>
  <c r="AK142" i="8"/>
  <c r="AK144" i="20" s="1"/>
  <c r="AL142" i="8"/>
  <c r="AL144" i="20"/>
  <c r="AM142" i="8"/>
  <c r="AM144" i="20"/>
  <c r="AN142" i="8"/>
  <c r="AN144" i="20"/>
  <c r="F145" i="8"/>
  <c r="F147" i="20"/>
  <c r="G145" i="8"/>
  <c r="H145" i="8"/>
  <c r="H147" i="20"/>
  <c r="I145" i="8"/>
  <c r="I147" i="20" s="1"/>
  <c r="J145" i="8"/>
  <c r="J147" i="20"/>
  <c r="K145" i="8"/>
  <c r="K147" i="20" s="1"/>
  <c r="L145" i="8"/>
  <c r="L147" i="20"/>
  <c r="N145" i="8"/>
  <c r="N147" i="20" s="1"/>
  <c r="O145" i="8"/>
  <c r="O147" i="20" s="1"/>
  <c r="P145" i="8"/>
  <c r="M9" i="22" s="1"/>
  <c r="Q145" i="8"/>
  <c r="Q147" i="20"/>
  <c r="R145" i="8"/>
  <c r="R147" i="20" s="1"/>
  <c r="S145" i="8"/>
  <c r="S147" i="20"/>
  <c r="T145" i="8"/>
  <c r="U145" i="8"/>
  <c r="U147" i="20"/>
  <c r="V145" i="8"/>
  <c r="V147" i="20"/>
  <c r="W145" i="8"/>
  <c r="W147" i="20"/>
  <c r="X145" i="8"/>
  <c r="X147" i="20"/>
  <c r="Y145" i="8"/>
  <c r="Y147" i="20"/>
  <c r="Z145" i="8"/>
  <c r="Z147" i="20"/>
  <c r="AA145" i="8"/>
  <c r="AA147" i="20"/>
  <c r="AB145" i="8"/>
  <c r="AB147" i="20" s="1"/>
  <c r="AC145" i="8"/>
  <c r="AC147" i="20"/>
  <c r="AD145" i="8"/>
  <c r="AD147" i="20"/>
  <c r="AE145" i="8"/>
  <c r="AE147" i="20"/>
  <c r="AF145" i="8"/>
  <c r="AF147" i="20"/>
  <c r="AG145" i="8"/>
  <c r="AG147" i="20"/>
  <c r="AH145" i="8"/>
  <c r="AH147" i="20"/>
  <c r="AI145" i="8"/>
  <c r="AI147" i="20"/>
  <c r="AJ145" i="8"/>
  <c r="AJ147" i="20" s="1"/>
  <c r="AK145" i="8"/>
  <c r="AK147" i="20"/>
  <c r="AL145" i="8"/>
  <c r="AL147" i="20"/>
  <c r="AM145" i="8"/>
  <c r="AM147" i="20"/>
  <c r="AN145" i="8"/>
  <c r="AN147" i="20"/>
  <c r="L349" i="8"/>
  <c r="L351" i="20"/>
  <c r="N349" i="8"/>
  <c r="N351" i="20"/>
  <c r="O349" i="8"/>
  <c r="O351" i="20"/>
  <c r="P349" i="8"/>
  <c r="P351" i="20" s="1"/>
  <c r="Q349" i="8"/>
  <c r="Q351" i="20"/>
  <c r="R349" i="8"/>
  <c r="R351" i="20"/>
  <c r="S349" i="8"/>
  <c r="S351" i="20"/>
  <c r="T349" i="8"/>
  <c r="T351" i="20"/>
  <c r="U349" i="8"/>
  <c r="U351" i="20"/>
  <c r="V349" i="8"/>
  <c r="V351" i="20"/>
  <c r="W349" i="8"/>
  <c r="X349" i="8"/>
  <c r="X351" i="20"/>
  <c r="Y349" i="8"/>
  <c r="Y351" i="20" s="1"/>
  <c r="Z349" i="8"/>
  <c r="Z351" i="20"/>
  <c r="AA349" i="8"/>
  <c r="AA351" i="20" s="1"/>
  <c r="AB349" i="8"/>
  <c r="AB351" i="20" s="1"/>
  <c r="AC349" i="8"/>
  <c r="Z9" i="22" s="1"/>
  <c r="AD349" i="8"/>
  <c r="AD351" i="20"/>
  <c r="AE349" i="8"/>
  <c r="AE351" i="20" s="1"/>
  <c r="AF349" i="8"/>
  <c r="AF351" i="20"/>
  <c r="AG349" i="8"/>
  <c r="AG351" i="20" s="1"/>
  <c r="AH349" i="8"/>
  <c r="AH351" i="20"/>
  <c r="AI349" i="8"/>
  <c r="AI351" i="20" s="1"/>
  <c r="AJ349" i="8"/>
  <c r="AJ351" i="20" s="1"/>
  <c r="AK349" i="8"/>
  <c r="AH9" i="22" s="1"/>
  <c r="AL349" i="8"/>
  <c r="AL351" i="20"/>
  <c r="AM349" i="8"/>
  <c r="AM351" i="20" s="1"/>
  <c r="AN349" i="8"/>
  <c r="AN351" i="20"/>
  <c r="L352" i="8"/>
  <c r="L354" i="20" s="1"/>
  <c r="N352" i="8"/>
  <c r="N354" i="20"/>
  <c r="O352" i="8"/>
  <c r="O354" i="20" s="1"/>
  <c r="P352" i="8"/>
  <c r="P354" i="20" s="1"/>
  <c r="Q352" i="8"/>
  <c r="Q354" i="20" s="1"/>
  <c r="R352" i="8"/>
  <c r="R354" i="20"/>
  <c r="S352" i="8"/>
  <c r="S354" i="20" s="1"/>
  <c r="T352" i="8"/>
  <c r="T354" i="20"/>
  <c r="U352" i="8"/>
  <c r="U354" i="20" s="1"/>
  <c r="V352" i="8"/>
  <c r="V354" i="20"/>
  <c r="W352" i="8"/>
  <c r="W354" i="20" s="1"/>
  <c r="X352" i="8"/>
  <c r="X354" i="20" s="1"/>
  <c r="Y352" i="8"/>
  <c r="Y354" i="20" s="1"/>
  <c r="Z352" i="8"/>
  <c r="Z354" i="20"/>
  <c r="AA352" i="8"/>
  <c r="AA354" i="20" s="1"/>
  <c r="AB352" i="8"/>
  <c r="AB354" i="20"/>
  <c r="AC352" i="8"/>
  <c r="AC354" i="20" s="1"/>
  <c r="AD352" i="8"/>
  <c r="AD354" i="20"/>
  <c r="AE352" i="8"/>
  <c r="AE354" i="20" s="1"/>
  <c r="AF352" i="8"/>
  <c r="AF354" i="20" s="1"/>
  <c r="AG352" i="8"/>
  <c r="AH352" i="8"/>
  <c r="AH354" i="20"/>
  <c r="AI352" i="8"/>
  <c r="AI354" i="20" s="1"/>
  <c r="AJ352" i="8"/>
  <c r="AJ354" i="20"/>
  <c r="AK352" i="8"/>
  <c r="AK354" i="20" s="1"/>
  <c r="AL352" i="8"/>
  <c r="AL354" i="20"/>
  <c r="AM352" i="8"/>
  <c r="AM354" i="20" s="1"/>
  <c r="AN352" i="8"/>
  <c r="AN354" i="20" s="1"/>
  <c r="L355" i="8"/>
  <c r="I9" i="22" s="1"/>
  <c r="N355" i="8"/>
  <c r="O355" i="8"/>
  <c r="O357" i="20"/>
  <c r="P355" i="8"/>
  <c r="P357" i="20"/>
  <c r="Q355" i="8"/>
  <c r="Q357" i="20" s="1"/>
  <c r="R355" i="8"/>
  <c r="S355" i="8"/>
  <c r="T355" i="8"/>
  <c r="T357" i="20"/>
  <c r="U355" i="8"/>
  <c r="V355" i="8"/>
  <c r="V357" i="20" s="1"/>
  <c r="W355" i="8"/>
  <c r="W357" i="20" s="1"/>
  <c r="X355" i="8"/>
  <c r="X357" i="20" s="1"/>
  <c r="Y355" i="8"/>
  <c r="Z355" i="8"/>
  <c r="Z357" i="20" s="1"/>
  <c r="AA355" i="8"/>
  <c r="AB355" i="8"/>
  <c r="AC355" i="8"/>
  <c r="AD355" i="8"/>
  <c r="AE355" i="8"/>
  <c r="AE357" i="20"/>
  <c r="AF355" i="8"/>
  <c r="AG355" i="8"/>
  <c r="AH355" i="8"/>
  <c r="AI355" i="8"/>
  <c r="AJ355" i="8"/>
  <c r="AG9" i="22" s="1"/>
  <c r="AK355" i="8"/>
  <c r="AK357" i="20"/>
  <c r="AL355" i="8"/>
  <c r="AL357" i="20" s="1"/>
  <c r="AM355" i="8"/>
  <c r="AM357" i="20"/>
  <c r="AN355" i="8"/>
  <c r="D22" i="7"/>
  <c r="B22" i="11"/>
  <c r="B28" i="14"/>
  <c r="F40" i="14"/>
  <c r="I17" i="22"/>
  <c r="M115" i="20"/>
  <c r="M116" i="20"/>
  <c r="M118" i="20"/>
  <c r="M119" i="20"/>
  <c r="M122" i="20"/>
  <c r="M121" i="20"/>
  <c r="M124" i="20"/>
  <c r="M125" i="20"/>
  <c r="M127" i="20"/>
  <c r="M129" i="20"/>
  <c r="M128" i="20"/>
  <c r="M130" i="20"/>
  <c r="M131" i="20"/>
  <c r="M133" i="20"/>
  <c r="M135" i="20"/>
  <c r="M134" i="20"/>
  <c r="M136" i="20"/>
  <c r="M137" i="20"/>
  <c r="M139" i="20"/>
  <c r="M140" i="20"/>
  <c r="M142" i="20"/>
  <c r="M143" i="20"/>
  <c r="M145" i="20"/>
  <c r="M147" i="20"/>
  <c r="M146" i="20"/>
  <c r="M148" i="20"/>
  <c r="M149" i="20"/>
  <c r="M150" i="20"/>
  <c r="M151" i="20"/>
  <c r="M153" i="20"/>
  <c r="M152" i="20"/>
  <c r="M154" i="20"/>
  <c r="M155" i="20"/>
  <c r="M157" i="20"/>
  <c r="M156" i="20"/>
  <c r="M158" i="20"/>
  <c r="M159" i="20"/>
  <c r="M161" i="20"/>
  <c r="M160" i="20"/>
  <c r="M162" i="20"/>
  <c r="M163" i="20"/>
  <c r="M165" i="20"/>
  <c r="M164" i="20"/>
  <c r="M166" i="20"/>
  <c r="M167" i="20"/>
  <c r="M169" i="20"/>
  <c r="M168" i="20"/>
  <c r="M170" i="20"/>
  <c r="M171" i="20"/>
  <c r="M173" i="20"/>
  <c r="M172" i="20"/>
  <c r="M174" i="20"/>
  <c r="M175" i="20"/>
  <c r="M177" i="20"/>
  <c r="M176" i="20"/>
  <c r="M178" i="20"/>
  <c r="M179" i="20"/>
  <c r="M181" i="20"/>
  <c r="M180" i="20"/>
  <c r="M182" i="20"/>
  <c r="M183" i="20"/>
  <c r="M185" i="20"/>
  <c r="M184" i="20"/>
  <c r="M186" i="20"/>
  <c r="M187" i="20"/>
  <c r="M189" i="20"/>
  <c r="M188" i="20"/>
  <c r="M190" i="20"/>
  <c r="M191" i="20"/>
  <c r="M193" i="20"/>
  <c r="M192" i="20"/>
  <c r="M194" i="20"/>
  <c r="M195" i="20"/>
  <c r="M197" i="20"/>
  <c r="M196" i="20"/>
  <c r="M198" i="20"/>
  <c r="M199" i="20"/>
  <c r="M201" i="20"/>
  <c r="M200" i="20"/>
  <c r="M202" i="20"/>
  <c r="M203" i="20"/>
  <c r="M205" i="20"/>
  <c r="M204" i="20"/>
  <c r="M206" i="20"/>
  <c r="M207" i="20"/>
  <c r="M209" i="20"/>
  <c r="M208" i="20"/>
  <c r="M210" i="20"/>
  <c r="M211" i="20"/>
  <c r="M213" i="20"/>
  <c r="M212" i="20"/>
  <c r="M214" i="20"/>
  <c r="M215" i="20"/>
  <c r="M217" i="20"/>
  <c r="M216" i="20"/>
  <c r="M218" i="20"/>
  <c r="M219" i="20"/>
  <c r="M221" i="20"/>
  <c r="M220" i="20"/>
  <c r="M222" i="20"/>
  <c r="M223" i="20"/>
  <c r="M225" i="20"/>
  <c r="M224" i="20"/>
  <c r="M226" i="20"/>
  <c r="M227" i="20"/>
  <c r="M229" i="20"/>
  <c r="M228" i="20"/>
  <c r="M230" i="20"/>
  <c r="M231" i="20"/>
  <c r="M233" i="20"/>
  <c r="M232" i="20"/>
  <c r="M234" i="20"/>
  <c r="M235" i="20"/>
  <c r="M237" i="20"/>
  <c r="M236" i="20"/>
  <c r="M238" i="20"/>
  <c r="M239" i="20"/>
  <c r="M241" i="20"/>
  <c r="M240" i="20"/>
  <c r="M243" i="20"/>
  <c r="M242" i="20"/>
  <c r="M244" i="20"/>
  <c r="M245" i="20"/>
  <c r="M246" i="20"/>
  <c r="M247" i="20"/>
  <c r="M249" i="20"/>
  <c r="M248" i="20"/>
  <c r="M251" i="20"/>
  <c r="M250" i="20"/>
  <c r="M253" i="20"/>
  <c r="M252" i="20"/>
  <c r="M254" i="20"/>
  <c r="M255" i="20"/>
  <c r="M256" i="20"/>
  <c r="M257" i="20"/>
  <c r="M258" i="20"/>
  <c r="M259" i="20"/>
  <c r="M260" i="20"/>
  <c r="M261" i="20"/>
  <c r="M262" i="20"/>
  <c r="M263" i="20"/>
  <c r="M265" i="20"/>
  <c r="M264" i="20"/>
  <c r="M266" i="20"/>
  <c r="M267" i="20"/>
  <c r="M269" i="20"/>
  <c r="M268" i="20"/>
  <c r="M270" i="20"/>
  <c r="M271" i="20"/>
  <c r="M273" i="20"/>
  <c r="M272" i="20"/>
  <c r="M274" i="20"/>
  <c r="M275" i="20"/>
  <c r="M277" i="20"/>
  <c r="M276" i="20"/>
  <c r="M278" i="20"/>
  <c r="M279" i="20"/>
  <c r="M280" i="20"/>
  <c r="M281" i="20"/>
  <c r="M282" i="20"/>
  <c r="M283" i="20"/>
  <c r="M284" i="20"/>
  <c r="M285" i="20"/>
  <c r="M287" i="20"/>
  <c r="M286" i="20"/>
  <c r="M289" i="20"/>
  <c r="M288" i="20"/>
  <c r="M291" i="20"/>
  <c r="M290" i="20"/>
  <c r="M292" i="20"/>
  <c r="M295" i="20"/>
  <c r="M297" i="20"/>
  <c r="M296" i="20"/>
  <c r="M299" i="20"/>
  <c r="M298" i="20"/>
  <c r="M301" i="20"/>
  <c r="M300" i="20"/>
  <c r="M302" i="20"/>
  <c r="M303" i="20"/>
  <c r="M304" i="20"/>
  <c r="M305" i="20"/>
  <c r="M306" i="20"/>
  <c r="M307" i="20"/>
  <c r="M308" i="20"/>
  <c r="M309" i="20"/>
  <c r="M310" i="20"/>
  <c r="M311" i="20"/>
  <c r="M312" i="20"/>
  <c r="M313" i="20"/>
  <c r="M314" i="20"/>
  <c r="M315" i="20"/>
  <c r="M316" i="20"/>
  <c r="M317" i="20"/>
  <c r="M318" i="20"/>
  <c r="M319" i="20"/>
  <c r="M320" i="20"/>
  <c r="M321" i="20"/>
  <c r="M322" i="20"/>
  <c r="M323" i="20"/>
  <c r="M324" i="20"/>
  <c r="M325" i="20"/>
  <c r="M327" i="20"/>
  <c r="M326" i="20"/>
  <c r="M328" i="20"/>
  <c r="M329" i="20"/>
  <c r="M330" i="20"/>
  <c r="M331" i="20"/>
  <c r="M332" i="20"/>
  <c r="M333" i="20"/>
  <c r="M334" i="20"/>
  <c r="M335" i="20"/>
  <c r="M337" i="20"/>
  <c r="M336" i="20"/>
  <c r="M338" i="20"/>
  <c r="M339" i="20"/>
  <c r="M340" i="20"/>
  <c r="M341" i="20"/>
  <c r="M342" i="20"/>
  <c r="M343" i="20"/>
  <c r="M344" i="20"/>
  <c r="M345" i="20"/>
  <c r="M346" i="20"/>
  <c r="M347" i="20"/>
  <c r="M349" i="20"/>
  <c r="M348" i="20"/>
  <c r="M350" i="20"/>
  <c r="M353" i="20"/>
  <c r="M352" i="20"/>
  <c r="M355" i="20"/>
  <c r="M356" i="20"/>
  <c r="M358" i="20"/>
  <c r="M359" i="20"/>
  <c r="M361" i="20"/>
  <c r="M362" i="20"/>
  <c r="M361" i="8"/>
  <c r="AH72" i="20"/>
  <c r="AB366" i="20"/>
  <c r="K90" i="20"/>
  <c r="AH69" i="20"/>
  <c r="J60" i="20"/>
  <c r="P42" i="20"/>
  <c r="H42" i="20"/>
  <c r="AK75" i="20"/>
  <c r="AF57" i="20"/>
  <c r="AN36" i="20"/>
  <c r="AN108" i="20"/>
  <c r="Q93" i="20"/>
  <c r="AH39" i="20"/>
  <c r="H39" i="20"/>
  <c r="AH24" i="20"/>
  <c r="AM51" i="20"/>
  <c r="AE45" i="20"/>
  <c r="AJ39" i="20"/>
  <c r="Z27" i="20"/>
  <c r="AA24" i="20"/>
  <c r="AN57" i="20"/>
  <c r="W90" i="20"/>
  <c r="B52" i="20"/>
  <c r="B537" i="8"/>
  <c r="B536" i="8"/>
  <c r="B333" i="9"/>
  <c r="B555" i="9"/>
  <c r="B549" i="20"/>
  <c r="B543" i="20"/>
  <c r="B540" i="20"/>
  <c r="B537" i="20"/>
  <c r="B535" i="8"/>
  <c r="B270" i="9"/>
  <c r="B94" i="9"/>
  <c r="B529" i="9"/>
  <c r="B223" i="9"/>
  <c r="B43" i="9"/>
  <c r="B238" i="9"/>
  <c r="B103" i="9"/>
  <c r="B271" i="9"/>
  <c r="AC111" i="20"/>
  <c r="B531" i="20"/>
  <c r="B528" i="20"/>
  <c r="J78" i="20"/>
  <c r="U30" i="20"/>
  <c r="AL447" i="20"/>
  <c r="Z447" i="20"/>
  <c r="V447" i="20"/>
  <c r="B33" i="9"/>
  <c r="B520" i="8"/>
  <c r="B519" i="20"/>
  <c r="B518" i="8"/>
  <c r="A20" i="23"/>
  <c r="B315" i="9"/>
  <c r="B276" i="9"/>
  <c r="B27" i="20"/>
  <c r="B321" i="9"/>
  <c r="B249" i="9"/>
  <c r="B60" i="20"/>
  <c r="B264" i="9"/>
  <c r="B195" i="9"/>
  <c r="B30" i="20"/>
  <c r="B42" i="20"/>
  <c r="B33" i="23"/>
  <c r="B339" i="9"/>
  <c r="B306" i="9"/>
  <c r="B300" i="9"/>
  <c r="B279" i="9"/>
  <c r="B231" i="9"/>
  <c r="B216" i="9"/>
  <c r="B201" i="9"/>
  <c r="B105" i="9"/>
  <c r="B57" i="9"/>
  <c r="B36" i="20"/>
  <c r="C22" i="2"/>
  <c r="A20" i="21"/>
  <c r="B324" i="9"/>
  <c r="B318" i="9"/>
  <c r="B312" i="9"/>
  <c r="B285" i="9"/>
  <c r="B273" i="9"/>
  <c r="B267" i="9"/>
  <c r="B237" i="9"/>
  <c r="B222" i="9"/>
  <c r="B174" i="9"/>
  <c r="B499" i="20"/>
  <c r="B516" i="20"/>
  <c r="B514" i="8"/>
  <c r="B513" i="20"/>
  <c r="B511" i="8"/>
  <c r="B510" i="20"/>
  <c r="B508" i="8"/>
  <c r="B507" i="20"/>
  <c r="B505" i="8"/>
  <c r="B502" i="8"/>
  <c r="B504" i="20"/>
  <c r="B498" i="20"/>
  <c r="B501" i="20"/>
  <c r="B48" i="20"/>
  <c r="B33" i="21"/>
  <c r="B33" i="22"/>
  <c r="B10" i="14"/>
  <c r="B327" i="9"/>
  <c r="B297" i="9"/>
  <c r="B291" i="9"/>
  <c r="B258" i="9"/>
  <c r="B243" i="9"/>
  <c r="B228" i="9"/>
  <c r="B180" i="9"/>
  <c r="B153" i="9"/>
  <c r="B81" i="9"/>
  <c r="B496" i="8"/>
  <c r="B499" i="8"/>
  <c r="B117" i="20"/>
  <c r="B129" i="20"/>
  <c r="B141" i="20"/>
  <c r="B153" i="20"/>
  <c r="B165" i="20"/>
  <c r="B177" i="20"/>
  <c r="B189" i="20"/>
  <c r="B201" i="20"/>
  <c r="B213" i="20"/>
  <c r="B225" i="20"/>
  <c r="B237" i="20"/>
  <c r="B249" i="20"/>
  <c r="B261" i="20"/>
  <c r="B273" i="20"/>
  <c r="B285" i="20"/>
  <c r="B297" i="20"/>
  <c r="B309" i="20"/>
  <c r="B321" i="20"/>
  <c r="B333" i="20"/>
  <c r="B345" i="20"/>
  <c r="B357" i="20"/>
  <c r="B369" i="20"/>
  <c r="B381" i="20"/>
  <c r="B393" i="20"/>
  <c r="B405" i="20"/>
  <c r="B417" i="20"/>
  <c r="B429" i="20"/>
  <c r="B441" i="20"/>
  <c r="B120" i="20"/>
  <c r="B126" i="20"/>
  <c r="B147" i="20"/>
  <c r="B168" i="20"/>
  <c r="B174" i="20"/>
  <c r="B195" i="20"/>
  <c r="B216" i="20"/>
  <c r="B222" i="20"/>
  <c r="B243" i="20"/>
  <c r="B264" i="20"/>
  <c r="B270" i="20"/>
  <c r="B291" i="20"/>
  <c r="B312" i="20"/>
  <c r="B318" i="20"/>
  <c r="B339" i="20"/>
  <c r="B360" i="20"/>
  <c r="B366" i="20"/>
  <c r="B387" i="20"/>
  <c r="B408" i="20"/>
  <c r="B414" i="20"/>
  <c r="B435" i="20"/>
  <c r="B450" i="20"/>
  <c r="B462" i="20"/>
  <c r="B474" i="20"/>
  <c r="B486" i="20"/>
  <c r="B111" i="20"/>
  <c r="B132" i="20"/>
  <c r="B138" i="20"/>
  <c r="B159" i="20"/>
  <c r="B180" i="20"/>
  <c r="B186" i="20"/>
  <c r="B207" i="20"/>
  <c r="B228" i="20"/>
  <c r="B234" i="20"/>
  <c r="B255" i="20"/>
  <c r="B276" i="20"/>
  <c r="B282" i="20"/>
  <c r="B303" i="20"/>
  <c r="B324" i="20"/>
  <c r="B330" i="20"/>
  <c r="B351" i="20"/>
  <c r="B372" i="20"/>
  <c r="B378" i="20"/>
  <c r="B399" i="20"/>
  <c r="B420" i="20"/>
  <c r="B426" i="20"/>
  <c r="B459" i="20"/>
  <c r="B471" i="20"/>
  <c r="B483" i="20"/>
  <c r="B495" i="20"/>
  <c r="B123" i="20"/>
  <c r="B150" i="20"/>
  <c r="B171" i="20"/>
  <c r="B192" i="20"/>
  <c r="B246" i="20"/>
  <c r="B447" i="20"/>
  <c r="B144" i="20"/>
  <c r="B198" i="20"/>
  <c r="B219" i="20"/>
  <c r="B240" i="20"/>
  <c r="B114" i="20"/>
  <c r="B135" i="20"/>
  <c r="B156" i="20"/>
  <c r="B306" i="20"/>
  <c r="B327" i="20"/>
  <c r="B348" i="20"/>
  <c r="B402" i="20"/>
  <c r="B423" i="20"/>
  <c r="B444" i="20"/>
  <c r="B453" i="20"/>
  <c r="B477" i="20"/>
  <c r="B162" i="20"/>
  <c r="B183" i="20"/>
  <c r="B204" i="20"/>
  <c r="B267" i="20"/>
  <c r="B288" i="20"/>
  <c r="B342" i="20"/>
  <c r="B363" i="20"/>
  <c r="B384" i="20"/>
  <c r="B438" i="20"/>
  <c r="B456" i="20"/>
  <c r="B480" i="20"/>
  <c r="B210" i="20"/>
  <c r="B231" i="20"/>
  <c r="B252" i="20"/>
  <c r="B279" i="20"/>
  <c r="B300" i="20"/>
  <c r="B354" i="20"/>
  <c r="B375" i="20"/>
  <c r="B396" i="20"/>
  <c r="B465" i="20"/>
  <c r="B489" i="20"/>
  <c r="B258" i="20"/>
  <c r="B315" i="20"/>
  <c r="B336" i="20"/>
  <c r="B390" i="20"/>
  <c r="B411" i="20"/>
  <c r="B468" i="20"/>
  <c r="B492" i="20"/>
  <c r="B432" i="20"/>
  <c r="B221" i="20"/>
  <c r="B152" i="20"/>
  <c r="B470" i="20"/>
  <c r="B410" i="20"/>
  <c r="B434" i="20"/>
  <c r="B428" i="20"/>
  <c r="B193" i="20"/>
  <c r="B289" i="20"/>
  <c r="B385" i="20"/>
  <c r="B142" i="20"/>
  <c r="B280" i="20"/>
  <c r="B403" i="20"/>
  <c r="B148" i="20"/>
  <c r="B271" i="20"/>
  <c r="B394" i="20"/>
  <c r="B112" i="20"/>
  <c r="B187" i="20"/>
  <c r="B316" i="20"/>
  <c r="B310" i="20"/>
  <c r="B268" i="20"/>
  <c r="B130" i="20"/>
  <c r="B460" i="20"/>
  <c r="B348" i="9"/>
  <c r="B360" i="9"/>
  <c r="B372" i="9"/>
  <c r="B384" i="9"/>
  <c r="B396" i="9"/>
  <c r="B408" i="9"/>
  <c r="B420" i="9"/>
  <c r="B432" i="9"/>
  <c r="B444" i="9"/>
  <c r="B456" i="9"/>
  <c r="B468" i="9"/>
  <c r="B480" i="9"/>
  <c r="B492" i="9"/>
  <c r="B345" i="9"/>
  <c r="B357" i="9"/>
  <c r="B369" i="9"/>
  <c r="B393" i="9"/>
  <c r="B453" i="9"/>
  <c r="B342" i="9"/>
  <c r="B354" i="9"/>
  <c r="B366" i="9"/>
  <c r="B378" i="9"/>
  <c r="B390" i="9"/>
  <c r="B402" i="9"/>
  <c r="B414" i="9"/>
  <c r="B426" i="9"/>
  <c r="B438" i="9"/>
  <c r="B450" i="9"/>
  <c r="B462" i="9"/>
  <c r="B474" i="9"/>
  <c r="B486" i="9"/>
  <c r="B351" i="9"/>
  <c r="B387" i="9"/>
  <c r="B411" i="9"/>
  <c r="B459" i="9"/>
  <c r="B381" i="9"/>
  <c r="B441" i="9"/>
  <c r="B375" i="9"/>
  <c r="B399" i="9"/>
  <c r="B423" i="9"/>
  <c r="B435" i="9"/>
  <c r="B471" i="9"/>
  <c r="B405" i="9"/>
  <c r="B417" i="9"/>
  <c r="B429" i="9"/>
  <c r="B465" i="9"/>
  <c r="B477" i="9"/>
  <c r="B489" i="9"/>
  <c r="B452" i="9"/>
  <c r="B470" i="9"/>
  <c r="B412" i="9"/>
  <c r="B361" i="9"/>
  <c r="B370" i="9"/>
  <c r="B466" i="9"/>
  <c r="B439" i="9"/>
  <c r="B415" i="9"/>
  <c r="B22" i="8"/>
  <c r="B37" i="8"/>
  <c r="B49" i="8"/>
  <c r="B61" i="8"/>
  <c r="B73" i="8"/>
  <c r="B85" i="8"/>
  <c r="B97" i="8"/>
  <c r="B109" i="8"/>
  <c r="B121" i="8"/>
  <c r="B133" i="8"/>
  <c r="B145" i="8"/>
  <c r="B157" i="8"/>
  <c r="B169" i="8"/>
  <c r="B181" i="8"/>
  <c r="B193" i="8"/>
  <c r="B205" i="8"/>
  <c r="B217" i="8"/>
  <c r="B229" i="8"/>
  <c r="B241" i="8"/>
  <c r="B253" i="8"/>
  <c r="B265" i="8"/>
  <c r="B277" i="8"/>
  <c r="B289" i="8"/>
  <c r="B301" i="8"/>
  <c r="B313" i="8"/>
  <c r="B325" i="8"/>
  <c r="B337" i="8"/>
  <c r="B349" i="8"/>
  <c r="B361" i="8"/>
  <c r="B40" i="8"/>
  <c r="B46" i="8"/>
  <c r="B67" i="8"/>
  <c r="B88" i="8"/>
  <c r="B94" i="8"/>
  <c r="B115" i="8"/>
  <c r="B136" i="8"/>
  <c r="B142" i="8"/>
  <c r="B163" i="8"/>
  <c r="B184" i="8"/>
  <c r="B190" i="8"/>
  <c r="B211" i="8"/>
  <c r="B232" i="8"/>
  <c r="B238" i="8"/>
  <c r="B259" i="8"/>
  <c r="B280" i="8"/>
  <c r="B286" i="8"/>
  <c r="B307" i="8"/>
  <c r="B328" i="8"/>
  <c r="B334" i="8"/>
  <c r="B355" i="8"/>
  <c r="B370" i="8"/>
  <c r="B382" i="8"/>
  <c r="B394" i="8"/>
  <c r="B406" i="8"/>
  <c r="B418" i="8"/>
  <c r="B430" i="8"/>
  <c r="B442" i="8"/>
  <c r="B454" i="8"/>
  <c r="B466" i="8"/>
  <c r="B478" i="8"/>
  <c r="B490" i="8"/>
  <c r="B31" i="8"/>
  <c r="B52" i="8"/>
  <c r="B58" i="8"/>
  <c r="B79" i="8"/>
  <c r="B100" i="8"/>
  <c r="B106" i="8"/>
  <c r="B127" i="8"/>
  <c r="B148" i="8"/>
  <c r="B154" i="8"/>
  <c r="B175" i="8"/>
  <c r="B202" i="8"/>
  <c r="B223" i="8"/>
  <c r="B244" i="8"/>
  <c r="B250" i="8"/>
  <c r="B271" i="8"/>
  <c r="B292" i="8"/>
  <c r="B298" i="8"/>
  <c r="B346" i="8"/>
  <c r="B367" i="8"/>
  <c r="B391" i="8"/>
  <c r="B415" i="8"/>
  <c r="B439" i="8"/>
  <c r="B463" i="8"/>
  <c r="B487" i="8"/>
  <c r="B43" i="8"/>
  <c r="B196" i="8"/>
  <c r="B319" i="8"/>
  <c r="B340" i="8"/>
  <c r="B379" i="8"/>
  <c r="B403" i="8"/>
  <c r="B427" i="8"/>
  <c r="B451" i="8"/>
  <c r="B475" i="8"/>
  <c r="B34" i="8"/>
  <c r="B82" i="8"/>
  <c r="B103" i="8"/>
  <c r="B124" i="8"/>
  <c r="B178" i="8"/>
  <c r="B199" i="8"/>
  <c r="B220" i="8"/>
  <c r="B274" i="8"/>
  <c r="B295" i="8"/>
  <c r="B316" i="8"/>
  <c r="B385" i="8"/>
  <c r="B409" i="8"/>
  <c r="B433" i="8"/>
  <c r="B457" i="8"/>
  <c r="B481" i="8"/>
  <c r="B64" i="8"/>
  <c r="B118" i="8"/>
  <c r="B139" i="8"/>
  <c r="B160" i="8"/>
  <c r="B214" i="8"/>
  <c r="B235" i="8"/>
  <c r="B256" i="8"/>
  <c r="B310" i="8"/>
  <c r="B331" i="8"/>
  <c r="B352" i="8"/>
  <c r="B388" i="8"/>
  <c r="B412" i="8"/>
  <c r="B436" i="8"/>
  <c r="B460" i="8"/>
  <c r="B484" i="8"/>
  <c r="B55" i="8"/>
  <c r="B76" i="8"/>
  <c r="B130" i="8"/>
  <c r="B151" i="8"/>
  <c r="B172" i="8"/>
  <c r="B226" i="8"/>
  <c r="B247" i="8"/>
  <c r="B268" i="8"/>
  <c r="B322" i="8"/>
  <c r="B343" i="8"/>
  <c r="B364" i="8"/>
  <c r="B373" i="8"/>
  <c r="B397" i="8"/>
  <c r="B445" i="8"/>
  <c r="B493" i="8"/>
  <c r="B70" i="8"/>
  <c r="B91" i="8"/>
  <c r="B112" i="8"/>
  <c r="B262" i="8"/>
  <c r="B283" i="8"/>
  <c r="B304" i="8"/>
  <c r="B400" i="8"/>
  <c r="B448" i="8"/>
  <c r="B28" i="8"/>
  <c r="B421" i="8"/>
  <c r="B469" i="8"/>
  <c r="B166" i="8"/>
  <c r="B187" i="8"/>
  <c r="B208" i="8"/>
  <c r="B358" i="8"/>
  <c r="B376" i="8"/>
  <c r="B424" i="8"/>
  <c r="B472" i="8"/>
  <c r="B129" i="8"/>
  <c r="B72" i="8"/>
  <c r="B366" i="8"/>
  <c r="B90" i="8"/>
  <c r="B228" i="8"/>
  <c r="B447" i="8"/>
  <c r="B411" i="8"/>
  <c r="B210" i="8"/>
  <c r="B417" i="8"/>
  <c r="B150" i="8"/>
  <c r="B372" i="8"/>
  <c r="B108" i="8"/>
  <c r="B429" i="8"/>
  <c r="B279" i="8"/>
  <c r="B315" i="8"/>
  <c r="B31" i="20"/>
  <c r="B53" i="8"/>
  <c r="B65" i="8"/>
  <c r="B101" i="8"/>
  <c r="B113" i="8"/>
  <c r="B149" i="8"/>
  <c r="B161" i="8"/>
  <c r="B197" i="8"/>
  <c r="B209" i="8"/>
  <c r="B245" i="8"/>
  <c r="B257" i="8"/>
  <c r="B305" i="8"/>
  <c r="B341" i="8"/>
  <c r="B353" i="8"/>
  <c r="B56" i="8"/>
  <c r="B62" i="8"/>
  <c r="B110" i="8"/>
  <c r="B131" i="8"/>
  <c r="B179" i="8"/>
  <c r="B200" i="8"/>
  <c r="B248" i="8"/>
  <c r="B254" i="8"/>
  <c r="B302" i="8"/>
  <c r="B323" i="8"/>
  <c r="B374" i="8"/>
  <c r="B386" i="8"/>
  <c r="B422" i="8"/>
  <c r="B434" i="8"/>
  <c r="B470" i="8"/>
  <c r="B482" i="8"/>
  <c r="B68" i="8"/>
  <c r="B74" i="8"/>
  <c r="B122" i="8"/>
  <c r="B143" i="8"/>
  <c r="B191" i="8"/>
  <c r="B212" i="8"/>
  <c r="B260" i="8"/>
  <c r="B266" i="8"/>
  <c r="B314" i="8"/>
  <c r="B335" i="8"/>
  <c r="B407" i="8"/>
  <c r="B431" i="8"/>
  <c r="B32" i="8"/>
  <c r="B362" i="8"/>
  <c r="B419" i="8"/>
  <c r="B443" i="8"/>
  <c r="B38" i="8"/>
  <c r="B50" i="8"/>
  <c r="B146" i="8"/>
  <c r="B167" i="8"/>
  <c r="B263" i="8"/>
  <c r="B284" i="8"/>
  <c r="B377" i="8"/>
  <c r="B401" i="8"/>
  <c r="B473" i="8"/>
  <c r="B86" i="8"/>
  <c r="B182" i="8"/>
  <c r="B203" i="8"/>
  <c r="B299" i="8"/>
  <c r="B320" i="8"/>
  <c r="B428" i="8"/>
  <c r="B452" i="8"/>
  <c r="B98" i="8"/>
  <c r="B119" i="8"/>
  <c r="B215" i="8"/>
  <c r="B236" i="8"/>
  <c r="B332" i="8"/>
  <c r="B413" i="8"/>
  <c r="B134" i="8"/>
  <c r="B155" i="8"/>
  <c r="B347" i="8"/>
  <c r="B368" i="8"/>
  <c r="B389" i="8"/>
  <c r="B437" i="8"/>
  <c r="B230" i="8"/>
  <c r="B251" i="8"/>
  <c r="B440" i="8"/>
  <c r="B488" i="8"/>
  <c r="B47" i="20"/>
  <c r="D21" i="1"/>
  <c r="B119" i="9"/>
  <c r="B189" i="9"/>
  <c r="B183" i="9"/>
  <c r="B168" i="9"/>
  <c r="B162" i="9"/>
  <c r="B144" i="9"/>
  <c r="B252" i="9"/>
  <c r="B246" i="9"/>
  <c r="B225" i="9"/>
  <c r="B219" i="9"/>
  <c r="B204" i="9"/>
  <c r="B198" i="9"/>
  <c r="B177" i="9"/>
  <c r="B171" i="9"/>
  <c r="B156" i="9"/>
  <c r="B150" i="9"/>
  <c r="B25" i="8"/>
  <c r="B336" i="9"/>
  <c r="B330" i="9"/>
  <c r="B309" i="9"/>
  <c r="B303" i="9"/>
  <c r="B288" i="9"/>
  <c r="B282" i="9"/>
  <c r="B261" i="9"/>
  <c r="B255" i="9"/>
  <c r="B240" i="9"/>
  <c r="B234" i="9"/>
  <c r="B213" i="9"/>
  <c r="B207" i="9"/>
  <c r="B192" i="9"/>
  <c r="B186" i="9"/>
  <c r="B165" i="9"/>
  <c r="B159" i="9"/>
  <c r="B141" i="9"/>
  <c r="B117" i="9"/>
  <c r="B93" i="9"/>
  <c r="B69" i="9"/>
  <c r="B45" i="9"/>
  <c r="B93" i="20"/>
  <c r="B39" i="20"/>
  <c r="B108" i="20"/>
  <c r="B105" i="20"/>
  <c r="B22" i="2"/>
  <c r="B275" i="9"/>
  <c r="B179" i="9"/>
  <c r="B89" i="9"/>
  <c r="B44" i="20"/>
  <c r="B281" i="9"/>
  <c r="B185" i="9"/>
  <c r="B92" i="9"/>
  <c r="B41" i="20"/>
  <c r="B308" i="9"/>
  <c r="B212" i="9"/>
  <c r="B122" i="9"/>
  <c r="B26" i="9"/>
  <c r="B132" i="9"/>
  <c r="B120" i="9"/>
  <c r="B108" i="9"/>
  <c r="B96" i="9"/>
  <c r="B84" i="9"/>
  <c r="B72" i="9"/>
  <c r="B60" i="9"/>
  <c r="B48" i="9"/>
  <c r="B36" i="9"/>
  <c r="B24" i="9"/>
  <c r="B96" i="20"/>
  <c r="B33" i="20"/>
  <c r="B147" i="9"/>
  <c r="B135" i="9"/>
  <c r="B123" i="9"/>
  <c r="B111" i="9"/>
  <c r="B99" i="9"/>
  <c r="B87" i="9"/>
  <c r="B75" i="9"/>
  <c r="B63" i="9"/>
  <c r="B51" i="9"/>
  <c r="B39" i="9"/>
  <c r="B27" i="9"/>
  <c r="B138" i="9"/>
  <c r="B126" i="9"/>
  <c r="B114" i="9"/>
  <c r="B102" i="9"/>
  <c r="B90" i="9"/>
  <c r="B78" i="9"/>
  <c r="B66" i="9"/>
  <c r="B54" i="9"/>
  <c r="B42" i="9"/>
  <c r="B30" i="9"/>
  <c r="L111" i="20"/>
  <c r="V99" i="20"/>
  <c r="Y66" i="20"/>
  <c r="S48" i="20"/>
  <c r="K39" i="20"/>
  <c r="U27" i="20"/>
  <c r="U447" i="20"/>
  <c r="J69" i="20"/>
  <c r="AA63" i="20"/>
  <c r="C48" i="20"/>
  <c r="Z30" i="20"/>
  <c r="AD441" i="20"/>
  <c r="V441" i="20"/>
  <c r="H9" i="21"/>
  <c r="I9" i="21"/>
  <c r="AN69" i="20"/>
  <c r="AN129" i="20"/>
  <c r="P369" i="20"/>
  <c r="AK81" i="20"/>
  <c r="B100" i="20"/>
  <c r="B107" i="20"/>
  <c r="B81" i="20"/>
  <c r="B75" i="20"/>
  <c r="B72" i="20"/>
  <c r="B102" i="20"/>
  <c r="B90" i="20"/>
  <c r="B78" i="20"/>
  <c r="B69" i="20"/>
  <c r="B57" i="20"/>
  <c r="B51" i="20"/>
  <c r="B24" i="20"/>
  <c r="B106" i="20"/>
  <c r="B99" i="20"/>
  <c r="B87" i="20"/>
  <c r="B84" i="20"/>
  <c r="B66" i="20"/>
  <c r="B63" i="20"/>
  <c r="B54" i="20"/>
  <c r="B45" i="20"/>
  <c r="D28" i="21"/>
  <c r="E28" i="21" s="1"/>
  <c r="F28" i="21" s="1"/>
  <c r="G28" i="21" s="1"/>
  <c r="H28" i="21" s="1"/>
  <c r="I28" i="21" s="1"/>
  <c r="J28" i="21" s="1"/>
  <c r="K28" i="21" s="1"/>
  <c r="L28" i="21" s="1"/>
  <c r="M28" i="21" s="1"/>
  <c r="N28" i="21" s="1"/>
  <c r="O28" i="21" s="1"/>
  <c r="P28" i="21" s="1"/>
  <c r="Q28" i="21" s="1"/>
  <c r="R28" i="21" s="1"/>
  <c r="S28" i="21" s="1"/>
  <c r="T28" i="21" s="1"/>
  <c r="U28" i="21" s="1"/>
  <c r="V28" i="21" s="1"/>
  <c r="W28" i="21" s="1"/>
  <c r="X28" i="21" s="1"/>
  <c r="Y28" i="21" s="1"/>
  <c r="Z28" i="21" s="1"/>
  <c r="AA28" i="21" s="1"/>
  <c r="AB28" i="21" s="1"/>
  <c r="AC28" i="21" s="1"/>
  <c r="AD28" i="21" s="1"/>
  <c r="AE28" i="21" s="1"/>
  <c r="AF28" i="21" s="1"/>
  <c r="AG28" i="21" s="1"/>
  <c r="AD81" i="20"/>
  <c r="AL90" i="20"/>
  <c r="AK54" i="20"/>
  <c r="U372" i="20"/>
  <c r="M372" i="20"/>
  <c r="AK51" i="20"/>
  <c r="B561" i="20"/>
  <c r="V510" i="20"/>
  <c r="B557" i="8"/>
  <c r="B560" i="8"/>
  <c r="AE519" i="20"/>
  <c r="AP528" i="20"/>
  <c r="Z537" i="20"/>
  <c r="AD534" i="20"/>
  <c r="AL534" i="20"/>
  <c r="AN564" i="20"/>
  <c r="AJ564" i="20"/>
  <c r="X564" i="20"/>
  <c r="T564" i="20"/>
  <c r="AO564" i="20"/>
  <c r="Y561" i="20"/>
  <c r="AG561" i="20"/>
  <c r="AO561" i="20"/>
  <c r="AC555" i="20"/>
  <c r="R552" i="20"/>
  <c r="AD552" i="20"/>
  <c r="B71" i="20"/>
  <c r="AG441" i="20"/>
  <c r="S495" i="20"/>
  <c r="AE495" i="20"/>
  <c r="AC498" i="20"/>
  <c r="AG498" i="20"/>
  <c r="AK498" i="20"/>
  <c r="AH510" i="20"/>
  <c r="AG522" i="20"/>
  <c r="AK528" i="20"/>
  <c r="Q537" i="20"/>
  <c r="AB537" i="20"/>
  <c r="AA540" i="20"/>
  <c r="Y546" i="20"/>
  <c r="AA528" i="20"/>
  <c r="AC552" i="20"/>
  <c r="AA552" i="20"/>
  <c r="AE552" i="20"/>
  <c r="X69" i="20"/>
  <c r="C63" i="20"/>
  <c r="B556" i="8"/>
  <c r="B562" i="8"/>
  <c r="B565" i="8"/>
  <c r="B553" i="8"/>
  <c r="B550" i="8"/>
  <c r="B559" i="8"/>
  <c r="B567" i="20"/>
  <c r="B565" i="9"/>
  <c r="B563" i="8"/>
  <c r="AM522" i="20"/>
  <c r="AE501" i="20"/>
  <c r="R507" i="20"/>
  <c r="Z507" i="20"/>
  <c r="AL513" i="20"/>
  <c r="AH516" i="20"/>
  <c r="U567" i="20"/>
  <c r="AG567" i="20"/>
  <c r="AB549" i="20"/>
  <c r="AH528" i="20"/>
  <c r="AJ552" i="20"/>
  <c r="AM561" i="20"/>
  <c r="B568" i="9"/>
  <c r="B568" i="8"/>
  <c r="B570" i="20"/>
  <c r="B569" i="20"/>
  <c r="AG546" i="20"/>
  <c r="AI567" i="20"/>
  <c r="AJ549" i="20"/>
  <c r="S567" i="20"/>
  <c r="W567" i="20"/>
  <c r="Q543" i="20"/>
  <c r="T546" i="20"/>
  <c r="AA567" i="20"/>
  <c r="AE570" i="20"/>
  <c r="Y570" i="20"/>
  <c r="AG570" i="20"/>
  <c r="S570" i="20"/>
  <c r="AG573" i="20"/>
  <c r="R573" i="20"/>
  <c r="V573" i="20"/>
  <c r="Z573" i="20"/>
  <c r="AH573" i="20"/>
  <c r="AL573" i="20"/>
  <c r="B572" i="9"/>
  <c r="B569" i="8"/>
  <c r="B573" i="20"/>
  <c r="B571" i="8"/>
  <c r="U513" i="20"/>
  <c r="AD519" i="20"/>
  <c r="AI525" i="20"/>
  <c r="AP510" i="20"/>
  <c r="R522" i="20"/>
  <c r="S525" i="20"/>
  <c r="AM528" i="20"/>
  <c r="AP513" i="20"/>
  <c r="AJ528" i="20"/>
  <c r="AK537" i="20"/>
  <c r="AH540" i="20"/>
  <c r="AC531" i="20"/>
  <c r="S540" i="20"/>
  <c r="AN558" i="20"/>
  <c r="AD567" i="20"/>
  <c r="AH531" i="20"/>
  <c r="AM537" i="20"/>
  <c r="R516" i="20"/>
  <c r="E57" i="20"/>
  <c r="AD36" i="20"/>
  <c r="T36" i="20"/>
  <c r="B589" i="8"/>
  <c r="B580" i="8"/>
  <c r="B576" i="20"/>
  <c r="B585" i="20"/>
  <c r="B588" i="20"/>
  <c r="B586" i="8"/>
  <c r="B583" i="8"/>
  <c r="B582" i="20"/>
  <c r="B579" i="20"/>
  <c r="B574" i="8"/>
  <c r="B591" i="20"/>
  <c r="B564" i="20"/>
  <c r="B577" i="8"/>
  <c r="B584" i="9"/>
  <c r="B575" i="9"/>
  <c r="B579" i="8"/>
  <c r="B587" i="9"/>
  <c r="B590" i="20"/>
  <c r="T513" i="20"/>
  <c r="AP543" i="20"/>
  <c r="AF543" i="20"/>
  <c r="U495" i="20"/>
  <c r="AE498" i="20"/>
  <c r="AC540" i="20"/>
  <c r="B584" i="8"/>
  <c r="B583" i="20"/>
  <c r="B574" i="20"/>
  <c r="B572" i="8"/>
  <c r="B577" i="9"/>
  <c r="B575" i="8"/>
  <c r="B587" i="8"/>
  <c r="B589" i="20"/>
  <c r="B577" i="20"/>
  <c r="AL516" i="20"/>
  <c r="AA549" i="20"/>
  <c r="AL549" i="20"/>
  <c r="W591" i="20"/>
  <c r="AG549" i="20"/>
  <c r="AN579" i="20"/>
  <c r="AK582" i="20"/>
  <c r="AO582" i="20"/>
  <c r="Z585" i="20"/>
  <c r="AD585" i="20"/>
  <c r="AP585" i="20"/>
  <c r="AQ573" i="20"/>
  <c r="AC576" i="20"/>
  <c r="AG576" i="20"/>
  <c r="AO576" i="20"/>
  <c r="X582" i="20"/>
  <c r="AB582" i="20"/>
  <c r="AI582" i="20"/>
  <c r="A21" i="20"/>
  <c r="B27" i="23" s="1"/>
  <c r="A22" i="11"/>
  <c r="A22" i="6"/>
  <c r="B605" i="9"/>
  <c r="B606" i="20"/>
  <c r="A19" i="8"/>
  <c r="B27" i="22"/>
  <c r="A20" i="5"/>
  <c r="A22" i="3"/>
  <c r="A22" i="4"/>
  <c r="A22" i="12"/>
  <c r="A22" i="7"/>
  <c r="B603" i="8"/>
  <c r="B555" i="8"/>
  <c r="B548" i="9"/>
  <c r="B539" i="20"/>
  <c r="B531" i="8"/>
  <c r="B206" i="9"/>
  <c r="B524" i="9"/>
  <c r="B512" i="20"/>
  <c r="B506" i="20"/>
  <c r="B113" i="20"/>
  <c r="B209" i="20"/>
  <c r="B305" i="20"/>
  <c r="B401" i="20"/>
  <c r="B179" i="20"/>
  <c r="B302" i="20"/>
  <c r="B440" i="20"/>
  <c r="B143" i="20"/>
  <c r="B266" i="20"/>
  <c r="B404" i="20"/>
  <c r="B134" i="20"/>
  <c r="B242" i="20"/>
  <c r="B485" i="20"/>
  <c r="B416" i="20"/>
  <c r="B332" i="20"/>
  <c r="B236" i="20"/>
  <c r="B476" i="20"/>
  <c r="B428" i="9"/>
  <c r="B365" i="9"/>
  <c r="B386" i="9"/>
  <c r="B482" i="9"/>
  <c r="B419" i="9"/>
  <c r="B455" i="9"/>
  <c r="B45" i="8"/>
  <c r="B141" i="8"/>
  <c r="B237" i="8"/>
  <c r="B333" i="8"/>
  <c r="B120" i="8"/>
  <c r="B243" i="8"/>
  <c r="B604" i="9"/>
  <c r="AI510" i="20"/>
  <c r="B596" i="20"/>
  <c r="B594" i="8"/>
  <c r="B599" i="20"/>
  <c r="B593" i="20"/>
  <c r="B602" i="20"/>
  <c r="B581" i="9"/>
  <c r="Y504" i="20"/>
  <c r="AG504" i="20"/>
  <c r="AK504" i="20"/>
  <c r="V507" i="20"/>
  <c r="AD516" i="20"/>
  <c r="B597" i="20"/>
  <c r="B595" i="8"/>
  <c r="B600" i="20"/>
  <c r="B598" i="8"/>
  <c r="B594" i="20"/>
  <c r="B592" i="8"/>
  <c r="B601" i="8"/>
  <c r="B603" i="20"/>
  <c r="B595" i="9"/>
  <c r="B599" i="8"/>
  <c r="B595" i="20"/>
  <c r="B590" i="8"/>
  <c r="B598" i="20"/>
  <c r="B593" i="8"/>
  <c r="B592" i="9"/>
  <c r="B601" i="9"/>
  <c r="B598" i="9"/>
  <c r="B592" i="20"/>
  <c r="B601" i="20"/>
  <c r="AV546" i="20"/>
  <c r="U570" i="20"/>
  <c r="U582" i="20"/>
  <c r="X588" i="20"/>
  <c r="AL570" i="20"/>
  <c r="V603" i="20"/>
  <c r="AC579" i="20"/>
  <c r="AM582" i="20"/>
  <c r="AR597" i="20"/>
  <c r="AK591" i="20"/>
  <c r="V594" i="20"/>
  <c r="AD594" i="20"/>
  <c r="T597" i="20"/>
  <c r="X597" i="20"/>
  <c r="AB597" i="20"/>
  <c r="AP600" i="20"/>
  <c r="AQ582" i="20"/>
  <c r="AF597" i="20"/>
  <c r="V114" i="20"/>
  <c r="J42" i="20"/>
  <c r="Y441" i="20"/>
  <c r="Q441" i="20"/>
  <c r="O447" i="20"/>
  <c r="AG447" i="20"/>
  <c r="AC447" i="20"/>
  <c r="S96" i="20"/>
  <c r="AN606" i="20"/>
  <c r="C105" i="20"/>
  <c r="S27" i="20"/>
  <c r="AO510" i="20"/>
  <c r="AK510" i="20"/>
  <c r="U510" i="20"/>
  <c r="AE549" i="20"/>
  <c r="AI549" i="20"/>
  <c r="AQ549" i="20"/>
  <c r="J111" i="20"/>
  <c r="P363" i="20"/>
  <c r="Q426" i="20"/>
  <c r="AA543" i="20"/>
  <c r="AE543" i="20"/>
  <c r="AI543" i="20"/>
  <c r="W585" i="20"/>
  <c r="AA585" i="20"/>
  <c r="AE585" i="20"/>
  <c r="AM585" i="20"/>
  <c r="AM588" i="20"/>
  <c r="X591" i="20"/>
  <c r="AN591" i="20"/>
  <c r="V600" i="20"/>
  <c r="Z600" i="20"/>
  <c r="AD600" i="20"/>
  <c r="AL600" i="20"/>
  <c r="W603" i="20"/>
  <c r="AA603" i="20"/>
  <c r="AE603" i="20"/>
  <c r="AI603" i="20"/>
  <c r="AM603" i="20"/>
  <c r="AQ603" i="20"/>
  <c r="AA606" i="20"/>
  <c r="AE606" i="20"/>
  <c r="AI606" i="20"/>
  <c r="J105" i="20"/>
  <c r="AB33" i="20"/>
  <c r="S519" i="20"/>
  <c r="AA519" i="20"/>
  <c r="AI519" i="20"/>
  <c r="AM519" i="20"/>
  <c r="Y75" i="20"/>
  <c r="E30" i="20"/>
  <c r="X24" i="20"/>
  <c r="Z363" i="20"/>
  <c r="AK573" i="20"/>
  <c r="W576" i="20"/>
  <c r="AE576" i="20"/>
  <c r="AM576" i="20"/>
  <c r="AQ576" i="20"/>
  <c r="Y99" i="20"/>
  <c r="U519" i="20"/>
  <c r="AG519" i="20"/>
  <c r="AK519" i="20"/>
  <c r="S36" i="20"/>
  <c r="F372" i="20"/>
  <c r="V372" i="20"/>
  <c r="T543" i="20"/>
  <c r="AH561" i="20"/>
  <c r="AL561" i="20"/>
  <c r="S564" i="20"/>
  <c r="AA564" i="20"/>
  <c r="AE564" i="20"/>
  <c r="AM564" i="20"/>
  <c r="X570" i="20"/>
  <c r="T576" i="20"/>
  <c r="AB576" i="20"/>
  <c r="AF576" i="20"/>
  <c r="AJ576" i="20"/>
  <c r="AN576" i="20"/>
  <c r="Y585" i="20"/>
  <c r="AC585" i="20"/>
  <c r="AK585" i="20"/>
  <c r="AO585" i="20"/>
  <c r="AC588" i="20"/>
  <c r="V591" i="20"/>
  <c r="Z591" i="20"/>
  <c r="AH591" i="20"/>
  <c r="AL591" i="20"/>
  <c r="AP591" i="20"/>
  <c r="S594" i="20"/>
  <c r="W594" i="20"/>
  <c r="AA594" i="20"/>
  <c r="AE594" i="20"/>
  <c r="AM594" i="20"/>
  <c r="AQ594" i="20"/>
  <c r="S597" i="20"/>
  <c r="X600" i="20"/>
  <c r="AF600" i="20"/>
  <c r="U603" i="20"/>
  <c r="J366" i="20"/>
  <c r="O366" i="20"/>
  <c r="G372" i="20"/>
  <c r="O372" i="20"/>
  <c r="U492" i="20"/>
  <c r="T552" i="20"/>
  <c r="Z558" i="20"/>
  <c r="AD558" i="20"/>
  <c r="AP558" i="20"/>
  <c r="W561" i="20"/>
  <c r="AF564" i="20"/>
  <c r="AC570" i="20"/>
  <c r="AK570" i="20"/>
  <c r="AO570" i="20"/>
  <c r="W573" i="20"/>
  <c r="AA573" i="20"/>
  <c r="AE573" i="20"/>
  <c r="AI573" i="20"/>
  <c r="U576" i="20"/>
  <c r="Y576" i="20"/>
  <c r="R576" i="20"/>
  <c r="Z603" i="20"/>
  <c r="AL603" i="20"/>
  <c r="AP603" i="20"/>
  <c r="Z492" i="20"/>
  <c r="AD492" i="20"/>
  <c r="AL492" i="20"/>
  <c r="V522" i="20"/>
  <c r="AD522" i="20"/>
  <c r="U525" i="20"/>
  <c r="AC525" i="20"/>
  <c r="AK525" i="20"/>
  <c r="AO525" i="20"/>
  <c r="V528" i="20"/>
  <c r="AL528" i="20"/>
  <c r="Q531" i="20"/>
  <c r="Y531" i="20"/>
  <c r="AO531" i="20"/>
  <c r="AB540" i="20"/>
  <c r="AJ540" i="20"/>
  <c r="AE558" i="20"/>
  <c r="AI558" i="20"/>
  <c r="T561" i="20"/>
  <c r="X561" i="20"/>
  <c r="AB561" i="20"/>
  <c r="I372" i="20"/>
  <c r="AK372" i="20"/>
  <c r="S492" i="20"/>
  <c r="AM492" i="20"/>
  <c r="U546" i="20"/>
  <c r="AC546" i="20"/>
  <c r="AK546" i="20"/>
  <c r="AO546" i="20"/>
  <c r="AL552" i="20"/>
  <c r="X558" i="20"/>
  <c r="AF558" i="20"/>
  <c r="R564" i="20"/>
  <c r="AP564" i="20"/>
  <c r="AP594" i="20"/>
  <c r="AF84" i="20"/>
  <c r="AL372" i="20"/>
  <c r="M99" i="20"/>
  <c r="Q540" i="20"/>
  <c r="Y540" i="20"/>
  <c r="AO540" i="20"/>
  <c r="T549" i="20"/>
  <c r="K9" i="21"/>
  <c r="AN441" i="20"/>
  <c r="AJ441" i="20"/>
  <c r="AB441" i="20"/>
  <c r="X441" i="20"/>
  <c r="P441" i="20"/>
  <c r="AB447" i="20"/>
  <c r="T447" i="20"/>
  <c r="AJ537" i="20"/>
  <c r="AF537" i="20"/>
  <c r="X537" i="20"/>
  <c r="T537" i="20"/>
  <c r="AF108" i="20"/>
  <c r="E81" i="20"/>
  <c r="O78" i="20"/>
  <c r="R534" i="20"/>
  <c r="V534" i="20"/>
  <c r="AH534" i="20"/>
  <c r="AE540" i="20"/>
  <c r="AI540" i="20"/>
  <c r="X543" i="20"/>
  <c r="C96" i="20"/>
  <c r="L90" i="20"/>
  <c r="M357" i="20"/>
  <c r="R441" i="20"/>
  <c r="AI498" i="20"/>
  <c r="U501" i="20"/>
  <c r="M66" i="20"/>
  <c r="AO543" i="20"/>
  <c r="S558" i="20"/>
  <c r="AM558" i="20"/>
  <c r="AJ561" i="20"/>
  <c r="Z582" i="20"/>
  <c r="AD582" i="20"/>
  <c r="Y597" i="20"/>
  <c r="AC597" i="20"/>
  <c r="U75" i="20"/>
  <c r="O369" i="20"/>
  <c r="AE369" i="20"/>
  <c r="C9" i="21"/>
  <c r="K372" i="20"/>
  <c r="S372" i="20"/>
  <c r="AM372" i="20"/>
  <c r="AN381" i="20"/>
  <c r="R444" i="20"/>
  <c r="Z444" i="20"/>
  <c r="AD444" i="20"/>
  <c r="AA495" i="20"/>
  <c r="AO495" i="20"/>
  <c r="AM507" i="20"/>
  <c r="Y513" i="20"/>
  <c r="AI537" i="20"/>
  <c r="R549" i="20"/>
  <c r="U552" i="20"/>
  <c r="AG552" i="20"/>
  <c r="Y564" i="20"/>
  <c r="AC564" i="20"/>
  <c r="AK567" i="20"/>
  <c r="AH582" i="20"/>
  <c r="AI585" i="20"/>
  <c r="Y588" i="20"/>
  <c r="AO588" i="20"/>
  <c r="X594" i="20"/>
  <c r="AG597" i="20"/>
  <c r="AO597" i="20"/>
  <c r="AH600" i="20"/>
  <c r="AR600" i="20"/>
  <c r="AG603" i="20"/>
  <c r="T444" i="20"/>
  <c r="Q495" i="20"/>
  <c r="Y495" i="20"/>
  <c r="S504" i="20"/>
  <c r="AC507" i="20"/>
  <c r="AK507" i="20"/>
  <c r="Q513" i="20"/>
  <c r="Y519" i="20"/>
  <c r="T525" i="20"/>
  <c r="AA531" i="20"/>
  <c r="AI531" i="20"/>
  <c r="V546" i="20"/>
  <c r="Z546" i="20"/>
  <c r="AH546" i="20"/>
  <c r="AL546" i="20"/>
  <c r="AP546" i="20"/>
  <c r="Y549" i="20"/>
  <c r="AL558" i="20"/>
  <c r="AA561" i="20"/>
  <c r="AI561" i="20"/>
  <c r="Z594" i="20"/>
  <c r="AH594" i="20"/>
  <c r="T585" i="20"/>
  <c r="N363" i="20"/>
  <c r="Z579" i="20"/>
  <c r="AH579" i="20"/>
  <c r="AL579" i="20"/>
  <c r="AD495" i="20"/>
  <c r="T498" i="20"/>
  <c r="X498" i="20"/>
  <c r="AF498" i="20"/>
  <c r="AJ498" i="20"/>
  <c r="R501" i="20"/>
  <c r="AF516" i="20"/>
  <c r="W528" i="20"/>
  <c r="AI528" i="20"/>
  <c r="AH495" i="20"/>
  <c r="H369" i="20"/>
  <c r="L369" i="20"/>
  <c r="T369" i="20"/>
  <c r="AA441" i="20"/>
  <c r="R492" i="20"/>
  <c r="V579" i="20"/>
  <c r="I369" i="20"/>
  <c r="AA504" i="20"/>
  <c r="AO516" i="20"/>
  <c r="AO558" i="20"/>
  <c r="AE567" i="20"/>
  <c r="Z501" i="20"/>
  <c r="AB504" i="20"/>
  <c r="AJ504" i="20"/>
  <c r="AH507" i="20"/>
  <c r="Q510" i="20"/>
  <c r="AM510" i="20"/>
  <c r="AE510" i="20"/>
  <c r="W510" i="20"/>
  <c r="S510" i="20"/>
  <c r="AC528" i="20"/>
  <c r="AO528" i="20"/>
  <c r="AB546" i="20"/>
  <c r="AF546" i="20"/>
  <c r="AM570" i="20"/>
  <c r="Q504" i="20"/>
  <c r="W507" i="20"/>
  <c r="AD513" i="20"/>
  <c r="AH513" i="20"/>
  <c r="AF519" i="20"/>
  <c r="W531" i="20"/>
  <c r="AM531" i="20"/>
  <c r="Z549" i="20"/>
  <c r="AD549" i="20"/>
  <c r="Y591" i="20"/>
  <c r="AB594" i="20"/>
  <c r="AJ594" i="20"/>
  <c r="AN594" i="20"/>
  <c r="V60" i="20"/>
  <c r="F48" i="20"/>
  <c r="I63" i="20"/>
  <c r="V501" i="20"/>
  <c r="B605" i="20"/>
  <c r="AO492" i="20"/>
  <c r="AL510" i="20"/>
  <c r="X516" i="20"/>
  <c r="AJ525" i="20"/>
  <c r="AK516" i="20"/>
  <c r="AA522" i="20"/>
  <c r="AP597" i="20"/>
  <c r="AN546" i="20"/>
  <c r="AC591" i="20"/>
  <c r="T594" i="20"/>
  <c r="AF594" i="20"/>
  <c r="AR594" i="20"/>
  <c r="AN561" i="20"/>
  <c r="AM567" i="20"/>
  <c r="AJ582" i="20"/>
  <c r="AB585" i="20"/>
  <c r="AR585" i="20"/>
  <c r="AJ597" i="20"/>
  <c r="AN597" i="20"/>
  <c r="AK126" i="20"/>
  <c r="V369" i="20"/>
  <c r="AO498" i="20"/>
  <c r="AQ501" i="20"/>
  <c r="AS510" i="20"/>
  <c r="AP588" i="20"/>
  <c r="AV600" i="20"/>
  <c r="AR603" i="20"/>
  <c r="U126" i="20"/>
  <c r="B612" i="9"/>
  <c r="U534" i="20"/>
  <c r="B609" i="20"/>
  <c r="B607" i="8"/>
  <c r="B604" i="8"/>
  <c r="B129" i="9"/>
  <c r="B610" i="8"/>
  <c r="B612" i="20"/>
  <c r="M369" i="20"/>
  <c r="AG369" i="20"/>
  <c r="AD498" i="20"/>
  <c r="AK513" i="20"/>
  <c r="B610" i="20"/>
  <c r="B608" i="8"/>
  <c r="B607" i="9"/>
  <c r="B605" i="8"/>
  <c r="B610" i="9"/>
  <c r="B607" i="20"/>
  <c r="AC561" i="20"/>
  <c r="Z612" i="20"/>
  <c r="B608" i="9"/>
  <c r="B611" i="9"/>
  <c r="AP519" i="20"/>
  <c r="AK531" i="20"/>
  <c r="Z567" i="20"/>
  <c r="AH588" i="20"/>
  <c r="B562" i="20"/>
  <c r="S501" i="20"/>
  <c r="AO504" i="20"/>
  <c r="T516" i="20"/>
  <c r="T567" i="20"/>
  <c r="AD606" i="20"/>
  <c r="AC558" i="20"/>
  <c r="AL381" i="20"/>
  <c r="V381" i="20"/>
  <c r="AJ495" i="20"/>
  <c r="L87" i="20"/>
  <c r="R132" i="20"/>
  <c r="B614" i="9"/>
  <c r="B611" i="20"/>
  <c r="B615" i="20"/>
  <c r="B613" i="8"/>
  <c r="B611" i="8"/>
  <c r="B613" i="9"/>
  <c r="B613" i="20"/>
  <c r="T528" i="20"/>
  <c r="Q528" i="20"/>
  <c r="Y615" i="20"/>
  <c r="AO615" i="20"/>
  <c r="S609" i="20"/>
  <c r="Y612" i="20"/>
  <c r="AL612" i="20"/>
  <c r="AM606" i="20"/>
  <c r="AF612" i="20"/>
  <c r="AP615" i="20"/>
  <c r="Z615" i="20"/>
  <c r="AI615" i="20"/>
  <c r="AR615" i="20"/>
  <c r="V615" i="20"/>
  <c r="B617" i="9"/>
  <c r="B593" i="9"/>
  <c r="N9" i="21"/>
  <c r="AE441" i="20"/>
  <c r="AB522" i="20"/>
  <c r="AH525" i="20"/>
  <c r="AG600" i="20"/>
  <c r="S606" i="20"/>
  <c r="B604" i="20"/>
  <c r="AJ567" i="20"/>
  <c r="AF615" i="20"/>
  <c r="AL582" i="20"/>
  <c r="AB606" i="20"/>
  <c r="AP606" i="20"/>
  <c r="U615" i="20"/>
  <c r="Z576" i="20"/>
  <c r="W582" i="20"/>
  <c r="AN603" i="20"/>
  <c r="X609" i="20"/>
  <c r="V612" i="20"/>
  <c r="B621" i="9"/>
  <c r="R426" i="20"/>
  <c r="Q429" i="20"/>
  <c r="AE426" i="20"/>
  <c r="B621" i="20"/>
  <c r="B618" i="20"/>
  <c r="B619" i="8"/>
  <c r="B616" i="8"/>
  <c r="B210" i="9"/>
  <c r="AA90" i="20"/>
  <c r="AH501" i="20"/>
  <c r="R363" i="20"/>
  <c r="B620" i="9"/>
  <c r="B620" i="20"/>
  <c r="X510" i="20"/>
  <c r="T531" i="20"/>
  <c r="AF531" i="20"/>
  <c r="AQ546" i="20"/>
  <c r="AB552" i="20"/>
  <c r="P492" i="20"/>
  <c r="AF492" i="20"/>
  <c r="U522" i="20"/>
  <c r="R570" i="20"/>
  <c r="AH570" i="20"/>
  <c r="X576" i="20"/>
  <c r="AB579" i="20"/>
  <c r="B617" i="8"/>
  <c r="B616" i="20"/>
  <c r="B614" i="8"/>
  <c r="B619" i="9"/>
  <c r="B619" i="20"/>
  <c r="Q444" i="20"/>
  <c r="V525" i="20"/>
  <c r="U537" i="20"/>
  <c r="AN609" i="20"/>
  <c r="K138" i="20"/>
  <c r="AJ117" i="20"/>
  <c r="B623" i="9"/>
  <c r="B623" i="20"/>
  <c r="S369" i="20"/>
  <c r="B622" i="20"/>
  <c r="B622" i="9"/>
  <c r="B620" i="8"/>
  <c r="B622" i="8"/>
  <c r="B624" i="20"/>
  <c r="AL363" i="20"/>
  <c r="AD510" i="20"/>
  <c r="AM513" i="20"/>
  <c r="X534" i="20"/>
  <c r="AQ564" i="20"/>
  <c r="Q507" i="20"/>
  <c r="X531" i="20"/>
  <c r="AB531" i="20"/>
  <c r="AP516" i="20"/>
  <c r="U579" i="20"/>
  <c r="AI579" i="20"/>
  <c r="AL615" i="20"/>
  <c r="AQ615" i="20"/>
  <c r="AB123" i="20"/>
  <c r="L117" i="20"/>
  <c r="M378" i="20"/>
  <c r="AS576" i="20"/>
  <c r="AV579" i="20"/>
  <c r="AQ585" i="20"/>
  <c r="AU588" i="20"/>
  <c r="V123" i="20"/>
  <c r="B627" i="20"/>
  <c r="B625" i="8"/>
  <c r="B630" i="20"/>
  <c r="B628" i="8"/>
  <c r="B627" i="8"/>
  <c r="B629" i="20"/>
  <c r="B624" i="8"/>
  <c r="B628" i="20"/>
  <c r="B628" i="9"/>
  <c r="B626" i="8"/>
  <c r="B623" i="8"/>
  <c r="B625" i="20"/>
  <c r="B625" i="9"/>
  <c r="AI591" i="20"/>
  <c r="Z597" i="20"/>
  <c r="W612" i="20"/>
  <c r="AA612" i="20"/>
  <c r="AE612" i="20"/>
  <c r="AD615" i="20"/>
  <c r="U609" i="20"/>
  <c r="B627" i="9"/>
  <c r="B630" i="9"/>
  <c r="T633" i="20"/>
  <c r="B630" i="8"/>
  <c r="AK576" i="20"/>
  <c r="AB591" i="20"/>
  <c r="AI501" i="20"/>
  <c r="AG513" i="20"/>
  <c r="W519" i="20"/>
  <c r="W543" i="20"/>
  <c r="B631" i="20"/>
  <c r="B631" i="9"/>
  <c r="B629" i="8"/>
  <c r="V498" i="20"/>
  <c r="AF501" i="20"/>
  <c r="V504" i="20"/>
  <c r="T507" i="20"/>
  <c r="V543" i="20"/>
  <c r="AJ585" i="20"/>
  <c r="AN585" i="20"/>
  <c r="Z588" i="20"/>
  <c r="B633" i="20"/>
  <c r="B631" i="8"/>
  <c r="AK522" i="20"/>
  <c r="AG543" i="20"/>
  <c r="B633" i="9"/>
  <c r="AB600" i="20"/>
  <c r="AL609" i="20"/>
  <c r="AB609" i="20"/>
  <c r="K57" i="20"/>
  <c r="B616" i="9"/>
  <c r="R513" i="20"/>
  <c r="W516" i="20"/>
  <c r="Z504" i="20"/>
  <c r="AQ591" i="20"/>
  <c r="AQ606" i="20"/>
  <c r="AP609" i="20"/>
  <c r="AJ591" i="20"/>
  <c r="AL594" i="20"/>
  <c r="T600" i="20"/>
  <c r="AC615" i="20"/>
  <c r="W429" i="20"/>
  <c r="B635" i="20"/>
  <c r="B552" i="8"/>
  <c r="B542" i="9"/>
  <c r="B536" i="20"/>
  <c r="B77" i="9"/>
  <c r="B530" i="9"/>
  <c r="B525" i="8"/>
  <c r="B516" i="8"/>
  <c r="B507" i="8"/>
  <c r="B503" i="20"/>
  <c r="B500" i="9"/>
  <c r="B185" i="20"/>
  <c r="B245" i="20"/>
  <c r="B317" i="20"/>
  <c r="B437" i="20"/>
  <c r="B200" i="20"/>
  <c r="B275" i="20"/>
  <c r="B350" i="20"/>
  <c r="B446" i="20"/>
  <c r="B116" i="20"/>
  <c r="B191" i="20"/>
  <c r="B287" i="20"/>
  <c r="B362" i="20"/>
  <c r="B455" i="20"/>
  <c r="B155" i="20"/>
  <c r="B230" i="20"/>
  <c r="B338" i="20"/>
  <c r="B119" i="20"/>
  <c r="B374" i="20"/>
  <c r="B146" i="20"/>
  <c r="B386" i="20"/>
  <c r="B194" i="20"/>
  <c r="B347" i="20"/>
  <c r="B344" i="9"/>
  <c r="B404" i="9"/>
  <c r="B464" i="9"/>
  <c r="B389" i="9"/>
  <c r="B362" i="9"/>
  <c r="B422" i="9"/>
  <c r="B494" i="9"/>
  <c r="B395" i="9"/>
  <c r="B479" i="9"/>
  <c r="B467" i="9"/>
  <c r="B35" i="20"/>
  <c r="B81" i="8"/>
  <c r="B153" i="8"/>
  <c r="B213" i="8"/>
  <c r="B273" i="8"/>
  <c r="B345" i="8"/>
  <c r="B78" i="8"/>
  <c r="B168" i="8"/>
  <c r="B264" i="8"/>
  <c r="B318" i="8"/>
  <c r="B378" i="8"/>
  <c r="B426" i="8"/>
  <c r="B474" i="8"/>
  <c r="B557" i="9"/>
  <c r="B551" i="20"/>
  <c r="B545" i="20"/>
  <c r="B540" i="8"/>
  <c r="B534" i="8"/>
  <c r="B278" i="9"/>
  <c r="B104" i="9"/>
  <c r="B530" i="20"/>
  <c r="B524" i="20"/>
  <c r="B519" i="8"/>
  <c r="B518" i="9"/>
  <c r="B512" i="9"/>
  <c r="B506" i="9"/>
  <c r="B501" i="8"/>
  <c r="B498" i="8"/>
  <c r="B137" i="20"/>
  <c r="B197" i="20"/>
  <c r="B269" i="20"/>
  <c r="B329" i="20"/>
  <c r="B389" i="20"/>
  <c r="B131" i="20"/>
  <c r="B206" i="20"/>
  <c r="B296" i="20"/>
  <c r="B392" i="20"/>
  <c r="B458" i="20"/>
  <c r="B122" i="20"/>
  <c r="B218" i="20"/>
  <c r="B308" i="20"/>
  <c r="B383" i="20"/>
  <c r="B479" i="20"/>
  <c r="B182" i="20"/>
  <c r="B251" i="20"/>
  <c r="B380" i="20"/>
  <c r="B140" i="20"/>
  <c r="B395" i="20"/>
  <c r="B188" i="20"/>
  <c r="B407" i="20"/>
  <c r="B215" i="20"/>
  <c r="B422" i="20"/>
  <c r="B356" i="9"/>
  <c r="B416" i="9"/>
  <c r="B488" i="9"/>
  <c r="B401" i="9"/>
  <c r="B374" i="9"/>
  <c r="B446" i="9"/>
  <c r="B347" i="9"/>
  <c r="B407" i="9"/>
  <c r="B449" i="9"/>
  <c r="B491" i="9"/>
  <c r="B33" i="8"/>
  <c r="B105" i="8"/>
  <c r="B165" i="8"/>
  <c r="B225" i="8"/>
  <c r="B297" i="8"/>
  <c r="B357" i="8"/>
  <c r="B99" i="8"/>
  <c r="B195" i="8"/>
  <c r="B270" i="8"/>
  <c r="B339" i="8"/>
  <c r="B390" i="8"/>
  <c r="B438" i="8"/>
  <c r="B486" i="8"/>
  <c r="B84" i="8"/>
  <c r="B254" i="9"/>
  <c r="B554" i="20"/>
  <c r="B549" i="8"/>
  <c r="B545" i="9"/>
  <c r="B539" i="9"/>
  <c r="B533" i="20"/>
  <c r="B326" i="9"/>
  <c r="B528" i="8"/>
  <c r="B522" i="8"/>
  <c r="B521" i="9"/>
  <c r="B515" i="20"/>
  <c r="B510" i="8"/>
  <c r="B504" i="8"/>
  <c r="B497" i="20"/>
  <c r="B495" i="8"/>
  <c r="B548" i="20"/>
  <c r="B509" i="9"/>
  <c r="B149" i="20"/>
  <c r="B281" i="20"/>
  <c r="B413" i="20"/>
  <c r="B227" i="20"/>
  <c r="B398" i="20"/>
  <c r="B164" i="20"/>
  <c r="B314" i="20"/>
  <c r="B491" i="20"/>
  <c r="B263" i="20"/>
  <c r="B278" i="20"/>
  <c r="B290" i="20"/>
  <c r="B272" i="20"/>
  <c r="B368" i="9"/>
  <c r="B341" i="9"/>
  <c r="B398" i="9"/>
  <c r="B359" i="9"/>
  <c r="B473" i="9"/>
  <c r="B57" i="8"/>
  <c r="B177" i="8"/>
  <c r="B309" i="8"/>
  <c r="B126" i="8"/>
  <c r="B291" i="8"/>
  <c r="B402" i="8"/>
  <c r="B36" i="8"/>
  <c r="B111" i="8"/>
  <c r="B180" i="8"/>
  <c r="B234" i="8"/>
  <c r="B375" i="8"/>
  <c r="B471" i="8"/>
  <c r="B330" i="8"/>
  <c r="B435" i="8"/>
  <c r="B114" i="8"/>
  <c r="B231" i="8"/>
  <c r="B348" i="8"/>
  <c r="B441" i="8"/>
  <c r="B54" i="8"/>
  <c r="B171" i="8"/>
  <c r="B288" i="8"/>
  <c r="B396" i="8"/>
  <c r="B492" i="8"/>
  <c r="B162" i="8"/>
  <c r="B300" i="8"/>
  <c r="B477" i="8"/>
  <c r="B384" i="8"/>
  <c r="B405" i="8"/>
  <c r="B123" i="8"/>
  <c r="B336" i="8"/>
  <c r="B65" i="20"/>
  <c r="B170" i="9"/>
  <c r="B266" i="9"/>
  <c r="B23" i="9"/>
  <c r="B56" i="9"/>
  <c r="B56" i="20"/>
  <c r="B311" i="9"/>
  <c r="B263" i="9"/>
  <c r="B215" i="9"/>
  <c r="B167" i="9"/>
  <c r="B131" i="9"/>
  <c r="B83" i="9"/>
  <c r="B35" i="9"/>
  <c r="B26" i="20"/>
  <c r="B317" i="9"/>
  <c r="B269" i="9"/>
  <c r="B221" i="9"/>
  <c r="B173" i="9"/>
  <c r="B134" i="9"/>
  <c r="B86" i="9"/>
  <c r="B38" i="9"/>
  <c r="B29" i="20"/>
  <c r="B21" i="8"/>
  <c r="B296" i="9"/>
  <c r="B248" i="9"/>
  <c r="B200" i="9"/>
  <c r="B152" i="9"/>
  <c r="B101" i="9"/>
  <c r="B53" i="9"/>
  <c r="B86" i="20"/>
  <c r="B83" i="20"/>
  <c r="B92" i="20"/>
  <c r="B561" i="8"/>
  <c r="B558" i="8"/>
  <c r="B566" i="9"/>
  <c r="B567" i="8"/>
  <c r="B542" i="20"/>
  <c r="B503" i="9"/>
  <c r="B173" i="20"/>
  <c r="B425" i="20"/>
  <c r="B254" i="20"/>
  <c r="B419" i="20"/>
  <c r="B170" i="20"/>
  <c r="B356" i="20"/>
  <c r="B128" i="20"/>
  <c r="B284" i="20"/>
  <c r="B320" i="20"/>
  <c r="B311" i="20"/>
  <c r="B326" i="20"/>
  <c r="B392" i="9"/>
  <c r="B353" i="9"/>
  <c r="B410" i="9"/>
  <c r="B383" i="9"/>
  <c r="B485" i="9"/>
  <c r="B69" i="8"/>
  <c r="B201" i="8"/>
  <c r="B321" i="8"/>
  <c r="B147" i="8"/>
  <c r="B312" i="8"/>
  <c r="B414" i="8"/>
  <c r="B42" i="8"/>
  <c r="B132" i="8"/>
  <c r="B186" i="8"/>
  <c r="B255" i="8"/>
  <c r="B399" i="8"/>
  <c r="B27" i="8"/>
  <c r="B351" i="8"/>
  <c r="B459" i="8"/>
  <c r="B135" i="8"/>
  <c r="B252" i="8"/>
  <c r="B369" i="8"/>
  <c r="B465" i="8"/>
  <c r="B75" i="8"/>
  <c r="B192" i="8"/>
  <c r="B342" i="8"/>
  <c r="B420" i="8"/>
  <c r="B66" i="8"/>
  <c r="B183" i="8"/>
  <c r="B354" i="8"/>
  <c r="B198" i="8"/>
  <c r="B432" i="8"/>
  <c r="B453" i="8"/>
  <c r="B144" i="8"/>
  <c r="B408" i="8"/>
  <c r="B23" i="20"/>
  <c r="B98" i="9"/>
  <c r="B338" i="9"/>
  <c r="B218" i="9"/>
  <c r="B32" i="20"/>
  <c r="B29" i="9"/>
  <c r="B74" i="20"/>
  <c r="A19" i="23"/>
  <c r="B299" i="9"/>
  <c r="B251" i="9"/>
  <c r="B203" i="9"/>
  <c r="B155" i="9"/>
  <c r="B116" i="9"/>
  <c r="B68" i="9"/>
  <c r="B62" i="20"/>
  <c r="A19" i="21"/>
  <c r="B305" i="9"/>
  <c r="B257" i="9"/>
  <c r="B209" i="9"/>
  <c r="B161" i="9"/>
  <c r="B113" i="9"/>
  <c r="B65" i="9"/>
  <c r="B80" i="20"/>
  <c r="B32" i="22"/>
  <c r="B332" i="9"/>
  <c r="B284" i="9"/>
  <c r="B236" i="9"/>
  <c r="B188" i="9"/>
  <c r="B143" i="9"/>
  <c r="B95" i="9"/>
  <c r="B47" i="9"/>
  <c r="B98" i="20"/>
  <c r="B50" i="20"/>
  <c r="B89" i="20"/>
  <c r="B560" i="20"/>
  <c r="B563" i="20"/>
  <c r="B650" i="20"/>
  <c r="B647" i="20"/>
  <c r="B644" i="20"/>
  <c r="B641" i="20"/>
  <c r="B638" i="20"/>
  <c r="B554" i="9"/>
  <c r="B533" i="9"/>
  <c r="B527" i="20"/>
  <c r="B515" i="9"/>
  <c r="M22" i="3"/>
  <c r="AG129" i="20"/>
  <c r="W123" i="20"/>
  <c r="AL117" i="20"/>
  <c r="I117" i="20"/>
  <c r="Z123" i="20"/>
  <c r="J120" i="20"/>
  <c r="AK117" i="20"/>
  <c r="H117" i="20"/>
  <c r="AA117" i="20"/>
  <c r="T147" i="20"/>
  <c r="U135" i="20"/>
  <c r="AA144" i="20"/>
  <c r="N120" i="20"/>
  <c r="AI129" i="20"/>
  <c r="AH690" i="20"/>
  <c r="AT690" i="20"/>
  <c r="B654" i="20"/>
  <c r="B651" i="20"/>
  <c r="B639" i="20"/>
  <c r="B657" i="20"/>
  <c r="B648" i="20"/>
  <c r="B660" i="20"/>
  <c r="B645" i="20"/>
  <c r="B642" i="20"/>
  <c r="AC537" i="20"/>
  <c r="B653" i="20"/>
  <c r="B656" i="20"/>
  <c r="B659" i="20"/>
  <c r="U543" i="20"/>
  <c r="AG507" i="20"/>
  <c r="B636" i="20"/>
  <c r="B658" i="20"/>
  <c r="B646" i="20"/>
  <c r="B643" i="20"/>
  <c r="B652" i="20"/>
  <c r="B640" i="20"/>
  <c r="B655" i="20"/>
  <c r="B649" i="20"/>
  <c r="B637" i="20"/>
  <c r="AB699" i="20"/>
  <c r="C36" i="20"/>
  <c r="AP699" i="20"/>
  <c r="AD711" i="20"/>
  <c r="AE726" i="20"/>
  <c r="BA726" i="20"/>
  <c r="AD729" i="20"/>
  <c r="AT729" i="20"/>
  <c r="AA735" i="20"/>
  <c r="AI735" i="20"/>
  <c r="AY735" i="20"/>
  <c r="BG735" i="20"/>
  <c r="AQ741" i="20"/>
  <c r="BC741" i="20"/>
  <c r="AJ741" i="20"/>
  <c r="AR741" i="20"/>
  <c r="AX741" i="20"/>
  <c r="AK741" i="20"/>
  <c r="AO741" i="20"/>
  <c r="AJ744" i="20"/>
  <c r="AN744" i="20"/>
  <c r="AV744" i="20"/>
  <c r="AZ744" i="20"/>
  <c r="BD744" i="20"/>
  <c r="AC744" i="20"/>
  <c r="AO744" i="20"/>
  <c r="BE744" i="20"/>
  <c r="BC747" i="20"/>
  <c r="AU747" i="20"/>
  <c r="AM747" i="20"/>
  <c r="AE747" i="20"/>
  <c r="W747" i="20"/>
  <c r="AX747" i="20"/>
  <c r="BH747" i="20"/>
  <c r="AZ747" i="20"/>
  <c r="AR747" i="20"/>
  <c r="AJ747" i="20"/>
  <c r="AB747" i="20"/>
  <c r="BD747" i="20"/>
  <c r="AN747" i="20"/>
  <c r="AF747" i="20"/>
  <c r="X747" i="20"/>
  <c r="AL747" i="20"/>
  <c r="BK759" i="20"/>
  <c r="AM759" i="20"/>
  <c r="BF759" i="20"/>
  <c r="BB759" i="20"/>
  <c r="AX759" i="20"/>
  <c r="AT759" i="20"/>
  <c r="AP759" i="20"/>
  <c r="AH759" i="20"/>
  <c r="Z759" i="20"/>
  <c r="BB762" i="20"/>
  <c r="AC117" i="20"/>
  <c r="X366" i="20"/>
  <c r="X528" i="20"/>
  <c r="Z525" i="20"/>
  <c r="R546" i="20"/>
  <c r="AA525" i="20"/>
  <c r="W534" i="20"/>
  <c r="AG534" i="20"/>
  <c r="V540" i="20"/>
  <c r="AL540" i="20"/>
  <c r="AJ573" i="20"/>
  <c r="AF702" i="20"/>
  <c r="AR726" i="20"/>
  <c r="Z720" i="20"/>
  <c r="AN693" i="20"/>
  <c r="AZ705" i="20"/>
  <c r="AJ708" i="20"/>
  <c r="BK717" i="20"/>
  <c r="AK612" i="20"/>
  <c r="AM690" i="20"/>
  <c r="AX705" i="20"/>
  <c r="AW717" i="20"/>
  <c r="BH726" i="20"/>
  <c r="BJ726" i="20"/>
  <c r="AF732" i="20"/>
  <c r="BA762" i="20"/>
  <c r="BC750" i="20"/>
  <c r="W750" i="20"/>
  <c r="AX762" i="20"/>
  <c r="AX768" i="20"/>
  <c r="BJ768" i="20"/>
  <c r="AC768" i="20"/>
  <c r="BK765" i="20"/>
  <c r="AO765" i="20"/>
  <c r="AI90" i="20"/>
  <c r="AM33" i="20"/>
  <c r="AB495" i="20"/>
  <c r="T570" i="20"/>
  <c r="AC756" i="20"/>
  <c r="Z498" i="20"/>
  <c r="S516" i="20"/>
  <c r="AN531" i="20"/>
  <c r="X567" i="20"/>
  <c r="AH567" i="20"/>
  <c r="V582" i="20"/>
  <c r="V585" i="20"/>
  <c r="AB603" i="20"/>
  <c r="T630" i="20"/>
  <c r="AF507" i="20"/>
  <c r="Y537" i="20"/>
  <c r="AQ567" i="20"/>
  <c r="Y579" i="20"/>
  <c r="W588" i="20"/>
  <c r="AE615" i="20"/>
  <c r="AP537" i="20"/>
  <c r="AJ543" i="20"/>
  <c r="AD597" i="20"/>
  <c r="V708" i="20"/>
  <c r="AH708" i="20"/>
  <c r="AQ696" i="20"/>
  <c r="AB702" i="20"/>
  <c r="AF726" i="20"/>
  <c r="BD717" i="20"/>
  <c r="BF729" i="20"/>
  <c r="AL759" i="20"/>
  <c r="Z750" i="20"/>
  <c r="H21" i="1"/>
  <c r="E21" i="1"/>
  <c r="B233" i="20"/>
  <c r="B158" i="20"/>
  <c r="B494" i="20"/>
  <c r="B431" i="20"/>
  <c r="B461" i="20"/>
  <c r="B473" i="20"/>
  <c r="B425" i="9"/>
  <c r="B431" i="9"/>
  <c r="B249" i="8"/>
  <c r="B216" i="8"/>
  <c r="B450" i="8"/>
  <c r="B138" i="8"/>
  <c r="B282" i="8"/>
  <c r="B276" i="8"/>
  <c r="B483" i="8"/>
  <c r="B306" i="8"/>
  <c r="B489" i="8"/>
  <c r="B246" i="8"/>
  <c r="B444" i="8"/>
  <c r="B204" i="8"/>
  <c r="B219" i="8"/>
  <c r="B48" i="8"/>
  <c r="B456" i="8"/>
  <c r="B242" i="9"/>
  <c r="B50" i="9"/>
  <c r="B335" i="9"/>
  <c r="B239" i="9"/>
  <c r="B146" i="9"/>
  <c r="B62" i="9"/>
  <c r="A19" i="22"/>
  <c r="B245" i="9"/>
  <c r="B149" i="9"/>
  <c r="B59" i="9"/>
  <c r="B32" i="23"/>
  <c r="B272" i="9"/>
  <c r="B176" i="9"/>
  <c r="B80" i="9"/>
  <c r="B572" i="20"/>
  <c r="B578" i="9"/>
  <c r="B590" i="9"/>
  <c r="B587" i="20"/>
  <c r="B578" i="20"/>
  <c r="B77" i="20"/>
  <c r="B543" i="8"/>
  <c r="B182" i="9"/>
  <c r="B521" i="20"/>
  <c r="B500" i="20"/>
  <c r="B257" i="20"/>
  <c r="B110" i="20"/>
  <c r="B371" i="20"/>
  <c r="B212" i="20"/>
  <c r="B467" i="20"/>
  <c r="B359" i="20"/>
  <c r="B167" i="20"/>
  <c r="B368" i="20"/>
  <c r="B476" i="9"/>
  <c r="B434" i="9"/>
  <c r="B413" i="9"/>
  <c r="B93" i="8"/>
  <c r="B285" i="8"/>
  <c r="B174" i="8"/>
  <c r="B591" i="8"/>
  <c r="B599" i="9"/>
  <c r="B596" i="9"/>
  <c r="B609" i="8"/>
  <c r="B608" i="20"/>
  <c r="B612" i="8"/>
  <c r="B615" i="8"/>
  <c r="B618" i="8"/>
  <c r="B621" i="8"/>
  <c r="B626" i="9"/>
  <c r="B626" i="20"/>
  <c r="B632" i="9"/>
  <c r="B557" i="20"/>
  <c r="B518" i="20"/>
  <c r="B497" i="9"/>
  <c r="B341" i="20"/>
  <c r="B323" i="20"/>
  <c r="B239" i="20"/>
  <c r="B203" i="20"/>
  <c r="B464" i="20"/>
  <c r="B443" i="20"/>
  <c r="B350" i="9"/>
  <c r="B443" i="9"/>
  <c r="B261" i="8"/>
  <c r="B222" i="8"/>
  <c r="B462" i="8"/>
  <c r="B159" i="8"/>
  <c r="B324" i="8"/>
  <c r="B303" i="8"/>
  <c r="B60" i="8"/>
  <c r="B327" i="8"/>
  <c r="B39" i="8"/>
  <c r="B267" i="8"/>
  <c r="B468" i="8"/>
  <c r="B258" i="8"/>
  <c r="B240" i="8"/>
  <c r="B102" i="8"/>
  <c r="B194" i="9"/>
  <c r="B314" i="9"/>
  <c r="B230" i="9"/>
  <c r="B53" i="20"/>
  <c r="B323" i="9"/>
  <c r="B227" i="9"/>
  <c r="B137" i="9"/>
  <c r="B41" i="9"/>
  <c r="B329" i="9"/>
  <c r="B233" i="9"/>
  <c r="B140" i="9"/>
  <c r="B44" i="9"/>
  <c r="B24" i="8"/>
  <c r="B260" i="9"/>
  <c r="B164" i="9"/>
  <c r="B74" i="9"/>
  <c r="B104" i="20"/>
  <c r="B95" i="20"/>
  <c r="B560" i="9"/>
  <c r="B564" i="8"/>
  <c r="B576" i="8"/>
  <c r="B588" i="8"/>
  <c r="B581" i="20"/>
  <c r="B585" i="8"/>
  <c r="B365" i="20"/>
  <c r="B344" i="20"/>
  <c r="B260" i="20"/>
  <c r="B176" i="20"/>
  <c r="B488" i="20"/>
  <c r="B452" i="20"/>
  <c r="B440" i="9"/>
  <c r="B458" i="9"/>
  <c r="B377" i="9"/>
  <c r="B117" i="8"/>
  <c r="B30" i="8"/>
  <c r="B360" i="8"/>
  <c r="B63" i="8"/>
  <c r="B207" i="8"/>
  <c r="B423" i="8"/>
  <c r="B387" i="8"/>
  <c r="B156" i="8"/>
  <c r="B393" i="8"/>
  <c r="B96" i="8"/>
  <c r="B363" i="8"/>
  <c r="B87" i="8"/>
  <c r="B381" i="8"/>
  <c r="B480" i="8"/>
  <c r="B71" i="9"/>
  <c r="B290" i="9"/>
  <c r="B125" i="9"/>
  <c r="B38" i="20"/>
  <c r="B287" i="9"/>
  <c r="B191" i="9"/>
  <c r="B110" i="9"/>
  <c r="B68" i="20"/>
  <c r="B197" i="9"/>
  <c r="B107" i="9"/>
  <c r="B59" i="20"/>
  <c r="B320" i="9"/>
  <c r="B224" i="9"/>
  <c r="B128" i="9"/>
  <c r="B32" i="9"/>
  <c r="B101" i="20"/>
  <c r="B563" i="9"/>
  <c r="B566" i="20"/>
  <c r="B569" i="9"/>
  <c r="B570" i="8"/>
  <c r="B575" i="20"/>
  <c r="B584" i="20"/>
  <c r="B582" i="8"/>
  <c r="B573" i="8"/>
  <c r="B551" i="9"/>
  <c r="B536" i="9"/>
  <c r="B527" i="9"/>
  <c r="B509" i="20"/>
  <c r="B161" i="20"/>
  <c r="B353" i="20"/>
  <c r="B248" i="20"/>
  <c r="B482" i="20"/>
  <c r="B335" i="20"/>
  <c r="B224" i="20"/>
  <c r="B299" i="20"/>
  <c r="B449" i="20"/>
  <c r="B380" i="9"/>
  <c r="B461" i="9"/>
  <c r="B371" i="9"/>
  <c r="B437" i="9"/>
  <c r="B189" i="8"/>
  <c r="B51" i="8"/>
  <c r="B600" i="8"/>
  <c r="B602" i="9"/>
  <c r="B597" i="8"/>
  <c r="B606" i="8"/>
  <c r="B614" i="20"/>
  <c r="B617" i="20"/>
  <c r="B629" i="9"/>
  <c r="B632" i="20"/>
  <c r="B546" i="8"/>
  <c r="B302" i="9"/>
  <c r="B513" i="8"/>
  <c r="B125" i="20"/>
  <c r="B377" i="20"/>
  <c r="B517" i="8"/>
  <c r="B522" i="20"/>
  <c r="B525" i="20"/>
  <c r="B532" i="8"/>
  <c r="B544" i="8"/>
  <c r="B547" i="8"/>
  <c r="B555" i="20"/>
  <c r="B523" i="8"/>
  <c r="B526" i="8"/>
  <c r="B529" i="8"/>
  <c r="A20" i="22"/>
  <c r="B534" i="20"/>
  <c r="B538" i="8"/>
  <c r="B541" i="8"/>
  <c r="B546" i="20"/>
  <c r="B552" i="20"/>
  <c r="B634" i="20"/>
  <c r="B25" i="9"/>
  <c r="B82" i="9"/>
  <c r="B169" i="9"/>
  <c r="B232" i="9"/>
  <c r="B304" i="9"/>
  <c r="A18" i="23"/>
  <c r="B76" i="20"/>
  <c r="B103" i="20"/>
  <c r="B28" i="20"/>
  <c r="B554" i="8"/>
  <c r="B551" i="8"/>
  <c r="B547" i="20"/>
  <c r="B544" i="20"/>
  <c r="B539" i="8"/>
  <c r="B535" i="20"/>
  <c r="B532" i="9"/>
  <c r="B49" i="20"/>
  <c r="B22" i="20"/>
  <c r="B265" i="9"/>
  <c r="B527" i="8"/>
  <c r="B526" i="20"/>
  <c r="B521" i="8"/>
  <c r="B64" i="9"/>
  <c r="B106" i="9"/>
  <c r="B160" i="9"/>
  <c r="B211" i="9"/>
  <c r="B256" i="9"/>
  <c r="B298" i="9"/>
  <c r="B337" i="9"/>
  <c r="B49" i="9"/>
  <c r="B127" i="9"/>
  <c r="B190" i="9"/>
  <c r="B274" i="9"/>
  <c r="B334" i="9"/>
  <c r="B31" i="23"/>
  <c r="B67" i="20"/>
  <c r="B73" i="20"/>
  <c r="B64" i="20"/>
  <c r="B55" i="20"/>
  <c r="B61" i="9"/>
  <c r="B553" i="9"/>
  <c r="B550" i="9"/>
  <c r="B545" i="8"/>
  <c r="B541" i="9"/>
  <c r="B538" i="9"/>
  <c r="B533" i="8"/>
  <c r="B79" i="20"/>
  <c r="B136" i="9"/>
  <c r="B529" i="20"/>
  <c r="B523" i="20"/>
  <c r="B148" i="9"/>
  <c r="B295" i="9"/>
  <c r="B70" i="20"/>
  <c r="B91" i="20"/>
  <c r="B550" i="20"/>
  <c r="B542" i="8"/>
  <c r="B535" i="9"/>
  <c r="B61" i="20"/>
  <c r="B524" i="8"/>
  <c r="B40" i="9"/>
  <c r="B97" i="9"/>
  <c r="B172" i="9"/>
  <c r="B235" i="9"/>
  <c r="B286" i="9"/>
  <c r="B31" i="22"/>
  <c r="B43" i="20"/>
  <c r="B55" i="9"/>
  <c r="B109" i="9"/>
  <c r="B154" i="9"/>
  <c r="B196" i="9"/>
  <c r="B250" i="9"/>
  <c r="B310" i="9"/>
  <c r="B22" i="9"/>
  <c r="B70" i="9"/>
  <c r="B112" i="9"/>
  <c r="B157" i="9"/>
  <c r="B199" i="9"/>
  <c r="B241" i="9"/>
  <c r="B280" i="9"/>
  <c r="B20" i="8"/>
  <c r="B520" i="20"/>
  <c r="B515" i="8"/>
  <c r="B514" i="20"/>
  <c r="B511" i="9"/>
  <c r="B506" i="8"/>
  <c r="B502" i="20"/>
  <c r="B496" i="20"/>
  <c r="B494" i="8"/>
  <c r="B37" i="9"/>
  <c r="B181" i="9"/>
  <c r="B316" i="9"/>
  <c r="A18" i="21"/>
  <c r="B94" i="20"/>
  <c r="B46" i="20"/>
  <c r="B556" i="20"/>
  <c r="B548" i="8"/>
  <c r="B541" i="20"/>
  <c r="B532" i="20"/>
  <c r="B97" i="20"/>
  <c r="B283" i="9"/>
  <c r="B526" i="9"/>
  <c r="B52" i="9"/>
  <c r="B118" i="9"/>
  <c r="B193" i="9"/>
  <c r="B247" i="9"/>
  <c r="B307" i="9"/>
  <c r="B31" i="21"/>
  <c r="B40" i="20"/>
  <c r="B67" i="9"/>
  <c r="B121" i="9"/>
  <c r="B163" i="9"/>
  <c r="B214" i="9"/>
  <c r="B259" i="9"/>
  <c r="B322" i="9"/>
  <c r="B34" i="9"/>
  <c r="B79" i="9"/>
  <c r="B124" i="9"/>
  <c r="B166" i="9"/>
  <c r="B208" i="9"/>
  <c r="B253" i="9"/>
  <c r="B292" i="9"/>
  <c r="B520" i="9"/>
  <c r="B514" i="9"/>
  <c r="B509" i="8"/>
  <c r="B503" i="8"/>
  <c r="B500" i="8"/>
  <c r="B496" i="9"/>
  <c r="B497" i="8"/>
  <c r="B109" i="20"/>
  <c r="B157" i="20"/>
  <c r="B205" i="20"/>
  <c r="B253" i="20"/>
  <c r="B301" i="20"/>
  <c r="B349" i="20"/>
  <c r="B397" i="20"/>
  <c r="B445" i="20"/>
  <c r="B163" i="20"/>
  <c r="B232" i="20"/>
  <c r="B286" i="20"/>
  <c r="B355" i="20"/>
  <c r="B424" i="20"/>
  <c r="B478" i="20"/>
  <c r="B154" i="20"/>
  <c r="B223" i="20"/>
  <c r="B292" i="20"/>
  <c r="B346" i="20"/>
  <c r="B415" i="20"/>
  <c r="B463" i="20"/>
  <c r="B118" i="20"/>
  <c r="B214" i="20"/>
  <c r="B208" i="20"/>
  <c r="B220" i="20"/>
  <c r="B370" i="20"/>
  <c r="B493" i="20"/>
  <c r="B331" i="20"/>
  <c r="B448" i="20"/>
  <c r="B322" i="20"/>
  <c r="B439" i="20"/>
  <c r="B151" i="20"/>
  <c r="B358" i="20"/>
  <c r="B484" i="20"/>
  <c r="B376" i="9"/>
  <c r="B424" i="9"/>
  <c r="B472" i="9"/>
  <c r="B373" i="9"/>
  <c r="B481" i="9"/>
  <c r="B382" i="9"/>
  <c r="B430" i="9"/>
  <c r="B478" i="9"/>
  <c r="B391" i="9"/>
  <c r="B475" i="9"/>
  <c r="B493" i="9"/>
  <c r="B451" i="9"/>
  <c r="B73" i="9"/>
  <c r="B202" i="9"/>
  <c r="B25" i="20"/>
  <c r="B85" i="20"/>
  <c r="B88" i="20"/>
  <c r="B556" i="9"/>
  <c r="B547" i="9"/>
  <c r="B538" i="20"/>
  <c r="B530" i="8"/>
  <c r="B37" i="20"/>
  <c r="B220" i="9"/>
  <c r="B523" i="9"/>
  <c r="B76" i="9"/>
  <c r="B139" i="9"/>
  <c r="B205" i="9"/>
  <c r="B268" i="9"/>
  <c r="B319" i="9"/>
  <c r="B34" i="20"/>
  <c r="B31" i="9"/>
  <c r="B88" i="9"/>
  <c r="B130" i="9"/>
  <c r="B175" i="9"/>
  <c r="B226" i="9"/>
  <c r="B289" i="9"/>
  <c r="B331" i="9"/>
  <c r="B46" i="9"/>
  <c r="B91" i="9"/>
  <c r="B133" i="9"/>
  <c r="B178" i="9"/>
  <c r="B217" i="9"/>
  <c r="B262" i="9"/>
  <c r="B313" i="9"/>
  <c r="B517" i="20"/>
  <c r="B512" i="8"/>
  <c r="B508" i="20"/>
  <c r="B505" i="9"/>
  <c r="B502" i="9"/>
  <c r="B499" i="9"/>
  <c r="B121" i="20"/>
  <c r="B169" i="20"/>
  <c r="B217" i="20"/>
  <c r="B265" i="20"/>
  <c r="B313" i="20"/>
  <c r="B361" i="20"/>
  <c r="B409" i="20"/>
  <c r="B115" i="20"/>
  <c r="B184" i="20"/>
  <c r="B238" i="20"/>
  <c r="B307" i="20"/>
  <c r="B376" i="20"/>
  <c r="B430" i="20"/>
  <c r="B490" i="20"/>
  <c r="B175" i="20"/>
  <c r="B244" i="20"/>
  <c r="B298" i="20"/>
  <c r="B367" i="20"/>
  <c r="B436" i="20"/>
  <c r="B475" i="20"/>
  <c r="B139" i="20"/>
  <c r="B235" i="20"/>
  <c r="B262" i="20"/>
  <c r="B274" i="20"/>
  <c r="B391" i="20"/>
  <c r="B226" i="20"/>
  <c r="B352" i="20"/>
  <c r="B472" i="20"/>
  <c r="B343" i="20"/>
  <c r="B457" i="20"/>
  <c r="B172" i="20"/>
  <c r="B379" i="20"/>
  <c r="B340" i="9"/>
  <c r="B388" i="9"/>
  <c r="B436" i="9"/>
  <c r="B484" i="9"/>
  <c r="B409" i="9"/>
  <c r="B346" i="9"/>
  <c r="B394" i="9"/>
  <c r="B442" i="9"/>
  <c r="B490" i="9"/>
  <c r="B403" i="9"/>
  <c r="B397" i="9"/>
  <c r="B343" i="9"/>
  <c r="B463" i="9"/>
  <c r="B445" i="9"/>
  <c r="B367" i="9"/>
  <c r="B427" i="9"/>
  <c r="B454" i="9"/>
  <c r="B358" i="9"/>
  <c r="B349" i="9"/>
  <c r="B400" i="9"/>
  <c r="B400" i="20"/>
  <c r="B481" i="20"/>
  <c r="B124" i="20"/>
  <c r="B247" i="20"/>
  <c r="B295" i="20"/>
  <c r="B256" i="20"/>
  <c r="B487" i="20"/>
  <c r="B388" i="20"/>
  <c r="B250" i="20"/>
  <c r="B127" i="20"/>
  <c r="B382" i="20"/>
  <c r="B259" i="20"/>
  <c r="B136" i="20"/>
  <c r="B373" i="20"/>
  <c r="B277" i="20"/>
  <c r="B181" i="20"/>
  <c r="B505" i="20"/>
  <c r="B229" i="9"/>
  <c r="B58" i="9"/>
  <c r="B184" i="9"/>
  <c r="B82" i="20"/>
  <c r="B151" i="9"/>
  <c r="B544" i="9"/>
  <c r="B58" i="20"/>
  <c r="B244" i="9"/>
  <c r="B586" i="20"/>
  <c r="B589" i="9"/>
  <c r="B580" i="20"/>
  <c r="B580" i="9"/>
  <c r="B586" i="9"/>
  <c r="B571" i="9"/>
  <c r="B568" i="20"/>
  <c r="B559" i="9"/>
  <c r="B562" i="9"/>
  <c r="B392" i="8"/>
  <c r="B80" i="8"/>
  <c r="B464" i="8"/>
  <c r="B326" i="8"/>
  <c r="B59" i="8"/>
  <c r="B311" i="8"/>
  <c r="B194" i="8"/>
  <c r="B44" i="8"/>
  <c r="B404" i="8"/>
  <c r="B278" i="8"/>
  <c r="B128" i="8"/>
  <c r="B449" i="8"/>
  <c r="B359" i="8"/>
  <c r="B242" i="8"/>
  <c r="B92" i="8"/>
  <c r="B491" i="8"/>
  <c r="B395" i="8"/>
  <c r="B479" i="8"/>
  <c r="B383" i="8"/>
  <c r="B308" i="8"/>
  <c r="B239" i="8"/>
  <c r="B170" i="8"/>
  <c r="B116" i="8"/>
  <c r="B47" i="8"/>
  <c r="B458" i="8"/>
  <c r="B410" i="8"/>
  <c r="B350" i="8"/>
  <c r="B296" i="8"/>
  <c r="B227" i="8"/>
  <c r="B158" i="8"/>
  <c r="B104" i="8"/>
  <c r="B35" i="8"/>
  <c r="B329" i="8"/>
  <c r="B281" i="8"/>
  <c r="B233" i="8"/>
  <c r="B185" i="8"/>
  <c r="B137" i="8"/>
  <c r="B89" i="8"/>
  <c r="B41" i="8"/>
  <c r="B385" i="9"/>
  <c r="B457" i="9"/>
  <c r="B379" i="9"/>
  <c r="B418" i="9"/>
  <c r="B469" i="9"/>
  <c r="B460" i="9"/>
  <c r="B364" i="9"/>
  <c r="B304" i="20"/>
  <c r="B418" i="20"/>
  <c r="B427" i="20"/>
  <c r="B469" i="20"/>
  <c r="B199" i="20"/>
  <c r="B166" i="20"/>
  <c r="B451" i="20"/>
  <c r="B340" i="20"/>
  <c r="B202" i="20"/>
  <c r="B466" i="20"/>
  <c r="B334" i="20"/>
  <c r="B211" i="20"/>
  <c r="B433" i="20"/>
  <c r="B337" i="20"/>
  <c r="B241" i="20"/>
  <c r="B145" i="20"/>
  <c r="B508" i="9"/>
  <c r="B187" i="9"/>
  <c r="B23" i="8"/>
  <c r="B142" i="9"/>
  <c r="B328" i="9"/>
  <c r="B85" i="9"/>
  <c r="A18" i="22"/>
  <c r="B553" i="20"/>
  <c r="B115" i="9"/>
  <c r="B596" i="8"/>
  <c r="B602" i="8"/>
  <c r="B578" i="8"/>
  <c r="B574" i="9"/>
  <c r="B583" i="9"/>
  <c r="B581" i="8"/>
  <c r="B571" i="20"/>
  <c r="B566" i="8"/>
  <c r="B565" i="20"/>
  <c r="B559" i="20"/>
  <c r="B272" i="8"/>
  <c r="B485" i="8"/>
  <c r="B416" i="8"/>
  <c r="B176" i="8"/>
  <c r="B461" i="8"/>
  <c r="B290" i="8"/>
  <c r="B140" i="8"/>
  <c r="B476" i="8"/>
  <c r="B380" i="8"/>
  <c r="B224" i="8"/>
  <c r="B107" i="8"/>
  <c r="B425" i="8"/>
  <c r="B338" i="8"/>
  <c r="B188" i="8"/>
  <c r="B71" i="8"/>
  <c r="B467" i="8"/>
  <c r="B371" i="8"/>
  <c r="B455" i="8"/>
  <c r="B356" i="8"/>
  <c r="B287" i="8"/>
  <c r="B218" i="8"/>
  <c r="B164" i="8"/>
  <c r="B95" i="8"/>
  <c r="B26" i="8"/>
  <c r="B446" i="8"/>
  <c r="B398" i="8"/>
  <c r="B344" i="8"/>
  <c r="B275" i="8"/>
  <c r="B206" i="8"/>
  <c r="B152" i="8"/>
  <c r="B83" i="8"/>
  <c r="B365" i="8"/>
  <c r="B317" i="8"/>
  <c r="B269" i="8"/>
  <c r="B221" i="8"/>
  <c r="B173" i="8"/>
  <c r="B125" i="8"/>
  <c r="B77" i="8"/>
  <c r="B29" i="8"/>
  <c r="B487" i="9"/>
  <c r="B421" i="9"/>
  <c r="B355" i="9"/>
  <c r="B406" i="9"/>
  <c r="B433" i="9"/>
  <c r="B448" i="9"/>
  <c r="B352" i="9"/>
  <c r="B283" i="20"/>
  <c r="B364" i="20"/>
  <c r="B406" i="20"/>
  <c r="B412" i="20"/>
  <c r="B178" i="20"/>
  <c r="B160" i="20"/>
  <c r="B442" i="20"/>
  <c r="B319" i="20"/>
  <c r="B196" i="20"/>
  <c r="B454" i="20"/>
  <c r="B328" i="20"/>
  <c r="B190" i="20"/>
  <c r="B421" i="20"/>
  <c r="B325" i="20"/>
  <c r="B229" i="20"/>
  <c r="B133" i="20"/>
  <c r="B511" i="20"/>
  <c r="B517" i="9"/>
  <c r="B325" i="9"/>
  <c r="B145" i="9"/>
  <c r="B301" i="9"/>
  <c r="B100" i="9"/>
  <c r="B277" i="9"/>
  <c r="B28" i="9"/>
  <c r="B158" i="9"/>
  <c r="B32" i="21"/>
  <c r="Z687" i="20"/>
  <c r="Y696" i="20"/>
  <c r="AC696" i="20"/>
  <c r="AU702" i="20"/>
  <c r="Z711" i="20"/>
  <c r="AP720" i="20"/>
  <c r="BA759" i="20"/>
  <c r="AR690" i="20"/>
  <c r="AL696" i="20"/>
  <c r="AT699" i="20"/>
  <c r="AQ702" i="20"/>
  <c r="AC702" i="20"/>
  <c r="AV720" i="20"/>
  <c r="AG720" i="20"/>
  <c r="AD750" i="20"/>
  <c r="AV690" i="20"/>
  <c r="AY711" i="20"/>
  <c r="AR714" i="20"/>
  <c r="BI756" i="20"/>
  <c r="AK756" i="20"/>
  <c r="Y699" i="20"/>
  <c r="AU705" i="20"/>
  <c r="AU708" i="20"/>
  <c r="AC726" i="20"/>
  <c r="AQ726" i="20"/>
  <c r="AB756" i="20"/>
  <c r="BD729" i="20"/>
  <c r="AR735" i="20"/>
  <c r="AH738" i="20"/>
  <c r="BA753" i="20"/>
  <c r="AQ756" i="20"/>
  <c r="AN768" i="20"/>
  <c r="AP729" i="20"/>
  <c r="BG717" i="20"/>
  <c r="BG732" i="20"/>
  <c r="AO732" i="20"/>
  <c r="AW732" i="20"/>
  <c r="BA732" i="20"/>
  <c r="AM735" i="20"/>
  <c r="BH735" i="20"/>
  <c r="AV756" i="20"/>
  <c r="AY729" i="20"/>
  <c r="BF717" i="20"/>
  <c r="AQ732" i="20"/>
  <c r="AU735" i="20"/>
  <c r="X744" i="20"/>
  <c r="BK753" i="20"/>
  <c r="AJ753" i="20"/>
  <c r="AS768" i="20"/>
  <c r="BD765" i="20"/>
  <c r="AH768" i="20"/>
  <c r="BB768" i="20"/>
  <c r="AA687" i="20"/>
  <c r="AA615" i="20"/>
  <c r="S615" i="20"/>
  <c r="AH687" i="20"/>
  <c r="AA693" i="20"/>
  <c r="AW714" i="20"/>
  <c r="BD711" i="20"/>
  <c r="T579" i="20"/>
  <c r="AA579" i="20"/>
  <c r="AB588" i="20"/>
  <c r="AY687" i="20"/>
  <c r="AH693" i="20"/>
  <c r="W708" i="20"/>
  <c r="AM729" i="20"/>
  <c r="Y594" i="20"/>
  <c r="AF603" i="20"/>
  <c r="BD732" i="20"/>
  <c r="G147" i="20"/>
  <c r="I135" i="20"/>
  <c r="T117" i="20"/>
  <c r="AM441" i="20"/>
  <c r="AE546" i="20"/>
  <c r="AG582" i="20"/>
  <c r="AG606" i="20"/>
  <c r="AB528" i="20"/>
  <c r="AO534" i="20"/>
  <c r="Z540" i="20"/>
  <c r="AM543" i="20"/>
  <c r="AG444" i="20"/>
  <c r="X573" i="20"/>
  <c r="AM612" i="20"/>
  <c r="AF705" i="20"/>
  <c r="BK726" i="20"/>
  <c r="AN705" i="20"/>
  <c r="AV708" i="20"/>
  <c r="AF717" i="20"/>
  <c r="AL732" i="20"/>
  <c r="U606" i="20"/>
  <c r="AK705" i="20"/>
  <c r="V606" i="20"/>
  <c r="AX714" i="20"/>
  <c r="BH717" i="20"/>
  <c r="AV774" i="20"/>
  <c r="BG774" i="20"/>
  <c r="AG774" i="20"/>
  <c r="AW774" i="20"/>
  <c r="BA774" i="20"/>
  <c r="AS774" i="20"/>
  <c r="AP777" i="20"/>
  <c r="X777" i="20"/>
  <c r="AK777" i="20"/>
  <c r="Y765" i="20"/>
  <c r="AM765" i="20"/>
  <c r="AS765" i="20"/>
  <c r="AM777" i="20"/>
  <c r="AN777" i="20"/>
  <c r="AG798" i="20"/>
  <c r="AH798" i="20"/>
  <c r="AJ798" i="20"/>
  <c r="AO798" i="20"/>
  <c r="AL369" i="20"/>
  <c r="U564" i="20"/>
  <c r="AX693" i="20"/>
  <c r="AD714" i="20"/>
  <c r="AY765" i="20"/>
  <c r="AL531" i="20"/>
  <c r="T363" i="20"/>
  <c r="AE525" i="20"/>
  <c r="AD540" i="20"/>
  <c r="AP552" i="20"/>
  <c r="AG612" i="20"/>
  <c r="AS696" i="20"/>
  <c r="AI705" i="20"/>
  <c r="Z729" i="20"/>
  <c r="W744" i="20"/>
  <c r="AC783" i="20"/>
  <c r="AY786" i="20"/>
  <c r="AF567" i="20"/>
  <c r="AO579" i="20"/>
  <c r="AC609" i="20"/>
  <c r="AN699" i="20"/>
  <c r="AX729" i="20"/>
  <c r="AD753" i="20"/>
  <c r="BI768" i="20"/>
  <c r="BC771" i="20"/>
  <c r="Z771" i="20"/>
  <c r="BA801" i="20"/>
  <c r="AL501" i="20"/>
  <c r="Z519" i="20"/>
  <c r="BK735" i="20"/>
  <c r="AL795" i="20"/>
  <c r="BJ795" i="20"/>
  <c r="AB534" i="20"/>
  <c r="T573" i="20"/>
  <c r="S582" i="20"/>
  <c r="AP582" i="20"/>
  <c r="AE609" i="20"/>
  <c r="AQ609" i="20"/>
  <c r="AJ612" i="20"/>
  <c r="AY756" i="20"/>
  <c r="AC774" i="20"/>
  <c r="BI774" i="20"/>
  <c r="AK783" i="20"/>
  <c r="AA795" i="20"/>
  <c r="AM795" i="20"/>
  <c r="AY795" i="20"/>
  <c r="AH804" i="20"/>
  <c r="W447" i="20"/>
  <c r="AF495" i="20"/>
  <c r="P501" i="20"/>
  <c r="AB501" i="20"/>
  <c r="AP549" i="20"/>
  <c r="AF579" i="20"/>
  <c r="AE597" i="20"/>
  <c r="AQ597" i="20"/>
  <c r="AC687" i="20"/>
  <c r="AZ711" i="20"/>
  <c r="AA717" i="20"/>
  <c r="AM717" i="20"/>
  <c r="BF714" i="20"/>
  <c r="AF756" i="20"/>
  <c r="AW783" i="20"/>
  <c r="BI783" i="20"/>
  <c r="AS783" i="20"/>
  <c r="Z543" i="20"/>
  <c r="Z564" i="20"/>
  <c r="AE702" i="20"/>
  <c r="AI729" i="20"/>
  <c r="AZ732" i="20"/>
  <c r="AT738" i="20"/>
  <c r="BF738" i="20"/>
  <c r="AD768" i="20"/>
  <c r="AU771" i="20"/>
  <c r="AA783" i="20"/>
  <c r="Z801" i="20"/>
  <c r="AV804" i="20"/>
  <c r="AF804" i="20"/>
  <c r="X492" i="20"/>
  <c r="AD501" i="20"/>
  <c r="Y567" i="20"/>
  <c r="AI738" i="20"/>
  <c r="X765" i="20"/>
  <c r="AY789" i="20"/>
  <c r="BG792" i="20"/>
  <c r="AH720" i="20"/>
  <c r="Z762" i="20"/>
  <c r="S588" i="20"/>
  <c r="AC813" i="20"/>
  <c r="N369" i="20"/>
  <c r="Z369" i="20"/>
  <c r="AK369" i="20"/>
  <c r="S522" i="20"/>
  <c r="AH585" i="20"/>
  <c r="T621" i="20"/>
  <c r="BE753" i="20"/>
  <c r="AA756" i="20"/>
  <c r="AT768" i="20"/>
  <c r="P381" i="20"/>
  <c r="K126" i="20"/>
  <c r="H123" i="20"/>
  <c r="O120" i="20"/>
  <c r="R144" i="20"/>
  <c r="N138" i="20"/>
  <c r="L372" i="20"/>
  <c r="AI372" i="20"/>
  <c r="AM375" i="20"/>
  <c r="AE444" i="20"/>
  <c r="AG495" i="20"/>
  <c r="S498" i="20"/>
  <c r="AO513" i="20"/>
  <c r="R531" i="20"/>
  <c r="AG537" i="20"/>
  <c r="AP540" i="20"/>
  <c r="W495" i="20"/>
  <c r="AE513" i="20"/>
  <c r="AM516" i="20"/>
  <c r="AA534" i="20"/>
  <c r="AM534" i="20"/>
  <c r="AA600" i="20"/>
  <c r="AO501" i="20"/>
  <c r="AH441" i="20"/>
  <c r="X507" i="20"/>
  <c r="AW699" i="20"/>
  <c r="AB372" i="20"/>
  <c r="X444" i="20"/>
  <c r="AJ444" i="20"/>
  <c r="Z495" i="20"/>
  <c r="T501" i="20"/>
  <c r="AM504" i="20"/>
  <c r="V513" i="20"/>
  <c r="W522" i="20"/>
  <c r="AH522" i="20"/>
  <c r="AL507" i="20"/>
  <c r="O444" i="20"/>
  <c r="AL444" i="20"/>
  <c r="AB492" i="20"/>
  <c r="P495" i="20"/>
  <c r="AN495" i="20"/>
  <c r="AM366" i="20"/>
  <c r="AM444" i="20"/>
  <c r="AN492" i="20"/>
  <c r="AC495" i="20"/>
  <c r="AE504" i="20"/>
  <c r="AJ522" i="20"/>
  <c r="AG525" i="20"/>
  <c r="V363" i="20"/>
  <c r="O441" i="20"/>
  <c r="AM387" i="20"/>
  <c r="AJ501" i="20"/>
  <c r="AD537" i="20"/>
  <c r="X369" i="20"/>
  <c r="AI369" i="20"/>
  <c r="J372" i="20"/>
  <c r="AN387" i="20"/>
  <c r="AE492" i="20"/>
  <c r="Q498" i="20"/>
  <c r="AM498" i="20"/>
  <c r="AI534" i="20"/>
  <c r="AN375" i="20"/>
  <c r="AD546" i="20"/>
  <c r="Y582" i="20"/>
  <c r="AM600" i="20"/>
  <c r="AO612" i="20"/>
  <c r="W615" i="20"/>
  <c r="V690" i="20"/>
  <c r="AD717" i="20"/>
  <c r="AP723" i="20"/>
  <c r="AX723" i="20"/>
  <c r="Z723" i="20"/>
  <c r="W732" i="20"/>
  <c r="BG738" i="20"/>
  <c r="W759" i="20"/>
  <c r="AO762" i="20"/>
  <c r="AK774" i="20"/>
  <c r="BI777" i="20"/>
  <c r="AO807" i="20"/>
  <c r="AR813" i="20"/>
  <c r="BD813" i="20"/>
  <c r="AD570" i="20"/>
  <c r="AC600" i="20"/>
  <c r="X615" i="20"/>
  <c r="AR696" i="20"/>
  <c r="AK696" i="20"/>
  <c r="AI711" i="20"/>
  <c r="AG714" i="20"/>
  <c r="AN765" i="20"/>
  <c r="AN792" i="20"/>
  <c r="AC594" i="20"/>
  <c r="AO600" i="20"/>
  <c r="AA711" i="20"/>
  <c r="AQ717" i="20"/>
  <c r="AV723" i="20"/>
  <c r="AJ723" i="20"/>
  <c r="BF750" i="20"/>
  <c r="Y783" i="20"/>
  <c r="BA807" i="20"/>
  <c r="AN513" i="20"/>
  <c r="Y528" i="20"/>
  <c r="AP531" i="20"/>
  <c r="Y534" i="20"/>
  <c r="AK534" i="20"/>
  <c r="AL543" i="20"/>
  <c r="AM549" i="20"/>
  <c r="AO552" i="20"/>
  <c r="AD564" i="20"/>
  <c r="AN588" i="20"/>
  <c r="S600" i="20"/>
  <c r="V609" i="20"/>
  <c r="AF609" i="20"/>
  <c r="AR612" i="20"/>
  <c r="AC699" i="20"/>
  <c r="AG717" i="20"/>
  <c r="Z738" i="20"/>
  <c r="AL762" i="20"/>
  <c r="BC786" i="20"/>
  <c r="AA786" i="20"/>
  <c r="AM786" i="20"/>
  <c r="AP798" i="20"/>
  <c r="BB798" i="20"/>
  <c r="AQ600" i="20"/>
  <c r="AY738" i="20"/>
  <c r="BK783" i="20"/>
  <c r="Y789" i="20"/>
  <c r="AD795" i="20"/>
  <c r="BK801" i="20"/>
  <c r="Y543" i="20"/>
  <c r="AL576" i="20"/>
  <c r="AG579" i="20"/>
  <c r="AE588" i="20"/>
  <c r="U600" i="20"/>
  <c r="AM615" i="20"/>
  <c r="X708" i="20"/>
  <c r="BG729" i="20"/>
  <c r="AM780" i="20"/>
  <c r="X795" i="20"/>
  <c r="AV795" i="20"/>
  <c r="AD801" i="20"/>
  <c r="AA813" i="20"/>
  <c r="AI612" i="20"/>
  <c r="AN711" i="20"/>
  <c r="AO756" i="20"/>
  <c r="AG765" i="20"/>
  <c r="AJ807" i="20"/>
  <c r="BE807" i="20"/>
  <c r="BJ807" i="20"/>
  <c r="AH810" i="20"/>
  <c r="AH519" i="20"/>
  <c r="AC534" i="20"/>
  <c r="AK552" i="20"/>
  <c r="AB567" i="20"/>
  <c r="AE582" i="20"/>
  <c r="X606" i="20"/>
  <c r="Y609" i="20"/>
  <c r="X612" i="20"/>
  <c r="AT702" i="20"/>
  <c r="AW720" i="20"/>
  <c r="AE723" i="20"/>
  <c r="AK726" i="20"/>
  <c r="AP738" i="20"/>
  <c r="AF774" i="20"/>
  <c r="BD777" i="20"/>
  <c r="AW780" i="20"/>
  <c r="AM783" i="20"/>
  <c r="AV786" i="20"/>
  <c r="X792" i="20"/>
  <c r="Z798" i="20"/>
  <c r="BF798" i="20"/>
  <c r="AM801" i="20"/>
  <c r="AC807" i="20"/>
  <c r="V561" i="20"/>
  <c r="AL585" i="20"/>
  <c r="AA591" i="20"/>
  <c r="AM591" i="20"/>
  <c r="Z609" i="20"/>
  <c r="AK609" i="20"/>
  <c r="Z717" i="20"/>
  <c r="AG801" i="20"/>
  <c r="AJ810" i="20"/>
  <c r="AJ531" i="20"/>
  <c r="AE534" i="20"/>
  <c r="AK579" i="20"/>
  <c r="AI588" i="20"/>
  <c r="Z606" i="20"/>
  <c r="Z693" i="20"/>
  <c r="AW705" i="20"/>
  <c r="BA723" i="20"/>
  <c r="AU726" i="20"/>
  <c r="AP522" i="20"/>
  <c r="AF528" i="20"/>
  <c r="AA537" i="20"/>
  <c r="W552" i="20"/>
  <c r="AJ588" i="20"/>
  <c r="AB687" i="20"/>
  <c r="AF690" i="20"/>
  <c r="AL705" i="20"/>
  <c r="AL708" i="20"/>
  <c r="AF711" i="20"/>
  <c r="AL750" i="20"/>
  <c r="X753" i="20"/>
  <c r="AY780" i="20"/>
  <c r="AE789" i="20"/>
  <c r="BC789" i="20"/>
  <c r="AW792" i="20"/>
  <c r="AI801" i="20"/>
  <c r="AX810" i="20"/>
  <c r="V429" i="20"/>
  <c r="AI687" i="20"/>
  <c r="N429" i="20"/>
  <c r="AZ690" i="20"/>
  <c r="AH96" i="20"/>
  <c r="AM90" i="20"/>
  <c r="Y51" i="20"/>
  <c r="S39" i="20"/>
  <c r="AH33" i="20"/>
  <c r="W30" i="20"/>
  <c r="Q87" i="20"/>
  <c r="AS807" i="20"/>
  <c r="BK714" i="20"/>
  <c r="W51" i="20"/>
  <c r="G48" i="20"/>
  <c r="AE687" i="20"/>
  <c r="N24" i="20"/>
  <c r="AQ687" i="20"/>
  <c r="W729" i="20"/>
  <c r="AJ735" i="20"/>
  <c r="AP750" i="20"/>
  <c r="AJ771" i="20"/>
  <c r="AA789" i="20"/>
  <c r="AY792" i="20"/>
  <c r="AT795" i="20"/>
  <c r="BJ801" i="20"/>
  <c r="BE804" i="20"/>
  <c r="Z810" i="20"/>
  <c r="AY714" i="20"/>
  <c r="AH729" i="20"/>
  <c r="BD735" i="20"/>
  <c r="BF753" i="20"/>
  <c r="BF768" i="20"/>
  <c r="BA786" i="20"/>
  <c r="BC795" i="20"/>
  <c r="AP801" i="20"/>
  <c r="AO804" i="20"/>
  <c r="AT807" i="20"/>
  <c r="AM693" i="20"/>
  <c r="AO699" i="20"/>
  <c r="Y702" i="20"/>
  <c r="BF726" i="20"/>
  <c r="AT753" i="20"/>
  <c r="Z753" i="20"/>
  <c r="AL771" i="20"/>
  <c r="X780" i="20"/>
  <c r="AO789" i="20"/>
  <c r="BH813" i="20"/>
  <c r="AD699" i="20"/>
  <c r="BJ750" i="20"/>
  <c r="AT756" i="20"/>
  <c r="BI765" i="20"/>
  <c r="BK777" i="20"/>
  <c r="AG783" i="20"/>
  <c r="AH792" i="20"/>
  <c r="AU798" i="20"/>
  <c r="AZ792" i="20"/>
  <c r="AG690" i="20"/>
  <c r="AX699" i="20"/>
  <c r="AS723" i="20"/>
  <c r="AG723" i="20"/>
  <c r="BF762" i="20"/>
  <c r="AF771" i="20"/>
  <c r="AX771" i="20"/>
  <c r="AV777" i="20"/>
  <c r="BE786" i="20"/>
  <c r="AU795" i="20"/>
  <c r="BF810" i="20"/>
  <c r="AE708" i="20"/>
  <c r="AP711" i="20"/>
  <c r="BA711" i="20"/>
  <c r="BG708" i="20"/>
  <c r="BF720" i="20"/>
  <c r="AG732" i="20"/>
  <c r="AC738" i="20"/>
  <c r="AC759" i="20"/>
  <c r="AE768" i="20"/>
  <c r="AB771" i="20"/>
  <c r="AN771" i="20"/>
  <c r="BA765" i="20"/>
  <c r="AL798" i="20"/>
  <c r="V696" i="20"/>
  <c r="AT750" i="20"/>
  <c r="BA756" i="20"/>
  <c r="AI789" i="20"/>
  <c r="Y792" i="20"/>
  <c r="BB795" i="20"/>
  <c r="BF801" i="20"/>
  <c r="BA813" i="20"/>
  <c r="AU699" i="20"/>
  <c r="AD738" i="20"/>
  <c r="BJ753" i="20"/>
  <c r="AZ756" i="20"/>
  <c r="AK780" i="20"/>
  <c r="AU789" i="20"/>
  <c r="BG789" i="20"/>
  <c r="BH798" i="20"/>
  <c r="BB801" i="20"/>
  <c r="AE720" i="20"/>
  <c r="AO720" i="20"/>
  <c r="AV801" i="20"/>
  <c r="AI708" i="20"/>
  <c r="AJ711" i="20"/>
  <c r="BD720" i="20"/>
  <c r="BD774" i="20"/>
  <c r="AE786" i="20"/>
  <c r="AG786" i="20"/>
  <c r="AG795" i="20"/>
  <c r="BE795" i="20"/>
  <c r="AI804" i="20"/>
  <c r="AE447" i="20"/>
  <c r="V519" i="20"/>
  <c r="R495" i="20"/>
  <c r="E27" i="20"/>
  <c r="R96" i="20"/>
  <c r="Q501" i="20"/>
  <c r="AD78" i="20"/>
  <c r="R519" i="20"/>
  <c r="AN24" i="20"/>
  <c r="AW750" i="20"/>
  <c r="X771" i="20"/>
  <c r="AL813" i="20"/>
  <c r="AA798" i="20"/>
  <c r="BD801" i="20"/>
  <c r="BC762" i="20"/>
  <c r="AT801" i="20"/>
  <c r="AD813" i="20"/>
  <c r="AS9" i="21"/>
  <c r="BJ738" i="20"/>
  <c r="BF708" i="20"/>
  <c r="D22" i="2"/>
  <c r="B21" i="20"/>
  <c r="A21" i="1"/>
  <c r="F21" i="1"/>
  <c r="B19" i="8"/>
  <c r="I21" i="1"/>
  <c r="AC708" i="20"/>
  <c r="AG699" i="20"/>
  <c r="AC51" i="20"/>
  <c r="M51" i="20"/>
  <c r="AW690" i="20"/>
  <c r="AH63" i="20"/>
  <c r="AN30" i="20"/>
  <c r="AA753" i="20"/>
  <c r="AD780" i="20"/>
  <c r="BD798" i="20"/>
  <c r="P87" i="20"/>
  <c r="R24" i="20"/>
  <c r="AU774" i="20"/>
  <c r="AS786" i="20"/>
  <c r="AA807" i="20"/>
  <c r="Z819" i="20"/>
  <c r="BJ822" i="20"/>
  <c r="BB828" i="20"/>
  <c r="X51" i="20"/>
  <c r="Z48" i="20"/>
  <c r="AV765" i="20"/>
  <c r="BJ792" i="20"/>
  <c r="AU822" i="20"/>
  <c r="AF99" i="20"/>
  <c r="S54" i="20"/>
  <c r="R27" i="20"/>
  <c r="BI750" i="20"/>
  <c r="AS750" i="20"/>
  <c r="AO774" i="20"/>
  <c r="BE774" i="20"/>
  <c r="AU786" i="20"/>
  <c r="AW828" i="20"/>
  <c r="G60" i="20"/>
  <c r="AG27" i="20"/>
  <c r="AO771" i="20"/>
  <c r="Z816" i="20"/>
  <c r="AS819" i="20"/>
  <c r="AG822" i="20"/>
  <c r="Z105" i="20"/>
  <c r="J72" i="20"/>
  <c r="N66" i="20"/>
  <c r="AI744" i="20"/>
  <c r="E111" i="20"/>
  <c r="T78" i="20"/>
  <c r="AV807" i="20"/>
  <c r="AE84" i="20"/>
  <c r="O84" i="20"/>
  <c r="AI78" i="20"/>
  <c r="M75" i="20"/>
  <c r="AR708" i="20"/>
  <c r="V120" i="20"/>
  <c r="AW582" i="20"/>
  <c r="G366" i="20"/>
  <c r="AF369" i="20"/>
  <c r="AJ519" i="20"/>
  <c r="AN522" i="20"/>
  <c r="AB525" i="20"/>
  <c r="AJ615" i="20"/>
  <c r="BG720" i="20"/>
  <c r="AW741" i="20"/>
  <c r="X741" i="20"/>
  <c r="BD741" i="20"/>
  <c r="AQ774" i="20"/>
  <c r="BK792" i="20"/>
  <c r="AM792" i="20"/>
  <c r="AL801" i="20"/>
  <c r="AK366" i="20"/>
  <c r="AJ372" i="20"/>
  <c r="W564" i="20"/>
  <c r="AF585" i="20"/>
  <c r="AK615" i="20"/>
  <c r="I366" i="20"/>
  <c r="AL519" i="20"/>
  <c r="Z522" i="20"/>
  <c r="AG528" i="20"/>
  <c r="AA576" i="20"/>
  <c r="S363" i="20"/>
  <c r="AI516" i="20"/>
  <c r="AC765" i="20"/>
  <c r="Q363" i="20"/>
  <c r="AK543" i="20"/>
  <c r="AA546" i="20"/>
  <c r="X549" i="20"/>
  <c r="AS717" i="20"/>
  <c r="AW726" i="20"/>
  <c r="AG726" i="20"/>
  <c r="AA792" i="20"/>
  <c r="AM771" i="20"/>
  <c r="BK771" i="20"/>
  <c r="X774" i="20"/>
  <c r="AW831" i="20"/>
  <c r="Q492" i="20"/>
  <c r="AG492" i="20"/>
  <c r="U498" i="20"/>
  <c r="AB510" i="20"/>
  <c r="V516" i="20"/>
  <c r="R540" i="20"/>
  <c r="AG540" i="20"/>
  <c r="AD603" i="20"/>
  <c r="AX708" i="20"/>
  <c r="AM369" i="20"/>
  <c r="Z372" i="20"/>
  <c r="AA510" i="20"/>
  <c r="S513" i="20"/>
  <c r="AI513" i="20"/>
  <c r="AH543" i="20"/>
  <c r="Z561" i="20"/>
  <c r="AJ579" i="20"/>
  <c r="AD591" i="20"/>
  <c r="AL597" i="20"/>
  <c r="AH705" i="20"/>
  <c r="AW765" i="20"/>
  <c r="AG804" i="20"/>
  <c r="AG819" i="20"/>
  <c r="AW819" i="20"/>
  <c r="BD825" i="20"/>
  <c r="BF831" i="20"/>
  <c r="X363" i="20"/>
  <c r="AD366" i="20"/>
  <c r="AN369" i="20"/>
  <c r="Y444" i="20"/>
  <c r="AH426" i="20"/>
  <c r="Z510" i="20"/>
  <c r="AA582" i="20"/>
  <c r="AA588" i="20"/>
  <c r="AE591" i="20"/>
  <c r="AI594" i="20"/>
  <c r="AM597" i="20"/>
  <c r="AJ609" i="20"/>
  <c r="U612" i="20"/>
  <c r="AF816" i="20"/>
  <c r="AX819" i="20"/>
  <c r="Y369" i="20"/>
  <c r="T492" i="20"/>
  <c r="AN528" i="20"/>
  <c r="AV816" i="20"/>
  <c r="AR831" i="20"/>
  <c r="BH831" i="20"/>
  <c r="AN447" i="20"/>
  <c r="Y447" i="20"/>
  <c r="AI495" i="20"/>
  <c r="AA507" i="20"/>
  <c r="Z516" i="20"/>
  <c r="Z552" i="20"/>
  <c r="AU828" i="20"/>
  <c r="BJ828" i="20"/>
  <c r="AA357" i="20"/>
  <c r="AG366" i="20"/>
  <c r="S441" i="20"/>
  <c r="AL504" i="20"/>
  <c r="V567" i="20"/>
  <c r="AL567" i="20"/>
  <c r="AJ690" i="20"/>
  <c r="AE750" i="20"/>
  <c r="Z795" i="20"/>
  <c r="BA804" i="20"/>
  <c r="AS804" i="20"/>
  <c r="AX816" i="20"/>
  <c r="AR825" i="20"/>
  <c r="BH825" i="20"/>
  <c r="AF828" i="20"/>
  <c r="AV828" i="20"/>
  <c r="AG501" i="20"/>
  <c r="AJ603" i="20"/>
  <c r="W606" i="20"/>
  <c r="AL606" i="20"/>
  <c r="AX753" i="20"/>
  <c r="AC825" i="20"/>
  <c r="AS825" i="20"/>
  <c r="BI825" i="20"/>
  <c r="AG828" i="20"/>
  <c r="AC369" i="20"/>
  <c r="AD531" i="20"/>
  <c r="AF573" i="20"/>
  <c r="V576" i="20"/>
  <c r="AG615" i="20"/>
  <c r="AF831" i="20"/>
  <c r="BE831" i="20"/>
  <c r="M366" i="20"/>
  <c r="S576" i="20"/>
  <c r="B567" i="9"/>
  <c r="AP570" i="20"/>
  <c r="B570" i="9"/>
  <c r="AF93" i="20"/>
  <c r="T45" i="20"/>
  <c r="AA729" i="20"/>
  <c r="AF819" i="20"/>
  <c r="J90" i="20"/>
  <c r="G39" i="20"/>
  <c r="L39" i="20"/>
  <c r="R36" i="20"/>
  <c r="AS699" i="20"/>
  <c r="AC729" i="20"/>
  <c r="BG711" i="20"/>
  <c r="AU801" i="20"/>
  <c r="AG816" i="20"/>
  <c r="R63" i="20"/>
  <c r="AM48" i="20"/>
  <c r="R45" i="20"/>
  <c r="AC714" i="20"/>
  <c r="AC717" i="20"/>
  <c r="AO738" i="20"/>
  <c r="AH762" i="20"/>
  <c r="AG780" i="20"/>
  <c r="BE816" i="20"/>
  <c r="T558" i="20"/>
  <c r="AI441" i="20"/>
  <c r="AQ588" i="20"/>
  <c r="AL48" i="20"/>
  <c r="AF807" i="20"/>
  <c r="BG810" i="20"/>
  <c r="U597" i="20"/>
  <c r="B516" i="9"/>
  <c r="K102" i="20"/>
  <c r="AG96" i="20"/>
  <c r="B543" i="9"/>
  <c r="AV831" i="20"/>
  <c r="F54" i="20"/>
  <c r="AI39" i="20"/>
  <c r="AK690" i="20"/>
  <c r="AG711" i="20"/>
  <c r="AM762" i="20"/>
  <c r="AG831" i="20"/>
  <c r="T519" i="20"/>
  <c r="S546" i="20"/>
  <c r="AA36" i="20"/>
  <c r="BG813" i="20"/>
  <c r="AL816" i="20"/>
  <c r="AH831" i="20"/>
  <c r="R498" i="20"/>
  <c r="AD372" i="20"/>
  <c r="AG39" i="20"/>
  <c r="AN45" i="20"/>
  <c r="X585" i="20"/>
  <c r="BB780" i="20"/>
  <c r="BB816" i="20"/>
  <c r="AL822" i="20"/>
  <c r="BA822" i="20"/>
  <c r="AK828" i="20"/>
  <c r="AI831" i="20"/>
  <c r="AX831" i="20"/>
  <c r="AI111" i="20"/>
  <c r="AL429" i="20"/>
  <c r="AN708" i="20"/>
  <c r="BH762" i="20"/>
  <c r="AJ813" i="20"/>
  <c r="AS822" i="20"/>
  <c r="AJ825" i="20"/>
  <c r="AJ831" i="20"/>
  <c r="AY831" i="20"/>
  <c r="AB834" i="20"/>
  <c r="AR834" i="20"/>
  <c r="Y600" i="20"/>
  <c r="V54" i="20"/>
  <c r="D30" i="20"/>
  <c r="AQ723" i="20"/>
  <c r="AH771" i="20"/>
  <c r="BE765" i="20"/>
  <c r="AN780" i="20"/>
  <c r="BK780" i="20"/>
  <c r="AL807" i="20"/>
  <c r="BD816" i="20"/>
  <c r="AK831" i="20"/>
  <c r="X522" i="20"/>
  <c r="V96" i="20"/>
  <c r="AL825" i="20"/>
  <c r="AT834" i="20"/>
  <c r="AJ66" i="20"/>
  <c r="AN27" i="20"/>
  <c r="AR771" i="20"/>
  <c r="BH771" i="20"/>
  <c r="AO819" i="20"/>
  <c r="AV822" i="20"/>
  <c r="AE834" i="20"/>
  <c r="AU834" i="20"/>
  <c r="AV762" i="20"/>
  <c r="AC771" i="20"/>
  <c r="AY777" i="20"/>
  <c r="BE783" i="20"/>
  <c r="AS795" i="20"/>
  <c r="BF819" i="20"/>
  <c r="Z825" i="20"/>
  <c r="AF834" i="20"/>
  <c r="BC834" i="20"/>
  <c r="S603" i="20"/>
  <c r="AI693" i="20"/>
  <c r="AZ750" i="20"/>
  <c r="BK789" i="20"/>
  <c r="AC816" i="20"/>
  <c r="AO825" i="20"/>
  <c r="AW825" i="20"/>
  <c r="K30" i="20"/>
  <c r="AE705" i="20"/>
  <c r="AC780" i="20"/>
  <c r="AS780" i="20"/>
  <c r="BD789" i="20"/>
  <c r="AF789" i="20"/>
  <c r="BH819" i="20"/>
  <c r="BE825" i="20"/>
  <c r="Z831" i="20"/>
  <c r="AH834" i="20"/>
  <c r="AZ834" i="20"/>
  <c r="BF834" i="20"/>
  <c r="Z834" i="20"/>
  <c r="BE834" i="20"/>
  <c r="AY693" i="20"/>
  <c r="Z360" i="20"/>
  <c r="AD723" i="20"/>
  <c r="AU738" i="20"/>
  <c r="AG750" i="20"/>
  <c r="AJ762" i="20"/>
  <c r="AI819" i="20"/>
  <c r="Y831" i="20"/>
  <c r="AJ30" i="20"/>
  <c r="AV735" i="20"/>
  <c r="W735" i="20"/>
  <c r="AA738" i="20"/>
  <c r="Y759" i="20"/>
  <c r="AV771" i="20"/>
  <c r="AL792" i="20"/>
  <c r="AU810" i="20"/>
  <c r="AB723" i="20"/>
  <c r="X735" i="20"/>
  <c r="AD759" i="20"/>
  <c r="BG786" i="20"/>
  <c r="BC792" i="20"/>
  <c r="BA816" i="20"/>
  <c r="AH819" i="20"/>
  <c r="AV819" i="20"/>
  <c r="AC822" i="20"/>
  <c r="AO822" i="20"/>
  <c r="AL828" i="20"/>
  <c r="AN831" i="20"/>
  <c r="AJ57" i="20"/>
  <c r="AC33" i="20"/>
  <c r="AS753" i="20"/>
  <c r="AJ756" i="20"/>
  <c r="BK762" i="20"/>
  <c r="AC777" i="20"/>
  <c r="BA777" i="20"/>
  <c r="AJ786" i="20"/>
  <c r="AE795" i="20"/>
  <c r="BK795" i="20"/>
  <c r="BE798" i="20"/>
  <c r="Z828" i="20"/>
  <c r="AO831" i="20"/>
  <c r="AY690" i="20"/>
  <c r="AT705" i="20"/>
  <c r="BJ717" i="20"/>
  <c r="BJ729" i="20"/>
  <c r="X732" i="20"/>
  <c r="AK759" i="20"/>
  <c r="AO816" i="20"/>
  <c r="AJ819" i="20"/>
  <c r="S360" i="20"/>
  <c r="AF114" i="20"/>
  <c r="AI51" i="20"/>
  <c r="V39" i="20"/>
  <c r="AZ687" i="20"/>
  <c r="AF708" i="20"/>
  <c r="AK750" i="20"/>
  <c r="X756" i="20"/>
  <c r="AM66" i="20"/>
  <c r="P54" i="20"/>
  <c r="AA45" i="20"/>
  <c r="U687" i="20"/>
  <c r="AQ693" i="20"/>
  <c r="W702" i="20"/>
  <c r="AE753" i="20"/>
  <c r="AP753" i="20"/>
  <c r="AS762" i="20"/>
  <c r="BA783" i="20"/>
  <c r="AQ792" i="20"/>
  <c r="AS810" i="20"/>
  <c r="BF822" i="20"/>
  <c r="AI825" i="20"/>
  <c r="AU825" i="20"/>
  <c r="AN363" i="20"/>
  <c r="J369" i="20"/>
  <c r="K111" i="20"/>
  <c r="AG69" i="20"/>
  <c r="BJ771" i="20"/>
  <c r="AI792" i="20"/>
  <c r="AF801" i="20"/>
  <c r="BF804" i="20"/>
  <c r="AR816" i="20"/>
  <c r="AT822" i="20"/>
  <c r="AF822" i="20"/>
  <c r="BD828" i="20"/>
  <c r="BB834" i="20"/>
  <c r="B564" i="9"/>
  <c r="H99" i="20"/>
  <c r="AG51" i="20"/>
  <c r="Q51" i="20"/>
  <c r="C51" i="20"/>
  <c r="N45" i="20"/>
  <c r="W705" i="20"/>
  <c r="AA714" i="20"/>
  <c r="AP717" i="20"/>
  <c r="Q102" i="20"/>
  <c r="Z90" i="20"/>
  <c r="AC45" i="20"/>
  <c r="AJ720" i="20"/>
  <c r="BB753" i="20"/>
  <c r="AE792" i="20"/>
  <c r="BK798" i="20"/>
  <c r="BF813" i="20"/>
  <c r="AI813" i="20"/>
  <c r="BG831" i="20"/>
  <c r="O363" i="20"/>
  <c r="AJ87" i="20"/>
  <c r="AN66" i="20"/>
  <c r="AN90" i="20"/>
  <c r="W426" i="20"/>
  <c r="AR717" i="20"/>
  <c r="Y717" i="20"/>
  <c r="AO717" i="20"/>
  <c r="AQ753" i="20"/>
  <c r="Z768" i="20"/>
  <c r="AK765" i="20"/>
  <c r="AP834" i="20"/>
  <c r="BD834" i="20"/>
  <c r="L9" i="21"/>
  <c r="G57" i="20"/>
  <c r="G54" i="20"/>
  <c r="AK45" i="20"/>
  <c r="AS714" i="20"/>
  <c r="D87" i="20"/>
  <c r="F78" i="20"/>
  <c r="W69" i="20"/>
  <c r="AR729" i="20"/>
  <c r="AV732" i="20"/>
  <c r="X786" i="20"/>
  <c r="AS813" i="20"/>
  <c r="BJ816" i="20"/>
  <c r="BE819" i="20"/>
  <c r="BG825" i="20"/>
  <c r="AX726" i="20"/>
  <c r="AZ771" i="20"/>
  <c r="AZ696" i="20"/>
  <c r="AM738" i="20"/>
  <c r="AL774" i="20"/>
  <c r="AC798" i="20"/>
  <c r="AS798" i="20"/>
  <c r="BK822" i="20"/>
  <c r="F27" i="20"/>
  <c r="M54" i="20"/>
  <c r="AI429" i="20"/>
  <c r="Z807" i="20"/>
  <c r="AT810" i="20"/>
  <c r="BJ810" i="20"/>
  <c r="AX813" i="20"/>
  <c r="AH60" i="20"/>
  <c r="Y81" i="20"/>
  <c r="S78" i="20"/>
  <c r="AG60" i="20"/>
  <c r="I36" i="20"/>
  <c r="V30" i="20"/>
  <c r="M30" i="20"/>
  <c r="AA27" i="20"/>
  <c r="AK93" i="20"/>
  <c r="AD84" i="20"/>
  <c r="H81" i="20"/>
  <c r="L57" i="20"/>
  <c r="AG777" i="20"/>
  <c r="AW777" i="20"/>
  <c r="Y777" i="20"/>
  <c r="AO777" i="20"/>
  <c r="I114" i="20"/>
  <c r="U69" i="20"/>
  <c r="G42" i="20"/>
  <c r="N36" i="20"/>
  <c r="C27" i="20"/>
  <c r="I27" i="20"/>
  <c r="AP765" i="20"/>
  <c r="AJ69" i="20"/>
  <c r="H60" i="20"/>
  <c r="D51" i="20"/>
  <c r="Y48" i="20"/>
  <c r="Y45" i="20"/>
  <c r="Q27" i="20"/>
  <c r="AN81" i="20"/>
  <c r="AM687" i="20"/>
  <c r="Q96" i="20"/>
  <c r="AI69" i="20"/>
  <c r="K48" i="20"/>
  <c r="M39" i="20"/>
  <c r="P27" i="20"/>
  <c r="AW756" i="20"/>
  <c r="AY759" i="20"/>
  <c r="AF96" i="20"/>
  <c r="T81" i="20"/>
  <c r="L54" i="20"/>
  <c r="AG45" i="20"/>
  <c r="Q45" i="20"/>
  <c r="AM45" i="20"/>
  <c r="X42" i="20"/>
  <c r="AE27" i="20"/>
  <c r="O96" i="20"/>
  <c r="S81" i="20"/>
  <c r="G75" i="20"/>
  <c r="L69" i="20"/>
  <c r="W66" i="20"/>
  <c r="G66" i="20"/>
  <c r="P48" i="20"/>
  <c r="BH744" i="20"/>
  <c r="AE756" i="20"/>
  <c r="D99" i="20"/>
  <c r="AA51" i="20"/>
  <c r="K51" i="20"/>
  <c r="V42" i="20"/>
  <c r="I33" i="20"/>
  <c r="BD723" i="20"/>
  <c r="Z741" i="20"/>
  <c r="BD750" i="20"/>
  <c r="AD102" i="20"/>
  <c r="G84" i="20"/>
  <c r="AG81" i="20"/>
  <c r="Q81" i="20"/>
  <c r="AF72" i="20"/>
  <c r="P72" i="20"/>
  <c r="T39" i="20"/>
  <c r="X33" i="20"/>
  <c r="AO834" i="20"/>
  <c r="AC102" i="20"/>
  <c r="AL84" i="20"/>
  <c r="F84" i="20"/>
  <c r="AF81" i="20"/>
  <c r="AB54" i="20"/>
  <c r="AC54" i="20"/>
  <c r="L33" i="20"/>
  <c r="Q99" i="20"/>
  <c r="S75" i="20"/>
  <c r="S57" i="20"/>
  <c r="AL33" i="20"/>
  <c r="AT813" i="20"/>
  <c r="AK825" i="20"/>
  <c r="BA825" i="20"/>
  <c r="AT825" i="20"/>
  <c r="BJ825" i="20"/>
  <c r="Y828" i="20"/>
  <c r="AO828" i="20"/>
  <c r="BE828" i="20"/>
  <c r="AH828" i="20"/>
  <c r="AC831" i="20"/>
  <c r="AS831" i="20"/>
  <c r="BI831" i="20"/>
  <c r="AL831" i="20"/>
  <c r="AG834" i="20"/>
  <c r="AQ834" i="20"/>
  <c r="BG834" i="20"/>
  <c r="V699" i="20"/>
  <c r="BF816" i="20"/>
  <c r="AD819" i="20"/>
  <c r="AT819" i="20"/>
  <c r="BJ819" i="20"/>
  <c r="AH822" i="20"/>
  <c r="AX822" i="20"/>
  <c r="BG822" i="20"/>
  <c r="BF828" i="20"/>
  <c r="AI828" i="20"/>
  <c r="AF696" i="20"/>
  <c r="V72" i="20"/>
  <c r="AC60" i="20"/>
  <c r="I24" i="20"/>
  <c r="AJ426" i="20"/>
  <c r="AA690" i="20"/>
  <c r="AQ690" i="20"/>
  <c r="AE693" i="20"/>
  <c r="AU693" i="20"/>
  <c r="O42" i="20"/>
  <c r="K24" i="20"/>
  <c r="AI426" i="20"/>
  <c r="S426" i="20"/>
  <c r="Y69" i="20"/>
  <c r="AK66" i="20"/>
  <c r="AE54" i="20"/>
  <c r="AJ48" i="20"/>
  <c r="J24" i="20"/>
  <c r="AI726" i="20"/>
  <c r="I75" i="20"/>
  <c r="J51" i="20"/>
  <c r="O51" i="20"/>
  <c r="U39" i="20"/>
  <c r="S24" i="20"/>
  <c r="AG426" i="20"/>
  <c r="BH753" i="20"/>
  <c r="X768" i="20"/>
  <c r="H96" i="20"/>
  <c r="N51" i="20"/>
  <c r="AG30" i="20"/>
  <c r="AF27" i="20"/>
  <c r="H27" i="20"/>
  <c r="AB24" i="20"/>
  <c r="AM96" i="20"/>
  <c r="W96" i="20"/>
  <c r="AA78" i="20"/>
  <c r="K78" i="20"/>
  <c r="X57" i="20"/>
  <c r="L30" i="20"/>
  <c r="T30" i="20"/>
  <c r="Y780" i="20"/>
  <c r="AO780" i="20"/>
  <c r="AD792" i="20"/>
  <c r="AT792" i="20"/>
  <c r="BI792" i="20"/>
  <c r="Z78" i="20"/>
  <c r="X60" i="20"/>
  <c r="AO753" i="20"/>
  <c r="AA765" i="20"/>
  <c r="AH825" i="20"/>
  <c r="AC81" i="20"/>
  <c r="M81" i="20"/>
  <c r="AH78" i="20"/>
  <c r="AC27" i="20"/>
  <c r="M27" i="20"/>
  <c r="BF756" i="20"/>
  <c r="AR759" i="20"/>
  <c r="BG762" i="20"/>
  <c r="AQ762" i="20"/>
  <c r="AA762" i="20"/>
  <c r="AY762" i="20"/>
  <c r="BE768" i="20"/>
  <c r="AA771" i="20"/>
  <c r="AQ771" i="20"/>
  <c r="AI771" i="20"/>
  <c r="AY771" i="20"/>
  <c r="AB774" i="20"/>
  <c r="AR774" i="20"/>
  <c r="BH774" i="20"/>
  <c r="AU816" i="20"/>
  <c r="AK33" i="20"/>
  <c r="AB27" i="20"/>
  <c r="AM753" i="20"/>
  <c r="AO810" i="20"/>
  <c r="Z63" i="20"/>
  <c r="T57" i="20"/>
  <c r="AJ51" i="20"/>
  <c r="AD45" i="20"/>
  <c r="E33" i="20"/>
  <c r="Z33" i="20"/>
  <c r="AF741" i="20"/>
  <c r="AV741" i="20"/>
  <c r="AQ747" i="20"/>
  <c r="AA747" i="20"/>
  <c r="AX750" i="20"/>
  <c r="AH750" i="20"/>
  <c r="Q69" i="20"/>
  <c r="N63" i="20"/>
  <c r="D48" i="20"/>
  <c r="D33" i="20"/>
  <c r="F30" i="20"/>
  <c r="BB777" i="20"/>
  <c r="AH816" i="20"/>
  <c r="AL108" i="20"/>
  <c r="M63" i="20"/>
  <c r="AC57" i="20"/>
  <c r="AX732" i="20"/>
  <c r="X738" i="20"/>
  <c r="BD738" i="20"/>
  <c r="F60" i="20"/>
  <c r="Y726" i="20"/>
  <c r="BH708" i="20"/>
  <c r="BJ708" i="20"/>
  <c r="AE744" i="20"/>
  <c r="AC810" i="20"/>
  <c r="BI810" i="20"/>
  <c r="J114" i="20"/>
  <c r="I72" i="20"/>
  <c r="E60" i="20"/>
  <c r="R42" i="20"/>
  <c r="AV696" i="20"/>
  <c r="AL699" i="20"/>
  <c r="AI702" i="20"/>
  <c r="AN51" i="20"/>
  <c r="Q114" i="20"/>
  <c r="O66" i="20"/>
  <c r="V57" i="20"/>
  <c r="L48" i="20"/>
  <c r="AG48" i="20"/>
  <c r="AN54" i="20"/>
  <c r="AX696" i="20"/>
  <c r="I81" i="20"/>
  <c r="F57" i="20"/>
  <c r="AB51" i="20"/>
  <c r="Y42" i="20"/>
  <c r="AC705" i="20"/>
  <c r="AP786" i="20"/>
  <c r="Z789" i="20"/>
  <c r="H78" i="20"/>
  <c r="AA72" i="20"/>
  <c r="J48" i="20"/>
  <c r="AM42" i="20"/>
  <c r="N33" i="20"/>
  <c r="BJ813" i="20"/>
  <c r="AB105" i="20"/>
  <c r="V78" i="20"/>
  <c r="C72" i="20"/>
  <c r="F36" i="20"/>
  <c r="BC768" i="20"/>
  <c r="BB783" i="20"/>
  <c r="Z108" i="20"/>
  <c r="S99" i="20"/>
  <c r="K96" i="20"/>
  <c r="F90" i="20"/>
  <c r="I87" i="20"/>
  <c r="M69" i="20"/>
  <c r="I51" i="20"/>
  <c r="AF45" i="20"/>
  <c r="W39" i="20"/>
  <c r="AL693" i="20"/>
  <c r="AI732" i="20"/>
  <c r="X111" i="20"/>
  <c r="AE72" i="20"/>
  <c r="V69" i="20"/>
  <c r="Z60" i="20"/>
  <c r="O45" i="20"/>
  <c r="BJ735" i="20"/>
  <c r="Y738" i="20"/>
  <c r="D105" i="20"/>
  <c r="N84" i="20"/>
  <c r="J75" i="20"/>
  <c r="AM72" i="20"/>
  <c r="AK69" i="20"/>
  <c r="S66" i="20"/>
  <c r="C66" i="20"/>
  <c r="I45" i="20"/>
  <c r="AK39" i="20"/>
  <c r="AM27" i="20"/>
  <c r="AF798" i="20"/>
  <c r="AV798" i="20"/>
  <c r="BF807" i="20"/>
  <c r="AH813" i="20"/>
  <c r="AX828" i="20"/>
  <c r="G72" i="20"/>
  <c r="Z69" i="20"/>
  <c r="W60" i="20"/>
  <c r="H45" i="20"/>
  <c r="AF42" i="20"/>
  <c r="AM30" i="20"/>
  <c r="AL27" i="20"/>
  <c r="O27" i="20"/>
  <c r="AO759" i="20"/>
  <c r="AJ108" i="20"/>
  <c r="AG105" i="20"/>
  <c r="AH90" i="20"/>
  <c r="X75" i="20"/>
  <c r="H75" i="20"/>
  <c r="AD57" i="20"/>
  <c r="I54" i="20"/>
  <c r="V48" i="20"/>
  <c r="AK24" i="20"/>
  <c r="AF714" i="20"/>
  <c r="BD804" i="20"/>
  <c r="H114" i="20"/>
  <c r="Y93" i="20"/>
  <c r="AL75" i="20"/>
  <c r="H57" i="20"/>
  <c r="U54" i="20"/>
  <c r="U45" i="20"/>
  <c r="F45" i="20"/>
  <c r="O33" i="20"/>
  <c r="P105" i="20"/>
  <c r="E45" i="20"/>
  <c r="AN138" i="20"/>
  <c r="AB693" i="20"/>
  <c r="AN834" i="20"/>
  <c r="AK99" i="20"/>
  <c r="E42" i="20"/>
  <c r="K36" i="20"/>
  <c r="AC42" i="20"/>
  <c r="BA831" i="20"/>
  <c r="P117" i="20"/>
  <c r="AH429" i="20"/>
  <c r="AB117" i="20"/>
  <c r="K9" i="22"/>
  <c r="W120" i="20"/>
  <c r="T123" i="20"/>
  <c r="AB792" i="20"/>
  <c r="AK441" i="20"/>
  <c r="W444" i="20"/>
  <c r="AA492" i="20"/>
  <c r="O9" i="22"/>
  <c r="AN534" i="20"/>
  <c r="V687" i="20"/>
  <c r="Z696" i="20"/>
  <c r="AU744" i="20"/>
  <c r="AL753" i="20"/>
  <c r="AD765" i="20"/>
  <c r="AM798" i="20"/>
  <c r="T429" i="20"/>
  <c r="AE429" i="20"/>
  <c r="U441" i="20"/>
  <c r="P498" i="20"/>
  <c r="AA516" i="20"/>
  <c r="AK561" i="20"/>
  <c r="U561" i="20"/>
  <c r="AK597" i="20"/>
  <c r="AG609" i="20"/>
  <c r="T627" i="20"/>
  <c r="W687" i="20"/>
  <c r="AO714" i="20"/>
  <c r="BE732" i="20"/>
  <c r="AU750" i="20"/>
  <c r="AA801" i="20"/>
  <c r="BG801" i="20"/>
  <c r="U426" i="20"/>
  <c r="AK549" i="20"/>
  <c r="BG723" i="20"/>
  <c r="AN750" i="20"/>
  <c r="R429" i="20"/>
  <c r="X426" i="20"/>
  <c r="AH498" i="20"/>
  <c r="Z513" i="20"/>
  <c r="AC753" i="20"/>
  <c r="AG429" i="20"/>
  <c r="AA444" i="20"/>
  <c r="AN378" i="20"/>
  <c r="AV711" i="20"/>
  <c r="AX720" i="20"/>
  <c r="BK756" i="20"/>
  <c r="BD759" i="20"/>
  <c r="AP762" i="20"/>
  <c r="BH786" i="20"/>
  <c r="AF357" i="20"/>
  <c r="V426" i="20"/>
  <c r="AD504" i="20"/>
  <c r="AF510" i="20"/>
  <c r="AB513" i="20"/>
  <c r="AE516" i="20"/>
  <c r="X525" i="20"/>
  <c r="AN549" i="20"/>
  <c r="AJ606" i="20"/>
  <c r="AP690" i="20"/>
  <c r="AD693" i="20"/>
  <c r="AW759" i="20"/>
  <c r="BA771" i="20"/>
  <c r="AC513" i="20"/>
  <c r="AF762" i="20"/>
  <c r="T372" i="20"/>
  <c r="AA501" i="20"/>
  <c r="AF504" i="20"/>
  <c r="Q516" i="20"/>
  <c r="AI492" i="20"/>
  <c r="W498" i="20"/>
  <c r="R504" i="20"/>
  <c r="Y522" i="20"/>
  <c r="AF534" i="20"/>
  <c r="AO567" i="20"/>
  <c r="AR687" i="20"/>
  <c r="BJ774" i="20"/>
  <c r="AR780" i="20"/>
  <c r="AV825" i="20"/>
  <c r="AN498" i="20"/>
  <c r="AC501" i="20"/>
  <c r="AH504" i="20"/>
  <c r="AQ570" i="20"/>
  <c r="AN582" i="20"/>
  <c r="V588" i="20"/>
  <c r="AD777" i="20"/>
  <c r="AG825" i="20"/>
  <c r="Q447" i="20"/>
  <c r="W540" i="20"/>
  <c r="AM540" i="20"/>
  <c r="AQ552" i="20"/>
  <c r="AI576" i="20"/>
  <c r="AO606" i="20"/>
  <c r="AG813" i="20"/>
  <c r="Z429" i="20"/>
  <c r="AF447" i="20"/>
  <c r="T495" i="20"/>
  <c r="AZ699" i="20"/>
  <c r="AJ714" i="20"/>
  <c r="AD783" i="20"/>
  <c r="AQ705" i="20"/>
  <c r="AQ708" i="20"/>
  <c r="BJ804" i="20"/>
  <c r="AT828" i="20"/>
  <c r="AC366" i="20"/>
  <c r="AD447" i="20"/>
  <c r="AD426" i="20"/>
  <c r="W504" i="20"/>
  <c r="AF525" i="20"/>
  <c r="AL537" i="20"/>
  <c r="AF549" i="20"/>
  <c r="AF570" i="20"/>
  <c r="AQ612" i="20"/>
  <c r="AW702" i="20"/>
  <c r="Y711" i="20"/>
  <c r="AB744" i="20"/>
  <c r="AR744" i="20"/>
  <c r="Z804" i="20"/>
  <c r="AJ369" i="20"/>
  <c r="B513" i="9"/>
  <c r="W9" i="21"/>
  <c r="Q534" i="20"/>
  <c r="R510" i="20"/>
  <c r="AG372" i="20"/>
  <c r="AH357" i="20"/>
  <c r="G369" i="20"/>
  <c r="Q525" i="20"/>
  <c r="R537" i="20"/>
  <c r="G24" i="20"/>
  <c r="U369" i="20"/>
  <c r="U36" i="20"/>
  <c r="O360" i="20"/>
  <c r="AI444" i="20"/>
  <c r="AE366" i="20"/>
  <c r="AW693" i="20"/>
  <c r="AI696" i="20"/>
  <c r="AW723" i="20"/>
  <c r="AK723" i="20"/>
  <c r="Y723" i="20"/>
  <c r="AV726" i="20"/>
  <c r="X726" i="20"/>
  <c r="BJ723" i="20"/>
  <c r="Y732" i="20"/>
  <c r="AK732" i="20"/>
  <c r="BI732" i="20"/>
  <c r="AB735" i="20"/>
  <c r="BI753" i="20"/>
  <c r="AM714" i="20"/>
  <c r="BC717" i="20"/>
  <c r="BK723" i="20"/>
  <c r="AL72" i="20"/>
  <c r="R66" i="20"/>
  <c r="F66" i="20"/>
  <c r="AC711" i="20"/>
  <c r="I96" i="20"/>
  <c r="AA87" i="20"/>
  <c r="C87" i="20"/>
  <c r="AC84" i="20"/>
  <c r="Q84" i="20"/>
  <c r="E84" i="20"/>
  <c r="AE81" i="20"/>
  <c r="AG78" i="20"/>
  <c r="AF429" i="20"/>
  <c r="Y825" i="20"/>
  <c r="AH732" i="20"/>
  <c r="AT732" i="20"/>
  <c r="Y735" i="20"/>
  <c r="AK735" i="20"/>
  <c r="BI735" i="20"/>
  <c r="AP741" i="20"/>
  <c r="AT744" i="20"/>
  <c r="AW747" i="20"/>
  <c r="Y747" i="20"/>
  <c r="AJ759" i="20"/>
  <c r="Q111" i="20"/>
  <c r="AL30" i="20"/>
  <c r="D111" i="20"/>
  <c r="V102" i="20"/>
  <c r="J102" i="20"/>
  <c r="J99" i="20"/>
  <c r="AI99" i="20"/>
  <c r="Y96" i="20"/>
  <c r="AL93" i="20"/>
  <c r="AM93" i="20"/>
  <c r="AA93" i="20"/>
  <c r="O93" i="20"/>
  <c r="C93" i="20"/>
  <c r="D90" i="20"/>
  <c r="Q90" i="20"/>
  <c r="T96" i="20"/>
  <c r="V93" i="20"/>
  <c r="J93" i="20"/>
  <c r="AL87" i="20"/>
  <c r="N87" i="20"/>
  <c r="P84" i="20"/>
  <c r="D84" i="20"/>
  <c r="F81" i="20"/>
  <c r="AF78" i="20"/>
  <c r="AG762" i="20"/>
  <c r="Y762" i="20"/>
  <c r="BK768" i="20"/>
  <c r="AU768" i="20"/>
  <c r="BG768" i="20"/>
  <c r="AX765" i="20"/>
  <c r="AL777" i="20"/>
  <c r="BF777" i="20"/>
  <c r="AH780" i="20"/>
  <c r="AT780" i="20"/>
  <c r="BF780" i="20"/>
  <c r="AH783" i="20"/>
  <c r="AT783" i="20"/>
  <c r="BF783" i="20"/>
  <c r="AR786" i="20"/>
  <c r="BD786" i="20"/>
  <c r="AB786" i="20"/>
  <c r="AN786" i="20"/>
  <c r="AV789" i="20"/>
  <c r="AB795" i="20"/>
  <c r="AB828" i="20"/>
  <c r="AN828" i="20"/>
  <c r="AB831" i="20"/>
  <c r="AZ831" i="20"/>
  <c r="AK834" i="20"/>
  <c r="AW834" i="20"/>
  <c r="R87" i="20"/>
  <c r="F87" i="20"/>
  <c r="S87" i="20"/>
  <c r="U84" i="20"/>
  <c r="I84" i="20"/>
  <c r="AH81" i="20"/>
  <c r="J81" i="20"/>
  <c r="W81" i="20"/>
  <c r="L78" i="20"/>
  <c r="Y78" i="20"/>
  <c r="M78" i="20"/>
  <c r="Z75" i="20"/>
  <c r="AM75" i="20"/>
  <c r="AA75" i="20"/>
  <c r="O75" i="20"/>
  <c r="AC72" i="20"/>
  <c r="Q72" i="20"/>
  <c r="AE69" i="20"/>
  <c r="S69" i="20"/>
  <c r="I66" i="20"/>
  <c r="AI63" i="20"/>
  <c r="U60" i="20"/>
  <c r="AM57" i="20"/>
  <c r="AA57" i="20"/>
  <c r="O57" i="20"/>
  <c r="C57" i="20"/>
  <c r="AE51" i="20"/>
  <c r="S51" i="20"/>
  <c r="G51" i="20"/>
  <c r="W45" i="20"/>
  <c r="O39" i="20"/>
  <c r="E36" i="20"/>
  <c r="G33" i="20"/>
  <c r="AK30" i="20"/>
  <c r="AI27" i="20"/>
  <c r="W27" i="20"/>
  <c r="K27" i="20"/>
  <c r="D24" i="20"/>
  <c r="AF24" i="20"/>
  <c r="V24" i="20"/>
  <c r="M24" i="20"/>
  <c r="AA429" i="20"/>
  <c r="AN42" i="20"/>
  <c r="AN96" i="20"/>
  <c r="AN114" i="20"/>
  <c r="AA426" i="20"/>
  <c r="AK687" i="20"/>
  <c r="AW687" i="20"/>
  <c r="AZ735" i="20"/>
  <c r="AE738" i="20"/>
  <c r="AQ738" i="20"/>
  <c r="BC738" i="20"/>
  <c r="AG741" i="20"/>
  <c r="AS741" i="20"/>
  <c r="BE741" i="20"/>
  <c r="Y744" i="20"/>
  <c r="AW744" i="20"/>
  <c r="BI744" i="20"/>
  <c r="BF747" i="20"/>
  <c r="AT747" i="20"/>
  <c r="AH747" i="20"/>
  <c r="BA750" i="20"/>
  <c r="AC750" i="20"/>
  <c r="BD753" i="20"/>
  <c r="AW753" i="20"/>
  <c r="AK753" i="20"/>
  <c r="Y753" i="20"/>
  <c r="BG756" i="20"/>
  <c r="AU756" i="20"/>
  <c r="AI756" i="20"/>
  <c r="W756" i="20"/>
  <c r="BE759" i="20"/>
  <c r="AS759" i="20"/>
  <c r="AG759" i="20"/>
  <c r="BD762" i="20"/>
  <c r="AK729" i="20"/>
  <c r="AW729" i="20"/>
  <c r="BC720" i="20"/>
  <c r="AO747" i="20"/>
  <c r="AI762" i="20"/>
  <c r="AK57" i="20"/>
  <c r="Y57" i="20"/>
  <c r="M57" i="20"/>
  <c r="AN117" i="20"/>
  <c r="AZ726" i="20"/>
  <c r="AN726" i="20"/>
  <c r="AB726" i="20"/>
  <c r="X93" i="20"/>
  <c r="L93" i="20"/>
  <c r="L75" i="20"/>
  <c r="Z72" i="20"/>
  <c r="N72" i="20"/>
  <c r="AE60" i="20"/>
  <c r="AS708" i="20"/>
  <c r="AY699" i="20"/>
  <c r="AM699" i="20"/>
  <c r="AA699" i="20"/>
  <c r="AB99" i="20"/>
  <c r="P99" i="20"/>
  <c r="AG93" i="20"/>
  <c r="N426" i="20"/>
  <c r="AI714" i="20"/>
  <c r="W717" i="20"/>
  <c r="AN738" i="20"/>
  <c r="AZ738" i="20"/>
  <c r="X759" i="20"/>
  <c r="L63" i="20"/>
  <c r="H33" i="20"/>
  <c r="X27" i="20"/>
  <c r="L27" i="20"/>
  <c r="F102" i="20"/>
  <c r="O90" i="20"/>
  <c r="U81" i="20"/>
  <c r="O72" i="20"/>
  <c r="AC69" i="20"/>
  <c r="E69" i="20"/>
  <c r="AE66" i="20"/>
  <c r="BC726" i="20"/>
  <c r="BC729" i="20"/>
  <c r="BJ732" i="20"/>
  <c r="AO735" i="20"/>
  <c r="BA735" i="20"/>
  <c r="AF738" i="20"/>
  <c r="AH741" i="20"/>
  <c r="BF741" i="20"/>
  <c r="AL744" i="20"/>
  <c r="BJ744" i="20"/>
  <c r="U114" i="20"/>
  <c r="AT726" i="20"/>
  <c r="AH726" i="20"/>
  <c r="AS702" i="20"/>
  <c r="AO711" i="20"/>
  <c r="V723" i="20"/>
  <c r="I78" i="20"/>
  <c r="AI75" i="20"/>
  <c r="W75" i="20"/>
  <c r="K75" i="20"/>
  <c r="Y72" i="20"/>
  <c r="E66" i="20"/>
  <c r="K54" i="20"/>
  <c r="G27" i="20"/>
  <c r="AE24" i="20"/>
  <c r="W690" i="20"/>
  <c r="AI690" i="20"/>
  <c r="AU690" i="20"/>
  <c r="AC693" i="20"/>
  <c r="AO693" i="20"/>
  <c r="AA696" i="20"/>
  <c r="AM696" i="20"/>
  <c r="AY696" i="20"/>
  <c r="AD114" i="20"/>
  <c r="R114" i="20"/>
  <c r="G114" i="20"/>
  <c r="AF111" i="20"/>
  <c r="AH108" i="20"/>
  <c r="V108" i="20"/>
  <c r="J108" i="20"/>
  <c r="AI108" i="20"/>
  <c r="W108" i="20"/>
  <c r="AJ105" i="20"/>
  <c r="AK105" i="20"/>
  <c r="M105" i="20"/>
  <c r="AM102" i="20"/>
  <c r="AA102" i="20"/>
  <c r="O102" i="20"/>
  <c r="E99" i="20"/>
  <c r="AD99" i="20"/>
  <c r="R99" i="20"/>
  <c r="F99" i="20"/>
  <c r="AE96" i="20"/>
  <c r="AD63" i="20"/>
  <c r="F63" i="20"/>
  <c r="AD687" i="20"/>
  <c r="AP687" i="20"/>
  <c r="AE690" i="20"/>
  <c r="O63" i="20"/>
  <c r="H72" i="20"/>
  <c r="AL63" i="20"/>
  <c r="Y24" i="20"/>
  <c r="O24" i="20"/>
  <c r="AY702" i="20"/>
  <c r="AM702" i="20"/>
  <c r="AU714" i="20"/>
  <c r="AU717" i="20"/>
  <c r="AZ720" i="20"/>
  <c r="AB720" i="20"/>
  <c r="AZ723" i="20"/>
  <c r="AN723" i="20"/>
  <c r="AY726" i="20"/>
  <c r="AA726" i="20"/>
  <c r="AU762" i="20"/>
  <c r="AB804" i="20"/>
  <c r="AN804" i="20"/>
  <c r="AZ807" i="20"/>
  <c r="AN810" i="20"/>
  <c r="AZ810" i="20"/>
  <c r="AB813" i="20"/>
  <c r="AN813" i="20"/>
  <c r="AZ813" i="20"/>
  <c r="AN816" i="20"/>
  <c r="AZ816" i="20"/>
  <c r="AB819" i="20"/>
  <c r="AZ819" i="20"/>
  <c r="AB822" i="20"/>
  <c r="AN822" i="20"/>
  <c r="AZ822" i="20"/>
  <c r="AB825" i="20"/>
  <c r="AN825" i="20"/>
  <c r="AZ825" i="20"/>
  <c r="X54" i="20"/>
  <c r="S90" i="20"/>
  <c r="AG87" i="20"/>
  <c r="AM78" i="20"/>
  <c r="I69" i="20"/>
  <c r="AK27" i="20"/>
  <c r="Y27" i="20"/>
  <c r="W693" i="20"/>
  <c r="AR777" i="20"/>
  <c r="AV780" i="20"/>
  <c r="BH780" i="20"/>
  <c r="AL789" i="20"/>
  <c r="G87" i="20"/>
  <c r="AK78" i="20"/>
  <c r="X45" i="20"/>
  <c r="L45" i="20"/>
  <c r="L42" i="20"/>
  <c r="AM39" i="20"/>
  <c r="AA39" i="20"/>
  <c r="C39" i="20"/>
  <c r="AB39" i="20"/>
  <c r="D39" i="20"/>
  <c r="AH36" i="20"/>
  <c r="O36" i="20"/>
  <c r="S33" i="20"/>
  <c r="AJ687" i="20"/>
  <c r="AV687" i="20"/>
  <c r="AK702" i="20"/>
  <c r="AD804" i="20"/>
  <c r="AP804" i="20"/>
  <c r="BB804" i="20"/>
  <c r="AD807" i="20"/>
  <c r="AP807" i="20"/>
  <c r="BB807" i="20"/>
  <c r="AD810" i="20"/>
  <c r="AP810" i="20"/>
  <c r="BB810" i="20"/>
  <c r="AP813" i="20"/>
  <c r="BB813" i="20"/>
  <c r="AD816" i="20"/>
  <c r="AP816" i="20"/>
  <c r="AP819" i="20"/>
  <c r="BB819" i="20"/>
  <c r="AD822" i="20"/>
  <c r="AP822" i="20"/>
  <c r="BB822" i="20"/>
  <c r="AD825" i="20"/>
  <c r="AP825" i="20"/>
  <c r="BB825" i="20"/>
  <c r="AD828" i="20"/>
  <c r="AP828" i="20"/>
  <c r="AD831" i="20"/>
  <c r="AP831" i="20"/>
  <c r="BB831" i="20"/>
  <c r="AL726" i="20"/>
  <c r="Z726" i="20"/>
  <c r="BA729" i="20"/>
  <c r="Y756" i="20"/>
  <c r="BG759" i="20"/>
  <c r="AC804" i="20"/>
  <c r="AA804" i="20"/>
  <c r="AM804" i="20"/>
  <c r="AY804" i="20"/>
  <c r="BK804" i="20"/>
  <c r="AM807" i="20"/>
  <c r="AY807" i="20"/>
  <c r="AA810" i="20"/>
  <c r="AM810" i="20"/>
  <c r="BK810" i="20"/>
  <c r="AY813" i="20"/>
  <c r="BK813" i="20"/>
  <c r="BK816" i="20"/>
  <c r="AA819" i="20"/>
  <c r="AY819" i="20"/>
  <c r="AM822" i="20"/>
  <c r="AY825" i="20"/>
  <c r="BK825" i="20"/>
  <c r="AM828" i="20"/>
  <c r="AY828" i="20"/>
  <c r="BK828" i="20"/>
  <c r="AA831" i="20"/>
  <c r="AM831" i="20"/>
  <c r="AJ834" i="20"/>
  <c r="AV834" i="20"/>
  <c r="BH834" i="20"/>
  <c r="BH750" i="20"/>
  <c r="AV750" i="20"/>
  <c r="AJ750" i="20"/>
  <c r="X750" i="20"/>
  <c r="AR753" i="20"/>
  <c r="BB756" i="20"/>
  <c r="AP756" i="20"/>
  <c r="AD756" i="20"/>
  <c r="AN759" i="20"/>
  <c r="AB759" i="20"/>
  <c r="AR762" i="20"/>
  <c r="AA768" i="20"/>
  <c r="AM768" i="20"/>
  <c r="Y771" i="20"/>
  <c r="AK771" i="20"/>
  <c r="AW771" i="20"/>
  <c r="BI771" i="20"/>
  <c r="AH774" i="20"/>
  <c r="BF774" i="20"/>
  <c r="Z765" i="20"/>
  <c r="AL765" i="20"/>
  <c r="BJ765" i="20"/>
  <c r="Z777" i="20"/>
  <c r="AX777" i="20"/>
  <c r="BJ777" i="20"/>
  <c r="Z780" i="20"/>
  <c r="AL780" i="20"/>
  <c r="AX780" i="20"/>
  <c r="BJ780" i="20"/>
  <c r="Z783" i="20"/>
  <c r="AL783" i="20"/>
  <c r="AX783" i="20"/>
  <c r="BJ783" i="20"/>
  <c r="AF786" i="20"/>
  <c r="AB789" i="20"/>
  <c r="AN789" i="20"/>
  <c r="AZ789" i="20"/>
  <c r="X789" i="20"/>
  <c r="AJ789" i="20"/>
  <c r="BH789" i="20"/>
  <c r="AJ792" i="20"/>
  <c r="AV792" i="20"/>
  <c r="BH792" i="20"/>
  <c r="AF792" i="20"/>
  <c r="AR792" i="20"/>
  <c r="BD792" i="20"/>
  <c r="AF795" i="20"/>
  <c r="AR795" i="20"/>
  <c r="BD795" i="20"/>
  <c r="AN795" i="20"/>
  <c r="AZ795" i="20"/>
  <c r="AE798" i="20"/>
  <c r="AQ798" i="20"/>
  <c r="AB798" i="20"/>
  <c r="AN798" i="20"/>
  <c r="AZ798" i="20"/>
  <c r="AE801" i="20"/>
  <c r="AQ801" i="20"/>
  <c r="BC801" i="20"/>
  <c r="AB801" i="20"/>
  <c r="AN801" i="20"/>
  <c r="Q366" i="20"/>
  <c r="BD807" i="20"/>
  <c r="R366" i="20"/>
  <c r="AA708" i="20"/>
  <c r="AY708" i="20"/>
  <c r="AV714" i="20"/>
  <c r="AB714" i="20"/>
  <c r="X717" i="20"/>
  <c r="AJ717" i="20"/>
  <c r="AV717" i="20"/>
  <c r="AB717" i="20"/>
  <c r="AN717" i="20"/>
  <c r="AZ717" i="20"/>
  <c r="AY720" i="20"/>
  <c r="AM720" i="20"/>
  <c r="AA720" i="20"/>
  <c r="AU720" i="20"/>
  <c r="W720" i="20"/>
  <c r="AU723" i="20"/>
  <c r="AI723" i="20"/>
  <c r="W723" i="20"/>
  <c r="AG729" i="20"/>
  <c r="AS729" i="20"/>
  <c r="W741" i="20"/>
  <c r="BG741" i="20"/>
  <c r="AG357" i="20"/>
  <c r="R357" i="20"/>
  <c r="AA369" i="20"/>
  <c r="AL702" i="20"/>
  <c r="AA702" i="20"/>
  <c r="AG702" i="20"/>
  <c r="AA705" i="20"/>
  <c r="AM705" i="20"/>
  <c r="AY705" i="20"/>
  <c r="AG705" i="20"/>
  <c r="AS705" i="20"/>
  <c r="AB708" i="20"/>
  <c r="AZ708" i="20"/>
  <c r="AK711" i="20"/>
  <c r="Y714" i="20"/>
  <c r="AK714" i="20"/>
  <c r="T366" i="20"/>
  <c r="AK447" i="20"/>
  <c r="T510" i="20"/>
  <c r="AA513" i="20"/>
  <c r="AB516" i="20"/>
  <c r="AN516" i="20"/>
  <c r="Q522" i="20"/>
  <c r="AC522" i="20"/>
  <c r="AO522" i="20"/>
  <c r="AD525" i="20"/>
  <c r="AP525" i="20"/>
  <c r="AD528" i="20"/>
  <c r="S534" i="20"/>
  <c r="S537" i="20"/>
  <c r="AE537" i="20"/>
  <c r="T540" i="20"/>
  <c r="AF540" i="20"/>
  <c r="AB543" i="20"/>
  <c r="AJ546" i="20"/>
  <c r="AH549" i="20"/>
  <c r="V558" i="20"/>
  <c r="AQ561" i="20"/>
  <c r="AE561" i="20"/>
  <c r="AN567" i="20"/>
  <c r="AB570" i="20"/>
  <c r="AN570" i="20"/>
  <c r="AB573" i="20"/>
  <c r="AN573" i="20"/>
  <c r="AD576" i="20"/>
  <c r="AP576" i="20"/>
  <c r="T582" i="20"/>
  <c r="AF582" i="20"/>
  <c r="AR582" i="20"/>
  <c r="AG585" i="20"/>
  <c r="AG594" i="20"/>
  <c r="W600" i="20"/>
  <c r="AI600" i="20"/>
  <c r="Y603" i="20"/>
  <c r="AK603" i="20"/>
  <c r="AJ447" i="20"/>
  <c r="AK426" i="20"/>
  <c r="AM426" i="20"/>
  <c r="O426" i="20"/>
  <c r="AH492" i="20"/>
  <c r="AE507" i="20"/>
  <c r="AN687" i="20"/>
  <c r="AN357" i="20"/>
  <c r="AG531" i="20"/>
  <c r="AI366" i="20"/>
  <c r="AI504" i="20"/>
  <c r="V537" i="20"/>
  <c r="AH537" i="20"/>
  <c r="AC606" i="20"/>
  <c r="AE696" i="20"/>
  <c r="W699" i="20"/>
  <c r="AP714" i="20"/>
  <c r="T609" i="20"/>
  <c r="B609" i="9"/>
  <c r="AT9" i="21"/>
  <c r="R528" i="20"/>
  <c r="B528" i="9"/>
  <c r="S531" i="20"/>
  <c r="B531" i="9"/>
  <c r="V549" i="20"/>
  <c r="B549" i="9"/>
  <c r="B552" i="9"/>
  <c r="V552" i="20"/>
  <c r="B561" i="9"/>
  <c r="S561" i="20"/>
  <c r="B579" i="9"/>
  <c r="R579" i="20"/>
  <c r="B588" i="9"/>
  <c r="T588" i="20"/>
  <c r="T591" i="20"/>
  <c r="B591" i="9"/>
  <c r="AD747" i="20"/>
  <c r="T441" i="20"/>
  <c r="T9" i="21"/>
  <c r="B498" i="9"/>
  <c r="Y498" i="20"/>
  <c r="W501" i="20"/>
  <c r="B501" i="9"/>
  <c r="U504" i="20"/>
  <c r="M363" i="20"/>
  <c r="B363" i="9"/>
  <c r="R369" i="20"/>
  <c r="Q9" i="21"/>
  <c r="Q372" i="20"/>
  <c r="AE111" i="20"/>
  <c r="S111" i="20"/>
  <c r="K105" i="20"/>
  <c r="U42" i="20"/>
  <c r="AL24" i="20"/>
  <c r="Y516" i="20"/>
  <c r="AO591" i="20"/>
  <c r="Z702" i="20"/>
  <c r="AE819" i="20"/>
  <c r="BC819" i="20"/>
  <c r="AQ828" i="20"/>
  <c r="AM711" i="20"/>
  <c r="AB783" i="20"/>
  <c r="AT786" i="20"/>
  <c r="BF786" i="20"/>
  <c r="U90" i="20"/>
  <c r="E78" i="20"/>
  <c r="AB63" i="20"/>
  <c r="AC63" i="20"/>
  <c r="I42" i="20"/>
  <c r="T504" i="20"/>
  <c r="AN714" i="20"/>
  <c r="AY768" i="20"/>
  <c r="AD357" i="20"/>
  <c r="U24" i="20"/>
  <c r="AN141" i="20"/>
  <c r="AM24" i="20"/>
  <c r="D45" i="20"/>
  <c r="AC492" i="20"/>
  <c r="V702" i="20"/>
  <c r="AO729" i="20"/>
  <c r="BB735" i="20"/>
  <c r="Z93" i="20"/>
  <c r="K63" i="20"/>
  <c r="V51" i="20"/>
  <c r="T48" i="20"/>
  <c r="Y372" i="20"/>
  <c r="AB426" i="20"/>
  <c r="AU732" i="20"/>
  <c r="Z735" i="20"/>
  <c r="AA822" i="20"/>
  <c r="L108" i="20"/>
  <c r="AK108" i="20"/>
  <c r="Y108" i="20"/>
  <c r="M108" i="20"/>
  <c r="AL105" i="20"/>
  <c r="N105" i="20"/>
  <c r="AG42" i="20"/>
  <c r="M42" i="20"/>
  <c r="D42" i="20"/>
  <c r="AC39" i="20"/>
  <c r="Q39" i="20"/>
  <c r="E39" i="20"/>
  <c r="AD39" i="20"/>
  <c r="R39" i="20"/>
  <c r="F39" i="20"/>
  <c r="AB36" i="20"/>
  <c r="L36" i="20"/>
  <c r="Z36" i="20"/>
  <c r="Q36" i="20"/>
  <c r="G36" i="20"/>
  <c r="U33" i="20"/>
  <c r="J33" i="20"/>
  <c r="AI33" i="20"/>
  <c r="W33" i="20"/>
  <c r="K33" i="20"/>
  <c r="AI30" i="20"/>
  <c r="S30" i="20"/>
  <c r="C30" i="20"/>
  <c r="AF441" i="20"/>
  <c r="AJ726" i="20"/>
  <c r="AZ804" i="20"/>
  <c r="AW807" i="20"/>
  <c r="AB810" i="20"/>
  <c r="BI822" i="20"/>
  <c r="S114" i="20"/>
  <c r="I111" i="20"/>
  <c r="AI93" i="20"/>
  <c r="W93" i="20"/>
  <c r="AM87" i="20"/>
  <c r="G81" i="20"/>
  <c r="AK72" i="20"/>
  <c r="AM69" i="20"/>
  <c r="AA69" i="20"/>
  <c r="O69" i="20"/>
  <c r="C69" i="20"/>
  <c r="AC66" i="20"/>
  <c r="Q66" i="20"/>
  <c r="T63" i="20"/>
  <c r="H63" i="20"/>
  <c r="AE48" i="20"/>
  <c r="F42" i="20"/>
  <c r="AC549" i="20"/>
  <c r="Y687" i="20"/>
  <c r="BB732" i="20"/>
  <c r="BH738" i="20"/>
  <c r="BJ741" i="20"/>
  <c r="AK744" i="20"/>
  <c r="Y750" i="20"/>
  <c r="R567" i="20"/>
  <c r="AF588" i="20"/>
  <c r="W714" i="20"/>
  <c r="AM726" i="20"/>
  <c r="BD714" i="20"/>
  <c r="BD726" i="20"/>
  <c r="BA747" i="20"/>
  <c r="AF825" i="20"/>
  <c r="AG57" i="20"/>
  <c r="AF54" i="20"/>
  <c r="R54" i="20"/>
  <c r="M36" i="20"/>
  <c r="X495" i="20"/>
  <c r="V570" i="20"/>
  <c r="U591" i="20"/>
  <c r="AG591" i="20"/>
  <c r="AO594" i="20"/>
  <c r="AZ702" i="20"/>
  <c r="Y705" i="20"/>
  <c r="V711" i="20"/>
  <c r="AT711" i="20"/>
  <c r="BC753" i="20"/>
  <c r="AA759" i="20"/>
  <c r="AR765" i="20"/>
  <c r="BD780" i="20"/>
  <c r="AF783" i="20"/>
  <c r="AR783" i="20"/>
  <c r="BD783" i="20"/>
  <c r="AJ801" i="20"/>
  <c r="AU804" i="20"/>
  <c r="AU807" i="20"/>
  <c r="AI816" i="20"/>
  <c r="BG816" i="20"/>
  <c r="T102" i="20"/>
  <c r="AB96" i="20"/>
  <c r="AE90" i="20"/>
  <c r="U87" i="20"/>
  <c r="C78" i="20"/>
  <c r="P78" i="20"/>
  <c r="D78" i="20"/>
  <c r="S72" i="20"/>
  <c r="R57" i="20"/>
  <c r="J54" i="20"/>
  <c r="G45" i="20"/>
  <c r="AK42" i="20"/>
  <c r="Y426" i="20"/>
  <c r="Z531" i="20"/>
  <c r="AH702" i="20"/>
  <c r="Z708" i="20"/>
  <c r="AK717" i="20"/>
  <c r="W726" i="20"/>
  <c r="AB732" i="20"/>
  <c r="AP735" i="20"/>
  <c r="AR738" i="20"/>
  <c r="Z744" i="20"/>
  <c r="AX744" i="20"/>
  <c r="BB792" i="20"/>
  <c r="AX795" i="20"/>
  <c r="BE813" i="20"/>
  <c r="AI822" i="20"/>
  <c r="AJ111" i="20"/>
  <c r="AF87" i="20"/>
  <c r="H87" i="20"/>
  <c r="P75" i="20"/>
  <c r="F72" i="20"/>
  <c r="V66" i="20"/>
  <c r="J66" i="20"/>
  <c r="AM60" i="20"/>
  <c r="AD54" i="20"/>
  <c r="M48" i="20"/>
  <c r="N42" i="20"/>
  <c r="Q42" i="20"/>
  <c r="AH30" i="20"/>
  <c r="AN525" i="20"/>
  <c r="X546" i="20"/>
  <c r="AB558" i="20"/>
  <c r="AA744" i="20"/>
  <c r="BJ798" i="20"/>
  <c r="BI804" i="20"/>
  <c r="AK810" i="20"/>
  <c r="AU831" i="20"/>
  <c r="AL60" i="20"/>
  <c r="AJ534" i="20"/>
  <c r="AA105" i="20"/>
  <c r="O105" i="20"/>
  <c r="AD87" i="20"/>
  <c r="AI81" i="20"/>
  <c r="K81" i="20"/>
  <c r="G69" i="20"/>
  <c r="AG66" i="20"/>
  <c r="U66" i="20"/>
  <c r="W63" i="20"/>
  <c r="Q54" i="20"/>
  <c r="AI48" i="20"/>
  <c r="U48" i="20"/>
  <c r="AJ33" i="20"/>
  <c r="AE372" i="20"/>
  <c r="AN48" i="20"/>
  <c r="AN102" i="20"/>
  <c r="AC510" i="20"/>
  <c r="Y525" i="20"/>
  <c r="B582" i="9"/>
  <c r="AC603" i="20"/>
  <c r="AO603" i="20"/>
  <c r="AY810" i="20"/>
  <c r="AA816" i="20"/>
  <c r="Y552" i="20"/>
  <c r="T111" i="20"/>
  <c r="U111" i="20"/>
  <c r="G99" i="20"/>
  <c r="J96" i="20"/>
  <c r="R84" i="20"/>
  <c r="S84" i="20"/>
  <c r="AG63" i="20"/>
  <c r="AL717" i="20"/>
  <c r="AC735" i="20"/>
  <c r="BA810" i="20"/>
  <c r="AO813" i="20"/>
  <c r="AM825" i="20"/>
  <c r="AA828" i="20"/>
  <c r="W42" i="20"/>
  <c r="AL9" i="22"/>
  <c r="B606" i="9"/>
  <c r="AR9" i="21"/>
  <c r="W609" i="20"/>
  <c r="AI609" i="20"/>
  <c r="X729" i="20"/>
  <c r="M90" i="20"/>
  <c r="AN72" i="20"/>
  <c r="AC543" i="20"/>
  <c r="AI720" i="20"/>
  <c r="AQ735" i="20"/>
  <c r="AO801" i="20"/>
  <c r="AM819" i="20"/>
  <c r="BI834" i="20"/>
  <c r="AC99" i="20"/>
  <c r="AD96" i="20"/>
  <c r="G96" i="20"/>
  <c r="X90" i="20"/>
  <c r="AG75" i="20"/>
  <c r="G63" i="20"/>
  <c r="N60" i="20"/>
  <c r="AH57" i="20"/>
  <c r="AK48" i="20"/>
  <c r="V45" i="20"/>
  <c r="K45" i="20"/>
  <c r="I30" i="20"/>
  <c r="AJ27" i="20"/>
  <c r="AN384" i="20"/>
  <c r="U528" i="20"/>
  <c r="AN540" i="20"/>
  <c r="U558" i="20"/>
  <c r="AG558" i="20"/>
  <c r="S585" i="20"/>
  <c r="AL588" i="20"/>
  <c r="AH603" i="20"/>
  <c r="BA714" i="20"/>
  <c r="AL729" i="20"/>
  <c r="BB720" i="20"/>
  <c r="BF744" i="20"/>
  <c r="BH783" i="20"/>
  <c r="AD786" i="20"/>
  <c r="AX792" i="20"/>
  <c r="AH795" i="20"/>
  <c r="BF795" i="20"/>
  <c r="S108" i="20"/>
  <c r="G108" i="20"/>
  <c r="T93" i="20"/>
  <c r="R78" i="20"/>
  <c r="P51" i="20"/>
  <c r="Z39" i="20"/>
  <c r="AG36" i="20"/>
  <c r="AG24" i="20"/>
  <c r="X687" i="20"/>
  <c r="BI708" i="20"/>
  <c r="AE741" i="20"/>
  <c r="BG744" i="20"/>
  <c r="AK747" i="20"/>
  <c r="AT798" i="20"/>
  <c r="AH801" i="20"/>
  <c r="AG807" i="20"/>
  <c r="AR822" i="20"/>
  <c r="AO549" i="20"/>
  <c r="AI357" i="20"/>
  <c r="Y357" i="20"/>
  <c r="AR606" i="20"/>
  <c r="T606" i="20"/>
  <c r="BG726" i="20"/>
  <c r="AU741" i="20"/>
  <c r="AR9" i="22"/>
  <c r="AK492" i="20"/>
  <c r="AO9" i="22"/>
  <c r="AE114" i="20"/>
  <c r="R105" i="20"/>
  <c r="U102" i="20"/>
  <c r="AJ99" i="20"/>
  <c r="K93" i="20"/>
  <c r="Y90" i="20"/>
  <c r="P90" i="20"/>
  <c r="AC87" i="20"/>
  <c r="W84" i="20"/>
  <c r="AE63" i="20"/>
  <c r="Z57" i="20"/>
  <c r="AI36" i="20"/>
  <c r="L24" i="20"/>
  <c r="AH366" i="20"/>
  <c r="AB369" i="20"/>
  <c r="B519" i="9"/>
  <c r="AL525" i="20"/>
  <c r="X552" i="20"/>
  <c r="AK564" i="20"/>
  <c r="AO687" i="20"/>
  <c r="AO696" i="20"/>
  <c r="AK699" i="20"/>
  <c r="AB705" i="20"/>
  <c r="AL711" i="20"/>
  <c r="BC711" i="20"/>
  <c r="BJ711" i="20"/>
  <c r="AJ732" i="20"/>
  <c r="AO750" i="20"/>
  <c r="AZ759" i="20"/>
  <c r="AD774" i="20"/>
  <c r="AJ783" i="20"/>
  <c r="AZ786" i="20"/>
  <c r="BF789" i="20"/>
  <c r="AD789" i="20"/>
  <c r="AP792" i="20"/>
  <c r="AK795" i="20"/>
  <c r="BK819" i="20"/>
  <c r="AH111" i="20"/>
  <c r="V111" i="20"/>
  <c r="O108" i="20"/>
  <c r="C108" i="20"/>
  <c r="F105" i="20"/>
  <c r="AE105" i="20"/>
  <c r="I93" i="20"/>
  <c r="AH93" i="20"/>
  <c r="AD75" i="20"/>
  <c r="R75" i="20"/>
  <c r="AF75" i="20"/>
  <c r="T75" i="20"/>
  <c r="AA66" i="20"/>
  <c r="AE33" i="20"/>
  <c r="P30" i="20"/>
  <c r="AC30" i="20"/>
  <c r="Q369" i="20"/>
  <c r="AC444" i="20"/>
  <c r="AI507" i="20"/>
  <c r="AL522" i="20"/>
  <c r="U549" i="20"/>
  <c r="AI552" i="20"/>
  <c r="AH606" i="20"/>
  <c r="AZ693" i="20"/>
  <c r="AW696" i="20"/>
  <c r="AN729" i="20"/>
  <c r="BH732" i="20"/>
  <c r="AH744" i="20"/>
  <c r="AS747" i="20"/>
  <c r="AB750" i="20"/>
  <c r="AV753" i="20"/>
  <c r="Z792" i="20"/>
  <c r="AS834" i="20"/>
  <c r="H48" i="20"/>
  <c r="AD33" i="20"/>
  <c r="R33" i="20"/>
  <c r="AE30" i="20"/>
  <c r="AE531" i="20"/>
  <c r="AF561" i="20"/>
  <c r="AP567" i="20"/>
  <c r="BE756" i="20"/>
  <c r="AJ774" i="20"/>
  <c r="AB765" i="20"/>
  <c r="BB786" i="20"/>
  <c r="AT804" i="20"/>
  <c r="S357" i="20"/>
  <c r="Z87" i="20"/>
  <c r="AM63" i="20"/>
  <c r="U429" i="20"/>
  <c r="AF513" i="20"/>
  <c r="AN519" i="20"/>
  <c r="AJ600" i="20"/>
  <c r="BF711" i="20"/>
  <c r="BF723" i="20"/>
  <c r="BA744" i="20"/>
  <c r="BH777" i="20"/>
  <c r="AE804" i="20"/>
  <c r="L363" i="20"/>
  <c r="BF732" i="20"/>
  <c r="BB765" i="20"/>
  <c r="BA780" i="20"/>
  <c r="AN783" i="20"/>
  <c r="AZ783" i="20"/>
  <c r="BJ789" i="20"/>
  <c r="BA795" i="20"/>
  <c r="AJ804" i="20"/>
  <c r="W9" i="22"/>
  <c r="AL114" i="20"/>
  <c r="AB102" i="20"/>
  <c r="E102" i="20"/>
  <c r="AE99" i="20"/>
  <c r="I99" i="20"/>
  <c r="K99" i="20"/>
  <c r="AJ96" i="20"/>
  <c r="M96" i="20"/>
  <c r="E93" i="20"/>
  <c r="X87" i="20"/>
  <c r="AB84" i="20"/>
  <c r="C75" i="20"/>
  <c r="K66" i="20"/>
  <c r="AA60" i="20"/>
  <c r="E54" i="20"/>
  <c r="D36" i="20"/>
  <c r="AE36" i="20"/>
  <c r="AA33" i="20"/>
  <c r="E9" i="21"/>
  <c r="H372" i="20"/>
  <c r="AN84" i="20"/>
  <c r="AZ714" i="20"/>
  <c r="BI711" i="20"/>
  <c r="BI720" i="20"/>
  <c r="AG738" i="20"/>
  <c r="AC747" i="20"/>
  <c r="BF792" i="20"/>
  <c r="AE807" i="20"/>
  <c r="BD819" i="20"/>
  <c r="BC825" i="20"/>
  <c r="X105" i="20"/>
  <c r="L105" i="20"/>
  <c r="AM84" i="20"/>
  <c r="D63" i="20"/>
  <c r="P45" i="20"/>
  <c r="AK444" i="20"/>
  <c r="B537" i="9"/>
  <c r="AO537" i="20"/>
  <c r="AI747" i="20"/>
  <c r="AD798" i="20"/>
  <c r="AQ816" i="20"/>
  <c r="AZ828" i="20"/>
  <c r="AA114" i="20"/>
  <c r="AL102" i="20"/>
  <c r="C102" i="20"/>
  <c r="P102" i="20"/>
  <c r="AJ63" i="20"/>
  <c r="X63" i="20"/>
  <c r="AA42" i="20"/>
  <c r="I39" i="20"/>
  <c r="X30" i="20"/>
  <c r="G9" i="21"/>
  <c r="AA447" i="20"/>
  <c r="AK495" i="20"/>
  <c r="X513" i="20"/>
  <c r="AJ513" i="20"/>
  <c r="T522" i="20"/>
  <c r="AF522" i="20"/>
  <c r="AK594" i="20"/>
  <c r="AB612" i="20"/>
  <c r="BA717" i="20"/>
  <c r="AT723" i="20"/>
  <c r="AH723" i="20"/>
  <c r="AG735" i="20"/>
  <c r="AF780" i="20"/>
  <c r="BC798" i="20"/>
  <c r="AR810" i="20"/>
  <c r="AI114" i="20"/>
  <c r="P111" i="20"/>
  <c r="N102" i="20"/>
  <c r="AD69" i="20"/>
  <c r="F69" i="20"/>
  <c r="H66" i="20"/>
  <c r="AF36" i="20"/>
  <c r="S366" i="20"/>
  <c r="W372" i="20"/>
  <c r="P447" i="20"/>
  <c r="U531" i="20"/>
  <c r="S543" i="20"/>
  <c r="AN552" i="20"/>
  <c r="AH717" i="20"/>
  <c r="AR732" i="20"/>
  <c r="AL741" i="20"/>
  <c r="AV813" i="20"/>
  <c r="AU819" i="20"/>
  <c r="BD831" i="20"/>
  <c r="Z111" i="20"/>
  <c r="C111" i="20"/>
  <c r="AJ102" i="20"/>
  <c r="E90" i="20"/>
  <c r="AJ84" i="20"/>
  <c r="X84" i="20"/>
  <c r="V63" i="20"/>
  <c r="Q57" i="20"/>
  <c r="B597" i="9"/>
  <c r="Y729" i="20"/>
  <c r="BI723" i="20"/>
  <c r="BK708" i="20"/>
  <c r="AL810" i="20"/>
  <c r="Y813" i="20"/>
  <c r="AY834" i="20"/>
  <c r="I105" i="20"/>
  <c r="AH87" i="20"/>
  <c r="AD66" i="20"/>
  <c r="C54" i="20"/>
  <c r="AK36" i="20"/>
  <c r="AD24" i="20"/>
  <c r="J9" i="21"/>
  <c r="AN75" i="20"/>
  <c r="AN126" i="20"/>
  <c r="AA498" i="20"/>
  <c r="B525" i="9"/>
  <c r="R558" i="20"/>
  <c r="AD588" i="20"/>
  <c r="AR591" i="20"/>
  <c r="AZ774" i="20"/>
  <c r="AJ765" i="20"/>
  <c r="BH765" i="20"/>
  <c r="AJ777" i="20"/>
  <c r="AJ828" i="20"/>
  <c r="BG828" i="20"/>
  <c r="J135" i="20"/>
  <c r="G9" i="22"/>
  <c r="Z120" i="20"/>
  <c r="AI9" i="22"/>
  <c r="W99" i="20"/>
  <c r="AB60" i="20"/>
  <c r="I48" i="20"/>
  <c r="Z42" i="20"/>
  <c r="X39" i="20"/>
  <c r="T33" i="20"/>
  <c r="V33" i="20"/>
  <c r="C24" i="20"/>
  <c r="W366" i="20"/>
  <c r="AN105" i="20"/>
  <c r="S507" i="20"/>
  <c r="AJ516" i="20"/>
  <c r="AI522" i="20"/>
  <c r="R543" i="20"/>
  <c r="W546" i="20"/>
  <c r="AF606" i="20"/>
  <c r="AT687" i="20"/>
  <c r="AR705" i="20"/>
  <c r="BD708" i="20"/>
  <c r="BJ786" i="20"/>
  <c r="AH786" i="20"/>
  <c r="BB789" i="20"/>
  <c r="AJ795" i="20"/>
  <c r="AN819" i="20"/>
  <c r="BH822" i="20"/>
  <c r="AH114" i="20"/>
  <c r="R111" i="20"/>
  <c r="G111" i="20"/>
  <c r="AI102" i="20"/>
  <c r="S93" i="20"/>
  <c r="H93" i="20"/>
  <c r="C90" i="20"/>
  <c r="AB90" i="20"/>
  <c r="AE87" i="20"/>
  <c r="AA84" i="20"/>
  <c r="AC75" i="20"/>
  <c r="Q75" i="20"/>
  <c r="AL69" i="20"/>
  <c r="N69" i="20"/>
  <c r="E63" i="20"/>
  <c r="Q60" i="20"/>
  <c r="AH42" i="20"/>
  <c r="AF39" i="20"/>
  <c r="P24" i="20"/>
  <c r="AB519" i="20"/>
  <c r="V531" i="20"/>
  <c r="X540" i="20"/>
  <c r="AI546" i="20"/>
  <c r="AB564" i="20"/>
  <c r="X723" i="20"/>
  <c r="BK732" i="20"/>
  <c r="BB741" i="20"/>
  <c r="BE750" i="20"/>
  <c r="AZ780" i="20"/>
  <c r="AP795" i="20"/>
  <c r="AR804" i="20"/>
  <c r="BH810" i="20"/>
  <c r="AE831" i="20"/>
  <c r="X579" i="20"/>
  <c r="V693" i="20"/>
  <c r="BE720" i="20"/>
  <c r="AE732" i="20"/>
  <c r="AR750" i="20"/>
  <c r="AH789" i="20"/>
  <c r="Y801" i="20"/>
  <c r="AE93" i="20"/>
  <c r="C84" i="20"/>
  <c r="W78" i="20"/>
  <c r="AJ42" i="20"/>
  <c r="X372" i="20"/>
  <c r="S444" i="20"/>
  <c r="AH447" i="20"/>
  <c r="AN93" i="20"/>
  <c r="AC426" i="20"/>
  <c r="AN537" i="20"/>
  <c r="AM573" i="20"/>
  <c r="S612" i="20"/>
  <c r="AO690" i="20"/>
  <c r="V720" i="20"/>
  <c r="AX756" i="20"/>
  <c r="AQ759" i="20"/>
  <c r="AI768" i="20"/>
  <c r="AT789" i="20"/>
  <c r="BA798" i="20"/>
  <c r="AK798" i="20"/>
  <c r="BE801" i="20"/>
  <c r="BK807" i="20"/>
  <c r="X102" i="20"/>
  <c r="X96" i="20"/>
  <c r="X78" i="20"/>
  <c r="AY9" i="22"/>
  <c r="AI54" i="20"/>
  <c r="M9" i="21"/>
  <c r="F369" i="20"/>
  <c r="AN78" i="20"/>
  <c r="AK600" i="20"/>
  <c r="AK87" i="20"/>
  <c r="AG9" i="21"/>
  <c r="AD369" i="20"/>
  <c r="V444" i="20"/>
  <c r="AH444" i="20"/>
  <c r="AJ558" i="20"/>
  <c r="AA570" i="20"/>
  <c r="AD609" i="20"/>
  <c r="Y690" i="20"/>
  <c r="AU696" i="20"/>
  <c r="AX702" i="20"/>
  <c r="W711" i="20"/>
  <c r="AD741" i="20"/>
  <c r="AM114" i="20"/>
  <c r="M111" i="20"/>
  <c r="AC108" i="20"/>
  <c r="Q108" i="20"/>
  <c r="N99" i="20"/>
  <c r="I90" i="20"/>
  <c r="O87" i="20"/>
  <c r="AG84" i="20"/>
  <c r="P81" i="20"/>
  <c r="AE78" i="20"/>
  <c r="AH75" i="20"/>
  <c r="X66" i="20"/>
  <c r="Q63" i="20"/>
  <c r="AI60" i="20"/>
  <c r="AF60" i="20"/>
  <c r="U57" i="20"/>
  <c r="I57" i="20"/>
  <c r="J30" i="20"/>
  <c r="U363" i="20"/>
  <c r="N372" i="20"/>
  <c r="AN507" i="20"/>
  <c r="AJ510" i="20"/>
  <c r="B522" i="9"/>
  <c r="S552" i="20"/>
  <c r="W558" i="20"/>
  <c r="AH558" i="20"/>
  <c r="AN600" i="20"/>
  <c r="AH612" i="20"/>
  <c r="AH615" i="20"/>
  <c r="X711" i="20"/>
  <c r="AN735" i="20"/>
  <c r="AH756" i="20"/>
  <c r="AX789" i="20"/>
  <c r="AL804" i="20"/>
  <c r="AC834" i="20"/>
  <c r="AG111" i="20"/>
  <c r="Y111" i="20"/>
  <c r="AB108" i="20"/>
  <c r="S105" i="20"/>
  <c r="W105" i="20"/>
  <c r="AG99" i="20"/>
  <c r="Y87" i="20"/>
  <c r="R48" i="20"/>
  <c r="AF48" i="20"/>
  <c r="AD42" i="20"/>
  <c r="AL42" i="20"/>
  <c r="M33" i="20"/>
  <c r="H30" i="20"/>
  <c r="Y30" i="20"/>
  <c r="W363" i="20"/>
  <c r="AA372" i="20"/>
  <c r="U444" i="20"/>
  <c r="AM546" i="20"/>
  <c r="AM579" i="20"/>
  <c r="X714" i="20"/>
  <c r="AX801" i="20"/>
  <c r="AI810" i="20"/>
  <c r="AY822" i="20"/>
  <c r="X72" i="20"/>
  <c r="R372" i="20"/>
  <c r="P372" i="20"/>
  <c r="U516" i="20"/>
  <c r="AG516" i="20"/>
  <c r="AN543" i="20"/>
  <c r="B546" i="9"/>
  <c r="AK588" i="20"/>
  <c r="AE600" i="20"/>
  <c r="AO705" i="20"/>
  <c r="AO708" i="20"/>
  <c r="AL735" i="20"/>
  <c r="AW735" i="20"/>
  <c r="AJ780" i="20"/>
  <c r="BG804" i="20"/>
  <c r="AJ114" i="20"/>
  <c r="D114" i="20"/>
  <c r="N108" i="20"/>
  <c r="Z102" i="20"/>
  <c r="M93" i="20"/>
  <c r="H84" i="20"/>
  <c r="P60" i="20"/>
  <c r="AL51" i="20"/>
  <c r="AL45" i="20"/>
  <c r="Z45" i="20"/>
  <c r="AM36" i="20"/>
  <c r="Y36" i="20"/>
  <c r="O9" i="21"/>
  <c r="K366" i="20"/>
  <c r="AH369" i="20"/>
  <c r="AN429" i="20"/>
  <c r="W441" i="20"/>
  <c r="AN33" i="20"/>
  <c r="AN120" i="20"/>
  <c r="X501" i="20"/>
  <c r="AO507" i="20"/>
  <c r="U507" i="20"/>
  <c r="AG510" i="20"/>
  <c r="Z570" i="20"/>
  <c r="AH597" i="20"/>
  <c r="T603" i="20"/>
  <c r="AP705" i="20"/>
  <c r="AT714" i="20"/>
  <c r="BK741" i="20"/>
  <c r="AT741" i="20"/>
  <c r="AP744" i="20"/>
  <c r="AY747" i="20"/>
  <c r="AF753" i="20"/>
  <c r="AZ765" i="20"/>
  <c r="Z786" i="20"/>
  <c r="AL786" i="20"/>
  <c r="AX786" i="20"/>
  <c r="AJ816" i="20"/>
  <c r="BK831" i="20"/>
  <c r="O114" i="20"/>
  <c r="C114" i="20"/>
  <c r="AM105" i="20"/>
  <c r="AK90" i="20"/>
  <c r="AK63" i="20"/>
  <c r="O60" i="20"/>
  <c r="I60" i="20"/>
  <c r="AL36" i="20"/>
  <c r="L366" i="20"/>
  <c r="AM429" i="20"/>
  <c r="AN501" i="20"/>
  <c r="AS687" i="20"/>
  <c r="AG696" i="20"/>
  <c r="AL720" i="20"/>
  <c r="AB738" i="20"/>
  <c r="AI741" i="20"/>
  <c r="BI747" i="20"/>
  <c r="AI750" i="20"/>
  <c r="AP789" i="20"/>
  <c r="AN807" i="20"/>
  <c r="AF813" i="20"/>
  <c r="AM813" i="20"/>
  <c r="AC357" i="20"/>
  <c r="AA126" i="20"/>
  <c r="X9" i="22"/>
  <c r="S102" i="20"/>
  <c r="C99" i="20"/>
  <c r="AI24" i="20"/>
  <c r="AQ516" i="20"/>
  <c r="AN9" i="22"/>
  <c r="S573" i="20"/>
  <c r="AW615" i="20"/>
  <c r="T615" i="20"/>
  <c r="B615" i="9"/>
  <c r="T618" i="20"/>
  <c r="B618" i="9"/>
  <c r="AI141" i="20"/>
  <c r="AF9" i="22"/>
  <c r="X129" i="20"/>
  <c r="Q117" i="20"/>
  <c r="AC372" i="20"/>
  <c r="U357" i="20"/>
  <c r="W351" i="20"/>
  <c r="P132" i="20"/>
  <c r="AM135" i="20"/>
  <c r="O132" i="20"/>
  <c r="F129" i="20"/>
  <c r="C9" i="22"/>
  <c r="I123" i="20"/>
  <c r="AG117" i="20"/>
  <c r="W87" i="20"/>
  <c r="W72" i="20"/>
  <c r="AB357" i="20"/>
  <c r="P9" i="21"/>
  <c r="AG72" i="20"/>
  <c r="U72" i="20"/>
  <c r="AJ45" i="20"/>
  <c r="K72" i="20"/>
  <c r="Y105" i="20"/>
  <c r="R81" i="20"/>
  <c r="AL66" i="20"/>
  <c r="U63" i="20"/>
  <c r="W48" i="20"/>
  <c r="N357" i="20"/>
  <c r="AE108" i="20"/>
  <c r="AH105" i="20"/>
  <c r="AJ54" i="20"/>
  <c r="AC36" i="20"/>
  <c r="AA366" i="20"/>
  <c r="AC441" i="20"/>
  <c r="D93" i="20"/>
  <c r="AI84" i="20"/>
  <c r="D81" i="20"/>
  <c r="Z24" i="20"/>
  <c r="AN60" i="20"/>
  <c r="W513" i="20"/>
  <c r="BC723" i="20"/>
  <c r="AJ129" i="20"/>
  <c r="B576" i="9"/>
  <c r="BK711" i="20"/>
  <c r="AI9" i="21"/>
  <c r="AL426" i="20"/>
  <c r="Y507" i="20"/>
  <c r="X690" i="20"/>
  <c r="Z732" i="20"/>
  <c r="AT774" i="20"/>
  <c r="AN99" i="20"/>
  <c r="B510" i="9"/>
  <c r="B600" i="9"/>
  <c r="AW711" i="20"/>
  <c r="V717" i="20"/>
  <c r="BG714" i="20"/>
  <c r="AZ801" i="20"/>
  <c r="B603" i="9"/>
  <c r="AL723" i="20"/>
  <c r="BA738" i="20"/>
  <c r="B507" i="9"/>
  <c r="X783" i="20"/>
  <c r="AK429" i="20"/>
  <c r="B585" i="9"/>
  <c r="AB816" i="20"/>
  <c r="AI834" i="20"/>
  <c r="B558" i="9"/>
  <c r="AZ777" i="20"/>
  <c r="AV783" i="20"/>
  <c r="W492" i="20"/>
  <c r="T612" i="20"/>
  <c r="BB708" i="20"/>
  <c r="AD837" i="20"/>
  <c r="AP837" i="20"/>
  <c r="BB837" i="20"/>
  <c r="AR837" i="20"/>
  <c r="AL870" i="20" l="1"/>
  <c r="BB870" i="20"/>
  <c r="AD9" i="22"/>
  <c r="C9" i="23"/>
  <c r="AG29" i="21"/>
  <c r="AG32" i="21"/>
  <c r="AG31" i="21"/>
  <c r="AH28" i="21"/>
  <c r="AG33" i="21"/>
  <c r="AG30" i="21"/>
  <c r="E9" i="23"/>
  <c r="I9" i="23"/>
  <c r="B495" i="9"/>
  <c r="U9" i="22"/>
  <c r="AE9" i="21"/>
  <c r="E9" i="22"/>
  <c r="AJ366" i="20"/>
  <c r="B504" i="9"/>
  <c r="X504" i="20"/>
  <c r="Y117" i="20"/>
  <c r="U120" i="20"/>
  <c r="U9" i="23" s="1"/>
  <c r="Y573" i="20"/>
  <c r="B293" i="20"/>
  <c r="B293" i="9"/>
  <c r="Y558" i="20"/>
  <c r="B534" i="9"/>
  <c r="N9" i="22"/>
  <c r="F366" i="20"/>
  <c r="F9" i="23" s="1"/>
  <c r="Q9" i="23"/>
  <c r="Y9" i="21"/>
  <c r="L9" i="22"/>
  <c r="AM363" i="20"/>
  <c r="B540" i="9"/>
  <c r="AJ357" i="20"/>
  <c r="L357" i="20"/>
  <c r="AG354" i="20"/>
  <c r="AK351" i="20"/>
  <c r="AC351" i="20"/>
  <c r="P147" i="20"/>
  <c r="I138" i="20"/>
  <c r="S132" i="20"/>
  <c r="S9" i="23" s="1"/>
  <c r="G126" i="20"/>
  <c r="K120" i="20"/>
  <c r="AP498" i="20"/>
  <c r="AP612" i="20"/>
  <c r="AQ9" i="21"/>
  <c r="AJ9" i="22"/>
  <c r="AD9" i="21"/>
  <c r="Y363" i="20"/>
  <c r="AB444" i="20"/>
  <c r="AM495" i="20"/>
  <c r="AL495" i="20"/>
  <c r="U9" i="21"/>
  <c r="AN9" i="21"/>
  <c r="AK693" i="20"/>
  <c r="B447" i="9"/>
  <c r="B294" i="8"/>
  <c r="AR846" i="20"/>
  <c r="O9" i="23"/>
  <c r="Z9" i="21"/>
  <c r="Z366" i="20"/>
  <c r="T426" i="20"/>
  <c r="T9" i="23" s="1"/>
  <c r="AM378" i="20"/>
  <c r="AA9" i="21"/>
  <c r="B8" i="21" s="1"/>
  <c r="B16" i="21" s="1"/>
  <c r="S9" i="21"/>
  <c r="T9" i="22"/>
  <c r="V9" i="21"/>
  <c r="S9" i="22"/>
  <c r="J9" i="22"/>
  <c r="H36" i="20"/>
  <c r="AB9" i="22"/>
  <c r="AN426" i="20"/>
  <c r="P504" i="20"/>
  <c r="AP9" i="21"/>
  <c r="W537" i="20"/>
  <c r="AF66" i="20"/>
  <c r="AF9" i="23" s="1"/>
  <c r="AJ429" i="20"/>
  <c r="Y510" i="20"/>
  <c r="B594" i="9"/>
  <c r="AO9" i="21"/>
  <c r="D9" i="23"/>
  <c r="AC9" i="21"/>
  <c r="AK9" i="22"/>
  <c r="D72" i="20"/>
  <c r="AM384" i="20"/>
  <c r="AP9" i="22"/>
  <c r="AG792" i="20"/>
  <c r="AX843" i="20"/>
  <c r="Q9" i="22"/>
  <c r="K9" i="23"/>
  <c r="Y9" i="22"/>
  <c r="R9" i="23"/>
  <c r="G9" i="23"/>
  <c r="N9" i="23"/>
  <c r="V36" i="20"/>
  <c r="V9" i="23" s="1"/>
  <c r="S429" i="20"/>
  <c r="BG867" i="20"/>
  <c r="M9" i="23"/>
  <c r="J9" i="23"/>
  <c r="H9" i="23"/>
  <c r="L9" i="23"/>
  <c r="B294" i="20"/>
  <c r="B294" i="9"/>
  <c r="AA723" i="20"/>
  <c r="AG708" i="20"/>
  <c r="AU729" i="20"/>
  <c r="BC756" i="20"/>
  <c r="AM756" i="20"/>
  <c r="BG765" i="20"/>
  <c r="AS846" i="20"/>
  <c r="BD849" i="20"/>
  <c r="AH855" i="20"/>
  <c r="AJ861" i="20"/>
  <c r="Y720" i="20"/>
  <c r="AF729" i="20"/>
  <c r="AJ837" i="20"/>
  <c r="BE852" i="20"/>
  <c r="AR852" i="20"/>
  <c r="AI855" i="20"/>
  <c r="AK861" i="20"/>
  <c r="AC867" i="20"/>
  <c r="B624" i="9"/>
  <c r="AH699" i="20"/>
  <c r="AH9" i="23" s="1"/>
  <c r="AX690" i="20"/>
  <c r="AJ699" i="20"/>
  <c r="AB711" i="20"/>
  <c r="AP726" i="20"/>
  <c r="BB723" i="20"/>
  <c r="BE726" i="20"/>
  <c r="BI714" i="20"/>
  <c r="BI726" i="20"/>
  <c r="AJ738" i="20"/>
  <c r="AW738" i="20"/>
  <c r="W738" i="20"/>
  <c r="AC792" i="20"/>
  <c r="AQ840" i="20"/>
  <c r="BC840" i="20"/>
  <c r="AA840" i="20"/>
  <c r="AA9" i="23" s="1"/>
  <c r="BF840" i="20"/>
  <c r="AV843" i="20"/>
  <c r="AJ846" i="20"/>
  <c r="AP858" i="20"/>
  <c r="AF867" i="20"/>
  <c r="AC9" i="22"/>
  <c r="AS9" i="22"/>
  <c r="Y693" i="20"/>
  <c r="W696" i="20"/>
  <c r="X705" i="20"/>
  <c r="X9" i="23" s="1"/>
  <c r="AK720" i="20"/>
  <c r="BK750" i="20"/>
  <c r="AU753" i="20"/>
  <c r="AJ768" i="20"/>
  <c r="AZ768" i="20"/>
  <c r="AB768" i="20"/>
  <c r="BF765" i="20"/>
  <c r="AU777" i="20"/>
  <c r="BI780" i="20"/>
  <c r="Y810" i="20"/>
  <c r="AV810" i="20"/>
  <c r="BF825" i="20"/>
  <c r="AS828" i="20"/>
  <c r="BI828" i="20"/>
  <c r="AR840" i="20"/>
  <c r="AW843" i="20"/>
  <c r="AT858" i="20"/>
  <c r="BH858" i="20"/>
  <c r="BE861" i="20"/>
  <c r="AT864" i="20"/>
  <c r="AS867" i="20"/>
  <c r="BD867" i="20"/>
  <c r="AG852" i="20"/>
  <c r="AG9" i="23" s="1"/>
  <c r="AG864" i="20"/>
  <c r="AU864" i="20"/>
  <c r="AE9" i="22"/>
  <c r="AU9" i="22"/>
  <c r="AC429" i="20"/>
  <c r="AN123" i="20"/>
  <c r="BH729" i="20"/>
  <c r="AS735" i="20"/>
  <c r="AX735" i="20"/>
  <c r="AM750" i="20"/>
  <c r="AY753" i="20"/>
  <c r="AY9" i="23" s="1"/>
  <c r="BI762" i="20"/>
  <c r="AC762" i="20"/>
  <c r="AH777" i="20"/>
  <c r="AU780" i="20"/>
  <c r="BC783" i="20"/>
  <c r="AG789" i="20"/>
  <c r="AW789" i="20"/>
  <c r="BA792" i="20"/>
  <c r="AC795" i="20"/>
  <c r="BH795" i="20"/>
  <c r="Y807" i="20"/>
  <c r="BE810" i="20"/>
  <c r="AW822" i="20"/>
  <c r="BE822" i="20"/>
  <c r="AW846" i="20"/>
  <c r="AA849" i="20"/>
  <c r="AG858" i="20"/>
  <c r="AV858" i="20"/>
  <c r="BJ858" i="20"/>
  <c r="BF867" i="20"/>
  <c r="AL690" i="20"/>
  <c r="AL9" i="23" s="1"/>
  <c r="AB696" i="20"/>
  <c r="BI717" i="20"/>
  <c r="BI729" i="20"/>
  <c r="AD735" i="20"/>
  <c r="BB750" i="20"/>
  <c r="BE780" i="20"/>
  <c r="AU792" i="20"/>
  <c r="BI795" i="20"/>
  <c r="BC804" i="20"/>
  <c r="AH807" i="20"/>
  <c r="AX807" i="20"/>
  <c r="AE816" i="20"/>
  <c r="Z822" i="20"/>
  <c r="BC828" i="20"/>
  <c r="AT840" i="20"/>
  <c r="AL843" i="20"/>
  <c r="AX846" i="20"/>
  <c r="AL852" i="20"/>
  <c r="AZ861" i="20"/>
  <c r="AW864" i="20"/>
  <c r="BC864" i="20"/>
  <c r="P429" i="20"/>
  <c r="P9" i="23" s="1"/>
  <c r="BG750" i="20"/>
  <c r="AQ750" i="20"/>
  <c r="BD768" i="20"/>
  <c r="AM774" i="20"/>
  <c r="AP780" i="20"/>
  <c r="AK786" i="20"/>
  <c r="AQ789" i="20"/>
  <c r="AW798" i="20"/>
  <c r="AQ807" i="20"/>
  <c r="AI807" i="20"/>
  <c r="AI9" i="23" s="1"/>
  <c r="AN690" i="20"/>
  <c r="BE708" i="20"/>
  <c r="AN732" i="20"/>
  <c r="BC744" i="20"/>
  <c r="BG747" i="20"/>
  <c r="AG771" i="20"/>
  <c r="Y774" i="20"/>
  <c r="AN774" i="20"/>
  <c r="AE765" i="20"/>
  <c r="BG777" i="20"/>
  <c r="AA780" i="20"/>
  <c r="AQ780" i="20"/>
  <c r="AQ9" i="23" s="1"/>
  <c r="AR789" i="20"/>
  <c r="Y804" i="20"/>
  <c r="AW804" i="20"/>
  <c r="AR807" i="20"/>
  <c r="BG807" i="20"/>
  <c r="AE813" i="20"/>
  <c r="AW816" i="20"/>
  <c r="AQ819" i="20"/>
  <c r="BG819" i="20"/>
  <c r="AJ822" i="20"/>
  <c r="BA837" i="20"/>
  <c r="AS837" i="20"/>
  <c r="AN843" i="20"/>
  <c r="AC846" i="20"/>
  <c r="AB852" i="20"/>
  <c r="AO855" i="20"/>
  <c r="AB855" i="20"/>
  <c r="BG858" i="20"/>
  <c r="AC861" i="20"/>
  <c r="AP861" i="20"/>
  <c r="BB861" i="20"/>
  <c r="BJ861" i="20"/>
  <c r="BK864" i="20"/>
  <c r="AV867" i="20"/>
  <c r="BH867" i="20"/>
  <c r="AV870" i="20"/>
  <c r="AV9" i="23" s="1"/>
  <c r="BB717" i="20"/>
  <c r="BH720" i="20"/>
  <c r="AC732" i="20"/>
  <c r="AS732" i="20"/>
  <c r="AP747" i="20"/>
  <c r="Z747" i="20"/>
  <c r="BE762" i="20"/>
  <c r="BF771" i="20"/>
  <c r="AX774" i="20"/>
  <c r="Z774" i="20"/>
  <c r="AS777" i="20"/>
  <c r="AB780" i="20"/>
  <c r="AI780" i="20"/>
  <c r="AK789" i="20"/>
  <c r="BA789" i="20"/>
  <c r="BA9" i="23" s="1"/>
  <c r="AC789" i="20"/>
  <c r="AX804" i="20"/>
  <c r="AR819" i="20"/>
  <c r="AK822" i="20"/>
  <c r="AM837" i="20"/>
  <c r="AO843" i="20"/>
  <c r="AD843" i="20"/>
  <c r="AX849" i="20"/>
  <c r="AC852" i="20"/>
  <c r="AD861" i="20"/>
  <c r="AQ861" i="20"/>
  <c r="BC861" i="20"/>
  <c r="AU861" i="20"/>
  <c r="BK861" i="20"/>
  <c r="AK864" i="20"/>
  <c r="AY864" i="20"/>
  <c r="AP864" i="20"/>
  <c r="AG870" i="20"/>
  <c r="AW870" i="20"/>
  <c r="AA870" i="20"/>
  <c r="AQ870" i="20"/>
  <c r="BG870" i="20"/>
  <c r="AN132" i="20"/>
  <c r="AN9" i="23" s="1"/>
  <c r="Z690" i="20"/>
  <c r="AF693" i="20"/>
  <c r="AT720" i="20"/>
  <c r="AD720" i="20"/>
  <c r="AD9" i="23" s="1"/>
  <c r="AB729" i="20"/>
  <c r="AD732" i="20"/>
  <c r="BE738" i="20"/>
  <c r="BK747" i="20"/>
  <c r="BE747" i="20"/>
  <c r="AV759" i="20"/>
  <c r="AF759" i="20"/>
  <c r="AN762" i="20"/>
  <c r="BG771" i="20"/>
  <c r="BC765" i="20"/>
  <c r="Y786" i="20"/>
  <c r="BI789" i="20"/>
  <c r="AQ804" i="20"/>
  <c r="AY816" i="20"/>
  <c r="AK819" i="20"/>
  <c r="BA819" i="20"/>
  <c r="AC819" i="20"/>
  <c r="BK834" i="20"/>
  <c r="AN837" i="20"/>
  <c r="BC837" i="20"/>
  <c r="BK837" i="20"/>
  <c r="AX840" i="20"/>
  <c r="BK846" i="20"/>
  <c r="AM846" i="20"/>
  <c r="AO849" i="20"/>
  <c r="AZ849" i="20"/>
  <c r="AY849" i="20"/>
  <c r="BG855" i="20"/>
  <c r="AW858" i="20"/>
  <c r="AV861" i="20"/>
  <c r="AZ864" i="20"/>
  <c r="AZ9" i="23" s="1"/>
  <c r="AB690" i="20"/>
  <c r="AG693" i="20"/>
  <c r="AG744" i="20"/>
  <c r="BJ759" i="20"/>
  <c r="AU759" i="20"/>
  <c r="AE759" i="20"/>
  <c r="BJ762" i="20"/>
  <c r="AT762" i="20"/>
  <c r="AD762" i="20"/>
  <c r="BH768" i="20"/>
  <c r="BK786" i="20"/>
  <c r="BH804" i="20"/>
  <c r="BH816" i="20"/>
  <c r="AL819" i="20"/>
  <c r="AO837" i="20"/>
  <c r="BD837" i="20"/>
  <c r="BE843" i="20"/>
  <c r="AQ846" i="20"/>
  <c r="AP852" i="20"/>
  <c r="BA852" i="20"/>
  <c r="AT855" i="20"/>
  <c r="AW861" i="20"/>
  <c r="AM864" i="20"/>
  <c r="AB864" i="20"/>
  <c r="AI870" i="20"/>
  <c r="AY870" i="20"/>
  <c r="V714" i="20"/>
  <c r="AS771" i="20"/>
  <c r="AK816" i="20"/>
  <c r="AS816" i="20"/>
  <c r="BE837" i="20"/>
  <c r="BI840" i="20"/>
  <c r="AJ840" i="20"/>
  <c r="AT843" i="20"/>
  <c r="AA846" i="20"/>
  <c r="AO846" i="20"/>
  <c r="BB849" i="20"/>
  <c r="BD852" i="20"/>
  <c r="AH861" i="20"/>
  <c r="AN864" i="20"/>
  <c r="BB864" i="20"/>
  <c r="AC864" i="20"/>
  <c r="Z867" i="20"/>
  <c r="BK867" i="20"/>
  <c r="AJ870" i="20"/>
  <c r="AZ870" i="20"/>
  <c r="AS690" i="20"/>
  <c r="AP702" i="20"/>
  <c r="AO702" i="20"/>
  <c r="AI717" i="20"/>
  <c r="AR723" i="20"/>
  <c r="BB714" i="20"/>
  <c r="BH711" i="20"/>
  <c r="AS744" i="20"/>
  <c r="AI759" i="20"/>
  <c r="AD771" i="20"/>
  <c r="AE783" i="20"/>
  <c r="AQ825" i="20"/>
  <c r="AB846" i="20"/>
  <c r="BJ855" i="20"/>
  <c r="AA867" i="20"/>
  <c r="AF9" i="21"/>
  <c r="AV9" i="21"/>
  <c r="AK870" i="20"/>
  <c r="BA870" i="20"/>
  <c r="AE780" i="20"/>
  <c r="BE789" i="20"/>
  <c r="AE864" i="20"/>
  <c r="AQ867" i="20"/>
  <c r="AY840" i="20"/>
  <c r="BB9" i="23"/>
  <c r="AE777" i="20"/>
  <c r="AU843" i="20"/>
  <c r="AW837" i="20"/>
  <c r="AW9" i="23"/>
  <c r="AR720" i="20"/>
  <c r="AH735" i="20"/>
  <c r="AK843" i="20"/>
  <c r="W753" i="20"/>
  <c r="W9" i="23" s="1"/>
  <c r="BJ834" i="20"/>
  <c r="AB849" i="20"/>
  <c r="AH870" i="20"/>
  <c r="Z870" i="20"/>
  <c r="AP870" i="20"/>
  <c r="BF870" i="20"/>
  <c r="AX870" i="20"/>
  <c r="AB870" i="20"/>
  <c r="AR870" i="20"/>
  <c r="BH870" i="20"/>
  <c r="AC870" i="20"/>
  <c r="AS870" i="20"/>
  <c r="AS9" i="23" s="1"/>
  <c r="BI870" i="20"/>
  <c r="AM870" i="20"/>
  <c r="BC870" i="20"/>
  <c r="AD870" i="20"/>
  <c r="AT870" i="20"/>
  <c r="AT9" i="23" s="1"/>
  <c r="BJ870" i="20"/>
  <c r="BD870" i="20"/>
  <c r="AE870" i="20"/>
  <c r="AE9" i="23" s="1"/>
  <c r="AU870" i="20"/>
  <c r="AU9" i="23" s="1"/>
  <c r="BK870" i="20"/>
  <c r="AO870" i="20"/>
  <c r="AO9" i="23" s="1"/>
  <c r="BE870" i="20"/>
  <c r="AF870" i="20"/>
  <c r="AN870" i="20"/>
  <c r="AX9" i="23" l="1"/>
  <c r="AJ9" i="23"/>
  <c r="B8" i="22"/>
  <c r="B16" i="22" s="1"/>
  <c r="AB19" i="22" s="1"/>
  <c r="AM19" i="21"/>
  <c r="I18" i="21"/>
  <c r="V19" i="21"/>
  <c r="AM20" i="21"/>
  <c r="AM21" i="21" s="1"/>
  <c r="Q18" i="21"/>
  <c r="AK19" i="21"/>
  <c r="K18" i="21"/>
  <c r="AH20" i="21"/>
  <c r="AH21" i="21" s="1"/>
  <c r="T20" i="21"/>
  <c r="T21" i="21" s="1"/>
  <c r="AH18" i="21"/>
  <c r="E19" i="21"/>
  <c r="G18" i="21"/>
  <c r="M18" i="21"/>
  <c r="H18" i="21"/>
  <c r="H20" i="21"/>
  <c r="H21" i="21" s="1"/>
  <c r="M20" i="21"/>
  <c r="M21" i="21" s="1"/>
  <c r="AJ18" i="21"/>
  <c r="L20" i="21"/>
  <c r="L21" i="21" s="1"/>
  <c r="X18" i="21"/>
  <c r="AO18" i="21"/>
  <c r="AW19" i="21"/>
  <c r="C20" i="21"/>
  <c r="C21" i="21" s="1"/>
  <c r="AF19" i="21"/>
  <c r="X19" i="21"/>
  <c r="AC18" i="21"/>
  <c r="N18" i="21"/>
  <c r="Z18" i="21"/>
  <c r="AW20" i="21"/>
  <c r="AW21" i="21" s="1"/>
  <c r="X20" i="21"/>
  <c r="X21" i="21" s="1"/>
  <c r="R18" i="21"/>
  <c r="AU18" i="21"/>
  <c r="V20" i="21"/>
  <c r="V21" i="21" s="1"/>
  <c r="AN20" i="21"/>
  <c r="AN21" i="21" s="1"/>
  <c r="M19" i="21"/>
  <c r="AD18" i="21"/>
  <c r="Q20" i="21"/>
  <c r="Q21" i="21" s="1"/>
  <c r="K20" i="21"/>
  <c r="K21" i="21" s="1"/>
  <c r="AF20" i="21"/>
  <c r="AF21" i="21" s="1"/>
  <c r="R19" i="21"/>
  <c r="D20" i="21"/>
  <c r="D21" i="21" s="1"/>
  <c r="F18" i="21"/>
  <c r="E18" i="21"/>
  <c r="AI18" i="21"/>
  <c r="W20" i="21"/>
  <c r="W21" i="21" s="1"/>
  <c r="D18" i="21"/>
  <c r="N20" i="21"/>
  <c r="N21" i="21" s="1"/>
  <c r="AO19" i="21"/>
  <c r="AG18" i="21"/>
  <c r="B20" i="21"/>
  <c r="B21" i="21" s="1"/>
  <c r="P19" i="21"/>
  <c r="F19" i="21"/>
  <c r="Z20" i="21"/>
  <c r="Z21" i="21" s="1"/>
  <c r="AI19" i="21"/>
  <c r="AQ19" i="21"/>
  <c r="AA19" i="21"/>
  <c r="B19" i="21"/>
  <c r="U19" i="21"/>
  <c r="AQ20" i="21"/>
  <c r="AQ21" i="21" s="1"/>
  <c r="AO20" i="21"/>
  <c r="AO21" i="21" s="1"/>
  <c r="W18" i="21"/>
  <c r="O20" i="21"/>
  <c r="O21" i="21" s="1"/>
  <c r="AG19" i="21"/>
  <c r="AR18" i="21"/>
  <c r="N19" i="21"/>
  <c r="AA20" i="21"/>
  <c r="AA21" i="21" s="1"/>
  <c r="J19" i="21"/>
  <c r="AB20" i="21"/>
  <c r="AB21" i="21" s="1"/>
  <c r="D19" i="21"/>
  <c r="AM18" i="21"/>
  <c r="AT19" i="21"/>
  <c r="AN18" i="21"/>
  <c r="G19" i="21"/>
  <c r="S18" i="21"/>
  <c r="G20" i="21"/>
  <c r="G21" i="21" s="1"/>
  <c r="AT20" i="21"/>
  <c r="AT21" i="21" s="1"/>
  <c r="AB19" i="21"/>
  <c r="T19" i="21"/>
  <c r="AH19" i="21"/>
  <c r="J20" i="21"/>
  <c r="J21" i="21" s="1"/>
  <c r="O18" i="21"/>
  <c r="AI20" i="21"/>
  <c r="AI21" i="21" s="1"/>
  <c r="O19" i="21"/>
  <c r="AV20" i="21"/>
  <c r="AV21" i="21" s="1"/>
  <c r="AP18" i="21"/>
  <c r="AU19" i="21"/>
  <c r="AD20" i="21"/>
  <c r="AD21" i="21" s="1"/>
  <c r="V18" i="21"/>
  <c r="R20" i="21"/>
  <c r="R21" i="21" s="1"/>
  <c r="Y19" i="21"/>
  <c r="AQ18" i="21"/>
  <c r="AB18" i="21"/>
  <c r="K19" i="21"/>
  <c r="AT18" i="21"/>
  <c r="AU20" i="21"/>
  <c r="AU21" i="21" s="1"/>
  <c r="AF18" i="21"/>
  <c r="AS20" i="21"/>
  <c r="AS21" i="21" s="1"/>
  <c r="L18" i="21"/>
  <c r="L19" i="21"/>
  <c r="P20" i="21"/>
  <c r="P21" i="21" s="1"/>
  <c r="C18" i="21"/>
  <c r="AR20" i="21"/>
  <c r="AR21" i="21" s="1"/>
  <c r="I19" i="21"/>
  <c r="AE20" i="21"/>
  <c r="AE21" i="21" s="1"/>
  <c r="C19" i="21"/>
  <c r="J18" i="21"/>
  <c r="AL18" i="21"/>
  <c r="AP20" i="21"/>
  <c r="AP21" i="21" s="1"/>
  <c r="AE19" i="21"/>
  <c r="AL20" i="21"/>
  <c r="AL21" i="21" s="1"/>
  <c r="Y20" i="21"/>
  <c r="Y21" i="21" s="1"/>
  <c r="AS18" i="21"/>
  <c r="F20" i="21"/>
  <c r="F21" i="21" s="1"/>
  <c r="S19" i="21"/>
  <c r="AS19" i="21"/>
  <c r="AE18" i="21"/>
  <c r="I20" i="21"/>
  <c r="I21" i="21" s="1"/>
  <c r="AK18" i="21"/>
  <c r="B18" i="21"/>
  <c r="AG20" i="21"/>
  <c r="AG21" i="21" s="1"/>
  <c r="AJ20" i="21"/>
  <c r="AJ21" i="21" s="1"/>
  <c r="AP19" i="21"/>
  <c r="P18" i="21"/>
  <c r="S20" i="21"/>
  <c r="S21" i="21" s="1"/>
  <c r="AJ19" i="21"/>
  <c r="H19" i="21"/>
  <c r="AW18" i="21"/>
  <c r="Y18" i="21"/>
  <c r="AN19" i="21"/>
  <c r="AV18" i="21"/>
  <c r="AL19" i="21"/>
  <c r="U18" i="21"/>
  <c r="Z19" i="21"/>
  <c r="AC20" i="21"/>
  <c r="AC21" i="21" s="1"/>
  <c r="AC19" i="21"/>
  <c r="T18" i="21"/>
  <c r="AD19" i="21"/>
  <c r="W19" i="21"/>
  <c r="AK20" i="21"/>
  <c r="AK21" i="21" s="1"/>
  <c r="Q19" i="21"/>
  <c r="AR19" i="21"/>
  <c r="U20" i="21"/>
  <c r="U21" i="21" s="1"/>
  <c r="AV19" i="21"/>
  <c r="E20" i="21"/>
  <c r="E21" i="21" s="1"/>
  <c r="W20" i="22"/>
  <c r="W21" i="22" s="1"/>
  <c r="AD20" i="22"/>
  <c r="AD21" i="22" s="1"/>
  <c r="AH20" i="22"/>
  <c r="AH21" i="22" s="1"/>
  <c r="Z19" i="22"/>
  <c r="AL20" i="22"/>
  <c r="AL21" i="22" s="1"/>
  <c r="U18" i="22"/>
  <c r="P19" i="22"/>
  <c r="S19" i="22"/>
  <c r="G19" i="22"/>
  <c r="AC19" i="22"/>
  <c r="AG20" i="22"/>
  <c r="AG21" i="22" s="1"/>
  <c r="AL18" i="22"/>
  <c r="X20" i="22"/>
  <c r="X21" i="22" s="1"/>
  <c r="Y20" i="22"/>
  <c r="Y21" i="22" s="1"/>
  <c r="E20" i="22"/>
  <c r="E21" i="22" s="1"/>
  <c r="B19" i="22"/>
  <c r="I19" i="22"/>
  <c r="AP9" i="23"/>
  <c r="Z9" i="23"/>
  <c r="BC9" i="23"/>
  <c r="AM9" i="23"/>
  <c r="AI28" i="21"/>
  <c r="AH30" i="21"/>
  <c r="AH33" i="21"/>
  <c r="AH32" i="21"/>
  <c r="AH31" i="21"/>
  <c r="AH29" i="21"/>
  <c r="AK9" i="23"/>
  <c r="AC9" i="23"/>
  <c r="Y9" i="23"/>
  <c r="AR9" i="23"/>
  <c r="AN20" i="22"/>
  <c r="AN21" i="22" s="1"/>
  <c r="AB18" i="22"/>
  <c r="D18" i="22"/>
  <c r="K19" i="22"/>
  <c r="AI19" i="22"/>
  <c r="AF19" i="22"/>
  <c r="AE20" i="22"/>
  <c r="AE21" i="22" s="1"/>
  <c r="N20" i="22"/>
  <c r="N21" i="22" s="1"/>
  <c r="AK18" i="22"/>
  <c r="J18" i="22"/>
  <c r="AM18" i="22"/>
  <c r="I20" i="22"/>
  <c r="I21" i="22" s="1"/>
  <c r="K18" i="22"/>
  <c r="Q18" i="22"/>
  <c r="B18" i="22"/>
  <c r="E18" i="22"/>
  <c r="F18" i="22"/>
  <c r="D19" i="22"/>
  <c r="AC18" i="22"/>
  <c r="AT19" i="22"/>
  <c r="Z18" i="22"/>
  <c r="J19" i="22"/>
  <c r="F19" i="22"/>
  <c r="I18" i="22"/>
  <c r="AR19" i="22"/>
  <c r="AT18" i="22"/>
  <c r="AE19" i="22"/>
  <c r="AS18" i="22"/>
  <c r="F20" i="22"/>
  <c r="F21" i="22" s="1"/>
  <c r="AG19" i="22"/>
  <c r="P20" i="22"/>
  <c r="P21" i="22" s="1"/>
  <c r="X18" i="22"/>
  <c r="X19" i="22"/>
  <c r="AS20" i="22"/>
  <c r="AS21" i="22" s="1"/>
  <c r="AA18" i="22"/>
  <c r="AO18" i="22"/>
  <c r="Q20" i="22"/>
  <c r="Q21" i="22" s="1"/>
  <c r="AD19" i="22"/>
  <c r="S20" i="22"/>
  <c r="S21" i="22" s="1"/>
  <c r="U19" i="22"/>
  <c r="T18" i="22"/>
  <c r="C18" i="22"/>
  <c r="Y18" i="22"/>
  <c r="AK19" i="22"/>
  <c r="AJ20" i="22"/>
  <c r="AJ21" i="22" s="1"/>
  <c r="O18" i="22"/>
  <c r="AO20" i="22"/>
  <c r="AO21" i="22" s="1"/>
  <c r="R18" i="22"/>
  <c r="AB9" i="23"/>
  <c r="AS19" i="22"/>
  <c r="AN19" i="22"/>
  <c r="V18" i="22"/>
  <c r="AM19" i="22"/>
  <c r="M18" i="22"/>
  <c r="S18" i="22"/>
  <c r="AR18" i="22"/>
  <c r="H18" i="22"/>
  <c r="C19" i="22"/>
  <c r="AN18" i="22"/>
  <c r="H19" i="22"/>
  <c r="M20" i="22"/>
  <c r="M21" i="22" s="1"/>
  <c r="AP19" i="22"/>
  <c r="O20" i="22"/>
  <c r="O21" i="22" s="1"/>
  <c r="AA20" i="22"/>
  <c r="AA21" i="22" s="1"/>
  <c r="G18" i="22"/>
  <c r="E19" i="22"/>
  <c r="AJ19" i="22"/>
  <c r="L19" i="22"/>
  <c r="D20" i="22"/>
  <c r="D21" i="22" s="1"/>
  <c r="W18" i="22"/>
  <c r="M19" i="22"/>
  <c r="L20" i="22"/>
  <c r="L21" i="22" s="1"/>
  <c r="U20" i="22"/>
  <c r="U21" i="22" s="1"/>
  <c r="AC20" i="22"/>
  <c r="AC21" i="22" s="1"/>
  <c r="AF18" i="22"/>
  <c r="AI20" i="22"/>
  <c r="AI21" i="22" s="1"/>
  <c r="AB20" i="22"/>
  <c r="AB21" i="22" s="1"/>
  <c r="B20" i="22"/>
  <c r="B21" i="22" s="1"/>
  <c r="AM20" i="22"/>
  <c r="AM21" i="22" s="1"/>
  <c r="AG18" i="22"/>
  <c r="N19" i="22"/>
  <c r="P18" i="22"/>
  <c r="Z20" i="22"/>
  <c r="Z21" i="22" s="1"/>
  <c r="R20" i="22"/>
  <c r="R21" i="22" s="1"/>
  <c r="AP20" i="22"/>
  <c r="AP21" i="22" s="1"/>
  <c r="AE18" i="22"/>
  <c r="AT20" i="22"/>
  <c r="AT21" i="22" s="1"/>
  <c r="AI18" i="22"/>
  <c r="AJ18" i="22"/>
  <c r="J20" i="22"/>
  <c r="J21" i="22" s="1"/>
  <c r="Y19" i="22"/>
  <c r="O19" i="22"/>
  <c r="N18" i="22"/>
  <c r="AH18" i="22"/>
  <c r="V20" i="22"/>
  <c r="V21" i="22" s="1"/>
  <c r="AP18" i="22"/>
  <c r="R19" i="22"/>
  <c r="L18" i="22"/>
  <c r="AA19" i="22"/>
  <c r="H20" i="22"/>
  <c r="H21" i="22" s="1"/>
  <c r="AR20" i="22"/>
  <c r="AR21" i="22" s="1"/>
  <c r="AF20" i="22"/>
  <c r="AF21" i="22" s="1"/>
  <c r="AQ19" i="22"/>
  <c r="W19" i="22"/>
  <c r="C20" i="22"/>
  <c r="C21" i="22" s="1"/>
  <c r="K20" i="22"/>
  <c r="K21" i="22" s="1"/>
  <c r="AQ20" i="22"/>
  <c r="AQ21" i="22" s="1"/>
  <c r="AD18" i="22"/>
  <c r="G20" i="22"/>
  <c r="G21" i="22" s="1"/>
  <c r="T20" i="22"/>
  <c r="T21" i="22" s="1"/>
  <c r="Q19" i="22"/>
  <c r="AQ18" i="22"/>
  <c r="V19" i="22"/>
  <c r="AA18" i="21"/>
  <c r="C22" i="21"/>
  <c r="C29" i="21" s="1"/>
  <c r="AL19" i="22" l="1"/>
  <c r="T19" i="22"/>
  <c r="AO19" i="22"/>
  <c r="AK20" i="22"/>
  <c r="AK21" i="22" s="1"/>
  <c r="AH19" i="22"/>
  <c r="AJ28" i="21"/>
  <c r="AI31" i="21"/>
  <c r="AI33" i="21"/>
  <c r="AI30" i="21"/>
  <c r="AI32" i="21"/>
  <c r="AI29" i="21"/>
  <c r="B8" i="23"/>
  <c r="B16" i="23" s="1"/>
  <c r="Z20" i="23" s="1"/>
  <c r="Z21" i="23" s="1"/>
  <c r="AS18" i="23"/>
  <c r="T19" i="23"/>
  <c r="AB20" i="23"/>
  <c r="AB21" i="23" s="1"/>
  <c r="AV19" i="23"/>
  <c r="AA19" i="23"/>
  <c r="I18" i="23"/>
  <c r="AD19" i="23"/>
  <c r="I19" i="23"/>
  <c r="W18" i="23"/>
  <c r="AL18" i="23"/>
  <c r="AW18" i="23"/>
  <c r="AQ18" i="23"/>
  <c r="E19" i="23"/>
  <c r="AQ20" i="23"/>
  <c r="AQ21" i="23" s="1"/>
  <c r="Y18" i="23"/>
  <c r="AC18" i="23"/>
  <c r="E20" i="23"/>
  <c r="E21" i="23" s="1"/>
  <c r="AU19" i="23"/>
  <c r="AU20" i="23"/>
  <c r="AU21" i="23" s="1"/>
  <c r="AK19" i="23"/>
  <c r="Y20" i="23"/>
  <c r="Y21" i="23" s="1"/>
  <c r="AK20" i="23"/>
  <c r="AK21" i="23" s="1"/>
  <c r="N18" i="23"/>
  <c r="V20" i="23"/>
  <c r="V21" i="23" s="1"/>
  <c r="L18" i="23"/>
  <c r="O20" i="23"/>
  <c r="O21" i="23" s="1"/>
  <c r="D18" i="23"/>
  <c r="V19" i="23"/>
  <c r="F18" i="23"/>
  <c r="AL20" i="23"/>
  <c r="AL21" i="23" s="1"/>
  <c r="AD20" i="23"/>
  <c r="AD21" i="23" s="1"/>
  <c r="AE20" i="23"/>
  <c r="AE21" i="23" s="1"/>
  <c r="AI18" i="23"/>
  <c r="R19" i="23"/>
  <c r="P19" i="23"/>
  <c r="M19" i="23"/>
  <c r="AA18" i="23"/>
  <c r="C18" i="23"/>
  <c r="M18" i="23"/>
  <c r="G18" i="23"/>
  <c r="B18" i="23"/>
  <c r="AB19" i="23"/>
  <c r="AV20" i="23"/>
  <c r="AV21" i="23" s="1"/>
  <c r="AT20" i="23"/>
  <c r="AT21" i="23" s="1"/>
  <c r="C22" i="22"/>
  <c r="C29" i="22" s="1"/>
  <c r="C32" i="22" s="1"/>
  <c r="C23" i="22"/>
  <c r="D28" i="22" s="1"/>
  <c r="C33" i="21"/>
  <c r="C30" i="21"/>
  <c r="D29" i="21"/>
  <c r="C31" i="21"/>
  <c r="C32" i="21"/>
  <c r="AO18" i="23" l="1"/>
  <c r="J18" i="23"/>
  <c r="AX19" i="23"/>
  <c r="AB18" i="23"/>
  <c r="AF18" i="23"/>
  <c r="M20" i="23"/>
  <c r="M21" i="23" s="1"/>
  <c r="X19" i="23"/>
  <c r="AL19" i="23"/>
  <c r="AI20" i="23"/>
  <c r="AI21" i="23" s="1"/>
  <c r="H20" i="23"/>
  <c r="H21" i="23" s="1"/>
  <c r="N20" i="23"/>
  <c r="N21" i="23" s="1"/>
  <c r="AM19" i="23"/>
  <c r="J19" i="23"/>
  <c r="AE19" i="23"/>
  <c r="D19" i="23"/>
  <c r="AH20" i="23"/>
  <c r="AH21" i="23" s="1"/>
  <c r="Q20" i="23"/>
  <c r="Q21" i="23" s="1"/>
  <c r="S20" i="23"/>
  <c r="S21" i="23" s="1"/>
  <c r="AP18" i="23"/>
  <c r="B20" i="23"/>
  <c r="B21" i="23" s="1"/>
  <c r="AI19" i="23"/>
  <c r="L19" i="23"/>
  <c r="Z19" i="23"/>
  <c r="AH18" i="23"/>
  <c r="AU18" i="23"/>
  <c r="AW20" i="23"/>
  <c r="AW21" i="23" s="1"/>
  <c r="J20" i="23"/>
  <c r="J21" i="23" s="1"/>
  <c r="O19" i="23"/>
  <c r="D20" i="23"/>
  <c r="D21" i="23" s="1"/>
  <c r="P20" i="23"/>
  <c r="P21" i="23" s="1"/>
  <c r="AM18" i="23"/>
  <c r="AT19" i="23"/>
  <c r="AK18" i="23"/>
  <c r="AV18" i="23"/>
  <c r="AN18" i="23"/>
  <c r="O18" i="23"/>
  <c r="AR19" i="23"/>
  <c r="AR18" i="23"/>
  <c r="Q18" i="23"/>
  <c r="AR20" i="23"/>
  <c r="AR21" i="23" s="1"/>
  <c r="B19" i="23"/>
  <c r="AS20" i="23"/>
  <c r="AS21" i="23" s="1"/>
  <c r="H18" i="23"/>
  <c r="L20" i="23"/>
  <c r="L21" i="23" s="1"/>
  <c r="Q19" i="23"/>
  <c r="T18" i="23"/>
  <c r="F20" i="23"/>
  <c r="F21" i="23" s="1"/>
  <c r="Z18" i="23"/>
  <c r="C19" i="23"/>
  <c r="T20" i="23"/>
  <c r="T21" i="23" s="1"/>
  <c r="U19" i="23"/>
  <c r="W19" i="23"/>
  <c r="AP19" i="23"/>
  <c r="K20" i="23"/>
  <c r="K21" i="23" s="1"/>
  <c r="K18" i="23"/>
  <c r="W20" i="23"/>
  <c r="W21" i="23" s="1"/>
  <c r="AP20" i="23"/>
  <c r="AP21" i="23" s="1"/>
  <c r="R20" i="23"/>
  <c r="R21" i="23" s="1"/>
  <c r="C20" i="23"/>
  <c r="C21" i="23" s="1"/>
  <c r="R18" i="23"/>
  <c r="AX20" i="23"/>
  <c r="AX21" i="23" s="1"/>
  <c r="AW19" i="23"/>
  <c r="S18" i="23"/>
  <c r="AG20" i="23"/>
  <c r="AG21" i="23" s="1"/>
  <c r="F19" i="23"/>
  <c r="AQ19" i="23"/>
  <c r="AO19" i="23"/>
  <c r="AG19" i="23"/>
  <c r="Y19" i="23"/>
  <c r="K19" i="23"/>
  <c r="AJ19" i="23"/>
  <c r="AN19" i="23"/>
  <c r="AH19" i="23"/>
  <c r="AG18" i="23"/>
  <c r="I20" i="23"/>
  <c r="I21" i="23" s="1"/>
  <c r="AJ20" i="23"/>
  <c r="AJ21" i="23" s="1"/>
  <c r="AE18" i="23"/>
  <c r="AN20" i="23"/>
  <c r="AN21" i="23" s="1"/>
  <c r="AT18" i="23"/>
  <c r="AM20" i="23"/>
  <c r="AM21" i="23" s="1"/>
  <c r="V18" i="23"/>
  <c r="AF19" i="23"/>
  <c r="G20" i="23"/>
  <c r="G21" i="23" s="1"/>
  <c r="H19" i="23"/>
  <c r="AO20" i="23"/>
  <c r="AO21" i="23" s="1"/>
  <c r="E18" i="23"/>
  <c r="X18" i="23"/>
  <c r="S19" i="23"/>
  <c r="N19" i="23"/>
  <c r="AC20" i="23"/>
  <c r="AC21" i="23" s="1"/>
  <c r="AF20" i="23"/>
  <c r="AF21" i="23" s="1"/>
  <c r="G19" i="23"/>
  <c r="AA20" i="23"/>
  <c r="AA21" i="23" s="1"/>
  <c r="AJ18" i="23"/>
  <c r="AC19" i="23"/>
  <c r="AD18" i="23"/>
  <c r="AX18" i="23"/>
  <c r="X20" i="23"/>
  <c r="X21" i="23" s="1"/>
  <c r="U18" i="23"/>
  <c r="U20" i="23"/>
  <c r="U21" i="23" s="1"/>
  <c r="AS19" i="23"/>
  <c r="P18" i="23"/>
  <c r="AJ31" i="21"/>
  <c r="AK28" i="21"/>
  <c r="AJ32" i="21"/>
  <c r="AJ30" i="21"/>
  <c r="AJ29" i="21"/>
  <c r="AJ33" i="21"/>
  <c r="D29" i="22"/>
  <c r="D30" i="22" s="1"/>
  <c r="E28" i="22"/>
  <c r="F28" i="22" s="1"/>
  <c r="C30" i="22"/>
  <c r="C31" i="22"/>
  <c r="C33" i="22"/>
  <c r="D30" i="21"/>
  <c r="D32" i="21"/>
  <c r="E29" i="21"/>
  <c r="D33" i="21"/>
  <c r="D31" i="21"/>
  <c r="C23" i="23" l="1"/>
  <c r="D28" i="23" s="1"/>
  <c r="D33" i="22"/>
  <c r="C22" i="23"/>
  <c r="C29" i="23" s="1"/>
  <c r="D29" i="23" s="1"/>
  <c r="AK30" i="21"/>
  <c r="AK32" i="21"/>
  <c r="AL28" i="21"/>
  <c r="AK29" i="21"/>
  <c r="AK33" i="21"/>
  <c r="AK31" i="21"/>
  <c r="D31" i="22"/>
  <c r="E29" i="22"/>
  <c r="E33" i="22" s="1"/>
  <c r="E28" i="23"/>
  <c r="D32" i="22"/>
  <c r="G28" i="22"/>
  <c r="E33" i="21"/>
  <c r="F29" i="21"/>
  <c r="E32" i="21"/>
  <c r="E30" i="21"/>
  <c r="E31" i="21"/>
  <c r="D30" i="23" l="1"/>
  <c r="D33" i="23"/>
  <c r="D31" i="23"/>
  <c r="E32" i="22"/>
  <c r="E31" i="22"/>
  <c r="AL31" i="21"/>
  <c r="AL33" i="21"/>
  <c r="AM28" i="21"/>
  <c r="AL29" i="21"/>
  <c r="AL32" i="21"/>
  <c r="AL30" i="21"/>
  <c r="F29" i="22"/>
  <c r="F33" i="22" s="1"/>
  <c r="C30" i="23"/>
  <c r="C33" i="23"/>
  <c r="C31" i="23"/>
  <c r="C32" i="23"/>
  <c r="E29" i="23"/>
  <c r="E32" i="23" s="1"/>
  <c r="F28" i="23"/>
  <c r="E30" i="23"/>
  <c r="D32" i="23"/>
  <c r="E30" i="22"/>
  <c r="H28" i="22"/>
  <c r="F31" i="21"/>
  <c r="F32" i="21"/>
  <c r="F30" i="21"/>
  <c r="G29" i="21"/>
  <c r="F33" i="21"/>
  <c r="F31" i="22" l="1"/>
  <c r="E31" i="23"/>
  <c r="F32" i="22"/>
  <c r="G29" i="22"/>
  <c r="G31" i="22" s="1"/>
  <c r="F30" i="22"/>
  <c r="AM32" i="21"/>
  <c r="AM30" i="21"/>
  <c r="AM29" i="21"/>
  <c r="AM33" i="21"/>
  <c r="AM31" i="21"/>
  <c r="G28" i="23"/>
  <c r="F29" i="23"/>
  <c r="F30" i="23" s="1"/>
  <c r="E33" i="23"/>
  <c r="I28" i="22"/>
  <c r="G30" i="21"/>
  <c r="G32" i="21"/>
  <c r="G33" i="21"/>
  <c r="H29" i="21"/>
  <c r="G31" i="21"/>
  <c r="F33" i="23" l="1"/>
  <c r="F31" i="23"/>
  <c r="G33" i="22"/>
  <c r="G32" i="22"/>
  <c r="H29" i="22"/>
  <c r="H31" i="22" s="1"/>
  <c r="F32" i="23"/>
  <c r="G30" i="22"/>
  <c r="H28" i="23"/>
  <c r="G29" i="23"/>
  <c r="G32" i="23" s="1"/>
  <c r="G31" i="23"/>
  <c r="G33" i="23"/>
  <c r="G30" i="23"/>
  <c r="H33" i="22"/>
  <c r="H32" i="22"/>
  <c r="I29" i="22"/>
  <c r="I31" i="22" s="1"/>
  <c r="J28" i="22"/>
  <c r="H33" i="21"/>
  <c r="H30" i="21"/>
  <c r="H31" i="21"/>
  <c r="H32" i="21"/>
  <c r="I29" i="21"/>
  <c r="H30" i="22" l="1"/>
  <c r="I32" i="22"/>
  <c r="I33" i="22"/>
  <c r="I28" i="23"/>
  <c r="H29" i="23"/>
  <c r="H31" i="23"/>
  <c r="H32" i="23"/>
  <c r="H30" i="23"/>
  <c r="H33" i="23"/>
  <c r="I30" i="22"/>
  <c r="K28" i="22"/>
  <c r="J29" i="22"/>
  <c r="J33" i="22" s="1"/>
  <c r="J29" i="21"/>
  <c r="I32" i="21"/>
  <c r="I31" i="21"/>
  <c r="I33" i="21"/>
  <c r="I30" i="21"/>
  <c r="I29" i="23" l="1"/>
  <c r="J28" i="23"/>
  <c r="I33" i="23"/>
  <c r="I30" i="23"/>
  <c r="I31" i="23"/>
  <c r="I32" i="23"/>
  <c r="J30" i="22"/>
  <c r="L28" i="22"/>
  <c r="K29" i="22"/>
  <c r="K30" i="22" s="1"/>
  <c r="J32" i="22"/>
  <c r="J31" i="22"/>
  <c r="J30" i="21"/>
  <c r="J31" i="21"/>
  <c r="K29" i="21"/>
  <c r="J33" i="21"/>
  <c r="J32" i="21"/>
  <c r="K28" i="23" l="1"/>
  <c r="J29" i="23"/>
  <c r="K33" i="22"/>
  <c r="K31" i="22"/>
  <c r="M28" i="22"/>
  <c r="L29" i="22"/>
  <c r="L32" i="22" s="1"/>
  <c r="K32" i="22"/>
  <c r="K32" i="21"/>
  <c r="K31" i="21"/>
  <c r="K33" i="21"/>
  <c r="L29" i="21"/>
  <c r="K30" i="21"/>
  <c r="J33" i="23" l="1"/>
  <c r="J32" i="23"/>
  <c r="J30" i="23"/>
  <c r="J31" i="23"/>
  <c r="K29" i="23"/>
  <c r="K30" i="23" s="1"/>
  <c r="L28" i="23"/>
  <c r="L31" i="22"/>
  <c r="L33" i="22"/>
  <c r="L30" i="22"/>
  <c r="M29" i="22"/>
  <c r="M33" i="22" s="1"/>
  <c r="N28" i="22"/>
  <c r="L30" i="21"/>
  <c r="L31" i="21"/>
  <c r="L33" i="21"/>
  <c r="M29" i="21"/>
  <c r="L32" i="21"/>
  <c r="K32" i="23" l="1"/>
  <c r="L29" i="23"/>
  <c r="L33" i="23" s="1"/>
  <c r="L32" i="23"/>
  <c r="M28" i="23"/>
  <c r="L30" i="23"/>
  <c r="L31" i="23"/>
  <c r="M32" i="22"/>
  <c r="M30" i="22"/>
  <c r="K31" i="23"/>
  <c r="K33" i="23"/>
  <c r="M31" i="22"/>
  <c r="N29" i="22"/>
  <c r="N32" i="22" s="1"/>
  <c r="O28" i="22"/>
  <c r="M33" i="21"/>
  <c r="N29" i="21"/>
  <c r="M32" i="21"/>
  <c r="M31" i="21"/>
  <c r="M30" i="21"/>
  <c r="N28" i="23" l="1"/>
  <c r="M29" i="23"/>
  <c r="N33" i="22"/>
  <c r="P28" i="22"/>
  <c r="O29" i="22"/>
  <c r="O32" i="22" s="1"/>
  <c r="N30" i="22"/>
  <c r="N31" i="22"/>
  <c r="N32" i="21"/>
  <c r="O29" i="21"/>
  <c r="N31" i="21"/>
  <c r="N33" i="21"/>
  <c r="N30" i="21"/>
  <c r="O31" i="22" l="1"/>
  <c r="M30" i="23"/>
  <c r="M31" i="23"/>
  <c r="M32" i="23"/>
  <c r="M33" i="23"/>
  <c r="O28" i="23"/>
  <c r="N29" i="23"/>
  <c r="O33" i="22"/>
  <c r="Q28" i="22"/>
  <c r="P29" i="22"/>
  <c r="P31" i="22" s="1"/>
  <c r="O30" i="22"/>
  <c r="P29" i="21"/>
  <c r="O32" i="21"/>
  <c r="O30" i="21"/>
  <c r="O31" i="21"/>
  <c r="O33" i="21"/>
  <c r="P32" i="22" l="1"/>
  <c r="O29" i="23"/>
  <c r="O30" i="23"/>
  <c r="P28" i="23"/>
  <c r="O32" i="23"/>
  <c r="O33" i="23"/>
  <c r="O31" i="23"/>
  <c r="N30" i="23"/>
  <c r="N33" i="23"/>
  <c r="N32" i="23"/>
  <c r="N31" i="23"/>
  <c r="P33" i="22"/>
  <c r="P30" i="22"/>
  <c r="Q29" i="22"/>
  <c r="Q33" i="22" s="1"/>
  <c r="R28" i="22"/>
  <c r="P33" i="21"/>
  <c r="Q29" i="21"/>
  <c r="P32" i="21"/>
  <c r="P31" i="21"/>
  <c r="P30" i="21"/>
  <c r="Q28" i="23" l="1"/>
  <c r="P29" i="23"/>
  <c r="P33" i="23" s="1"/>
  <c r="P32" i="23"/>
  <c r="P31" i="23"/>
  <c r="Q31" i="22"/>
  <c r="Q30" i="22"/>
  <c r="Q32" i="22"/>
  <c r="S28" i="22"/>
  <c r="R29" i="22"/>
  <c r="R32" i="22" s="1"/>
  <c r="R29" i="21"/>
  <c r="Q32" i="21"/>
  <c r="Q31" i="21"/>
  <c r="Q33" i="21"/>
  <c r="Q30" i="21"/>
  <c r="P30" i="23" l="1"/>
  <c r="Q29" i="23"/>
  <c r="Q32" i="23" s="1"/>
  <c r="R28" i="23"/>
  <c r="R33" i="22"/>
  <c r="R30" i="22"/>
  <c r="T28" i="22"/>
  <c r="S29" i="22"/>
  <c r="S32" i="22" s="1"/>
  <c r="R31" i="22"/>
  <c r="R32" i="21"/>
  <c r="R31" i="21"/>
  <c r="R33" i="21"/>
  <c r="R30" i="21"/>
  <c r="S29" i="21"/>
  <c r="Q33" i="23" l="1"/>
  <c r="Q30" i="23"/>
  <c r="Q31" i="23"/>
  <c r="S28" i="23"/>
  <c r="R29" i="23"/>
  <c r="R31" i="23" s="1"/>
  <c r="S33" i="22"/>
  <c r="S30" i="22"/>
  <c r="U28" i="22"/>
  <c r="T29" i="22"/>
  <c r="T30" i="22" s="1"/>
  <c r="S31" i="22"/>
  <c r="S33" i="21"/>
  <c r="T29" i="21"/>
  <c r="S31" i="21"/>
  <c r="S32" i="21"/>
  <c r="S30" i="21"/>
  <c r="R30" i="23" l="1"/>
  <c r="R32" i="23"/>
  <c r="R33" i="23"/>
  <c r="T28" i="23"/>
  <c r="S29" i="23"/>
  <c r="S33" i="23"/>
  <c r="S32" i="23"/>
  <c r="S31" i="23"/>
  <c r="S30" i="23"/>
  <c r="T32" i="22"/>
  <c r="T33" i="22"/>
  <c r="T31" i="22"/>
  <c r="U29" i="22"/>
  <c r="U30" i="22" s="1"/>
  <c r="V28" i="22"/>
  <c r="T33" i="21"/>
  <c r="U29" i="21"/>
  <c r="T31" i="21"/>
  <c r="T32" i="21"/>
  <c r="T30" i="21"/>
  <c r="U31" i="22" l="1"/>
  <c r="T29" i="23"/>
  <c r="T31" i="23" s="1"/>
  <c r="U28" i="23"/>
  <c r="T30" i="23"/>
  <c r="T33" i="23"/>
  <c r="U33" i="22"/>
  <c r="U32" i="22"/>
  <c r="V29" i="22"/>
  <c r="V33" i="22" s="1"/>
  <c r="W28" i="22"/>
  <c r="U30" i="21"/>
  <c r="U33" i="21"/>
  <c r="U32" i="21"/>
  <c r="U31" i="21"/>
  <c r="V29" i="21"/>
  <c r="T32" i="23" l="1"/>
  <c r="V28" i="23"/>
  <c r="U29" i="23"/>
  <c r="U31" i="23"/>
  <c r="V32" i="22"/>
  <c r="X28" i="22"/>
  <c r="W29" i="22"/>
  <c r="W32" i="22" s="1"/>
  <c r="V30" i="22"/>
  <c r="V31" i="22"/>
  <c r="V32" i="21"/>
  <c r="V31" i="21"/>
  <c r="V33" i="21"/>
  <c r="V30" i="21"/>
  <c r="W29" i="21"/>
  <c r="U33" i="23" l="1"/>
  <c r="U32" i="23"/>
  <c r="U30" i="23"/>
  <c r="V29" i="23"/>
  <c r="V30" i="23" s="1"/>
  <c r="W28" i="23"/>
  <c r="V33" i="23"/>
  <c r="V32" i="23"/>
  <c r="V31" i="23"/>
  <c r="W31" i="22"/>
  <c r="W33" i="22"/>
  <c r="Y28" i="22"/>
  <c r="X29" i="22"/>
  <c r="X33" i="22" s="1"/>
  <c r="W30" i="22"/>
  <c r="X29" i="21"/>
  <c r="W30" i="21"/>
  <c r="W32" i="21"/>
  <c r="W33" i="21"/>
  <c r="W31" i="21"/>
  <c r="X28" i="23" l="1"/>
  <c r="W29" i="23"/>
  <c r="W33" i="23" s="1"/>
  <c r="W32" i="23"/>
  <c r="X30" i="22"/>
  <c r="X32" i="22"/>
  <c r="X31" i="22"/>
  <c r="Y29" i="22"/>
  <c r="Y31" i="22" s="1"/>
  <c r="Z28" i="22"/>
  <c r="Y29" i="21"/>
  <c r="X33" i="21"/>
  <c r="X31" i="21"/>
  <c r="X30" i="21"/>
  <c r="X32" i="21"/>
  <c r="Y33" i="22" l="1"/>
  <c r="Y30" i="22"/>
  <c r="Y28" i="23"/>
  <c r="X29" i="23"/>
  <c r="X33" i="23" s="1"/>
  <c r="W30" i="23"/>
  <c r="W31" i="23"/>
  <c r="Y32" i="22"/>
  <c r="AA28" i="22"/>
  <c r="Z29" i="22"/>
  <c r="Z31" i="22" s="1"/>
  <c r="Y32" i="21"/>
  <c r="Y31" i="21"/>
  <c r="Z29" i="21"/>
  <c r="Y30" i="21"/>
  <c r="Y33" i="21"/>
  <c r="X30" i="23" l="1"/>
  <c r="X32" i="23"/>
  <c r="X31" i="23"/>
  <c r="Y29" i="23"/>
  <c r="Z28" i="23"/>
  <c r="Y32" i="23"/>
  <c r="Y30" i="23"/>
  <c r="Z32" i="22"/>
  <c r="AA31" i="22"/>
  <c r="AA30" i="22"/>
  <c r="AB28" i="22"/>
  <c r="AA32" i="22"/>
  <c r="AA29" i="22"/>
  <c r="AA33" i="22"/>
  <c r="Z30" i="22"/>
  <c r="Z33" i="22"/>
  <c r="Z31" i="21"/>
  <c r="AA29" i="21"/>
  <c r="Z30" i="21"/>
  <c r="Z32" i="21"/>
  <c r="Z33" i="21"/>
  <c r="Y31" i="23" l="1"/>
  <c r="Y33" i="23"/>
  <c r="AA28" i="23"/>
  <c r="Z29" i="23"/>
  <c r="Z30" i="23"/>
  <c r="AB33" i="22"/>
  <c r="AB29" i="22"/>
  <c r="AB30" i="22"/>
  <c r="AB32" i="22"/>
  <c r="AB31" i="22"/>
  <c r="AC28" i="22"/>
  <c r="AA30" i="21"/>
  <c r="AA31" i="21"/>
  <c r="AA32" i="21"/>
  <c r="AB29" i="21"/>
  <c r="AA33" i="21"/>
  <c r="Z31" i="23" l="1"/>
  <c r="Z32" i="23"/>
  <c r="Z33" i="23"/>
  <c r="AB28" i="23"/>
  <c r="AA29" i="23"/>
  <c r="AA33" i="23" s="1"/>
  <c r="AC31" i="22"/>
  <c r="AC29" i="22"/>
  <c r="AC30" i="22"/>
  <c r="AC32" i="22"/>
  <c r="AC33" i="22"/>
  <c r="AD28" i="22"/>
  <c r="AB33" i="21"/>
  <c r="AB32" i="21"/>
  <c r="AB30" i="21"/>
  <c r="AC29" i="21"/>
  <c r="AB31" i="21"/>
  <c r="AA31" i="23" l="1"/>
  <c r="AC28" i="23"/>
  <c r="AB32" i="23"/>
  <c r="AB30" i="23"/>
  <c r="AB29" i="23"/>
  <c r="AB33" i="23"/>
  <c r="AB31" i="23"/>
  <c r="AA30" i="23"/>
  <c r="AA32" i="23"/>
  <c r="AD31" i="22"/>
  <c r="AD30" i="22"/>
  <c r="AD29" i="22"/>
  <c r="AD33" i="22"/>
  <c r="AD32" i="22"/>
  <c r="AE28" i="22"/>
  <c r="AC32" i="21"/>
  <c r="AC33" i="21"/>
  <c r="AC31" i="21"/>
  <c r="AD29" i="21"/>
  <c r="AC30" i="21"/>
  <c r="AC33" i="23" l="1"/>
  <c r="AC30" i="23"/>
  <c r="AC29" i="23"/>
  <c r="AC32" i="23"/>
  <c r="AC31" i="23"/>
  <c r="AD28" i="23"/>
  <c r="AE31" i="22"/>
  <c r="AE30" i="22"/>
  <c r="AE32" i="22"/>
  <c r="AE33" i="22"/>
  <c r="AF28" i="22"/>
  <c r="AE29" i="22"/>
  <c r="AD30" i="21"/>
  <c r="AD31" i="21"/>
  <c r="AD33" i="21"/>
  <c r="AD32" i="21"/>
  <c r="AE29" i="21"/>
  <c r="AD31" i="23" l="1"/>
  <c r="AD32" i="23"/>
  <c r="AD30" i="23"/>
  <c r="AD29" i="23"/>
  <c r="AD33" i="23"/>
  <c r="AE28" i="23"/>
  <c r="AG28" i="22"/>
  <c r="AF30" i="22"/>
  <c r="AF33" i="22"/>
  <c r="AF29" i="22"/>
  <c r="AF32" i="22"/>
  <c r="AF31" i="22"/>
  <c r="AE33" i="21"/>
  <c r="AF29" i="21"/>
  <c r="AE32" i="21"/>
  <c r="AE31" i="21"/>
  <c r="AE30" i="21"/>
  <c r="AF28" i="23" l="1"/>
  <c r="AE32" i="23"/>
  <c r="AE33" i="23"/>
  <c r="AE29" i="23"/>
  <c r="AE30" i="23"/>
  <c r="AE31" i="23"/>
  <c r="AG32" i="22"/>
  <c r="AG33" i="22"/>
  <c r="AG31" i="22"/>
  <c r="AG29" i="22"/>
  <c r="AG30" i="22"/>
  <c r="AH28" i="22"/>
  <c r="AF30" i="21"/>
  <c r="AF32" i="21"/>
  <c r="AF31" i="21"/>
  <c r="AF33" i="21"/>
  <c r="A38" i="21" s="1" a="1"/>
  <c r="AF30" i="23" l="1"/>
  <c r="AF33" i="23"/>
  <c r="AF29" i="23"/>
  <c r="AG28" i="23"/>
  <c r="AF32" i="23"/>
  <c r="AF31" i="23"/>
  <c r="AH30" i="22"/>
  <c r="AH33" i="22"/>
  <c r="AH29" i="22"/>
  <c r="AH31" i="22"/>
  <c r="AI28" i="22"/>
  <c r="AH32" i="22"/>
  <c r="A52" i="21"/>
  <c r="D47" i="21"/>
  <c r="E47" i="21" s="1"/>
  <c r="C71" i="21"/>
  <c r="C49" i="21"/>
  <c r="B44" i="21"/>
  <c r="A72" i="21"/>
  <c r="A71" i="21"/>
  <c r="B70" i="21"/>
  <c r="B64" i="21"/>
  <c r="D50" i="21"/>
  <c r="E50" i="21" s="1"/>
  <c r="B50" i="21"/>
  <c r="C61" i="21"/>
  <c r="A66" i="21"/>
  <c r="A48" i="21"/>
  <c r="B59" i="21"/>
  <c r="B72" i="21"/>
  <c r="D63" i="21"/>
  <c r="E63" i="21" s="1"/>
  <c r="C68" i="21"/>
  <c r="A45" i="21"/>
  <c r="B43" i="21"/>
  <c r="D41" i="21"/>
  <c r="E41" i="21" s="1"/>
  <c r="A60" i="21"/>
  <c r="C63" i="21"/>
  <c r="C55" i="21"/>
  <c r="B60" i="21"/>
  <c r="B58" i="21"/>
  <c r="D68" i="21"/>
  <c r="E68" i="21" s="1"/>
  <c r="C65" i="21"/>
  <c r="B63" i="21"/>
  <c r="D57" i="21"/>
  <c r="E57" i="21" s="1"/>
  <c r="D38" i="21"/>
  <c r="C39" i="21"/>
  <c r="B42" i="21"/>
  <c r="A62" i="21"/>
  <c r="A51" i="21"/>
  <c r="B39" i="21"/>
  <c r="C66" i="21"/>
  <c r="C58" i="21"/>
  <c r="C48" i="21"/>
  <c r="C40" i="21"/>
  <c r="C52" i="21"/>
  <c r="A40" i="21"/>
  <c r="A53" i="21"/>
  <c r="B41" i="21"/>
  <c r="A47" i="21"/>
  <c r="D43" i="21"/>
  <c r="E43" i="21" s="1"/>
  <c r="B38" i="21"/>
  <c r="D60" i="21"/>
  <c r="E60" i="21" s="1"/>
  <c r="A67" i="21"/>
  <c r="D53" i="21"/>
  <c r="E53" i="21" s="1"/>
  <c r="D46" i="21"/>
  <c r="E46" i="21" s="1"/>
  <c r="A59" i="21"/>
  <c r="C38" i="21"/>
  <c r="D39" i="21"/>
  <c r="E39" i="21" s="1"/>
  <c r="B40" i="21"/>
  <c r="B55" i="21"/>
  <c r="A61" i="21"/>
  <c r="D44" i="21"/>
  <c r="E44" i="21" s="1"/>
  <c r="A57" i="21"/>
  <c r="A54" i="21"/>
  <c r="A56" i="21"/>
  <c r="D45" i="21"/>
  <c r="E45" i="21" s="1"/>
  <c r="B62" i="21"/>
  <c r="A58" i="21"/>
  <c r="B68" i="21"/>
  <c r="C59" i="21"/>
  <c r="D66" i="21"/>
  <c r="E66" i="21" s="1"/>
  <c r="C67" i="21"/>
  <c r="B48" i="21"/>
  <c r="A69" i="21"/>
  <c r="D40" i="21"/>
  <c r="E40" i="21" s="1"/>
  <c r="A43" i="21"/>
  <c r="C56" i="21"/>
  <c r="D64" i="21"/>
  <c r="E64" i="21" s="1"/>
  <c r="A65" i="21"/>
  <c r="C46" i="21"/>
  <c r="A63" i="21"/>
  <c r="C43" i="21"/>
  <c r="D54" i="21"/>
  <c r="E54" i="21" s="1"/>
  <c r="D61" i="21"/>
  <c r="E61" i="21" s="1"/>
  <c r="C53" i="21"/>
  <c r="B56" i="21"/>
  <c r="D70" i="21"/>
  <c r="E70" i="21" s="1"/>
  <c r="B52" i="21"/>
  <c r="A68" i="21"/>
  <c r="A50" i="21"/>
  <c r="D65" i="21"/>
  <c r="E65" i="21" s="1"/>
  <c r="D52" i="21"/>
  <c r="E52" i="21" s="1"/>
  <c r="B67" i="21"/>
  <c r="D49" i="21"/>
  <c r="E49" i="21" s="1"/>
  <c r="A39" i="21"/>
  <c r="C50" i="21"/>
  <c r="C57" i="21"/>
  <c r="B49" i="21"/>
  <c r="C69" i="21"/>
  <c r="D58" i="21"/>
  <c r="E58" i="21" s="1"/>
  <c r="A49" i="21"/>
  <c r="C64" i="21"/>
  <c r="D69" i="21"/>
  <c r="E69" i="21" s="1"/>
  <c r="A38" i="21"/>
  <c r="A64" i="21"/>
  <c r="B45" i="21"/>
  <c r="C62" i="21"/>
  <c r="B65" i="21"/>
  <c r="C51" i="21"/>
  <c r="D55" i="21"/>
  <c r="E55" i="21" s="1"/>
  <c r="C72" i="21"/>
  <c r="D67" i="21"/>
  <c r="E67" i="21" s="1"/>
  <c r="B53" i="21"/>
  <c r="B57" i="21"/>
  <c r="B51" i="21"/>
  <c r="D42" i="21"/>
  <c r="E42" i="21" s="1"/>
  <c r="C41" i="21"/>
  <c r="D48" i="21"/>
  <c r="E48" i="21" s="1"/>
  <c r="D51" i="21"/>
  <c r="E51" i="21" s="1"/>
  <c r="D56" i="21"/>
  <c r="E56" i="21" s="1"/>
  <c r="B54" i="21"/>
  <c r="C60" i="21"/>
  <c r="C70" i="21"/>
  <c r="D59" i="21"/>
  <c r="E59" i="21" s="1"/>
  <c r="D71" i="21"/>
  <c r="E71" i="21" s="1"/>
  <c r="A46" i="21"/>
  <c r="B69" i="21"/>
  <c r="C42" i="21"/>
  <c r="C44" i="21"/>
  <c r="C45" i="21"/>
  <c r="A55" i="21"/>
  <c r="A44" i="21"/>
  <c r="C47" i="21"/>
  <c r="A70" i="21"/>
  <c r="B47" i="21"/>
  <c r="B46" i="21"/>
  <c r="B66" i="21"/>
  <c r="A41" i="21"/>
  <c r="D72" i="21"/>
  <c r="E72" i="21" s="1"/>
  <c r="D62" i="21"/>
  <c r="E62" i="21" s="1"/>
  <c r="B61" i="21"/>
  <c r="B71" i="21"/>
  <c r="C54" i="21"/>
  <c r="A42" i="21"/>
  <c r="AG29" i="23" l="1"/>
  <c r="AH28" i="23"/>
  <c r="AG30" i="23"/>
  <c r="AG32" i="23"/>
  <c r="AG31" i="23"/>
  <c r="AG33" i="23"/>
  <c r="AI30" i="22"/>
  <c r="AJ28" i="22"/>
  <c r="AI32" i="22"/>
  <c r="AI29" i="22"/>
  <c r="AI31" i="22"/>
  <c r="AI33" i="22"/>
  <c r="AI28" i="23" l="1"/>
  <c r="AH32" i="23"/>
  <c r="AH31" i="23"/>
  <c r="AH33" i="23"/>
  <c r="AH30" i="23"/>
  <c r="AH29" i="23"/>
  <c r="AJ30" i="22"/>
  <c r="A38" i="22" s="1" a="1"/>
  <c r="AJ32" i="22"/>
  <c r="AJ33" i="22"/>
  <c r="AJ31" i="22"/>
  <c r="AJ29" i="22"/>
  <c r="AI31" i="23" l="1"/>
  <c r="AI30" i="23"/>
  <c r="AJ28" i="23"/>
  <c r="AI29" i="23"/>
  <c r="AI33" i="23"/>
  <c r="AI32" i="23"/>
  <c r="B38" i="22" a="1"/>
  <c r="D38" i="22" s="1"/>
  <c r="A72" i="22"/>
  <c r="A64" i="22"/>
  <c r="A47" i="22"/>
  <c r="A43" i="22"/>
  <c r="A52" i="22"/>
  <c r="A55" i="22"/>
  <c r="A65" i="22"/>
  <c r="A67" i="22"/>
  <c r="A62" i="22"/>
  <c r="A60" i="22"/>
  <c r="A57" i="22"/>
  <c r="A49" i="22"/>
  <c r="A70" i="22"/>
  <c r="A51" i="22"/>
  <c r="A39" i="22"/>
  <c r="A50" i="22"/>
  <c r="A48" i="22"/>
  <c r="A63" i="22"/>
  <c r="A41" i="22"/>
  <c r="A53" i="22"/>
  <c r="A54" i="22"/>
  <c r="A45" i="22"/>
  <c r="A56" i="22"/>
  <c r="A58" i="22"/>
  <c r="A38" i="22"/>
  <c r="A44" i="22"/>
  <c r="A59" i="22"/>
  <c r="A68" i="22"/>
  <c r="A66" i="22"/>
  <c r="A69" i="22"/>
  <c r="A71" i="22"/>
  <c r="A46" i="22"/>
  <c r="A42" i="22"/>
  <c r="A61" i="22"/>
  <c r="A40" i="22"/>
  <c r="AJ32" i="23" l="1"/>
  <c r="AJ31" i="23"/>
  <c r="AK28" i="23"/>
  <c r="AJ33" i="23"/>
  <c r="AJ30" i="23"/>
  <c r="AJ29" i="23"/>
  <c r="D57" i="22"/>
  <c r="E57" i="22" s="1"/>
  <c r="B50" i="22"/>
  <c r="B52" i="22"/>
  <c r="C69" i="22"/>
  <c r="B55" i="22"/>
  <c r="B64" i="22"/>
  <c r="C62" i="22"/>
  <c r="C51" i="22"/>
  <c r="D72" i="22"/>
  <c r="E72" i="22" s="1"/>
  <c r="D48" i="22"/>
  <c r="E48" i="22" s="1"/>
  <c r="B38" i="22"/>
  <c r="B49" i="22"/>
  <c r="D58" i="22"/>
  <c r="E58" i="22" s="1"/>
  <c r="C66" i="22"/>
  <c r="D52" i="22"/>
  <c r="E52" i="22" s="1"/>
  <c r="C59" i="22"/>
  <c r="B43" i="22"/>
  <c r="D51" i="22"/>
  <c r="E51" i="22" s="1"/>
  <c r="B63" i="22"/>
  <c r="B67" i="22"/>
  <c r="B71" i="22"/>
  <c r="D44" i="22"/>
  <c r="E44" i="22" s="1"/>
  <c r="B48" i="22"/>
  <c r="B65" i="22"/>
  <c r="C70" i="22"/>
  <c r="B53" i="22"/>
  <c r="D66" i="22"/>
  <c r="E66" i="22" s="1"/>
  <c r="D55" i="22"/>
  <c r="E55" i="22" s="1"/>
  <c r="D54" i="22"/>
  <c r="E54" i="22" s="1"/>
  <c r="D41" i="22"/>
  <c r="E41" i="22" s="1"/>
  <c r="D50" i="22"/>
  <c r="E50" i="22" s="1"/>
  <c r="D60" i="22"/>
  <c r="E60" i="22" s="1"/>
  <c r="B56" i="22"/>
  <c r="D53" i="22"/>
  <c r="E53" i="22" s="1"/>
  <c r="C58" i="22"/>
  <c r="C61" i="22"/>
  <c r="C67" i="22"/>
  <c r="D71" i="22"/>
  <c r="E71" i="22" s="1"/>
  <c r="C40" i="22"/>
  <c r="D63" i="22"/>
  <c r="E63" i="22" s="1"/>
  <c r="C41" i="22"/>
  <c r="D70" i="22"/>
  <c r="E70" i="22" s="1"/>
  <c r="B59" i="22"/>
  <c r="B61" i="22"/>
  <c r="C56" i="22"/>
  <c r="C48" i="22"/>
  <c r="D49" i="22"/>
  <c r="E49" i="22" s="1"/>
  <c r="D67" i="22"/>
  <c r="E67" i="22" s="1"/>
  <c r="D61" i="22"/>
  <c r="E61" i="22" s="1"/>
  <c r="C68" i="22"/>
  <c r="B44" i="22"/>
  <c r="B46" i="22"/>
  <c r="D62" i="22"/>
  <c r="E62" i="22" s="1"/>
  <c r="C43" i="22"/>
  <c r="C65" i="22"/>
  <c r="D46" i="22"/>
  <c r="E46" i="22" s="1"/>
  <c r="C42" i="22"/>
  <c r="D68" i="22"/>
  <c r="E68" i="22" s="1"/>
  <c r="B54" i="22"/>
  <c r="C47" i="22"/>
  <c r="C71" i="22"/>
  <c r="D47" i="22"/>
  <c r="E47" i="22" s="1"/>
  <c r="C60" i="22"/>
  <c r="B40" i="22"/>
  <c r="B70" i="22"/>
  <c r="D59" i="22"/>
  <c r="E59" i="22" s="1"/>
  <c r="C55" i="22"/>
  <c r="C64" i="22"/>
  <c r="B39" i="22"/>
  <c r="D69" i="22"/>
  <c r="E69" i="22" s="1"/>
  <c r="D56" i="22"/>
  <c r="E56" i="22" s="1"/>
  <c r="B60" i="22"/>
  <c r="C50" i="22"/>
  <c r="C54" i="22"/>
  <c r="C53" i="22"/>
  <c r="C49" i="22"/>
  <c r="C45" i="22"/>
  <c r="B72" i="22"/>
  <c r="B42" i="22"/>
  <c r="C38" i="22"/>
  <c r="B41" i="22"/>
  <c r="B45" i="22"/>
  <c r="C72" i="22"/>
  <c r="D39" i="22"/>
  <c r="E39" i="22" s="1"/>
  <c r="B47" i="22"/>
  <c r="D65" i="22"/>
  <c r="E65" i="22" s="1"/>
  <c r="D43" i="22"/>
  <c r="E43" i="22" s="1"/>
  <c r="D42" i="22"/>
  <c r="E42" i="22" s="1"/>
  <c r="C52" i="22"/>
  <c r="B68" i="22"/>
  <c r="D45" i="22"/>
  <c r="E45" i="22" s="1"/>
  <c r="B62" i="22"/>
  <c r="C39" i="22"/>
  <c r="D40" i="22"/>
  <c r="E40" i="22" s="1"/>
  <c r="B66" i="22"/>
  <c r="C63" i="22"/>
  <c r="B57" i="22"/>
  <c r="B58" i="22"/>
  <c r="C46" i="22"/>
  <c r="C57" i="22"/>
  <c r="C44" i="22"/>
  <c r="D64" i="22"/>
  <c r="E64" i="22" s="1"/>
  <c r="B51" i="22"/>
  <c r="B69" i="22"/>
  <c r="AK32" i="23" l="1"/>
  <c r="AL28" i="23"/>
  <c r="AK30" i="23"/>
  <c r="AK29" i="23"/>
  <c r="AK33" i="23"/>
  <c r="AK31" i="23"/>
  <c r="AL30" i="23" l="1"/>
  <c r="AL32" i="23"/>
  <c r="AL29" i="23"/>
  <c r="AL33" i="23"/>
  <c r="AM28" i="23"/>
  <c r="AL31" i="23"/>
  <c r="AM32" i="23" l="1"/>
  <c r="AM31" i="23"/>
  <c r="AN28" i="23"/>
  <c r="AM33" i="23"/>
  <c r="AM29" i="23"/>
  <c r="AM30" i="23"/>
  <c r="AO28" i="23" l="1"/>
  <c r="AN30" i="23"/>
  <c r="AN31" i="23"/>
  <c r="AN32" i="23"/>
  <c r="AN33" i="23"/>
  <c r="AN29" i="23"/>
  <c r="AO29" i="23" l="1"/>
  <c r="AO33" i="23"/>
  <c r="AO31" i="23"/>
  <c r="AO32" i="23"/>
  <c r="AP28" i="23"/>
  <c r="AO30" i="23"/>
  <c r="AP30" i="23" l="1"/>
  <c r="AP33" i="23"/>
  <c r="AP31" i="23"/>
  <c r="AP32" i="23"/>
  <c r="AQ28" i="23"/>
  <c r="AP29" i="23"/>
  <c r="AQ29" i="23" l="1"/>
  <c r="AQ32" i="23"/>
  <c r="AQ33" i="23"/>
  <c r="AR28" i="23"/>
  <c r="AQ31" i="23"/>
  <c r="AQ30" i="23"/>
  <c r="AR31" i="23" l="1"/>
  <c r="AR32" i="23"/>
  <c r="AR29" i="23"/>
  <c r="AR33" i="23"/>
  <c r="AS28" i="23"/>
  <c r="AR30" i="23"/>
  <c r="AT28" i="23" l="1"/>
  <c r="AS30" i="23"/>
  <c r="AS33" i="23"/>
  <c r="AS31" i="23"/>
  <c r="AS29" i="23"/>
  <c r="AS32" i="23"/>
  <c r="AU28" i="23" l="1"/>
  <c r="AT30" i="23"/>
  <c r="AT33" i="23"/>
  <c r="AT29" i="23"/>
  <c r="AT32" i="23"/>
  <c r="AT31" i="23"/>
  <c r="AU31" i="23" l="1"/>
  <c r="AU30" i="23"/>
  <c r="AU29" i="23"/>
  <c r="AV28" i="23"/>
  <c r="AU33" i="23"/>
  <c r="AU32" i="23"/>
  <c r="AV29" i="23" l="1"/>
  <c r="AV32" i="23"/>
  <c r="AV33" i="23"/>
  <c r="AW28" i="23"/>
  <c r="AV30" i="23"/>
  <c r="AV31" i="23"/>
  <c r="AW29" i="23" l="1"/>
  <c r="AX28" i="23"/>
  <c r="AW30" i="23"/>
  <c r="AW33" i="23"/>
  <c r="AW32" i="23"/>
  <c r="AW31" i="23"/>
  <c r="AX33" i="23" l="1"/>
  <c r="AX32" i="23"/>
  <c r="AX31" i="23"/>
  <c r="AX30" i="23"/>
  <c r="AY28" i="23"/>
  <c r="AX29" i="23"/>
  <c r="AZ28" i="23" l="1"/>
  <c r="AY33" i="23"/>
  <c r="AY30" i="23"/>
  <c r="AY29" i="23"/>
  <c r="AY32" i="23"/>
  <c r="AY31" i="23"/>
  <c r="AZ33" i="23" l="1"/>
  <c r="BA28" i="23"/>
  <c r="AZ30" i="23"/>
  <c r="AZ31" i="23"/>
  <c r="AZ29" i="23"/>
  <c r="AZ32" i="23"/>
  <c r="BA30" i="23" l="1"/>
  <c r="BA31" i="23"/>
  <c r="BA29" i="23"/>
  <c r="BA33" i="23"/>
  <c r="BB28" i="23"/>
  <c r="BA32" i="23"/>
  <c r="BB29" i="23" l="1"/>
  <c r="BB33" i="23"/>
  <c r="BB32" i="23"/>
  <c r="BB30" i="23"/>
  <c r="BC28" i="23"/>
  <c r="BB31" i="23"/>
  <c r="BC33" i="23" l="1"/>
  <c r="B38" i="23" s="1" a="1"/>
  <c r="BC30" i="23"/>
  <c r="A38" i="23" s="1" a="1"/>
  <c r="BC29" i="23"/>
  <c r="BC31" i="23"/>
  <c r="BC32" i="23"/>
  <c r="A63" i="23" l="1"/>
  <c r="A52" i="23"/>
  <c r="A55" i="23"/>
  <c r="A64" i="23"/>
  <c r="A43" i="23"/>
  <c r="A42" i="23"/>
  <c r="A41" i="23"/>
  <c r="A56" i="23"/>
  <c r="A48" i="23"/>
  <c r="A69" i="23"/>
  <c r="A44" i="23"/>
  <c r="A58" i="23"/>
  <c r="A65" i="23"/>
  <c r="A40" i="23"/>
  <c r="A60" i="23"/>
  <c r="A70" i="23"/>
  <c r="A68" i="23"/>
  <c r="A61" i="23"/>
  <c r="A47" i="23"/>
  <c r="A57" i="23"/>
  <c r="A67" i="23"/>
  <c r="A45" i="23"/>
  <c r="A38" i="23"/>
  <c r="A53" i="23"/>
  <c r="A62" i="23"/>
  <c r="A46" i="23"/>
  <c r="A59" i="23"/>
  <c r="A49" i="23"/>
  <c r="A39" i="23"/>
  <c r="A50" i="23"/>
  <c r="A66" i="23"/>
  <c r="A54" i="23"/>
  <c r="A71" i="23"/>
  <c r="A51" i="23"/>
  <c r="A72" i="23"/>
  <c r="D52" i="23"/>
  <c r="E52" i="23" s="1"/>
  <c r="B69" i="23"/>
  <c r="B52" i="23"/>
  <c r="B68" i="23"/>
  <c r="C67" i="23"/>
  <c r="B70" i="23"/>
  <c r="D40" i="23"/>
  <c r="E40" i="23" s="1"/>
  <c r="C57" i="23"/>
  <c r="C40" i="23"/>
  <c r="D59" i="23"/>
  <c r="E59" i="23" s="1"/>
  <c r="D70" i="23"/>
  <c r="E70" i="23" s="1"/>
  <c r="B54" i="23"/>
  <c r="B41" i="23"/>
  <c r="D71" i="23"/>
  <c r="E71" i="23" s="1"/>
  <c r="D49" i="23"/>
  <c r="E49" i="23" s="1"/>
  <c r="B72" i="23"/>
  <c r="C51" i="23"/>
  <c r="B46" i="23"/>
  <c r="D57" i="23"/>
  <c r="E57" i="23" s="1"/>
  <c r="B57" i="23"/>
  <c r="C72" i="23"/>
  <c r="B59" i="23"/>
  <c r="D63" i="23"/>
  <c r="E63" i="23" s="1"/>
  <c r="B53" i="23"/>
  <c r="D39" i="23"/>
  <c r="E39" i="23" s="1"/>
  <c r="C65" i="23"/>
  <c r="D66" i="23"/>
  <c r="E66" i="23" s="1"/>
  <c r="D65" i="23"/>
  <c r="E65" i="23" s="1"/>
  <c r="D61" i="23"/>
  <c r="E61" i="23" s="1"/>
  <c r="C62" i="23"/>
  <c r="C60" i="23"/>
  <c r="D69" i="23"/>
  <c r="E69" i="23" s="1"/>
  <c r="C39" i="23"/>
  <c r="B65" i="23"/>
  <c r="C69" i="23"/>
  <c r="C58" i="23"/>
  <c r="D56" i="23"/>
  <c r="E56" i="23" s="1"/>
  <c r="B58" i="23"/>
  <c r="C52" i="23"/>
  <c r="C44" i="23"/>
  <c r="B39" i="23"/>
  <c r="D58" i="23"/>
  <c r="E58" i="23" s="1"/>
  <c r="D72" i="23"/>
  <c r="E72" i="23" s="1"/>
  <c r="C59" i="23"/>
  <c r="B62" i="23"/>
  <c r="D41" i="23"/>
  <c r="E41" i="23" s="1"/>
  <c r="B64" i="23"/>
  <c r="B40" i="23"/>
  <c r="C48" i="23"/>
  <c r="C50" i="23"/>
  <c r="D46" i="23"/>
  <c r="E46" i="23" s="1"/>
  <c r="B43" i="23"/>
  <c r="B45" i="23"/>
  <c r="C53" i="23"/>
  <c r="D48" i="23"/>
  <c r="E48" i="23" s="1"/>
  <c r="D64" i="23"/>
  <c r="E64" i="23" s="1"/>
  <c r="D45" i="23"/>
  <c r="E45" i="23" s="1"/>
  <c r="C54" i="23"/>
  <c r="C45" i="23"/>
  <c r="B51" i="23"/>
  <c r="B47" i="23"/>
  <c r="B61" i="23"/>
  <c r="D62" i="23"/>
  <c r="E62" i="23" s="1"/>
  <c r="D54" i="23"/>
  <c r="E54" i="23" s="1"/>
  <c r="D68" i="23"/>
  <c r="E68" i="23" s="1"/>
  <c r="C63" i="23"/>
  <c r="B44" i="23"/>
  <c r="C61" i="23"/>
  <c r="D43" i="23"/>
  <c r="E43" i="23" s="1"/>
  <c r="B38" i="23"/>
  <c r="C42" i="23"/>
  <c r="B71" i="23"/>
  <c r="C56" i="23"/>
  <c r="B50" i="23"/>
  <c r="D60" i="23"/>
  <c r="E60" i="23" s="1"/>
  <c r="C49" i="23"/>
  <c r="B49" i="23"/>
  <c r="B55" i="23"/>
  <c r="D51" i="23"/>
  <c r="E51" i="23" s="1"/>
  <c r="C55" i="23"/>
  <c r="B63" i="23"/>
  <c r="B60" i="23"/>
  <c r="D67" i="23"/>
  <c r="E67" i="23" s="1"/>
  <c r="C43" i="23"/>
  <c r="B48" i="23"/>
  <c r="C66" i="23"/>
  <c r="C38" i="23"/>
  <c r="D44" i="23"/>
  <c r="E44" i="23" s="1"/>
  <c r="D50" i="23"/>
  <c r="E50" i="23" s="1"/>
  <c r="B66" i="23"/>
  <c r="C70" i="23"/>
  <c r="B67" i="23"/>
  <c r="D53" i="23"/>
  <c r="E53" i="23" s="1"/>
  <c r="C68" i="23"/>
  <c r="C71" i="23"/>
  <c r="C41" i="23"/>
  <c r="C47" i="23"/>
  <c r="D38" i="23"/>
  <c r="C64" i="23"/>
  <c r="D47" i="23"/>
  <c r="E47" i="23" s="1"/>
  <c r="B42" i="23"/>
  <c r="D42" i="23"/>
  <c r="E42" i="23" s="1"/>
  <c r="C46" i="23"/>
  <c r="B56" i="23"/>
  <c r="D55" i="23"/>
  <c r="E5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c-kcluff</author>
  </authors>
  <commentList>
    <comment ref="D28" authorId="0" shapeId="0" xr:uid="{D7BF72DC-E437-4D1F-8BFB-4E9637C3AB92}">
      <text>
        <r>
          <rPr>
            <sz val="10"/>
            <rFont val="Arial"/>
            <family val="2"/>
          </rPr>
          <t>c-kcluff:</t>
        </r>
        <r>
          <rPr>
            <sz val="10"/>
            <rFont val="Arial"/>
            <family val="2"/>
          </rPr>
          <t xml:space="preserve">
</t>
        </r>
        <r>
          <rPr>
            <sz val="10"/>
            <rFont val="Arial"/>
            <family val="2"/>
          </rPr>
          <t>¿Debe ser estructura de tasa?</t>
        </r>
      </text>
    </comment>
    <comment ref="E28" authorId="0" shapeId="0" xr:uid="{DA1D0595-2035-4F1C-A94C-1BF3CB0269E2}">
      <text>
        <r>
          <rPr>
            <sz val="10"/>
            <rFont val="Arial"/>
            <family val="2"/>
          </rPr>
          <t>c-kcluff:</t>
        </r>
        <r>
          <rPr>
            <sz val="10"/>
            <rFont val="Arial"/>
            <family val="2"/>
          </rPr>
          <t xml:space="preserve">
</t>
        </r>
        <r>
          <rPr>
            <sz val="10"/>
            <rFont val="Arial"/>
            <family val="2"/>
          </rPr>
          <t>¿Debe ser estructura de tasa?</t>
        </r>
      </text>
    </comment>
  </commentList>
</comments>
</file>

<file path=xl/sharedStrings.xml><?xml version="1.0" encoding="utf-8"?>
<sst xmlns="http://schemas.openxmlformats.org/spreadsheetml/2006/main" count="1478" uniqueCount="390">
  <si>
    <t>TES</t>
  </si>
  <si>
    <t xml:space="preserve">BID                            </t>
  </si>
  <si>
    <t xml:space="preserve">BIRF                          </t>
  </si>
  <si>
    <t>Bonos Fogafin</t>
  </si>
  <si>
    <t>USD</t>
  </si>
  <si>
    <t>JPY</t>
  </si>
  <si>
    <t>COP</t>
  </si>
  <si>
    <t>(Años)</t>
  </si>
  <si>
    <t>(Tasa anual %)</t>
  </si>
  <si>
    <t>(COP millones)</t>
  </si>
  <si>
    <t>(USD millones)</t>
  </si>
  <si>
    <t>Duración</t>
  </si>
  <si>
    <t>Vida media</t>
  </si>
  <si>
    <t>Composición por fuente - deuda total</t>
  </si>
  <si>
    <t>Composición interna y externa</t>
  </si>
  <si>
    <t>Corte a</t>
  </si>
  <si>
    <t>Composición por moneda - deuda total</t>
  </si>
  <si>
    <t>Composición por tasa de interés - deuda total</t>
  </si>
  <si>
    <t>Tasa variable</t>
  </si>
  <si>
    <t>Tasa fija</t>
  </si>
  <si>
    <t xml:space="preserve">Créditos comerciales       </t>
  </si>
  <si>
    <t>Deuda interna</t>
  </si>
  <si>
    <t>Deuda externa</t>
  </si>
  <si>
    <t>Deuda total</t>
  </si>
  <si>
    <t>Saldos de deuda</t>
  </si>
  <si>
    <t xml:space="preserve">Composición por tipo de interés - deuda externa  </t>
  </si>
  <si>
    <t>EUR</t>
  </si>
  <si>
    <t>GBP</t>
  </si>
  <si>
    <t>Amortizaciones</t>
  </si>
  <si>
    <t>Total</t>
  </si>
  <si>
    <t>Composición por fuente - deuda interna</t>
  </si>
  <si>
    <t xml:space="preserve">Bonos Ley 546/99 </t>
  </si>
  <si>
    <t>Otros</t>
  </si>
  <si>
    <t>Composición por moneda - deuda interna</t>
  </si>
  <si>
    <t>Composición por tipo de interés - deuda interna</t>
  </si>
  <si>
    <t>COP fija</t>
  </si>
  <si>
    <t>COP IPC</t>
  </si>
  <si>
    <t>UVR fija</t>
  </si>
  <si>
    <t>USD fija</t>
  </si>
  <si>
    <t xml:space="preserve">DTF </t>
  </si>
  <si>
    <t>Saldos</t>
  </si>
  <si>
    <t>Interna</t>
  </si>
  <si>
    <t>Externa</t>
  </si>
  <si>
    <t>Tasas</t>
  </si>
  <si>
    <t>Descripción</t>
  </si>
  <si>
    <t>Moneda</t>
  </si>
  <si>
    <t>Servicio de deuda</t>
  </si>
  <si>
    <t>Inicio</t>
  </si>
  <si>
    <t>Indicadores</t>
  </si>
  <si>
    <t>Categoria</t>
  </si>
  <si>
    <t>Fuentes de deuda</t>
  </si>
  <si>
    <t>General</t>
  </si>
  <si>
    <t>Indice principal</t>
  </si>
  <si>
    <t>Gráfica en USD</t>
  </si>
  <si>
    <t>Otros*</t>
  </si>
  <si>
    <t>Gráfica en COP</t>
  </si>
  <si>
    <t>UVR (COP)</t>
  </si>
  <si>
    <t>Deuda interna 
(COP)</t>
  </si>
  <si>
    <t>Deuda externa 
(USD)</t>
  </si>
  <si>
    <t>Servicio de deuda interna</t>
  </si>
  <si>
    <t>Row</t>
  </si>
  <si>
    <t>Column</t>
  </si>
  <si>
    <t>First Row Location</t>
  </si>
  <si>
    <t xml:space="preserve">Total Rows </t>
  </si>
  <si>
    <t>Item Number</t>
  </si>
  <si>
    <t>Item Column Location</t>
  </si>
  <si>
    <t>Year</t>
  </si>
  <si>
    <t>Etiqueta</t>
  </si>
  <si>
    <t>Servicio de deuda externa</t>
  </si>
  <si>
    <t>Servicio de deuda total</t>
  </si>
  <si>
    <t>Cupón promedio (%)</t>
  </si>
  <si>
    <t>English</t>
  </si>
  <si>
    <t>English/Spanish</t>
  </si>
  <si>
    <t>Español</t>
  </si>
  <si>
    <t>Publication Frequency:</t>
  </si>
  <si>
    <t>Frecuencia de producción:</t>
  </si>
  <si>
    <t>Monthly</t>
  </si>
  <si>
    <t>Mensualmente</t>
  </si>
  <si>
    <t>Contents:</t>
  </si>
  <si>
    <t>Contenido:</t>
  </si>
  <si>
    <t>Sources:</t>
  </si>
  <si>
    <t>Fuentes:</t>
  </si>
  <si>
    <t>Directorate of Public Credit and National Treasury</t>
  </si>
  <si>
    <t xml:space="preserve">Dirección General de Crédito Público y del Tesoro Nacional </t>
  </si>
  <si>
    <t>Ministry of Finance and Public Credit, Colombia</t>
  </si>
  <si>
    <t>Ministerio de Hacienda y Crédito Público, Colombia</t>
  </si>
  <si>
    <t>Virtual Location:</t>
  </si>
  <si>
    <t>Ubicación virtual:</t>
  </si>
  <si>
    <t>Date of Last Format Revision:</t>
  </si>
  <si>
    <t>Fecha de última revisión de formato:</t>
  </si>
  <si>
    <t>As of Date</t>
  </si>
  <si>
    <t>Fecha corte</t>
  </si>
  <si>
    <t>Internal</t>
  </si>
  <si>
    <t>External</t>
  </si>
  <si>
    <t>Bonos externos</t>
  </si>
  <si>
    <t>BID</t>
  </si>
  <si>
    <t>BIRF</t>
  </si>
  <si>
    <t>Bonos de paz</t>
  </si>
  <si>
    <t>COP Fixed</t>
  </si>
  <si>
    <t>DTF</t>
  </si>
  <si>
    <t>Others</t>
  </si>
  <si>
    <t>Debt Service</t>
  </si>
  <si>
    <t>Others*</t>
  </si>
  <si>
    <t>Datos históricos de la deuda GNC</t>
  </si>
  <si>
    <t>Colombian Central Government Historical Debt Data</t>
  </si>
  <si>
    <t>Comprehensive information about the historical structure and profile of Colombian public debt</t>
  </si>
  <si>
    <t>Valor elegido</t>
  </si>
  <si>
    <t>Name Range</t>
  </si>
  <si>
    <t>Indice_Principal_Título</t>
  </si>
  <si>
    <t>Category</t>
  </si>
  <si>
    <t>Description</t>
  </si>
  <si>
    <t>Debt balances</t>
  </si>
  <si>
    <t>Balances</t>
  </si>
  <si>
    <t>Debt sources</t>
  </si>
  <si>
    <t>Rate structures</t>
  </si>
  <si>
    <t>Currency structures</t>
  </si>
  <si>
    <t>Technical indicators</t>
  </si>
  <si>
    <t>Internal debt</t>
  </si>
  <si>
    <t>External debt</t>
  </si>
  <si>
    <t>Total debt</t>
  </si>
  <si>
    <t>Leyenda de etiquetas</t>
  </si>
  <si>
    <t>Tab legend</t>
  </si>
  <si>
    <t>Primary index</t>
  </si>
  <si>
    <t>Indice_PrincipalTítulo_principal</t>
  </si>
  <si>
    <t>Statistics relating to the sources of CNG debt. Organized by financing instrument. 
Examples: TES; Peace Bonds; and others.</t>
  </si>
  <si>
    <t>Statistics relating to CNG debt balances. Organized by internal and external debt.
Examples: Total debt balance in USD; Composition of foreign currency debt as % of total.</t>
  </si>
  <si>
    <t xml:space="preserve">Estadísticas de las estructuras de las tasas de la deuda GNC. Organizado por las características del instrumento de financiamiento.
Ejemplos : Variable; Fija; COP Fija; UVR Fija; y otros.
</t>
  </si>
  <si>
    <t xml:space="preserve">Estadísticas del servicio de deuda GNC. Organizado por amortizaciones, intereses, y totales. 
</t>
  </si>
  <si>
    <t>Statistic related to CNG debt service. Organized by amortization, interest, and total.</t>
  </si>
  <si>
    <t xml:space="preserve">Estadísticas de indicadores comunes de la deuda GNC. 
Ejemplos: Vida Media; Duración ; y Cupón Promedio.
</t>
  </si>
  <si>
    <t xml:space="preserve">Estadísticas de las monedas en las cuales está denominada la deuda GNC. Organizado por las monedas del instrumento de financiamiento. 
Ejemplos : EUR; COP; USD;  y otros.
</t>
  </si>
  <si>
    <t>(COP millions)</t>
  </si>
  <si>
    <t>(USD millions)</t>
  </si>
  <si>
    <t>Internal and external composition</t>
  </si>
  <si>
    <t>(% of total debt)</t>
  </si>
  <si>
    <t>(% de deuda total)</t>
  </si>
  <si>
    <t>As of</t>
  </si>
  <si>
    <t>Chart in COP</t>
  </si>
  <si>
    <t>Chart in USD</t>
  </si>
  <si>
    <t>No named range</t>
  </si>
  <si>
    <t>Composition by source - internal debt</t>
  </si>
  <si>
    <t>(% of internal debt)</t>
  </si>
  <si>
    <t>(% de deuda interna)</t>
  </si>
  <si>
    <t>Law 549/99</t>
  </si>
  <si>
    <t>Debt reduction bonds</t>
  </si>
  <si>
    <t>External bonds</t>
  </si>
  <si>
    <t>Commercial credit</t>
  </si>
  <si>
    <t>Fogafin bonds</t>
  </si>
  <si>
    <t>Agricultural bonds</t>
  </si>
  <si>
    <t>Peace bonds</t>
  </si>
  <si>
    <t>Security bonds</t>
  </si>
  <si>
    <t>Law 546 bonds</t>
  </si>
  <si>
    <t>Bonos agrarios</t>
  </si>
  <si>
    <t>Bono de seguridad</t>
  </si>
  <si>
    <t>Títulos de reducción de deuda</t>
  </si>
  <si>
    <t>*Consolidado a 'Otros' en la gráfica</t>
  </si>
  <si>
    <t>*Consolidated within 'Others' in accompanying chart</t>
  </si>
  <si>
    <t>Composition by source - total debt</t>
  </si>
  <si>
    <t>UVR fixed</t>
  </si>
  <si>
    <t>USD fixed</t>
  </si>
  <si>
    <t>Composition by interest rate structure - internal debt</t>
  </si>
  <si>
    <t>Composition by interest rate structure - external debt</t>
  </si>
  <si>
    <t xml:space="preserve">(% de deuda externa) </t>
  </si>
  <si>
    <t>(% of external debt)</t>
  </si>
  <si>
    <t>Fixed rate</t>
  </si>
  <si>
    <t>Variable rate</t>
  </si>
  <si>
    <t>Composition by interest rate structure - total debt</t>
  </si>
  <si>
    <t>UVR indexado (COP)</t>
  </si>
  <si>
    <t>UVR Indexed (COP)</t>
  </si>
  <si>
    <t>%tasa fija</t>
  </si>
  <si>
    <t>% fixed rate</t>
  </si>
  <si>
    <t>% variable rate</t>
  </si>
  <si>
    <t>% tasa variable</t>
  </si>
  <si>
    <t>Composition by currency - internal debt</t>
  </si>
  <si>
    <t>Composition by currency - total debt</t>
  </si>
  <si>
    <t>Debt service - internal debt</t>
  </si>
  <si>
    <t>Amortizations</t>
  </si>
  <si>
    <t>Service period</t>
  </si>
  <si>
    <t>Debt service - external debt</t>
  </si>
  <si>
    <t>Período de servicio</t>
  </si>
  <si>
    <t>Debt service - total debt</t>
  </si>
  <si>
    <t>Duration</t>
  </si>
  <si>
    <t>Median maturity</t>
  </si>
  <si>
    <t>Average coupon (%)</t>
  </si>
  <si>
    <t>Composition by currency - external debt</t>
  </si>
  <si>
    <t xml:space="preserve">Composición por moneda - deuda externa </t>
  </si>
  <si>
    <t>(Years)</t>
  </si>
  <si>
    <t>(Annual rate %)</t>
  </si>
  <si>
    <t>Internal debt
(COP)</t>
  </si>
  <si>
    <t>External debt
(USD)</t>
  </si>
  <si>
    <t>IndicadoresColumna_título_etiqueta_5</t>
  </si>
  <si>
    <t>Indice_PrincipalFrecuencia_de_publicación_etiqueta</t>
  </si>
  <si>
    <t>Indice_PrincipalFrecuencia_de_publicación_texto</t>
  </si>
  <si>
    <t>Indice_PrincipalContenido_etiqueta</t>
  </si>
  <si>
    <t>Indice_PrincipalContenido_texto</t>
  </si>
  <si>
    <t>Indice_PrincipalFuentes_etiqueta</t>
  </si>
  <si>
    <t>Indice_PrincipalFuentes_texto</t>
  </si>
  <si>
    <t>Indice_PrincipalFuentes_texto_2</t>
  </si>
  <si>
    <t>Indice_PrincipalFuentes_texto_3</t>
  </si>
  <si>
    <t>Indice_PrincipalUbicación_etiqueta</t>
  </si>
  <si>
    <t>Indice_PrincipalUbicación_texto</t>
  </si>
  <si>
    <t>Indice_PrincipalFecha_de_revisión_etiqueta</t>
  </si>
  <si>
    <t>Indice_PrincipalFecha_de_revisión_texto</t>
  </si>
  <si>
    <t>Indice_PrincipalFecha_corte_etiqueta</t>
  </si>
  <si>
    <t>Indice_PrincipalFecha_corte_texto</t>
  </si>
  <si>
    <t>Indice_PrincipalCategory_etiqueta</t>
  </si>
  <si>
    <t>Indice_PrincipalDatos_y_enlaces_etiqueta</t>
  </si>
  <si>
    <t>Indice_PrincipalDescripción_etiqueta</t>
  </si>
  <si>
    <t>Indice_PrincipalSaldos_de_deuda_etiqueta</t>
  </si>
  <si>
    <t>Indice_PrincipalSaldos_de_deuda_texto</t>
  </si>
  <si>
    <t>Indice_PrincipalFuentes_de_deuda__etiqueta</t>
  </si>
  <si>
    <t>Indice_PrincipalFuentes_de_deuda_Interna_texto</t>
  </si>
  <si>
    <t>Indice_PrincipalTasas_de_deuda_etiqueta</t>
  </si>
  <si>
    <t>Indice_PrincipalTasas_de_deuda_texto</t>
  </si>
  <si>
    <t>Indice_PrincipalTasas_de_deuda_texto_2</t>
  </si>
  <si>
    <t>Indice_PrincipalTasas_de_deuda_texto_3</t>
  </si>
  <si>
    <t>Indice_PrincipalMoneda_de_deuda_etiqueta</t>
  </si>
  <si>
    <t>Indice_PrincipalMoneda_de_deuda_texto</t>
  </si>
  <si>
    <t>Indice_PrincipalMoneda_de_deuda_texto_2</t>
  </si>
  <si>
    <t>Indice_PrincipalMoneda_de_deuda_texto_3</t>
  </si>
  <si>
    <t>Indice_PrincipalServicio_de_deuda_etiqueta</t>
  </si>
  <si>
    <t>Indice_PrincipalServicio_de_deuda_texto</t>
  </si>
  <si>
    <t>Indice_PrincipalServicio_de_deuda_texto_2</t>
  </si>
  <si>
    <t>Indice_PrincipalServicio_de_deuda_texto_3</t>
  </si>
  <si>
    <t>Indice_PrincipalIndicadores_etiqueta</t>
  </si>
  <si>
    <t>Indice_PrincipalIndicadores_texto</t>
  </si>
  <si>
    <t>Indice_PrincipalLeyenda_etiqueta</t>
  </si>
  <si>
    <t>Indice_PrincipalLeyenda_texto</t>
  </si>
  <si>
    <t>Indice_PrincipalLeyenda_texto_2</t>
  </si>
  <si>
    <t>Indice_PrincipalLeyenda_texto_3</t>
  </si>
  <si>
    <t>Indice_PrincipalLeyenda_texto_4</t>
  </si>
  <si>
    <t>Indice_PrincipalCuadro_texto_saldos</t>
  </si>
  <si>
    <t>Indice_PrincipalCuadro_texto_fuentes</t>
  </si>
  <si>
    <t>Indice_PrincipalCuadro_texto_moneda</t>
  </si>
  <si>
    <t>Indice_PrincipalCuadro_texto_servicio</t>
  </si>
  <si>
    <t>Indice_PrincipalCuadro_texto_indicadores</t>
  </si>
  <si>
    <t>Indice_PrincipalCuadro_texto_tasas</t>
  </si>
  <si>
    <t>SaldosSección_fecha_etiqueta</t>
  </si>
  <si>
    <t>SaldosSección_título_etiqueta</t>
  </si>
  <si>
    <t>SaldosSección_subtítulo_etiqueta</t>
  </si>
  <si>
    <t>SaldosSección_título_etiqueta_2</t>
  </si>
  <si>
    <t>SaldosSección_subtítulo_etiqueta_2</t>
  </si>
  <si>
    <t>SaldosSección_título_etiqueta_3</t>
  </si>
  <si>
    <t>SaldosSección_subtítulo_etiqueta_3</t>
  </si>
  <si>
    <t>SaldosColumna_título_etiqueta</t>
  </si>
  <si>
    <t>SaldosColumna_título_etiqueta_2</t>
  </si>
  <si>
    <t>SaldosColumna_título_etiqueta_3</t>
  </si>
  <si>
    <t>Fuente_internaSección_título_etiqueta</t>
  </si>
  <si>
    <t>Fuente_internaSección_subtítulo_etiqueta</t>
  </si>
  <si>
    <t>Fuente_internaColumna_título_etiqueta</t>
  </si>
  <si>
    <t>Fuente_internaColumna_título_etiqueta_2</t>
  </si>
  <si>
    <t>Fuente_internaColumna_título_etiqueta_3</t>
  </si>
  <si>
    <t>Fuente_internaColumna_título_etiqueta_4</t>
  </si>
  <si>
    <t>Fuente_internaColumna_título_etiqueta_5</t>
  </si>
  <si>
    <t>Fuente_internaColumna_título_etiqueta_6</t>
  </si>
  <si>
    <t>Fuente_internaColumna_título_etiqueta_7</t>
  </si>
  <si>
    <t>Fuente_internaColumna_título_etiqueta_8</t>
  </si>
  <si>
    <t>Fuente_totalSección_título_etiqueta</t>
  </si>
  <si>
    <t>Fuente_totalSección_subtítulo_etiqueta</t>
  </si>
  <si>
    <t>Fuente_totalColumna_título_etiqueta</t>
  </si>
  <si>
    <t>Fuente_totalColumna_título_etiqueta_2</t>
  </si>
  <si>
    <t>Fuente_totalColumna_título_etiqueta_3</t>
  </si>
  <si>
    <t>Fuente_totalColumna_título_etiqueta_4</t>
  </si>
  <si>
    <t>Fuente_totalColumna_título_etiqueta_5</t>
  </si>
  <si>
    <t>Fuente_totalColumna_título_etiqueta_6</t>
  </si>
  <si>
    <t>Fuente_totalColumna_título_etiqueta_7</t>
  </si>
  <si>
    <t>Fuente_totalColumna_título_etiqueta_8</t>
  </si>
  <si>
    <t>Fuente_totalColumna_título_etiqueta_9</t>
  </si>
  <si>
    <t>Fuente_totalColumna_título_etiqueta_10</t>
  </si>
  <si>
    <t>Fuente_totalColumna_título_etiqueta_11</t>
  </si>
  <si>
    <t>Fuente_totalColumna_título_etiqueta_12</t>
  </si>
  <si>
    <t>Fuente_totalColumna_título_etiqueta_13</t>
  </si>
  <si>
    <t>Fuente_totalReferencia_texto</t>
  </si>
  <si>
    <t>Tasa_internaSección_título_etiqueta</t>
  </si>
  <si>
    <t>Tasa_internaSección_subtítulo_etiqueta</t>
  </si>
  <si>
    <t>Tasa_internaColumna_título_etiqueta</t>
  </si>
  <si>
    <t>Tasa_internaColumna_título_etiqueta_2</t>
  </si>
  <si>
    <t>Tasa_internaColumna_título_etiqueta_3</t>
  </si>
  <si>
    <t>Tasa_internaColumna_título_etiqueta_4</t>
  </si>
  <si>
    <t>Tasa_internaColumna_título_etiqueta_5</t>
  </si>
  <si>
    <t>Tasa_internaColumna_título_etiqueta_6</t>
  </si>
  <si>
    <t>Tasa_internaColumna_título_etiqueta_7</t>
  </si>
  <si>
    <t>Tasa_internaColumna_título_etiqueta_8</t>
  </si>
  <si>
    <t>Tasa_externaSección_título_etiqueta</t>
  </si>
  <si>
    <t>Tasa_externaSección_subtítulo_etiqueta</t>
  </si>
  <si>
    <t>Tasa_externaColumna_título_etiqueta</t>
  </si>
  <si>
    <t>Tasa_externaColumna_título_etiqueta_2</t>
  </si>
  <si>
    <t>Tasa_totalSección_título_etiqueta</t>
  </si>
  <si>
    <t>Tasa_totalSección_subtítulo_etiqueta</t>
  </si>
  <si>
    <t>Tasa_totalColumna_título_etiqueta</t>
  </si>
  <si>
    <t>Tasa_totalColumna_título_etiqueta_2</t>
  </si>
  <si>
    <t>Moneda_internaSección_título_etiqueta</t>
  </si>
  <si>
    <t>Moneda_internaSección_subtítulo_etiqueta</t>
  </si>
  <si>
    <t>Moneda_internaColumna_título_etiqueta</t>
  </si>
  <si>
    <t>Moneda_internaColumna_título_etiqueta_2</t>
  </si>
  <si>
    <t>Moneda_internaColumna_título_etiqueta_3</t>
  </si>
  <si>
    <t>Moneda_internaColumna_título_etiqueta_4</t>
  </si>
  <si>
    <t>Moneda_internaColumna_título_etiqueta_5</t>
  </si>
  <si>
    <t>Moneda_externaSección_título_etiqueta</t>
  </si>
  <si>
    <t>Moneda_externaSección_subtítulo_etiqueta</t>
  </si>
  <si>
    <t>Moneda_externaColumna_título_etiqueta</t>
  </si>
  <si>
    <t>Moneda_externaColumna_título_etiqueta_2</t>
  </si>
  <si>
    <t>Moneda_externaColumna_título_etiqueta_3</t>
  </si>
  <si>
    <t>Moneda_externaColumna_título_etiqueta_4</t>
  </si>
  <si>
    <t>Moneda_externaColumna_título_etiqueta_5</t>
  </si>
  <si>
    <t>Moneda_externaColumna_título_etiqueta_6</t>
  </si>
  <si>
    <t>Moneda_totalSección_título_etiqueta</t>
  </si>
  <si>
    <t>Moneda_totalSección_subtítulo_etiqueta</t>
  </si>
  <si>
    <t>Moneda_totalColumna_título_etiqueta</t>
  </si>
  <si>
    <t>Moneda_totalColumna_título_etiqueta_2</t>
  </si>
  <si>
    <t>Moneda_totalColumna_título_etiqueta_3</t>
  </si>
  <si>
    <t>Moneda_totalColumna_título_etiqueta_4</t>
  </si>
  <si>
    <t>Moneda_totalColumna_título_etiqueta_5</t>
  </si>
  <si>
    <t>Moneda_totalColumna_título_etiqueta_6</t>
  </si>
  <si>
    <t>Moneda_totalColumna_título_etiqueta_7</t>
  </si>
  <si>
    <t>Servicio_internaSección_título_etiqueta</t>
  </si>
  <si>
    <t>Servicio_internaSección_subtítulo_etiqueta</t>
  </si>
  <si>
    <t>Servicio_internaFechas_etiqueta</t>
  </si>
  <si>
    <t>Servicio_internaColumna_título_amortizaciones</t>
  </si>
  <si>
    <t>Servicio_internaColumna_título_intereses</t>
  </si>
  <si>
    <t>Servicio_internaColumna_título_total</t>
  </si>
  <si>
    <t>Servicio_externaSección_título_etiqueta</t>
  </si>
  <si>
    <t>Servicio_externaSección_subtítulo_etiqueta</t>
  </si>
  <si>
    <t>Servicio_totalSección_título_etiqueta</t>
  </si>
  <si>
    <t>Servicio_totalSección_subtítulo_etiqueta</t>
  </si>
  <si>
    <t>IndicadoresSección_título_etiqueta</t>
  </si>
  <si>
    <t>IndicadoresSección_subtítulo_etiqueta</t>
  </si>
  <si>
    <t>IndicadoresSección_título_etiqueta_2</t>
  </si>
  <si>
    <t>IndicadoresSección_subtítulo_etiqueta_2</t>
  </si>
  <si>
    <t>IndicadoresSección_título_etiqueta_3</t>
  </si>
  <si>
    <t>IndicadoresSección_subtítulo_etiqueta_3</t>
  </si>
  <si>
    <t>IndicadoresColumna_título_etiqueta</t>
  </si>
  <si>
    <t>IndicadoresColumna_título_etiqueta_2</t>
  </si>
  <si>
    <t>IndicadoresColumna_título_etiqueta_3</t>
  </si>
  <si>
    <t>IndicadoresColumna_título_etiqueta_4</t>
  </si>
  <si>
    <t>Valores en inglés</t>
  </si>
  <si>
    <t>Valores en español</t>
  </si>
  <si>
    <t xml:space="preserve">Subdirección de Riesgo - Dirección General de Crédito Público y del Tesoro Nacional </t>
  </si>
  <si>
    <t>Risk Management Office - Directorate of Public Credit and National Treasury</t>
  </si>
  <si>
    <t>Statistics related to the currencies in which GNC debt is denominated. Organized by currencies of financing instrument. 
Examples: EUR; COP; USD; and others.</t>
  </si>
  <si>
    <t>Información histórica de la estructura y perfil de la deuda pública de Colombia</t>
  </si>
  <si>
    <t>Indice_PrincipalInicio</t>
  </si>
  <si>
    <t>Home</t>
  </si>
  <si>
    <t xml:space="preserve">Estadísticas de las fuentes de la deuda GNC. Organizado por instrumento de financiamiento. 
Ejemplos: TES; Bonos de Paz; y otros.
</t>
  </si>
  <si>
    <t xml:space="preserve">Estadísticas de los saldos de la deuda GNC. Organizado por deuda interna y externa. 
Ejemplos: Saldo  deuda externa en USD; Composición en moneda extranjera como % de total.
</t>
  </si>
  <si>
    <t>-</t>
  </si>
  <si>
    <t>Composición por fuente - deuda externa</t>
  </si>
  <si>
    <t>(% de deuda externa)</t>
  </si>
  <si>
    <t>Composition by source - external debt</t>
  </si>
  <si>
    <t>Bonos</t>
  </si>
  <si>
    <t xml:space="preserve">CAF                </t>
  </si>
  <si>
    <t>Bonds</t>
  </si>
  <si>
    <t xml:space="preserve">(COP millones) </t>
  </si>
  <si>
    <t>Perfil de Vencimientos - deuda externa</t>
  </si>
  <si>
    <t>Perfil de vencimientos - deuda total</t>
  </si>
  <si>
    <t>Perfil de Vencimientos - deuda interna</t>
  </si>
  <si>
    <t>Vínculos</t>
  </si>
  <si>
    <t>Links</t>
  </si>
  <si>
    <t>Indice_PrincipalFuentes_de_deuda_total_texto2</t>
  </si>
  <si>
    <t>Indice_PrincipalFuentes_de_deuda_externa_texto</t>
  </si>
  <si>
    <t xml:space="preserve">Statistics related to CNG interest rate structures. Organized by characteristics of the financing instruments.
Examples: Variable, Fixed COP; Fixed UVR; and others. </t>
  </si>
  <si>
    <t>Statistics related to common technical indicators of CNG debt.
Examples: Median maturity; duration and average coupon.</t>
  </si>
  <si>
    <t>Cambio_billones</t>
  </si>
  <si>
    <t>COP billones</t>
  </si>
  <si>
    <t>COP billions</t>
  </si>
  <si>
    <t>SaldoTotal_GraficaTitulo</t>
  </si>
  <si>
    <t>Saldo Deuda Bruta GNC</t>
  </si>
  <si>
    <t>Balance Gross Debt Central Government</t>
  </si>
  <si>
    <t>Fuente_internaColumna_título_etiqueta_9</t>
  </si>
  <si>
    <t>Treasury Notes</t>
  </si>
  <si>
    <t>CAF</t>
  </si>
  <si>
    <t>Others - internal debt</t>
  </si>
  <si>
    <t>Others - external debt</t>
  </si>
  <si>
    <t>Otros - deuda externa</t>
  </si>
  <si>
    <t>Bonos Ley 546</t>
  </si>
  <si>
    <t>Bonos Agrarios</t>
  </si>
  <si>
    <t>Bonos de Paz</t>
  </si>
  <si>
    <t>Otros - deuda interna</t>
  </si>
  <si>
    <t>% Local currency</t>
  </si>
  <si>
    <t>% Moneda local</t>
  </si>
  <si>
    <t>% Foreign currency</t>
  </si>
  <si>
    <t>% Moneda extranjera</t>
  </si>
  <si>
    <t>http://www.irc.gov.co, http://www.minhacienda.gov.co</t>
  </si>
  <si>
    <t>Perfil de Deuda</t>
  </si>
  <si>
    <t>Interest</t>
  </si>
  <si>
    <t>Intereses</t>
  </si>
  <si>
    <t>Deuda Total</t>
  </si>
  <si>
    <t>.</t>
  </si>
  <si>
    <t>Fecha</t>
  </si>
  <si>
    <t>Titulos de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</si>
</sst>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_);_(* \(#,##0\);_(* &quot;-&quot;_);_(@_)"/>
    <numFmt numFmtId="166" formatCode="_(* #,##0.00_);_(* \(#,##0.00\);_(* &quot;-&quot;??_);_(@_)"/>
    <numFmt numFmtId="167" formatCode="_ * #,##0.00_ ;_ * \-#,##0.00_ ;_ * &quot;-&quot;??_ ;_ @_ "/>
    <numFmt numFmtId="168" formatCode="[$-409]mmm\-yy;@"/>
    <numFmt numFmtId="169" formatCode="_ * #,##0_ ;_ * \-#,##0_ ;_ * &quot;-&quot;??_ ;_ @_ "/>
    <numFmt numFmtId="170" formatCode="0.000%"/>
    <numFmt numFmtId="171" formatCode="_-* #,##0.00\ _P_t_s_-;\-* #,##0.00\ _P_t_s_-;_-* &quot;-&quot;??\ _P_t_s_-;_-@_-"/>
    <numFmt numFmtId="172" formatCode="0.0%"/>
    <numFmt numFmtId="173" formatCode="_ * #,##0.0_ ;_ * \-#,##0.0_ ;_ * &quot;-&quot;??_ ;_ @_ "/>
    <numFmt numFmtId="174" formatCode="#,##0.0"/>
    <numFmt numFmtId="175" formatCode="0.000"/>
    <numFmt numFmtId="176" formatCode="#,##0.000"/>
    <numFmt numFmtId="177" formatCode="_ [$€-2]\ * #,##0.00_ ;_ [$€-2]\ * \-#,##0.00_ ;_ [$€-2]\ * &quot;-&quot;??_ "/>
    <numFmt numFmtId="178" formatCode="0.000000%"/>
    <numFmt numFmtId="179" formatCode="0.000000"/>
    <numFmt numFmtId="180" formatCode="_(* #,##0.00_);_(* \(#,##0.00\);_(* &quot;-&quot;_);_(@_)"/>
    <numFmt numFmtId="181" formatCode="0.00000000000000000%"/>
    <numFmt numFmtId="182" formatCode="_ * #,##0_)\ _P_t_s_ ;_ * \(#,##0\)\ _P_t_s_ ;_ * &quot;-&quot;_)\ _P_t_s_ ;_ @_ "/>
    <numFmt numFmtId="183" formatCode="_-* #,##0.00\ _P_t_a_-;\-* #,##0.00\ _P_t_a_-;_-* &quot;-&quot;??\ _P_t_a_-;_-@_-"/>
    <numFmt numFmtId="184" formatCode="_ * #,##0_ ;_ * \-#,##0_ ;_ * &quot;-&quot;_ ;_ @_ "/>
    <numFmt numFmtId="185" formatCode="_ [$€]\ * #,##0.00_ ;_ [$€]\ * \-#,##0.00_ ;_ [$€]\ * &quot;-&quot;??_ ;_ @_ "/>
    <numFmt numFmtId="186" formatCode="_-* #,##0.00\ [$€]_-;\-* #,##0.00\ [$€]_-;_-* &quot;-&quot;??\ [$€]_-;_-@_-"/>
  </numFmts>
  <fonts count="72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 Tur"/>
    </font>
    <font>
      <sz val="11"/>
      <name val="Arial"/>
      <family val="2"/>
    </font>
    <font>
      <b/>
      <sz val="11"/>
      <color indexed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62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1"/>
      <color indexed="9"/>
      <name val="Arial Narrow"/>
      <family val="2"/>
    </font>
    <font>
      <b/>
      <i/>
      <sz val="12"/>
      <color indexed="62"/>
      <name val="Arial Narrow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color indexed="62"/>
      <name val="Arial"/>
      <family val="2"/>
    </font>
    <font>
      <b/>
      <i/>
      <sz val="1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b/>
      <i/>
      <sz val="12"/>
      <color indexed="6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2"/>
      <name val="Arial"/>
      <family val="2"/>
    </font>
    <font>
      <sz val="11"/>
      <color indexed="9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i/>
      <sz val="12"/>
      <color theme="5" tint="-0.499984740745262"/>
      <name val="Arial Narrow"/>
      <family val="2"/>
    </font>
    <font>
      <b/>
      <i/>
      <sz val="12"/>
      <color theme="5" tint="-0.499984740745262"/>
      <name val="Arial"/>
      <family val="2"/>
    </font>
    <font>
      <sz val="10"/>
      <color theme="5" tint="-0.499984740745262"/>
      <name val="Arial Narrow"/>
      <family val="2"/>
    </font>
    <font>
      <sz val="10"/>
      <color theme="5" tint="-0.499984740745262"/>
      <name val="Arial"/>
      <family val="2"/>
    </font>
    <font>
      <b/>
      <i/>
      <sz val="10"/>
      <color theme="5" tint="-0.499984740745262"/>
      <name val="Arial"/>
      <family val="2"/>
    </font>
    <font>
      <sz val="12"/>
      <color theme="5" tint="-0.499984740745262"/>
      <name val="Arial"/>
      <family val="2"/>
    </font>
    <font>
      <b/>
      <i/>
      <sz val="12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b/>
      <sz val="10"/>
      <color theme="0"/>
      <name val="Arial"/>
      <family val="2"/>
    </font>
    <font>
      <sz val="10"/>
      <color theme="0"/>
      <name val="Arial Narrow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30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B48C4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7">
    <xf numFmtId="0" fontId="0" fillId="0" borderId="0"/>
    <xf numFmtId="0" fontId="45" fillId="33" borderId="0" applyNumberFormat="0" applyBorder="0" applyAlignment="0" applyProtection="0"/>
    <xf numFmtId="0" fontId="1" fillId="3" borderId="0" applyNumberFormat="0" applyBorder="0" applyAlignment="0" applyProtection="0"/>
    <xf numFmtId="0" fontId="45" fillId="34" borderId="0" applyNumberFormat="0" applyBorder="0" applyAlignment="0" applyProtection="0"/>
    <xf numFmtId="0" fontId="1" fillId="5" borderId="0" applyNumberFormat="0" applyBorder="0" applyAlignment="0" applyProtection="0"/>
    <xf numFmtId="0" fontId="45" fillId="35" borderId="0" applyNumberFormat="0" applyBorder="0" applyAlignment="0" applyProtection="0"/>
    <xf numFmtId="0" fontId="1" fillId="7" borderId="0" applyNumberFormat="0" applyBorder="0" applyAlignment="0" applyProtection="0"/>
    <xf numFmtId="0" fontId="45" fillId="36" borderId="0" applyNumberFormat="0" applyBorder="0" applyAlignment="0" applyProtection="0"/>
    <xf numFmtId="0" fontId="1" fillId="9" borderId="0" applyNumberFormat="0" applyBorder="0" applyAlignment="0" applyProtection="0"/>
    <xf numFmtId="0" fontId="45" fillId="37" borderId="0" applyNumberFormat="0" applyBorder="0" applyAlignment="0" applyProtection="0"/>
    <xf numFmtId="0" fontId="1" fillId="10" borderId="0" applyNumberFormat="0" applyBorder="0" applyAlignment="0" applyProtection="0"/>
    <xf numFmtId="0" fontId="45" fillId="38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45" fillId="39" borderId="0" applyNumberFormat="0" applyBorder="0" applyAlignment="0" applyProtection="0"/>
    <xf numFmtId="0" fontId="1" fillId="11" borderId="0" applyNumberFormat="0" applyBorder="0" applyAlignment="0" applyProtection="0"/>
    <xf numFmtId="0" fontId="45" fillId="40" borderId="0" applyNumberFormat="0" applyBorder="0" applyAlignment="0" applyProtection="0"/>
    <xf numFmtId="0" fontId="1" fillId="12" borderId="0" applyNumberFormat="0" applyBorder="0" applyAlignment="0" applyProtection="0"/>
    <xf numFmtId="0" fontId="45" fillId="41" borderId="0" applyNumberFormat="0" applyBorder="0" applyAlignment="0" applyProtection="0"/>
    <xf numFmtId="0" fontId="1" fillId="14" borderId="0" applyNumberFormat="0" applyBorder="0" applyAlignment="0" applyProtection="0"/>
    <xf numFmtId="0" fontId="45" fillId="42" borderId="0" applyNumberFormat="0" applyBorder="0" applyAlignment="0" applyProtection="0"/>
    <xf numFmtId="0" fontId="1" fillId="9" borderId="0" applyNumberFormat="0" applyBorder="0" applyAlignment="0" applyProtection="0"/>
    <xf numFmtId="0" fontId="45" fillId="43" borderId="0" applyNumberFormat="0" applyBorder="0" applyAlignment="0" applyProtection="0"/>
    <xf numFmtId="0" fontId="1" fillId="11" borderId="0" applyNumberFormat="0" applyBorder="0" applyAlignment="0" applyProtection="0"/>
    <xf numFmtId="0" fontId="45" fillId="44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9" borderId="0" applyNumberFormat="0" applyBorder="0" applyAlignment="0" applyProtection="0"/>
    <xf numFmtId="0" fontId="46" fillId="50" borderId="0" applyNumberFormat="0" applyBorder="0" applyAlignment="0" applyProtection="0"/>
    <xf numFmtId="0" fontId="28" fillId="8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46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46" fillId="54" borderId="0" applyNumberFormat="0" applyBorder="0" applyAlignment="0" applyProtection="0"/>
    <xf numFmtId="0" fontId="46" fillId="55" borderId="0" applyNumberFormat="0" applyBorder="0" applyAlignment="0" applyProtection="0"/>
    <xf numFmtId="0" fontId="46" fillId="56" borderId="0" applyNumberFormat="0" applyBorder="0" applyAlignment="0" applyProtection="0"/>
    <xf numFmtId="0" fontId="47" fillId="5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48" fillId="58" borderId="31" applyNumberFormat="0" applyAlignment="0" applyProtection="0"/>
    <xf numFmtId="0" fontId="30" fillId="16" borderId="1" applyNumberFormat="0" applyAlignment="0" applyProtection="0"/>
    <xf numFmtId="0" fontId="31" fillId="22" borderId="2" applyNumberFormat="0" applyAlignment="0" applyProtection="0"/>
    <xf numFmtId="0" fontId="31" fillId="22" borderId="2" applyNumberFormat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33" fillId="4" borderId="1" applyNumberFormat="0" applyAlignment="0" applyProtection="0"/>
    <xf numFmtId="0" fontId="33" fillId="4" borderId="1" applyNumberFormat="0" applyAlignment="0" applyProtection="0"/>
    <xf numFmtId="17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49" fillId="0" borderId="32" applyNumberFormat="0" applyFill="0" applyAlignment="0" applyProtection="0"/>
    <xf numFmtId="0" fontId="52" fillId="0" borderId="33" applyNumberFormat="0" applyFill="0" applyAlignment="0" applyProtection="0"/>
    <xf numFmtId="0" fontId="50" fillId="0" borderId="34" applyNumberFormat="0" applyFill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5" borderId="0" applyNumberFormat="0" applyBorder="0" applyAlignment="0" applyProtection="0"/>
    <xf numFmtId="167" fontId="2" fillId="0" borderId="0" applyFont="0" applyFill="0" applyBorder="0" applyAlignment="0" applyProtection="0"/>
    <xf numFmtId="165" fontId="27" fillId="0" borderId="0" applyFont="0" applyFill="0" applyBorder="0" applyAlignment="0" applyProtection="0"/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55" fillId="59" borderId="0" applyNumberFormat="0" applyBorder="0" applyAlignment="0" applyProtection="0"/>
    <xf numFmtId="0" fontId="36" fillId="13" borderId="0" applyNumberFormat="0" applyBorder="0" applyAlignment="0" applyProtection="0"/>
    <xf numFmtId="0" fontId="2" fillId="0" borderId="0"/>
    <xf numFmtId="0" fontId="2" fillId="0" borderId="0"/>
    <xf numFmtId="0" fontId="56" fillId="0" borderId="0"/>
    <xf numFmtId="0" fontId="1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2" fillId="6" borderId="4" applyNumberFormat="0" applyFont="0" applyAlignment="0" applyProtection="0"/>
    <xf numFmtId="0" fontId="2" fillId="6" borderId="4" applyNumberFormat="0" applyFont="0" applyAlignment="0" applyProtection="0"/>
    <xf numFmtId="0" fontId="57" fillId="58" borderId="3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1" fillId="16" borderId="5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3" fillId="0" borderId="6" applyNumberFormat="0" applyFill="0" applyAlignment="0" applyProtection="0"/>
    <xf numFmtId="0" fontId="44" fillId="0" borderId="7" applyNumberFormat="0" applyFill="0" applyAlignment="0" applyProtection="0"/>
    <xf numFmtId="0" fontId="40" fillId="0" borderId="8" applyNumberFormat="0" applyFill="0" applyAlignment="0" applyProtection="0"/>
    <xf numFmtId="0" fontId="42" fillId="0" borderId="0" applyNumberFormat="0" applyFill="0" applyBorder="0" applyAlignment="0" applyProtection="0"/>
    <xf numFmtId="0" fontId="59" fillId="0" borderId="36" applyNumberFormat="0" applyFill="0" applyAlignment="0" applyProtection="0"/>
    <xf numFmtId="0" fontId="39" fillId="0" borderId="9" applyNumberFormat="0" applyFill="0" applyAlignment="0" applyProtection="0"/>
  </cellStyleXfs>
  <cellXfs count="329">
    <xf numFmtId="0" fontId="0" fillId="0" borderId="0" xfId="0"/>
    <xf numFmtId="0" fontId="6" fillId="0" borderId="0" xfId="0" applyFont="1"/>
    <xf numFmtId="0" fontId="7" fillId="24" borderId="0" xfId="0" applyFont="1" applyFill="1" applyAlignment="1">
      <alignment horizontal="centerContinuous" vertical="center"/>
    </xf>
    <xf numFmtId="0" fontId="9" fillId="0" borderId="0" xfId="0" applyFont="1"/>
    <xf numFmtId="0" fontId="8" fillId="25" borderId="0" xfId="0" applyFont="1" applyFill="1" applyAlignment="1">
      <alignment horizontal="center" vertical="center" wrapText="1"/>
    </xf>
    <xf numFmtId="0" fontId="11" fillId="0" borderId="0" xfId="0" applyFont="1"/>
    <xf numFmtId="0" fontId="8" fillId="25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25" borderId="10" xfId="0" applyFont="1" applyFill="1" applyBorder="1" applyAlignment="1">
      <alignment vertical="center"/>
    </xf>
    <xf numFmtId="0" fontId="9" fillId="25" borderId="11" xfId="0" applyFont="1" applyFill="1" applyBorder="1" applyAlignment="1">
      <alignment horizontal="center" vertical="center"/>
    </xf>
    <xf numFmtId="10" fontId="9" fillId="25" borderId="0" xfId="119" applyNumberFormat="1" applyFont="1" applyFill="1" applyAlignment="1">
      <alignment horizontal="center" vertical="center"/>
    </xf>
    <xf numFmtId="0" fontId="14" fillId="0" borderId="0" xfId="81" applyFont="1" applyAlignment="1" applyProtection="1"/>
    <xf numFmtId="0" fontId="9" fillId="26" borderId="0" xfId="0" applyFont="1" applyFill="1"/>
    <xf numFmtId="0" fontId="53" fillId="0" borderId="0" xfId="81" applyAlignment="1" applyProtection="1"/>
    <xf numFmtId="0" fontId="13" fillId="24" borderId="0" xfId="0" applyFont="1" applyFill="1"/>
    <xf numFmtId="0" fontId="9" fillId="27" borderId="12" xfId="0" applyFont="1" applyFill="1" applyBorder="1" applyAlignment="1">
      <alignment horizontal="right" vertical="center"/>
    </xf>
    <xf numFmtId="167" fontId="8" fillId="25" borderId="0" xfId="85" applyFont="1" applyFill="1" applyBorder="1" applyAlignment="1">
      <alignment horizontal="center" vertical="center"/>
    </xf>
    <xf numFmtId="167" fontId="9" fillId="28" borderId="0" xfId="85" applyFont="1" applyFill="1"/>
    <xf numFmtId="169" fontId="9" fillId="0" borderId="0" xfId="85" applyNumberFormat="1" applyFont="1"/>
    <xf numFmtId="22" fontId="9" fillId="0" borderId="0" xfId="0" applyNumberFormat="1" applyFont="1"/>
    <xf numFmtId="169" fontId="9" fillId="0" borderId="0" xfId="0" applyNumberFormat="1" applyFont="1"/>
    <xf numFmtId="169" fontId="9" fillId="25" borderId="0" xfId="85" applyNumberFormat="1" applyFont="1" applyFill="1"/>
    <xf numFmtId="169" fontId="9" fillId="27" borderId="0" xfId="85" applyNumberFormat="1" applyFont="1" applyFill="1"/>
    <xf numFmtId="0" fontId="9" fillId="25" borderId="10" xfId="0" applyFont="1" applyFill="1" applyBorder="1" applyAlignment="1">
      <alignment horizontal="center" vertical="center"/>
    </xf>
    <xf numFmtId="0" fontId="9" fillId="27" borderId="12" xfId="0" applyFont="1" applyFill="1" applyBorder="1" applyAlignment="1">
      <alignment horizontal="center" vertical="center"/>
    </xf>
    <xf numFmtId="0" fontId="9" fillId="0" borderId="0" xfId="85" applyNumberFormat="1" applyFont="1"/>
    <xf numFmtId="0" fontId="9" fillId="29" borderId="0" xfId="0" applyFont="1" applyFill="1"/>
    <xf numFmtId="0" fontId="9" fillId="30" borderId="0" xfId="0" applyFont="1" applyFill="1"/>
    <xf numFmtId="0" fontId="2" fillId="0" borderId="0" xfId="104" applyAlignment="1" applyProtection="1">
      <alignment horizontal="center"/>
      <protection locked="0"/>
    </xf>
    <xf numFmtId="0" fontId="2" fillId="0" borderId="0" xfId="104" applyAlignment="1" applyProtection="1">
      <alignment horizontal="left"/>
      <protection locked="0"/>
    </xf>
    <xf numFmtId="0" fontId="2" fillId="0" borderId="0" xfId="104" applyAlignment="1" applyProtection="1">
      <alignment horizontal="right"/>
      <protection locked="0"/>
    </xf>
    <xf numFmtId="0" fontId="2" fillId="0" borderId="0" xfId="104" applyProtection="1">
      <protection locked="0"/>
    </xf>
    <xf numFmtId="2" fontId="2" fillId="0" borderId="0" xfId="104" applyNumberFormat="1" applyAlignment="1" applyProtection="1">
      <alignment horizontal="left"/>
      <protection locked="0"/>
    </xf>
    <xf numFmtId="10" fontId="2" fillId="0" borderId="0" xfId="119" applyNumberFormat="1" applyFont="1" applyFill="1" applyBorder="1" applyAlignment="1" applyProtection="1">
      <alignment horizontal="left"/>
      <protection locked="0"/>
    </xf>
    <xf numFmtId="15" fontId="2" fillId="0" borderId="0" xfId="104" applyNumberFormat="1" applyAlignment="1" applyProtection="1">
      <alignment horizontal="left"/>
      <protection locked="0"/>
    </xf>
    <xf numFmtId="167" fontId="2" fillId="0" borderId="0" xfId="85" applyFont="1" applyFill="1" applyBorder="1" applyAlignment="1" applyProtection="1">
      <alignment horizontal="left"/>
      <protection locked="0"/>
    </xf>
    <xf numFmtId="167" fontId="2" fillId="0" borderId="0" xfId="85" applyFont="1" applyFill="1" applyBorder="1" applyAlignment="1" applyProtection="1">
      <alignment horizontal="right"/>
      <protection locked="0"/>
    </xf>
    <xf numFmtId="169" fontId="2" fillId="0" borderId="0" xfId="85" applyNumberFormat="1" applyFont="1" applyFill="1" applyBorder="1" applyAlignment="1" applyProtection="1">
      <alignment horizontal="left"/>
      <protection locked="0"/>
    </xf>
    <xf numFmtId="9" fontId="2" fillId="0" borderId="0" xfId="119" applyFont="1" applyFill="1" applyBorder="1" applyAlignment="1" applyProtection="1">
      <alignment horizontal="left"/>
      <protection locked="0"/>
    </xf>
    <xf numFmtId="172" fontId="2" fillId="0" borderId="0" xfId="119" applyNumberFormat="1" applyFont="1" applyFill="1" applyBorder="1" applyAlignment="1" applyProtection="1">
      <alignment horizontal="left"/>
      <protection locked="0"/>
    </xf>
    <xf numFmtId="172" fontId="2" fillId="0" borderId="0" xfId="85" applyNumberFormat="1" applyFont="1" applyFill="1" applyBorder="1" applyAlignment="1" applyProtection="1">
      <alignment horizontal="left"/>
      <protection locked="0"/>
    </xf>
    <xf numFmtId="173" fontId="2" fillId="0" borderId="0" xfId="85" applyNumberFormat="1" applyFont="1" applyFill="1" applyBorder="1" applyAlignment="1" applyProtection="1">
      <alignment horizontal="left"/>
      <protection locked="0"/>
    </xf>
    <xf numFmtId="169" fontId="2" fillId="0" borderId="0" xfId="104" applyNumberFormat="1" applyAlignment="1" applyProtection="1">
      <alignment horizontal="right"/>
      <protection locked="0"/>
    </xf>
    <xf numFmtId="3" fontId="2" fillId="0" borderId="0" xfId="104" applyNumberFormat="1" applyAlignment="1" applyProtection="1">
      <alignment horizontal="left"/>
      <protection locked="0"/>
    </xf>
    <xf numFmtId="3" fontId="2" fillId="0" borderId="0" xfId="104" applyNumberFormat="1" applyAlignment="1" applyProtection="1">
      <alignment horizontal="right"/>
      <protection locked="0"/>
    </xf>
    <xf numFmtId="174" fontId="2" fillId="0" borderId="0" xfId="119" applyNumberFormat="1" applyFont="1" applyFill="1" applyBorder="1" applyAlignment="1" applyProtection="1">
      <alignment horizontal="left"/>
      <protection locked="0"/>
    </xf>
    <xf numFmtId="174" fontId="2" fillId="0" borderId="0" xfId="104" quotePrefix="1" applyNumberFormat="1" applyAlignment="1" applyProtection="1">
      <alignment horizontal="right"/>
      <protection locked="0"/>
    </xf>
    <xf numFmtId="4" fontId="2" fillId="0" borderId="0" xfId="104" applyNumberFormat="1" applyAlignment="1" applyProtection="1">
      <alignment horizontal="left"/>
      <protection locked="0"/>
    </xf>
    <xf numFmtId="175" fontId="2" fillId="0" borderId="0" xfId="104" applyNumberFormat="1" applyAlignment="1" applyProtection="1">
      <alignment horizontal="right"/>
      <protection locked="0"/>
    </xf>
    <xf numFmtId="1" fontId="2" fillId="0" borderId="0" xfId="104" applyNumberFormat="1" applyAlignment="1" applyProtection="1">
      <alignment horizontal="left"/>
      <protection locked="0"/>
    </xf>
    <xf numFmtId="3" fontId="2" fillId="0" borderId="0" xfId="85" applyNumberFormat="1" applyFont="1" applyFill="1" applyBorder="1" applyAlignment="1" applyProtection="1">
      <alignment horizontal="left"/>
      <protection locked="0"/>
    </xf>
    <xf numFmtId="176" fontId="2" fillId="0" borderId="0" xfId="104" quotePrefix="1" applyNumberFormat="1" applyAlignment="1" applyProtection="1">
      <alignment horizontal="right"/>
      <protection locked="0"/>
    </xf>
    <xf numFmtId="169" fontId="2" fillId="0" borderId="0" xfId="104" applyNumberFormat="1" applyAlignment="1" applyProtection="1">
      <alignment horizontal="left"/>
      <protection locked="0"/>
    </xf>
    <xf numFmtId="174" fontId="2" fillId="0" borderId="0" xfId="104" applyNumberFormat="1" applyAlignment="1" applyProtection="1">
      <alignment horizontal="left"/>
      <protection locked="0"/>
    </xf>
    <xf numFmtId="174" fontId="2" fillId="0" borderId="0" xfId="85" applyNumberFormat="1" applyFont="1" applyFill="1" applyBorder="1" applyAlignment="1" applyProtection="1">
      <alignment horizontal="left"/>
      <protection locked="0"/>
    </xf>
    <xf numFmtId="10" fontId="2" fillId="0" borderId="0" xfId="119" quotePrefix="1" applyNumberFormat="1" applyFont="1" applyFill="1" applyBorder="1" applyAlignment="1" applyProtection="1">
      <alignment horizontal="right"/>
      <protection locked="0"/>
    </xf>
    <xf numFmtId="167" fontId="2" fillId="0" borderId="0" xfId="104" applyNumberFormat="1" applyAlignment="1" applyProtection="1">
      <alignment horizontal="left"/>
      <protection locked="0"/>
    </xf>
    <xf numFmtId="170" fontId="2" fillId="0" borderId="0" xfId="119" quotePrefix="1" applyNumberFormat="1" applyFont="1" applyFill="1" applyBorder="1" applyAlignment="1" applyProtection="1">
      <alignment horizontal="right"/>
      <protection locked="0"/>
    </xf>
    <xf numFmtId="9" fontId="2" fillId="0" borderId="0" xfId="119" quotePrefix="1" applyFont="1" applyFill="1" applyBorder="1" applyAlignment="1" applyProtection="1">
      <alignment horizontal="right"/>
      <protection locked="0"/>
    </xf>
    <xf numFmtId="2" fontId="2" fillId="0" borderId="0" xfId="104" applyNumberFormat="1" applyAlignment="1" applyProtection="1">
      <alignment horizontal="right"/>
      <protection locked="0"/>
    </xf>
    <xf numFmtId="0" fontId="2" fillId="0" borderId="0" xfId="104" quotePrefix="1" applyAlignment="1" applyProtection="1">
      <alignment horizontal="left"/>
      <protection locked="0"/>
    </xf>
    <xf numFmtId="15" fontId="2" fillId="0" borderId="0" xfId="104" applyNumberFormat="1" applyAlignment="1" applyProtection="1">
      <alignment horizontal="right"/>
      <protection locked="0"/>
    </xf>
    <xf numFmtId="175" fontId="2" fillId="0" borderId="0" xfId="104" applyNumberFormat="1" applyAlignment="1" applyProtection="1">
      <alignment horizontal="left"/>
      <protection locked="0"/>
    </xf>
    <xf numFmtId="170" fontId="2" fillId="0" borderId="0" xfId="119" applyNumberFormat="1" applyFont="1" applyFill="1" applyBorder="1" applyAlignment="1" applyProtection="1">
      <alignment horizontal="left"/>
      <protection locked="0"/>
    </xf>
    <xf numFmtId="173" fontId="2" fillId="0" borderId="0" xfId="85" applyNumberFormat="1" applyFont="1" applyFill="1" applyBorder="1" applyAlignment="1" applyProtection="1">
      <alignment horizontal="right"/>
      <protection locked="0"/>
    </xf>
    <xf numFmtId="10" fontId="2" fillId="0" borderId="0" xfId="104" applyNumberFormat="1" applyAlignment="1" applyProtection="1">
      <alignment horizontal="left"/>
      <protection locked="0"/>
    </xf>
    <xf numFmtId="0" fontId="12" fillId="0" borderId="0" xfId="0" applyFont="1" applyAlignment="1">
      <alignment horizontal="centerContinuous"/>
    </xf>
    <xf numFmtId="0" fontId="2" fillId="30" borderId="0" xfId="104" applyFill="1" applyAlignment="1" applyProtection="1">
      <alignment horizontal="left" vertical="center"/>
      <protection locked="0"/>
    </xf>
    <xf numFmtId="0" fontId="2" fillId="31" borderId="0" xfId="104" applyFill="1" applyAlignment="1" applyProtection="1">
      <alignment horizontal="left" vertical="center"/>
      <protection locked="0"/>
    </xf>
    <xf numFmtId="0" fontId="2" fillId="32" borderId="0" xfId="104" applyFill="1" applyAlignment="1" applyProtection="1">
      <alignment horizontal="left" vertical="center"/>
      <protection locked="0"/>
    </xf>
    <xf numFmtId="0" fontId="2" fillId="29" borderId="0" xfId="104" applyFill="1" applyAlignment="1" applyProtection="1">
      <alignment horizontal="left" vertical="center"/>
      <protection locked="0"/>
    </xf>
    <xf numFmtId="14" fontId="2" fillId="31" borderId="0" xfId="85" applyNumberFormat="1" applyFont="1" applyFill="1" applyBorder="1" applyAlignment="1" applyProtection="1">
      <alignment horizontal="left" vertical="center"/>
      <protection locked="0"/>
    </xf>
    <xf numFmtId="14" fontId="2" fillId="32" borderId="0" xfId="85" applyNumberFormat="1" applyFont="1" applyFill="1" applyBorder="1" applyAlignment="1" applyProtection="1">
      <alignment horizontal="left" vertical="center"/>
      <protection locked="0"/>
    </xf>
    <xf numFmtId="14" fontId="2" fillId="30" borderId="0" xfId="104" applyNumberFormat="1" applyFill="1" applyAlignment="1" applyProtection="1">
      <alignment horizontal="left" vertical="center"/>
      <protection locked="0"/>
    </xf>
    <xf numFmtId="14" fontId="2" fillId="31" borderId="0" xfId="104" applyNumberFormat="1" applyFill="1" applyAlignment="1" applyProtection="1">
      <alignment horizontal="left" vertical="center"/>
      <protection locked="0"/>
    </xf>
    <xf numFmtId="14" fontId="2" fillId="32" borderId="0" xfId="104" applyNumberFormat="1" applyFill="1" applyAlignment="1" applyProtection="1">
      <alignment horizontal="left" vertical="center"/>
      <protection locked="0"/>
    </xf>
    <xf numFmtId="0" fontId="2" fillId="0" borderId="0" xfId="104" applyAlignment="1" applyProtection="1">
      <alignment horizontal="left" vertical="center"/>
      <protection locked="0"/>
    </xf>
    <xf numFmtId="9" fontId="2" fillId="0" borderId="0" xfId="104" applyNumberFormat="1" applyProtection="1">
      <protection locked="0"/>
    </xf>
    <xf numFmtId="173" fontId="2" fillId="0" borderId="0" xfId="85" applyNumberFormat="1" applyFont="1" applyFill="1" applyBorder="1" applyAlignment="1" applyProtection="1">
      <protection locked="0"/>
    </xf>
    <xf numFmtId="0" fontId="2" fillId="0" borderId="0" xfId="0" applyFont="1"/>
    <xf numFmtId="0" fontId="14" fillId="26" borderId="0" xfId="81" applyFont="1" applyFill="1" applyAlignment="1" applyProtection="1"/>
    <xf numFmtId="0" fontId="9" fillId="26" borderId="0" xfId="0" applyFont="1" applyFill="1" applyAlignment="1">
      <alignment vertical="center"/>
    </xf>
    <xf numFmtId="0" fontId="53" fillId="26" borderId="0" xfId="81" applyFill="1" applyAlignment="1" applyProtection="1"/>
    <xf numFmtId="0" fontId="2" fillId="0" borderId="0" xfId="85" applyNumberFormat="1" applyFont="1" applyFill="1" applyBorder="1" applyAlignment="1" applyProtection="1">
      <alignment horizontal="left" vertical="center"/>
      <protection locked="0"/>
    </xf>
    <xf numFmtId="0" fontId="2" fillId="0" borderId="0" xfId="115" applyFont="1" applyAlignment="1" applyProtection="1">
      <alignment horizontal="left" vertical="center"/>
      <protection locked="0"/>
    </xf>
    <xf numFmtId="0" fontId="2" fillId="0" borderId="0" xfId="100" applyNumberFormat="1" applyFont="1" applyFill="1" applyBorder="1" applyAlignment="1" applyProtection="1">
      <alignment horizontal="left" vertical="center"/>
      <protection locked="0"/>
    </xf>
    <xf numFmtId="0" fontId="2" fillId="0" borderId="0" xfId="119" applyNumberFormat="1" applyFont="1" applyFill="1" applyBorder="1" applyAlignment="1" applyProtection="1">
      <alignment horizontal="left" vertical="center"/>
      <protection locked="0"/>
    </xf>
    <xf numFmtId="0" fontId="2" fillId="0" borderId="0" xfId="115" quotePrefix="1" applyFont="1" applyAlignment="1" applyProtection="1">
      <alignment horizontal="left" vertical="center"/>
      <protection locked="0"/>
    </xf>
    <xf numFmtId="0" fontId="14" fillId="26" borderId="0" xfId="81" applyFont="1" applyFill="1" applyAlignment="1" applyProtection="1">
      <protection hidden="1"/>
    </xf>
    <xf numFmtId="0" fontId="9" fillId="0" borderId="0" xfId="0" applyFont="1" applyProtection="1">
      <protection locked="0"/>
    </xf>
    <xf numFmtId="0" fontId="2" fillId="0" borderId="0" xfId="0" applyFont="1" applyProtection="1">
      <protection locked="0"/>
    </xf>
    <xf numFmtId="14" fontId="2" fillId="32" borderId="0" xfId="104" applyNumberFormat="1" applyFill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169" fontId="9" fillId="27" borderId="0" xfId="85" applyNumberFormat="1" applyFont="1" applyFill="1" applyProtection="1">
      <protection hidden="1"/>
    </xf>
    <xf numFmtId="9" fontId="3" fillId="26" borderId="0" xfId="119" applyFont="1" applyFill="1" applyBorder="1" applyAlignment="1">
      <alignment horizontal="center"/>
    </xf>
    <xf numFmtId="9" fontId="2" fillId="26" borderId="0" xfId="119" applyFont="1" applyFill="1" applyBorder="1" applyAlignment="1">
      <alignment horizont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 applyProtection="1">
      <alignment horizontal="center" vertical="center" wrapText="1"/>
      <protection hidden="1"/>
    </xf>
    <xf numFmtId="10" fontId="10" fillId="0" borderId="0" xfId="119" applyNumberFormat="1" applyFont="1" applyFill="1" applyAlignment="1" applyProtection="1">
      <alignment horizontal="center" vertical="center"/>
      <protection locked="0"/>
    </xf>
    <xf numFmtId="10" fontId="9" fillId="0" borderId="0" xfId="0" applyNumberFormat="1" applyFont="1" applyAlignment="1" applyProtection="1">
      <alignment horizontal="center" vertical="center"/>
      <protection locked="0"/>
    </xf>
    <xf numFmtId="4" fontId="10" fillId="0" borderId="0" xfId="119" applyNumberFormat="1" applyFont="1" applyFill="1" applyAlignment="1" applyProtection="1">
      <alignment horizontal="center" vertical="center"/>
      <protection locked="0"/>
    </xf>
    <xf numFmtId="9" fontId="2" fillId="26" borderId="0" xfId="119" applyFont="1" applyFill="1" applyBorder="1" applyAlignment="1">
      <alignment horizontal="right"/>
    </xf>
    <xf numFmtId="10" fontId="9" fillId="0" borderId="0" xfId="0" applyNumberFormat="1" applyFont="1" applyAlignment="1">
      <alignment vertical="center"/>
    </xf>
    <xf numFmtId="10" fontId="9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7" fillId="0" borderId="0" xfId="0" applyFont="1" applyAlignment="1" applyProtection="1">
      <alignment horizontal="centerContinuous"/>
      <protection hidden="1"/>
    </xf>
    <xf numFmtId="0" fontId="2" fillId="0" borderId="0" xfId="0" applyFont="1" applyProtection="1">
      <protection hidden="1"/>
    </xf>
    <xf numFmtId="14" fontId="2" fillId="0" borderId="0" xfId="0" applyNumberFormat="1" applyFont="1" applyAlignment="1" applyProtection="1">
      <alignment horizontal="left"/>
      <protection hidden="1"/>
    </xf>
    <xf numFmtId="0" fontId="2" fillId="26" borderId="0" xfId="0" applyFont="1" applyFill="1"/>
    <xf numFmtId="0" fontId="19" fillId="26" borderId="0" xfId="0" applyFont="1" applyFill="1"/>
    <xf numFmtId="0" fontId="3" fillId="26" borderId="0" xfId="0" applyFont="1" applyFill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60" fillId="26" borderId="0" xfId="81" applyFont="1" applyFill="1" applyAlignment="1" applyProtection="1">
      <protection hidden="1"/>
    </xf>
    <xf numFmtId="0" fontId="61" fillId="26" borderId="0" xfId="81" applyFont="1" applyFill="1" applyAlignment="1" applyProtection="1">
      <protection hidden="1"/>
    </xf>
    <xf numFmtId="0" fontId="61" fillId="26" borderId="0" xfId="81" applyFont="1" applyFill="1" applyAlignment="1" applyProtection="1">
      <alignment horizontal="center"/>
      <protection hidden="1"/>
    </xf>
    <xf numFmtId="17" fontId="2" fillId="26" borderId="0" xfId="0" applyNumberFormat="1" applyFont="1" applyFill="1" applyAlignment="1" applyProtection="1">
      <alignment horizontal="center" vertical="center"/>
      <protection locked="0"/>
    </xf>
    <xf numFmtId="168" fontId="2" fillId="26" borderId="0" xfId="0" applyNumberFormat="1" applyFont="1" applyFill="1" applyAlignment="1" applyProtection="1">
      <alignment horizontal="center" vertical="center"/>
      <protection locked="0"/>
    </xf>
    <xf numFmtId="0" fontId="21" fillId="26" borderId="0" xfId="0" applyFont="1" applyFill="1" applyAlignment="1" applyProtection="1">
      <alignment horizontal="center" vertical="center"/>
      <protection hidden="1"/>
    </xf>
    <xf numFmtId="17" fontId="3" fillId="26" borderId="0" xfId="0" applyNumberFormat="1" applyFont="1" applyFill="1" applyAlignment="1" applyProtection="1">
      <alignment horizontal="center" vertical="center"/>
      <protection locked="0"/>
    </xf>
    <xf numFmtId="168" fontId="3" fillId="26" borderId="0" xfId="0" applyNumberFormat="1" applyFont="1" applyFill="1" applyAlignment="1" applyProtection="1">
      <alignment horizontal="center" vertical="center"/>
      <protection locked="0"/>
    </xf>
    <xf numFmtId="17" fontId="3" fillId="0" borderId="0" xfId="0" applyNumberFormat="1" applyFont="1" applyAlignment="1" applyProtection="1">
      <alignment horizontal="center"/>
      <protection locked="0"/>
    </xf>
    <xf numFmtId="0" fontId="62" fillId="26" borderId="0" xfId="0" applyFont="1" applyFill="1" applyAlignment="1">
      <alignment vertical="center"/>
    </xf>
    <xf numFmtId="0" fontId="63" fillId="26" borderId="0" xfId="0" applyFont="1" applyFill="1"/>
    <xf numFmtId="0" fontId="22" fillId="26" borderId="0" xfId="81" applyFont="1" applyFill="1" applyAlignment="1" applyProtection="1"/>
    <xf numFmtId="0" fontId="22" fillId="0" borderId="0" xfId="81" applyFont="1" applyAlignment="1" applyProtection="1"/>
    <xf numFmtId="10" fontId="2" fillId="0" borderId="0" xfId="0" applyNumberFormat="1" applyFont="1"/>
    <xf numFmtId="10" fontId="2" fillId="26" borderId="0" xfId="119" applyNumberFormat="1" applyFont="1" applyFill="1" applyAlignment="1" applyProtection="1">
      <alignment horizontal="center"/>
      <protection locked="0"/>
    </xf>
    <xf numFmtId="0" fontId="2" fillId="26" borderId="0" xfId="0" applyFont="1" applyFill="1" applyAlignment="1">
      <alignment vertical="center"/>
    </xf>
    <xf numFmtId="0" fontId="63" fillId="26" borderId="0" xfId="0" applyFont="1" applyFill="1" applyAlignment="1">
      <alignment vertical="center"/>
    </xf>
    <xf numFmtId="0" fontId="61" fillId="26" borderId="0" xfId="81" applyFont="1" applyFill="1" applyAlignment="1" applyProtection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10" fontId="2" fillId="0" borderId="0" xfId="0" applyNumberFormat="1" applyFont="1" applyAlignment="1">
      <alignment vertical="center"/>
    </xf>
    <xf numFmtId="179" fontId="2" fillId="0" borderId="0" xfId="0" applyNumberFormat="1" applyFont="1" applyAlignment="1">
      <alignment vertical="center"/>
    </xf>
    <xf numFmtId="170" fontId="2" fillId="0" borderId="0" xfId="0" applyNumberFormat="1" applyFont="1" applyAlignment="1">
      <alignment vertical="center"/>
    </xf>
    <xf numFmtId="178" fontId="2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70" fontId="2" fillId="0" borderId="0" xfId="119" applyNumberFormat="1" applyFont="1"/>
    <xf numFmtId="9" fontId="2" fillId="0" borderId="0" xfId="0" applyNumberFormat="1" applyFont="1" applyProtection="1">
      <protection locked="0"/>
    </xf>
    <xf numFmtId="0" fontId="20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 wrapText="1"/>
    </xf>
    <xf numFmtId="169" fontId="2" fillId="26" borderId="0" xfId="85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64" fillId="26" borderId="0" xfId="81" applyFont="1" applyFill="1" applyAlignment="1" applyProtection="1"/>
    <xf numFmtId="0" fontId="18" fillId="0" borderId="0" xfId="81" applyFont="1" applyAlignment="1" applyProtection="1"/>
    <xf numFmtId="0" fontId="65" fillId="26" borderId="0" xfId="0" applyFont="1" applyFill="1"/>
    <xf numFmtId="0" fontId="22" fillId="26" borderId="0" xfId="81" applyFont="1" applyFill="1" applyAlignment="1" applyProtection="1">
      <protection hidden="1"/>
    </xf>
    <xf numFmtId="3" fontId="2" fillId="26" borderId="0" xfId="99" applyNumberFormat="1" applyFont="1" applyFill="1" applyBorder="1" applyAlignment="1">
      <alignment horizontal="right"/>
    </xf>
    <xf numFmtId="0" fontId="66" fillId="26" borderId="0" xfId="81" applyFont="1" applyFill="1" applyAlignment="1" applyProtection="1">
      <protection hidden="1"/>
    </xf>
    <xf numFmtId="0" fontId="67" fillId="26" borderId="0" xfId="0" applyFont="1" applyFill="1"/>
    <xf numFmtId="0" fontId="66" fillId="26" borderId="0" xfId="81" applyFont="1" applyFill="1" applyAlignment="1" applyProtection="1"/>
    <xf numFmtId="0" fontId="66" fillId="0" borderId="0" xfId="81" applyFont="1" applyAlignment="1" applyProtection="1"/>
    <xf numFmtId="0" fontId="25" fillId="26" borderId="0" xfId="0" applyFont="1" applyFill="1"/>
    <xf numFmtId="0" fontId="25" fillId="0" borderId="0" xfId="0" applyFont="1"/>
    <xf numFmtId="0" fontId="25" fillId="26" borderId="0" xfId="0" applyFont="1" applyFill="1" applyAlignment="1">
      <alignment horizontal="center" vertical="center"/>
    </xf>
    <xf numFmtId="166" fontId="2" fillId="0" borderId="0" xfId="0" applyNumberFormat="1" applyFont="1"/>
    <xf numFmtId="0" fontId="25" fillId="0" borderId="0" xfId="0" applyFont="1" applyAlignment="1">
      <alignment vertical="center"/>
    </xf>
    <xf numFmtId="3" fontId="25" fillId="25" borderId="0" xfId="0" applyNumberFormat="1" applyFont="1" applyFill="1" applyAlignment="1">
      <alignment vertical="center"/>
    </xf>
    <xf numFmtId="3" fontId="25" fillId="25" borderId="0" xfId="0" applyNumberFormat="1" applyFont="1" applyFill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65" fillId="26" borderId="0" xfId="0" applyFont="1" applyFill="1" applyAlignment="1">
      <alignment horizontal="center" vertical="center"/>
    </xf>
    <xf numFmtId="17" fontId="2" fillId="26" borderId="13" xfId="0" applyNumberFormat="1" applyFont="1" applyFill="1" applyBorder="1"/>
    <xf numFmtId="17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7" fontId="2" fillId="26" borderId="16" xfId="0" applyNumberFormat="1" applyFont="1" applyFill="1" applyBorder="1"/>
    <xf numFmtId="17" fontId="2" fillId="26" borderId="17" xfId="0" applyNumberFormat="1" applyFont="1" applyFill="1" applyBorder="1"/>
    <xf numFmtId="0" fontId="2" fillId="0" borderId="0" xfId="0" applyFont="1" applyAlignment="1">
      <alignment horizontal="center" vertical="center"/>
    </xf>
    <xf numFmtId="0" fontId="63" fillId="26" borderId="0" xfId="0" applyFont="1" applyFill="1" applyAlignment="1">
      <alignment horizontal="center" vertical="center"/>
    </xf>
    <xf numFmtId="0" fontId="3" fillId="26" borderId="0" xfId="0" applyFont="1" applyFill="1" applyAlignment="1" applyProtection="1">
      <alignment horizontal="center" vertical="center" wrapText="1"/>
      <protection hidden="1"/>
    </xf>
    <xf numFmtId="0" fontId="2" fillId="0" borderId="0" xfId="0" applyFont="1" applyAlignment="1">
      <alignment wrapText="1"/>
    </xf>
    <xf numFmtId="17" fontId="2" fillId="26" borderId="0" xfId="0" applyNumberFormat="1" applyFont="1" applyFill="1" applyAlignment="1">
      <alignment horizontal="center" vertical="center"/>
    </xf>
    <xf numFmtId="168" fontId="2" fillId="26" borderId="0" xfId="0" applyNumberFormat="1" applyFont="1" applyFill="1" applyAlignment="1">
      <alignment horizontal="center" vertical="center"/>
    </xf>
    <xf numFmtId="0" fontId="68" fillId="30" borderId="0" xfId="104" applyFont="1" applyFill="1" applyAlignment="1" applyProtection="1">
      <alignment horizontal="left" vertical="center"/>
      <protection locked="0"/>
    </xf>
    <xf numFmtId="14" fontId="2" fillId="31" borderId="0" xfId="104" applyNumberFormat="1" applyFill="1" applyAlignment="1" applyProtection="1">
      <alignment horizontal="left" vertical="center" wrapText="1"/>
      <protection locked="0"/>
    </xf>
    <xf numFmtId="0" fontId="69" fillId="26" borderId="0" xfId="0" applyFont="1" applyFill="1"/>
    <xf numFmtId="0" fontId="2" fillId="60" borderId="18" xfId="0" applyFont="1" applyFill="1" applyBorder="1" applyAlignment="1" applyProtection="1">
      <alignment horizontal="center" vertical="center"/>
      <protection hidden="1"/>
    </xf>
    <xf numFmtId="0" fontId="21" fillId="61" borderId="0" xfId="0" applyFont="1" applyFill="1" applyAlignment="1" applyProtection="1">
      <alignment horizontal="center" vertical="center"/>
      <protection hidden="1"/>
    </xf>
    <xf numFmtId="3" fontId="2" fillId="61" borderId="0" xfId="85" applyNumberFormat="1" applyFont="1" applyFill="1" applyAlignment="1" applyProtection="1">
      <alignment horizontal="right" vertical="center"/>
      <protection locked="0"/>
    </xf>
    <xf numFmtId="10" fontId="2" fillId="61" borderId="0" xfId="119" applyNumberFormat="1" applyFont="1" applyFill="1" applyAlignment="1" applyProtection="1">
      <alignment horizontal="center"/>
      <protection locked="0"/>
    </xf>
    <xf numFmtId="0" fontId="3" fillId="62" borderId="0" xfId="0" applyFont="1" applyFill="1" applyProtection="1">
      <protection hidden="1"/>
    </xf>
    <xf numFmtId="0" fontId="9" fillId="62" borderId="0" xfId="0" applyFont="1" applyFill="1"/>
    <xf numFmtId="0" fontId="2" fillId="62" borderId="0" xfId="0" applyFont="1" applyFill="1"/>
    <xf numFmtId="0" fontId="19" fillId="62" borderId="0" xfId="81" applyFont="1" applyFill="1" applyAlignment="1" applyProtection="1">
      <alignment horizontal="left" indent="1"/>
      <protection hidden="1"/>
    </xf>
    <xf numFmtId="0" fontId="19" fillId="62" borderId="0" xfId="0" applyFont="1" applyFill="1" applyAlignment="1" applyProtection="1">
      <alignment horizontal="left" indent="1"/>
      <protection hidden="1"/>
    </xf>
    <xf numFmtId="0" fontId="3" fillId="60" borderId="0" xfId="0" applyFont="1" applyFill="1" applyAlignment="1" applyProtection="1">
      <alignment horizontal="center" vertical="center"/>
      <protection hidden="1"/>
    </xf>
    <xf numFmtId="0" fontId="3" fillId="60" borderId="0" xfId="0" applyFont="1" applyFill="1" applyAlignment="1" applyProtection="1">
      <alignment horizontal="center" vertical="center" wrapText="1"/>
      <protection hidden="1"/>
    </xf>
    <xf numFmtId="0" fontId="3" fillId="61" borderId="0" xfId="0" applyFont="1" applyFill="1" applyAlignment="1" applyProtection="1">
      <alignment horizontal="center" vertical="center"/>
      <protection hidden="1"/>
    </xf>
    <xf numFmtId="0" fontId="3" fillId="61" borderId="0" xfId="0" applyFont="1" applyFill="1" applyAlignment="1" applyProtection="1">
      <alignment horizontal="center" vertical="center" wrapText="1"/>
      <protection hidden="1"/>
    </xf>
    <xf numFmtId="10" fontId="2" fillId="61" borderId="0" xfId="119" applyNumberFormat="1" applyFont="1" applyFill="1" applyAlignment="1" applyProtection="1">
      <alignment horizontal="center" vertical="center"/>
      <protection locked="0"/>
    </xf>
    <xf numFmtId="10" fontId="2" fillId="61" borderId="0" xfId="0" applyNumberFormat="1" applyFont="1" applyFill="1" applyAlignment="1" applyProtection="1">
      <alignment horizontal="center" vertical="center"/>
      <protection locked="0"/>
    </xf>
    <xf numFmtId="14" fontId="3" fillId="61" borderId="0" xfId="0" applyNumberFormat="1" applyFont="1" applyFill="1" applyAlignment="1" applyProtection="1">
      <alignment horizontal="center" vertical="center" wrapText="1"/>
      <protection hidden="1"/>
    </xf>
    <xf numFmtId="17" fontId="2" fillId="61" borderId="0" xfId="0" applyNumberFormat="1" applyFont="1" applyFill="1" applyAlignment="1" applyProtection="1">
      <alignment horizontal="center" vertical="center"/>
      <protection locked="0"/>
    </xf>
    <xf numFmtId="168" fontId="2" fillId="61" borderId="0" xfId="0" applyNumberFormat="1" applyFont="1" applyFill="1" applyAlignment="1" applyProtection="1">
      <alignment horizontal="center" vertical="center"/>
      <protection locked="0"/>
    </xf>
    <xf numFmtId="0" fontId="3" fillId="61" borderId="19" xfId="0" applyFont="1" applyFill="1" applyBorder="1" applyAlignment="1" applyProtection="1">
      <alignment horizontal="center" vertical="center"/>
      <protection hidden="1"/>
    </xf>
    <xf numFmtId="10" fontId="2" fillId="63" borderId="0" xfId="0" applyNumberFormat="1" applyFont="1" applyFill="1" applyAlignment="1" applyProtection="1">
      <alignment horizontal="center" vertical="center"/>
      <protection locked="0"/>
    </xf>
    <xf numFmtId="9" fontId="2" fillId="61" borderId="0" xfId="119" applyFont="1" applyFill="1" applyBorder="1" applyAlignment="1" applyProtection="1">
      <alignment horizontal="center"/>
      <protection locked="0"/>
    </xf>
    <xf numFmtId="9" fontId="2" fillId="61" borderId="0" xfId="0" applyNumberFormat="1" applyFont="1" applyFill="1" applyAlignment="1" applyProtection="1">
      <alignment horizontal="center"/>
      <protection locked="0"/>
    </xf>
    <xf numFmtId="0" fontId="3" fillId="63" borderId="0" xfId="0" applyFont="1" applyFill="1" applyAlignment="1" applyProtection="1">
      <alignment horizontal="center" vertical="center" wrapText="1"/>
      <protection hidden="1"/>
    </xf>
    <xf numFmtId="9" fontId="2" fillId="61" borderId="0" xfId="119" applyFont="1" applyFill="1" applyAlignment="1" applyProtection="1">
      <alignment horizontal="center"/>
      <protection locked="0"/>
    </xf>
    <xf numFmtId="9" fontId="2" fillId="63" borderId="0" xfId="119" applyFont="1" applyFill="1" applyAlignment="1" applyProtection="1">
      <alignment horizontal="center"/>
      <protection locked="0"/>
    </xf>
    <xf numFmtId="9" fontId="2" fillId="63" borderId="0" xfId="0" applyNumberFormat="1" applyFont="1" applyFill="1" applyAlignment="1" applyProtection="1">
      <alignment horizontal="center"/>
      <protection locked="0"/>
    </xf>
    <xf numFmtId="10" fontId="2" fillId="63" borderId="0" xfId="119" applyNumberFormat="1" applyFont="1" applyFill="1" applyAlignment="1" applyProtection="1">
      <alignment horizontal="center" vertical="center"/>
      <protection locked="0"/>
    </xf>
    <xf numFmtId="0" fontId="3" fillId="61" borderId="20" xfId="0" applyFont="1" applyFill="1" applyBorder="1" applyAlignment="1" applyProtection="1">
      <alignment horizontal="center" vertical="center"/>
      <protection hidden="1"/>
    </xf>
    <xf numFmtId="0" fontId="3" fillId="61" borderId="0" xfId="0" applyFont="1" applyFill="1" applyAlignment="1">
      <alignment horizontal="center" vertical="center"/>
    </xf>
    <xf numFmtId="0" fontId="2" fillId="61" borderId="13" xfId="0" applyFont="1" applyFill="1" applyBorder="1" applyProtection="1">
      <protection hidden="1"/>
    </xf>
    <xf numFmtId="167" fontId="2" fillId="61" borderId="21" xfId="85" applyFont="1" applyFill="1" applyBorder="1" applyAlignment="1">
      <alignment vertical="center"/>
    </xf>
    <xf numFmtId="167" fontId="2" fillId="61" borderId="21" xfId="85" applyFont="1" applyFill="1" applyBorder="1"/>
    <xf numFmtId="0" fontId="2" fillId="61" borderId="16" xfId="0" applyFont="1" applyFill="1" applyBorder="1" applyAlignment="1" applyProtection="1">
      <alignment horizontal="center"/>
      <protection hidden="1"/>
    </xf>
    <xf numFmtId="167" fontId="2" fillId="61" borderId="0" xfId="85" applyFont="1" applyFill="1" applyBorder="1" applyAlignment="1" applyProtection="1">
      <alignment horizontal="center"/>
      <protection hidden="1"/>
    </xf>
    <xf numFmtId="167" fontId="2" fillId="61" borderId="0" xfId="85" applyFont="1" applyFill="1" applyBorder="1" applyAlignment="1">
      <alignment vertical="center"/>
    </xf>
    <xf numFmtId="167" fontId="2" fillId="61" borderId="0" xfId="85" applyFont="1" applyFill="1" applyBorder="1"/>
    <xf numFmtId="0" fontId="2" fillId="61" borderId="10" xfId="0" applyFont="1" applyFill="1" applyBorder="1" applyProtection="1">
      <protection hidden="1"/>
    </xf>
    <xf numFmtId="167" fontId="2" fillId="61" borderId="10" xfId="0" applyNumberFormat="1" applyFont="1" applyFill="1" applyBorder="1" applyProtection="1">
      <protection hidden="1"/>
    </xf>
    <xf numFmtId="167" fontId="2" fillId="61" borderId="21" xfId="0" applyNumberFormat="1" applyFont="1" applyFill="1" applyBorder="1" applyProtection="1">
      <protection hidden="1"/>
    </xf>
    <xf numFmtId="0" fontId="2" fillId="61" borderId="0" xfId="0" applyFont="1" applyFill="1" applyAlignment="1" applyProtection="1">
      <alignment horizontal="center"/>
      <protection hidden="1"/>
    </xf>
    <xf numFmtId="167" fontId="2" fillId="61" borderId="11" xfId="0" applyNumberFormat="1" applyFont="1" applyFill="1" applyBorder="1" applyProtection="1">
      <protection hidden="1"/>
    </xf>
    <xf numFmtId="167" fontId="2" fillId="61" borderId="0" xfId="0" applyNumberFormat="1" applyFont="1" applyFill="1" applyProtection="1">
      <protection hidden="1"/>
    </xf>
    <xf numFmtId="169" fontId="2" fillId="61" borderId="21" xfId="0" applyNumberFormat="1" applyFont="1" applyFill="1" applyBorder="1" applyProtection="1">
      <protection hidden="1"/>
    </xf>
    <xf numFmtId="169" fontId="2" fillId="61" borderId="0" xfId="0" applyNumberFormat="1" applyFont="1" applyFill="1" applyProtection="1">
      <protection hidden="1"/>
    </xf>
    <xf numFmtId="0" fontId="3" fillId="61" borderId="22" xfId="0" applyFont="1" applyFill="1" applyBorder="1" applyAlignment="1" applyProtection="1">
      <alignment horizontal="center" vertical="center" wrapText="1"/>
      <protection hidden="1"/>
    </xf>
    <xf numFmtId="167" fontId="2" fillId="61" borderId="0" xfId="85" applyFont="1" applyFill="1" applyAlignment="1">
      <alignment horizontal="center"/>
    </xf>
    <xf numFmtId="167" fontId="2" fillId="61" borderId="0" xfId="85" applyFont="1" applyFill="1" applyAlignment="1" applyProtection="1">
      <alignment horizontal="center"/>
      <protection locked="0"/>
    </xf>
    <xf numFmtId="0" fontId="3" fillId="63" borderId="19" xfId="0" applyFont="1" applyFill="1" applyBorder="1" applyAlignment="1" applyProtection="1">
      <alignment horizontal="center" vertical="center" wrapText="1"/>
      <protection hidden="1"/>
    </xf>
    <xf numFmtId="167" fontId="2" fillId="63" borderId="0" xfId="85" applyFont="1" applyFill="1" applyAlignment="1">
      <alignment horizontal="center"/>
    </xf>
    <xf numFmtId="167" fontId="2" fillId="63" borderId="0" xfId="85" applyFont="1" applyFill="1" applyAlignment="1" applyProtection="1">
      <alignment horizontal="center"/>
      <protection locked="0"/>
    </xf>
    <xf numFmtId="0" fontId="3" fillId="63" borderId="22" xfId="0" applyFont="1" applyFill="1" applyBorder="1" applyAlignment="1" applyProtection="1">
      <alignment horizontal="center" vertical="center" wrapText="1"/>
      <protection hidden="1"/>
    </xf>
    <xf numFmtId="10" fontId="2" fillId="63" borderId="0" xfId="119" applyNumberFormat="1" applyFont="1" applyFill="1" applyAlignment="1">
      <alignment horizontal="center"/>
    </xf>
    <xf numFmtId="10" fontId="2" fillId="63" borderId="0" xfId="119" applyNumberFormat="1" applyFont="1" applyFill="1" applyAlignment="1" applyProtection="1">
      <alignment horizontal="center"/>
      <protection locked="0"/>
    </xf>
    <xf numFmtId="10" fontId="2" fillId="60" borderId="0" xfId="119" applyNumberFormat="1" applyFont="1" applyFill="1" applyAlignment="1" applyProtection="1">
      <alignment horizontal="center"/>
      <protection locked="0"/>
    </xf>
    <xf numFmtId="169" fontId="2" fillId="61" borderId="21" xfId="85" applyNumberFormat="1" applyFont="1" applyFill="1" applyBorder="1"/>
    <xf numFmtId="169" fontId="2" fillId="61" borderId="0" xfId="85" applyNumberFormat="1" applyFont="1" applyFill="1" applyBorder="1"/>
    <xf numFmtId="3" fontId="25" fillId="62" borderId="0" xfId="0" applyNumberFormat="1" applyFont="1" applyFill="1" applyAlignment="1">
      <alignment vertical="center"/>
    </xf>
    <xf numFmtId="3" fontId="25" fillId="62" borderId="0" xfId="0" applyNumberFormat="1" applyFont="1" applyFill="1" applyAlignment="1">
      <alignment horizontal="right" vertical="center"/>
    </xf>
    <xf numFmtId="0" fontId="25" fillId="62" borderId="0" xfId="0" applyFont="1" applyFill="1" applyAlignment="1">
      <alignment vertical="center"/>
    </xf>
    <xf numFmtId="0" fontId="2" fillId="63" borderId="18" xfId="0" applyFont="1" applyFill="1" applyBorder="1" applyAlignment="1" applyProtection="1">
      <alignment horizontal="center" vertical="center"/>
      <protection hidden="1"/>
    </xf>
    <xf numFmtId="0" fontId="8" fillId="0" borderId="0" xfId="85" applyNumberFormat="1" applyFont="1"/>
    <xf numFmtId="0" fontId="9" fillId="25" borderId="23" xfId="0" applyFont="1" applyFill="1" applyBorder="1" applyAlignment="1">
      <alignment horizontal="center" vertical="center"/>
    </xf>
    <xf numFmtId="0" fontId="9" fillId="25" borderId="24" xfId="0" applyFont="1" applyFill="1" applyBorder="1" applyAlignment="1">
      <alignment horizontal="center" vertical="center"/>
    </xf>
    <xf numFmtId="0" fontId="9" fillId="27" borderId="25" xfId="0" applyFont="1" applyFill="1" applyBorder="1" applyAlignment="1">
      <alignment horizontal="center" vertical="center"/>
    </xf>
    <xf numFmtId="14" fontId="2" fillId="62" borderId="0" xfId="0" applyNumberFormat="1" applyFont="1" applyFill="1" applyAlignment="1" applyProtection="1">
      <alignment horizontal="left"/>
      <protection hidden="1"/>
    </xf>
    <xf numFmtId="164" fontId="2" fillId="0" borderId="0" xfId="101" applyFont="1" applyAlignment="1"/>
    <xf numFmtId="180" fontId="2" fillId="0" borderId="0" xfId="86" applyNumberFormat="1" applyFont="1" applyAlignment="1"/>
    <xf numFmtId="164" fontId="9" fillId="0" borderId="0" xfId="101" applyFont="1" applyAlignment="1">
      <alignment vertical="center"/>
    </xf>
    <xf numFmtId="10" fontId="9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65" fontId="2" fillId="0" borderId="0" xfId="86" applyFont="1" applyAlignment="1"/>
    <xf numFmtId="180" fontId="2" fillId="61" borderId="0" xfId="86" applyNumberFormat="1" applyFont="1" applyFill="1" applyAlignment="1" applyProtection="1">
      <alignment horizontal="center"/>
      <protection locked="0"/>
    </xf>
    <xf numFmtId="180" fontId="2" fillId="61" borderId="21" xfId="86" applyNumberFormat="1" applyFont="1" applyFill="1" applyBorder="1" applyAlignment="1">
      <alignment vertical="center"/>
    </xf>
    <xf numFmtId="180" fontId="2" fillId="61" borderId="21" xfId="86" applyNumberFormat="1" applyFont="1" applyFill="1" applyBorder="1"/>
    <xf numFmtId="180" fontId="2" fillId="61" borderId="0" xfId="86" applyNumberFormat="1" applyFont="1" applyFill="1" applyBorder="1" applyAlignment="1" applyProtection="1">
      <alignment horizontal="center"/>
      <protection hidden="1"/>
    </xf>
    <xf numFmtId="180" fontId="2" fillId="61" borderId="0" xfId="86" applyNumberFormat="1" applyFont="1" applyFill="1" applyBorder="1" applyAlignment="1">
      <alignment vertical="center"/>
    </xf>
    <xf numFmtId="180" fontId="2" fillId="61" borderId="0" xfId="86" applyNumberFormat="1" applyFont="1" applyFill="1" applyBorder="1" applyAlignment="1">
      <alignment horizontal="right" vertical="center"/>
    </xf>
    <xf numFmtId="180" fontId="2" fillId="61" borderId="0" xfId="86" applyNumberFormat="1" applyFont="1" applyFill="1" applyBorder="1"/>
    <xf numFmtId="181" fontId="9" fillId="0" borderId="0" xfId="0" applyNumberFormat="1" applyFont="1" applyAlignment="1">
      <alignment vertical="center"/>
    </xf>
    <xf numFmtId="173" fontId="2" fillId="61" borderId="0" xfId="85" applyNumberFormat="1" applyFont="1" applyFill="1" applyAlignment="1">
      <alignment horizontal="center"/>
    </xf>
    <xf numFmtId="173" fontId="2" fillId="61" borderId="0" xfId="85" applyNumberFormat="1" applyFont="1" applyFill="1" applyAlignment="1" applyProtection="1">
      <alignment horizontal="center"/>
      <protection locked="0"/>
    </xf>
    <xf numFmtId="167" fontId="2" fillId="61" borderId="0" xfId="86" applyNumberFormat="1" applyFont="1" applyFill="1" applyAlignment="1" applyProtection="1">
      <alignment horizontal="center"/>
      <protection locked="0"/>
    </xf>
    <xf numFmtId="165" fontId="2" fillId="61" borderId="0" xfId="86" applyFont="1" applyFill="1" applyBorder="1" applyAlignment="1">
      <alignment horizontal="right" vertical="center"/>
    </xf>
    <xf numFmtId="10" fontId="2" fillId="61" borderId="0" xfId="119" applyNumberFormat="1" applyFont="1" applyFill="1" applyAlignment="1">
      <alignment horizontal="center"/>
    </xf>
    <xf numFmtId="10" fontId="2" fillId="0" borderId="0" xfId="119" applyNumberFormat="1" applyFont="1" applyAlignment="1"/>
    <xf numFmtId="165" fontId="2" fillId="61" borderId="21" xfId="86" applyFont="1" applyFill="1" applyBorder="1"/>
    <xf numFmtId="165" fontId="2" fillId="61" borderId="0" xfId="86" applyFont="1" applyFill="1" applyBorder="1"/>
    <xf numFmtId="169" fontId="2" fillId="61" borderId="21" xfId="85" applyNumberFormat="1" applyFont="1" applyFill="1" applyBorder="1" applyAlignment="1">
      <alignment vertical="center"/>
    </xf>
    <xf numFmtId="169" fontId="2" fillId="61" borderId="0" xfId="85" applyNumberFormat="1" applyFont="1" applyFill="1" applyBorder="1" applyAlignment="1" applyProtection="1">
      <alignment horizontal="center"/>
      <protection hidden="1"/>
    </xf>
    <xf numFmtId="169" fontId="2" fillId="61" borderId="0" xfId="85" applyNumberFormat="1" applyFont="1" applyFill="1" applyBorder="1" applyAlignment="1">
      <alignment vertical="center"/>
    </xf>
    <xf numFmtId="169" fontId="2" fillId="61" borderId="0" xfId="85" applyNumberFormat="1" applyFont="1" applyFill="1" applyBorder="1" applyAlignment="1">
      <alignment horizontal="right" vertical="center"/>
    </xf>
    <xf numFmtId="169" fontId="2" fillId="61" borderId="21" xfId="86" applyNumberFormat="1" applyFont="1" applyFill="1" applyBorder="1"/>
    <xf numFmtId="169" fontId="2" fillId="61" borderId="0" xfId="86" applyNumberFormat="1" applyFont="1" applyFill="1" applyBorder="1" applyAlignment="1">
      <alignment vertical="center"/>
    </xf>
    <xf numFmtId="169" fontId="2" fillId="61" borderId="0" xfId="86" applyNumberFormat="1" applyFont="1" applyFill="1" applyBorder="1"/>
    <xf numFmtId="9" fontId="9" fillId="0" borderId="0" xfId="0" applyNumberFormat="1" applyFont="1" applyAlignment="1" applyProtection="1">
      <alignment vertical="center"/>
      <protection locked="0"/>
    </xf>
    <xf numFmtId="165" fontId="2" fillId="0" borderId="0" xfId="86" applyFont="1" applyFill="1" applyBorder="1" applyAlignment="1">
      <alignment horizontal="right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" fontId="2" fillId="0" borderId="0" xfId="0" applyNumberFormat="1" applyFont="1" applyAlignment="1" applyProtection="1">
      <alignment horizontal="center" vertical="center"/>
      <protection locked="0"/>
    </xf>
    <xf numFmtId="0" fontId="20" fillId="64" borderId="0" xfId="0" applyFont="1" applyFill="1" applyAlignment="1" applyProtection="1">
      <alignment vertical="center"/>
      <protection hidden="1"/>
    </xf>
    <xf numFmtId="0" fontId="20" fillId="64" borderId="0" xfId="0" applyFont="1" applyFill="1" applyAlignment="1">
      <alignment vertical="center"/>
    </xf>
    <xf numFmtId="0" fontId="3" fillId="65" borderId="0" xfId="0" applyFont="1" applyFill="1" applyProtection="1">
      <protection hidden="1"/>
    </xf>
    <xf numFmtId="0" fontId="19" fillId="65" borderId="0" xfId="81" applyFont="1" applyFill="1" applyAlignment="1" applyProtection="1">
      <alignment horizontal="left" indent="1"/>
      <protection hidden="1"/>
    </xf>
    <xf numFmtId="0" fontId="2" fillId="65" borderId="0" xfId="0" applyFont="1" applyFill="1"/>
    <xf numFmtId="0" fontId="19" fillId="65" borderId="0" xfId="0" applyFont="1" applyFill="1" applyAlignment="1" applyProtection="1">
      <alignment horizontal="left" indent="1"/>
      <protection hidden="1"/>
    </xf>
    <xf numFmtId="0" fontId="19" fillId="65" borderId="0" xfId="81" applyFont="1" applyFill="1" applyAlignment="1" applyProtection="1">
      <alignment vertical="center"/>
      <protection hidden="1"/>
    </xf>
    <xf numFmtId="0" fontId="70" fillId="65" borderId="18" xfId="0" applyFont="1" applyFill="1" applyBorder="1" applyAlignment="1" applyProtection="1">
      <alignment horizontal="center" vertical="center"/>
      <protection hidden="1"/>
    </xf>
    <xf numFmtId="0" fontId="20" fillId="64" borderId="0" xfId="0" applyFont="1" applyFill="1" applyAlignment="1">
      <alignment horizontal="centerContinuous" vertical="center"/>
    </xf>
    <xf numFmtId="0" fontId="20" fillId="64" borderId="0" xfId="0" applyFont="1" applyFill="1" applyAlignment="1" applyProtection="1">
      <alignment horizontal="left" vertical="center"/>
      <protection hidden="1"/>
    </xf>
    <xf numFmtId="0" fontId="20" fillId="64" borderId="0" xfId="0" applyFont="1" applyFill="1" applyAlignment="1">
      <alignment horizontal="center" vertical="center"/>
    </xf>
    <xf numFmtId="0" fontId="23" fillId="64" borderId="0" xfId="0" applyFont="1" applyFill="1" applyAlignment="1" applyProtection="1">
      <alignment horizontal="right" vertical="center"/>
      <protection hidden="1"/>
    </xf>
    <xf numFmtId="14" fontId="20" fillId="64" borderId="0" xfId="0" applyNumberFormat="1" applyFont="1" applyFill="1" applyAlignment="1" applyProtection="1">
      <alignment horizontal="left" vertical="center"/>
      <protection hidden="1"/>
    </xf>
    <xf numFmtId="0" fontId="20" fillId="64" borderId="27" xfId="0" applyFont="1" applyFill="1" applyBorder="1" applyAlignment="1" applyProtection="1">
      <alignment horizontal="left" vertical="center"/>
      <protection hidden="1"/>
    </xf>
    <xf numFmtId="0" fontId="20" fillId="64" borderId="28" xfId="0" applyFont="1" applyFill="1" applyBorder="1" applyAlignment="1">
      <alignment horizontal="centerContinuous" vertical="center"/>
    </xf>
    <xf numFmtId="0" fontId="71" fillId="64" borderId="0" xfId="0" applyFont="1" applyFill="1" applyAlignment="1" applyProtection="1">
      <alignment horizontal="center" vertical="center"/>
      <protection hidden="1"/>
    </xf>
    <xf numFmtId="3" fontId="70" fillId="64" borderId="0" xfId="85" applyNumberFormat="1" applyFont="1" applyFill="1" applyAlignment="1" applyProtection="1">
      <alignment horizontal="right" vertical="center"/>
      <protection locked="0"/>
    </xf>
    <xf numFmtId="3" fontId="70" fillId="64" borderId="0" xfId="0" applyNumberFormat="1" applyFont="1" applyFill="1" applyProtection="1">
      <protection locked="0"/>
    </xf>
    <xf numFmtId="0" fontId="71" fillId="64" borderId="0" xfId="0" applyFont="1" applyFill="1" applyAlignment="1">
      <alignment horizontal="center" vertical="center"/>
    </xf>
    <xf numFmtId="0" fontId="71" fillId="64" borderId="0" xfId="0" applyFont="1" applyFill="1" applyAlignment="1" applyProtection="1">
      <alignment horizontal="left" vertical="center"/>
      <protection hidden="1"/>
    </xf>
    <xf numFmtId="0" fontId="71" fillId="64" borderId="0" xfId="0" applyFont="1" applyFill="1" applyAlignment="1">
      <alignment horizontal="centerContinuous" vertical="center"/>
    </xf>
    <xf numFmtId="0" fontId="24" fillId="64" borderId="0" xfId="0" applyFont="1" applyFill="1" applyAlignment="1">
      <alignment horizontal="center" vertical="center"/>
    </xf>
    <xf numFmtId="0" fontId="20" fillId="64" borderId="0" xfId="0" applyFont="1" applyFill="1" applyAlignment="1">
      <alignment horizontal="center"/>
    </xf>
    <xf numFmtId="0" fontId="23" fillId="64" borderId="0" xfId="0" applyFont="1" applyFill="1" applyAlignment="1">
      <alignment horizontal="center" vertical="center"/>
    </xf>
    <xf numFmtId="0" fontId="23" fillId="64" borderId="0" xfId="0" applyFont="1" applyFill="1" applyAlignment="1">
      <alignment vertical="center"/>
    </xf>
    <xf numFmtId="0" fontId="24" fillId="64" borderId="0" xfId="0" applyFont="1" applyFill="1" applyAlignment="1" applyProtection="1">
      <alignment horizontal="left" vertical="center"/>
      <protection hidden="1"/>
    </xf>
    <xf numFmtId="0" fontId="70" fillId="64" borderId="17" xfId="0" applyFont="1" applyFill="1" applyBorder="1" applyAlignment="1" applyProtection="1">
      <alignment horizontal="right"/>
      <protection hidden="1"/>
    </xf>
    <xf numFmtId="180" fontId="70" fillId="64" borderId="20" xfId="86" applyNumberFormat="1" applyFont="1" applyFill="1" applyBorder="1" applyAlignment="1" applyProtection="1">
      <alignment horizontal="right"/>
      <protection hidden="1"/>
    </xf>
    <xf numFmtId="180" fontId="70" fillId="64" borderId="20" xfId="86" applyNumberFormat="1" applyFont="1" applyFill="1" applyBorder="1" applyAlignment="1">
      <alignment vertical="center"/>
    </xf>
    <xf numFmtId="169" fontId="70" fillId="64" borderId="20" xfId="85" applyNumberFormat="1" applyFont="1" applyFill="1" applyBorder="1" applyAlignment="1" applyProtection="1">
      <alignment horizontal="right"/>
      <protection hidden="1"/>
    </xf>
    <xf numFmtId="169" fontId="70" fillId="64" borderId="20" xfId="85" applyNumberFormat="1" applyFont="1" applyFill="1" applyBorder="1" applyAlignment="1">
      <alignment vertical="center"/>
    </xf>
    <xf numFmtId="169" fontId="70" fillId="64" borderId="20" xfId="86" applyNumberFormat="1" applyFont="1" applyFill="1" applyBorder="1" applyAlignment="1">
      <alignment vertical="center"/>
    </xf>
    <xf numFmtId="167" fontId="70" fillId="64" borderId="20" xfId="85" applyFont="1" applyFill="1" applyBorder="1" applyAlignment="1" applyProtection="1">
      <alignment horizontal="right"/>
      <protection hidden="1"/>
    </xf>
    <xf numFmtId="167" fontId="70" fillId="64" borderId="20" xfId="85" applyFont="1" applyFill="1" applyBorder="1" applyAlignment="1">
      <alignment vertical="center"/>
    </xf>
    <xf numFmtId="165" fontId="70" fillId="64" borderId="20" xfId="86" applyFont="1" applyFill="1" applyBorder="1" applyAlignment="1">
      <alignment vertical="center"/>
    </xf>
    <xf numFmtId="0" fontId="26" fillId="64" borderId="0" xfId="0" applyFont="1" applyFill="1" applyAlignment="1">
      <alignment horizontal="center" vertical="center"/>
    </xf>
    <xf numFmtId="0" fontId="26" fillId="64" borderId="0" xfId="0" applyFont="1" applyFill="1" applyAlignment="1">
      <alignment vertical="center"/>
    </xf>
    <xf numFmtId="0" fontId="70" fillId="64" borderId="20" xfId="0" applyFont="1" applyFill="1" applyBorder="1" applyAlignment="1" applyProtection="1">
      <alignment horizontal="right"/>
      <protection hidden="1"/>
    </xf>
    <xf numFmtId="167" fontId="70" fillId="64" borderId="12" xfId="0" applyNumberFormat="1" applyFont="1" applyFill="1" applyBorder="1" applyAlignment="1" applyProtection="1">
      <alignment horizontal="right"/>
      <protection hidden="1"/>
    </xf>
    <xf numFmtId="167" fontId="70" fillId="64" borderId="20" xfId="0" applyNumberFormat="1" applyFont="1" applyFill="1" applyBorder="1" applyAlignment="1" applyProtection="1">
      <alignment horizontal="right"/>
      <protection hidden="1"/>
    </xf>
    <xf numFmtId="169" fontId="70" fillId="64" borderId="20" xfId="0" applyNumberFormat="1" applyFont="1" applyFill="1" applyBorder="1" applyAlignment="1" applyProtection="1">
      <alignment horizontal="right"/>
      <protection hidden="1"/>
    </xf>
    <xf numFmtId="0" fontId="20" fillId="64" borderId="0" xfId="0" applyFont="1" applyFill="1" applyAlignment="1" applyProtection="1">
      <alignment horizontal="center" vertical="center"/>
      <protection hidden="1"/>
    </xf>
    <xf numFmtId="14" fontId="0" fillId="0" borderId="0" xfId="0" applyNumberFormat="1"/>
    <xf numFmtId="10" fontId="0" fillId="0" borderId="0" xfId="119" applyNumberFormat="1" applyFont="1"/>
    <xf numFmtId="14" fontId="9" fillId="0" borderId="0" xfId="0" applyNumberFormat="1" applyFont="1" applyProtection="1">
      <protection locked="0"/>
    </xf>
    <xf numFmtId="0" fontId="20" fillId="64" borderId="29" xfId="0" applyFont="1" applyFill="1" applyBorder="1" applyAlignment="1" applyProtection="1">
      <alignment horizontal="center" vertical="center"/>
      <protection hidden="1"/>
    </xf>
    <xf numFmtId="0" fontId="20" fillId="64" borderId="30" xfId="0" applyFont="1" applyFill="1" applyBorder="1" applyAlignment="1" applyProtection="1">
      <alignment horizontal="center" vertical="center"/>
      <protection hidden="1"/>
    </xf>
    <xf numFmtId="0" fontId="20" fillId="64" borderId="0" xfId="0" applyFont="1" applyFill="1" applyAlignment="1" applyProtection="1">
      <alignment horizontal="center" vertical="center"/>
      <protection hidden="1"/>
    </xf>
  </cellXfs>
  <cellStyles count="137">
    <cellStyle name="20% - Accent1" xfId="1" xr:uid="{F7E34ADE-4AA7-4DD7-BCB4-DCAF8EBE9E29}"/>
    <cellStyle name="20% - Accent1 2" xfId="2" xr:uid="{56674C77-8212-4C78-9E29-0B3786EAD446}"/>
    <cellStyle name="20% - Accent2" xfId="3" xr:uid="{F6570E26-29CE-4F26-9604-D29EBB97AF22}"/>
    <cellStyle name="20% - Accent2 2" xfId="4" xr:uid="{F64F6564-A30E-48BB-BCD5-1A39A70331E5}"/>
    <cellStyle name="20% - Accent3" xfId="5" xr:uid="{460FA1FF-C107-4521-9BE9-0DD6FD04D6F7}"/>
    <cellStyle name="20% - Accent3 2" xfId="6" xr:uid="{4738EC42-F4B3-4B54-8A5C-25587829D76B}"/>
    <cellStyle name="20% - Accent4" xfId="7" xr:uid="{754E8BA7-732B-4734-878B-FC561CBACF3A}"/>
    <cellStyle name="20% - Accent4 2" xfId="8" xr:uid="{DFC7F8AE-9573-4653-B21C-9725BE4AC3DC}"/>
    <cellStyle name="20% - Accent5" xfId="9" xr:uid="{FA2654BA-28BD-4E38-9A27-0BB19B797D83}"/>
    <cellStyle name="20% - Accent5 2" xfId="10" xr:uid="{AD854BAA-25D2-40B7-B7F8-399792878A6E}"/>
    <cellStyle name="20% - Accent6" xfId="11" xr:uid="{72D68500-75A4-4214-8045-F82E0FD5B0F8}"/>
    <cellStyle name="20% - Accent6 2" xfId="12" xr:uid="{15919B21-895F-4841-A109-13E157193EF8}"/>
    <cellStyle name="20% - Énfasis1 2" xfId="13" xr:uid="{F8E50F9C-73C5-4DE2-9A11-7B3212A6C4B1}"/>
    <cellStyle name="20% - Énfasis2 2" xfId="14" xr:uid="{84DDAD5C-9D96-47A1-ABBB-FDC7BB29826E}"/>
    <cellStyle name="20% - Énfasis3 2" xfId="15" xr:uid="{9ECFF3F6-631F-42F0-8AA7-F5204A58563F}"/>
    <cellStyle name="20% - Énfasis4 2" xfId="16" xr:uid="{83740785-375E-4BDF-A0CE-FA217E1644EB}"/>
    <cellStyle name="20% - Énfasis5 2" xfId="17" xr:uid="{8BE21924-F13B-4341-A588-59918FAF0F12}"/>
    <cellStyle name="20% - Énfasis6 2" xfId="18" xr:uid="{4D006F4B-5841-48A5-AC3A-D56A156CF0A0}"/>
    <cellStyle name="40% - Accent1" xfId="19" xr:uid="{4250F353-6220-41C2-9E9E-5751B4A322B8}"/>
    <cellStyle name="40% - Accent1 2" xfId="20" xr:uid="{4A7FFE9D-1CF9-41E4-AC7F-DFD216CA8F91}"/>
    <cellStyle name="40% - Accent2" xfId="21" xr:uid="{3F66C4BD-2792-41FF-AA2A-1E1FF908CBBC}"/>
    <cellStyle name="40% - Accent2 2" xfId="22" xr:uid="{F02F3DA5-9250-4542-9309-1ACC9665D2C0}"/>
    <cellStyle name="40% - Accent3" xfId="23" xr:uid="{FF909F67-B372-4B69-96E6-6D0185FD941C}"/>
    <cellStyle name="40% - Accent3 2" xfId="24" xr:uid="{FB1838BD-18FF-470D-A632-914356787F90}"/>
    <cellStyle name="40% - Accent4" xfId="25" xr:uid="{0402A305-D582-40F6-AB55-D5A4D451721D}"/>
    <cellStyle name="40% - Accent4 2" xfId="26" xr:uid="{4D2A07ED-7564-47F1-8F11-68388DAA081A}"/>
    <cellStyle name="40% - Accent5" xfId="27" xr:uid="{321E9C73-12AC-42D8-B88B-ED9138A43892}"/>
    <cellStyle name="40% - Accent5 2" xfId="28" xr:uid="{CF35C39A-69DA-4987-919B-4B6B566A2B16}"/>
    <cellStyle name="40% - Accent6" xfId="29" xr:uid="{CC7F143F-5CEB-48CB-AF36-EEC819FEF1D9}"/>
    <cellStyle name="40% - Accent6 2" xfId="30" xr:uid="{E2EF046F-09E4-4850-B853-4E748B0B8BBE}"/>
    <cellStyle name="40% - Énfasis1 2" xfId="31" xr:uid="{9441D0E0-E9DC-4A76-95D5-0C838F641800}"/>
    <cellStyle name="40% - Énfasis2 2" xfId="32" xr:uid="{E24295D6-6751-4F0F-ADC5-C39A9833C3D6}"/>
    <cellStyle name="40% - Énfasis3 2" xfId="33" xr:uid="{42FA755C-1771-43F9-8086-F5B215C547AE}"/>
    <cellStyle name="40% - Énfasis4 2" xfId="34" xr:uid="{5E94F398-26D4-43E4-8440-78F0386F52C6}"/>
    <cellStyle name="40% - Énfasis5 2" xfId="35" xr:uid="{A04B6DAA-0EC3-4118-B2AF-6FC7CA82882D}"/>
    <cellStyle name="40% - Énfasis6 2" xfId="36" xr:uid="{7BAB622D-345D-45FA-B0E7-7A5645104211}"/>
    <cellStyle name="60% - Accent1" xfId="37" xr:uid="{F78FC79D-4CD4-4062-8FA4-9363058A8606}"/>
    <cellStyle name="60% - Accent2" xfId="38" xr:uid="{218F5FC2-B3B7-4CBD-9247-23CD0EF6D508}"/>
    <cellStyle name="60% - Accent3" xfId="39" xr:uid="{097A04E8-CF13-49CD-B7D1-53270E5AE9E0}"/>
    <cellStyle name="60% - Accent4" xfId="40" xr:uid="{4C6CC33E-5879-4DE6-92A9-BF9CD30E18C4}"/>
    <cellStyle name="60% - Accent5" xfId="41" xr:uid="{EB6A2363-FFFF-4E61-8A88-CD045133FE5A}"/>
    <cellStyle name="60% - Accent6" xfId="42" xr:uid="{718D8256-B8D7-48B2-B80B-EB1315B27F4A}"/>
    <cellStyle name="60% - Énfasis1 2" xfId="43" xr:uid="{9FE25778-6CD8-437E-88C4-10D22B35D289}"/>
    <cellStyle name="60% - Énfasis2 2" xfId="44" xr:uid="{74D84132-FCDB-4CBF-B20C-4276779E3AAC}"/>
    <cellStyle name="60% - Énfasis3 2" xfId="45" xr:uid="{25BC378C-8A6D-42D8-AE70-B1E8941CCC90}"/>
    <cellStyle name="60% - Énfasis4 2" xfId="46" xr:uid="{DE35B8F9-1ED2-4B31-9E6B-31ACCFA21D3D}"/>
    <cellStyle name="60% - Énfasis5 2" xfId="47" xr:uid="{7DAEF602-DAEA-424F-8643-294AE7ADB482}"/>
    <cellStyle name="60% - Énfasis6 2" xfId="48" xr:uid="{18AC1AB4-950C-418F-9DFF-C5C7D27265FF}"/>
    <cellStyle name="Accent1" xfId="49" xr:uid="{1FF58112-3881-4264-B252-350AF0668F14}"/>
    <cellStyle name="Accent2" xfId="50" xr:uid="{BDD64CB6-9C64-476F-BE79-37D48BAE9F08}"/>
    <cellStyle name="Accent3" xfId="51" xr:uid="{0DF0A4C0-2FEB-4295-BB63-0C8C40911612}"/>
    <cellStyle name="Accent4" xfId="52" xr:uid="{6CB14BCF-84B7-4B8E-B93C-F9D58B9FED5C}"/>
    <cellStyle name="Accent5" xfId="53" xr:uid="{1BB47558-60C1-496C-AED8-B799B521CDD0}"/>
    <cellStyle name="Accent6" xfId="54" xr:uid="{2D61FAB1-B1CA-4C59-BBCD-16F063B83DCB}"/>
    <cellStyle name="Bad" xfId="55" xr:uid="{6CC63BC4-A09F-4531-A581-28CB958936B6}"/>
    <cellStyle name="Buena 2" xfId="56" xr:uid="{A253D400-B082-4D5E-9B98-78BCFB98F0AD}"/>
    <cellStyle name="Buena 3" xfId="57" xr:uid="{8160C924-8D8F-4CEE-A8E4-C7D9C55B2B72}"/>
    <cellStyle name="Calculation" xfId="58" xr:uid="{BCDF7F59-E52D-4993-9EED-90CAD775EF91}"/>
    <cellStyle name="Cálculo 2" xfId="59" xr:uid="{10E8127F-A34A-4521-A707-838E95A4076F}"/>
    <cellStyle name="Celda de comprobación 2" xfId="60" xr:uid="{32B46E7C-70AA-4AEF-BEB5-BC07DF809A48}"/>
    <cellStyle name="Celda de comprobación 3" xfId="61" xr:uid="{14054E9D-D8E6-42A8-B959-37D3C05E3E58}"/>
    <cellStyle name="Celda vinculada 2" xfId="62" xr:uid="{2D3B7941-EE84-4AF7-8C6D-E7705C1D0457}"/>
    <cellStyle name="Celda vinculada 3" xfId="63" xr:uid="{876AF891-6061-404D-BED7-B34BD8653A28}"/>
    <cellStyle name="Encabezado 4 2" xfId="64" xr:uid="{8215BED3-C88B-4622-AB59-999D97737DB9}"/>
    <cellStyle name="Encabezado 4 3" xfId="65" xr:uid="{97FFBEFB-F3EB-4D8B-938C-8CE449F557F6}"/>
    <cellStyle name="Énfasis1 2" xfId="66" xr:uid="{EC9CBC01-BDCF-4210-961F-FB69B4FAD79F}"/>
    <cellStyle name="Énfasis2 2" xfId="67" xr:uid="{096347BB-9914-4C31-BC35-D23144DE40CB}"/>
    <cellStyle name="Énfasis3 2" xfId="68" xr:uid="{45738863-EDC3-47E0-B279-8044F93C5A9D}"/>
    <cellStyle name="Énfasis4 2" xfId="69" xr:uid="{5C6DB8CB-A307-4408-80B7-079332092A7A}"/>
    <cellStyle name="Énfasis5 2" xfId="70" xr:uid="{CBAC6B60-0FCA-4260-8DBC-3AB243144895}"/>
    <cellStyle name="Énfasis6 2" xfId="71" xr:uid="{3EFB23AC-52FC-414B-BA5C-D77F0BC768BA}"/>
    <cellStyle name="Entrada 2" xfId="72" xr:uid="{BD9AE1AF-417D-4FF9-9105-B779900EF9FB}"/>
    <cellStyle name="Entrada 3" xfId="73" xr:uid="{50BDB3D9-EBB4-48B7-BACD-318CFAD37F07}"/>
    <cellStyle name="Euro" xfId="74" xr:uid="{494ECBFB-26F4-41A1-A4CF-C31E807195A8}"/>
    <cellStyle name="Euro 2" xfId="75" xr:uid="{FF08B908-C42D-4426-A590-8392BE59F8CC}"/>
    <cellStyle name="Euro 3" xfId="76" xr:uid="{948ED648-F42F-4BE2-8230-0BF2D2866FCB}"/>
    <cellStyle name="Explanatory Text" xfId="77" xr:uid="{BE691043-32B4-4983-A81A-77843706C734}"/>
    <cellStyle name="Heading 1" xfId="78" xr:uid="{64CF81E9-95B3-42B0-A25F-18D884B2AFBC}"/>
    <cellStyle name="Heading 2" xfId="79" xr:uid="{44396102-F4BC-4D5B-B2E3-39F34CC5921E}"/>
    <cellStyle name="Heading 3" xfId="80" xr:uid="{F0B90514-C5E2-47CE-8345-963DFDA2BE05}"/>
    <cellStyle name="Hipervínculo" xfId="81" builtinId="8"/>
    <cellStyle name="Hipervínculo 2" xfId="82" xr:uid="{5A558A33-6E62-45EF-B7DD-8B73F6E1FC4B}"/>
    <cellStyle name="Hipervínculo 3" xfId="83" xr:uid="{45D3A0B4-BE0E-4DC9-92B7-D288580F2ABE}"/>
    <cellStyle name="Incorrecto 2" xfId="84" xr:uid="{45BBCD00-CB03-44E9-923A-D57FC6E7A7DB}"/>
    <cellStyle name="Millares" xfId="85" builtinId="3"/>
    <cellStyle name="Millares [0]" xfId="86" builtinId="6"/>
    <cellStyle name="Millares [0] 2" xfId="87" xr:uid="{5D18A4EE-F4F3-4F0D-912D-7215B16CDDA4}"/>
    <cellStyle name="Millares [0] 2 2" xfId="88" xr:uid="{7F9A068D-9A26-4F37-B689-345B5D092CBD}"/>
    <cellStyle name="Millares [0] 3" xfId="89" xr:uid="{B33058CB-3F3A-4CB8-BE23-D3F68BE7F22A}"/>
    <cellStyle name="Millares 10" xfId="90" xr:uid="{E9F75740-454B-469D-86A0-9112CEBF3114}"/>
    <cellStyle name="Millares 2" xfId="91" xr:uid="{18F64883-6A70-4EAC-8FAF-C97BA7C660C1}"/>
    <cellStyle name="Millares 2 2" xfId="92" xr:uid="{268C54C8-C69C-4D27-B8F7-C37CEA566B45}"/>
    <cellStyle name="Millares 2 3" xfId="93" xr:uid="{2947C5B5-4525-40D5-868F-A5758E10818F}"/>
    <cellStyle name="Millares 3" xfId="94" xr:uid="{D97A59B8-662E-4330-8741-D31DDA24E0CF}"/>
    <cellStyle name="Millares 3 2" xfId="95" xr:uid="{FF99D599-46E3-4AE4-9059-0FF471A9DE36}"/>
    <cellStyle name="Millares 4" xfId="96" xr:uid="{159A8E5F-4695-4A6C-B3F4-09A4026067FA}"/>
    <cellStyle name="Millares 4 2" xfId="97" xr:uid="{160DBCA6-747A-44DF-8B3C-C87929B85F94}"/>
    <cellStyle name="Millares 5" xfId="98" xr:uid="{DC2D4F71-B8D9-4436-A08C-689EA5075A32}"/>
    <cellStyle name="Millares_Interna GNC 2008-12-31" xfId="99" xr:uid="{00D46C1D-9FB5-4D8E-9F28-6482532412FF}"/>
    <cellStyle name="Millares_Interna GNC 2009-11-30" xfId="100" xr:uid="{7E0CD19D-F6C3-4741-A511-F0074F756E2E}"/>
    <cellStyle name="Moneda [0]" xfId="101" builtinId="7"/>
    <cellStyle name="Neutral" xfId="102" builtinId="28" customBuiltin="1"/>
    <cellStyle name="Neutral 2" xfId="103" xr:uid="{D5FDB697-495C-4657-AD7E-6C7F48D9C2BF}"/>
    <cellStyle name="Normal" xfId="0" builtinId="0"/>
    <cellStyle name="Normal 2" xfId="104" xr:uid="{6084053A-884A-4157-BFCE-A0BD7EF8B3E4}"/>
    <cellStyle name="Normal 2 2" xfId="105" xr:uid="{F073DC24-6BAB-47ED-AC35-4A5744662C57}"/>
    <cellStyle name="Normal 2 3" xfId="106" xr:uid="{3EE18347-33A5-46A5-B80E-9F7D64D6099A}"/>
    <cellStyle name="Normal 2_SEN-MEC" xfId="107" xr:uid="{C3D4154A-06FA-4982-98E6-97BEDAE33B4F}"/>
    <cellStyle name="Normal 3" xfId="108" xr:uid="{840E4788-99C3-4584-84F9-E7D0DF719300}"/>
    <cellStyle name="Normal 4" xfId="109" xr:uid="{9900DE0D-5D66-4875-8481-DCDF40C60C1B}"/>
    <cellStyle name="Normal 4 2" xfId="110" xr:uid="{44AC8D7B-8958-47F2-BFC6-F1D92B23CF68}"/>
    <cellStyle name="Normal 5" xfId="111" xr:uid="{292CD44D-B3FE-428D-931B-E8FA2EA082B8}"/>
    <cellStyle name="Normal 6" xfId="112" xr:uid="{272AAA5C-523A-477E-8793-A76A7616EFE4}"/>
    <cellStyle name="Normal 7" xfId="113" xr:uid="{420193EA-3DFE-4725-AD6E-B123C8FA2718}"/>
    <cellStyle name="Normal 8" xfId="114" xr:uid="{1BBCDAC2-8227-4B70-A44B-B3B28DD93DC0}"/>
    <cellStyle name="Normal_Interna GNC 2009-11-30" xfId="115" xr:uid="{DAA3266E-93CB-49AB-8B5E-D853D342D14E}"/>
    <cellStyle name="Notas 2" xfId="116" xr:uid="{EE604833-4EC5-4D47-8B7E-880248B4964D}"/>
    <cellStyle name="Notas 3" xfId="117" xr:uid="{76371014-AA0E-4A50-9200-3FBBF014E39D}"/>
    <cellStyle name="Output" xfId="118" xr:uid="{1188838C-BCC0-4FC8-B801-438C775FCFEC}"/>
    <cellStyle name="Porcentaje" xfId="119" builtinId="5"/>
    <cellStyle name="Porcentaje 2" xfId="120" xr:uid="{B4F4D0E3-AFAB-45FA-83C2-BCE09962D345}"/>
    <cellStyle name="Porcentaje 3" xfId="121" xr:uid="{E5657241-5C50-4625-9162-BFA9D8411557}"/>
    <cellStyle name="Porcentual 2" xfId="122" xr:uid="{7706ECD4-7203-44EA-9978-0E9A8149CA87}"/>
    <cellStyle name="Porcentual 3" xfId="123" xr:uid="{845D0126-9B2C-443C-9125-1399B1897E26}"/>
    <cellStyle name="Porcentual 4" xfId="124" xr:uid="{FA310279-96D9-4021-BD0A-019AC49F190F}"/>
    <cellStyle name="Porcentual 5" xfId="125" xr:uid="{0C5B3EDB-C6FB-41F0-8E2A-DE35B86BBA2E}"/>
    <cellStyle name="Salida 2" xfId="126" xr:uid="{3B23FAB0-08DF-4146-930D-EFBD41DFF63A}"/>
    <cellStyle name="Texto de advertencia 2" xfId="127" xr:uid="{5E2A20F8-944B-4A65-8810-4F37C0038930}"/>
    <cellStyle name="Texto de advertencia 3" xfId="128" xr:uid="{4FB0EDEC-C4DC-4FE7-A516-4AA88214AFC9}"/>
    <cellStyle name="Texto explicativo 2" xfId="129" xr:uid="{BCD531B3-CC8C-4A96-A691-E2FE75B76F1B}"/>
    <cellStyle name="Title" xfId="130" xr:uid="{9C14C9DE-0CFF-4111-8B6B-15B021D6DFF3}"/>
    <cellStyle name="Título 1 2" xfId="131" xr:uid="{832FBF16-0C90-414E-A6F1-D7C590072648}"/>
    <cellStyle name="Título 2 2" xfId="132" xr:uid="{9C04EC9E-DCBF-4663-9D5A-DC10D4752014}"/>
    <cellStyle name="Título 3 2" xfId="133" xr:uid="{8D573B85-DCCF-4DC7-87C9-EB3C84DE2104}"/>
    <cellStyle name="Título 4" xfId="134" xr:uid="{37AF144A-3DF5-44F9-8495-A43D5821CB08}"/>
    <cellStyle name="Total" xfId="135" builtinId="25" customBuiltin="1"/>
    <cellStyle name="Total 2" xfId="136" xr:uid="{4F16A285-008B-4977-8274-E7FF600ED92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D2D2D2"/>
      <rgbColor rgb="00828282"/>
      <rgbColor rgb="00000080"/>
      <rgbColor rgb="00BE0000"/>
      <rgbColor rgb="000A3C50"/>
      <rgbColor rgb="0014508C"/>
      <rgbColor rgb="0096B4E6"/>
      <rgbColor rgb="0082C8FA"/>
      <rgbColor rgb="00282828"/>
      <rgbColor rgb="003C3C3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Saldos!$E$3</c:f>
          <c:strCache>
            <c:ptCount val="1"/>
            <c:pt idx="0">
              <c:v>Saldo Deuda Bruta GNC</c:v>
            </c:pt>
          </c:strCache>
        </c:strRef>
      </c:tx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Saldos!$B$21</c:f>
              <c:strCache>
                <c:ptCount val="1"/>
                <c:pt idx="0">
                  <c:v>Deuda interna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Saldos!$A$113:$A$304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Saldos!$B$113:$B$304</c:f>
              <c:numCache>
                <c:formatCode>#,##0</c:formatCode>
                <c:ptCount val="192"/>
                <c:pt idx="0">
                  <c:v>111305817.61515965</c:v>
                </c:pt>
                <c:pt idx="1">
                  <c:v>113372391.7224758</c:v>
                </c:pt>
                <c:pt idx="2">
                  <c:v>115974564.05949976</c:v>
                </c:pt>
                <c:pt idx="3">
                  <c:v>118369561.34156573</c:v>
                </c:pt>
                <c:pt idx="4">
                  <c:v>116922434.1763466</c:v>
                </c:pt>
                <c:pt idx="5">
                  <c:v>118383672.05927682</c:v>
                </c:pt>
                <c:pt idx="6">
                  <c:v>115012801.18031743</c:v>
                </c:pt>
                <c:pt idx="7">
                  <c:v>118150262.93048888</c:v>
                </c:pt>
                <c:pt idx="8">
                  <c:v>118265101.54625696</c:v>
                </c:pt>
                <c:pt idx="9">
                  <c:v>120751981.74828909</c:v>
                </c:pt>
                <c:pt idx="10">
                  <c:v>125090866.3143288</c:v>
                </c:pt>
                <c:pt idx="11">
                  <c:v>125639747.22691907</c:v>
                </c:pt>
                <c:pt idx="12">
                  <c:v>127729021.42496493</c:v>
                </c:pt>
                <c:pt idx="13">
                  <c:v>128602245.84749272</c:v>
                </c:pt>
                <c:pt idx="14">
                  <c:v>129199888.264623</c:v>
                </c:pt>
                <c:pt idx="15">
                  <c:v>129492637.44384986</c:v>
                </c:pt>
                <c:pt idx="16">
                  <c:v>129408467.99951814</c:v>
                </c:pt>
                <c:pt idx="17">
                  <c:v>131337880.40129557</c:v>
                </c:pt>
                <c:pt idx="18">
                  <c:v>133551850.98283531</c:v>
                </c:pt>
                <c:pt idx="19">
                  <c:v>136364647.58715189</c:v>
                </c:pt>
                <c:pt idx="20">
                  <c:v>134280437.14063859</c:v>
                </c:pt>
                <c:pt idx="21">
                  <c:v>136440575.15192899</c:v>
                </c:pt>
                <c:pt idx="22">
                  <c:v>137408431.98658863</c:v>
                </c:pt>
                <c:pt idx="23">
                  <c:v>143534231.0976536</c:v>
                </c:pt>
                <c:pt idx="24">
                  <c:v>138256172.77755001</c:v>
                </c:pt>
                <c:pt idx="25">
                  <c:v>140291720.31538704</c:v>
                </c:pt>
                <c:pt idx="26">
                  <c:v>141918757.21490705</c:v>
                </c:pt>
                <c:pt idx="27">
                  <c:v>145262271.19051355</c:v>
                </c:pt>
                <c:pt idx="28">
                  <c:v>140207402.15552816</c:v>
                </c:pt>
                <c:pt idx="29">
                  <c:v>140723785.57385731</c:v>
                </c:pt>
                <c:pt idx="30">
                  <c:v>142649913.94095564</c:v>
                </c:pt>
                <c:pt idx="31">
                  <c:v>145502171.72358668</c:v>
                </c:pt>
                <c:pt idx="32">
                  <c:v>145933902.1315977</c:v>
                </c:pt>
                <c:pt idx="33">
                  <c:v>147285977.359404</c:v>
                </c:pt>
                <c:pt idx="34">
                  <c:v>148031373.32259506</c:v>
                </c:pt>
                <c:pt idx="35">
                  <c:v>150713296.31648323</c:v>
                </c:pt>
                <c:pt idx="36">
                  <c:v>149309476.95885521</c:v>
                </c:pt>
                <c:pt idx="37">
                  <c:v>152133600.35957208</c:v>
                </c:pt>
                <c:pt idx="38">
                  <c:v>152389175.21561873</c:v>
                </c:pt>
                <c:pt idx="39">
                  <c:v>151928372.71537203</c:v>
                </c:pt>
                <c:pt idx="40">
                  <c:v>151917942.34102231</c:v>
                </c:pt>
                <c:pt idx="41">
                  <c:v>152228870.78817984</c:v>
                </c:pt>
                <c:pt idx="42">
                  <c:v>154044907.6774804</c:v>
                </c:pt>
                <c:pt idx="43">
                  <c:v>151933235.58677089</c:v>
                </c:pt>
                <c:pt idx="44">
                  <c:v>152577367.99065548</c:v>
                </c:pt>
                <c:pt idx="45">
                  <c:v>152143040.7909686</c:v>
                </c:pt>
                <c:pt idx="46">
                  <c:v>154961324.57608467</c:v>
                </c:pt>
                <c:pt idx="47">
                  <c:v>156770236.88398901</c:v>
                </c:pt>
                <c:pt idx="48">
                  <c:v>157088832.22751099</c:v>
                </c:pt>
                <c:pt idx="49">
                  <c:v>160617065.76026973</c:v>
                </c:pt>
                <c:pt idx="50">
                  <c:v>162795308.24115944</c:v>
                </c:pt>
                <c:pt idx="51">
                  <c:v>161426030.29863778</c:v>
                </c:pt>
                <c:pt idx="52">
                  <c:v>161038520.98083526</c:v>
                </c:pt>
                <c:pt idx="53">
                  <c:v>161506406.54608756</c:v>
                </c:pt>
                <c:pt idx="54">
                  <c:v>165366330.55910441</c:v>
                </c:pt>
                <c:pt idx="55">
                  <c:v>169055200.0091067</c:v>
                </c:pt>
                <c:pt idx="56">
                  <c:v>173323596.39068246</c:v>
                </c:pt>
                <c:pt idx="57">
                  <c:v>176578184.84857079</c:v>
                </c:pt>
                <c:pt idx="58">
                  <c:v>174537472.3792288</c:v>
                </c:pt>
                <c:pt idx="59">
                  <c:v>180640182.34028035</c:v>
                </c:pt>
                <c:pt idx="60">
                  <c:v>177564823.06683302</c:v>
                </c:pt>
                <c:pt idx="61">
                  <c:v>180835085.05285269</c:v>
                </c:pt>
                <c:pt idx="62">
                  <c:v>186652561.58059865</c:v>
                </c:pt>
                <c:pt idx="63">
                  <c:v>190792944.83960074</c:v>
                </c:pt>
                <c:pt idx="64">
                  <c:v>184291347.86996517</c:v>
                </c:pt>
                <c:pt idx="65">
                  <c:v>190085916.22967842</c:v>
                </c:pt>
                <c:pt idx="66">
                  <c:v>190986328.36011529</c:v>
                </c:pt>
                <c:pt idx="67">
                  <c:v>194468674.84359205</c:v>
                </c:pt>
                <c:pt idx="68">
                  <c:v>196047624.50696129</c:v>
                </c:pt>
                <c:pt idx="69">
                  <c:v>202000099.63423562</c:v>
                </c:pt>
                <c:pt idx="70">
                  <c:v>198444147.06839329</c:v>
                </c:pt>
                <c:pt idx="71">
                  <c:v>200098697.55529416</c:v>
                </c:pt>
                <c:pt idx="72">
                  <c:v>197892476.50707862</c:v>
                </c:pt>
                <c:pt idx="73">
                  <c:v>200231357.35978913</c:v>
                </c:pt>
                <c:pt idx="74">
                  <c:v>202187868.82194659</c:v>
                </c:pt>
                <c:pt idx="75">
                  <c:v>203349923.29020673</c:v>
                </c:pt>
                <c:pt idx="76">
                  <c:v>211794182.91943687</c:v>
                </c:pt>
                <c:pt idx="77">
                  <c:v>208318158.98190579</c:v>
                </c:pt>
                <c:pt idx="78">
                  <c:v>206627454.6970925</c:v>
                </c:pt>
                <c:pt idx="79">
                  <c:v>209186491.68683568</c:v>
                </c:pt>
                <c:pt idx="80">
                  <c:v>218546792.54736164</c:v>
                </c:pt>
                <c:pt idx="81">
                  <c:v>208000714.17086363</c:v>
                </c:pt>
                <c:pt idx="82">
                  <c:v>207015568.29514915</c:v>
                </c:pt>
                <c:pt idx="83">
                  <c:v>211609269.76425281</c:v>
                </c:pt>
                <c:pt idx="84">
                  <c:v>212684390.72811937</c:v>
                </c:pt>
                <c:pt idx="85">
                  <c:v>218573911.62225527</c:v>
                </c:pt>
                <c:pt idx="86">
                  <c:v>222656794.23718953</c:v>
                </c:pt>
                <c:pt idx="87">
                  <c:v>227291506.87014025</c:v>
                </c:pt>
                <c:pt idx="88">
                  <c:v>233216996.56316924</c:v>
                </c:pt>
                <c:pt idx="89">
                  <c:v>232918011.10422453</c:v>
                </c:pt>
                <c:pt idx="90">
                  <c:v>233278203.870309</c:v>
                </c:pt>
                <c:pt idx="91">
                  <c:v>236432083.28324249</c:v>
                </c:pt>
                <c:pt idx="92">
                  <c:v>239269688.37336314</c:v>
                </c:pt>
                <c:pt idx="93">
                  <c:v>241991639.48386723</c:v>
                </c:pt>
                <c:pt idx="94">
                  <c:v>244867318.63535088</c:v>
                </c:pt>
                <c:pt idx="95">
                  <c:v>243015611.75506231</c:v>
                </c:pt>
                <c:pt idx="96">
                  <c:v>243694978.92067796</c:v>
                </c:pt>
                <c:pt idx="97">
                  <c:v>248369274.38176462</c:v>
                </c:pt>
                <c:pt idx="98">
                  <c:v>253471755.6831139</c:v>
                </c:pt>
                <c:pt idx="99">
                  <c:v>255714577.11101821</c:v>
                </c:pt>
                <c:pt idx="100">
                  <c:v>252718358.56229156</c:v>
                </c:pt>
                <c:pt idx="101">
                  <c:v>250568580.48822618</c:v>
                </c:pt>
                <c:pt idx="102">
                  <c:v>255680551.0927217</c:v>
                </c:pt>
                <c:pt idx="103">
                  <c:v>260374930.47211647</c:v>
                </c:pt>
                <c:pt idx="104">
                  <c:v>261562213.32989857</c:v>
                </c:pt>
                <c:pt idx="105">
                  <c:v>263093997.76348901</c:v>
                </c:pt>
                <c:pt idx="106">
                  <c:v>264923006.85490698</c:v>
                </c:pt>
                <c:pt idx="107">
                  <c:v>269333787.82399297</c:v>
                </c:pt>
                <c:pt idx="108">
                  <c:v>273577976.18843114</c:v>
                </c:pt>
                <c:pt idx="109">
                  <c:v>279079549.26033974</c:v>
                </c:pt>
                <c:pt idx="110">
                  <c:v>280562903.11011064</c:v>
                </c:pt>
                <c:pt idx="111">
                  <c:v>287751137.82814205</c:v>
                </c:pt>
                <c:pt idx="112">
                  <c:v>293744808.9562571</c:v>
                </c:pt>
                <c:pt idx="113">
                  <c:v>296260403.33331323</c:v>
                </c:pt>
                <c:pt idx="114">
                  <c:v>301661661.01779324</c:v>
                </c:pt>
                <c:pt idx="115">
                  <c:v>307983597.12410873</c:v>
                </c:pt>
                <c:pt idx="116">
                  <c:v>311304097.02080071</c:v>
                </c:pt>
                <c:pt idx="117">
                  <c:v>310450473.15965354</c:v>
                </c:pt>
                <c:pt idx="118">
                  <c:v>308263067.74220312</c:v>
                </c:pt>
                <c:pt idx="119">
                  <c:v>309935579.36553746</c:v>
                </c:pt>
                <c:pt idx="120">
                  <c:v>314376105.39829493</c:v>
                </c:pt>
                <c:pt idx="121">
                  <c:v>320423404.14469355</c:v>
                </c:pt>
                <c:pt idx="122">
                  <c:v>324068396.07382751</c:v>
                </c:pt>
                <c:pt idx="123">
                  <c:v>323933778.32122874</c:v>
                </c:pt>
                <c:pt idx="124">
                  <c:v>324423344.80396718</c:v>
                </c:pt>
                <c:pt idx="125">
                  <c:v>332678152.96158701</c:v>
                </c:pt>
                <c:pt idx="126">
                  <c:v>340239053.44168985</c:v>
                </c:pt>
                <c:pt idx="127">
                  <c:v>342936887.39506519</c:v>
                </c:pt>
                <c:pt idx="128">
                  <c:v>334736518.84807253</c:v>
                </c:pt>
                <c:pt idx="129">
                  <c:v>336864304.71226597</c:v>
                </c:pt>
                <c:pt idx="130">
                  <c:v>340030035.49273849</c:v>
                </c:pt>
                <c:pt idx="131">
                  <c:v>331298877.00313085</c:v>
                </c:pt>
                <c:pt idx="132">
                  <c:v>347651417.06229508</c:v>
                </c:pt>
                <c:pt idx="133">
                  <c:v>351954238.27672714</c:v>
                </c:pt>
                <c:pt idx="134">
                  <c:v>352285242.52351195</c:v>
                </c:pt>
                <c:pt idx="135">
                  <c:v>350469690.42497772</c:v>
                </c:pt>
                <c:pt idx="136">
                  <c:v>367452406.29928088</c:v>
                </c:pt>
                <c:pt idx="137">
                  <c:v>365373950.15393728</c:v>
                </c:pt>
                <c:pt idx="138">
                  <c:v>370931558.44213754</c:v>
                </c:pt>
                <c:pt idx="139">
                  <c:v>376384401.65238076</c:v>
                </c:pt>
                <c:pt idx="140">
                  <c:v>381096820.58145112</c:v>
                </c:pt>
                <c:pt idx="141">
                  <c:v>386180461.83327019</c:v>
                </c:pt>
                <c:pt idx="142">
                  <c:v>392091792.56163651</c:v>
                </c:pt>
                <c:pt idx="143">
                  <c:v>389845971.68554145</c:v>
                </c:pt>
                <c:pt idx="144">
                  <c:v>388592268.10109806</c:v>
                </c:pt>
                <c:pt idx="145">
                  <c:v>395169322.78702408</c:v>
                </c:pt>
                <c:pt idx="146">
                  <c:v>395354161.14001</c:v>
                </c:pt>
                <c:pt idx="147">
                  <c:v>403017911.96624804</c:v>
                </c:pt>
                <c:pt idx="148">
                  <c:v>410119718.45473051</c:v>
                </c:pt>
                <c:pt idx="149">
                  <c:v>413470961.50356305</c:v>
                </c:pt>
                <c:pt idx="150">
                  <c:v>422013042.97502315</c:v>
                </c:pt>
                <c:pt idx="151">
                  <c:v>415886465.23872101</c:v>
                </c:pt>
                <c:pt idx="152">
                  <c:v>427554297.34803301</c:v>
                </c:pt>
                <c:pt idx="153">
                  <c:v>426842206.87081403</c:v>
                </c:pt>
                <c:pt idx="154">
                  <c:v>433553899.9596113</c:v>
                </c:pt>
                <c:pt idx="155">
                  <c:v>431911976.93860102</c:v>
                </c:pt>
                <c:pt idx="156">
                  <c:v>440175508.74623466</c:v>
                </c:pt>
                <c:pt idx="157">
                  <c:v>448526863.43583083</c:v>
                </c:pt>
                <c:pt idx="158">
                  <c:v>453346850.54077697</c:v>
                </c:pt>
                <c:pt idx="159">
                  <c:v>459674204.29042268</c:v>
                </c:pt>
                <c:pt idx="160">
                  <c:v>466798478.74760485</c:v>
                </c:pt>
                <c:pt idx="161">
                  <c:v>461856533.52132499</c:v>
                </c:pt>
                <c:pt idx="162">
                  <c:v>474058189.90676332</c:v>
                </c:pt>
                <c:pt idx="163">
                  <c:v>481587686.70462078</c:v>
                </c:pt>
                <c:pt idx="164">
                  <c:v>488647776.67771971</c:v>
                </c:pt>
                <c:pt idx="165">
                  <c:v>495855480.24192357</c:v>
                </c:pt>
                <c:pt idx="166">
                  <c:v>497659565.62253475</c:v>
                </c:pt>
                <c:pt idx="167">
                  <c:v>507274402.14266479</c:v>
                </c:pt>
                <c:pt idx="168">
                  <c:v>513946359.97277296</c:v>
                </c:pt>
                <c:pt idx="169">
                  <c:v>509550491.8739261</c:v>
                </c:pt>
                <c:pt idx="170">
                  <c:v>521861539.49655038</c:v>
                </c:pt>
                <c:pt idx="171">
                  <c:v>531976745.40691918</c:v>
                </c:pt>
                <c:pt idx="172">
                  <c:v>538927392.14540863</c:v>
                </c:pt>
                <c:pt idx="173">
                  <c:v>541204033.16541708</c:v>
                </c:pt>
                <c:pt idx="174">
                  <c:v>546003327.01656282</c:v>
                </c:pt>
                <c:pt idx="175">
                  <c:v>552383203.63442993</c:v>
                </c:pt>
                <c:pt idx="176">
                  <c:v>549730139.95509291</c:v>
                </c:pt>
                <c:pt idx="177">
                  <c:v>562865139.26452851</c:v>
                </c:pt>
                <c:pt idx="178">
                  <c:v>566145930.1444118</c:v>
                </c:pt>
                <c:pt idx="179">
                  <c:v>558650607.41749644</c:v>
                </c:pt>
                <c:pt idx="180">
                  <c:v>563415269.835742</c:v>
                </c:pt>
                <c:pt idx="181">
                  <c:v>577611443.33286178</c:v>
                </c:pt>
                <c:pt idx="182">
                  <c:v>580752455.69863665</c:v>
                </c:pt>
                <c:pt idx="183">
                  <c:v>594626557.41270292</c:v>
                </c:pt>
                <c:pt idx="184">
                  <c:v>603935972.80373967</c:v>
                </c:pt>
                <c:pt idx="185">
                  <c:v>617766092.97960186</c:v>
                </c:pt>
                <c:pt idx="186">
                  <c:v>618422117.49456656</c:v>
                </c:pt>
                <c:pt idx="187">
                  <c:v>627611433.96686423</c:v>
                </c:pt>
                <c:pt idx="188">
                  <c:v>636900884.74720132</c:v>
                </c:pt>
                <c:pt idx="189">
                  <c:v>640730085.60966134</c:v>
                </c:pt>
                <c:pt idx="190">
                  <c:v>649870608.27720511</c:v>
                </c:pt>
                <c:pt idx="191">
                  <c:v>661813894.79990053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2-44A2-8F73-94594622F4DE}"/>
            </c:ext>
          </c:extLst>
        </c:ser>
        <c:ser>
          <c:idx val="1"/>
          <c:order val="1"/>
          <c:tx>
            <c:strRef>
              <c:f>Saldos!$C$21</c:f>
              <c:strCache>
                <c:ptCount val="1"/>
                <c:pt idx="0">
                  <c:v>Deuda externa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Ref>
              <c:f>Saldos!$A$113:$A$304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Saldos!$C$113:$C$304</c:f>
              <c:numCache>
                <c:formatCode>#,##0</c:formatCode>
                <c:ptCount val="192"/>
                <c:pt idx="0">
                  <c:v>60497140.869270988</c:v>
                </c:pt>
                <c:pt idx="1">
                  <c:v>63350774.895530373</c:v>
                </c:pt>
                <c:pt idx="2">
                  <c:v>64875502.396956749</c:v>
                </c:pt>
                <c:pt idx="3">
                  <c:v>59730940.656664416</c:v>
                </c:pt>
                <c:pt idx="4">
                  <c:v>56210661.949987784</c:v>
                </c:pt>
                <c:pt idx="5">
                  <c:v>56582159.785788469</c:v>
                </c:pt>
                <c:pt idx="6">
                  <c:v>54145573.388653852</c:v>
                </c:pt>
                <c:pt idx="7">
                  <c:v>54433450.441749491</c:v>
                </c:pt>
                <c:pt idx="8">
                  <c:v>51882562.554750405</c:v>
                </c:pt>
                <c:pt idx="9">
                  <c:v>56235126.12390361</c:v>
                </c:pt>
                <c:pt idx="10">
                  <c:v>57694659.56747219</c:v>
                </c:pt>
                <c:pt idx="11">
                  <c:v>59694422.112222113</c:v>
                </c:pt>
                <c:pt idx="12">
                  <c:v>58026437.562987939</c:v>
                </c:pt>
                <c:pt idx="13">
                  <c:v>55559913.468568631</c:v>
                </c:pt>
                <c:pt idx="14">
                  <c:v>55542310.58984866</c:v>
                </c:pt>
                <c:pt idx="15">
                  <c:v>59095461.735265672</c:v>
                </c:pt>
                <c:pt idx="16">
                  <c:v>58694373.826705657</c:v>
                </c:pt>
                <c:pt idx="17">
                  <c:v>57356296.929828525</c:v>
                </c:pt>
                <c:pt idx="18">
                  <c:v>55065090.267541401</c:v>
                </c:pt>
                <c:pt idx="19">
                  <c:v>55597644.84294647</c:v>
                </c:pt>
                <c:pt idx="20">
                  <c:v>55240381.869982168</c:v>
                </c:pt>
                <c:pt idx="21">
                  <c:v>56811157.51996626</c:v>
                </c:pt>
                <c:pt idx="22">
                  <c:v>58523143.040842503</c:v>
                </c:pt>
                <c:pt idx="23">
                  <c:v>59306054.904884927</c:v>
                </c:pt>
                <c:pt idx="24">
                  <c:v>57866641.587261178</c:v>
                </c:pt>
                <c:pt idx="25">
                  <c:v>58814395.331597432</c:v>
                </c:pt>
                <c:pt idx="26">
                  <c:v>58372274.555211447</c:v>
                </c:pt>
                <c:pt idx="27">
                  <c:v>55506746.601131961</c:v>
                </c:pt>
                <c:pt idx="28">
                  <c:v>55810203.25900808</c:v>
                </c:pt>
                <c:pt idx="29">
                  <c:v>54770037.483688205</c:v>
                </c:pt>
                <c:pt idx="30">
                  <c:v>58062873.745896019</c:v>
                </c:pt>
                <c:pt idx="31">
                  <c:v>58420183.519118153</c:v>
                </c:pt>
                <c:pt idx="32">
                  <c:v>62443836.979088537</c:v>
                </c:pt>
                <c:pt idx="33">
                  <c:v>60767253.275181584</c:v>
                </c:pt>
                <c:pt idx="34">
                  <c:v>63893220.653718755</c:v>
                </c:pt>
                <c:pt idx="35">
                  <c:v>63980291.740931503</c:v>
                </c:pt>
                <c:pt idx="36">
                  <c:v>61312289.135329708</c:v>
                </c:pt>
                <c:pt idx="37">
                  <c:v>58904732.470003232</c:v>
                </c:pt>
                <c:pt idx="38">
                  <c:v>59284387.376865819</c:v>
                </c:pt>
                <c:pt idx="39">
                  <c:v>58696879.440780565</c:v>
                </c:pt>
                <c:pt idx="40">
                  <c:v>60219982.160049155</c:v>
                </c:pt>
                <c:pt idx="41">
                  <c:v>59567472.480821647</c:v>
                </c:pt>
                <c:pt idx="42">
                  <c:v>58944256.902967967</c:v>
                </c:pt>
                <c:pt idx="43">
                  <c:v>60050770.712265857</c:v>
                </c:pt>
                <c:pt idx="44">
                  <c:v>60125045.113651752</c:v>
                </c:pt>
                <c:pt idx="45">
                  <c:v>61002777.01929675</c:v>
                </c:pt>
                <c:pt idx="46">
                  <c:v>60275410.638048492</c:v>
                </c:pt>
                <c:pt idx="47">
                  <c:v>59519174.609242201</c:v>
                </c:pt>
                <c:pt idx="48">
                  <c:v>60385932.630992703</c:v>
                </c:pt>
                <c:pt idx="49">
                  <c:v>61469337.068306446</c:v>
                </c:pt>
                <c:pt idx="50">
                  <c:v>61714008.757807396</c:v>
                </c:pt>
                <c:pt idx="51">
                  <c:v>61697809.015302777</c:v>
                </c:pt>
                <c:pt idx="52">
                  <c:v>63062721.759932451</c:v>
                </c:pt>
                <c:pt idx="53">
                  <c:v>63775756.051844962</c:v>
                </c:pt>
                <c:pt idx="54">
                  <c:v>62830021.314390451</c:v>
                </c:pt>
                <c:pt idx="55">
                  <c:v>64693839.549436428</c:v>
                </c:pt>
                <c:pt idx="56">
                  <c:v>67951859.989899993</c:v>
                </c:pt>
                <c:pt idx="57">
                  <c:v>67028443.222957551</c:v>
                </c:pt>
                <c:pt idx="58">
                  <c:v>67924833.736768171</c:v>
                </c:pt>
                <c:pt idx="59">
                  <c:v>68719143.631469116</c:v>
                </c:pt>
                <c:pt idx="60">
                  <c:v>75180629.918272331</c:v>
                </c:pt>
                <c:pt idx="61">
                  <c:v>76678591.532125011</c:v>
                </c:pt>
                <c:pt idx="62">
                  <c:v>73623532.876875296</c:v>
                </c:pt>
                <c:pt idx="63">
                  <c:v>72620679.108229458</c:v>
                </c:pt>
                <c:pt idx="64">
                  <c:v>70899952.872108862</c:v>
                </c:pt>
                <c:pt idx="65">
                  <c:v>70064204.647701547</c:v>
                </c:pt>
                <c:pt idx="66">
                  <c:v>69533921.735763371</c:v>
                </c:pt>
                <c:pt idx="67">
                  <c:v>71558525.809544712</c:v>
                </c:pt>
                <c:pt idx="68">
                  <c:v>74241185.730615795</c:v>
                </c:pt>
                <c:pt idx="69">
                  <c:v>77552283.370231301</c:v>
                </c:pt>
                <c:pt idx="70">
                  <c:v>80649797.76488477</c:v>
                </c:pt>
                <c:pt idx="71">
                  <c:v>89767232.003086373</c:v>
                </c:pt>
                <c:pt idx="72">
                  <c:v>93317433.437102348</c:v>
                </c:pt>
                <c:pt idx="73">
                  <c:v>96808713.176326931</c:v>
                </c:pt>
                <c:pt idx="74">
                  <c:v>102449041.76554218</c:v>
                </c:pt>
                <c:pt idx="75">
                  <c:v>95629504.698379114</c:v>
                </c:pt>
                <c:pt idx="76">
                  <c:v>100897657.0419164</c:v>
                </c:pt>
                <c:pt idx="77">
                  <c:v>101862301.54981145</c:v>
                </c:pt>
                <c:pt idx="78">
                  <c:v>111895599.64530221</c:v>
                </c:pt>
                <c:pt idx="79">
                  <c:v>119322756.76222073</c:v>
                </c:pt>
                <c:pt idx="80">
                  <c:v>125390173.47975096</c:v>
                </c:pt>
                <c:pt idx="81">
                  <c:v>117680036.32568659</c:v>
                </c:pt>
                <c:pt idx="82">
                  <c:v>123239655.14920554</c:v>
                </c:pt>
                <c:pt idx="83">
                  <c:v>129590463.61165862</c:v>
                </c:pt>
                <c:pt idx="84">
                  <c:v>136367052.99618524</c:v>
                </c:pt>
                <c:pt idx="85">
                  <c:v>136020607.40089744</c:v>
                </c:pt>
                <c:pt idx="86">
                  <c:v>129404223.27700727</c:v>
                </c:pt>
                <c:pt idx="87">
                  <c:v>123851217.38012549</c:v>
                </c:pt>
                <c:pt idx="88">
                  <c:v>132583650.95916942</c:v>
                </c:pt>
                <c:pt idx="89">
                  <c:v>126126625.34540461</c:v>
                </c:pt>
                <c:pt idx="90">
                  <c:v>133388137.45034657</c:v>
                </c:pt>
                <c:pt idx="91">
                  <c:v>126580652.166949</c:v>
                </c:pt>
                <c:pt idx="92">
                  <c:v>124198517.77009965</c:v>
                </c:pt>
                <c:pt idx="93">
                  <c:v>127416890.57074043</c:v>
                </c:pt>
                <c:pt idx="94">
                  <c:v>136876163.22487298</c:v>
                </c:pt>
                <c:pt idx="95">
                  <c:v>134069787.40932594</c:v>
                </c:pt>
                <c:pt idx="96">
                  <c:v>134875791.70467806</c:v>
                </c:pt>
                <c:pt idx="97">
                  <c:v>132635099.38497403</c:v>
                </c:pt>
                <c:pt idx="98">
                  <c:v>131754601.88097288</c:v>
                </c:pt>
                <c:pt idx="99">
                  <c:v>134693162.99358007</c:v>
                </c:pt>
                <c:pt idx="100">
                  <c:v>133981867.46012698</c:v>
                </c:pt>
                <c:pt idx="101">
                  <c:v>139056306.68307236</c:v>
                </c:pt>
                <c:pt idx="102">
                  <c:v>137569253.96246386</c:v>
                </c:pt>
                <c:pt idx="103">
                  <c:v>140364356.41136405</c:v>
                </c:pt>
                <c:pt idx="104">
                  <c:v>140194808.71799496</c:v>
                </c:pt>
                <c:pt idx="105">
                  <c:v>143149490.53709531</c:v>
                </c:pt>
                <c:pt idx="106">
                  <c:v>142913657.06477386</c:v>
                </c:pt>
                <c:pt idx="107">
                  <c:v>142552124.44486585</c:v>
                </c:pt>
                <c:pt idx="108">
                  <c:v>137883895.08766097</c:v>
                </c:pt>
                <c:pt idx="109">
                  <c:v>138254707.90655193</c:v>
                </c:pt>
                <c:pt idx="110">
                  <c:v>136559326.66186175</c:v>
                </c:pt>
                <c:pt idx="111">
                  <c:v>138016098.67575094</c:v>
                </c:pt>
                <c:pt idx="112">
                  <c:v>140613575.40115675</c:v>
                </c:pt>
                <c:pt idx="113">
                  <c:v>143439062.63392922</c:v>
                </c:pt>
                <c:pt idx="114">
                  <c:v>140107593.37015706</c:v>
                </c:pt>
                <c:pt idx="115">
                  <c:v>146875765.03612724</c:v>
                </c:pt>
                <c:pt idx="116">
                  <c:v>145816613.20145193</c:v>
                </c:pt>
                <c:pt idx="117">
                  <c:v>159009370.38801381</c:v>
                </c:pt>
                <c:pt idx="118">
                  <c:v>161178582.56463969</c:v>
                </c:pt>
                <c:pt idx="119">
                  <c:v>164090347.19709632</c:v>
                </c:pt>
                <c:pt idx="120">
                  <c:v>166260785.35409623</c:v>
                </c:pt>
                <c:pt idx="121">
                  <c:v>161145767.2076804</c:v>
                </c:pt>
                <c:pt idx="122">
                  <c:v>163417445.05729488</c:v>
                </c:pt>
                <c:pt idx="123">
                  <c:v>165921112.45995641</c:v>
                </c:pt>
                <c:pt idx="124">
                  <c:v>170961465.59626636</c:v>
                </c:pt>
                <c:pt idx="125">
                  <c:v>163262612.25119537</c:v>
                </c:pt>
                <c:pt idx="126">
                  <c:v>167530632.20393959</c:v>
                </c:pt>
                <c:pt idx="127">
                  <c:v>175067999.25969523</c:v>
                </c:pt>
                <c:pt idx="128">
                  <c:v>176054321.49443451</c:v>
                </c:pt>
                <c:pt idx="129">
                  <c:v>172592048.50443509</c:v>
                </c:pt>
                <c:pt idx="130">
                  <c:v>178538620.54997858</c:v>
                </c:pt>
                <c:pt idx="131">
                  <c:v>169507573.76647875</c:v>
                </c:pt>
                <c:pt idx="132">
                  <c:v>182181203.32657391</c:v>
                </c:pt>
                <c:pt idx="133">
                  <c:v>183968380.6477994</c:v>
                </c:pt>
                <c:pt idx="134">
                  <c:v>215454737.74830422</c:v>
                </c:pt>
                <c:pt idx="135">
                  <c:v>217474511.48852992</c:v>
                </c:pt>
                <c:pt idx="136">
                  <c:v>208492467.44221625</c:v>
                </c:pt>
                <c:pt idx="137">
                  <c:v>219728818.91332716</c:v>
                </c:pt>
                <c:pt idx="138">
                  <c:v>225351143.67614859</c:v>
                </c:pt>
                <c:pt idx="139">
                  <c:v>228617387.38408232</c:v>
                </c:pt>
                <c:pt idx="140">
                  <c:v>234887113.19756538</c:v>
                </c:pt>
                <c:pt idx="141">
                  <c:v>233180526.37496686</c:v>
                </c:pt>
                <c:pt idx="142">
                  <c:v>218991935.67227784</c:v>
                </c:pt>
                <c:pt idx="143">
                  <c:v>229745919.54330418</c:v>
                </c:pt>
                <c:pt idx="144">
                  <c:v>243591292.94700378</c:v>
                </c:pt>
                <c:pt idx="145">
                  <c:v>245304678.19802618</c:v>
                </c:pt>
                <c:pt idx="146">
                  <c:v>250140159.59358084</c:v>
                </c:pt>
                <c:pt idx="147">
                  <c:v>258482085.82434815</c:v>
                </c:pt>
                <c:pt idx="148">
                  <c:v>258375728.10373014</c:v>
                </c:pt>
                <c:pt idx="149">
                  <c:v>262777531.42584035</c:v>
                </c:pt>
                <c:pt idx="150">
                  <c:v>268563420.63419247</c:v>
                </c:pt>
                <c:pt idx="151">
                  <c:v>265529619.1486201</c:v>
                </c:pt>
                <c:pt idx="152">
                  <c:v>267862234.31793031</c:v>
                </c:pt>
                <c:pt idx="153">
                  <c:v>268726974.82190108</c:v>
                </c:pt>
                <c:pt idx="154">
                  <c:v>287923158.82022101</c:v>
                </c:pt>
                <c:pt idx="155">
                  <c:v>292406808.27735585</c:v>
                </c:pt>
                <c:pt idx="156">
                  <c:v>291162922.51927221</c:v>
                </c:pt>
                <c:pt idx="157">
                  <c:v>286686755.37254226</c:v>
                </c:pt>
                <c:pt idx="158">
                  <c:v>274339150.04320383</c:v>
                </c:pt>
                <c:pt idx="159">
                  <c:v>287640476.37953138</c:v>
                </c:pt>
                <c:pt idx="160">
                  <c:v>286605667.35830963</c:v>
                </c:pt>
                <c:pt idx="161">
                  <c:v>302011059.22085047</c:v>
                </c:pt>
                <c:pt idx="162">
                  <c:v>315095026.24864733</c:v>
                </c:pt>
                <c:pt idx="163">
                  <c:v>323383804.6962167</c:v>
                </c:pt>
                <c:pt idx="164">
                  <c:v>332477514.83813965</c:v>
                </c:pt>
                <c:pt idx="165">
                  <c:v>353038059.90845466</c:v>
                </c:pt>
                <c:pt idx="166">
                  <c:v>355095948.26274663</c:v>
                </c:pt>
                <c:pt idx="167">
                  <c:v>365470273.52265549</c:v>
                </c:pt>
                <c:pt idx="168">
                  <c:v>353018742.60555553</c:v>
                </c:pt>
                <c:pt idx="169">
                  <c:v>373852531.2773602</c:v>
                </c:pt>
                <c:pt idx="170">
                  <c:v>356328664.45581001</c:v>
                </c:pt>
                <c:pt idx="171">
                  <c:v>359125228.88659579</c:v>
                </c:pt>
                <c:pt idx="172">
                  <c:v>337385404.89654762</c:v>
                </c:pt>
                <c:pt idx="173">
                  <c:v>321268837.82510805</c:v>
                </c:pt>
                <c:pt idx="174">
                  <c:v>301673923.92289931</c:v>
                </c:pt>
                <c:pt idx="175">
                  <c:v>312827193.05105203</c:v>
                </c:pt>
                <c:pt idx="176">
                  <c:v>312338043.02851456</c:v>
                </c:pt>
                <c:pt idx="177">
                  <c:v>309430485.88152635</c:v>
                </c:pt>
                <c:pt idx="178">
                  <c:v>315853047.89682388</c:v>
                </c:pt>
                <c:pt idx="179">
                  <c:v>306707695.71847492</c:v>
                </c:pt>
                <c:pt idx="180">
                  <c:v>314575667.39401472</c:v>
                </c:pt>
                <c:pt idx="181">
                  <c:v>314755135.65642297</c:v>
                </c:pt>
                <c:pt idx="182">
                  <c:v>306729066.39501399</c:v>
                </c:pt>
                <c:pt idx="183">
                  <c:v>313571353.82684374</c:v>
                </c:pt>
                <c:pt idx="184">
                  <c:v>309472104.12425333</c:v>
                </c:pt>
                <c:pt idx="185">
                  <c:v>330250843.96358514</c:v>
                </c:pt>
                <c:pt idx="186">
                  <c:v>328918001.80090624</c:v>
                </c:pt>
                <c:pt idx="187">
                  <c:v>332431916.97267979</c:v>
                </c:pt>
                <c:pt idx="188">
                  <c:v>332953444.97665441</c:v>
                </c:pt>
                <c:pt idx="189">
                  <c:v>351153005.78934771</c:v>
                </c:pt>
                <c:pt idx="190">
                  <c:v>363087345.52202702</c:v>
                </c:pt>
                <c:pt idx="191">
                  <c:v>360208169.17949432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42-44A2-8F73-94594622F4DE}"/>
            </c:ext>
          </c:extLst>
        </c:ser>
        <c:ser>
          <c:idx val="2"/>
          <c:order val="2"/>
          <c:tx>
            <c:strRef>
              <c:f>Saldos!$D$21</c:f>
              <c:strCache>
                <c:ptCount val="1"/>
                <c:pt idx="0">
                  <c:v>Deuda total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Saldos!$A$113:$A$304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Saldos!$D$113:$D$304</c:f>
              <c:numCache>
                <c:formatCode>#,##0</c:formatCode>
                <c:ptCount val="192"/>
                <c:pt idx="0">
                  <c:v>171802958.48443064</c:v>
                </c:pt>
                <c:pt idx="1">
                  <c:v>176723166.61800617</c:v>
                </c:pt>
                <c:pt idx="2">
                  <c:v>180850066.45645651</c:v>
                </c:pt>
                <c:pt idx="3">
                  <c:v>178100501.99823016</c:v>
                </c:pt>
                <c:pt idx="4">
                  <c:v>173133096.12633437</c:v>
                </c:pt>
                <c:pt idx="5">
                  <c:v>174965831.8450653</c:v>
                </c:pt>
                <c:pt idx="6">
                  <c:v>169158374.56897128</c:v>
                </c:pt>
                <c:pt idx="7">
                  <c:v>172583713.37223837</c:v>
                </c:pt>
                <c:pt idx="8">
                  <c:v>170147664.10100737</c:v>
                </c:pt>
                <c:pt idx="9">
                  <c:v>176987107.87219271</c:v>
                </c:pt>
                <c:pt idx="10">
                  <c:v>182785525.88180101</c:v>
                </c:pt>
                <c:pt idx="11">
                  <c:v>185334169.33914119</c:v>
                </c:pt>
                <c:pt idx="12">
                  <c:v>185755458.98795289</c:v>
                </c:pt>
                <c:pt idx="13">
                  <c:v>184162159.31606135</c:v>
                </c:pt>
                <c:pt idx="14">
                  <c:v>184742198.85447165</c:v>
                </c:pt>
                <c:pt idx="15">
                  <c:v>188588099.17911553</c:v>
                </c:pt>
                <c:pt idx="16">
                  <c:v>188102841.82622379</c:v>
                </c:pt>
                <c:pt idx="17">
                  <c:v>188694177.3311241</c:v>
                </c:pt>
                <c:pt idx="18">
                  <c:v>188616941.2503767</c:v>
                </c:pt>
                <c:pt idx="19">
                  <c:v>191962292.43009835</c:v>
                </c:pt>
                <c:pt idx="20">
                  <c:v>189520819.01062077</c:v>
                </c:pt>
                <c:pt idx="21">
                  <c:v>193251732.671895</c:v>
                </c:pt>
                <c:pt idx="22">
                  <c:v>195931575.02743113</c:v>
                </c:pt>
                <c:pt idx="23">
                  <c:v>202840286.00253853</c:v>
                </c:pt>
                <c:pt idx="24">
                  <c:v>196122814.364811</c:v>
                </c:pt>
                <c:pt idx="25">
                  <c:v>199106115.64698446</c:v>
                </c:pt>
                <c:pt idx="26">
                  <c:v>200291031.77011901</c:v>
                </c:pt>
                <c:pt idx="27">
                  <c:v>200769017.79164553</c:v>
                </c:pt>
                <c:pt idx="28">
                  <c:v>196017605.41453624</c:v>
                </c:pt>
                <c:pt idx="29">
                  <c:v>195493823.05754551</c:v>
                </c:pt>
                <c:pt idx="30">
                  <c:v>200712787.68685165</c:v>
                </c:pt>
                <c:pt idx="31">
                  <c:v>203922355.24270484</c:v>
                </c:pt>
                <c:pt idx="32">
                  <c:v>208377739.11068624</c:v>
                </c:pt>
                <c:pt idx="33">
                  <c:v>208053230.63458559</c:v>
                </c:pt>
                <c:pt idx="34">
                  <c:v>211924593.97631383</c:v>
                </c:pt>
                <c:pt idx="35">
                  <c:v>214693588.05741474</c:v>
                </c:pt>
                <c:pt idx="36">
                  <c:v>210621766.09418496</c:v>
                </c:pt>
                <c:pt idx="37">
                  <c:v>211038332.8295753</c:v>
                </c:pt>
                <c:pt idx="38">
                  <c:v>211673562.59248453</c:v>
                </c:pt>
                <c:pt idx="39">
                  <c:v>210625252.15615261</c:v>
                </c:pt>
                <c:pt idx="40">
                  <c:v>212137924.50107145</c:v>
                </c:pt>
                <c:pt idx="41">
                  <c:v>211796343.26900148</c:v>
                </c:pt>
                <c:pt idx="42">
                  <c:v>212989164.58044836</c:v>
                </c:pt>
                <c:pt idx="43">
                  <c:v>211984006.29903674</c:v>
                </c:pt>
                <c:pt idx="44">
                  <c:v>212702413.10430723</c:v>
                </c:pt>
                <c:pt idx="45">
                  <c:v>213145817.81026536</c:v>
                </c:pt>
                <c:pt idx="46">
                  <c:v>215236735.21413317</c:v>
                </c:pt>
                <c:pt idx="47">
                  <c:v>216289411.49323121</c:v>
                </c:pt>
                <c:pt idx="48">
                  <c:v>217474764.858504</c:v>
                </c:pt>
                <c:pt idx="49">
                  <c:v>222086402.82857618</c:v>
                </c:pt>
                <c:pt idx="50">
                  <c:v>224509316.99896684</c:v>
                </c:pt>
                <c:pt idx="51">
                  <c:v>223123839.31394055</c:v>
                </c:pt>
                <c:pt idx="52">
                  <c:v>224101242.74076772</c:v>
                </c:pt>
                <c:pt idx="53">
                  <c:v>225282162.59793252</c:v>
                </c:pt>
                <c:pt idx="54">
                  <c:v>228196351.87349486</c:v>
                </c:pt>
                <c:pt idx="55">
                  <c:v>233749039.55854312</c:v>
                </c:pt>
                <c:pt idx="56">
                  <c:v>241275456.38058245</c:v>
                </c:pt>
                <c:pt idx="57">
                  <c:v>243606628.07152835</c:v>
                </c:pt>
                <c:pt idx="58">
                  <c:v>242462306.11599696</c:v>
                </c:pt>
                <c:pt idx="59">
                  <c:v>249359325.97174948</c:v>
                </c:pt>
                <c:pt idx="60">
                  <c:v>252745452.98510534</c:v>
                </c:pt>
                <c:pt idx="61">
                  <c:v>257513676.58497769</c:v>
                </c:pt>
                <c:pt idx="62">
                  <c:v>260276094.45747393</c:v>
                </c:pt>
                <c:pt idx="63">
                  <c:v>263413623.9478302</c:v>
                </c:pt>
                <c:pt idx="64">
                  <c:v>255191300.74207401</c:v>
                </c:pt>
                <c:pt idx="65">
                  <c:v>260150120.87737995</c:v>
                </c:pt>
                <c:pt idx="66">
                  <c:v>260520250.09587866</c:v>
                </c:pt>
                <c:pt idx="67">
                  <c:v>266027200.65313676</c:v>
                </c:pt>
                <c:pt idx="68">
                  <c:v>270288810.23757708</c:v>
                </c:pt>
                <c:pt idx="69">
                  <c:v>279552383.00446689</c:v>
                </c:pt>
                <c:pt idx="70">
                  <c:v>279093944.83327806</c:v>
                </c:pt>
                <c:pt idx="71">
                  <c:v>289865929.55838054</c:v>
                </c:pt>
                <c:pt idx="72">
                  <c:v>291209909.94418097</c:v>
                </c:pt>
                <c:pt idx="73">
                  <c:v>297040070.53611606</c:v>
                </c:pt>
                <c:pt idx="74">
                  <c:v>304636910.58748877</c:v>
                </c:pt>
                <c:pt idx="75">
                  <c:v>298979427.98858583</c:v>
                </c:pt>
                <c:pt idx="76">
                  <c:v>312691839.9613533</c:v>
                </c:pt>
                <c:pt idx="77">
                  <c:v>310180460.53171724</c:v>
                </c:pt>
                <c:pt idx="78">
                  <c:v>318523054.34239471</c:v>
                </c:pt>
                <c:pt idx="79">
                  <c:v>328509248.44905639</c:v>
                </c:pt>
                <c:pt idx="80">
                  <c:v>343936966.0271126</c:v>
                </c:pt>
                <c:pt idx="81">
                  <c:v>325680750.4965502</c:v>
                </c:pt>
                <c:pt idx="82">
                  <c:v>330255223.44435465</c:v>
                </c:pt>
                <c:pt idx="83">
                  <c:v>341199733.37591141</c:v>
                </c:pt>
                <c:pt idx="84">
                  <c:v>349051443.72430462</c:v>
                </c:pt>
                <c:pt idx="85">
                  <c:v>354594519.02315271</c:v>
                </c:pt>
                <c:pt idx="86">
                  <c:v>352061017.51419681</c:v>
                </c:pt>
                <c:pt idx="87">
                  <c:v>351142724.25026572</c:v>
                </c:pt>
                <c:pt idx="88">
                  <c:v>365800647.52233863</c:v>
                </c:pt>
                <c:pt idx="89">
                  <c:v>359044636.44962913</c:v>
                </c:pt>
                <c:pt idx="90">
                  <c:v>366666341.32065558</c:v>
                </c:pt>
                <c:pt idx="91">
                  <c:v>363012735.45019114</c:v>
                </c:pt>
                <c:pt idx="92">
                  <c:v>363468206.14346278</c:v>
                </c:pt>
                <c:pt idx="93">
                  <c:v>369408530.05460763</c:v>
                </c:pt>
                <c:pt idx="94">
                  <c:v>381743481.86022389</c:v>
                </c:pt>
                <c:pt idx="95">
                  <c:v>377085399.16438824</c:v>
                </c:pt>
                <c:pt idx="96">
                  <c:v>378570770.62535602</c:v>
                </c:pt>
                <c:pt idx="97">
                  <c:v>381004373.76673865</c:v>
                </c:pt>
                <c:pt idx="98">
                  <c:v>385226357.56408679</c:v>
                </c:pt>
                <c:pt idx="99">
                  <c:v>390407740.10459828</c:v>
                </c:pt>
                <c:pt idx="100">
                  <c:v>386700226.02241856</c:v>
                </c:pt>
                <c:pt idx="101">
                  <c:v>389624887.1712985</c:v>
                </c:pt>
                <c:pt idx="102">
                  <c:v>393249805.05518556</c:v>
                </c:pt>
                <c:pt idx="103">
                  <c:v>400739286.88348055</c:v>
                </c:pt>
                <c:pt idx="104">
                  <c:v>401757022.04789352</c:v>
                </c:pt>
                <c:pt idx="105">
                  <c:v>406243488.30058402</c:v>
                </c:pt>
                <c:pt idx="106">
                  <c:v>407836663.91968083</c:v>
                </c:pt>
                <c:pt idx="107">
                  <c:v>411885912.26885879</c:v>
                </c:pt>
                <c:pt idx="108">
                  <c:v>411461871.27609211</c:v>
                </c:pt>
                <c:pt idx="109">
                  <c:v>417334257.16689169</c:v>
                </c:pt>
                <c:pt idx="110">
                  <c:v>417122229.77197242</c:v>
                </c:pt>
                <c:pt idx="111">
                  <c:v>425767236.50389302</c:v>
                </c:pt>
                <c:pt idx="112">
                  <c:v>434358384.35741389</c:v>
                </c:pt>
                <c:pt idx="113">
                  <c:v>439699465.96724248</c:v>
                </c:pt>
                <c:pt idx="114">
                  <c:v>441769254.3879503</c:v>
                </c:pt>
                <c:pt idx="115">
                  <c:v>454859362.160236</c:v>
                </c:pt>
                <c:pt idx="116">
                  <c:v>457120710.22225261</c:v>
                </c:pt>
                <c:pt idx="117">
                  <c:v>469459843.54766738</c:v>
                </c:pt>
                <c:pt idx="118">
                  <c:v>469441650.3068428</c:v>
                </c:pt>
                <c:pt idx="119">
                  <c:v>474025926.5626334</c:v>
                </c:pt>
                <c:pt idx="120">
                  <c:v>480636890.75239116</c:v>
                </c:pt>
                <c:pt idx="121">
                  <c:v>481569171.35237384</c:v>
                </c:pt>
                <c:pt idx="122">
                  <c:v>487485841.13112235</c:v>
                </c:pt>
                <c:pt idx="123">
                  <c:v>489854890.78118515</c:v>
                </c:pt>
                <c:pt idx="124">
                  <c:v>495384810.40023351</c:v>
                </c:pt>
                <c:pt idx="125">
                  <c:v>495940765.21278292</c:v>
                </c:pt>
                <c:pt idx="126">
                  <c:v>507769685.64562941</c:v>
                </c:pt>
                <c:pt idx="127">
                  <c:v>518004886.65476042</c:v>
                </c:pt>
                <c:pt idx="128">
                  <c:v>510790840.34250712</c:v>
                </c:pt>
                <c:pt idx="129">
                  <c:v>509456353.21670103</c:v>
                </c:pt>
                <c:pt idx="130">
                  <c:v>518568656.0427171</c:v>
                </c:pt>
                <c:pt idx="131">
                  <c:v>500806450.76960957</c:v>
                </c:pt>
                <c:pt idx="132">
                  <c:v>529832620.38886899</c:v>
                </c:pt>
                <c:pt idx="133">
                  <c:v>535922618.92452657</c:v>
                </c:pt>
                <c:pt idx="134">
                  <c:v>567739980.27181613</c:v>
                </c:pt>
                <c:pt idx="135">
                  <c:v>567944201.9135077</c:v>
                </c:pt>
                <c:pt idx="136">
                  <c:v>575944873.74149716</c:v>
                </c:pt>
                <c:pt idx="137">
                  <c:v>585102769.06726444</c:v>
                </c:pt>
                <c:pt idx="138">
                  <c:v>596282702.11828613</c:v>
                </c:pt>
                <c:pt idx="139">
                  <c:v>605001789.03646302</c:v>
                </c:pt>
                <c:pt idx="140">
                  <c:v>615983933.77901649</c:v>
                </c:pt>
                <c:pt idx="141">
                  <c:v>619360988.20823705</c:v>
                </c:pt>
                <c:pt idx="142">
                  <c:v>611083728.23391438</c:v>
                </c:pt>
                <c:pt idx="143">
                  <c:v>619591891.2288456</c:v>
                </c:pt>
                <c:pt idx="144">
                  <c:v>632183561.0481019</c:v>
                </c:pt>
                <c:pt idx="145">
                  <c:v>640474000.9850502</c:v>
                </c:pt>
                <c:pt idx="146">
                  <c:v>645494320.73359084</c:v>
                </c:pt>
                <c:pt idx="147">
                  <c:v>661499997.79059625</c:v>
                </c:pt>
                <c:pt idx="148">
                  <c:v>668495446.55846071</c:v>
                </c:pt>
                <c:pt idx="149">
                  <c:v>676248492.92940342</c:v>
                </c:pt>
                <c:pt idx="150">
                  <c:v>690576463.60921562</c:v>
                </c:pt>
                <c:pt idx="151">
                  <c:v>681416084.38734066</c:v>
                </c:pt>
                <c:pt idx="152">
                  <c:v>695416531.66596293</c:v>
                </c:pt>
                <c:pt idx="153">
                  <c:v>695569181.69271553</c:v>
                </c:pt>
                <c:pt idx="154">
                  <c:v>721477058.77983189</c:v>
                </c:pt>
                <c:pt idx="155">
                  <c:v>724318785.21595645</c:v>
                </c:pt>
                <c:pt idx="156">
                  <c:v>731338431.26550686</c:v>
                </c:pt>
                <c:pt idx="157">
                  <c:v>735213618.80837309</c:v>
                </c:pt>
                <c:pt idx="158">
                  <c:v>727686000.5839808</c:v>
                </c:pt>
                <c:pt idx="159">
                  <c:v>747314680.66995406</c:v>
                </c:pt>
                <c:pt idx="160">
                  <c:v>753404146.10591447</c:v>
                </c:pt>
                <c:pt idx="161">
                  <c:v>763867592.74217546</c:v>
                </c:pt>
                <c:pt idx="162">
                  <c:v>789153216.15541065</c:v>
                </c:pt>
                <c:pt idx="163">
                  <c:v>804971491.40083742</c:v>
                </c:pt>
                <c:pt idx="164">
                  <c:v>821125291.51585937</c:v>
                </c:pt>
                <c:pt idx="165">
                  <c:v>848893540.15037823</c:v>
                </c:pt>
                <c:pt idx="166">
                  <c:v>852755513.88528132</c:v>
                </c:pt>
                <c:pt idx="167">
                  <c:v>872744675.66532028</c:v>
                </c:pt>
                <c:pt idx="168">
                  <c:v>866965102.57832849</c:v>
                </c:pt>
                <c:pt idx="169">
                  <c:v>883403023.15128636</c:v>
                </c:pt>
                <c:pt idx="170">
                  <c:v>878190203.95236039</c:v>
                </c:pt>
                <c:pt idx="171">
                  <c:v>891101974.29351497</c:v>
                </c:pt>
                <c:pt idx="172">
                  <c:v>876312797.04195619</c:v>
                </c:pt>
                <c:pt idx="173">
                  <c:v>862472870.99052513</c:v>
                </c:pt>
                <c:pt idx="174">
                  <c:v>847677250.93946218</c:v>
                </c:pt>
                <c:pt idx="175">
                  <c:v>865210396.68548203</c:v>
                </c:pt>
                <c:pt idx="176">
                  <c:v>862068182.98360753</c:v>
                </c:pt>
                <c:pt idx="177">
                  <c:v>872295625.14605486</c:v>
                </c:pt>
                <c:pt idx="178">
                  <c:v>881998978.04123569</c:v>
                </c:pt>
                <c:pt idx="179">
                  <c:v>865358303.13597131</c:v>
                </c:pt>
                <c:pt idx="180">
                  <c:v>877971326.7847569</c:v>
                </c:pt>
                <c:pt idx="181">
                  <c:v>892366578.98928475</c:v>
                </c:pt>
                <c:pt idx="182">
                  <c:v>887481522.09365058</c:v>
                </c:pt>
                <c:pt idx="183">
                  <c:v>908197911.23954666</c:v>
                </c:pt>
                <c:pt idx="184">
                  <c:v>913408076.92799306</c:v>
                </c:pt>
                <c:pt idx="185">
                  <c:v>948016936.943187</c:v>
                </c:pt>
                <c:pt idx="186">
                  <c:v>947340119.29547286</c:v>
                </c:pt>
                <c:pt idx="187">
                  <c:v>960043350.93954396</c:v>
                </c:pt>
                <c:pt idx="188">
                  <c:v>969854329.72385573</c:v>
                </c:pt>
                <c:pt idx="189">
                  <c:v>991883091.39900899</c:v>
                </c:pt>
                <c:pt idx="190">
                  <c:v>1012957953.7992321</c:v>
                </c:pt>
                <c:pt idx="191">
                  <c:v>1022022063.9793949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2-44A2-8F73-94594622F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3377760"/>
        <c:axId val="1"/>
      </c:lineChart>
      <c:dateAx>
        <c:axId val="713377760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0"/>
        <c:lblOffset val="100"/>
        <c:baseTimeUnit val="days"/>
        <c:majorUnit val="1"/>
        <c:majorTimeUnit val="years"/>
      </c:dateAx>
      <c:valAx>
        <c:axId val="1"/>
        <c:scaling>
          <c:orientation val="minMax"/>
          <c:max val="1000000000"/>
          <c:min val="0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strRef>
              <c:f>Saldos!$E$2</c:f>
              <c:strCache>
                <c:ptCount val="1"/>
                <c:pt idx="0">
                  <c:v>COP billones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s-CO"/>
            </a:p>
          </c:txPr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13377760"/>
        <c:crosses val="autoZero"/>
        <c:crossBetween val="between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86127192132821306"/>
          <c:y val="0.14333036999407331"/>
          <c:w val="0.12319229994948178"/>
          <c:h val="0.44883371433409525"/>
        </c:manualLayout>
      </c:layout>
      <c:overlay val="0"/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'Moneda - interna'!$B$20</c:f>
          <c:strCache>
            <c:ptCount val="1"/>
            <c:pt idx="0">
              <c:v>Composición por moneda - deuda interna</c:v>
            </c:pt>
          </c:strCache>
        </c:strRef>
      </c:tx>
      <c:layout>
        <c:manualLayout>
          <c:xMode val="edge"/>
          <c:yMode val="edge"/>
          <c:x val="0.14427139404184647"/>
          <c:y val="3.249961401883588E-3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7493745419108098E-2"/>
          <c:y val="0.17672198000043382"/>
          <c:w val="0.69961291665737246"/>
          <c:h val="0.70217609162491057"/>
        </c:manualLayout>
      </c:layout>
      <c:areaChart>
        <c:grouping val="percentStacked"/>
        <c:varyColors val="0"/>
        <c:ser>
          <c:idx val="0"/>
          <c:order val="0"/>
          <c:tx>
            <c:strRef>
              <c:f>'Moneda - interna'!$B$22</c:f>
              <c:strCache>
                <c:ptCount val="1"/>
                <c:pt idx="0">
                  <c:v>COP</c:v>
                </c:pt>
              </c:strCache>
            </c:strRef>
          </c:tx>
          <c:spPr>
            <a:solidFill>
              <a:srgbClr val="B48C41"/>
            </a:solidFill>
          </c:spPr>
          <c:cat>
            <c:numRef>
              <c:f>'Moneda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interna'!$B$114:$B$305</c:f>
              <c:numCache>
                <c:formatCode>0.00%</c:formatCode>
                <c:ptCount val="192"/>
                <c:pt idx="0">
                  <c:v>0.75101973824723223</c:v>
                </c:pt>
                <c:pt idx="1">
                  <c:v>0.75149693056689204</c:v>
                </c:pt>
                <c:pt idx="2">
                  <c:v>0.75879110545809014</c:v>
                </c:pt>
                <c:pt idx="3">
                  <c:v>0.75971073485891161</c:v>
                </c:pt>
                <c:pt idx="4">
                  <c:v>0.751070912728666</c:v>
                </c:pt>
                <c:pt idx="5">
                  <c:v>0.75160016971905375</c:v>
                </c:pt>
                <c:pt idx="6">
                  <c:v>0.74049513198022276</c:v>
                </c:pt>
                <c:pt idx="7">
                  <c:v>0.74777175858461553</c:v>
                </c:pt>
                <c:pt idx="8">
                  <c:v>0.74507181886695961</c:v>
                </c:pt>
                <c:pt idx="9">
                  <c:v>0.75078738347015062</c:v>
                </c:pt>
                <c:pt idx="10">
                  <c:v>0.76939249378311159</c:v>
                </c:pt>
                <c:pt idx="11">
                  <c:v>0.77439170343140795</c:v>
                </c:pt>
                <c:pt idx="12">
                  <c:v>0.77669722142884923</c:v>
                </c:pt>
                <c:pt idx="13">
                  <c:v>0.77431980394147037</c:v>
                </c:pt>
                <c:pt idx="14">
                  <c:v>0.77231758607609868</c:v>
                </c:pt>
                <c:pt idx="15">
                  <c:v>0.75325737665773862</c:v>
                </c:pt>
                <c:pt idx="16">
                  <c:v>0.74911438054548418</c:v>
                </c:pt>
                <c:pt idx="17">
                  <c:v>0.74884983550744866</c:v>
                </c:pt>
                <c:pt idx="18">
                  <c:v>0.75110412653990288</c:v>
                </c:pt>
                <c:pt idx="19">
                  <c:v>0.75242896857399866</c:v>
                </c:pt>
                <c:pt idx="20">
                  <c:v>0.77458928576142827</c:v>
                </c:pt>
                <c:pt idx="21">
                  <c:v>0.77658948915452441</c:v>
                </c:pt>
                <c:pt idx="22">
                  <c:v>0.77669767318954319</c:v>
                </c:pt>
                <c:pt idx="23">
                  <c:v>0.78579753402002928</c:v>
                </c:pt>
                <c:pt idx="24">
                  <c:v>0.77012462734051812</c:v>
                </c:pt>
                <c:pt idx="25">
                  <c:v>0.76881225647165974</c:v>
                </c:pt>
                <c:pt idx="26">
                  <c:v>0.7702869099614279</c:v>
                </c:pt>
                <c:pt idx="27">
                  <c:v>0.76971962350291145</c:v>
                </c:pt>
                <c:pt idx="28">
                  <c:v>0.75503253798633807</c:v>
                </c:pt>
                <c:pt idx="29">
                  <c:v>0.74997973528763628</c:v>
                </c:pt>
                <c:pt idx="30">
                  <c:v>0.75069308584964534</c:v>
                </c:pt>
                <c:pt idx="31">
                  <c:v>0.74906593408807853</c:v>
                </c:pt>
                <c:pt idx="32">
                  <c:v>0.75351595069189492</c:v>
                </c:pt>
                <c:pt idx="33">
                  <c:v>0.75384124663432617</c:v>
                </c:pt>
                <c:pt idx="34">
                  <c:v>0.75440921893557544</c:v>
                </c:pt>
                <c:pt idx="35">
                  <c:v>0.75803033115996588</c:v>
                </c:pt>
                <c:pt idx="36">
                  <c:v>0.75764998636304559</c:v>
                </c:pt>
                <c:pt idx="37">
                  <c:v>0.75804004015435078</c:v>
                </c:pt>
                <c:pt idx="38">
                  <c:v>0.75477172599262388</c:v>
                </c:pt>
                <c:pt idx="39">
                  <c:v>0.7487400320359997</c:v>
                </c:pt>
                <c:pt idx="40">
                  <c:v>0.75473530948661249</c:v>
                </c:pt>
                <c:pt idx="41">
                  <c:v>0.75644827607802301</c:v>
                </c:pt>
                <c:pt idx="42">
                  <c:v>0.75317881358384575</c:v>
                </c:pt>
                <c:pt idx="43">
                  <c:v>0.74533732142687148</c:v>
                </c:pt>
                <c:pt idx="44">
                  <c:v>0.74320916622206812</c:v>
                </c:pt>
                <c:pt idx="45">
                  <c:v>0.74934590947490987</c:v>
                </c:pt>
                <c:pt idx="46">
                  <c:v>0.74615162990444739</c:v>
                </c:pt>
                <c:pt idx="47">
                  <c:v>0.74947120238422194</c:v>
                </c:pt>
                <c:pt idx="48">
                  <c:v>0.74998756030888403</c:v>
                </c:pt>
                <c:pt idx="49">
                  <c:v>0.74947099933250771</c:v>
                </c:pt>
                <c:pt idx="50">
                  <c:v>0.79022773752413844</c:v>
                </c:pt>
                <c:pt idx="51">
                  <c:v>0.78472232224768201</c:v>
                </c:pt>
                <c:pt idx="52">
                  <c:v>0.78069567123798456</c:v>
                </c:pt>
                <c:pt idx="53">
                  <c:v>0.77754322040471269</c:v>
                </c:pt>
                <c:pt idx="54">
                  <c:v>0.77848812269877277</c:v>
                </c:pt>
                <c:pt idx="55">
                  <c:v>0.78023393563489796</c:v>
                </c:pt>
                <c:pt idx="56">
                  <c:v>0.77968856962743582</c:v>
                </c:pt>
                <c:pt idx="57">
                  <c:v>0.77795031244604973</c:v>
                </c:pt>
                <c:pt idx="58">
                  <c:v>0.77558676347880395</c:v>
                </c:pt>
                <c:pt idx="59">
                  <c:v>0.78383163399509426</c:v>
                </c:pt>
                <c:pt idx="60">
                  <c:v>0.77407671785230081</c:v>
                </c:pt>
                <c:pt idx="61">
                  <c:v>0.77213082249922338</c:v>
                </c:pt>
                <c:pt idx="62">
                  <c:v>0.76494726958975134</c:v>
                </c:pt>
                <c:pt idx="63">
                  <c:v>0.75929597115284964</c:v>
                </c:pt>
                <c:pt idx="64">
                  <c:v>0.74624612073590957</c:v>
                </c:pt>
                <c:pt idx="65">
                  <c:v>0.75283596525550178</c:v>
                </c:pt>
                <c:pt idx="66">
                  <c:v>0.74729253978650179</c:v>
                </c:pt>
                <c:pt idx="67">
                  <c:v>0.74446863349443537</c:v>
                </c:pt>
                <c:pt idx="68">
                  <c:v>0.74292905791562414</c:v>
                </c:pt>
                <c:pt idx="69">
                  <c:v>0.75473934211078653</c:v>
                </c:pt>
                <c:pt idx="70">
                  <c:v>0.75011023358679407</c:v>
                </c:pt>
                <c:pt idx="71">
                  <c:v>0.75167306980520965</c:v>
                </c:pt>
                <c:pt idx="72">
                  <c:v>0.74326324352727746</c:v>
                </c:pt>
                <c:pt idx="73">
                  <c:v>0.77136394002764253</c:v>
                </c:pt>
                <c:pt idx="74">
                  <c:v>0.76718004393831352</c:v>
                </c:pt>
                <c:pt idx="75">
                  <c:v>0.7633836507883538</c:v>
                </c:pt>
                <c:pt idx="76">
                  <c:v>0.76842694052952565</c:v>
                </c:pt>
                <c:pt idx="77">
                  <c:v>0.75965880189523927</c:v>
                </c:pt>
                <c:pt idx="78">
                  <c:v>0.75190996465467219</c:v>
                </c:pt>
                <c:pt idx="79">
                  <c:v>0.74920877638048244</c:v>
                </c:pt>
                <c:pt idx="80">
                  <c:v>0.75091170448622879</c:v>
                </c:pt>
                <c:pt idx="81">
                  <c:v>0.73543453747260223</c:v>
                </c:pt>
                <c:pt idx="82">
                  <c:v>0.72554116115723943</c:v>
                </c:pt>
                <c:pt idx="83">
                  <c:v>0.72785534589423784</c:v>
                </c:pt>
                <c:pt idx="84">
                  <c:v>0.7212292605944659</c:v>
                </c:pt>
                <c:pt idx="85">
                  <c:v>0.71519081302931087</c:v>
                </c:pt>
                <c:pt idx="86">
                  <c:v>0.710705092038314</c:v>
                </c:pt>
                <c:pt idx="87">
                  <c:v>0.70862791777495593</c:v>
                </c:pt>
                <c:pt idx="88">
                  <c:v>0.72366128534641694</c:v>
                </c:pt>
                <c:pt idx="89">
                  <c:v>0.71635549736750281</c:v>
                </c:pt>
                <c:pt idx="90">
                  <c:v>0.71116071537546821</c:v>
                </c:pt>
                <c:pt idx="91">
                  <c:v>0.71026891744113319</c:v>
                </c:pt>
                <c:pt idx="92">
                  <c:v>0.7081533553102094</c:v>
                </c:pt>
                <c:pt idx="93">
                  <c:v>0.71056269286427332</c:v>
                </c:pt>
                <c:pt idx="94">
                  <c:v>0.71249408858179897</c:v>
                </c:pt>
                <c:pt idx="95">
                  <c:v>0.70984040799307657</c:v>
                </c:pt>
                <c:pt idx="96">
                  <c:v>0.7043105567663942</c:v>
                </c:pt>
                <c:pt idx="97">
                  <c:v>0.70320163099263178</c:v>
                </c:pt>
                <c:pt idx="98">
                  <c:v>0.70214150767174932</c:v>
                </c:pt>
                <c:pt idx="99">
                  <c:v>0.69935922167522591</c:v>
                </c:pt>
                <c:pt idx="100">
                  <c:v>0.72442365547051313</c:v>
                </c:pt>
                <c:pt idx="101">
                  <c:v>0.71707443568454621</c:v>
                </c:pt>
                <c:pt idx="102">
                  <c:v>0.71742788781313815</c:v>
                </c:pt>
                <c:pt idx="103">
                  <c:v>0.71827957411913457</c:v>
                </c:pt>
                <c:pt idx="104">
                  <c:v>0.7161572964343772</c:v>
                </c:pt>
                <c:pt idx="105">
                  <c:v>0.71575393617993355</c:v>
                </c:pt>
                <c:pt idx="106">
                  <c:v>0.71552602845882751</c:v>
                </c:pt>
                <c:pt idx="107">
                  <c:v>0.71801508077648113</c:v>
                </c:pt>
                <c:pt idx="108">
                  <c:v>0.71437491611033588</c:v>
                </c:pt>
                <c:pt idx="109">
                  <c:v>0.71460092914578943</c:v>
                </c:pt>
                <c:pt idx="110">
                  <c:v>0.7106322374975248</c:v>
                </c:pt>
                <c:pt idx="111">
                  <c:v>0.70688828789484426</c:v>
                </c:pt>
                <c:pt idx="112">
                  <c:v>0.70495434882463182</c:v>
                </c:pt>
                <c:pt idx="113">
                  <c:v>0.70184928544436931</c:v>
                </c:pt>
                <c:pt idx="114">
                  <c:v>0.70260822389143052</c:v>
                </c:pt>
                <c:pt idx="115">
                  <c:v>0.70130030133868637</c:v>
                </c:pt>
                <c:pt idx="116">
                  <c:v>0.7013369627188738</c:v>
                </c:pt>
                <c:pt idx="117">
                  <c:v>0.67976877431089433</c:v>
                </c:pt>
                <c:pt idx="118">
                  <c:v>0.67619076405356671</c:v>
                </c:pt>
                <c:pt idx="119">
                  <c:v>0.67695439675401647</c:v>
                </c:pt>
                <c:pt idx="120">
                  <c:v>0.67660374004989421</c:v>
                </c:pt>
                <c:pt idx="121">
                  <c:v>0.67782147616386268</c:v>
                </c:pt>
                <c:pt idx="122">
                  <c:v>0.67516770329020026</c:v>
                </c:pt>
                <c:pt idx="123">
                  <c:v>0.69179453635676835</c:v>
                </c:pt>
                <c:pt idx="124">
                  <c:v>0.6908037556789568</c:v>
                </c:pt>
                <c:pt idx="125">
                  <c:v>0.68999206619220033</c:v>
                </c:pt>
                <c:pt idx="126">
                  <c:v>0.69435737272420095</c:v>
                </c:pt>
                <c:pt idx="127">
                  <c:v>0.69475297551632886</c:v>
                </c:pt>
                <c:pt idx="128">
                  <c:v>0.6851965845657817</c:v>
                </c:pt>
                <c:pt idx="129">
                  <c:v>0.68710797373926424</c:v>
                </c:pt>
                <c:pt idx="130">
                  <c:v>0.68925518256869178</c:v>
                </c:pt>
                <c:pt idx="131">
                  <c:v>0.68043644151104055</c:v>
                </c:pt>
                <c:pt idx="132">
                  <c:v>0.69227207895583354</c:v>
                </c:pt>
                <c:pt idx="133">
                  <c:v>0.69342640903484098</c:v>
                </c:pt>
                <c:pt idx="134">
                  <c:v>0.68950412589715016</c:v>
                </c:pt>
                <c:pt idx="135">
                  <c:v>0.68332082260708471</c:v>
                </c:pt>
                <c:pt idx="136">
                  <c:v>0.69260750444119468</c:v>
                </c:pt>
                <c:pt idx="137">
                  <c:v>0.69686309895566212</c:v>
                </c:pt>
                <c:pt idx="138">
                  <c:v>0.709520888283936</c:v>
                </c:pt>
                <c:pt idx="139">
                  <c:v>0.71081553240853823</c:v>
                </c:pt>
                <c:pt idx="140">
                  <c:v>0.7130519736887897</c:v>
                </c:pt>
                <c:pt idx="141">
                  <c:v>0.71413637524129814</c:v>
                </c:pt>
                <c:pt idx="142">
                  <c:v>0.71498256330465859</c:v>
                </c:pt>
                <c:pt idx="143">
                  <c:v>0.71478905108374124</c:v>
                </c:pt>
                <c:pt idx="144">
                  <c:v>0.70997345844718829</c:v>
                </c:pt>
                <c:pt idx="145">
                  <c:v>0.71107750678950321</c:v>
                </c:pt>
                <c:pt idx="146">
                  <c:v>0.72127263574574152</c:v>
                </c:pt>
                <c:pt idx="147">
                  <c:v>0.72152634389506065</c:v>
                </c:pt>
                <c:pt idx="148">
                  <c:v>0.72012392178479967</c:v>
                </c:pt>
                <c:pt idx="149">
                  <c:v>0.71626580528867145</c:v>
                </c:pt>
                <c:pt idx="150">
                  <c:v>0.71686354463895208</c:v>
                </c:pt>
                <c:pt idx="151">
                  <c:v>0.71272960085355586</c:v>
                </c:pt>
                <c:pt idx="152">
                  <c:v>0.70898034045159941</c:v>
                </c:pt>
                <c:pt idx="153">
                  <c:v>0.70847127911817354</c:v>
                </c:pt>
                <c:pt idx="154">
                  <c:v>0.70125043984530977</c:v>
                </c:pt>
                <c:pt idx="155">
                  <c:v>0.69677909292655438</c:v>
                </c:pt>
                <c:pt idx="156">
                  <c:v>0.70031408848434618</c:v>
                </c:pt>
                <c:pt idx="157">
                  <c:v>0.69825846124723656</c:v>
                </c:pt>
                <c:pt idx="158">
                  <c:v>0.6936758560703814</c:v>
                </c:pt>
                <c:pt idx="159">
                  <c:v>0.69447010671566989</c:v>
                </c:pt>
                <c:pt idx="160">
                  <c:v>0.6973381713255693</c:v>
                </c:pt>
                <c:pt idx="161">
                  <c:v>0.69020924894369318</c:v>
                </c:pt>
                <c:pt idx="162">
                  <c:v>0.69168920557286295</c:v>
                </c:pt>
                <c:pt idx="163">
                  <c:v>0.69143094011811113</c:v>
                </c:pt>
                <c:pt idx="164">
                  <c:v>0.68979919354623143</c:v>
                </c:pt>
                <c:pt idx="165">
                  <c:v>0.68989207292525956</c:v>
                </c:pt>
                <c:pt idx="166">
                  <c:v>0.68822970803792827</c:v>
                </c:pt>
                <c:pt idx="167">
                  <c:v>0.69364188568056695</c:v>
                </c:pt>
                <c:pt idx="168">
                  <c:v>0.69140541653062193</c:v>
                </c:pt>
                <c:pt idx="169">
                  <c:v>0.70831409008408197</c:v>
                </c:pt>
                <c:pt idx="170">
                  <c:v>0.70609182309571994</c:v>
                </c:pt>
                <c:pt idx="171">
                  <c:v>0.70670007915036315</c:v>
                </c:pt>
                <c:pt idx="172">
                  <c:v>0.70518996110771215</c:v>
                </c:pt>
                <c:pt idx="173">
                  <c:v>0.7019734449067353</c:v>
                </c:pt>
                <c:pt idx="174">
                  <c:v>0.70139007606669368</c:v>
                </c:pt>
                <c:pt idx="175">
                  <c:v>0.70044197897318272</c:v>
                </c:pt>
                <c:pt idx="176">
                  <c:v>0.69580380042977308</c:v>
                </c:pt>
                <c:pt idx="177">
                  <c:v>0.69982599961064595</c:v>
                </c:pt>
                <c:pt idx="178">
                  <c:v>0.69975850565848419</c:v>
                </c:pt>
                <c:pt idx="179">
                  <c:v>0.6948159578456784</c:v>
                </c:pt>
                <c:pt idx="180">
                  <c:v>0.69137378978802055</c:v>
                </c:pt>
                <c:pt idx="181">
                  <c:v>0.72023536055692428</c:v>
                </c:pt>
                <c:pt idx="182">
                  <c:v>0.69131957712539449</c:v>
                </c:pt>
                <c:pt idx="183">
                  <c:v>0.69287334487695384</c:v>
                </c:pt>
                <c:pt idx="184">
                  <c:v>0.6924051777218676</c:v>
                </c:pt>
                <c:pt idx="185">
                  <c:v>0.69482932813043741</c:v>
                </c:pt>
                <c:pt idx="186">
                  <c:v>0.69125883956202228</c:v>
                </c:pt>
                <c:pt idx="187">
                  <c:v>0.69125883956202228</c:v>
                </c:pt>
                <c:pt idx="188">
                  <c:v>0.70072851625172361</c:v>
                </c:pt>
                <c:pt idx="189">
                  <c:v>0.70170086167092083</c:v>
                </c:pt>
                <c:pt idx="190">
                  <c:v>0.70973251738087895</c:v>
                </c:pt>
                <c:pt idx="191">
                  <c:v>0.71407798061079297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C-42EC-9856-71D17B18479A}"/>
            </c:ext>
          </c:extLst>
        </c:ser>
        <c:ser>
          <c:idx val="1"/>
          <c:order val="1"/>
          <c:tx>
            <c:strRef>
              <c:f>'Moneda - interna'!$C$22</c:f>
              <c:strCache>
                <c:ptCount val="1"/>
                <c:pt idx="0">
                  <c:v>UVR indexado (COP)</c:v>
                </c:pt>
              </c:strCache>
            </c:strRef>
          </c:tx>
          <c:spPr>
            <a:solidFill>
              <a:srgbClr val="D9C197"/>
            </a:solidFill>
          </c:spPr>
          <c:cat>
            <c:numRef>
              <c:f>'Moneda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interna'!$C$114:$C$305</c:f>
              <c:numCache>
                <c:formatCode>0.00%</c:formatCode>
                <c:ptCount val="192"/>
                <c:pt idx="0">
                  <c:v>0.24583518628617937</c:v>
                </c:pt>
                <c:pt idx="1">
                  <c:v>0.24524228745578178</c:v>
                </c:pt>
                <c:pt idx="2">
                  <c:v>0.23801464124335941</c:v>
                </c:pt>
                <c:pt idx="3">
                  <c:v>0.23749137184333985</c:v>
                </c:pt>
                <c:pt idx="4">
                  <c:v>0.24628097748105632</c:v>
                </c:pt>
                <c:pt idx="5">
                  <c:v>0.24576239773612144</c:v>
                </c:pt>
                <c:pt idx="6">
                  <c:v>0.25693513654569877</c:v>
                </c:pt>
                <c:pt idx="7">
                  <c:v>0.25222824141538452</c:v>
                </c:pt>
                <c:pt idx="8">
                  <c:v>0.25492818113304022</c:v>
                </c:pt>
                <c:pt idx="9">
                  <c:v>0.2492126165298495</c:v>
                </c:pt>
                <c:pt idx="10">
                  <c:v>0.23060750621688847</c:v>
                </c:pt>
                <c:pt idx="11">
                  <c:v>0.22560829656859224</c:v>
                </c:pt>
                <c:pt idx="12">
                  <c:v>0.22330277857115069</c:v>
                </c:pt>
                <c:pt idx="13">
                  <c:v>0.22568019605852971</c:v>
                </c:pt>
                <c:pt idx="14">
                  <c:v>0.22768241392390121</c:v>
                </c:pt>
                <c:pt idx="15">
                  <c:v>0.2467426233422611</c:v>
                </c:pt>
                <c:pt idx="16">
                  <c:v>0.25088561945451587</c:v>
                </c:pt>
                <c:pt idx="17">
                  <c:v>0.2511501644925514</c:v>
                </c:pt>
                <c:pt idx="18">
                  <c:v>0.24889587346009709</c:v>
                </c:pt>
                <c:pt idx="19">
                  <c:v>0.24757103142600154</c:v>
                </c:pt>
                <c:pt idx="20">
                  <c:v>0.22541071423857179</c:v>
                </c:pt>
                <c:pt idx="21">
                  <c:v>0.22341051084547575</c:v>
                </c:pt>
                <c:pt idx="22">
                  <c:v>0.22330232681045672</c:v>
                </c:pt>
                <c:pt idx="23">
                  <c:v>0.21420246597997034</c:v>
                </c:pt>
                <c:pt idx="24">
                  <c:v>0.22987537265948185</c:v>
                </c:pt>
                <c:pt idx="25">
                  <c:v>0.23118774352834012</c:v>
                </c:pt>
                <c:pt idx="26">
                  <c:v>0.22971309003857179</c:v>
                </c:pt>
                <c:pt idx="27">
                  <c:v>0.23028037649708843</c:v>
                </c:pt>
                <c:pt idx="28">
                  <c:v>0.24496746201366171</c:v>
                </c:pt>
                <c:pt idx="29">
                  <c:v>0.25002026471236366</c:v>
                </c:pt>
                <c:pt idx="30">
                  <c:v>0.24930691415035472</c:v>
                </c:pt>
                <c:pt idx="31">
                  <c:v>0.25093406591192141</c:v>
                </c:pt>
                <c:pt idx="32">
                  <c:v>0.24648404930810522</c:v>
                </c:pt>
                <c:pt idx="33">
                  <c:v>0.24615875336567364</c:v>
                </c:pt>
                <c:pt idx="34">
                  <c:v>0.2455907810644247</c:v>
                </c:pt>
                <c:pt idx="35">
                  <c:v>0.24196966884003415</c:v>
                </c:pt>
                <c:pt idx="36">
                  <c:v>0.24235001363695446</c:v>
                </c:pt>
                <c:pt idx="37">
                  <c:v>0.24195995984564939</c:v>
                </c:pt>
                <c:pt idx="38">
                  <c:v>0.2452282740073761</c:v>
                </c:pt>
                <c:pt idx="39">
                  <c:v>0.25125996796400035</c:v>
                </c:pt>
                <c:pt idx="40">
                  <c:v>0.24134176389793302</c:v>
                </c:pt>
                <c:pt idx="41">
                  <c:v>0.24355172392197719</c:v>
                </c:pt>
                <c:pt idx="42">
                  <c:v>0.24682118641615439</c:v>
                </c:pt>
                <c:pt idx="43">
                  <c:v>0.2546626785731283</c:v>
                </c:pt>
                <c:pt idx="44">
                  <c:v>0.25679083377793216</c:v>
                </c:pt>
                <c:pt idx="45">
                  <c:v>0.25065409052509002</c:v>
                </c:pt>
                <c:pt idx="46">
                  <c:v>0.25384837009555261</c:v>
                </c:pt>
                <c:pt idx="47">
                  <c:v>0.25052879761577801</c:v>
                </c:pt>
                <c:pt idx="48">
                  <c:v>0.25001243969111597</c:v>
                </c:pt>
                <c:pt idx="49">
                  <c:v>0.25052900066749234</c:v>
                </c:pt>
                <c:pt idx="50">
                  <c:v>0.20977226247586137</c:v>
                </c:pt>
                <c:pt idx="51">
                  <c:v>0.21527767775231799</c:v>
                </c:pt>
                <c:pt idx="52">
                  <c:v>0.2193043287620155</c:v>
                </c:pt>
                <c:pt idx="53">
                  <c:v>0.22245677959528726</c:v>
                </c:pt>
                <c:pt idx="54">
                  <c:v>0.22151187730122709</c:v>
                </c:pt>
                <c:pt idx="55">
                  <c:v>0.21976606436510193</c:v>
                </c:pt>
                <c:pt idx="56">
                  <c:v>0.22031143037256404</c:v>
                </c:pt>
                <c:pt idx="57">
                  <c:v>0.22204968755394996</c:v>
                </c:pt>
                <c:pt idx="58">
                  <c:v>0.22441323652119621</c:v>
                </c:pt>
                <c:pt idx="59">
                  <c:v>0.21616836600490574</c:v>
                </c:pt>
                <c:pt idx="60">
                  <c:v>0.22592328214769894</c:v>
                </c:pt>
                <c:pt idx="61">
                  <c:v>0.22786917750077648</c:v>
                </c:pt>
                <c:pt idx="62">
                  <c:v>0.23505273041024852</c:v>
                </c:pt>
                <c:pt idx="63">
                  <c:v>0.24070402884715045</c:v>
                </c:pt>
                <c:pt idx="64">
                  <c:v>0.25375387926409038</c:v>
                </c:pt>
                <c:pt idx="65">
                  <c:v>0.24716403474449822</c:v>
                </c:pt>
                <c:pt idx="66">
                  <c:v>0.25270746021349832</c:v>
                </c:pt>
                <c:pt idx="67">
                  <c:v>0.25553136650556463</c:v>
                </c:pt>
                <c:pt idx="68">
                  <c:v>0.25707094208437614</c:v>
                </c:pt>
                <c:pt idx="69">
                  <c:v>0.24526065788921364</c:v>
                </c:pt>
                <c:pt idx="70">
                  <c:v>0.2498897664132062</c:v>
                </c:pt>
                <c:pt idx="71">
                  <c:v>0.24832693019479044</c:v>
                </c:pt>
                <c:pt idx="72">
                  <c:v>0.25673675647272276</c:v>
                </c:pt>
                <c:pt idx="73">
                  <c:v>0.22863605997235736</c:v>
                </c:pt>
                <c:pt idx="74">
                  <c:v>0.23281995606168657</c:v>
                </c:pt>
                <c:pt idx="75">
                  <c:v>0.2366163492116462</c:v>
                </c:pt>
                <c:pt idx="76">
                  <c:v>0.2315730594704743</c:v>
                </c:pt>
                <c:pt idx="77">
                  <c:v>0.24034119810476068</c:v>
                </c:pt>
                <c:pt idx="78">
                  <c:v>0.24809003534532781</c:v>
                </c:pt>
                <c:pt idx="79">
                  <c:v>0.25079122361951756</c:v>
                </c:pt>
                <c:pt idx="80">
                  <c:v>0.24908829551377126</c:v>
                </c:pt>
                <c:pt idx="81">
                  <c:v>0.26456546252739782</c:v>
                </c:pt>
                <c:pt idx="82">
                  <c:v>0.2744588388427604</c:v>
                </c:pt>
                <c:pt idx="83">
                  <c:v>0.27214465410576205</c:v>
                </c:pt>
                <c:pt idx="84">
                  <c:v>0.27877073940553398</c:v>
                </c:pt>
                <c:pt idx="85">
                  <c:v>0.2848091869706893</c:v>
                </c:pt>
                <c:pt idx="86">
                  <c:v>0.28929490796168578</c:v>
                </c:pt>
                <c:pt idx="87">
                  <c:v>0.29137208222504402</c:v>
                </c:pt>
                <c:pt idx="88">
                  <c:v>0.27633871465358312</c:v>
                </c:pt>
                <c:pt idx="89">
                  <c:v>0.28364450263249741</c:v>
                </c:pt>
                <c:pt idx="90">
                  <c:v>0.28883928462453157</c:v>
                </c:pt>
                <c:pt idx="91">
                  <c:v>0.28973108255886665</c:v>
                </c:pt>
                <c:pt idx="92">
                  <c:v>0.29184664468979049</c:v>
                </c:pt>
                <c:pt idx="93">
                  <c:v>0.28943730713572668</c:v>
                </c:pt>
                <c:pt idx="94">
                  <c:v>0.28750591141820092</c:v>
                </c:pt>
                <c:pt idx="95">
                  <c:v>0.29015959200692343</c:v>
                </c:pt>
                <c:pt idx="96">
                  <c:v>0.29568944323360563</c:v>
                </c:pt>
                <c:pt idx="97">
                  <c:v>0.29679836900736822</c:v>
                </c:pt>
                <c:pt idx="98">
                  <c:v>0.29785849232825073</c:v>
                </c:pt>
                <c:pt idx="99">
                  <c:v>0.30064077832477409</c:v>
                </c:pt>
                <c:pt idx="100">
                  <c:v>0.27557634452948676</c:v>
                </c:pt>
                <c:pt idx="101">
                  <c:v>0.28292556431545374</c:v>
                </c:pt>
                <c:pt idx="102">
                  <c:v>0.2825721121868619</c:v>
                </c:pt>
                <c:pt idx="103">
                  <c:v>0.2817204258808656</c:v>
                </c:pt>
                <c:pt idx="104">
                  <c:v>0.28384270356562286</c:v>
                </c:pt>
                <c:pt idx="105">
                  <c:v>0.28424606382006629</c:v>
                </c:pt>
                <c:pt idx="106">
                  <c:v>0.2844739715411726</c:v>
                </c:pt>
                <c:pt idx="107">
                  <c:v>0.28198491922351887</c:v>
                </c:pt>
                <c:pt idx="108">
                  <c:v>0.28562508388966412</c:v>
                </c:pt>
                <c:pt idx="109">
                  <c:v>0.2853990708542104</c:v>
                </c:pt>
                <c:pt idx="110">
                  <c:v>0.2893677625024752</c:v>
                </c:pt>
                <c:pt idx="111">
                  <c:v>0.29311171210515569</c:v>
                </c:pt>
                <c:pt idx="112">
                  <c:v>0.29504565117536796</c:v>
                </c:pt>
                <c:pt idx="113">
                  <c:v>0.2981507145556308</c:v>
                </c:pt>
                <c:pt idx="114">
                  <c:v>0.29739177610856932</c:v>
                </c:pt>
                <c:pt idx="115">
                  <c:v>0.29869969866131396</c:v>
                </c:pt>
                <c:pt idx="116">
                  <c:v>0.29866303728112648</c:v>
                </c:pt>
                <c:pt idx="117">
                  <c:v>0.32023122568910573</c:v>
                </c:pt>
                <c:pt idx="118">
                  <c:v>0.3238092359464334</c:v>
                </c:pt>
                <c:pt idx="119">
                  <c:v>0.32304560324598369</c:v>
                </c:pt>
                <c:pt idx="120">
                  <c:v>0.32339625995010601</c:v>
                </c:pt>
                <c:pt idx="121">
                  <c:v>0.31993675903672786</c:v>
                </c:pt>
                <c:pt idx="122">
                  <c:v>0.32483229670979985</c:v>
                </c:pt>
                <c:pt idx="123">
                  <c:v>0.30820546364323176</c:v>
                </c:pt>
                <c:pt idx="124">
                  <c:v>0.30919624432104342</c:v>
                </c:pt>
                <c:pt idx="125">
                  <c:v>0.31000793380779962</c:v>
                </c:pt>
                <c:pt idx="126">
                  <c:v>0.30564262727579888</c:v>
                </c:pt>
                <c:pt idx="127">
                  <c:v>0.30524702448367119</c:v>
                </c:pt>
                <c:pt idx="128">
                  <c:v>0.31480341543421825</c:v>
                </c:pt>
                <c:pt idx="129">
                  <c:v>0.31289202626073553</c:v>
                </c:pt>
                <c:pt idx="130">
                  <c:v>0.31074481743130822</c:v>
                </c:pt>
                <c:pt idx="131">
                  <c:v>0.31956355848895951</c:v>
                </c:pt>
                <c:pt idx="132">
                  <c:v>0.30772792104416619</c:v>
                </c:pt>
                <c:pt idx="133">
                  <c:v>0.30657359096515913</c:v>
                </c:pt>
                <c:pt idx="134">
                  <c:v>0.31049587410284984</c:v>
                </c:pt>
                <c:pt idx="135">
                  <c:v>0.31667917739291529</c:v>
                </c:pt>
                <c:pt idx="136">
                  <c:v>0.30739249555880538</c:v>
                </c:pt>
                <c:pt idx="137">
                  <c:v>0.30313690104433788</c:v>
                </c:pt>
                <c:pt idx="138">
                  <c:v>0.29047911171606383</c:v>
                </c:pt>
                <c:pt idx="139">
                  <c:v>0.28918446759146155</c:v>
                </c:pt>
                <c:pt idx="140">
                  <c:v>0.28694802631121041</c:v>
                </c:pt>
                <c:pt idx="141">
                  <c:v>0.28586362475870192</c:v>
                </c:pt>
                <c:pt idx="142">
                  <c:v>0.28501743669534157</c:v>
                </c:pt>
                <c:pt idx="143">
                  <c:v>0.28520859158005718</c:v>
                </c:pt>
                <c:pt idx="144">
                  <c:v>0.29002654155281182</c:v>
                </c:pt>
                <c:pt idx="145">
                  <c:v>0.28892249321049679</c:v>
                </c:pt>
                <c:pt idx="146">
                  <c:v>0.2787273642542587</c:v>
                </c:pt>
                <c:pt idx="147">
                  <c:v>0.27847365610493929</c:v>
                </c:pt>
                <c:pt idx="148">
                  <c:v>0.27987607821520027</c:v>
                </c:pt>
                <c:pt idx="149">
                  <c:v>0.28373419471132838</c:v>
                </c:pt>
                <c:pt idx="150">
                  <c:v>0.28313645536104781</c:v>
                </c:pt>
                <c:pt idx="151">
                  <c:v>0.28727039914644414</c:v>
                </c:pt>
                <c:pt idx="152">
                  <c:v>0.29101965954840064</c:v>
                </c:pt>
                <c:pt idx="153">
                  <c:v>0.29152872088182646</c:v>
                </c:pt>
                <c:pt idx="154">
                  <c:v>0.29874956015469006</c:v>
                </c:pt>
                <c:pt idx="155">
                  <c:v>0.30322090707344562</c:v>
                </c:pt>
                <c:pt idx="156">
                  <c:v>0.29968591151565382</c:v>
                </c:pt>
                <c:pt idx="157">
                  <c:v>0.30174153875276344</c:v>
                </c:pt>
                <c:pt idx="158">
                  <c:v>0.3063241439296186</c:v>
                </c:pt>
                <c:pt idx="159">
                  <c:v>0.30552989328432995</c:v>
                </c:pt>
                <c:pt idx="160">
                  <c:v>0.30266182867443042</c:v>
                </c:pt>
                <c:pt idx="161">
                  <c:v>0.3097907510563066</c:v>
                </c:pt>
                <c:pt idx="162">
                  <c:v>0.3083107944271371</c:v>
                </c:pt>
                <c:pt idx="163">
                  <c:v>0.30856905988188882</c:v>
                </c:pt>
                <c:pt idx="164">
                  <c:v>0.31020080645376863</c:v>
                </c:pt>
                <c:pt idx="165">
                  <c:v>0.31010792707474039</c:v>
                </c:pt>
                <c:pt idx="166">
                  <c:v>0.31177029196207157</c:v>
                </c:pt>
                <c:pt idx="167">
                  <c:v>0.30635811431943288</c:v>
                </c:pt>
                <c:pt idx="168">
                  <c:v>0.3085945834693779</c:v>
                </c:pt>
                <c:pt idx="169">
                  <c:v>0.29168590991591792</c:v>
                </c:pt>
                <c:pt idx="170">
                  <c:v>0.29390817690427995</c:v>
                </c:pt>
                <c:pt idx="171">
                  <c:v>0.29329992084963685</c:v>
                </c:pt>
                <c:pt idx="172">
                  <c:v>0.29481003889228785</c:v>
                </c:pt>
                <c:pt idx="173">
                  <c:v>0.29802655509326464</c:v>
                </c:pt>
                <c:pt idx="174">
                  <c:v>0.29860992393330632</c:v>
                </c:pt>
                <c:pt idx="175">
                  <c:v>0.29955802102681717</c:v>
                </c:pt>
                <c:pt idx="176">
                  <c:v>0.30419619957022681</c:v>
                </c:pt>
                <c:pt idx="177">
                  <c:v>0.3001740003893541</c:v>
                </c:pt>
                <c:pt idx="178">
                  <c:v>0.30024149434151581</c:v>
                </c:pt>
                <c:pt idx="179">
                  <c:v>0.30518404215432166</c:v>
                </c:pt>
                <c:pt idx="180">
                  <c:v>0.308603778238562</c:v>
                </c:pt>
                <c:pt idx="181">
                  <c:v>0.27976463944307567</c:v>
                </c:pt>
                <c:pt idx="182">
                  <c:v>0.30868042287460556</c:v>
                </c:pt>
                <c:pt idx="183">
                  <c:v>0.30712665512304616</c:v>
                </c:pt>
                <c:pt idx="184">
                  <c:v>0.30759482227813245</c:v>
                </c:pt>
                <c:pt idx="185">
                  <c:v>0.30517067186956232</c:v>
                </c:pt>
                <c:pt idx="186">
                  <c:v>0.30874116043797795</c:v>
                </c:pt>
                <c:pt idx="187">
                  <c:v>0.30874116043797795</c:v>
                </c:pt>
                <c:pt idx="188">
                  <c:v>0.29927148374827639</c:v>
                </c:pt>
                <c:pt idx="189">
                  <c:v>0.29829913832907895</c:v>
                </c:pt>
                <c:pt idx="190">
                  <c:v>0.29026748261912111</c:v>
                </c:pt>
                <c:pt idx="191">
                  <c:v>0.28592201938920703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C-42EC-9856-71D17B184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2317168"/>
        <c:axId val="1"/>
      </c:areaChart>
      <c:dateAx>
        <c:axId val="712317168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2"/>
        <c:majorTimeUnit val="years"/>
      </c:dateAx>
      <c:valAx>
        <c:axId val="1"/>
        <c:scaling>
          <c:orientation val="minMax"/>
          <c:min val="0.4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123171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332147040941916"/>
          <c:y val="0.28418133395090317"/>
          <c:w val="0.1287170247786823"/>
          <c:h val="0.45325150532654002"/>
        </c:manualLayout>
      </c:layout>
      <c:overlay val="0"/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'Moneda - externa'!$B$20</c:f>
          <c:strCache>
            <c:ptCount val="1"/>
            <c:pt idx="0">
              <c:v>Composición por moneda - deuda externa </c:v>
            </c:pt>
          </c:strCache>
        </c:strRef>
      </c:tx>
      <c:layout>
        <c:manualLayout>
          <c:xMode val="edge"/>
          <c:yMode val="edge"/>
          <c:x val="0.109148903320752"/>
          <c:y val="1.4755847826713969E-3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3390498040991112E-2"/>
          <c:y val="0.18483754512635378"/>
          <c:w val="0.71537708797960953"/>
          <c:h val="0.72380264741275568"/>
        </c:manualLayout>
      </c:layout>
      <c:areaChart>
        <c:grouping val="percentStacked"/>
        <c:varyColors val="0"/>
        <c:ser>
          <c:idx val="0"/>
          <c:order val="0"/>
          <c:tx>
            <c:strRef>
              <c:f>'Moneda - externa'!$B$22</c:f>
              <c:strCache>
                <c:ptCount val="1"/>
                <c:pt idx="0">
                  <c:v>USD</c:v>
                </c:pt>
              </c:strCache>
            </c:strRef>
          </c:tx>
          <c:spPr>
            <a:solidFill>
              <a:srgbClr val="B48C41"/>
            </a:solidFill>
          </c:spPr>
          <c:cat>
            <c:numRef>
              <c:f>'Moneda - externa'!$A$114:$A$305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externa'!$B$114:$B$305</c:f>
              <c:numCache>
                <c:formatCode>0%</c:formatCode>
                <c:ptCount val="192"/>
                <c:pt idx="0">
                  <c:v>0.82348659776313904</c:v>
                </c:pt>
                <c:pt idx="1">
                  <c:v>0.83020381072239413</c:v>
                </c:pt>
                <c:pt idx="2">
                  <c:v>0.83321568184255401</c:v>
                </c:pt>
                <c:pt idx="3">
                  <c:v>0.82453736402032007</c:v>
                </c:pt>
                <c:pt idx="4">
                  <c:v>0.8166159046678918</c:v>
                </c:pt>
                <c:pt idx="5">
                  <c:v>0.81803017616122342</c:v>
                </c:pt>
                <c:pt idx="6">
                  <c:v>0.81220607565190595</c:v>
                </c:pt>
                <c:pt idx="7">
                  <c:v>0.81280474448150153</c:v>
                </c:pt>
                <c:pt idx="8">
                  <c:v>0.80546981341836532</c:v>
                </c:pt>
                <c:pt idx="9">
                  <c:v>0.81866607481755083</c:v>
                </c:pt>
                <c:pt idx="10">
                  <c:v>0.80586628030483387</c:v>
                </c:pt>
                <c:pt idx="11">
                  <c:v>0.81460008295995068</c:v>
                </c:pt>
                <c:pt idx="12">
                  <c:v>0.81</c:v>
                </c:pt>
                <c:pt idx="13">
                  <c:v>0.83232263182291433</c:v>
                </c:pt>
                <c:pt idx="14">
                  <c:v>0.8316893927281086</c:v>
                </c:pt>
                <c:pt idx="15">
                  <c:v>0.81758256965716292</c:v>
                </c:pt>
                <c:pt idx="16">
                  <c:v>0.81765022117333142</c:v>
                </c:pt>
                <c:pt idx="17">
                  <c:v>0.81425750904988647</c:v>
                </c:pt>
                <c:pt idx="18">
                  <c:v>0.80681279823038665</c:v>
                </c:pt>
                <c:pt idx="19">
                  <c:v>0.79172210972011048</c:v>
                </c:pt>
                <c:pt idx="20">
                  <c:v>0.78960559381018458</c:v>
                </c:pt>
                <c:pt idx="21">
                  <c:v>0.79232792970115695</c:v>
                </c:pt>
                <c:pt idx="22">
                  <c:v>0.79999904866855365</c:v>
                </c:pt>
                <c:pt idx="23">
                  <c:v>0.80158625099748537</c:v>
                </c:pt>
                <c:pt idx="24">
                  <c:v>0.79791456982808362</c:v>
                </c:pt>
                <c:pt idx="25">
                  <c:v>0.80012001867251126</c:v>
                </c:pt>
                <c:pt idx="26">
                  <c:v>0.79887838819519752</c:v>
                </c:pt>
                <c:pt idx="27">
                  <c:v>0.7900482456455804</c:v>
                </c:pt>
                <c:pt idx="28">
                  <c:v>0.80202287670731254</c:v>
                </c:pt>
                <c:pt idx="29">
                  <c:v>0.79902573554653467</c:v>
                </c:pt>
                <c:pt idx="30">
                  <c:v>0.81005367871469558</c:v>
                </c:pt>
                <c:pt idx="31">
                  <c:v>0.81022681266045227</c:v>
                </c:pt>
                <c:pt idx="32">
                  <c:v>0.81943620493641656</c:v>
                </c:pt>
                <c:pt idx="33">
                  <c:v>0.81683187336264595</c:v>
                </c:pt>
                <c:pt idx="34">
                  <c:v>0.82464200920869069</c:v>
                </c:pt>
                <c:pt idx="35">
                  <c:v>0.825531831246621</c:v>
                </c:pt>
                <c:pt idx="36">
                  <c:v>0.81711741918492209</c:v>
                </c:pt>
                <c:pt idx="37">
                  <c:v>0.81492528686617183</c:v>
                </c:pt>
                <c:pt idx="38">
                  <c:v>0.81696830752612137</c:v>
                </c:pt>
                <c:pt idx="39">
                  <c:v>0.81424299045433446</c:v>
                </c:pt>
                <c:pt idx="40">
                  <c:v>0.81814413905851313</c:v>
                </c:pt>
                <c:pt idx="41">
                  <c:v>0.81530326156499233</c:v>
                </c:pt>
                <c:pt idx="42">
                  <c:v>0.81506348361867742</c:v>
                </c:pt>
                <c:pt idx="43">
                  <c:v>0.81778074512831866</c:v>
                </c:pt>
                <c:pt idx="44">
                  <c:v>0.80189769027040614</c:v>
                </c:pt>
                <c:pt idx="45">
                  <c:v>0.80455252721133186</c:v>
                </c:pt>
                <c:pt idx="46">
                  <c:v>0.80366651759483265</c:v>
                </c:pt>
                <c:pt idx="47">
                  <c:v>0.81101393856776638</c:v>
                </c:pt>
                <c:pt idx="48">
                  <c:v>0.81435161020536617</c:v>
                </c:pt>
                <c:pt idx="49">
                  <c:v>0.81879251415939447</c:v>
                </c:pt>
                <c:pt idx="50">
                  <c:v>0.82003709601900487</c:v>
                </c:pt>
                <c:pt idx="51">
                  <c:v>0.82001924172898433</c:v>
                </c:pt>
                <c:pt idx="52">
                  <c:v>0.82436635333003383</c:v>
                </c:pt>
                <c:pt idx="53">
                  <c:v>0.82650453915309396</c:v>
                </c:pt>
                <c:pt idx="54">
                  <c:v>0.82345094869524926</c:v>
                </c:pt>
                <c:pt idx="55">
                  <c:v>0.82867117564758552</c:v>
                </c:pt>
                <c:pt idx="56">
                  <c:v>0.83851039287529039</c:v>
                </c:pt>
                <c:pt idx="57">
                  <c:v>0.83657398319165965</c:v>
                </c:pt>
                <c:pt idx="58">
                  <c:v>0.83962837708937832</c:v>
                </c:pt>
                <c:pt idx="59">
                  <c:v>0.84171042725777534</c:v>
                </c:pt>
                <c:pt idx="60">
                  <c:v>0.85455902761540814</c:v>
                </c:pt>
                <c:pt idx="61">
                  <c:v>0.8564188315867477</c:v>
                </c:pt>
                <c:pt idx="62">
                  <c:v>0.85270121846512092</c:v>
                </c:pt>
                <c:pt idx="63">
                  <c:v>0.85078763653372935</c:v>
                </c:pt>
                <c:pt idx="64">
                  <c:v>0.8522953756568169</c:v>
                </c:pt>
                <c:pt idx="65">
                  <c:v>0.85086598329778096</c:v>
                </c:pt>
                <c:pt idx="66">
                  <c:v>0.85042571951773738</c:v>
                </c:pt>
                <c:pt idx="67">
                  <c:v>0.85322374297928572</c:v>
                </c:pt>
                <c:pt idx="68">
                  <c:v>0.86121876389048069</c:v>
                </c:pt>
                <c:pt idx="69">
                  <c:v>0.86725814416145752</c:v>
                </c:pt>
                <c:pt idx="70">
                  <c:v>0.87479821673174218</c:v>
                </c:pt>
                <c:pt idx="71">
                  <c:v>0.88473773106901055</c:v>
                </c:pt>
                <c:pt idx="72">
                  <c:v>0.89084222410898073</c:v>
                </c:pt>
                <c:pt idx="73">
                  <c:v>0.89329876595301017</c:v>
                </c:pt>
                <c:pt idx="74">
                  <c:v>0.89961370884910508</c:v>
                </c:pt>
                <c:pt idx="75">
                  <c:v>0.89322911528228943</c:v>
                </c:pt>
                <c:pt idx="76">
                  <c:v>0.8982375200629571</c:v>
                </c:pt>
                <c:pt idx="77">
                  <c:v>0.8996122209391888</c:v>
                </c:pt>
                <c:pt idx="78">
                  <c:v>0.90765772815867951</c:v>
                </c:pt>
                <c:pt idx="79">
                  <c:v>0.91233043829007121</c:v>
                </c:pt>
                <c:pt idx="80">
                  <c:v>0.91731262778976175</c:v>
                </c:pt>
                <c:pt idx="81">
                  <c:v>0.92667125563638308</c:v>
                </c:pt>
                <c:pt idx="82">
                  <c:v>0.930272240050666</c:v>
                </c:pt>
                <c:pt idx="83">
                  <c:v>0.91613724124376206</c:v>
                </c:pt>
                <c:pt idx="84">
                  <c:v>0.91828473731316951</c:v>
                </c:pt>
                <c:pt idx="85">
                  <c:v>0.91836010821696079</c:v>
                </c:pt>
                <c:pt idx="86">
                  <c:v>0.85415412314264261</c:v>
                </c:pt>
                <c:pt idx="87">
                  <c:v>0.87770808015205337</c:v>
                </c:pt>
                <c:pt idx="88">
                  <c:v>0.86837375715021259</c:v>
                </c:pt>
                <c:pt idx="89">
                  <c:v>0.85199769211805321</c:v>
                </c:pt>
                <c:pt idx="90">
                  <c:v>0.86739194656793495</c:v>
                </c:pt>
                <c:pt idx="91">
                  <c:v>0.85236260001782205</c:v>
                </c:pt>
                <c:pt idx="92">
                  <c:v>0.86448666643178396</c:v>
                </c:pt>
                <c:pt idx="93">
                  <c:v>0.86758781062661661</c:v>
                </c:pt>
                <c:pt idx="94">
                  <c:v>0.87312855138742385</c:v>
                </c:pt>
                <c:pt idx="95">
                  <c:v>0.85313131541296405</c:v>
                </c:pt>
                <c:pt idx="96">
                  <c:v>0.85363829690653481</c:v>
                </c:pt>
                <c:pt idx="97">
                  <c:v>0.85447417647714263</c:v>
                </c:pt>
                <c:pt idx="98">
                  <c:v>0.85365890728630989</c:v>
                </c:pt>
                <c:pt idx="99">
                  <c:v>0.85305888553427323</c:v>
                </c:pt>
                <c:pt idx="100">
                  <c:v>0.84810880808807831</c:v>
                </c:pt>
                <c:pt idx="101">
                  <c:v>0.84832299386379251</c:v>
                </c:pt>
                <c:pt idx="102">
                  <c:v>0.84474376453637112</c:v>
                </c:pt>
                <c:pt idx="103">
                  <c:v>0.84947156471249952</c:v>
                </c:pt>
                <c:pt idx="104">
                  <c:v>0.85002452281218144</c:v>
                </c:pt>
                <c:pt idx="105">
                  <c:v>0.8521836757238167</c:v>
                </c:pt>
                <c:pt idx="106">
                  <c:v>0.84965993591437816</c:v>
                </c:pt>
                <c:pt idx="107">
                  <c:v>0.86263595199078591</c:v>
                </c:pt>
                <c:pt idx="108">
                  <c:v>0.84574389629083202</c:v>
                </c:pt>
                <c:pt idx="109">
                  <c:v>0.84566440326778691</c:v>
                </c:pt>
                <c:pt idx="110">
                  <c:v>0.83164897193741927</c:v>
                </c:pt>
                <c:pt idx="111">
                  <c:v>0.82962867507650218</c:v>
                </c:pt>
                <c:pt idx="112">
                  <c:v>0.83351980151603433</c:v>
                </c:pt>
                <c:pt idx="113">
                  <c:v>0.83404104106103349</c:v>
                </c:pt>
                <c:pt idx="114">
                  <c:v>0.8331568295841596</c:v>
                </c:pt>
                <c:pt idx="115">
                  <c:v>0.83561879142738538</c:v>
                </c:pt>
                <c:pt idx="116">
                  <c:v>0.82948922150718818</c:v>
                </c:pt>
                <c:pt idx="117">
                  <c:v>0.83821081538393938</c:v>
                </c:pt>
                <c:pt idx="118">
                  <c:v>0.83932223035506115</c:v>
                </c:pt>
                <c:pt idx="119">
                  <c:v>0.84047934454128814</c:v>
                </c:pt>
                <c:pt idx="120">
                  <c:v>0.84530365101658389</c:v>
                </c:pt>
                <c:pt idx="121">
                  <c:v>0.84545088105554467</c:v>
                </c:pt>
                <c:pt idx="122">
                  <c:v>0.84481821588554085</c:v>
                </c:pt>
                <c:pt idx="123">
                  <c:v>0.84555250494089751</c:v>
                </c:pt>
                <c:pt idx="124">
                  <c:v>0.84593900128777388</c:v>
                </c:pt>
                <c:pt idx="125">
                  <c:v>0.84210716470293345</c:v>
                </c:pt>
                <c:pt idx="126">
                  <c:v>0.84587667913279596</c:v>
                </c:pt>
                <c:pt idx="127">
                  <c:v>0.84864909280023448</c:v>
                </c:pt>
                <c:pt idx="128">
                  <c:v>0.84945889722327261</c:v>
                </c:pt>
                <c:pt idx="129">
                  <c:v>0.8473186856122662</c:v>
                </c:pt>
                <c:pt idx="130">
                  <c:v>0.85746248786365076</c:v>
                </c:pt>
                <c:pt idx="131">
                  <c:v>0.85572923989127159</c:v>
                </c:pt>
                <c:pt idx="132">
                  <c:v>0.86270397131618881</c:v>
                </c:pt>
                <c:pt idx="133">
                  <c:v>0.86172327960865625</c:v>
                </c:pt>
                <c:pt idx="134">
                  <c:v>0.86782361095097671</c:v>
                </c:pt>
                <c:pt idx="135">
                  <c:v>0.87292932774669352</c:v>
                </c:pt>
                <c:pt idx="136">
                  <c:v>0.87212686158933184</c:v>
                </c:pt>
                <c:pt idx="137">
                  <c:v>0.90785404570140515</c:v>
                </c:pt>
                <c:pt idx="138">
                  <c:v>0.90563196243123223</c:v>
                </c:pt>
                <c:pt idx="139">
                  <c:v>0.90541561352828881</c:v>
                </c:pt>
                <c:pt idx="140">
                  <c:v>0.87941492654327968</c:v>
                </c:pt>
                <c:pt idx="141">
                  <c:v>0.87806484182505296</c:v>
                </c:pt>
                <c:pt idx="142">
                  <c:v>0.87521993614784077</c:v>
                </c:pt>
                <c:pt idx="143">
                  <c:v>0.87486217522320042</c:v>
                </c:pt>
                <c:pt idx="144">
                  <c:v>0.90668275354428252</c:v>
                </c:pt>
                <c:pt idx="145">
                  <c:v>0.87815331489565041</c:v>
                </c:pt>
                <c:pt idx="146">
                  <c:v>0.88297938868249592</c:v>
                </c:pt>
                <c:pt idx="147">
                  <c:v>0.89196446481877467</c:v>
                </c:pt>
                <c:pt idx="148">
                  <c:v>0.8915835382965821</c:v>
                </c:pt>
                <c:pt idx="149">
                  <c:v>0.89521053350364221</c:v>
                </c:pt>
                <c:pt idx="150">
                  <c:v>0.89456153528116022</c:v>
                </c:pt>
                <c:pt idx="151">
                  <c:v>0.89658611576179548</c:v>
                </c:pt>
                <c:pt idx="152">
                  <c:v>0.89193134879628477</c:v>
                </c:pt>
                <c:pt idx="153">
                  <c:v>0.89345242008079639</c:v>
                </c:pt>
                <c:pt idx="154">
                  <c:v>0.89748643138008644</c:v>
                </c:pt>
                <c:pt idx="155">
                  <c:v>0.89440734371415376</c:v>
                </c:pt>
                <c:pt idx="156">
                  <c:v>0.89802635363655103</c:v>
                </c:pt>
                <c:pt idx="157">
                  <c:v>0.89187871131640684</c:v>
                </c:pt>
                <c:pt idx="158">
                  <c:v>0.88374757316438635</c:v>
                </c:pt>
                <c:pt idx="159">
                  <c:v>0.88771512185809909</c:v>
                </c:pt>
                <c:pt idx="160">
                  <c:v>0.88765136758754826</c:v>
                </c:pt>
                <c:pt idx="161">
                  <c:v>0.89114529408753829</c:v>
                </c:pt>
                <c:pt idx="162">
                  <c:v>0.89456551682257335</c:v>
                </c:pt>
                <c:pt idx="163">
                  <c:v>0.89679139092917459</c:v>
                </c:pt>
                <c:pt idx="164">
                  <c:v>0.89685467342191405</c:v>
                </c:pt>
                <c:pt idx="165">
                  <c:v>0.89740018090270113</c:v>
                </c:pt>
                <c:pt idx="166">
                  <c:v>0.89460621450688771</c:v>
                </c:pt>
                <c:pt idx="167">
                  <c:v>0.89257627757551694</c:v>
                </c:pt>
                <c:pt idx="168">
                  <c:v>0.89060301482753457</c:v>
                </c:pt>
                <c:pt idx="169">
                  <c:v>0.89601305448464419</c:v>
                </c:pt>
                <c:pt idx="170">
                  <c:v>0.89516611885438679</c:v>
                </c:pt>
                <c:pt idx="171">
                  <c:v>0.89412024440763249</c:v>
                </c:pt>
                <c:pt idx="172">
                  <c:v>0.89564166303303949</c:v>
                </c:pt>
                <c:pt idx="173">
                  <c:v>0.89356433447060424</c:v>
                </c:pt>
                <c:pt idx="174">
                  <c:v>0.89135566183751525</c:v>
                </c:pt>
                <c:pt idx="175">
                  <c:v>0.89319126943708793</c:v>
                </c:pt>
                <c:pt idx="176">
                  <c:v>0.89402611726943348</c:v>
                </c:pt>
                <c:pt idx="177">
                  <c:v>0.89287499471608156</c:v>
                </c:pt>
                <c:pt idx="178">
                  <c:v>0.89494901647068681</c:v>
                </c:pt>
                <c:pt idx="179">
                  <c:v>0.89461551991627897</c:v>
                </c:pt>
                <c:pt idx="180">
                  <c:v>0.89655177498557947</c:v>
                </c:pt>
                <c:pt idx="181">
                  <c:v>0.89693626588963127</c:v>
                </c:pt>
                <c:pt idx="182">
                  <c:v>0.89066222667484518</c:v>
                </c:pt>
                <c:pt idx="183">
                  <c:v>0.89329960588987656</c:v>
                </c:pt>
                <c:pt idx="184">
                  <c:v>0.89128751262077777</c:v>
                </c:pt>
                <c:pt idx="185">
                  <c:v>0.89365570827970453</c:v>
                </c:pt>
                <c:pt idx="186">
                  <c:v>0.8937435344941147</c:v>
                </c:pt>
                <c:pt idx="187">
                  <c:v>0.89168003584659483</c:v>
                </c:pt>
                <c:pt idx="188">
                  <c:v>0.89124183787872213</c:v>
                </c:pt>
                <c:pt idx="189">
                  <c:v>0.894311852806709</c:v>
                </c:pt>
                <c:pt idx="190">
                  <c:v>0.90074570473847737</c:v>
                </c:pt>
                <c:pt idx="191">
                  <c:v>0.90198751661345056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9-4E97-A16E-6177DA53B0DF}"/>
            </c:ext>
          </c:extLst>
        </c:ser>
        <c:ser>
          <c:idx val="1"/>
          <c:order val="1"/>
          <c:tx>
            <c:strRef>
              <c:f>'Moneda - externa'!$C$22</c:f>
              <c:strCache>
                <c:ptCount val="1"/>
                <c:pt idx="0">
                  <c:v>EUR</c:v>
                </c:pt>
              </c:strCache>
            </c:strRef>
          </c:tx>
          <c:spPr>
            <a:solidFill>
              <a:srgbClr val="C5A15F"/>
            </a:solidFill>
          </c:spPr>
          <c:cat>
            <c:numRef>
              <c:f>'Moneda - externa'!$A$114:$A$305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externa'!$C$114:$C$305</c:f>
              <c:numCache>
                <c:formatCode>0%</c:formatCode>
                <c:ptCount val="192"/>
                <c:pt idx="0">
                  <c:v>3.2927633893571485E-2</c:v>
                </c:pt>
                <c:pt idx="1">
                  <c:v>3.274113031590551E-2</c:v>
                </c:pt>
                <c:pt idx="2">
                  <c:v>3.3040612149220036E-2</c:v>
                </c:pt>
                <c:pt idx="3">
                  <c:v>3.2046047869491695E-2</c:v>
                </c:pt>
                <c:pt idx="4">
                  <c:v>3.2293445640649336E-2</c:v>
                </c:pt>
                <c:pt idx="5">
                  <c:v>3.1929236595938652E-2</c:v>
                </c:pt>
                <c:pt idx="6">
                  <c:v>3.1785427444248678E-2</c:v>
                </c:pt>
                <c:pt idx="7">
                  <c:v>3.1818762493885544E-2</c:v>
                </c:pt>
                <c:pt idx="8">
                  <c:v>3.2038814796538403E-2</c:v>
                </c:pt>
                <c:pt idx="9">
                  <c:v>3.0931611272830492E-2</c:v>
                </c:pt>
                <c:pt idx="10">
                  <c:v>2.9469723460357804E-2</c:v>
                </c:pt>
                <c:pt idx="11">
                  <c:v>2.7768868421443403E-2</c:v>
                </c:pt>
                <c:pt idx="12">
                  <c:v>0.03</c:v>
                </c:pt>
                <c:pt idx="13">
                  <c:v>2.2500995536002735E-2</c:v>
                </c:pt>
                <c:pt idx="14">
                  <c:v>2.2246962365529428E-2</c:v>
                </c:pt>
                <c:pt idx="15">
                  <c:v>2.0980733880355356E-2</c:v>
                </c:pt>
                <c:pt idx="16">
                  <c:v>1.9026409209313429E-2</c:v>
                </c:pt>
                <c:pt idx="17">
                  <c:v>1.8733351554070975E-2</c:v>
                </c:pt>
                <c:pt idx="18">
                  <c:v>1.9881255284498665E-2</c:v>
                </c:pt>
                <c:pt idx="19">
                  <c:v>1.9061361056067556E-2</c:v>
                </c:pt>
                <c:pt idx="20">
                  <c:v>2.021025791565206E-2</c:v>
                </c:pt>
                <c:pt idx="21">
                  <c:v>2.0448454505317491E-2</c:v>
                </c:pt>
                <c:pt idx="22">
                  <c:v>1.88777079301207E-2</c:v>
                </c:pt>
                <c:pt idx="23">
                  <c:v>1.8963952891747609E-2</c:v>
                </c:pt>
                <c:pt idx="24">
                  <c:v>1.9252192381096149E-2</c:v>
                </c:pt>
                <c:pt idx="25">
                  <c:v>1.9457731223810042E-2</c:v>
                </c:pt>
                <c:pt idx="26">
                  <c:v>1.9897701700687116E-2</c:v>
                </c:pt>
                <c:pt idx="27">
                  <c:v>2.0552983336186825E-2</c:v>
                </c:pt>
                <c:pt idx="28">
                  <c:v>8.8287302127801771E-3</c:v>
                </c:pt>
                <c:pt idx="29">
                  <c:v>8.7103442326025363E-3</c:v>
                </c:pt>
                <c:pt idx="30">
                  <c:v>8.1270879384267893E-3</c:v>
                </c:pt>
                <c:pt idx="31">
                  <c:v>8.0946404453900757E-3</c:v>
                </c:pt>
                <c:pt idx="32">
                  <c:v>7.6550219101451464E-3</c:v>
                </c:pt>
                <c:pt idx="33">
                  <c:v>7.858570027711325E-3</c:v>
                </c:pt>
                <c:pt idx="34">
                  <c:v>7.0910207981790983E-3</c:v>
                </c:pt>
                <c:pt idx="35">
                  <c:v>6.6021822778885254E-3</c:v>
                </c:pt>
                <c:pt idx="36">
                  <c:v>6.5898788750146046E-3</c:v>
                </c:pt>
                <c:pt idx="37">
                  <c:v>6.6976627237862957E-3</c:v>
                </c:pt>
                <c:pt idx="38">
                  <c:v>6.6481792574184699E-3</c:v>
                </c:pt>
                <c:pt idx="39">
                  <c:v>6.5522980464230492E-3</c:v>
                </c:pt>
                <c:pt idx="40">
                  <c:v>5.7621009380811371E-3</c:v>
                </c:pt>
                <c:pt idx="41">
                  <c:v>5.7425543121087897E-3</c:v>
                </c:pt>
                <c:pt idx="42">
                  <c:v>5.5850979798201337E-3</c:v>
                </c:pt>
                <c:pt idx="43">
                  <c:v>5.734063763962201E-3</c:v>
                </c:pt>
                <c:pt idx="44">
                  <c:v>5.673404636388049E-3</c:v>
                </c:pt>
                <c:pt idx="45">
                  <c:v>5.7858813961155211E-3</c:v>
                </c:pt>
                <c:pt idx="46">
                  <c:v>5.3280890499040829E-3</c:v>
                </c:pt>
                <c:pt idx="47">
                  <c:v>5.1723801745097182E-3</c:v>
                </c:pt>
                <c:pt idx="48">
                  <c:v>5.2456776046448869E-3</c:v>
                </c:pt>
                <c:pt idx="49">
                  <c:v>5.0893954086435288E-3</c:v>
                </c:pt>
                <c:pt idx="50">
                  <c:v>4.9973736682754717E-3</c:v>
                </c:pt>
                <c:pt idx="51">
                  <c:v>5.1931119384069947E-3</c:v>
                </c:pt>
                <c:pt idx="52">
                  <c:v>4.6646218973818085E-3</c:v>
                </c:pt>
                <c:pt idx="53">
                  <c:v>4.5704462609308313E-3</c:v>
                </c:pt>
                <c:pt idx="54">
                  <c:v>4.657990903521818E-3</c:v>
                </c:pt>
                <c:pt idx="55">
                  <c:v>0</c:v>
                </c:pt>
                <c:pt idx="56">
                  <c:v>4.4287508544441643E-3</c:v>
                </c:pt>
                <c:pt idx="57">
                  <c:v>4.4234226873599647E-3</c:v>
                </c:pt>
                <c:pt idx="58">
                  <c:v>3.9745331455106657E-3</c:v>
                </c:pt>
                <c:pt idx="59">
                  <c:v>3.9238147896859133E-3</c:v>
                </c:pt>
                <c:pt idx="60">
                  <c:v>3.5891877089471893E-3</c:v>
                </c:pt>
                <c:pt idx="61">
                  <c:v>3.6670097551041634E-3</c:v>
                </c:pt>
                <c:pt idx="62">
                  <c:v>3.6493081833918182E-3</c:v>
                </c:pt>
                <c:pt idx="63">
                  <c:v>3.6648251233608571E-3</c:v>
                </c:pt>
                <c:pt idx="64">
                  <c:v>3.2041083402946321E-3</c:v>
                </c:pt>
                <c:pt idx="65">
                  <c:v>3.1820560980322845E-3</c:v>
                </c:pt>
                <c:pt idx="66">
                  <c:v>3.1107052767807676E-3</c:v>
                </c:pt>
                <c:pt idx="67">
                  <c:v>3.0752093231808859E-3</c:v>
                </c:pt>
                <c:pt idx="68">
                  <c:v>2.9646890974023457E-3</c:v>
                </c:pt>
                <c:pt idx="69">
                  <c:v>2.8453319761532416E-3</c:v>
                </c:pt>
                <c:pt idx="70">
                  <c:v>2.4493408774341921E-3</c:v>
                </c:pt>
                <c:pt idx="71">
                  <c:v>2.3347400125925608E-3</c:v>
                </c:pt>
                <c:pt idx="72">
                  <c:v>2.0847755842346651E-3</c:v>
                </c:pt>
                <c:pt idx="73">
                  <c:v>2.070163189958384E-3</c:v>
                </c:pt>
                <c:pt idx="74">
                  <c:v>1.9299235636870936E-3</c:v>
                </c:pt>
                <c:pt idx="75">
                  <c:v>2.008686548596528E-3</c:v>
                </c:pt>
                <c:pt idx="76">
                  <c:v>1.6305178195095589E-3</c:v>
                </c:pt>
                <c:pt idx="77">
                  <c:v>1.6368904744046796E-3</c:v>
                </c:pt>
                <c:pt idx="78">
                  <c:v>1.638262405824219E-3</c:v>
                </c:pt>
                <c:pt idx="79">
                  <c:v>1.6854564703424983E-3</c:v>
                </c:pt>
                <c:pt idx="80">
                  <c:v>1.5965197704141611E-3</c:v>
                </c:pt>
                <c:pt idx="81">
                  <c:v>9.1148956789744388E-3</c:v>
                </c:pt>
                <c:pt idx="82">
                  <c:v>8.4923034250071732E-3</c:v>
                </c:pt>
                <c:pt idx="83">
                  <c:v>2.5372148538557401E-2</c:v>
                </c:pt>
                <c:pt idx="84">
                  <c:v>2.5346306985275718E-2</c:v>
                </c:pt>
                <c:pt idx="85">
                  <c:v>2.5262532156923808E-2</c:v>
                </c:pt>
                <c:pt idx="86">
                  <c:v>6.027046844526468E-2</c:v>
                </c:pt>
                <c:pt idx="87">
                  <c:v>6.1531591056821787E-2</c:v>
                </c:pt>
                <c:pt idx="88">
                  <c:v>7.5190124604017153E-2</c:v>
                </c:pt>
                <c:pt idx="89">
                  <c:v>5.8609679030501856E-2</c:v>
                </c:pt>
                <c:pt idx="90">
                  <c:v>7.5605160715321987E-2</c:v>
                </c:pt>
                <c:pt idx="91">
                  <c:v>5.8782542496539143E-2</c:v>
                </c:pt>
                <c:pt idx="92">
                  <c:v>7.5996345743418389E-2</c:v>
                </c:pt>
                <c:pt idx="93">
                  <c:v>7.4469781495018858E-2</c:v>
                </c:pt>
                <c:pt idx="94">
                  <c:v>7.3085436603438483E-2</c:v>
                </c:pt>
                <c:pt idx="95">
                  <c:v>9.2737712935892197E-2</c:v>
                </c:pt>
                <c:pt idx="96">
                  <c:v>9.2433616413905434E-2</c:v>
                </c:pt>
                <c:pt idx="97">
                  <c:v>9.1149902258908622E-2</c:v>
                </c:pt>
                <c:pt idx="98">
                  <c:v>9.184182907123363E-2</c:v>
                </c:pt>
                <c:pt idx="99">
                  <c:v>9.3502104220720209E-2</c:v>
                </c:pt>
                <c:pt idx="100">
                  <c:v>9.8117865769794574E-2</c:v>
                </c:pt>
                <c:pt idx="101">
                  <c:v>9.974081386792609E-2</c:v>
                </c:pt>
                <c:pt idx="102">
                  <c:v>0.1027369467462789</c:v>
                </c:pt>
                <c:pt idx="103">
                  <c:v>9.9564422432677838E-2</c:v>
                </c:pt>
                <c:pt idx="104">
                  <c:v>9.9246370521859861E-2</c:v>
                </c:pt>
                <c:pt idx="105">
                  <c:v>9.807563422344269E-2</c:v>
                </c:pt>
                <c:pt idx="106">
                  <c:v>0.10039960105647444</c:v>
                </c:pt>
                <c:pt idx="107">
                  <c:v>0.10054696040311778</c:v>
                </c:pt>
                <c:pt idx="108">
                  <c:v>0.10284482863996022</c:v>
                </c:pt>
                <c:pt idx="109">
                  <c:v>0.10334431157990151</c:v>
                </c:pt>
                <c:pt idx="110">
                  <c:v>0.11694014737327818</c:v>
                </c:pt>
                <c:pt idx="111">
                  <c:v>0.11965401454340351</c:v>
                </c:pt>
                <c:pt idx="112">
                  <c:v>0.11642161414094079</c:v>
                </c:pt>
                <c:pt idx="113">
                  <c:v>0.1167438145521742</c:v>
                </c:pt>
                <c:pt idx="114">
                  <c:v>0.11695437842473162</c:v>
                </c:pt>
                <c:pt idx="115">
                  <c:v>0.1167752737247804</c:v>
                </c:pt>
                <c:pt idx="116">
                  <c:v>0.12262666160568622</c:v>
                </c:pt>
                <c:pt idx="117">
                  <c:v>0.11751410000267612</c:v>
                </c:pt>
                <c:pt idx="118">
                  <c:v>0.11695082828080436</c:v>
                </c:pt>
                <c:pt idx="119">
                  <c:v>0.11627878497404273</c:v>
                </c:pt>
                <c:pt idx="120">
                  <c:v>0.11216323230199603</c:v>
                </c:pt>
                <c:pt idx="121">
                  <c:v>0.11152043838309462</c:v>
                </c:pt>
                <c:pt idx="122">
                  <c:v>0.11242704334886718</c:v>
                </c:pt>
                <c:pt idx="123">
                  <c:v>0.11226955642161338</c:v>
                </c:pt>
                <c:pt idx="124">
                  <c:v>0.11259249892326074</c:v>
                </c:pt>
                <c:pt idx="125">
                  <c:v>0.11481227078191389</c:v>
                </c:pt>
                <c:pt idx="126">
                  <c:v>0.11197777167948993</c:v>
                </c:pt>
                <c:pt idx="127">
                  <c:v>0.11090510596857413</c:v>
                </c:pt>
                <c:pt idx="128">
                  <c:v>0.11038400558088567</c:v>
                </c:pt>
                <c:pt idx="129">
                  <c:v>0.11196217025045684</c:v>
                </c:pt>
                <c:pt idx="130">
                  <c:v>0.11105054039498134</c:v>
                </c:pt>
                <c:pt idx="131">
                  <c:v>0.11110622135045072</c:v>
                </c:pt>
                <c:pt idx="132">
                  <c:v>0.10643861640773362</c:v>
                </c:pt>
                <c:pt idx="133">
                  <c:v>0.10795896562087622</c:v>
                </c:pt>
                <c:pt idx="134">
                  <c:v>0.10628924306054346</c:v>
                </c:pt>
                <c:pt idx="135">
                  <c:v>0.1014239506590191</c:v>
                </c:pt>
                <c:pt idx="136">
                  <c:v>0.10112153285664111</c:v>
                </c:pt>
                <c:pt idx="137">
                  <c:v>4.7348335633264467E-2</c:v>
                </c:pt>
                <c:pt idx="138">
                  <c:v>4.9447991993767607E-2</c:v>
                </c:pt>
                <c:pt idx="139">
                  <c:v>4.9924556218497819E-2</c:v>
                </c:pt>
                <c:pt idx="140">
                  <c:v>9.702747625748262E-2</c:v>
                </c:pt>
                <c:pt idx="141">
                  <c:v>9.8205149129929226E-2</c:v>
                </c:pt>
                <c:pt idx="142">
                  <c:v>9.9512576339373729E-2</c:v>
                </c:pt>
                <c:pt idx="143">
                  <c:v>0.10105306187437509</c:v>
                </c:pt>
                <c:pt idx="144">
                  <c:v>4.8551948912947653E-2</c:v>
                </c:pt>
                <c:pt idx="145">
                  <c:v>9.9433385486958709E-2</c:v>
                </c:pt>
                <c:pt idx="146">
                  <c:v>9.5040601154669405E-2</c:v>
                </c:pt>
                <c:pt idx="147">
                  <c:v>9.6311425789523328E-2</c:v>
                </c:pt>
                <c:pt idx="148">
                  <c:v>9.6687526202234114E-2</c:v>
                </c:pt>
                <c:pt idx="149">
                  <c:v>9.325698412027153E-2</c:v>
                </c:pt>
                <c:pt idx="150">
                  <c:v>9.4145656799063476E-2</c:v>
                </c:pt>
                <c:pt idx="151">
                  <c:v>9.2124965197416628E-2</c:v>
                </c:pt>
                <c:pt idx="152">
                  <c:v>9.3542902104665926E-2</c:v>
                </c:pt>
                <c:pt idx="153">
                  <c:v>9.2068573442865856E-2</c:v>
                </c:pt>
                <c:pt idx="154">
                  <c:v>8.8999894955189368E-2</c:v>
                </c:pt>
                <c:pt idx="155">
                  <c:v>9.228619590711816E-2</c:v>
                </c:pt>
                <c:pt idx="156">
                  <c:v>8.8610339060626306E-2</c:v>
                </c:pt>
                <c:pt idx="157">
                  <c:v>9.1816160227689195E-2</c:v>
                </c:pt>
                <c:pt idx="158">
                  <c:v>9.0840625009051351E-2</c:v>
                </c:pt>
                <c:pt idx="159">
                  <c:v>8.6980741285326207E-2</c:v>
                </c:pt>
                <c:pt idx="160">
                  <c:v>8.6937830013024353E-2</c:v>
                </c:pt>
                <c:pt idx="161">
                  <c:v>8.4811571199613231E-2</c:v>
                </c:pt>
                <c:pt idx="162">
                  <c:v>8.2380191689230942E-2</c:v>
                </c:pt>
                <c:pt idx="163">
                  <c:v>8.0969438344196981E-2</c:v>
                </c:pt>
                <c:pt idx="164">
                  <c:v>8.1613932246786147E-2</c:v>
                </c:pt>
                <c:pt idx="165">
                  <c:v>8.240116897957156E-2</c:v>
                </c:pt>
                <c:pt idx="166">
                  <c:v>8.5312192658220945E-2</c:v>
                </c:pt>
                <c:pt idx="167">
                  <c:v>8.7899041346126416E-2</c:v>
                </c:pt>
                <c:pt idx="168">
                  <c:v>8.9183637627565621E-2</c:v>
                </c:pt>
                <c:pt idx="169">
                  <c:v>8.5093948922188523E-2</c:v>
                </c:pt>
                <c:pt idx="170">
                  <c:v>8.7910989341822551E-2</c:v>
                </c:pt>
                <c:pt idx="171">
                  <c:v>8.9166089371129173E-2</c:v>
                </c:pt>
                <c:pt idx="172">
                  <c:v>8.6567706073852127E-2</c:v>
                </c:pt>
                <c:pt idx="173">
                  <c:v>8.7712724543975815E-2</c:v>
                </c:pt>
                <c:pt idx="174">
                  <c:v>8.8705268146637886E-2</c:v>
                </c:pt>
                <c:pt idx="175">
                  <c:v>8.7811954743283654E-2</c:v>
                </c:pt>
                <c:pt idx="176">
                  <c:v>8.4924573485601632E-2</c:v>
                </c:pt>
                <c:pt idx="177">
                  <c:v>8.6074704937511792E-2</c:v>
                </c:pt>
                <c:pt idx="178">
                  <c:v>8.4322975021130953E-2</c:v>
                </c:pt>
                <c:pt idx="179">
                  <c:v>8.4094479773407088E-2</c:v>
                </c:pt>
                <c:pt idx="180">
                  <c:v>8.2690729680938657E-2</c:v>
                </c:pt>
                <c:pt idx="181">
                  <c:v>8.2492188073416448E-2</c:v>
                </c:pt>
                <c:pt idx="182">
                  <c:v>8.8464532734942883E-2</c:v>
                </c:pt>
                <c:pt idx="183">
                  <c:v>8.6371313067869479E-2</c:v>
                </c:pt>
                <c:pt idx="184">
                  <c:v>8.8114112202289832E-2</c:v>
                </c:pt>
                <c:pt idx="185">
                  <c:v>8.7094028561048142E-2</c:v>
                </c:pt>
                <c:pt idx="186">
                  <c:v>8.6928196393058807E-2</c:v>
                </c:pt>
                <c:pt idx="187">
                  <c:v>8.9360856592740456E-2</c:v>
                </c:pt>
                <c:pt idx="188">
                  <c:v>9.0046710415696257E-2</c:v>
                </c:pt>
                <c:pt idx="189">
                  <c:v>8.8025675348553614E-2</c:v>
                </c:pt>
                <c:pt idx="190">
                  <c:v>8.2048435142747844E-2</c:v>
                </c:pt>
                <c:pt idx="191">
                  <c:v>8.0716850211217231E-2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9-4E97-A16E-6177DA53B0DF}"/>
            </c:ext>
          </c:extLst>
        </c:ser>
        <c:ser>
          <c:idx val="2"/>
          <c:order val="2"/>
          <c:tx>
            <c:strRef>
              <c:f>'Moneda - externa'!$D$22</c:f>
              <c:strCache>
                <c:ptCount val="1"/>
                <c:pt idx="0">
                  <c:v>JPY</c:v>
                </c:pt>
              </c:strCache>
            </c:strRef>
          </c:tx>
          <c:spPr>
            <a:solidFill>
              <a:srgbClr val="CFB17B"/>
            </a:solidFill>
          </c:spPr>
          <c:cat>
            <c:numRef>
              <c:f>'Moneda - externa'!$A$114:$A$305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externa'!$D$114:$D$305</c:f>
              <c:numCache>
                <c:formatCode>0%</c:formatCode>
                <c:ptCount val="192"/>
                <c:pt idx="0">
                  <c:v>1.7775864095447111E-2</c:v>
                </c:pt>
                <c:pt idx="1">
                  <c:v>1.6912263665546774E-2</c:v>
                </c:pt>
                <c:pt idx="2">
                  <c:v>1.6424545172733899E-2</c:v>
                </c:pt>
                <c:pt idx="3">
                  <c:v>1.5992854006635488E-2</c:v>
                </c:pt>
                <c:pt idx="4">
                  <c:v>1.5686809281028277E-2</c:v>
                </c:pt>
                <c:pt idx="5">
                  <c:v>1.552575909234818E-2</c:v>
                </c:pt>
                <c:pt idx="6">
                  <c:v>1.544041305828161E-2</c:v>
                </c:pt>
                <c:pt idx="7">
                  <c:v>1.5551818339520938E-2</c:v>
                </c:pt>
                <c:pt idx="8">
                  <c:v>1.5791996789000423E-2</c:v>
                </c:pt>
                <c:pt idx="9">
                  <c:v>1.5057378730474026E-2</c:v>
                </c:pt>
                <c:pt idx="10">
                  <c:v>3.2742956105797312E-2</c:v>
                </c:pt>
                <c:pt idx="11">
                  <c:v>3.0129362017289843E-2</c:v>
                </c:pt>
                <c:pt idx="12">
                  <c:v>0.03</c:v>
                </c:pt>
                <c:pt idx="13">
                  <c:v>2.7437159391661282E-2</c:v>
                </c:pt>
                <c:pt idx="14">
                  <c:v>2.6957463563041583E-2</c:v>
                </c:pt>
                <c:pt idx="15">
                  <c:v>2.4871023514969323E-2</c:v>
                </c:pt>
                <c:pt idx="16">
                  <c:v>2.5824475364647159E-2</c:v>
                </c:pt>
                <c:pt idx="17">
                  <c:v>2.6302505042056751E-2</c:v>
                </c:pt>
                <c:pt idx="18">
                  <c:v>2.6859167790528247E-2</c:v>
                </c:pt>
                <c:pt idx="19">
                  <c:v>2.7173846922291023E-2</c:v>
                </c:pt>
                <c:pt idx="20">
                  <c:v>2.7093467235201365E-2</c:v>
                </c:pt>
                <c:pt idx="21">
                  <c:v>2.7927098641361441E-2</c:v>
                </c:pt>
                <c:pt idx="22">
                  <c:v>2.7180870659047028E-2</c:v>
                </c:pt>
                <c:pt idx="23">
                  <c:v>2.7539649424638341E-2</c:v>
                </c:pt>
                <c:pt idx="24">
                  <c:v>2.7144377112539895E-2</c:v>
                </c:pt>
                <c:pt idx="25">
                  <c:v>2.7242208905236039E-2</c:v>
                </c:pt>
                <c:pt idx="26">
                  <c:v>2.6883659212194433E-2</c:v>
                </c:pt>
                <c:pt idx="27">
                  <c:v>2.7150392134612379E-2</c:v>
                </c:pt>
                <c:pt idx="28">
                  <c:v>2.7722865597171728E-2</c:v>
                </c:pt>
                <c:pt idx="29">
                  <c:v>2.777267803966427E-2</c:v>
                </c:pt>
                <c:pt idx="30">
                  <c:v>2.7238683619310911E-2</c:v>
                </c:pt>
                <c:pt idx="31">
                  <c:v>2.7464866667937401E-2</c:v>
                </c:pt>
                <c:pt idx="32">
                  <c:v>2.7584885135807057E-2</c:v>
                </c:pt>
                <c:pt idx="33">
                  <c:v>2.7052213806923155E-2</c:v>
                </c:pt>
                <c:pt idx="34">
                  <c:v>2.7263098098139635E-2</c:v>
                </c:pt>
                <c:pt idx="35">
                  <c:v>2.7054007429666543E-2</c:v>
                </c:pt>
                <c:pt idx="36">
                  <c:v>2.7036199299534186E-2</c:v>
                </c:pt>
                <c:pt idx="37">
                  <c:v>2.5431928308005274E-2</c:v>
                </c:pt>
                <c:pt idx="38">
                  <c:v>2.5046205991056933E-2</c:v>
                </c:pt>
                <c:pt idx="39">
                  <c:v>2.5717991492350344E-2</c:v>
                </c:pt>
                <c:pt idx="40">
                  <c:v>2.6489074368142549E-2</c:v>
                </c:pt>
                <c:pt idx="41">
                  <c:v>2.5930975896712581E-2</c:v>
                </c:pt>
                <c:pt idx="42">
                  <c:v>2.6508851994750671E-2</c:v>
                </c:pt>
                <c:pt idx="43">
                  <c:v>2.645894842746346E-2</c:v>
                </c:pt>
                <c:pt idx="44">
                  <c:v>2.6181588612937262E-2</c:v>
                </c:pt>
                <c:pt idx="45">
                  <c:v>2.5583954454521617E-2</c:v>
                </c:pt>
                <c:pt idx="46">
                  <c:v>2.4947768960250572E-2</c:v>
                </c:pt>
                <c:pt idx="47">
                  <c:v>1.5646169431587635E-2</c:v>
                </c:pt>
                <c:pt idx="48">
                  <c:v>1.4649016520960546E-2</c:v>
                </c:pt>
                <c:pt idx="49">
                  <c:v>1.4580082645108555E-2</c:v>
                </c:pt>
                <c:pt idx="50">
                  <c:v>1.4353360924032324E-2</c:v>
                </c:pt>
                <c:pt idx="51">
                  <c:v>1.3847826774668602E-2</c:v>
                </c:pt>
                <c:pt idx="52">
                  <c:v>1.3512543782050027E-2</c:v>
                </c:pt>
                <c:pt idx="53">
                  <c:v>1.3743093819494834E-2</c:v>
                </c:pt>
                <c:pt idx="54">
                  <c:v>1.3851415621730929E-2</c:v>
                </c:pt>
                <c:pt idx="55">
                  <c:v>1.3854870351741733E-2</c:v>
                </c:pt>
                <c:pt idx="56">
                  <c:v>1.2997809262265054E-2</c:v>
                </c:pt>
                <c:pt idx="57">
                  <c:v>1.2954863794806655E-2</c:v>
                </c:pt>
                <c:pt idx="58">
                  <c:v>1.2547524255578342E-2</c:v>
                </c:pt>
                <c:pt idx="59">
                  <c:v>1.2077021026089509E-2</c:v>
                </c:pt>
                <c:pt idx="60">
                  <c:v>1.1792217995030774E-2</c:v>
                </c:pt>
                <c:pt idx="61">
                  <c:v>1.1806244440740989E-2</c:v>
                </c:pt>
                <c:pt idx="62">
                  <c:v>1.1664022907405562E-2</c:v>
                </c:pt>
                <c:pt idx="63">
                  <c:v>1.1739437546837686E-2</c:v>
                </c:pt>
                <c:pt idx="64">
                  <c:v>1.1891424067951184E-2</c:v>
                </c:pt>
                <c:pt idx="65">
                  <c:v>1.1955767509415093E-2</c:v>
                </c:pt>
                <c:pt idx="66">
                  <c:v>1.1790554236470316E-2</c:v>
                </c:pt>
                <c:pt idx="67">
                  <c:v>1.1718374219052896E-2</c:v>
                </c:pt>
                <c:pt idx="68">
                  <c:v>1.1213293319703757E-2</c:v>
                </c:pt>
                <c:pt idx="69">
                  <c:v>1.0613210755776941E-2</c:v>
                </c:pt>
                <c:pt idx="70">
                  <c:v>1.0184150180939683E-2</c:v>
                </c:pt>
                <c:pt idx="71">
                  <c:v>1.0002427589269197E-2</c:v>
                </c:pt>
                <c:pt idx="72">
                  <c:v>9.8380886473779048E-3</c:v>
                </c:pt>
                <c:pt idx="73">
                  <c:v>9.6666614635761879E-3</c:v>
                </c:pt>
                <c:pt idx="74">
                  <c:v>9.4368043696546489E-3</c:v>
                </c:pt>
                <c:pt idx="75">
                  <c:v>9.3944664341153623E-3</c:v>
                </c:pt>
                <c:pt idx="76">
                  <c:v>9.1664578357431529E-3</c:v>
                </c:pt>
                <c:pt idx="77">
                  <c:v>9.3303967909584232E-3</c:v>
                </c:pt>
                <c:pt idx="78">
                  <c:v>9.3015492056813583E-3</c:v>
                </c:pt>
                <c:pt idx="79">
                  <c:v>9.6484811970461663E-3</c:v>
                </c:pt>
                <c:pt idx="80">
                  <c:v>9.3553499644008133E-3</c:v>
                </c:pt>
                <c:pt idx="81">
                  <c:v>9.2606907681768331E-3</c:v>
                </c:pt>
                <c:pt idx="82">
                  <c:v>9.1832977269353851E-3</c:v>
                </c:pt>
                <c:pt idx="83">
                  <c:v>9.0772655040812084E-3</c:v>
                </c:pt>
                <c:pt idx="84">
                  <c:v>9.1881629357719631E-3</c:v>
                </c:pt>
                <c:pt idx="85">
                  <c:v>9.69045959422251E-3</c:v>
                </c:pt>
                <c:pt idx="86">
                  <c:v>1.5688548716412377E-2</c:v>
                </c:pt>
                <c:pt idx="87">
                  <c:v>9.7929446448431108E-3</c:v>
                </c:pt>
                <c:pt idx="88">
                  <c:v>9.3961517425979642E-3</c:v>
                </c:pt>
                <c:pt idx="89">
                  <c:v>1.7143502551447309E-2</c:v>
                </c:pt>
                <c:pt idx="90">
                  <c:v>1.0180138968545676E-2</c:v>
                </c:pt>
                <c:pt idx="91">
                  <c:v>1.7010120176489615E-2</c:v>
                </c:pt>
                <c:pt idx="92">
                  <c:v>1.0309509267817187E-2</c:v>
                </c:pt>
                <c:pt idx="93">
                  <c:v>9.9778415428695699E-3</c:v>
                </c:pt>
                <c:pt idx="94">
                  <c:v>9.1361931072360437E-3</c:v>
                </c:pt>
                <c:pt idx="95">
                  <c:v>8.6315032928850829E-3</c:v>
                </c:pt>
                <c:pt idx="96">
                  <c:v>8.7005186117420849E-3</c:v>
                </c:pt>
                <c:pt idx="97">
                  <c:v>8.7847743651783307E-3</c:v>
                </c:pt>
                <c:pt idx="98">
                  <c:v>8.8338848691711883E-3</c:v>
                </c:pt>
                <c:pt idx="99">
                  <c:v>8.8235416340816525E-3</c:v>
                </c:pt>
                <c:pt idx="100">
                  <c:v>8.8670719293680329E-3</c:v>
                </c:pt>
                <c:pt idx="101">
                  <c:v>8.7505785176166095E-3</c:v>
                </c:pt>
                <c:pt idx="102">
                  <c:v>8.8668607437009713E-3</c:v>
                </c:pt>
                <c:pt idx="103">
                  <c:v>8.559271706978254E-3</c:v>
                </c:pt>
                <c:pt idx="104">
                  <c:v>8.3829892329611543E-3</c:v>
                </c:pt>
                <c:pt idx="105">
                  <c:v>8.3306635289140032E-3</c:v>
                </c:pt>
                <c:pt idx="106">
                  <c:v>8.4621024458976443E-3</c:v>
                </c:pt>
                <c:pt idx="107">
                  <c:v>8.3647045222477977E-3</c:v>
                </c:pt>
                <c:pt idx="108">
                  <c:v>8.5024759944202673E-3</c:v>
                </c:pt>
                <c:pt idx="109">
                  <c:v>8.7100316707763442E-3</c:v>
                </c:pt>
                <c:pt idx="110">
                  <c:v>8.6113262912596144E-3</c:v>
                </c:pt>
                <c:pt idx="111">
                  <c:v>8.3629589234490813E-3</c:v>
                </c:pt>
                <c:pt idx="112">
                  <c:v>8.4866213706289335E-3</c:v>
                </c:pt>
                <c:pt idx="113">
                  <c:v>8.3431758373532679E-3</c:v>
                </c:pt>
                <c:pt idx="114">
                  <c:v>8.2480046527310114E-3</c:v>
                </c:pt>
                <c:pt idx="115">
                  <c:v>8.3663741305296073E-3</c:v>
                </c:pt>
                <c:pt idx="116">
                  <c:v>8.1281478493988122E-3</c:v>
                </c:pt>
                <c:pt idx="117">
                  <c:v>8.0297961364435826E-3</c:v>
                </c:pt>
                <c:pt idx="118">
                  <c:v>7.9694579053942033E-3</c:v>
                </c:pt>
                <c:pt idx="119">
                  <c:v>8.1189092787113861E-3</c:v>
                </c:pt>
                <c:pt idx="120">
                  <c:v>7.8686557399192999E-3</c:v>
                </c:pt>
                <c:pt idx="121">
                  <c:v>7.7035795758762775E-3</c:v>
                </c:pt>
                <c:pt idx="122">
                  <c:v>7.9206965911514816E-3</c:v>
                </c:pt>
                <c:pt idx="123">
                  <c:v>7.8695229355765298E-3</c:v>
                </c:pt>
                <c:pt idx="124">
                  <c:v>8.1715782859462672E-3</c:v>
                </c:pt>
                <c:pt idx="125">
                  <c:v>8.213484897183973E-3</c:v>
                </c:pt>
                <c:pt idx="126">
                  <c:v>8.1667452811523857E-3</c:v>
                </c:pt>
                <c:pt idx="127">
                  <c:v>8.3346185834656042E-3</c:v>
                </c:pt>
                <c:pt idx="128">
                  <c:v>8.2258134177398221E-3</c:v>
                </c:pt>
                <c:pt idx="129">
                  <c:v>8.1473046538633916E-3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79-4E97-A16E-6177DA53B0DF}"/>
            </c:ext>
          </c:extLst>
        </c:ser>
        <c:ser>
          <c:idx val="3"/>
          <c:order val="3"/>
          <c:tx>
            <c:strRef>
              <c:f>'Moneda - externa'!$E$22</c:f>
              <c:strCache>
                <c:ptCount val="1"/>
                <c:pt idx="0">
                  <c:v>GBP</c:v>
                </c:pt>
              </c:strCache>
            </c:strRef>
          </c:tx>
          <c:spPr>
            <a:solidFill>
              <a:srgbClr val="D9C197"/>
            </a:solidFill>
          </c:spPr>
          <c:cat>
            <c:numRef>
              <c:f>'Moneda - externa'!$A$114:$A$305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externa'!$E$114:$E$303</c:f>
              <c:numCache>
                <c:formatCode>0%</c:formatCode>
                <c:ptCount val="1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79-4E97-A16E-6177DA53B0DF}"/>
            </c:ext>
          </c:extLst>
        </c:ser>
        <c:ser>
          <c:idx val="4"/>
          <c:order val="4"/>
          <c:tx>
            <c:strRef>
              <c:f>'Moneda - externa'!$F$22</c:f>
              <c:strCache>
                <c:ptCount val="1"/>
                <c:pt idx="0">
                  <c:v>COP</c:v>
                </c:pt>
              </c:strCache>
            </c:strRef>
          </c:tx>
          <c:spPr>
            <a:solidFill>
              <a:srgbClr val="E3D2B3"/>
            </a:solidFill>
          </c:spPr>
          <c:cat>
            <c:numRef>
              <c:f>'Moneda - externa'!$A$114:$A$305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externa'!$F$114:$F$305</c:f>
              <c:numCache>
                <c:formatCode>0%</c:formatCode>
                <c:ptCount val="192"/>
                <c:pt idx="0">
                  <c:v>0.12580990424784241</c:v>
                </c:pt>
                <c:pt idx="1">
                  <c:v>0.1201427952961536</c:v>
                </c:pt>
                <c:pt idx="2">
                  <c:v>0.117319160835492</c:v>
                </c:pt>
                <c:pt idx="3">
                  <c:v>0.12742373410355265</c:v>
                </c:pt>
                <c:pt idx="4">
                  <c:v>0.13540384041043046</c:v>
                </c:pt>
                <c:pt idx="5">
                  <c:v>0.13451482815048973</c:v>
                </c:pt>
                <c:pt idx="6">
                  <c:v>0.1405680838455636</c:v>
                </c:pt>
                <c:pt idx="7">
                  <c:v>0.13982467468509205</c:v>
                </c:pt>
                <c:pt idx="8">
                  <c:v>0.146699374996096</c:v>
                </c:pt>
                <c:pt idx="9">
                  <c:v>0.13534493517914473</c:v>
                </c:pt>
                <c:pt idx="10">
                  <c:v>0.13192104012901101</c:v>
                </c:pt>
                <c:pt idx="11">
                  <c:v>0.12750168660131592</c:v>
                </c:pt>
                <c:pt idx="12">
                  <c:v>0.13</c:v>
                </c:pt>
                <c:pt idx="13">
                  <c:v>0.11773921324942165</c:v>
                </c:pt>
                <c:pt idx="14">
                  <c:v>0.11910618134332041</c:v>
                </c:pt>
                <c:pt idx="15">
                  <c:v>0.1365656729475124</c:v>
                </c:pt>
                <c:pt idx="16">
                  <c:v>0.13749889425270795</c:v>
                </c:pt>
                <c:pt idx="17">
                  <c:v>0.14070663435398575</c:v>
                </c:pt>
                <c:pt idx="18">
                  <c:v>0.14644677869458661</c:v>
                </c:pt>
                <c:pt idx="19">
                  <c:v>0.16204268230153104</c:v>
                </c:pt>
                <c:pt idx="20">
                  <c:v>0.1630906810389621</c:v>
                </c:pt>
                <c:pt idx="21">
                  <c:v>0.1592965171521637</c:v>
                </c:pt>
                <c:pt idx="22">
                  <c:v>0.15394237274227862</c:v>
                </c:pt>
                <c:pt idx="23">
                  <c:v>0.15191014668612871</c:v>
                </c:pt>
                <c:pt idx="24">
                  <c:v>0.15568886067828033</c:v>
                </c:pt>
                <c:pt idx="25">
                  <c:v>0.15318004119844267</c:v>
                </c:pt>
                <c:pt idx="26">
                  <c:v>0.15434025089192099</c:v>
                </c:pt>
                <c:pt idx="27">
                  <c:v>0.16224837888362037</c:v>
                </c:pt>
                <c:pt idx="28">
                  <c:v>0.16142552748273561</c:v>
                </c:pt>
                <c:pt idx="29">
                  <c:v>0.16449124218119851</c:v>
                </c:pt>
                <c:pt idx="30">
                  <c:v>0.15458054972756677</c:v>
                </c:pt>
                <c:pt idx="31">
                  <c:v>0.15421368022622023</c:v>
                </c:pt>
                <c:pt idx="32">
                  <c:v>0.14532388801763119</c:v>
                </c:pt>
                <c:pt idx="33">
                  <c:v>0.14825734280271952</c:v>
                </c:pt>
                <c:pt idx="34">
                  <c:v>0.14100387189499056</c:v>
                </c:pt>
                <c:pt idx="35">
                  <c:v>0.14081197904582393</c:v>
                </c:pt>
                <c:pt idx="36">
                  <c:v>0.14925650264052928</c:v>
                </c:pt>
                <c:pt idx="37">
                  <c:v>0.15294512210203662</c:v>
                </c:pt>
                <c:pt idx="38">
                  <c:v>0.15133730722540326</c:v>
                </c:pt>
                <c:pt idx="39">
                  <c:v>0.15348672000689226</c:v>
                </c:pt>
                <c:pt idx="40">
                  <c:v>0.14960468563526313</c:v>
                </c:pt>
                <c:pt idx="41">
                  <c:v>0.15302320822618626</c:v>
                </c:pt>
                <c:pt idx="42">
                  <c:v>0.15284256640675176</c:v>
                </c:pt>
                <c:pt idx="43">
                  <c:v>0.15002624268025569</c:v>
                </c:pt>
                <c:pt idx="44">
                  <c:v>0.16624731648026869</c:v>
                </c:pt>
                <c:pt idx="45">
                  <c:v>0.16407763693803112</c:v>
                </c:pt>
                <c:pt idx="46">
                  <c:v>0.16605762439501268</c:v>
                </c:pt>
                <c:pt idx="47">
                  <c:v>0.16816751182613632</c:v>
                </c:pt>
                <c:pt idx="48">
                  <c:v>0.16575369566902839</c:v>
                </c:pt>
                <c:pt idx="49">
                  <c:v>0.16153800778685365</c:v>
                </c:pt>
                <c:pt idx="50">
                  <c:v>0.16061216938868739</c:v>
                </c:pt>
                <c:pt idx="51">
                  <c:v>0.16093981955794004</c:v>
                </c:pt>
                <c:pt idx="52">
                  <c:v>0.1574564809905343</c:v>
                </c:pt>
                <c:pt idx="53">
                  <c:v>0.15518192076648046</c:v>
                </c:pt>
                <c:pt idx="54">
                  <c:v>0.15803964477949789</c:v>
                </c:pt>
                <c:pt idx="55">
                  <c:v>0.15285546518671908</c:v>
                </c:pt>
                <c:pt idx="56">
                  <c:v>0.14406304700800038</c:v>
                </c:pt>
                <c:pt idx="57">
                  <c:v>0.14604773032617374</c:v>
                </c:pt>
                <c:pt idx="58">
                  <c:v>0.14384956550953265</c:v>
                </c:pt>
                <c:pt idx="59">
                  <c:v>0.14228873692644925</c:v>
                </c:pt>
                <c:pt idx="60">
                  <c:v>0.13005956668061383</c:v>
                </c:pt>
                <c:pt idx="61">
                  <c:v>0.12810791421740708</c:v>
                </c:pt>
                <c:pt idx="62">
                  <c:v>0.13198545044408166</c:v>
                </c:pt>
                <c:pt idx="63">
                  <c:v>0.13380810079607208</c:v>
                </c:pt>
                <c:pt idx="64">
                  <c:v>0.13260909193493731</c:v>
                </c:pt>
                <c:pt idx="65">
                  <c:v>0.13399619309477151</c:v>
                </c:pt>
                <c:pt idx="66">
                  <c:v>0.13467302096901149</c:v>
                </c:pt>
                <c:pt idx="67">
                  <c:v>0.1319826734784805</c:v>
                </c:pt>
                <c:pt idx="68">
                  <c:v>0.12460325369241305</c:v>
                </c:pt>
                <c:pt idx="69">
                  <c:v>0.11928331310661223</c:v>
                </c:pt>
                <c:pt idx="70">
                  <c:v>0.112568292209884</c:v>
                </c:pt>
                <c:pt idx="71">
                  <c:v>0.10292510132912762</c:v>
                </c:pt>
                <c:pt idx="72">
                  <c:v>9.72349116594068E-2</c:v>
                </c:pt>
                <c:pt idx="73">
                  <c:v>9.496440939345531E-2</c:v>
                </c:pt>
                <c:pt idx="74">
                  <c:v>8.9019563217553097E-2</c:v>
                </c:pt>
                <c:pt idx="75">
                  <c:v>9.5367731734998809E-2</c:v>
                </c:pt>
                <c:pt idx="76">
                  <c:v>9.0965504281790163E-2</c:v>
                </c:pt>
                <c:pt idx="77">
                  <c:v>8.9420491795447934E-2</c:v>
                </c:pt>
                <c:pt idx="78">
                  <c:v>8.1402460229814844E-2</c:v>
                </c:pt>
                <c:pt idx="79">
                  <c:v>7.6335624042540226E-2</c:v>
                </c:pt>
                <c:pt idx="80">
                  <c:v>7.173550247542318E-2</c:v>
                </c:pt>
                <c:pt idx="81">
                  <c:v>5.4953157916465413E-2</c:v>
                </c:pt>
                <c:pt idx="82">
                  <c:v>5.205215879739148E-2</c:v>
                </c:pt>
                <c:pt idx="83">
                  <c:v>4.9413344713599337E-2</c:v>
                </c:pt>
                <c:pt idx="84">
                  <c:v>4.7180792765782832E-2</c:v>
                </c:pt>
                <c:pt idx="85">
                  <c:v>4.6686900031892971E-2</c:v>
                </c:pt>
                <c:pt idx="86">
                  <c:v>6.9886859695680328E-2</c:v>
                </c:pt>
                <c:pt idx="87">
                  <c:v>5.096738414628163E-2</c:v>
                </c:pt>
                <c:pt idx="88">
                  <c:v>4.7039966503172298E-2</c:v>
                </c:pt>
                <c:pt idx="89">
                  <c:v>7.224912629999751E-2</c:v>
                </c:pt>
                <c:pt idx="90">
                  <c:v>4.6822753748197318E-2</c:v>
                </c:pt>
                <c:pt idx="91">
                  <c:v>7.1844737309149226E-2</c:v>
                </c:pt>
                <c:pt idx="92">
                  <c:v>4.9207478556980488E-2</c:v>
                </c:pt>
                <c:pt idx="93">
                  <c:v>4.7964566335494882E-2</c:v>
                </c:pt>
                <c:pt idx="94">
                  <c:v>4.4649818901901672E-2</c:v>
                </c:pt>
                <c:pt idx="95">
                  <c:v>4.549946835825857E-2</c:v>
                </c:pt>
                <c:pt idx="96">
                  <c:v>4.5227568067817782E-2</c:v>
                </c:pt>
                <c:pt idx="97">
                  <c:v>4.5591146898770321E-2</c:v>
                </c:pt>
                <c:pt idx="98">
                  <c:v>4.5665378773285345E-2</c:v>
                </c:pt>
                <c:pt idx="99">
                  <c:v>4.4615468610924976E-2</c:v>
                </c:pt>
                <c:pt idx="100">
                  <c:v>4.4906254212758887E-2</c:v>
                </c:pt>
                <c:pt idx="101">
                  <c:v>4.3185613750664813E-2</c:v>
                </c:pt>
                <c:pt idx="102">
                  <c:v>4.3652427973649023E-2</c:v>
                </c:pt>
                <c:pt idx="103">
                  <c:v>4.2404741147844371E-2</c:v>
                </c:pt>
                <c:pt idx="104">
                  <c:v>4.2346117432997599E-2</c:v>
                </c:pt>
                <c:pt idx="105">
                  <c:v>4.1410026523826596E-2</c:v>
                </c:pt>
                <c:pt idx="106">
                  <c:v>4.1478360583249704E-2</c:v>
                </c:pt>
                <c:pt idx="107">
                  <c:v>4.1503642075029677E-2</c:v>
                </c:pt>
                <c:pt idx="108">
                  <c:v>4.2908799074787597E-2</c:v>
                </c:pt>
                <c:pt idx="109">
                  <c:v>4.2281253481535178E-2</c:v>
                </c:pt>
                <c:pt idx="110">
                  <c:v>4.2799554398043047E-2</c:v>
                </c:pt>
                <c:pt idx="111">
                  <c:v>4.2354351456645158E-2</c:v>
                </c:pt>
                <c:pt idx="112">
                  <c:v>4.1571962972395946E-2</c:v>
                </c:pt>
                <c:pt idx="113">
                  <c:v>4.0871968549439128E-2</c:v>
                </c:pt>
                <c:pt idx="114">
                  <c:v>4.1640787338377797E-2</c:v>
                </c:pt>
                <c:pt idx="115">
                  <c:v>3.9239560717304708E-2</c:v>
                </c:pt>
                <c:pt idx="116">
                  <c:v>3.9755969037726852E-2</c:v>
                </c:pt>
                <c:pt idx="117">
                  <c:v>3.6245288476941022E-2</c:v>
                </c:pt>
                <c:pt idx="118">
                  <c:v>3.5757483458740358E-2</c:v>
                </c:pt>
                <c:pt idx="119">
                  <c:v>3.5122961205957724E-2</c:v>
                </c:pt>
                <c:pt idx="120">
                  <c:v>3.4664460941500642E-2</c:v>
                </c:pt>
                <c:pt idx="121">
                  <c:v>3.5325100985484414E-2</c:v>
                </c:pt>
                <c:pt idx="122">
                  <c:v>3.4834044174440422E-2</c:v>
                </c:pt>
                <c:pt idx="123">
                  <c:v>3.4308415701912745E-2</c:v>
                </c:pt>
                <c:pt idx="124">
                  <c:v>3.3296921503019217E-2</c:v>
                </c:pt>
                <c:pt idx="125">
                  <c:v>3.4867079617968706E-2</c:v>
                </c:pt>
                <c:pt idx="126">
                  <c:v>3.3978803906561814E-2</c:v>
                </c:pt>
                <c:pt idx="127">
                  <c:v>3.2111182647725764E-2</c:v>
                </c:pt>
                <c:pt idx="128">
                  <c:v>3.1931283778102046E-2</c:v>
                </c:pt>
                <c:pt idx="129">
                  <c:v>3.2571839483413634E-2</c:v>
                </c:pt>
                <c:pt idx="130">
                  <c:v>3.148697174136799E-2</c:v>
                </c:pt>
                <c:pt idx="131">
                  <c:v>3.3164538758277712E-2</c:v>
                </c:pt>
                <c:pt idx="132">
                  <c:v>3.0857412276077495E-2</c:v>
                </c:pt>
                <c:pt idx="133">
                  <c:v>3.0317754770467494E-2</c:v>
                </c:pt>
                <c:pt idx="134">
                  <c:v>2.5887145988479871E-2</c:v>
                </c:pt>
                <c:pt idx="135">
                  <c:v>2.5646721594287467E-2</c:v>
                </c:pt>
                <c:pt idx="136">
                  <c:v>2.6751605554027048E-2</c:v>
                </c:pt>
                <c:pt idx="137">
                  <c:v>4.4797618665330281E-2</c:v>
                </c:pt>
                <c:pt idx="138">
                  <c:v>4.4920045575000116E-2</c:v>
                </c:pt>
                <c:pt idx="139">
                  <c:v>4.4659830253213371E-2</c:v>
                </c:pt>
                <c:pt idx="140">
                  <c:v>2.3557597199237716E-2</c:v>
                </c:pt>
                <c:pt idx="141">
                  <c:v>2.3730009045017892E-2</c:v>
                </c:pt>
                <c:pt idx="142">
                  <c:v>2.5267487512785469E-2</c:v>
                </c:pt>
                <c:pt idx="143">
                  <c:v>2.4084762902424589E-2</c:v>
                </c:pt>
                <c:pt idx="144">
                  <c:v>4.476529754276979E-2</c:v>
                </c:pt>
                <c:pt idx="145">
                  <c:v>2.2413299617390817E-2</c:v>
                </c:pt>
                <c:pt idx="146">
                  <c:v>2.1980010162834702E-2</c:v>
                </c:pt>
                <c:pt idx="147">
                  <c:v>1.1724109391702148E-2</c:v>
                </c:pt>
                <c:pt idx="148">
                  <c:v>1.1728935501183596E-2</c:v>
                </c:pt>
                <c:pt idx="149">
                  <c:v>1.1532482376086423E-2</c:v>
                </c:pt>
                <c:pt idx="150">
                  <c:v>1.1292807919776215E-2</c:v>
                </c:pt>
                <c:pt idx="151">
                  <c:v>1.128891904078784E-2</c:v>
                </c:pt>
                <c:pt idx="152">
                  <c:v>1.4525749099049188E-2</c:v>
                </c:pt>
                <c:pt idx="153">
                  <c:v>1.4479006476337803E-2</c:v>
                </c:pt>
                <c:pt idx="154">
                  <c:v>1.351367366472407E-2</c:v>
                </c:pt>
                <c:pt idx="155">
                  <c:v>1.351367366472407E-2</c:v>
                </c:pt>
                <c:pt idx="156">
                  <c:v>1.3363307302822649E-2</c:v>
                </c:pt>
                <c:pt idx="157">
                  <c:v>1.6305128455904025E-2</c:v>
                </c:pt>
                <c:pt idx="158">
                  <c:v>2.5411801826562424E-2</c:v>
                </c:pt>
                <c:pt idx="159">
                  <c:v>2.5304136856574708E-2</c:v>
                </c:pt>
                <c:pt idx="160">
                  <c:v>2.5410802399427258E-2</c:v>
                </c:pt>
                <c:pt idx="161">
                  <c:v>2.4043134712848517E-2</c:v>
                </c:pt>
                <c:pt idx="162">
                  <c:v>2.3054291488195738E-2</c:v>
                </c:pt>
                <c:pt idx="163">
                  <c:v>2.2239170726628458E-2</c:v>
                </c:pt>
                <c:pt idx="164">
                  <c:v>2.1531394331299806E-2</c:v>
                </c:pt>
                <c:pt idx="165">
                  <c:v>2.019865011772725E-2</c:v>
                </c:pt>
                <c:pt idx="166">
                  <c:v>2.0081592834891283E-2</c:v>
                </c:pt>
                <c:pt idx="167">
                  <c:v>1.9524681078356681E-2</c:v>
                </c:pt>
                <c:pt idx="168">
                  <c:v>2.0213347544899809E-2</c:v>
                </c:pt>
                <c:pt idx="169">
                  <c:v>1.8892996593167274E-2</c:v>
                </c:pt>
                <c:pt idx="170">
                  <c:v>1.6922891803790557E-2</c:v>
                </c:pt>
                <c:pt idx="171">
                  <c:v>1.6713666221238366E-2</c:v>
                </c:pt>
                <c:pt idx="172">
                  <c:v>1.7790630893108381E-2</c:v>
                </c:pt>
                <c:pt idx="173">
                  <c:v>1.8722940985419795E-2</c:v>
                </c:pt>
                <c:pt idx="174">
                  <c:v>1.9939070015846848E-2</c:v>
                </c:pt>
                <c:pt idx="175">
                  <c:v>1.8996775819628307E-2</c:v>
                </c:pt>
                <c:pt idx="176">
                  <c:v>2.1049309244965057E-2</c:v>
                </c:pt>
                <c:pt idx="177">
                  <c:v>2.105030034640671E-2</c:v>
                </c:pt>
                <c:pt idx="178">
                  <c:v>2.0728008508182336E-2</c:v>
                </c:pt>
                <c:pt idx="179">
                  <c:v>2.1290000310313934E-2</c:v>
                </c:pt>
                <c:pt idx="180">
                  <c:v>2.0757495333481906E-2</c:v>
                </c:pt>
                <c:pt idx="181">
                  <c:v>2.0571546036952236E-2</c:v>
                </c:pt>
                <c:pt idx="182">
                  <c:v>2.0873240590211853E-2</c:v>
                </c:pt>
                <c:pt idx="183">
                  <c:v>2.0329081042253921E-2</c:v>
                </c:pt>
                <c:pt idx="184">
                  <c:v>2.0598375176932283E-2</c:v>
                </c:pt>
                <c:pt idx="185">
                  <c:v>1.9250263159247195E-2</c:v>
                </c:pt>
                <c:pt idx="186">
                  <c:v>1.9328269112826306E-2</c:v>
                </c:pt>
                <c:pt idx="187">
                  <c:v>1.895910756066467E-2</c:v>
                </c:pt>
                <c:pt idx="188">
                  <c:v>1.8711451705581715E-2</c:v>
                </c:pt>
                <c:pt idx="189">
                  <c:v>1.7662471844737435E-2</c:v>
                </c:pt>
                <c:pt idx="190">
                  <c:v>1.7205860118774837E-2</c:v>
                </c:pt>
                <c:pt idx="191">
                  <c:v>1.7295633175332146E-2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79-4E97-A16E-6177DA53B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2320528"/>
        <c:axId val="1"/>
      </c:areaChart>
      <c:dateAx>
        <c:axId val="712320528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2"/>
        <c:majorTimeUnit val="years"/>
      </c:dateAx>
      <c:valAx>
        <c:axId val="1"/>
        <c:scaling>
          <c:orientation val="minMax"/>
          <c:min val="0.4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1232052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162759880296564"/>
          <c:y val="0.25641910145847152"/>
          <c:w val="5.6251810826525306E-2"/>
          <c:h val="0.53115399036658872"/>
        </c:manualLayout>
      </c:layout>
      <c:overlay val="0"/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'Moneda - total'!$B$18</c:f>
          <c:strCache>
            <c:ptCount val="1"/>
            <c:pt idx="0">
              <c:v>Composición por moneda - deuda total</c:v>
            </c:pt>
          </c:strCache>
        </c:strRef>
      </c:tx>
      <c:layout>
        <c:manualLayout>
          <c:xMode val="edge"/>
          <c:yMode val="edge"/>
          <c:x val="0.15868083989501311"/>
          <c:y val="0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9063681994433463E-2"/>
          <c:y val="0.19231393240527148"/>
          <c:w val="0.75008651108943714"/>
          <c:h val="0.70280791778100526"/>
        </c:manualLayout>
      </c:layout>
      <c:areaChart>
        <c:grouping val="percentStacked"/>
        <c:varyColors val="0"/>
        <c:ser>
          <c:idx val="0"/>
          <c:order val="0"/>
          <c:tx>
            <c:strRef>
              <c:f>'Moneda - total'!$B$20</c:f>
              <c:strCache>
                <c:ptCount val="1"/>
                <c:pt idx="0">
                  <c:v>USD</c:v>
                </c:pt>
              </c:strCache>
            </c:strRef>
          </c:tx>
          <c:spPr>
            <a:solidFill>
              <a:srgbClr val="B48C41"/>
            </a:solidFill>
          </c:spPr>
          <c:cat>
            <c:numRef>
              <c:f>'Moneda - total'!$A$112:$A$303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total'!$B$112:$B$303</c:f>
              <c:numCache>
                <c:formatCode>0.00%</c:formatCode>
                <c:ptCount val="192"/>
                <c:pt idx="0">
                  <c:v>0.29201272403961398</c:v>
                </c:pt>
                <c:pt idx="1">
                  <c:v>0.29969889288269724</c:v>
                </c:pt>
                <c:pt idx="2">
                  <c:v>0.30094397621610897</c:v>
                </c:pt>
                <c:pt idx="3">
                  <c:v>0.27839100510973269</c:v>
                </c:pt>
                <c:pt idx="4">
                  <c:v>0.26691687254653812</c:v>
                </c:pt>
                <c:pt idx="5">
                  <c:v>0.26632710281330441</c:v>
                </c:pt>
                <c:pt idx="6">
                  <c:v>0.26172464593518741</c:v>
                </c:pt>
                <c:pt idx="7">
                  <c:v>0.25636119372472421</c:v>
                </c:pt>
                <c:pt idx="8">
                  <c:v>0.24560923713788471</c:v>
                </c:pt>
                <c:pt idx="9">
                  <c:v>0.26011945459875668</c:v>
                </c:pt>
                <c:pt idx="10">
                  <c:v>0.25436467397948215</c:v>
                </c:pt>
                <c:pt idx="11">
                  <c:v>0.26237515390850691</c:v>
                </c:pt>
                <c:pt idx="12">
                  <c:v>0.25340608604334364</c:v>
                </c:pt>
                <c:pt idx="13">
                  <c:v>0.25110355772191123</c:v>
                </c:pt>
                <c:pt idx="14">
                  <c:v>0.25004547337652905</c:v>
                </c:pt>
                <c:pt idx="15">
                  <c:v>0.2561954846085302</c:v>
                </c:pt>
                <c:pt idx="16">
                  <c:v>0.25513419826677752</c:v>
                </c:pt>
                <c:pt idx="17">
                  <c:v>0.2475052284440811</c:v>
                </c:pt>
                <c:pt idx="18">
                  <c:v>0.23554204234809248</c:v>
                </c:pt>
                <c:pt idx="19">
                  <c:v>0.22930484999576561</c:v>
                </c:pt>
                <c:pt idx="20">
                  <c:v>0.23014946197707312</c:v>
                </c:pt>
                <c:pt idx="21">
                  <c:v>0.23292451870610054</c:v>
                </c:pt>
                <c:pt idx="22">
                  <c:v>0.23895310774290943</c:v>
                </c:pt>
                <c:pt idx="23">
                  <c:v>0.23436625509423112</c:v>
                </c:pt>
                <c:pt idx="24">
                  <c:v>0.23542715608602768</c:v>
                </c:pt>
                <c:pt idx="25">
                  <c:v>0.23634921980179224</c:v>
                </c:pt>
                <c:pt idx="26">
                  <c:v>0.23282294868537373</c:v>
                </c:pt>
                <c:pt idx="27">
                  <c:v>0.21842517464137795</c:v>
                </c:pt>
                <c:pt idx="28">
                  <c:v>0.2283522425077544</c:v>
                </c:pt>
                <c:pt idx="29">
                  <c:v>0.22385704469768986</c:v>
                </c:pt>
                <c:pt idx="30">
                  <c:v>0.23433506662261921</c:v>
                </c:pt>
                <c:pt idx="31">
                  <c:v>0.23211579246129324</c:v>
                </c:pt>
                <c:pt idx="32">
                  <c:v>0.24555761577119681</c:v>
                </c:pt>
                <c:pt idx="33">
                  <c:v>0.23857658533093526</c:v>
                </c:pt>
                <c:pt idx="34">
                  <c:v>0.24862161047993206</c:v>
                </c:pt>
                <c:pt idx="35">
                  <c:v>0.24601464758444197</c:v>
                </c:pt>
                <c:pt idx="36">
                  <c:v>0.2352344134132261</c:v>
                </c:pt>
                <c:pt idx="37">
                  <c:v>0.22746083785952492</c:v>
                </c:pt>
                <c:pt idx="38">
                  <c:v>0.2288120680958419</c:v>
                </c:pt>
                <c:pt idx="39">
                  <c:v>0.22691259550761614</c:v>
                </c:pt>
                <c:pt idx="40">
                  <c:v>0.23224807904728789</c:v>
                </c:pt>
                <c:pt idx="41">
                  <c:v>0.22930308355283524</c:v>
                </c:pt>
                <c:pt idx="42">
                  <c:v>0.22556692714995302</c:v>
                </c:pt>
                <c:pt idx="43">
                  <c:v>0.23166070344633227</c:v>
                </c:pt>
                <c:pt idx="44">
                  <c:v>0.22667413171470488</c:v>
                </c:pt>
                <c:pt idx="45">
                  <c:v>0.23026460909251209</c:v>
                </c:pt>
                <c:pt idx="46">
                  <c:v>0.22506069568415452</c:v>
                </c:pt>
                <c:pt idx="47">
                  <c:v>0.22317740033611555</c:v>
                </c:pt>
                <c:pt idx="48">
                  <c:v>0.226119943175001</c:v>
                </c:pt>
                <c:pt idx="49">
                  <c:v>0.22662635983491097</c:v>
                </c:pt>
                <c:pt idx="50">
                  <c:v>0.22541503934857501</c:v>
                </c:pt>
                <c:pt idx="51">
                  <c:v>0.22675026891179556</c:v>
                </c:pt>
                <c:pt idx="52">
                  <c:v>0.2319790168608683</c:v>
                </c:pt>
                <c:pt idx="53">
                  <c:v>0.23397747632086166</c:v>
                </c:pt>
                <c:pt idx="54">
                  <c:v>0.22672334694710289</c:v>
                </c:pt>
                <c:pt idx="55">
                  <c:v>0.22934819401968487</c:v>
                </c:pt>
                <c:pt idx="56">
                  <c:v>0.23615473231915235</c:v>
                </c:pt>
                <c:pt idx="57">
                  <c:v>0.2301836045187611</c:v>
                </c:pt>
                <c:pt idx="58">
                  <c:v>0.23521849160002578</c:v>
                </c:pt>
                <c:pt idx="59">
                  <c:v>0.23196092434652044</c:v>
                </c:pt>
                <c:pt idx="60">
                  <c:v>0.25419363727290789</c:v>
                </c:pt>
                <c:pt idx="61">
                  <c:v>0.25501165855938407</c:v>
                </c:pt>
                <c:pt idx="62">
                  <c:v>0.24120108426659898</c:v>
                </c:pt>
                <c:pt idx="63">
                  <c:v>0.23455421559441272</c:v>
                </c:pt>
                <c:pt idx="64">
                  <c:v>0.23679373784085178</c:v>
                </c:pt>
                <c:pt idx="65">
                  <c:v>0.22915710429226666</c:v>
                </c:pt>
                <c:pt idx="66">
                  <c:v>0.22698210753775899</c:v>
                </c:pt>
                <c:pt idx="67">
                  <c:v>0.22950823480982133</c:v>
                </c:pt>
                <c:pt idx="68">
                  <c:v>0.23655401105389717</c:v>
                </c:pt>
                <c:pt idx="69">
                  <c:v>0.24059122168196848</c:v>
                </c:pt>
                <c:pt idx="70">
                  <c:v>0.25279050502741135</c:v>
                </c:pt>
                <c:pt idx="71">
                  <c:v>0.27399031437656568</c:v>
                </c:pt>
                <c:pt idx="72">
                  <c:v>0.28546799786856353</c:v>
                </c:pt>
                <c:pt idx="73">
                  <c:v>0.29113615499023077</c:v>
                </c:pt>
                <c:pt idx="74">
                  <c:v>0.30253905297620692</c:v>
                </c:pt>
                <c:pt idx="75">
                  <c:v>0.28570212489629143</c:v>
                </c:pt>
                <c:pt idx="76">
                  <c:v>0.28983826777409682</c:v>
                </c:pt>
                <c:pt idx="77">
                  <c:v>0.29542986418331479</c:v>
                </c:pt>
                <c:pt idx="78">
                  <c:v>0.31885574491519736</c:v>
                </c:pt>
                <c:pt idx="79">
                  <c:v>0.33138118177436376</c:v>
                </c:pt>
                <c:pt idx="80">
                  <c:v>0.33442752857410868</c:v>
                </c:pt>
                <c:pt idx="81">
                  <c:v>0.33483927698826121</c:v>
                </c:pt>
                <c:pt idx="82">
                  <c:v>0.34714494100360538</c:v>
                </c:pt>
                <c:pt idx="83">
                  <c:v>0.34795645544624221</c:v>
                </c:pt>
                <c:pt idx="84">
                  <c:v>0.35875452083126175</c:v>
                </c:pt>
                <c:pt idx="85">
                  <c:v>0.35227814596950585</c:v>
                </c:pt>
                <c:pt idx="86">
                  <c:v>0.32384668140064221</c:v>
                </c:pt>
                <c:pt idx="87">
                  <c:v>0.30957558486596581</c:v>
                </c:pt>
                <c:pt idx="88">
                  <c:v>0.31474018403172849</c:v>
                </c:pt>
                <c:pt idx="89">
                  <c:v>0.30406234505029373</c:v>
                </c:pt>
                <c:pt idx="90">
                  <c:v>0.31554517869134341</c:v>
                </c:pt>
                <c:pt idx="91">
                  <c:v>0.30191968122934021</c:v>
                </c:pt>
                <c:pt idx="92">
                  <c:v>0.2953984992031557</c:v>
                </c:pt>
                <c:pt idx="93">
                  <c:v>0.29924956283705356</c:v>
                </c:pt>
                <c:pt idx="94">
                  <c:v>0.31306490299095907</c:v>
                </c:pt>
                <c:pt idx="95">
                  <c:v>0.30332421871309784</c:v>
                </c:pt>
                <c:pt idx="96">
                  <c:v>0.30413109003241773</c:v>
                </c:pt>
                <c:pt idx="97">
                  <c:v>0.29745922913820771</c:v>
                </c:pt>
                <c:pt idx="98">
                  <c:v>0.29196727394994731</c:v>
                </c:pt>
                <c:pt idx="99">
                  <c:v>0.29431076208070367</c:v>
                </c:pt>
                <c:pt idx="100">
                  <c:v>0.2938482945454382</c:v>
                </c:pt>
                <c:pt idx="101">
                  <c:v>0.30276470083175794</c:v>
                </c:pt>
                <c:pt idx="102">
                  <c:v>0.29551386417191922</c:v>
                </c:pt>
                <c:pt idx="103">
                  <c:v>0.29785829704248656</c:v>
                </c:pt>
                <c:pt idx="104">
                  <c:v>0.29661964531152007</c:v>
                </c:pt>
                <c:pt idx="105">
                  <c:v>0.30028705083792512</c:v>
                </c:pt>
                <c:pt idx="106">
                  <c:v>0.2977368624387805</c:v>
                </c:pt>
                <c:pt idx="107">
                  <c:v>0.29403798303224832</c:v>
                </c:pt>
                <c:pt idx="108">
                  <c:v>0.28341499129805409</c:v>
                </c:pt>
                <c:pt idx="109">
                  <c:v>0.28015213956902979</c:v>
                </c:pt>
                <c:pt idx="110">
                  <c:v>0.27226893107300554</c:v>
                </c:pt>
                <c:pt idx="111">
                  <c:v>0.26893124521229828</c:v>
                </c:pt>
                <c:pt idx="112">
                  <c:v>0.26983293906533656</c:v>
                </c:pt>
                <c:pt idx="113">
                  <c:v>0.27208144286655522</c:v>
                </c:pt>
                <c:pt idx="114">
                  <c:v>0.26423658308831971</c:v>
                </c:pt>
                <c:pt idx="115">
                  <c:v>0.26982438854633423</c:v>
                </c:pt>
                <c:pt idx="116">
                  <c:v>0.26459818219235681</c:v>
                </c:pt>
                <c:pt idx="117">
                  <c:v>0.2839079334228311</c:v>
                </c:pt>
                <c:pt idx="118">
                  <c:v>0.28817376411998535</c:v>
                </c:pt>
                <c:pt idx="119">
                  <c:v>0.28333239614950778</c:v>
                </c:pt>
                <c:pt idx="120">
                  <c:v>0.29240545531305107</c:v>
                </c:pt>
                <c:pt idx="121">
                  <c:v>0.28291020058760141</c:v>
                </c:pt>
                <c:pt idx="122">
                  <c:v>0.28320419329008334</c:v>
                </c:pt>
                <c:pt idx="123">
                  <c:v>0.28640116676055677</c:v>
                </c:pt>
                <c:pt idx="124">
                  <c:v>0.29194066598116974</c:v>
                </c:pt>
                <c:pt idx="125">
                  <c:v>0.2772198317794286</c:v>
                </c:pt>
                <c:pt idx="126">
                  <c:v>0.27908372403425707</c:v>
                </c:pt>
                <c:pt idx="127">
                  <c:v>0.2868144733335542</c:v>
                </c:pt>
                <c:pt idx="128">
                  <c:v>0.29278306887369709</c:v>
                </c:pt>
                <c:pt idx="129">
                  <c:v>0.28705200506882667</c:v>
                </c:pt>
                <c:pt idx="130">
                  <c:v>0.29521678175612326</c:v>
                </c:pt>
                <c:pt idx="131">
                  <c:v>0.28963801690671975</c:v>
                </c:pt>
                <c:pt idx="132">
                  <c:v>0.29663792216803153</c:v>
                </c:pt>
                <c:pt idx="133">
                  <c:v>0.29580732500943563</c:v>
                </c:pt>
                <c:pt idx="134">
                  <c:v>0.32933510939234978</c:v>
                </c:pt>
                <c:pt idx="135">
                  <c:v>0.33425797547737574</c:v>
                </c:pt>
                <c:pt idx="136">
                  <c:v>0.31571056464860225</c:v>
                </c:pt>
                <c:pt idx="137">
                  <c:v>0.32935605761510672</c:v>
                </c:pt>
                <c:pt idx="138">
                  <c:v>0.33111737562568438</c:v>
                </c:pt>
                <c:pt idx="139">
                  <c:v>0.33123879952649699</c:v>
                </c:pt>
                <c:pt idx="140">
                  <c:v>0.33533867049315658</c:v>
                </c:pt>
                <c:pt idx="141">
                  <c:v>0.33057881575724801</c:v>
                </c:pt>
                <c:pt idx="142">
                  <c:v>0.31364950349752391</c:v>
                </c:pt>
                <c:pt idx="143">
                  <c:v>0.32440065431080961</c:v>
                </c:pt>
                <c:pt idx="144">
                  <c:v>0.33860354942069876</c:v>
                </c:pt>
                <c:pt idx="145">
                  <c:v>0.3363370191259889</c:v>
                </c:pt>
                <c:pt idx="146">
                  <c:v>0.34216971103923799</c:v>
                </c:pt>
                <c:pt idx="147">
                  <c:v>0.34853641136449426</c:v>
                </c:pt>
                <c:pt idx="148">
                  <c:v>0.34460002242144494</c:v>
                </c:pt>
                <c:pt idx="149">
                  <c:v>0.34786208998628343</c:v>
                </c:pt>
                <c:pt idx="150">
                  <c:v>0.34789269334095674</c:v>
                </c:pt>
                <c:pt idx="151">
                  <c:v>0.34937562424317936</c:v>
                </c:pt>
                <c:pt idx="152">
                  <c:v>0.34355629046440128</c:v>
                </c:pt>
                <c:pt idx="153">
                  <c:v>0.3451774062377686</c:v>
                </c:pt>
                <c:pt idx="154">
                  <c:v>0.35816402639089023</c:v>
                </c:pt>
                <c:pt idx="155">
                  <c:v>0.36107139841376301</c:v>
                </c:pt>
                <c:pt idx="156">
                  <c:v>0.35752528028876168</c:v>
                </c:pt>
                <c:pt idx="157">
                  <c:v>0.34777622094047234</c:v>
                </c:pt>
                <c:pt idx="158">
                  <c:v>0.33317469056721472</c:v>
                </c:pt>
                <c:pt idx="159">
                  <c:v>0.34168042880098004</c:v>
                </c:pt>
                <c:pt idx="160">
                  <c:v>0.33767522239409181</c:v>
                </c:pt>
                <c:pt idx="161">
                  <c:v>0.35233296548279386</c:v>
                </c:pt>
                <c:pt idx="162">
                  <c:v>0.35718430747525876</c:v>
                </c:pt>
                <c:pt idx="163">
                  <c:v>0.36027091035585335</c:v>
                </c:pt>
                <c:pt idx="164">
                  <c:v>0.36314069980699182</c:v>
                </c:pt>
                <c:pt idx="165">
                  <c:v>0.37321101391732003</c:v>
                </c:pt>
                <c:pt idx="166">
                  <c:v>0.37252299972205716</c:v>
                </c:pt>
                <c:pt idx="167">
                  <c:v>0.37377494862019961</c:v>
                </c:pt>
                <c:pt idx="168">
                  <c:v>0.36264384289531176</c:v>
                </c:pt>
                <c:pt idx="169">
                  <c:v>0.37918904474846632</c:v>
                </c:pt>
                <c:pt idx="170">
                  <c:v>0.36321669971028053</c:v>
                </c:pt>
                <c:pt idx="171">
                  <c:v>0.3603416294522363</c:v>
                </c:pt>
                <c:pt idx="172">
                  <c:v>0.34482712810383809</c:v>
                </c:pt>
                <c:pt idx="173">
                  <c:v>0.33285032481965554</c:v>
                </c:pt>
                <c:pt idx="174">
                  <c:v>0.31721832787113435</c:v>
                </c:pt>
                <c:pt idx="175">
                  <c:v>0.32294401309336301</c:v>
                </c:pt>
                <c:pt idx="176">
                  <c:v>0.3239168007777245</c:v>
                </c:pt>
                <c:pt idx="177">
                  <c:v>0.31673063062789331</c:v>
                </c:pt>
                <c:pt idx="178">
                  <c:v>0.32049059194183738</c:v>
                </c:pt>
                <c:pt idx="179">
                  <c:v>0.31707728887925618</c:v>
                </c:pt>
                <c:pt idx="180">
                  <c:v>0.32123301110779939</c:v>
                </c:pt>
                <c:pt idx="181">
                  <c:v>0.31636695355065098</c:v>
                </c:pt>
                <c:pt idx="182">
                  <c:v>0.30782837327902279</c:v>
                </c:pt>
                <c:pt idx="183">
                  <c:v>0.30842744644769121</c:v>
                </c:pt>
                <c:pt idx="184">
                  <c:v>0.30197742813715955</c:v>
                </c:pt>
                <c:pt idx="185">
                  <c:v>0.31131358562419281</c:v>
                </c:pt>
                <c:pt idx="186">
                  <c:v>0.31030918199358509</c:v>
                </c:pt>
                <c:pt idx="187">
                  <c:v>0.30875991521909696</c:v>
                </c:pt>
                <c:pt idx="188">
                  <c:v>0.30596557764869292</c:v>
                </c:pt>
                <c:pt idx="189">
                  <c:v>0.31661019121031297</c:v>
                </c:pt>
                <c:pt idx="190">
                  <c:v>0.32286568825213285</c:v>
                </c:pt>
                <c:pt idx="191">
                  <c:v>0.31790240488256249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FA-46F8-ADA8-A2DFE727C87D}"/>
            </c:ext>
          </c:extLst>
        </c:ser>
        <c:ser>
          <c:idx val="1"/>
          <c:order val="1"/>
          <c:tx>
            <c:strRef>
              <c:f>'Moneda - total'!$C$20</c:f>
              <c:strCache>
                <c:ptCount val="1"/>
                <c:pt idx="0">
                  <c:v>EUR</c:v>
                </c:pt>
              </c:strCache>
            </c:strRef>
          </c:tx>
          <c:spPr>
            <a:solidFill>
              <a:srgbClr val="C5A15F"/>
            </a:solidFill>
          </c:spPr>
          <c:cat>
            <c:numRef>
              <c:f>'Moneda - total'!$A$112:$A$303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total'!$C$112:$C$303</c:f>
              <c:numCache>
                <c:formatCode>0.00%</c:formatCode>
                <c:ptCount val="192"/>
                <c:pt idx="0">
                  <c:v>1.1594839365538054E-2</c:v>
                </c:pt>
                <c:pt idx="1">
                  <c:v>1.1736865155611235E-2</c:v>
                </c:pt>
                <c:pt idx="2">
                  <c:v>1.1852504976544991E-2</c:v>
                </c:pt>
                <c:pt idx="3">
                  <c:v>1.0747530535271915E-2</c:v>
                </c:pt>
                <c:pt idx="4">
                  <c:v>1.048462712630217E-2</c:v>
                </c:pt>
                <c:pt idx="5">
                  <c:v>1.0325588418368664E-2</c:v>
                </c:pt>
                <c:pt idx="6">
                  <c:v>1.0174135325889976E-2</c:v>
                </c:pt>
                <c:pt idx="7">
                  <c:v>1.0035738584399498E-2</c:v>
                </c:pt>
                <c:pt idx="8">
                  <c:v>9.769489470479455E-3</c:v>
                </c:pt>
                <c:pt idx="9">
                  <c:v>9.8280777738866797E-3</c:v>
                </c:pt>
                <c:pt idx="10">
                  <c:v>9.3018615910122043E-3</c:v>
                </c:pt>
                <c:pt idx="11">
                  <c:v>8.9440957328008209E-3</c:v>
                </c:pt>
                <c:pt idx="12">
                  <c:v>8.4171984418221196E-3</c:v>
                </c:pt>
                <c:pt idx="13">
                  <c:v>6.7883292071496204E-3</c:v>
                </c:pt>
                <c:pt idx="14">
                  <c:v>6.6884972737618845E-3</c:v>
                </c:pt>
                <c:pt idx="15">
                  <c:v>6.5744665840591727E-3</c:v>
                </c:pt>
                <c:pt idx="16">
                  <c:v>5.9368756147927066E-3</c:v>
                </c:pt>
                <c:pt idx="17">
                  <c:v>5.694270429662752E-3</c:v>
                </c:pt>
                <c:pt idx="18">
                  <c:v>5.8041611194390354E-3</c:v>
                </c:pt>
                <c:pt idx="19">
                  <c:v>5.5207028880649633E-3</c:v>
                </c:pt>
                <c:pt idx="20">
                  <c:v>5.8907637207334202E-3</c:v>
                </c:pt>
                <c:pt idx="21">
                  <c:v>6.0113322342822267E-3</c:v>
                </c:pt>
                <c:pt idx="22">
                  <c:v>5.6386154264468445E-3</c:v>
                </c:pt>
                <c:pt idx="23">
                  <c:v>5.5446442793792936E-3</c:v>
                </c:pt>
                <c:pt idx="24">
                  <c:v>5.6804187717478492E-3</c:v>
                </c:pt>
                <c:pt idx="25">
                  <c:v>5.7476622088401593E-3</c:v>
                </c:pt>
                <c:pt idx="26">
                  <c:v>5.798932165985711E-3</c:v>
                </c:pt>
                <c:pt idx="27">
                  <c:v>5.6822972512767991E-3</c:v>
                </c:pt>
                <c:pt idx="28">
                  <c:v>2.5137192480858012E-3</c:v>
                </c:pt>
                <c:pt idx="29">
                  <c:v>2.440311784045674E-3</c:v>
                </c:pt>
                <c:pt idx="30">
                  <c:v>2.351031473026476E-3</c:v>
                </c:pt>
                <c:pt idx="31">
                  <c:v>2.3189727275272922E-3</c:v>
                </c:pt>
                <c:pt idx="32">
                  <c:v>2.2939539620138853E-3</c:v>
                </c:pt>
                <c:pt idx="33">
                  <c:v>2.2952958423097937E-3</c:v>
                </c:pt>
                <c:pt idx="34">
                  <c:v>2.1378743637881126E-3</c:v>
                </c:pt>
                <c:pt idx="35">
                  <c:v>1.9674995983259272E-3</c:v>
                </c:pt>
                <c:pt idx="36">
                  <c:v>1.8971157085043763E-3</c:v>
                </c:pt>
                <c:pt idx="37">
                  <c:v>1.8694425113637723E-3</c:v>
                </c:pt>
                <c:pt idx="38">
                  <c:v>1.8619861149426053E-3</c:v>
                </c:pt>
                <c:pt idx="39">
                  <c:v>1.8259892608025118E-3</c:v>
                </c:pt>
                <c:pt idx="40">
                  <c:v>1.6356981737788994E-3</c:v>
                </c:pt>
                <c:pt idx="41">
                  <c:v>1.6150866472784346E-3</c:v>
                </c:pt>
                <c:pt idx="42">
                  <c:v>1.5456629016750724E-3</c:v>
                </c:pt>
                <c:pt idx="43">
                  <c:v>1.6243439981668602E-3</c:v>
                </c:pt>
                <c:pt idx="44">
                  <c:v>1.6037133981341037E-3</c:v>
                </c:pt>
                <c:pt idx="45">
                  <c:v>1.6559313069962275E-3</c:v>
                </c:pt>
                <c:pt idx="46">
                  <c:v>1.4920908137709492E-3</c:v>
                </c:pt>
                <c:pt idx="47">
                  <c:v>1.4233520609223007E-3</c:v>
                </c:pt>
                <c:pt idx="48">
                  <c:v>1.4565604181436399E-3</c:v>
                </c:pt>
                <c:pt idx="49">
                  <c:v>1.4086488765783483E-3</c:v>
                </c:pt>
                <c:pt idx="50">
                  <c:v>1.3736978333572134E-3</c:v>
                </c:pt>
                <c:pt idx="51">
                  <c:v>1.4359901190123753E-3</c:v>
                </c:pt>
                <c:pt idx="52">
                  <c:v>1.3126377579715399E-3</c:v>
                </c:pt>
                <c:pt idx="53">
                  <c:v>1.2938603856773642E-3</c:v>
                </c:pt>
                <c:pt idx="54">
                  <c:v>1.2824993272142905E-3</c:v>
                </c:pt>
                <c:pt idx="55">
                  <c:v>1.2782417196454336E-3</c:v>
                </c:pt>
                <c:pt idx="56">
                  <c:v>1.2472957776386543E-3</c:v>
                </c:pt>
                <c:pt idx="57">
                  <c:v>1.2171061961573234E-3</c:v>
                </c:pt>
                <c:pt idx="58">
                  <c:v>1.1134493745222792E-3</c:v>
                </c:pt>
                <c:pt idx="59">
                  <c:v>1.0813359037803035E-3</c:v>
                </c:pt>
                <c:pt idx="60">
                  <c:v>1.0676251131982672E-3</c:v>
                </c:pt>
                <c:pt idx="61">
                  <c:v>1.091907610053333E-3</c:v>
                </c:pt>
                <c:pt idx="62">
                  <c:v>1.0322690663459909E-3</c:v>
                </c:pt>
                <c:pt idx="63">
                  <c:v>1.0103581025257694E-3</c:v>
                </c:pt>
                <c:pt idx="64">
                  <c:v>8.9019935108848364E-4</c:v>
                </c:pt>
                <c:pt idx="65">
                  <c:v>8.5699837040662311E-4</c:v>
                </c:pt>
                <c:pt idx="66">
                  <c:v>8.3025997855865638E-4</c:v>
                </c:pt>
                <c:pt idx="67">
                  <c:v>8.2719904273817816E-4</c:v>
                </c:pt>
                <c:pt idx="68">
                  <c:v>8.1432166474192937E-4</c:v>
                </c:pt>
                <c:pt idx="69">
                  <c:v>7.8934040670828568E-4</c:v>
                </c:pt>
                <c:pt idx="70">
                  <c:v>7.0778621349286701E-4</c:v>
                </c:pt>
                <c:pt idx="71">
                  <c:v>7.2303477920496368E-4</c:v>
                </c:pt>
                <c:pt idx="72">
                  <c:v>6.680607361555966E-4</c:v>
                </c:pt>
                <c:pt idx="73">
                  <c:v>6.7468955997471755E-4</c:v>
                </c:pt>
                <c:pt idx="74">
                  <c:v>6.4903106914780814E-4</c:v>
                </c:pt>
                <c:pt idx="75">
                  <c:v>6.424846720354153E-4</c:v>
                </c:pt>
                <c:pt idx="76">
                  <c:v>5.2612638620164144E-4</c:v>
                </c:pt>
                <c:pt idx="77">
                  <c:v>5.3754975675127613E-4</c:v>
                </c:pt>
                <c:pt idx="78">
                  <c:v>5.7551361440545397E-4</c:v>
                </c:pt>
                <c:pt idx="79">
                  <c:v>6.1219984945165605E-4</c:v>
                </c:pt>
                <c:pt idx="80">
                  <c:v>5.8204819705336066E-4</c:v>
                </c:pt>
                <c:pt idx="81">
                  <c:v>3.2935359334905416E-3</c:v>
                </c:pt>
                <c:pt idx="82">
                  <c:v>3.1690294996852418E-3</c:v>
                </c:pt>
                <c:pt idx="83">
                  <c:v>9.6365505898946026E-3</c:v>
                </c:pt>
                <c:pt idx="84">
                  <c:v>9.9022687058377655E-3</c:v>
                </c:pt>
                <c:pt idx="85">
                  <c:v>9.6905755281714231E-3</c:v>
                </c:pt>
                <c:pt idx="86">
                  <c:v>2.2562138477126195E-2</c:v>
                </c:pt>
                <c:pt idx="87">
                  <c:v>2.1702749148497142E-2</c:v>
                </c:pt>
                <c:pt idx="88">
                  <c:v>2.7252497510865344E-2</c:v>
                </c:pt>
                <c:pt idx="89">
                  <c:v>2.6319490077364314E-2</c:v>
                </c:pt>
                <c:pt idx="90">
                  <c:v>2.7504110503100598E-2</c:v>
                </c:pt>
                <c:pt idx="91">
                  <c:v>2.6255525478545545E-2</c:v>
                </c:pt>
                <c:pt idx="92">
                  <c:v>2.5968250696323924E-2</c:v>
                </c:pt>
                <c:pt idx="93">
                  <c:v>2.5686217906703741E-2</c:v>
                </c:pt>
                <c:pt idx="94">
                  <c:v>2.6205173435171342E-2</c:v>
                </c:pt>
                <c:pt idx="95">
                  <c:v>3.2972174169814322E-2</c:v>
                </c:pt>
                <c:pt idx="96">
                  <c:v>3.2931906426261738E-2</c:v>
                </c:pt>
                <c:pt idx="97">
                  <c:v>3.1731069713238108E-2</c:v>
                </c:pt>
                <c:pt idx="98">
                  <c:v>3.1411619136906224E-2</c:v>
                </c:pt>
                <c:pt idx="99">
                  <c:v>3.2258822944109561E-2</c:v>
                </c:pt>
                <c:pt idx="100">
                  <c:v>3.3995363856541991E-2</c:v>
                </c:pt>
                <c:pt idx="101">
                  <c:v>3.5597287695690247E-2</c:v>
                </c:pt>
                <c:pt idx="102">
                  <c:v>3.5940119833711273E-2</c:v>
                </c:pt>
                <c:pt idx="103">
                  <c:v>3.4857929700418476E-2</c:v>
                </c:pt>
                <c:pt idx="104">
                  <c:v>3.4632439926858896E-2</c:v>
                </c:pt>
                <c:pt idx="105">
                  <c:v>3.4559266739065508E-2</c:v>
                </c:pt>
                <c:pt idx="106">
                  <c:v>3.5181913310400353E-2</c:v>
                </c:pt>
                <c:pt idx="107">
                  <c:v>3.479891490579131E-2</c:v>
                </c:pt>
                <c:pt idx="108">
                  <c:v>3.446405743142477E-2</c:v>
                </c:pt>
                <c:pt idx="109">
                  <c:v>3.4235956828172098E-2</c:v>
                </c:pt>
                <c:pt idx="110">
                  <c:v>3.8284384396783756E-2</c:v>
                </c:pt>
                <c:pt idx="111">
                  <c:v>3.8786874287874237E-2</c:v>
                </c:pt>
                <c:pt idx="112">
                  <c:v>3.7688830256033569E-2</c:v>
                </c:pt>
                <c:pt idx="113">
                  <c:v>3.8084247591332478E-2</c:v>
                </c:pt>
                <c:pt idx="114">
                  <c:v>3.7092206694859381E-2</c:v>
                </c:pt>
                <c:pt idx="115">
                  <c:v>3.7707166417711858E-2</c:v>
                </c:pt>
                <c:pt idx="116">
                  <c:v>3.9116592365390571E-2</c:v>
                </c:pt>
                <c:pt idx="117">
                  <c:v>3.9802857070654486E-2</c:v>
                </c:pt>
                <c:pt idx="118">
                  <c:v>4.0154018544668227E-2</c:v>
                </c:pt>
                <c:pt idx="119">
                  <c:v>3.9198520441962474E-2</c:v>
                </c:pt>
                <c:pt idx="120">
                  <c:v>3.8799242108094503E-2</c:v>
                </c:pt>
                <c:pt idx="121">
                  <c:v>3.7317684917647802E-2</c:v>
                </c:pt>
                <c:pt idx="122">
                  <c:v>3.7688356520852923E-2</c:v>
                </c:pt>
                <c:pt idx="123">
                  <c:v>3.8027362893434676E-2</c:v>
                </c:pt>
                <c:pt idx="124">
                  <c:v>3.8856618586094668E-2</c:v>
                </c:pt>
                <c:pt idx="125">
                  <c:v>3.7795947744494358E-2</c:v>
                </c:pt>
                <c:pt idx="126">
                  <c:v>3.6945306922764362E-2</c:v>
                </c:pt>
                <c:pt idx="127">
                  <c:v>3.7482146423346553E-2</c:v>
                </c:pt>
                <c:pt idx="128">
                  <c:v>3.8046064399568438E-2</c:v>
                </c:pt>
                <c:pt idx="129">
                  <c:v>3.7930197938485913E-2</c:v>
                </c:pt>
                <c:pt idx="130">
                  <c:v>3.8233722887826088E-2</c:v>
                </c:pt>
                <c:pt idx="131">
                  <c:v>3.7606037187688526E-2</c:v>
                </c:pt>
                <c:pt idx="132">
                  <c:v>3.6598568059747802E-2</c:v>
                </c:pt>
                <c:pt idx="133">
                  <c:v>3.705952199132885E-2</c:v>
                </c:pt>
                <c:pt idx="134">
                  <c:v>4.0336283835623314E-2</c:v>
                </c:pt>
                <c:pt idx="135">
                  <c:v>3.8836780177511215E-2</c:v>
                </c:pt>
                <c:pt idx="136">
                  <c:v>3.660606918828662E-2</c:v>
                </c:pt>
                <c:pt idx="137">
                  <c:v>3.6650261248696005E-2</c:v>
                </c:pt>
                <c:pt idx="138">
                  <c:v>3.7455508755173443E-2</c:v>
                </c:pt>
                <c:pt idx="139">
                  <c:v>3.7494013213395939E-2</c:v>
                </c:pt>
                <c:pt idx="140">
                  <c:v>3.6998536080555429E-2</c:v>
                </c:pt>
                <c:pt idx="141">
                  <c:v>3.6972829743596808E-2</c:v>
                </c:pt>
                <c:pt idx="142">
                  <c:v>3.5661973489748887E-2</c:v>
                </c:pt>
                <c:pt idx="143">
                  <c:v>3.7470678605798148E-2</c:v>
                </c:pt>
                <c:pt idx="144">
                  <c:v>3.7960998623425904E-2</c:v>
                </c:pt>
                <c:pt idx="145">
                  <c:v>3.8083473476682207E-2</c:v>
                </c:pt>
                <c:pt idx="146">
                  <c:v>3.6829868795252629E-2</c:v>
                </c:pt>
                <c:pt idx="147">
                  <c:v>3.7633829644657946E-2</c:v>
                </c:pt>
                <c:pt idx="148">
                  <c:v>3.7370052570531685E-2</c:v>
                </c:pt>
                <c:pt idx="149">
                  <c:v>3.6237921905286997E-2</c:v>
                </c:pt>
                <c:pt idx="150">
                  <c:v>3.6613005163345674E-2</c:v>
                </c:pt>
                <c:pt idx="151">
                  <c:v>3.5898634451729375E-2</c:v>
                </c:pt>
                <c:pt idx="152">
                  <c:v>3.6031082986067067E-2</c:v>
                </c:pt>
                <c:pt idx="153">
                  <c:v>3.5569875533098927E-2</c:v>
                </c:pt>
                <c:pt idx="154">
                  <c:v>3.5517596267722461E-2</c:v>
                </c:pt>
                <c:pt idx="155">
                  <c:v>3.7255849971105696E-2</c:v>
                </c:pt>
                <c:pt idx="156">
                  <c:v>3.527784700398038E-2</c:v>
                </c:pt>
                <c:pt idx="157">
                  <c:v>3.5802488410245838E-2</c:v>
                </c:pt>
                <c:pt idx="158">
                  <c:v>3.4247106354082527E-2</c:v>
                </c:pt>
                <c:pt idx="159">
                  <c:v>3.3478777423088704E-2</c:v>
                </c:pt>
                <c:pt idx="160">
                  <c:v>3.3072388728350964E-2</c:v>
                </c:pt>
                <c:pt idx="161">
                  <c:v>3.3532031854145113E-2</c:v>
                </c:pt>
                <c:pt idx="162">
                  <c:v>3.2892964422228124E-2</c:v>
                </c:pt>
                <c:pt idx="163">
                  <c:v>3.2528114741424641E-2</c:v>
                </c:pt>
                <c:pt idx="164">
                  <c:v>3.3045867238465983E-2</c:v>
                </c:pt>
                <c:pt idx="165">
                  <c:v>3.4269018969779609E-2</c:v>
                </c:pt>
                <c:pt idx="166">
                  <c:v>3.5524852618449856E-2</c:v>
                </c:pt>
                <c:pt idx="167">
                  <c:v>3.6808573662919841E-2</c:v>
                </c:pt>
                <c:pt idx="168">
                  <c:v>3.6314605423726679E-2</c:v>
                </c:pt>
                <c:pt idx="169">
                  <c:v>3.6011409704558538E-2</c:v>
                </c:pt>
                <c:pt idx="170">
                  <c:v>3.5670183158704294E-2</c:v>
                </c:pt>
                <c:pt idx="171">
                  <c:v>3.5935048039498506E-2</c:v>
                </c:pt>
                <c:pt idx="172">
                  <c:v>3.3329058600171921E-2</c:v>
                </c:pt>
                <c:pt idx="173">
                  <c:v>3.2672755311542442E-2</c:v>
                </c:pt>
                <c:pt idx="174">
                  <c:v>3.1568697030351617E-2</c:v>
                </c:pt>
                <c:pt idx="175">
                  <c:v>3.1749465128830645E-2</c:v>
                </c:pt>
                <c:pt idx="176">
                  <c:v>3.0769231031959422E-2</c:v>
                </c:pt>
                <c:pt idx="177">
                  <c:v>3.0533384558089169E-2</c:v>
                </c:pt>
                <c:pt idx="178">
                  <c:v>3.0196938240564224E-2</c:v>
                </c:pt>
                <c:pt idx="179">
                  <c:v>2.9805485219794436E-2</c:v>
                </c:pt>
                <c:pt idx="180">
                  <c:v>2.962795103108937E-2</c:v>
                </c:pt>
                <c:pt idx="181">
                  <c:v>2.9096607222843036E-2</c:v>
                </c:pt>
                <c:pt idx="182">
                  <c:v>3.057488281090863E-2</c:v>
                </c:pt>
                <c:pt idx="183">
                  <c:v>2.9821219386129982E-2</c:v>
                </c:pt>
                <c:pt idx="184">
                  <c:v>2.9853972605535517E-2</c:v>
                </c:pt>
                <c:pt idx="185">
                  <c:v>3.0340044903858554E-2</c:v>
                </c:pt>
                <c:pt idx="186">
                  <c:v>3.018160856422444E-2</c:v>
                </c:pt>
                <c:pt idx="187">
                  <c:v>3.0942770272168799E-2</c:v>
                </c:pt>
                <c:pt idx="188">
                  <c:v>3.0913263490051929E-2</c:v>
                </c:pt>
                <c:pt idx="189">
                  <c:v>3.1163431208091237E-2</c:v>
                </c:pt>
                <c:pt idx="190">
                  <c:v>2.9409659511021542E-2</c:v>
                </c:pt>
                <c:pt idx="191">
                  <c:v>2.8448376861171389E-2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FA-46F8-ADA8-A2DFE727C87D}"/>
            </c:ext>
          </c:extLst>
        </c:ser>
        <c:ser>
          <c:idx val="2"/>
          <c:order val="2"/>
          <c:tx>
            <c:strRef>
              <c:f>'Moneda - total'!$D$20</c:f>
              <c:strCache>
                <c:ptCount val="1"/>
                <c:pt idx="0">
                  <c:v>JPY</c:v>
                </c:pt>
              </c:strCache>
            </c:strRef>
          </c:tx>
          <c:spPr>
            <a:solidFill>
              <a:srgbClr val="CFB17B"/>
            </a:solidFill>
          </c:spPr>
          <c:cat>
            <c:numRef>
              <c:f>'Moneda - total'!$A$112:$A$303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total'!$D$112:$D$303</c:f>
              <c:numCache>
                <c:formatCode>0.00%</c:formatCode>
                <c:ptCount val="192"/>
                <c:pt idx="0">
                  <c:v>6.2594321060701385E-3</c:v>
                </c:pt>
                <c:pt idx="1">
                  <c:v>6.0626177594802471E-3</c:v>
                </c:pt>
                <c:pt idx="2">
                  <c:v>5.8919006257549629E-3</c:v>
                </c:pt>
                <c:pt idx="3">
                  <c:v>5.3636469458718024E-3</c:v>
                </c:pt>
                <c:pt idx="4">
                  <c:v>5.0929946572802641E-3</c:v>
                </c:pt>
                <c:pt idx="5">
                  <c:v>5.020871632449987E-3</c:v>
                </c:pt>
                <c:pt idx="6">
                  <c:v>4.9422916277635431E-3</c:v>
                </c:pt>
                <c:pt idx="7">
                  <c:v>4.9050928174058936E-3</c:v>
                </c:pt>
                <c:pt idx="8">
                  <c:v>4.8154011728503135E-3</c:v>
                </c:pt>
                <c:pt idx="9">
                  <c:v>4.7842670699780841E-3</c:v>
                </c:pt>
                <c:pt idx="10">
                  <c:v>1.033502897257987E-2</c:v>
                </c:pt>
                <c:pt idx="11">
                  <c:v>9.7043888919419591E-3</c:v>
                </c:pt>
                <c:pt idx="12">
                  <c:v>9.5835335846742482E-3</c:v>
                </c:pt>
                <c:pt idx="13">
                  <c:v>8.2775213284061316E-3</c:v>
                </c:pt>
                <c:pt idx="14">
                  <c:v>8.1046984566446947E-3</c:v>
                </c:pt>
                <c:pt idx="15">
                  <c:v>7.7935173260844119E-3</c:v>
                </c:pt>
                <c:pt idx="16">
                  <c:v>8.0580994748152574E-3</c:v>
                </c:pt>
                <c:pt idx="17">
                  <c:v>7.9950230077485331E-3</c:v>
                </c:pt>
                <c:pt idx="18">
                  <c:v>7.841302531426373E-3</c:v>
                </c:pt>
                <c:pt idx="19">
                  <c:v>7.8703055223841821E-3</c:v>
                </c:pt>
                <c:pt idx="20">
                  <c:v>7.8970399350717264E-3</c:v>
                </c:pt>
                <c:pt idx="21">
                  <c:v>8.2098658472766015E-3</c:v>
                </c:pt>
                <c:pt idx="22">
                  <c:v>8.1187015483917963E-3</c:v>
                </c:pt>
                <c:pt idx="23">
                  <c:v>8.0519900313019872E-3</c:v>
                </c:pt>
                <c:pt idx="24">
                  <c:v>8.009032230992863E-3</c:v>
                </c:pt>
                <c:pt idx="25">
                  <c:v>8.0471362672720707E-3</c:v>
                </c:pt>
                <c:pt idx="26">
                  <c:v>7.8349006578789394E-3</c:v>
                </c:pt>
                <c:pt idx="27">
                  <c:v>7.5062873391215394E-3</c:v>
                </c:pt>
                <c:pt idx="28">
                  <c:v>7.8932642842374917E-3</c:v>
                </c:pt>
                <c:pt idx="29">
                  <c:v>7.7808628091899481E-3</c:v>
                </c:pt>
                <c:pt idx="30">
                  <c:v>7.8796984797001104E-3</c:v>
                </c:pt>
                <c:pt idx="31">
                  <c:v>7.8682033127724683E-3</c:v>
                </c:pt>
                <c:pt idx="32">
                  <c:v>8.2662672023342005E-3</c:v>
                </c:pt>
                <c:pt idx="33">
                  <c:v>7.9012891222386677E-3</c:v>
                </c:pt>
                <c:pt idx="34">
                  <c:v>8.2195610703074216E-3</c:v>
                </c:pt>
                <c:pt idx="35">
                  <c:v>8.0622961485393736E-3</c:v>
                </c:pt>
                <c:pt idx="36">
                  <c:v>7.7832687614137128E-3</c:v>
                </c:pt>
                <c:pt idx="37">
                  <c:v>7.098525244648878E-3</c:v>
                </c:pt>
                <c:pt idx="38">
                  <c:v>7.0148060065169243E-3</c:v>
                </c:pt>
                <c:pt idx="39">
                  <c:v>7.1670696207231212E-3</c:v>
                </c:pt>
                <c:pt idx="40">
                  <c:v>7.5195021806565418E-3</c:v>
                </c:pt>
                <c:pt idx="41">
                  <c:v>7.2930564772142126E-3</c:v>
                </c:pt>
                <c:pt idx="42">
                  <c:v>7.3362632566744872E-3</c:v>
                </c:pt>
                <c:pt idx="43">
                  <c:v>7.4952835973102145E-3</c:v>
                </c:pt>
                <c:pt idx="44">
                  <c:v>7.4008055363620449E-3</c:v>
                </c:pt>
                <c:pt idx="45">
                  <c:v>7.3221810537718243E-3</c:v>
                </c:pt>
                <c:pt idx="46">
                  <c:v>6.9864329482894096E-3</c:v>
                </c:pt>
                <c:pt idx="47">
                  <c:v>4.3055627689046862E-3</c:v>
                </c:pt>
                <c:pt idx="48">
                  <c:v>4.0675731978400704E-3</c:v>
                </c:pt>
                <c:pt idx="49">
                  <c:v>4.0354925073360854E-3</c:v>
                </c:pt>
                <c:pt idx="50">
                  <c:v>3.9455086034303763E-3</c:v>
                </c:pt>
                <c:pt idx="51">
                  <c:v>3.8291765427107319E-3</c:v>
                </c:pt>
                <c:pt idx="52">
                  <c:v>3.8024679308987534E-3</c:v>
                </c:pt>
                <c:pt idx="53">
                  <c:v>3.8905707789834779E-3</c:v>
                </c:pt>
                <c:pt idx="54">
                  <c:v>3.8137539518173134E-3</c:v>
                </c:pt>
                <c:pt idx="55">
                  <c:v>3.8345601813235958E-3</c:v>
                </c:pt>
                <c:pt idx="56">
                  <c:v>3.6606513087335357E-3</c:v>
                </c:pt>
                <c:pt idx="57">
                  <c:v>3.564535001389129E-3</c:v>
                </c:pt>
                <c:pt idx="58">
                  <c:v>3.5151381364016202E-3</c:v>
                </c:pt>
                <c:pt idx="59">
                  <c:v>3.3282193850096529E-3</c:v>
                </c:pt>
                <c:pt idx="60">
                  <c:v>3.5076649907218919E-3</c:v>
                </c:pt>
                <c:pt idx="61">
                  <c:v>3.5154878257553906E-3</c:v>
                </c:pt>
                <c:pt idx="62">
                  <c:v>3.2993678339533752E-3</c:v>
                </c:pt>
                <c:pt idx="63">
                  <c:v>3.236453431007218E-3</c:v>
                </c:pt>
                <c:pt idx="64">
                  <c:v>3.3038015149745889E-3</c:v>
                </c:pt>
                <c:pt idx="65">
                  <c:v>3.2199536893347471E-3</c:v>
                </c:pt>
                <c:pt idx="66">
                  <c:v>3.1469472150371229E-3</c:v>
                </c:pt>
                <c:pt idx="67">
                  <c:v>3.1521197153570567E-3</c:v>
                </c:pt>
                <c:pt idx="68">
                  <c:v>3.0799950292735526E-3</c:v>
                </c:pt>
                <c:pt idx="69">
                  <c:v>2.9442736962354854E-3</c:v>
                </c:pt>
                <c:pt idx="70">
                  <c:v>2.9429146267958214E-3</c:v>
                </c:pt>
                <c:pt idx="71">
                  <c:v>3.0976052941715602E-3</c:v>
                </c:pt>
                <c:pt idx="72">
                  <c:v>3.1525890814497843E-3</c:v>
                </c:pt>
                <c:pt idx="73">
                  <c:v>3.1504741273154836E-3</c:v>
                </c:pt>
                <c:pt idx="74">
                  <c:v>3.1735864283010018E-3</c:v>
                </c:pt>
                <c:pt idx="75">
                  <c:v>3.0048494575161803E-3</c:v>
                </c:pt>
                <c:pt idx="76">
                  <c:v>2.957781434636441E-3</c:v>
                </c:pt>
                <c:pt idx="77">
                  <c:v>3.0640733780289689E-3</c:v>
                </c:pt>
                <c:pt idx="78">
                  <c:v>3.2675889917883143E-3</c:v>
                </c:pt>
                <c:pt idx="79">
                  <c:v>3.5045691420725264E-3</c:v>
                </c:pt>
                <c:pt idx="80">
                  <c:v>3.4107091440340465E-3</c:v>
                </c:pt>
                <c:pt idx="81">
                  <c:v>3.3462168836765312E-3</c:v>
                </c:pt>
                <c:pt idx="82">
                  <c:v>3.4268843144904565E-3</c:v>
                </c:pt>
                <c:pt idx="83">
                  <c:v>3.4476200592571979E-3</c:v>
                </c:pt>
                <c:pt idx="84">
                  <c:v>3.5896218867659015E-3</c:v>
                </c:pt>
                <c:pt idx="85">
                  <c:v>3.7172097403850072E-3</c:v>
                </c:pt>
                <c:pt idx="86">
                  <c:v>3.4381857541248193E-3</c:v>
                </c:pt>
                <c:pt idx="87">
                  <c:v>3.4540602217791277E-3</c:v>
                </c:pt>
                <c:pt idx="88">
                  <c:v>3.405614810793693E-3</c:v>
                </c:pt>
                <c:pt idx="89">
                  <c:v>3.5635146235626818E-3</c:v>
                </c:pt>
                <c:pt idx="90">
                  <c:v>3.7033935842299913E-3</c:v>
                </c:pt>
                <c:pt idx="91">
                  <c:v>3.5168236492219957E-3</c:v>
                </c:pt>
                <c:pt idx="92">
                  <c:v>3.5227999268101296E-3</c:v>
                </c:pt>
                <c:pt idx="93">
                  <c:v>3.4415706205053352E-3</c:v>
                </c:pt>
                <c:pt idx="94">
                  <c:v>3.2758308089668522E-3</c:v>
                </c:pt>
                <c:pt idx="95">
                  <c:v>3.0688640134685112E-3</c:v>
                </c:pt>
                <c:pt idx="96">
                  <c:v>3.0997885390399494E-3</c:v>
                </c:pt>
                <c:pt idx="97">
                  <c:v>3.0581523500130443E-3</c:v>
                </c:pt>
                <c:pt idx="98">
                  <c:v>3.0213534488131985E-3</c:v>
                </c:pt>
                <c:pt idx="99">
                  <c:v>3.0441781999034755E-3</c:v>
                </c:pt>
                <c:pt idx="100">
                  <c:v>3.0722166061809475E-3</c:v>
                </c:pt>
                <c:pt idx="101">
                  <c:v>3.1230631565509416E-3</c:v>
                </c:pt>
                <c:pt idx="102">
                  <c:v>3.1018640106606587E-3</c:v>
                </c:pt>
                <c:pt idx="103">
                  <c:v>2.9966375956267804E-3</c:v>
                </c:pt>
                <c:pt idx="104">
                  <c:v>2.9252794786494068E-3</c:v>
                </c:pt>
                <c:pt idx="105">
                  <c:v>2.9355061049437252E-3</c:v>
                </c:pt>
                <c:pt idx="106">
                  <c:v>2.9652802555244738E-3</c:v>
                </c:pt>
                <c:pt idx="107">
                  <c:v>2.8949919491824136E-3</c:v>
                </c:pt>
                <c:pt idx="108">
                  <c:v>2.8492421530191955E-3</c:v>
                </c:pt>
                <c:pt idx="109">
                  <c:v>2.8854637830951894E-3</c:v>
                </c:pt>
                <c:pt idx="110">
                  <c:v>2.8192142160413237E-3</c:v>
                </c:pt>
                <c:pt idx="111">
                  <c:v>2.7109248083006187E-3</c:v>
                </c:pt>
                <c:pt idx="112">
                  <c:v>2.747349232743391E-3</c:v>
                </c:pt>
                <c:pt idx="113">
                  <c:v>2.7217165680823389E-3</c:v>
                </c:pt>
                <c:pt idx="114">
                  <c:v>2.615863531745863E-3</c:v>
                </c:pt>
                <c:pt idx="115">
                  <c:v>2.7015330522472949E-3</c:v>
                </c:pt>
                <c:pt idx="116">
                  <c:v>2.5927921542293394E-3</c:v>
                </c:pt>
                <c:pt idx="117">
                  <c:v>2.7197487613663312E-3</c:v>
                </c:pt>
                <c:pt idx="118">
                  <c:v>2.7362419337108325E-3</c:v>
                </c:pt>
                <c:pt idx="119">
                  <c:v>2.7369500928226148E-3</c:v>
                </c:pt>
                <c:pt idx="120">
                  <c:v>2.721906928434189E-3</c:v>
                </c:pt>
                <c:pt idx="121">
                  <c:v>2.577821245313154E-3</c:v>
                </c:pt>
                <c:pt idx="122">
                  <c:v>2.6552155791779021E-3</c:v>
                </c:pt>
                <c:pt idx="123">
                  <c:v>2.6655240655405767E-3</c:v>
                </c:pt>
                <c:pt idx="124">
                  <c:v>2.8200804115719844E-3</c:v>
                </c:pt>
                <c:pt idx="125">
                  <c:v>2.7038612150075284E-3</c:v>
                </c:pt>
                <c:pt idx="126">
                  <c:v>2.6944893298629252E-3</c:v>
                </c:pt>
                <c:pt idx="127">
                  <c:v>2.8168170563465668E-3</c:v>
                </c:pt>
                <c:pt idx="128">
                  <c:v>2.835191795978422E-3</c:v>
                </c:pt>
                <c:pt idx="129">
                  <c:v>2.76011868557831E-3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FA-46F8-ADA8-A2DFE727C87D}"/>
            </c:ext>
          </c:extLst>
        </c:ser>
        <c:ser>
          <c:idx val="3"/>
          <c:order val="3"/>
          <c:tx>
            <c:strRef>
              <c:f>'Moneda - total'!$E$20</c:f>
              <c:strCache>
                <c:ptCount val="1"/>
                <c:pt idx="0">
                  <c:v>UVR (COP)</c:v>
                </c:pt>
              </c:strCache>
            </c:strRef>
          </c:tx>
          <c:spPr>
            <a:solidFill>
              <a:srgbClr val="D9C197"/>
            </a:solidFill>
          </c:spPr>
          <c:cat>
            <c:numRef>
              <c:f>'Moneda - total'!$A$112:$A$303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total'!$E$112:$E$303</c:f>
              <c:numCache>
                <c:formatCode>0.00%</c:formatCode>
                <c:ptCount val="192"/>
                <c:pt idx="0">
                  <c:v>0.15926900589804449</c:v>
                </c:pt>
                <c:pt idx="1">
                  <c:v>0.15732914485655222</c:v>
                </c:pt>
                <c:pt idx="2">
                  <c:v>0.15263275706134732</c:v>
                </c:pt>
                <c:pt idx="3">
                  <c:v>0.15784205654727557</c:v>
                </c:pt>
                <c:pt idx="4">
                  <c:v>0.1663218825318504</c:v>
                </c:pt>
                <c:pt idx="5">
                  <c:v>0.16628535292455232</c:v>
                </c:pt>
                <c:pt idx="6">
                  <c:v>0.17469327103116222</c:v>
                </c:pt>
                <c:pt idx="7">
                  <c:v>0.17267465428470866</c:v>
                </c:pt>
                <c:pt idx="8">
                  <c:v>0.17719377687608873</c:v>
                </c:pt>
                <c:pt idx="9">
                  <c:v>0.17002886642108803</c:v>
                </c:pt>
                <c:pt idx="10">
                  <c:v>0.15781825498541663</c:v>
                </c:pt>
                <c:pt idx="11">
                  <c:v>0.15294195050079945</c:v>
                </c:pt>
                <c:pt idx="12">
                  <c:v>0.15354727954573069</c:v>
                </c:pt>
                <c:pt idx="13">
                  <c:v>0.1575946989556079</c:v>
                </c:pt>
                <c:pt idx="14">
                  <c:v>0.15923022796735353</c:v>
                </c:pt>
                <c:pt idx="15">
                  <c:v>0.16942401564829049</c:v>
                </c:pt>
                <c:pt idx="16">
                  <c:v>0.17260092054703213</c:v>
                </c:pt>
                <c:pt idx="17">
                  <c:v>0.17480947601793137</c:v>
                </c:pt>
                <c:pt idx="18">
                  <c:v>0.17623286849117606</c:v>
                </c:pt>
                <c:pt idx="19">
                  <c:v>0.17586754161881987</c:v>
                </c:pt>
                <c:pt idx="20">
                  <c:v>0.15970936281381704</c:v>
                </c:pt>
                <c:pt idx="21">
                  <c:v>0.15773342972554902</c:v>
                </c:pt>
                <c:pt idx="22">
                  <c:v>0.15660376629793241</c:v>
                </c:pt>
                <c:pt idx="23">
                  <c:v>0.15157435862258437</c:v>
                </c:pt>
                <c:pt idx="24">
                  <c:v>0.16204993459147174</c:v>
                </c:pt>
                <c:pt idx="25">
                  <c:v>0.16289668526771117</c:v>
                </c:pt>
                <c:pt idx="26">
                  <c:v>0.16276613069569229</c:v>
                </c:pt>
                <c:pt idx="27">
                  <c:v>0.16661460452672297</c:v>
                </c:pt>
                <c:pt idx="28">
                  <c:v>0.17522023794206343</c:v>
                </c:pt>
                <c:pt idx="29">
                  <c:v>0.17997396321900677</c:v>
                </c:pt>
                <c:pt idx="30">
                  <c:v>0.1771865672251984</c:v>
                </c:pt>
                <c:pt idx="31">
                  <c:v>0.17904585059425643</c:v>
                </c:pt>
                <c:pt idx="32">
                  <c:v>0.17262102603782523</c:v>
                </c:pt>
                <c:pt idx="33">
                  <c:v>0.17426181013604883</c:v>
                </c:pt>
                <c:pt idx="34">
                  <c:v>0.17154752978032772</c:v>
                </c:pt>
                <c:pt idx="35">
                  <c:v>0.16986090143380003</c:v>
                </c:pt>
                <c:pt idx="36">
                  <c:v>0.17258150551306312</c:v>
                </c:pt>
                <c:pt idx="37">
                  <c:v>0.17442442489299964</c:v>
                </c:pt>
                <c:pt idx="38">
                  <c:v>0.17654606441088275</c:v>
                </c:pt>
                <c:pt idx="39">
                  <c:v>0.18123903791453333</c:v>
                </c:pt>
                <c:pt idx="40">
                  <c:v>0.17304061784460409</c:v>
                </c:pt>
                <c:pt idx="41">
                  <c:v>0.17505308797549712</c:v>
                </c:pt>
                <c:pt idx="42">
                  <c:v>0.17851399600171455</c:v>
                </c:pt>
                <c:pt idx="43">
                  <c:v>0.18252190537539167</c:v>
                </c:pt>
                <c:pt idx="44">
                  <c:v>0.18420322068818776</c:v>
                </c:pt>
                <c:pt idx="45">
                  <c:v>0.17891636772872804</c:v>
                </c:pt>
                <c:pt idx="46">
                  <c:v>0.18276006478332804</c:v>
                </c:pt>
                <c:pt idx="47">
                  <c:v>0.18158763182182733</c:v>
                </c:pt>
                <c:pt idx="48">
                  <c:v>0.180591813578838</c:v>
                </c:pt>
                <c:pt idx="49">
                  <c:v>0.17699659522766495</c:v>
                </c:pt>
                <c:pt idx="50">
                  <c:v>0.15210923353510722</c:v>
                </c:pt>
                <c:pt idx="51">
                  <c:v>0.1557494754407214</c:v>
                </c:pt>
                <c:pt idx="52">
                  <c:v>0.15759147212486732</c:v>
                </c:pt>
                <c:pt idx="53">
                  <c:v>0.15948086910179363</c:v>
                </c:pt>
                <c:pt idx="54">
                  <c:v>0.16052231345428958</c:v>
                </c:pt>
                <c:pt idx="55">
                  <c:v>0.15894224009058033</c:v>
                </c:pt>
                <c:pt idx="56">
                  <c:v>0.1582637952942707</c:v>
                </c:pt>
                <c:pt idx="57">
                  <c:v>0.16095264355022437</c:v>
                </c:pt>
                <c:pt idx="58">
                  <c:v>0.16154477658111902</c:v>
                </c:pt>
                <c:pt idx="59">
                  <c:v>0.15659608037178666</c:v>
                </c:pt>
                <c:pt idx="60">
                  <c:v>0.15872106559162694</c:v>
                </c:pt>
                <c:pt idx="61">
                  <c:v>0.16001768387893203</c:v>
                </c:pt>
                <c:pt idx="62">
                  <c:v>0.16856405629198168</c:v>
                </c:pt>
                <c:pt idx="63">
                  <c:v>0.1743441732823946</c:v>
                </c:pt>
                <c:pt idx="64">
                  <c:v>0.18325328606744867</c:v>
                </c:pt>
                <c:pt idx="65">
                  <c:v>0.18059727147148574</c:v>
                </c:pt>
                <c:pt idx="66">
                  <c:v>0.18525880409535758</c:v>
                </c:pt>
                <c:pt idx="67">
                  <c:v>0.18679610995907933</c:v>
                </c:pt>
                <c:pt idx="68">
                  <c:v>0.18646035505913042</c:v>
                </c:pt>
                <c:pt idx="69">
                  <c:v>0.17722144521725533</c:v>
                </c:pt>
                <c:pt idx="70">
                  <c:v>0.1776791022342378</c:v>
                </c:pt>
                <c:pt idx="71">
                  <c:v>0.17142371777043983</c:v>
                </c:pt>
                <c:pt idx="72">
                  <c:v>0.17446615246891967</c:v>
                </c:pt>
                <c:pt idx="73">
                  <c:v>0.1541209862596401</c:v>
                </c:pt>
                <c:pt idx="74">
                  <c:v>0.15452287329382114</c:v>
                </c:pt>
                <c:pt idx="75">
                  <c:v>0.1609338702167627</c:v>
                </c:pt>
                <c:pt idx="76">
                  <c:v>0.15685035760052141</c:v>
                </c:pt>
                <c:pt idx="77">
                  <c:v>0.1614138938051182</c:v>
                </c:pt>
                <c:pt idx="78">
                  <c:v>0.16093721267664587</c:v>
                </c:pt>
                <c:pt idx="79">
                  <c:v>0.15969759287599214</c:v>
                </c:pt>
                <c:pt idx="80">
                  <c:v>0.15827739796173224</c:v>
                </c:pt>
                <c:pt idx="81">
                  <c:v>0.16896855299781222</c:v>
                </c:pt>
                <c:pt idx="82">
                  <c:v>0.17204043558824755</c:v>
                </c:pt>
                <c:pt idx="83">
                  <c:v>0.16878187727690411</c:v>
                </c:pt>
                <c:pt idx="84">
                  <c:v>0.16986087847304021</c:v>
                </c:pt>
                <c:pt idx="85">
                  <c:v>0.17555786884024899</c:v>
                </c:pt>
                <c:pt idx="86">
                  <c:v>0.18296111637322732</c:v>
                </c:pt>
                <c:pt idx="87">
                  <c:v>0.18860251132989422</c:v>
                </c:pt>
                <c:pt idx="88">
                  <c:v>0.17618034714304232</c:v>
                </c:pt>
                <c:pt idx="89">
                  <c:v>0.18400473564260231</c:v>
                </c:pt>
                <c:pt idx="90">
                  <c:v>0.18376355266673053</c:v>
                </c:pt>
                <c:pt idx="91">
                  <c:v>0.18870336148496111</c:v>
                </c:pt>
                <c:pt idx="92">
                  <c:v>0.19212149659157676</c:v>
                </c:pt>
                <c:pt idx="93">
                  <c:v>0.18960419909961548</c:v>
                </c:pt>
                <c:pt idx="94">
                  <c:v>0.18441913212958266</c:v>
                </c:pt>
                <c:pt idx="95">
                  <c:v>0.18699560076952729</c:v>
                </c:pt>
                <c:pt idx="96">
                  <c:v>0.19034230380979716</c:v>
                </c:pt>
                <c:pt idx="97">
                  <c:v>0.19347703234814301</c:v>
                </c:pt>
                <c:pt idx="98">
                  <c:v>0.19598533047678843</c:v>
                </c:pt>
                <c:pt idx="99">
                  <c:v>0.19691779028522774</c:v>
                </c:pt>
                <c:pt idx="100">
                  <c:v>0.18009609708387123</c:v>
                </c:pt>
                <c:pt idx="101">
                  <c:v>0.18195002262056686</c:v>
                </c:pt>
                <c:pt idx="102">
                  <c:v>0.18372086251188985</c:v>
                </c:pt>
                <c:pt idx="103">
                  <c:v>0.1829608104874994</c:v>
                </c:pt>
                <c:pt idx="104">
                  <c:v>0.18479459401537515</c:v>
                </c:pt>
                <c:pt idx="105">
                  <c:v>0.18408524796740605</c:v>
                </c:pt>
                <c:pt idx="106">
                  <c:v>0.184788927970161</c:v>
                </c:pt>
                <c:pt idx="107">
                  <c:v>0.18439102708163976</c:v>
                </c:pt>
                <c:pt idx="108">
                  <c:v>0.18991002047611968</c:v>
                </c:pt>
                <c:pt idx="109">
                  <c:v>0.19085191949977212</c:v>
                </c:pt>
                <c:pt idx="110">
                  <c:v>0.19463326027613828</c:v>
                </c:pt>
                <c:pt idx="111">
                  <c:v>0.1980970385640328</c:v>
                </c:pt>
                <c:pt idx="112">
                  <c:v>0.19953138136402973</c:v>
                </c:pt>
                <c:pt idx="113">
                  <c:v>0.20088778309989422</c:v>
                </c:pt>
                <c:pt idx="114">
                  <c:v>0.20307365499718597</c:v>
                </c:pt>
                <c:pt idx="115">
                  <c:v>0.20224846470499011</c:v>
                </c:pt>
                <c:pt idx="116">
                  <c:v>0.20339272549932433</c:v>
                </c:pt>
                <c:pt idx="117">
                  <c:v>0.21176664394637262</c:v>
                </c:pt>
                <c:pt idx="118">
                  <c:v>0.21263223740556841</c:v>
                </c:pt>
                <c:pt idx="119">
                  <c:v>0.20569384858924797</c:v>
                </c:pt>
                <c:pt idx="120">
                  <c:v>0.21152778461165817</c:v>
                </c:pt>
                <c:pt idx="121">
                  <c:v>0.21436907819489426</c:v>
                </c:pt>
                <c:pt idx="122">
                  <c:v>0.21594038740380117</c:v>
                </c:pt>
                <c:pt idx="123">
                  <c:v>0.20381170468255091</c:v>
                </c:pt>
                <c:pt idx="124">
                  <c:v>0.20249001922851498</c:v>
                </c:pt>
                <c:pt idx="125">
                  <c:v>0.2079540018823976</c:v>
                </c:pt>
                <c:pt idx="126">
                  <c:v>0.20480064315679603</c:v>
                </c:pt>
                <c:pt idx="127">
                  <c:v>0.20208393233325384</c:v>
                </c:pt>
                <c:pt idx="128">
                  <c:v>0.20630009601048163</c:v>
                </c:pt>
                <c:pt idx="129">
                  <c:v>0.20689143282015596</c:v>
                </c:pt>
                <c:pt idx="130">
                  <c:v>0.20375811393361254</c:v>
                </c:pt>
                <c:pt idx="131">
                  <c:v>0.21140112691404089</c:v>
                </c:pt>
                <c:pt idx="132">
                  <c:v>0.20191668784402003</c:v>
                </c:pt>
                <c:pt idx="133">
                  <c:v>0.20133480258854106</c:v>
                </c:pt>
                <c:pt idx="134">
                  <c:v>0.19266410348361068</c:v>
                </c:pt>
                <c:pt idx="135">
                  <c:v>0.19541788240992336</c:v>
                </c:pt>
                <c:pt idx="136">
                  <c:v>0.19109345658620716</c:v>
                </c:pt>
                <c:pt idx="137">
                  <c:v>0.18929721892883392</c:v>
                </c:pt>
                <c:pt idx="138">
                  <c:v>0.18069930457642744</c:v>
                </c:pt>
                <c:pt idx="139">
                  <c:v>0.17990777014878309</c:v>
                </c:pt>
                <c:pt idx="140">
                  <c:v>0.17752894921859411</c:v>
                </c:pt>
                <c:pt idx="141">
                  <c:v>0.17824049891368143</c:v>
                </c:pt>
                <c:pt idx="142">
                  <c:v>0.18287673603775248</c:v>
                </c:pt>
                <c:pt idx="143">
                  <c:v>0.17945267214048349</c:v>
                </c:pt>
                <c:pt idx="144">
                  <c:v>0.17827428382458238</c:v>
                </c:pt>
                <c:pt idx="145">
                  <c:v>0.17826376371926389</c:v>
                </c:pt>
                <c:pt idx="146">
                  <c:v>0.17071571312397132</c:v>
                </c:pt>
                <c:pt idx="147">
                  <c:v>0.16965967013736413</c:v>
                </c:pt>
                <c:pt idx="148">
                  <c:v>0.17170303700758899</c:v>
                </c:pt>
                <c:pt idx="149">
                  <c:v>0.17348038705496865</c:v>
                </c:pt>
                <c:pt idx="150">
                  <c:v>0.17302541195741247</c:v>
                </c:pt>
                <c:pt idx="151">
                  <c:v>0.17532880952780536</c:v>
                </c:pt>
                <c:pt idx="152">
                  <c:v>0.17892399790180336</c:v>
                </c:pt>
                <c:pt idx="153">
                  <c:v>0.17889918912824612</c:v>
                </c:pt>
                <c:pt idx="154">
                  <c:v>0.17952620300267977</c:v>
                </c:pt>
                <c:pt idx="155">
                  <c:v>0.18081091378040168</c:v>
                </c:pt>
                <c:pt idx="156">
                  <c:v>0.18037394580402058</c:v>
                </c:pt>
                <c:pt idx="157">
                  <c:v>0.18408144583126004</c:v>
                </c:pt>
                <c:pt idx="158">
                  <c:v>0.19083929852112827</c:v>
                </c:pt>
                <c:pt idx="159">
                  <c:v>0.18793182338731315</c:v>
                </c:pt>
                <c:pt idx="160">
                  <c:v>0.18752495845746348</c:v>
                </c:pt>
                <c:pt idx="161">
                  <c:v>0.18730848612938378</c:v>
                </c:pt>
                <c:pt idx="162">
                  <c:v>0.18520770636517506</c:v>
                </c:pt>
                <c:pt idx="163">
                  <c:v>0.18460661194166589</c:v>
                </c:pt>
                <c:pt idx="164">
                  <c:v>0.18459903252698928</c:v>
                </c:pt>
                <c:pt idx="165">
                  <c:v>0.18114016402955932</c:v>
                </c:pt>
                <c:pt idx="166">
                  <c:v>0.18194601564631802</c:v>
                </c:pt>
                <c:pt idx="167">
                  <c:v>0.17806769106264952</c:v>
                </c:pt>
                <c:pt idx="168">
                  <c:v>0.18293823178087099</c:v>
                </c:pt>
                <c:pt idx="169">
                  <c:v>0.16824563078826643</c:v>
                </c:pt>
                <c:pt idx="170">
                  <c:v>0.17465393371458335</c:v>
                </c:pt>
                <c:pt idx="171">
                  <c:v>0.17509638831784635</c:v>
                </c:pt>
                <c:pt idx="172">
                  <c:v>0.18130649920304684</c:v>
                </c:pt>
                <c:pt idx="173">
                  <c:v>0.1870124603706429</c:v>
                </c:pt>
                <c:pt idx="174">
                  <c:v>0.19233972808289015</c:v>
                </c:pt>
                <c:pt idx="175">
                  <c:v>0.19124922673500253</c:v>
                </c:pt>
                <c:pt idx="176">
                  <c:v>0.19398212654686045</c:v>
                </c:pt>
                <c:pt idx="177">
                  <c:v>0.19369291288656257</c:v>
                </c:pt>
                <c:pt idx="178">
                  <c:v>0.19272187872532726</c:v>
                </c:pt>
                <c:pt idx="179">
                  <c:v>0.19710240832907597</c:v>
                </c:pt>
                <c:pt idx="180">
                  <c:v>0.19700660247067303</c:v>
                </c:pt>
                <c:pt idx="181">
                  <c:v>0.19651503834501707</c:v>
                </c:pt>
                <c:pt idx="182">
                  <c:v>0.20199509414868005</c:v>
                </c:pt>
                <c:pt idx="183">
                  <c:v>0.20108575825311054</c:v>
                </c:pt>
                <c:pt idx="184">
                  <c:v>0.20337851494232193</c:v>
                </c:pt>
                <c:pt idx="185">
                  <c:v>0.19886152483805003</c:v>
                </c:pt>
                <c:pt idx="186">
                  <c:v>0.20154573664396103</c:v>
                </c:pt>
                <c:pt idx="187">
                  <c:v>0.19911910069581834</c:v>
                </c:pt>
                <c:pt idx="188">
                  <c:v>0.19653082626661655</c:v>
                </c:pt>
                <c:pt idx="189">
                  <c:v>0.19269330639490925</c:v>
                </c:pt>
                <c:pt idx="190">
                  <c:v>0.18622323343755387</c:v>
                </c:pt>
                <c:pt idx="191">
                  <c:v>0.18514978485321509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FA-46F8-ADA8-A2DFE727C87D}"/>
            </c:ext>
          </c:extLst>
        </c:ser>
        <c:ser>
          <c:idx val="4"/>
          <c:order val="4"/>
          <c:tx>
            <c:strRef>
              <c:f>'Moneda - total'!$F$20</c:f>
              <c:strCache>
                <c:ptCount val="1"/>
                <c:pt idx="0">
                  <c:v>COP</c:v>
                </c:pt>
              </c:strCache>
            </c:strRef>
          </c:tx>
          <c:spPr>
            <a:solidFill>
              <a:srgbClr val="E3D2B3"/>
            </a:solidFill>
          </c:spPr>
          <c:cat>
            <c:numRef>
              <c:f>'Moneda - total'!$A$112:$A$303</c:f>
              <c:numCache>
                <c:formatCode>mmm\-yy</c:formatCode>
                <c:ptCount val="192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'Moneda - total'!$F$112:$F$303</c:f>
              <c:numCache>
                <c:formatCode>0.00%</c:formatCode>
                <c:ptCount val="192"/>
                <c:pt idx="0">
                  <c:v>0.5308639985907333</c:v>
                </c:pt>
                <c:pt idx="1">
                  <c:v>0.52517247934565892</c:v>
                </c:pt>
                <c:pt idx="2">
                  <c:v>0.52867886112024376</c:v>
                </c:pt>
                <c:pt idx="3">
                  <c:v>0.54765576086184786</c:v>
                </c:pt>
                <c:pt idx="4">
                  <c:v>0.55118362313802904</c:v>
                </c:pt>
                <c:pt idx="5">
                  <c:v>0.55204108421132458</c:v>
                </c:pt>
                <c:pt idx="6">
                  <c:v>0.54846565607999676</c:v>
                </c:pt>
                <c:pt idx="7">
                  <c:v>0.55602332058876192</c:v>
                </c:pt>
                <c:pt idx="8">
                  <c:v>0.56261209534269674</c:v>
                </c:pt>
                <c:pt idx="9">
                  <c:v>0.55523933413629056</c:v>
                </c:pt>
                <c:pt idx="10">
                  <c:v>0.56818018047150909</c:v>
                </c:pt>
                <c:pt idx="11">
                  <c:v>0.56603441096595075</c:v>
                </c:pt>
                <c:pt idx="12">
                  <c:v>0.57504590238442932</c:v>
                </c:pt>
                <c:pt idx="13">
                  <c:v>0.57623589278692489</c:v>
                </c:pt>
                <c:pt idx="14">
                  <c:v>0.57593110292571081</c:v>
                </c:pt>
                <c:pt idx="15">
                  <c:v>0.56001251583303568</c:v>
                </c:pt>
                <c:pt idx="16">
                  <c:v>0.55826990609658245</c:v>
                </c:pt>
                <c:pt idx="17">
                  <c:v>0.56399600210057621</c:v>
                </c:pt>
                <c:pt idx="18">
                  <c:v>0.57457962550986597</c:v>
                </c:pt>
                <c:pt idx="19">
                  <c:v>0.58143659997496544</c:v>
                </c:pt>
                <c:pt idx="20">
                  <c:v>0.5963533715533047</c:v>
                </c:pt>
                <c:pt idx="21">
                  <c:v>0.59512085348679156</c:v>
                </c:pt>
                <c:pt idx="22">
                  <c:v>0.59068580898431966</c:v>
                </c:pt>
                <c:pt idx="23">
                  <c:v>0.60046275197250332</c:v>
                </c:pt>
                <c:pt idx="24">
                  <c:v>0.58883345831975975</c:v>
                </c:pt>
                <c:pt idx="25">
                  <c:v>0.58695929645438438</c:v>
                </c:pt>
                <c:pt idx="26">
                  <c:v>0.59077708779506932</c:v>
                </c:pt>
                <c:pt idx="27">
                  <c:v>0.60177163624150065</c:v>
                </c:pt>
                <c:pt idx="28">
                  <c:v>0.58602053601785886</c:v>
                </c:pt>
                <c:pt idx="29">
                  <c:v>0.58594781749006775</c:v>
                </c:pt>
                <c:pt idx="30">
                  <c:v>0.57824763619945596</c:v>
                </c:pt>
                <c:pt idx="31">
                  <c:v>0.57865118090415057</c:v>
                </c:pt>
                <c:pt idx="32">
                  <c:v>0.57126113702662984</c:v>
                </c:pt>
                <c:pt idx="33">
                  <c:v>0.57696501956846757</c:v>
                </c:pt>
                <c:pt idx="34">
                  <c:v>0.56947342430564474</c:v>
                </c:pt>
                <c:pt idx="35">
                  <c:v>0.57409465523489267</c:v>
                </c:pt>
                <c:pt idx="36">
                  <c:v>0.58250369660379253</c:v>
                </c:pt>
                <c:pt idx="37">
                  <c:v>0.58914676949146272</c:v>
                </c:pt>
                <c:pt idx="38">
                  <c:v>0.58576507537181588</c:v>
                </c:pt>
                <c:pt idx="39">
                  <c:v>0.58285530769632499</c:v>
                </c:pt>
                <c:pt idx="40">
                  <c:v>0.58555610275367265</c:v>
                </c:pt>
                <c:pt idx="41">
                  <c:v>0.58673568534717502</c:v>
                </c:pt>
                <c:pt idx="42">
                  <c:v>0.58703715068998308</c:v>
                </c:pt>
                <c:pt idx="43">
                  <c:v>0.57669776358279889</c:v>
                </c:pt>
                <c:pt idx="44">
                  <c:v>0.58011812866261137</c:v>
                </c:pt>
                <c:pt idx="45">
                  <c:v>0.58184091081799172</c:v>
                </c:pt>
                <c:pt idx="46">
                  <c:v>0.58370071577045723</c:v>
                </c:pt>
                <c:pt idx="47">
                  <c:v>0.58950605301223025</c:v>
                </c:pt>
                <c:pt idx="48">
                  <c:v>0.587764109630177</c:v>
                </c:pt>
                <c:pt idx="49">
                  <c:v>0.59093290355350969</c:v>
                </c:pt>
                <c:pt idx="50">
                  <c:v>0.61715652067953031</c:v>
                </c:pt>
                <c:pt idx="51">
                  <c:v>0.61223508898575996</c:v>
                </c:pt>
                <c:pt idx="52">
                  <c:v>0.60531440532539393</c:v>
                </c:pt>
                <c:pt idx="53">
                  <c:v>0.60135722341268394</c:v>
                </c:pt>
                <c:pt idx="54">
                  <c:v>0.60765808631957585</c:v>
                </c:pt>
                <c:pt idx="55">
                  <c:v>0.60659676398876561</c:v>
                </c:pt>
                <c:pt idx="56">
                  <c:v>0.60067352530020479</c:v>
                </c:pt>
                <c:pt idx="57">
                  <c:v>0.60408211073346818</c:v>
                </c:pt>
                <c:pt idx="58">
                  <c:v>0.59860814430793119</c:v>
                </c:pt>
                <c:pt idx="59">
                  <c:v>0.60703343999290293</c:v>
                </c:pt>
                <c:pt idx="60">
                  <c:v>0.58251000703154499</c:v>
                </c:pt>
                <c:pt idx="61">
                  <c:v>0.58036326212587508</c:v>
                </c:pt>
                <c:pt idx="62">
                  <c:v>0.58590322254111993</c:v>
                </c:pt>
                <c:pt idx="63">
                  <c:v>0.5868547995896598</c:v>
                </c:pt>
                <c:pt idx="64">
                  <c:v>0.57575897522563646</c:v>
                </c:pt>
                <c:pt idx="65">
                  <c:v>0.58616867217650637</c:v>
                </c:pt>
                <c:pt idx="66">
                  <c:v>0.58378188117328755</c:v>
                </c:pt>
                <c:pt idx="67">
                  <c:v>0.57971633647300413</c:v>
                </c:pt>
                <c:pt idx="68">
                  <c:v>0.57309131719295681</c:v>
                </c:pt>
                <c:pt idx="69">
                  <c:v>0.57845371899783227</c:v>
                </c:pt>
                <c:pt idx="70">
                  <c:v>0.5658796918980622</c:v>
                </c:pt>
                <c:pt idx="71">
                  <c:v>0.55076532777961795</c:v>
                </c:pt>
                <c:pt idx="72">
                  <c:v>0.53624519984491148</c:v>
                </c:pt>
                <c:pt idx="73">
                  <c:v>0.55091769506283894</c:v>
                </c:pt>
                <c:pt idx="74">
                  <c:v>0.5391154562325231</c:v>
                </c:pt>
                <c:pt idx="75">
                  <c:v>0.54971667075739439</c:v>
                </c:pt>
                <c:pt idx="76">
                  <c:v>0.54982746680454353</c:v>
                </c:pt>
                <c:pt idx="77">
                  <c:v>0.5395546188767868</c:v>
                </c:pt>
                <c:pt idx="78">
                  <c:v>0.51636393980196316</c:v>
                </c:pt>
                <c:pt idx="79">
                  <c:v>0.50480445635811999</c:v>
                </c:pt>
                <c:pt idx="80">
                  <c:v>0.50330231612307164</c:v>
                </c:pt>
                <c:pt idx="81">
                  <c:v>0.48955241719675946</c:v>
                </c:pt>
                <c:pt idx="82">
                  <c:v>0.47421870959397139</c:v>
                </c:pt>
                <c:pt idx="83">
                  <c:v>0.47017749662770186</c:v>
                </c:pt>
                <c:pt idx="84">
                  <c:v>0.4578927101030944</c:v>
                </c:pt>
                <c:pt idx="85">
                  <c:v>0.45875619992168876</c:v>
                </c:pt>
                <c:pt idx="86">
                  <c:v>0.46719187799487949</c:v>
                </c:pt>
                <c:pt idx="87">
                  <c:v>0.47666509443386373</c:v>
                </c:pt>
                <c:pt idx="88">
                  <c:v>0.47842135650357004</c:v>
                </c:pt>
                <c:pt idx="89">
                  <c:v>0.48204991460617702</c:v>
                </c:pt>
                <c:pt idx="90">
                  <c:v>0.4694837645545954</c:v>
                </c:pt>
                <c:pt idx="91">
                  <c:v>0.47960460815793116</c:v>
                </c:pt>
                <c:pt idx="92">
                  <c:v>0.48298895358213334</c:v>
                </c:pt>
                <c:pt idx="93">
                  <c:v>0.48201844953612194</c:v>
                </c:pt>
                <c:pt idx="94">
                  <c:v>0.47303496063532002</c:v>
                </c:pt>
                <c:pt idx="95">
                  <c:v>0.47363914233409216</c:v>
                </c:pt>
                <c:pt idx="96">
                  <c:v>0.46949491119248349</c:v>
                </c:pt>
                <c:pt idx="97">
                  <c:v>0.47427451645039809</c:v>
                </c:pt>
                <c:pt idx="98">
                  <c:v>0.47761442298754481</c:v>
                </c:pt>
                <c:pt idx="99">
                  <c:v>0.47346844649005554</c:v>
                </c:pt>
                <c:pt idx="100">
                  <c:v>0.48898802790796758</c:v>
                </c:pt>
                <c:pt idx="101">
                  <c:v>0.47656492569543402</c:v>
                </c:pt>
                <c:pt idx="102">
                  <c:v>0.48172328947181903</c:v>
                </c:pt>
                <c:pt idx="103">
                  <c:v>0.48132632517396884</c:v>
                </c:pt>
                <c:pt idx="104">
                  <c:v>0.48102804126759657</c:v>
                </c:pt>
                <c:pt idx="105">
                  <c:v>0.47813292835065968</c:v>
                </c:pt>
                <c:pt idx="106">
                  <c:v>0.47932701602513356</c:v>
                </c:pt>
                <c:pt idx="107">
                  <c:v>0.4838770830311383</c:v>
                </c:pt>
                <c:pt idx="108">
                  <c:v>0.48936168864138219</c:v>
                </c:pt>
                <c:pt idx="109">
                  <c:v>0.49187452031993062</c:v>
                </c:pt>
                <c:pt idx="110">
                  <c:v>0.49199421003803112</c:v>
                </c:pt>
                <c:pt idx="111">
                  <c:v>0.49147391712749411</c:v>
                </c:pt>
                <c:pt idx="112">
                  <c:v>0.49019950008185664</c:v>
                </c:pt>
                <c:pt idx="113">
                  <c:v>0.48622480987413574</c:v>
                </c:pt>
                <c:pt idx="114">
                  <c:v>0.49298169168788897</c:v>
                </c:pt>
                <c:pt idx="115">
                  <c:v>0.48751844727871674</c:v>
                </c:pt>
                <c:pt idx="116">
                  <c:v>0.49029970778869914</c:v>
                </c:pt>
                <c:pt idx="117">
                  <c:v>0.46180281679877544</c:v>
                </c:pt>
                <c:pt idx="118">
                  <c:v>0.45630373799606727</c:v>
                </c:pt>
                <c:pt idx="119">
                  <c:v>0.46903828472645931</c:v>
                </c:pt>
                <c:pt idx="120">
                  <c:v>0.45454561103876195</c:v>
                </c:pt>
                <c:pt idx="121">
                  <c:v>0.46282521505454338</c:v>
                </c:pt>
                <c:pt idx="122">
                  <c:v>0.46051184720608446</c:v>
                </c:pt>
                <c:pt idx="123">
                  <c:v>0.46909424159791713</c:v>
                </c:pt>
                <c:pt idx="124">
                  <c:v>0.46389261579264873</c:v>
                </c:pt>
                <c:pt idx="125">
                  <c:v>0.47432635737867174</c:v>
                </c:pt>
                <c:pt idx="126">
                  <c:v>0.47647583655631975</c:v>
                </c:pt>
                <c:pt idx="127">
                  <c:v>0.47080263085349888</c:v>
                </c:pt>
                <c:pt idx="128">
                  <c:v>0.46003557892027436</c:v>
                </c:pt>
                <c:pt idx="129">
                  <c:v>0.46536624548695316</c:v>
                </c:pt>
                <c:pt idx="130">
                  <c:v>0.4627913814224382</c:v>
                </c:pt>
                <c:pt idx="131">
                  <c:v>0.46135481899155084</c:v>
                </c:pt>
                <c:pt idx="132">
                  <c:v>0.46484682192820065</c:v>
                </c:pt>
                <c:pt idx="133">
                  <c:v>0.46579835041069428</c:v>
                </c:pt>
                <c:pt idx="134">
                  <c:v>0.43766450328841622</c:v>
                </c:pt>
                <c:pt idx="135">
                  <c:v>0.43148736193518961</c:v>
                </c:pt>
                <c:pt idx="136">
                  <c:v>0.45658990957690399</c:v>
                </c:pt>
                <c:pt idx="137">
                  <c:v>0.4446964622073632</c:v>
                </c:pt>
                <c:pt idx="138">
                  <c:v>0.45072781104271459</c:v>
                </c:pt>
                <c:pt idx="139">
                  <c:v>0.45135941711132399</c:v>
                </c:pt>
                <c:pt idx="140">
                  <c:v>0.45013384420769398</c:v>
                </c:pt>
                <c:pt idx="141">
                  <c:v>0.45420785558547383</c:v>
                </c:pt>
                <c:pt idx="142">
                  <c:v>0.46781178697497472</c:v>
                </c:pt>
                <c:pt idx="143">
                  <c:v>0.45867599494290889</c:v>
                </c:pt>
                <c:pt idx="144">
                  <c:v>0.44516116813129297</c:v>
                </c:pt>
                <c:pt idx="145">
                  <c:v>0.44731574367806504</c:v>
                </c:pt>
                <c:pt idx="146">
                  <c:v>0.45028470704153806</c:v>
                </c:pt>
                <c:pt idx="147">
                  <c:v>0.44417008885348364</c:v>
                </c:pt>
                <c:pt idx="148">
                  <c:v>0.44632688800043402</c:v>
                </c:pt>
                <c:pt idx="149">
                  <c:v>0.44241960105346095</c:v>
                </c:pt>
                <c:pt idx="150">
                  <c:v>0.44246888953828506</c:v>
                </c:pt>
                <c:pt idx="151">
                  <c:v>0.43939693177728573</c:v>
                </c:pt>
                <c:pt idx="152">
                  <c:v>0.44148862864772842</c:v>
                </c:pt>
                <c:pt idx="153">
                  <c:v>0.44035352910088643</c:v>
                </c:pt>
                <c:pt idx="154">
                  <c:v>0.42679217433870753</c:v>
                </c:pt>
                <c:pt idx="155">
                  <c:v>0.42086183783472925</c:v>
                </c:pt>
                <c:pt idx="156">
                  <c:v>0.42682292690323725</c:v>
                </c:pt>
                <c:pt idx="157">
                  <c:v>0.43233984481802179</c:v>
                </c:pt>
                <c:pt idx="158">
                  <c:v>0.44173890455757442</c:v>
                </c:pt>
                <c:pt idx="159">
                  <c:v>0.43690897038861798</c:v>
                </c:pt>
                <c:pt idx="160">
                  <c:v>0.44172743042009377</c:v>
                </c:pt>
                <c:pt idx="161">
                  <c:v>0.42682651653367731</c:v>
                </c:pt>
                <c:pt idx="162">
                  <c:v>0.42471502173733805</c:v>
                </c:pt>
                <c:pt idx="163">
                  <c:v>0.42259436296105607</c:v>
                </c:pt>
                <c:pt idx="164">
                  <c:v>0.41921440042755292</c:v>
                </c:pt>
                <c:pt idx="165">
                  <c:v>0.4113798030833411</c:v>
                </c:pt>
                <c:pt idx="166">
                  <c:v>0.41000613201317476</c:v>
                </c:pt>
                <c:pt idx="167">
                  <c:v>0.41134878665423108</c:v>
                </c:pt>
                <c:pt idx="168">
                  <c:v>0.41810331990009059</c:v>
                </c:pt>
                <c:pt idx="169">
                  <c:v>0.41655391475870873</c:v>
                </c:pt>
                <c:pt idx="170">
                  <c:v>0.42645918341643174</c:v>
                </c:pt>
                <c:pt idx="171">
                  <c:v>0.42862693419041886</c:v>
                </c:pt>
                <c:pt idx="172">
                  <c:v>0.44053731409294311</c:v>
                </c:pt>
                <c:pt idx="173">
                  <c:v>0.447464459498159</c:v>
                </c:pt>
                <c:pt idx="174">
                  <c:v>0.45887324701562382</c:v>
                </c:pt>
                <c:pt idx="175">
                  <c:v>0.45405729504280379</c:v>
                </c:pt>
                <c:pt idx="176">
                  <c:v>0.45133184164345574</c:v>
                </c:pt>
                <c:pt idx="177">
                  <c:v>0.45904307192745497</c:v>
                </c:pt>
                <c:pt idx="178">
                  <c:v>0.45659059109227107</c:v>
                </c:pt>
                <c:pt idx="179">
                  <c:v>0.45628518343079344</c:v>
                </c:pt>
                <c:pt idx="180">
                  <c:v>0.45213243539043818</c:v>
                </c:pt>
                <c:pt idx="181">
                  <c:v>0.45802140088148902</c:v>
                </c:pt>
                <c:pt idx="182">
                  <c:v>0.45960164976138862</c:v>
                </c:pt>
                <c:pt idx="183">
                  <c:v>0.46066557591306839</c:v>
                </c:pt>
                <c:pt idx="184">
                  <c:v>0.46479008431498309</c:v>
                </c:pt>
                <c:pt idx="185">
                  <c:v>0.4594848446338986</c:v>
                </c:pt>
                <c:pt idx="186">
                  <c:v>0.4579634727982293</c:v>
                </c:pt>
                <c:pt idx="187">
                  <c:v>0.46117821381291602</c:v>
                </c:pt>
                <c:pt idx="188">
                  <c:v>0.46659033259463856</c:v>
                </c:pt>
                <c:pt idx="189">
                  <c:v>0.45953307118668663</c:v>
                </c:pt>
                <c:pt idx="190">
                  <c:v>0.46150141879929174</c:v>
                </c:pt>
                <c:pt idx="191">
                  <c:v>0.46849943340305111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FA-46F8-ADA8-A2DFE727C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111040"/>
        <c:axId val="1"/>
      </c:areaChart>
      <c:dateAx>
        <c:axId val="692111040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6921110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5645511811023622"/>
          <c:y val="0.29020496951499741"/>
          <c:w val="0.10517865266841642"/>
          <c:h val="0.4313857654952663"/>
        </c:manualLayout>
      </c:layout>
      <c:overlay val="0"/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Perfil Deuda Interna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6750850588120922E-2"/>
          <c:y val="0.11418979510066311"/>
          <c:w val="0.90953127896050034"/>
          <c:h val="0.534217391379761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'Gráfica servicio deuda interna'!$B$38</c:f>
              <c:strCache>
                <c:ptCount val="1"/>
                <c:pt idx="0">
                  <c:v>Amortizaciones</c:v>
                </c:pt>
              </c:strCache>
            </c:strRef>
          </c:tx>
          <c:spPr>
            <a:solidFill>
              <a:srgbClr val="B48C41"/>
            </a:solidFill>
          </c:spPr>
          <c:invertIfNegative val="0"/>
          <c:cat>
            <c:numRef>
              <c:f>'Perfil - interna'!$AA$21:$BB$21</c:f>
              <c:numCache>
                <c:formatCode>General</c:formatCode>
                <c:ptCount val="2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</c:numCache>
            </c:numRef>
          </c:cat>
          <c:val>
            <c:numRef>
              <c:f>'Perfil - interna'!$AA$868:$BB$868</c:f>
              <c:numCache>
                <c:formatCode>_(* #,##0.00_);_(* \(#,##0.00\);_(* "-"_);_(@_)</c:formatCode>
                <c:ptCount val="28"/>
                <c:pt idx="0">
                  <c:v>109022618.82590981</c:v>
                </c:pt>
                <c:pt idx="1">
                  <c:v>33517189.342999998</c:v>
                </c:pt>
                <c:pt idx="2">
                  <c:v>45484138.713131391</c:v>
                </c:pt>
                <c:pt idx="3">
                  <c:v>38137209.611649998</c:v>
                </c:pt>
                <c:pt idx="4">
                  <c:v>27633717.289855201</c:v>
                </c:pt>
                <c:pt idx="5">
                  <c:v>23743267.614999998</c:v>
                </c:pt>
                <c:pt idx="6">
                  <c:v>35313320.454999998</c:v>
                </c:pt>
                <c:pt idx="7">
                  <c:v>29468261.352874801</c:v>
                </c:pt>
                <c:pt idx="8">
                  <c:v>44494168.243429199</c:v>
                </c:pt>
                <c:pt idx="9">
                  <c:v>28434312.199999999</c:v>
                </c:pt>
                <c:pt idx="10">
                  <c:v>36272347.464746103</c:v>
                </c:pt>
                <c:pt idx="11">
                  <c:v>20208433.199999999</c:v>
                </c:pt>
                <c:pt idx="12">
                  <c:v>41860696.183780201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50337060.899999999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22714033.600000001</c:v>
                </c:pt>
                <c:pt idx="22">
                  <c:v>0</c:v>
                </c:pt>
                <c:pt idx="23">
                  <c:v>0</c:v>
                </c:pt>
                <c:pt idx="24">
                  <c:v>33827975.801523902</c:v>
                </c:pt>
                <c:pt idx="25">
                  <c:v>41345144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6-4F38-9760-BCD53B8BAE83}"/>
            </c:ext>
          </c:extLst>
        </c:ser>
        <c:ser>
          <c:idx val="1"/>
          <c:order val="1"/>
          <c:tx>
            <c:strRef>
              <c:f>'Gráfica servicio deuda interna'!$C$38</c:f>
              <c:strCache>
                <c:ptCount val="1"/>
                <c:pt idx="0">
                  <c:v>Intereses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'Perfil - interna'!$AA$21:$BB$21</c:f>
              <c:numCache>
                <c:formatCode>General</c:formatCode>
                <c:ptCount val="2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</c:numCache>
            </c:numRef>
          </c:cat>
          <c:val>
            <c:numRef>
              <c:f>'Perfil - interna'!$AA$869:$BB$869</c:f>
              <c:numCache>
                <c:formatCode>_(* #,##0.00_);_(* \(#,##0.00\);_(* "-"_);_(@_)</c:formatCode>
                <c:ptCount val="28"/>
                <c:pt idx="0">
                  <c:v>36814831.859521583</c:v>
                </c:pt>
                <c:pt idx="1">
                  <c:v>36362822.974467568</c:v>
                </c:pt>
                <c:pt idx="2">
                  <c:v>34054727.907679394</c:v>
                </c:pt>
                <c:pt idx="3">
                  <c:v>32168200.476491533</c:v>
                </c:pt>
                <c:pt idx="4">
                  <c:v>30093182.406881899</c:v>
                </c:pt>
                <c:pt idx="5">
                  <c:v>29552146.531985622</c:v>
                </c:pt>
                <c:pt idx="6">
                  <c:v>27892084.879077695</c:v>
                </c:pt>
                <c:pt idx="7">
                  <c:v>25605595.714822531</c:v>
                </c:pt>
                <c:pt idx="8">
                  <c:v>23837117.910619706</c:v>
                </c:pt>
                <c:pt idx="9">
                  <c:v>19678137.828730453</c:v>
                </c:pt>
                <c:pt idx="10">
                  <c:v>17799284.439689867</c:v>
                </c:pt>
                <c:pt idx="11">
                  <c:v>15547791.720820192</c:v>
                </c:pt>
                <c:pt idx="12">
                  <c:v>14405333.137077294</c:v>
                </c:pt>
                <c:pt idx="13">
                  <c:v>12171416.705061991</c:v>
                </c:pt>
                <c:pt idx="14">
                  <c:v>12228584.75809635</c:v>
                </c:pt>
                <c:pt idx="15">
                  <c:v>12287467.85272174</c:v>
                </c:pt>
                <c:pt idx="16">
                  <c:v>12348117.440185893</c:v>
                </c:pt>
                <c:pt idx="17">
                  <c:v>12410586.515273966</c:v>
                </c:pt>
                <c:pt idx="18">
                  <c:v>7818751.5293646883</c:v>
                </c:pt>
                <c:pt idx="19">
                  <c:v>7885024.9711256297</c:v>
                </c:pt>
                <c:pt idx="20">
                  <c:v>7953286.6161393989</c:v>
                </c:pt>
                <c:pt idx="21">
                  <c:v>8023596.1105035804</c:v>
                </c:pt>
                <c:pt idx="22">
                  <c:v>5483901.0256986879</c:v>
                </c:pt>
                <c:pt idx="23">
                  <c:v>5558492.3682696484</c:v>
                </c:pt>
                <c:pt idx="24">
                  <c:v>5635321.4511177391</c:v>
                </c:pt>
                <c:pt idx="25">
                  <c:v>2997522.9399999976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C6-4F38-9760-BCD53B8BAE83}"/>
            </c:ext>
          </c:extLst>
        </c:ser>
        <c:ser>
          <c:idx val="2"/>
          <c:order val="2"/>
          <c:tx>
            <c:strRef>
              <c:f>'Gráfica servicio deuda interna'!$D$38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numRef>
              <c:f>'Perfil - interna'!$AA$21:$BB$21</c:f>
              <c:numCache>
                <c:formatCode>General</c:formatCode>
                <c:ptCount val="2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</c:numCache>
            </c:numRef>
          </c:cat>
          <c:val>
            <c:numRef>
              <c:f>'Perfil - interna'!$AA$870:$BB$870</c:f>
              <c:numCache>
                <c:formatCode>_(* #,##0.00_);_(* \(#,##0.00\);_(* "-"_);_(@_)</c:formatCode>
                <c:ptCount val="28"/>
                <c:pt idx="0">
                  <c:v>145837450.68543139</c:v>
                </c:pt>
                <c:pt idx="1">
                  <c:v>69880012.31746757</c:v>
                </c:pt>
                <c:pt idx="2">
                  <c:v>79538866.620810777</c:v>
                </c:pt>
                <c:pt idx="3">
                  <c:v>70305410.088141531</c:v>
                </c:pt>
                <c:pt idx="4">
                  <c:v>57726899.696737096</c:v>
                </c:pt>
                <c:pt idx="5">
                  <c:v>53295414.14698562</c:v>
                </c:pt>
                <c:pt idx="6">
                  <c:v>63205405.334077694</c:v>
                </c:pt>
                <c:pt idx="7">
                  <c:v>55073857.067697331</c:v>
                </c:pt>
                <c:pt idx="8">
                  <c:v>68331286.154048905</c:v>
                </c:pt>
                <c:pt idx="9">
                  <c:v>48112450.028730452</c:v>
                </c:pt>
                <c:pt idx="10">
                  <c:v>54071631.90443597</c:v>
                </c:pt>
                <c:pt idx="11">
                  <c:v>35756224.920820192</c:v>
                </c:pt>
                <c:pt idx="12">
                  <c:v>56266029.320857495</c:v>
                </c:pt>
                <c:pt idx="13">
                  <c:v>12171416.705061991</c:v>
                </c:pt>
                <c:pt idx="14">
                  <c:v>12228584.75809635</c:v>
                </c:pt>
                <c:pt idx="15">
                  <c:v>12287467.85272174</c:v>
                </c:pt>
                <c:pt idx="16">
                  <c:v>12348117.440185893</c:v>
                </c:pt>
                <c:pt idx="17">
                  <c:v>62747647.415273964</c:v>
                </c:pt>
                <c:pt idx="18">
                  <c:v>7818751.5293646883</c:v>
                </c:pt>
                <c:pt idx="19">
                  <c:v>7885024.9711256297</c:v>
                </c:pt>
                <c:pt idx="20">
                  <c:v>7953286.6161393989</c:v>
                </c:pt>
                <c:pt idx="21">
                  <c:v>30737629.710503582</c:v>
                </c:pt>
                <c:pt idx="22">
                  <c:v>5483901.0256986879</c:v>
                </c:pt>
                <c:pt idx="23">
                  <c:v>5558492.3682696484</c:v>
                </c:pt>
                <c:pt idx="24">
                  <c:v>39463297.252641641</c:v>
                </c:pt>
                <c:pt idx="25">
                  <c:v>44342666.939999998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C6-4F38-9760-BCD53B8BA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0"/>
        <c:overlap val="-40"/>
        <c:axId val="692105280"/>
        <c:axId val="1"/>
      </c:barChart>
      <c:catAx>
        <c:axId val="69210528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_(* #,##0.00_);_(* \(#,##0.00\);_(* &quot;-&quot;_);_(@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69210528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3.5121250980384211E-2"/>
                <c:y val="0.17259306743087699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es-CO"/>
                    <a:t>COP Billones</a:t>
                  </a:r>
                </a:p>
              </c:rich>
            </c:tx>
          </c:dispUnitsLbl>
        </c:dispUnits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dTable>
    </c:plotArea>
    <c:legend>
      <c:legendPos val="r"/>
      <c:layout>
        <c:manualLayout>
          <c:xMode val="edge"/>
          <c:yMode val="edge"/>
          <c:x val="0.59904356636271539"/>
          <c:y val="2.7451821440607864E-2"/>
          <c:w val="0.27057511428092762"/>
          <c:h val="6.2747020435675094E-2"/>
        </c:manualLayout>
      </c:layout>
      <c:overlay val="1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'Perfil - externa'!$C$17</c:f>
          <c:strCache>
            <c:ptCount val="1"/>
            <c:pt idx="0">
              <c:v>Perfil de Vencimientos - deuda externa</c:v>
            </c:pt>
          </c:strCache>
        </c:strRef>
      </c:tx>
      <c:layout>
        <c:manualLayout>
          <c:xMode val="edge"/>
          <c:yMode val="edge"/>
          <c:x val="0.28008075913587727"/>
          <c:y val="1.915550702147633E-2"/>
        </c:manualLayout>
      </c:layout>
      <c:overlay val="1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2526307139784324E-2"/>
          <c:y val="0.15225092657592901"/>
          <c:w val="0.94747369286021565"/>
          <c:h val="0.448739573065896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'Gráfica servicio deuda externa'!$B$38</c:f>
              <c:strCache>
                <c:ptCount val="1"/>
                <c:pt idx="0">
                  <c:v>Amortizaciones</c:v>
                </c:pt>
              </c:strCache>
            </c:strRef>
          </c:tx>
          <c:spPr>
            <a:solidFill>
              <a:srgbClr val="B48C41"/>
            </a:solidFill>
          </c:spPr>
          <c:invertIfNegative val="0"/>
          <c:cat>
            <c:numRef>
              <c:f>'Perfil - externa'!$AA$19:$BM$19</c:f>
              <c:numCache>
                <c:formatCode>General</c:formatCode>
                <c:ptCount val="39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</c:numCache>
            </c:numRef>
          </c:cat>
          <c:val>
            <c:numRef>
              <c:f>'Perfil - externa'!$AA$866:$BM$866</c:f>
              <c:numCache>
                <c:formatCode>_ * #,##0_ ;_ * \-#,##0_ ;_ * "-"??_ ;_ @_ </c:formatCode>
                <c:ptCount val="39"/>
                <c:pt idx="0">
                  <c:v>20501323.811367717</c:v>
                </c:pt>
                <c:pt idx="1">
                  <c:v>17960100.618875228</c:v>
                </c:pt>
                <c:pt idx="2">
                  <c:v>20634175.773470312</c:v>
                </c:pt>
                <c:pt idx="3">
                  <c:v>13217021.441621844</c:v>
                </c:pt>
                <c:pt idx="4">
                  <c:v>21447937.380099177</c:v>
                </c:pt>
                <c:pt idx="5">
                  <c:v>19187042.513885368</c:v>
                </c:pt>
                <c:pt idx="6">
                  <c:v>23124355.988430232</c:v>
                </c:pt>
                <c:pt idx="7">
                  <c:v>18375765.319380421</c:v>
                </c:pt>
                <c:pt idx="8">
                  <c:v>18666032.722301178</c:v>
                </c:pt>
                <c:pt idx="9">
                  <c:v>18246026.1937957</c:v>
                </c:pt>
                <c:pt idx="10">
                  <c:v>18068194.484465666</c:v>
                </c:pt>
                <c:pt idx="11">
                  <c:v>23381649.875141442</c:v>
                </c:pt>
                <c:pt idx="12">
                  <c:v>12696322.321876287</c:v>
                </c:pt>
                <c:pt idx="13">
                  <c:v>10224728.437527904</c:v>
                </c:pt>
                <c:pt idx="14">
                  <c:v>5521685.0267445948</c:v>
                </c:pt>
                <c:pt idx="15">
                  <c:v>6199834.4831966907</c:v>
                </c:pt>
                <c:pt idx="16">
                  <c:v>13067371.629007278</c:v>
                </c:pt>
                <c:pt idx="17">
                  <c:v>5626520.8833113685</c:v>
                </c:pt>
                <c:pt idx="18">
                  <c:v>400302.69097102969</c:v>
                </c:pt>
                <c:pt idx="19">
                  <c:v>11283132.394504581</c:v>
                </c:pt>
                <c:pt idx="20">
                  <c:v>20088586.785734978</c:v>
                </c:pt>
                <c:pt idx="21">
                  <c:v>243744.40145740288</c:v>
                </c:pt>
                <c:pt idx="22">
                  <c:v>219699.19664809489</c:v>
                </c:pt>
                <c:pt idx="23">
                  <c:v>219487.23508203006</c:v>
                </c:pt>
                <c:pt idx="24">
                  <c:v>12559805.50105764</c:v>
                </c:pt>
                <c:pt idx="25">
                  <c:v>171726.43839116572</c:v>
                </c:pt>
                <c:pt idx="26">
                  <c:v>6722146.7213114752</c:v>
                </c:pt>
                <c:pt idx="27">
                  <c:v>108421.7213114754</c:v>
                </c:pt>
                <c:pt idx="28">
                  <c:v>8485806.7213114742</c:v>
                </c:pt>
                <c:pt idx="29">
                  <c:v>7339427.7213114752</c:v>
                </c:pt>
                <c:pt idx="30">
                  <c:v>108421.7213114754</c:v>
                </c:pt>
                <c:pt idx="31">
                  <c:v>108421.7213114754</c:v>
                </c:pt>
                <c:pt idx="32">
                  <c:v>108421.7213114754</c:v>
                </c:pt>
                <c:pt idx="33">
                  <c:v>108421.7213114754</c:v>
                </c:pt>
                <c:pt idx="34">
                  <c:v>54210.860655737699</c:v>
                </c:pt>
                <c:pt idx="35">
                  <c:v>0</c:v>
                </c:pt>
                <c:pt idx="36">
                  <c:v>5731894.9999999991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6-4066-A156-CC8B8B8B9305}"/>
            </c:ext>
          </c:extLst>
        </c:ser>
        <c:ser>
          <c:idx val="1"/>
          <c:order val="1"/>
          <c:tx>
            <c:strRef>
              <c:f>'Gráfica servicio deuda externa'!$C$38</c:f>
              <c:strCache>
                <c:ptCount val="1"/>
                <c:pt idx="0">
                  <c:v>Intereses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'Perfil - externa'!$AA$19:$BM$19</c:f>
              <c:numCache>
                <c:formatCode>General</c:formatCode>
                <c:ptCount val="39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</c:numCache>
            </c:numRef>
          </c:cat>
          <c:val>
            <c:numRef>
              <c:f>'Perfil - externa'!$AA$867:$BM$867</c:f>
              <c:numCache>
                <c:formatCode>_ * #,##0_ ;_ * \-#,##0_ ;_ * "-"??_ ;_ @_ </c:formatCode>
                <c:ptCount val="39"/>
                <c:pt idx="0">
                  <c:v>16790091.583929114</c:v>
                </c:pt>
                <c:pt idx="1">
                  <c:v>15653194.822356625</c:v>
                </c:pt>
                <c:pt idx="2">
                  <c:v>14883834.971940974</c:v>
                </c:pt>
                <c:pt idx="3">
                  <c:v>14172000.828609528</c:v>
                </c:pt>
                <c:pt idx="4">
                  <c:v>13510027.331999365</c:v>
                </c:pt>
                <c:pt idx="5">
                  <c:v>12727605.138876844</c:v>
                </c:pt>
                <c:pt idx="6">
                  <c:v>11969083.166874317</c:v>
                </c:pt>
                <c:pt idx="7">
                  <c:v>11237820.397774464</c:v>
                </c:pt>
                <c:pt idx="8">
                  <c:v>10357123.196705304</c:v>
                </c:pt>
                <c:pt idx="9">
                  <c:v>9325387.7604841162</c:v>
                </c:pt>
                <c:pt idx="10">
                  <c:v>8614698.1106843352</c:v>
                </c:pt>
                <c:pt idx="11">
                  <c:v>7684495.3835451053</c:v>
                </c:pt>
                <c:pt idx="12">
                  <c:v>6672983.1146452297</c:v>
                </c:pt>
                <c:pt idx="13">
                  <c:v>5887499.7301184814</c:v>
                </c:pt>
                <c:pt idx="14">
                  <c:v>5706135.6113937041</c:v>
                </c:pt>
                <c:pt idx="15">
                  <c:v>5447864.9658919154</c:v>
                </c:pt>
                <c:pt idx="16">
                  <c:v>4915699.3904800303</c:v>
                </c:pt>
                <c:pt idx="17">
                  <c:v>4397408.9676321298</c:v>
                </c:pt>
                <c:pt idx="18">
                  <c:v>4253940.7927491385</c:v>
                </c:pt>
                <c:pt idx="19">
                  <c:v>3937022.2584771514</c:v>
                </c:pt>
                <c:pt idx="20">
                  <c:v>3113784.1734583471</c:v>
                </c:pt>
                <c:pt idx="21">
                  <c:v>2608063.4057268389</c:v>
                </c:pt>
                <c:pt idx="22">
                  <c:v>2598676.9822694184</c:v>
                </c:pt>
                <c:pt idx="23">
                  <c:v>2596845.2882925333</c:v>
                </c:pt>
                <c:pt idx="24">
                  <c:v>2252718.6393076852</c:v>
                </c:pt>
                <c:pt idx="25">
                  <c:v>1921434.2106570581</c:v>
                </c:pt>
                <c:pt idx="26">
                  <c:v>1774812.6777075944</c:v>
                </c:pt>
                <c:pt idx="27">
                  <c:v>1635422.765975903</c:v>
                </c:pt>
                <c:pt idx="28">
                  <c:v>1624251.6507524122</c:v>
                </c:pt>
                <c:pt idx="29">
                  <c:v>874352.02819863474</c:v>
                </c:pt>
                <c:pt idx="30">
                  <c:v>1139075.4919933972</c:v>
                </c:pt>
                <c:pt idx="31">
                  <c:v>924645.43657445314</c:v>
                </c:pt>
                <c:pt idx="32">
                  <c:v>709016.21683970839</c:v>
                </c:pt>
                <c:pt idx="33">
                  <c:v>493986.57926286414</c:v>
                </c:pt>
                <c:pt idx="34">
                  <c:v>278956.94168601983</c:v>
                </c:pt>
                <c:pt idx="35">
                  <c:v>225812.78010416662</c:v>
                </c:pt>
                <c:pt idx="36">
                  <c:v>113523.3648611111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6-4066-A156-CC8B8B8B9305}"/>
            </c:ext>
          </c:extLst>
        </c:ser>
        <c:ser>
          <c:idx val="2"/>
          <c:order val="2"/>
          <c:tx>
            <c:strRef>
              <c:f>'Gráfica servicio deuda externa'!$D$38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numRef>
              <c:f>'Perfil - externa'!$AA$19:$BM$19</c:f>
              <c:numCache>
                <c:formatCode>General</c:formatCode>
                <c:ptCount val="39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</c:numCache>
            </c:numRef>
          </c:cat>
          <c:val>
            <c:numRef>
              <c:f>'Perfil - externa'!$AA$868:$BM$868</c:f>
              <c:numCache>
                <c:formatCode>_ * #,##0_ ;_ * \-#,##0_ ;_ * "-"??_ ;_ @_ </c:formatCode>
                <c:ptCount val="39"/>
                <c:pt idx="0">
                  <c:v>37291415.395296827</c:v>
                </c:pt>
                <c:pt idx="1">
                  <c:v>33613295.441231854</c:v>
                </c:pt>
                <c:pt idx="2">
                  <c:v>35518010.745411284</c:v>
                </c:pt>
                <c:pt idx="3">
                  <c:v>27389022.270231374</c:v>
                </c:pt>
                <c:pt idx="4">
                  <c:v>34957964.712098539</c:v>
                </c:pt>
                <c:pt idx="5">
                  <c:v>31914647.652762212</c:v>
                </c:pt>
                <c:pt idx="6">
                  <c:v>35093439.155304551</c:v>
                </c:pt>
                <c:pt idx="7">
                  <c:v>29613585.717154883</c:v>
                </c:pt>
                <c:pt idx="8">
                  <c:v>29023155.919006482</c:v>
                </c:pt>
                <c:pt idx="9">
                  <c:v>27571413.954279818</c:v>
                </c:pt>
                <c:pt idx="10">
                  <c:v>26682892.595150001</c:v>
                </c:pt>
                <c:pt idx="11">
                  <c:v>31066145.258686546</c:v>
                </c:pt>
                <c:pt idx="12">
                  <c:v>19369305.436521515</c:v>
                </c:pt>
                <c:pt idx="13">
                  <c:v>16112228.167646386</c:v>
                </c:pt>
                <c:pt idx="14">
                  <c:v>11227820.638138298</c:v>
                </c:pt>
                <c:pt idx="15">
                  <c:v>11647699.449088607</c:v>
                </c:pt>
                <c:pt idx="16">
                  <c:v>17983071.019487306</c:v>
                </c:pt>
                <c:pt idx="17">
                  <c:v>10023929.850943498</c:v>
                </c:pt>
                <c:pt idx="18">
                  <c:v>4654243.4837201685</c:v>
                </c:pt>
                <c:pt idx="19">
                  <c:v>15220154.652981732</c:v>
                </c:pt>
                <c:pt idx="20">
                  <c:v>23202370.959193327</c:v>
                </c:pt>
                <c:pt idx="21">
                  <c:v>2851807.8071842417</c:v>
                </c:pt>
                <c:pt idx="22">
                  <c:v>2818376.1789175132</c:v>
                </c:pt>
                <c:pt idx="23">
                  <c:v>2816332.5233745631</c:v>
                </c:pt>
                <c:pt idx="24">
                  <c:v>14812524.140365325</c:v>
                </c:pt>
                <c:pt idx="25">
                  <c:v>2093160.6490482239</c:v>
                </c:pt>
                <c:pt idx="26">
                  <c:v>8496959.39901907</c:v>
                </c:pt>
                <c:pt idx="27">
                  <c:v>1743844.4872873784</c:v>
                </c:pt>
                <c:pt idx="28">
                  <c:v>10110058.372063886</c:v>
                </c:pt>
                <c:pt idx="29">
                  <c:v>8213779.7495101094</c:v>
                </c:pt>
                <c:pt idx="30">
                  <c:v>1247497.2133048726</c:v>
                </c:pt>
                <c:pt idx="31">
                  <c:v>1033067.1578859285</c:v>
                </c:pt>
                <c:pt idx="32">
                  <c:v>817437.93815118377</c:v>
                </c:pt>
                <c:pt idx="33">
                  <c:v>602408.30057433958</c:v>
                </c:pt>
                <c:pt idx="34">
                  <c:v>333167.80234175752</c:v>
                </c:pt>
                <c:pt idx="35">
                  <c:v>225812.78010416662</c:v>
                </c:pt>
                <c:pt idx="36">
                  <c:v>5845418.3648611102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A6-4066-A156-CC8B8B8B9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0"/>
        <c:overlap val="-40"/>
        <c:axId val="692102880"/>
        <c:axId val="1"/>
      </c:barChart>
      <c:catAx>
        <c:axId val="69210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COP Billones</a:t>
                </a:r>
              </a:p>
            </c:rich>
          </c:tx>
          <c:layout>
            <c:manualLayout>
              <c:xMode val="edge"/>
              <c:yMode val="edge"/>
              <c:x val="1.8171243423117059E-2"/>
              <c:y val="0.18226718010613638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692102880"/>
        <c:crosses val="autoZero"/>
        <c:crossBetween val="between"/>
        <c:dispUnits>
          <c:builtInUnit val="millions"/>
        </c:dispUnits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dTable>
    </c:plotArea>
    <c:legend>
      <c:legendPos val="r"/>
      <c:legendEntry>
        <c:idx val="0"/>
        <c:txPr>
          <a:bodyPr/>
          <a:lstStyle/>
          <a:p>
            <a:pPr>
              <a:defRPr sz="6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legendEntry>
      <c:layout>
        <c:manualLayout>
          <c:xMode val="edge"/>
          <c:yMode val="edge"/>
          <c:x val="0.52459874628739067"/>
          <c:y val="3.3089258003333524E-2"/>
          <c:w val="0.36874981452156286"/>
          <c:h val="0.10294423051133207"/>
        </c:manualLayout>
      </c:layout>
      <c:overlay val="0"/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'Perfil - total'!$C$19</c:f>
          <c:strCache>
            <c:ptCount val="1"/>
            <c:pt idx="0">
              <c:v>Perfil de vencimientos - deuda total</c:v>
            </c:pt>
          </c:strCache>
        </c:strRef>
      </c:tx>
      <c:layout>
        <c:manualLayout>
          <c:xMode val="edge"/>
          <c:yMode val="edge"/>
          <c:x val="0.2313229185605796"/>
          <c:y val="1.9511097698153585E-2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5380723590935382E-2"/>
          <c:y val="0.24087634166204819"/>
          <c:w val="0.9543492504964326"/>
          <c:h val="0.4955217103052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'Gráfica servicio deuda total'!$B$38</c:f>
              <c:strCache>
                <c:ptCount val="1"/>
                <c:pt idx="0">
                  <c:v>Amortizaciones</c:v>
                </c:pt>
              </c:strCache>
            </c:strRef>
          </c:tx>
          <c:spPr>
            <a:solidFill>
              <a:srgbClr val="B48C41"/>
            </a:solidFill>
          </c:spPr>
          <c:invertIfNegative val="0"/>
          <c:cat>
            <c:numRef>
              <c:f>'Perfil - total'!$AA$21:$BM$21</c:f>
              <c:numCache>
                <c:formatCode>General</c:formatCode>
                <c:ptCount val="39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</c:numCache>
            </c:numRef>
          </c:cat>
          <c:val>
            <c:numRef>
              <c:f>'Perfil - total'!$AA$868:$BM$868</c:f>
              <c:numCache>
                <c:formatCode>_ * #,##0_ ;_ * \-#,##0_ ;_ * "-"??_ ;_ @_ </c:formatCode>
                <c:ptCount val="39"/>
                <c:pt idx="0">
                  <c:v>129523942.63727753</c:v>
                </c:pt>
                <c:pt idx="1">
                  <c:v>51477289.96187523</c:v>
                </c:pt>
                <c:pt idx="2">
                  <c:v>66118314.486601703</c:v>
                </c:pt>
                <c:pt idx="3">
                  <c:v>51354231.053271845</c:v>
                </c:pt>
                <c:pt idx="4">
                  <c:v>49081654.669954374</c:v>
                </c:pt>
                <c:pt idx="5">
                  <c:v>42930310.128885366</c:v>
                </c:pt>
                <c:pt idx="6">
                  <c:v>58437676.44343023</c:v>
                </c:pt>
                <c:pt idx="7">
                  <c:v>47844026.672255218</c:v>
                </c:pt>
                <c:pt idx="8">
                  <c:v>63160200.965730377</c:v>
                </c:pt>
                <c:pt idx="9">
                  <c:v>46680338.393795699</c:v>
                </c:pt>
                <c:pt idx="10">
                  <c:v>54340541.949211769</c:v>
                </c:pt>
                <c:pt idx="11">
                  <c:v>43590083.075141445</c:v>
                </c:pt>
                <c:pt idx="12">
                  <c:v>54557018.505656488</c:v>
                </c:pt>
                <c:pt idx="13">
                  <c:v>10224728.437527904</c:v>
                </c:pt>
                <c:pt idx="14">
                  <c:v>5521685.0267445948</c:v>
                </c:pt>
                <c:pt idx="15">
                  <c:v>6199834.4831966907</c:v>
                </c:pt>
                <c:pt idx="16">
                  <c:v>13067371.629007278</c:v>
                </c:pt>
                <c:pt idx="17">
                  <c:v>55963581.783311367</c:v>
                </c:pt>
                <c:pt idx="18">
                  <c:v>400302.69097102969</c:v>
                </c:pt>
                <c:pt idx="19">
                  <c:v>11283132.394504581</c:v>
                </c:pt>
                <c:pt idx="20">
                  <c:v>20088586.785734978</c:v>
                </c:pt>
                <c:pt idx="21">
                  <c:v>22957778.001457404</c:v>
                </c:pt>
                <c:pt idx="22">
                  <c:v>219699.19664809489</c:v>
                </c:pt>
                <c:pt idx="23">
                  <c:v>219487.23508203006</c:v>
                </c:pt>
                <c:pt idx="24">
                  <c:v>46387781.302581541</c:v>
                </c:pt>
                <c:pt idx="25">
                  <c:v>41516870.438391164</c:v>
                </c:pt>
                <c:pt idx="26">
                  <c:v>6722146.7213114752</c:v>
                </c:pt>
                <c:pt idx="27">
                  <c:v>108421.7213114754</c:v>
                </c:pt>
                <c:pt idx="28">
                  <c:v>8485806.7213114742</c:v>
                </c:pt>
                <c:pt idx="29">
                  <c:v>7339427.7213114752</c:v>
                </c:pt>
                <c:pt idx="30">
                  <c:v>108421.7213114754</c:v>
                </c:pt>
                <c:pt idx="31">
                  <c:v>108421.7213114754</c:v>
                </c:pt>
                <c:pt idx="32">
                  <c:v>108421.7213114754</c:v>
                </c:pt>
                <c:pt idx="33">
                  <c:v>108421.7213114754</c:v>
                </c:pt>
                <c:pt idx="34">
                  <c:v>54210.860655737699</c:v>
                </c:pt>
                <c:pt idx="35">
                  <c:v>0</c:v>
                </c:pt>
                <c:pt idx="36">
                  <c:v>5731894.9999999991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4-496D-A03F-7E9152C5EDDC}"/>
            </c:ext>
          </c:extLst>
        </c:ser>
        <c:ser>
          <c:idx val="1"/>
          <c:order val="1"/>
          <c:tx>
            <c:strRef>
              <c:f>'Perfil - total'!$B$833</c:f>
              <c:strCache>
                <c:ptCount val="1"/>
                <c:pt idx="0">
                  <c:v>Intereses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'Perfil - total'!$AA$21:$BM$21</c:f>
              <c:numCache>
                <c:formatCode>General</c:formatCode>
                <c:ptCount val="39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</c:numCache>
            </c:numRef>
          </c:cat>
          <c:val>
            <c:numRef>
              <c:f>'Perfil - total'!$AA$869:$BM$869</c:f>
              <c:numCache>
                <c:formatCode>_ * #,##0_ ;_ * \-#,##0_ ;_ * "-"??_ ;_ @_ </c:formatCode>
                <c:ptCount val="39"/>
                <c:pt idx="0">
                  <c:v>53604923.443450697</c:v>
                </c:pt>
                <c:pt idx="1">
                  <c:v>52016017.796824194</c:v>
                </c:pt>
                <c:pt idx="2">
                  <c:v>48938562.879620366</c:v>
                </c:pt>
                <c:pt idx="3">
                  <c:v>46340201.305101059</c:v>
                </c:pt>
                <c:pt idx="4">
                  <c:v>43603209.73888126</c:v>
                </c:pt>
                <c:pt idx="5">
                  <c:v>42279751.670862466</c:v>
                </c:pt>
                <c:pt idx="6">
                  <c:v>39861168.045952015</c:v>
                </c:pt>
                <c:pt idx="7">
                  <c:v>36843416.112596996</c:v>
                </c:pt>
                <c:pt idx="8">
                  <c:v>34194241.10732501</c:v>
                </c:pt>
                <c:pt idx="9">
                  <c:v>29003525.589214571</c:v>
                </c:pt>
                <c:pt idx="10">
                  <c:v>26413982.550374202</c:v>
                </c:pt>
                <c:pt idx="11">
                  <c:v>23232287.104365297</c:v>
                </c:pt>
                <c:pt idx="12">
                  <c:v>21078316.251722522</c:v>
                </c:pt>
                <c:pt idx="13">
                  <c:v>18058916.43518047</c:v>
                </c:pt>
                <c:pt idx="14">
                  <c:v>17934720.369490054</c:v>
                </c:pt>
                <c:pt idx="15">
                  <c:v>17735332.818613656</c:v>
                </c:pt>
                <c:pt idx="16">
                  <c:v>17263816.830665924</c:v>
                </c:pt>
                <c:pt idx="17">
                  <c:v>16807995.482906096</c:v>
                </c:pt>
                <c:pt idx="18">
                  <c:v>12072692.322113827</c:v>
                </c:pt>
                <c:pt idx="19">
                  <c:v>11822047.22960278</c:v>
                </c:pt>
                <c:pt idx="20">
                  <c:v>11067070.789597746</c:v>
                </c:pt>
                <c:pt idx="21">
                  <c:v>10631659.516230419</c:v>
                </c:pt>
                <c:pt idx="22">
                  <c:v>8082578.0079681063</c:v>
                </c:pt>
                <c:pt idx="23">
                  <c:v>8155337.6565621812</c:v>
                </c:pt>
                <c:pt idx="24">
                  <c:v>7888040.0904254243</c:v>
                </c:pt>
                <c:pt idx="25">
                  <c:v>4918957.1506570559</c:v>
                </c:pt>
                <c:pt idx="26">
                  <c:v>1774812.6777075944</c:v>
                </c:pt>
                <c:pt idx="27">
                  <c:v>1635422.765975903</c:v>
                </c:pt>
                <c:pt idx="28">
                  <c:v>1624251.6507524122</c:v>
                </c:pt>
                <c:pt idx="29">
                  <c:v>874352.02819863474</c:v>
                </c:pt>
                <c:pt idx="30">
                  <c:v>1139075.4919933972</c:v>
                </c:pt>
                <c:pt idx="31">
                  <c:v>924645.43657445314</c:v>
                </c:pt>
                <c:pt idx="32">
                  <c:v>709016.21683970839</c:v>
                </c:pt>
                <c:pt idx="33">
                  <c:v>493986.57926286414</c:v>
                </c:pt>
                <c:pt idx="34">
                  <c:v>278956.94168601983</c:v>
                </c:pt>
                <c:pt idx="35">
                  <c:v>225812.78010416662</c:v>
                </c:pt>
                <c:pt idx="36">
                  <c:v>113523.3648611111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44-496D-A03F-7E9152C5EDDC}"/>
            </c:ext>
          </c:extLst>
        </c:ser>
        <c:ser>
          <c:idx val="2"/>
          <c:order val="2"/>
          <c:tx>
            <c:strRef>
              <c:f>'Gráfica servicio deuda total'!$D$38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numRef>
              <c:f>'Perfil - total'!$AA$21:$BM$21</c:f>
              <c:numCache>
                <c:formatCode>General</c:formatCode>
                <c:ptCount val="39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</c:numCache>
            </c:numRef>
          </c:cat>
          <c:val>
            <c:numRef>
              <c:f>'Perfil - total'!$AA$870:$BM$870</c:f>
              <c:numCache>
                <c:formatCode>_ * #,##0_ ;_ * \-#,##0_ ;_ * "-"??_ ;_ @_ </c:formatCode>
                <c:ptCount val="39"/>
                <c:pt idx="0">
                  <c:v>183128866.08072823</c:v>
                </c:pt>
                <c:pt idx="1">
                  <c:v>103493307.75869942</c:v>
                </c:pt>
                <c:pt idx="2">
                  <c:v>115056877.36622207</c:v>
                </c:pt>
                <c:pt idx="3">
                  <c:v>97694432.358372897</c:v>
                </c:pt>
                <c:pt idx="4">
                  <c:v>92684864.408835635</c:v>
                </c:pt>
                <c:pt idx="5">
                  <c:v>85210061.799747825</c:v>
                </c:pt>
                <c:pt idx="6">
                  <c:v>98298844.489382237</c:v>
                </c:pt>
                <c:pt idx="7">
                  <c:v>84687442.784852207</c:v>
                </c:pt>
                <c:pt idx="8">
                  <c:v>97354442.073055387</c:v>
                </c:pt>
                <c:pt idx="9">
                  <c:v>75683863.983010262</c:v>
                </c:pt>
                <c:pt idx="10">
                  <c:v>80754524.499585971</c:v>
                </c:pt>
                <c:pt idx="11">
                  <c:v>66822370.179506741</c:v>
                </c:pt>
                <c:pt idx="12">
                  <c:v>75635334.75737901</c:v>
                </c:pt>
                <c:pt idx="13">
                  <c:v>28283644.872708373</c:v>
                </c:pt>
                <c:pt idx="14">
                  <c:v>23456405.396234646</c:v>
                </c:pt>
                <c:pt idx="15">
                  <c:v>23935167.301810347</c:v>
                </c:pt>
                <c:pt idx="16">
                  <c:v>30331188.459673204</c:v>
                </c:pt>
                <c:pt idx="17">
                  <c:v>72771577.26621747</c:v>
                </c:pt>
                <c:pt idx="18">
                  <c:v>12472995.013084857</c:v>
                </c:pt>
                <c:pt idx="19">
                  <c:v>23105179.624107361</c:v>
                </c:pt>
                <c:pt idx="20">
                  <c:v>31155657.575332724</c:v>
                </c:pt>
                <c:pt idx="21">
                  <c:v>33589437.517687827</c:v>
                </c:pt>
                <c:pt idx="22">
                  <c:v>8302277.2046162011</c:v>
                </c:pt>
                <c:pt idx="23">
                  <c:v>8374824.8916442115</c:v>
                </c:pt>
                <c:pt idx="24">
                  <c:v>54275821.393006966</c:v>
                </c:pt>
                <c:pt idx="25">
                  <c:v>46435827.589048222</c:v>
                </c:pt>
                <c:pt idx="26">
                  <c:v>8496959.39901907</c:v>
                </c:pt>
                <c:pt idx="27">
                  <c:v>1743844.4872873784</c:v>
                </c:pt>
                <c:pt idx="28">
                  <c:v>10110058.372063886</c:v>
                </c:pt>
                <c:pt idx="29">
                  <c:v>8213779.7495101094</c:v>
                </c:pt>
                <c:pt idx="30">
                  <c:v>1247497.2133048726</c:v>
                </c:pt>
                <c:pt idx="31">
                  <c:v>1033067.1578859285</c:v>
                </c:pt>
                <c:pt idx="32">
                  <c:v>817437.93815118377</c:v>
                </c:pt>
                <c:pt idx="33">
                  <c:v>602408.30057433958</c:v>
                </c:pt>
                <c:pt idx="34">
                  <c:v>333167.80234175752</c:v>
                </c:pt>
                <c:pt idx="35">
                  <c:v>225812.78010416662</c:v>
                </c:pt>
                <c:pt idx="36">
                  <c:v>5845418.3648611102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44-496D-A03F-7E9152C5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0"/>
        <c:overlap val="-40"/>
        <c:axId val="692107200"/>
        <c:axId val="1"/>
      </c:barChart>
      <c:catAx>
        <c:axId val="69210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COP Billones</a:t>
                </a:r>
              </a:p>
            </c:rich>
          </c:tx>
          <c:layout>
            <c:manualLayout>
              <c:xMode val="edge"/>
              <c:yMode val="edge"/>
              <c:x val="1.8855400623767501E-2"/>
              <c:y val="0.20481915370334805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692107200"/>
        <c:crosses val="autoZero"/>
        <c:crossBetween val="between"/>
        <c:majorUnit val="10000000"/>
        <c:dispUnits>
          <c:builtInUnit val="millions"/>
        </c:dispUnits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dTable>
    </c:plotArea>
    <c:legend>
      <c:legendPos val="r"/>
      <c:layout>
        <c:manualLayout>
          <c:xMode val="edge"/>
          <c:yMode val="edge"/>
          <c:x val="0.62697151088795966"/>
          <c:y val="2.7119536887157399E-2"/>
          <c:w val="0.30121406227418723"/>
          <c:h val="0.10847814754862958"/>
        </c:manualLayout>
      </c:layout>
      <c:overlay val="0"/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Indicadores!$B$22</c:f>
          <c:strCache>
            <c:ptCount val="1"/>
            <c:pt idx="0">
              <c:v>Deuda interna</c:v>
            </c:pt>
          </c:strCache>
        </c:strRef>
      </c:tx>
      <c:overlay val="1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6309249805312784E-2"/>
          <c:y val="0.17006312227500489"/>
          <c:w val="0.81091205365372065"/>
          <c:h val="0.61511587911015253"/>
        </c:manualLayout>
      </c:layout>
      <c:lineChart>
        <c:grouping val="standard"/>
        <c:varyColors val="0"/>
        <c:ser>
          <c:idx val="0"/>
          <c:order val="0"/>
          <c:tx>
            <c:strRef>
              <c:f>Indicadores!$B$20</c:f>
              <c:strCache>
                <c:ptCount val="1"/>
                <c:pt idx="0">
                  <c:v>Duración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Indicadores!$A$114:$A$581</c:f>
              <c:numCache>
                <c:formatCode>mmm\-yy</c:formatCode>
                <c:ptCount val="468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Indicadores!$B$114:$B$333</c:f>
              <c:numCache>
                <c:formatCode>_ * #,##0.00_ ;_ * \-#,##0.00_ ;_ * "-"??_ ;_ @_ </c:formatCode>
                <c:ptCount val="220"/>
                <c:pt idx="0">
                  <c:v>3.1580382</c:v>
                </c:pt>
                <c:pt idx="1">
                  <c:v>3.2707145458146374</c:v>
                </c:pt>
                <c:pt idx="2">
                  <c:v>3.3601022486244068</c:v>
                </c:pt>
                <c:pt idx="3">
                  <c:v>3.3157324231984142</c:v>
                </c:pt>
                <c:pt idx="4">
                  <c:v>3.510488186597752</c:v>
                </c:pt>
                <c:pt idx="5">
                  <c:v>3.4639103104829552</c:v>
                </c:pt>
                <c:pt idx="6">
                  <c:v>3.7101255373100881</c:v>
                </c:pt>
                <c:pt idx="7">
                  <c:v>3.6657403090011171</c:v>
                </c:pt>
                <c:pt idx="8">
                  <c:v>3.6712062304977726</c:v>
                </c:pt>
                <c:pt idx="9">
                  <c:v>3.6764210568886471</c:v>
                </c:pt>
                <c:pt idx="10">
                  <c:v>3.7158699680357694</c:v>
                </c:pt>
                <c:pt idx="11">
                  <c:v>3.6564624140409183</c:v>
                </c:pt>
                <c:pt idx="12">
                  <c:v>3.5921061027935588</c:v>
                </c:pt>
                <c:pt idx="13">
                  <c:v>3.6768198815285107</c:v>
                </c:pt>
                <c:pt idx="14">
                  <c:v>3.628332040045068</c:v>
                </c:pt>
                <c:pt idx="15">
                  <c:v>3.6716878317359423</c:v>
                </c:pt>
                <c:pt idx="16">
                  <c:v>3.6955216059473202</c:v>
                </c:pt>
                <c:pt idx="17">
                  <c:v>3.7079849811549916</c:v>
                </c:pt>
                <c:pt idx="18">
                  <c:v>3.7879728993214243</c:v>
                </c:pt>
                <c:pt idx="19">
                  <c:v>3.7891427416916001</c:v>
                </c:pt>
                <c:pt idx="20">
                  <c:v>3.8618967316076178</c:v>
                </c:pt>
                <c:pt idx="21">
                  <c:v>3.8263474831053879</c:v>
                </c:pt>
                <c:pt idx="22">
                  <c:v>3.8679971171815999</c:v>
                </c:pt>
                <c:pt idx="23">
                  <c:v>3.773671987913735</c:v>
                </c:pt>
                <c:pt idx="24">
                  <c:v>3.7055923670622271</c:v>
                </c:pt>
                <c:pt idx="25">
                  <c:v>3.6734711718510584</c:v>
                </c:pt>
                <c:pt idx="26">
                  <c:v>3.643132394490296</c:v>
                </c:pt>
                <c:pt idx="27">
                  <c:v>3.6069178747027073</c:v>
                </c:pt>
                <c:pt idx="28">
                  <c:v>3.8272950502844951</c:v>
                </c:pt>
                <c:pt idx="29">
                  <c:v>3.9140118556100205</c:v>
                </c:pt>
                <c:pt idx="30">
                  <c:v>3.9540084273443199</c:v>
                </c:pt>
                <c:pt idx="31">
                  <c:v>3.9177555454748059</c:v>
                </c:pt>
                <c:pt idx="32">
                  <c:v>4.0489655130530595</c:v>
                </c:pt>
                <c:pt idx="33">
                  <c:v>4.0496037732207668</c:v>
                </c:pt>
                <c:pt idx="34">
                  <c:v>3.9815205988025593</c:v>
                </c:pt>
                <c:pt idx="35">
                  <c:v>3.8999773443533421</c:v>
                </c:pt>
                <c:pt idx="36">
                  <c:v>3.9</c:v>
                </c:pt>
                <c:pt idx="37">
                  <c:v>3.9248638845977402</c:v>
                </c:pt>
                <c:pt idx="38">
                  <c:v>3.92</c:v>
                </c:pt>
                <c:pt idx="39">
                  <c:v>3.9587431381197664</c:v>
                </c:pt>
                <c:pt idx="40">
                  <c:v>3.9821881869142257</c:v>
                </c:pt>
                <c:pt idx="41">
                  <c:v>4.0345919345976871</c:v>
                </c:pt>
                <c:pt idx="42">
                  <c:v>4.1327581882730096</c:v>
                </c:pt>
                <c:pt idx="43">
                  <c:v>4.265027514407107</c:v>
                </c:pt>
                <c:pt idx="44">
                  <c:v>4.2349410965869332</c:v>
                </c:pt>
                <c:pt idx="45">
                  <c:v>4.2349410965869332</c:v>
                </c:pt>
                <c:pt idx="46">
                  <c:v>4.1199573009932688</c:v>
                </c:pt>
                <c:pt idx="47">
                  <c:v>4.0859076773955874</c:v>
                </c:pt>
                <c:pt idx="48">
                  <c:v>4.1754052858257502</c:v>
                </c:pt>
                <c:pt idx="49">
                  <c:v>4.1830372110468401</c:v>
                </c:pt>
                <c:pt idx="50">
                  <c:v>4.24</c:v>
                </c:pt>
                <c:pt idx="51">
                  <c:v>4.294555908555882</c:v>
                </c:pt>
                <c:pt idx="52">
                  <c:v>4.2677799935339156</c:v>
                </c:pt>
                <c:pt idx="53">
                  <c:v>4.2690899561800171</c:v>
                </c:pt>
                <c:pt idx="54">
                  <c:v>4.3198760248191306</c:v>
                </c:pt>
                <c:pt idx="55">
                  <c:v>4.2971164532801938</c:v>
                </c:pt>
                <c:pt idx="56">
                  <c:v>4.2748295266503966</c:v>
                </c:pt>
                <c:pt idx="57">
                  <c:v>4.3037502634213638</c:v>
                </c:pt>
                <c:pt idx="58">
                  <c:v>4.3362375934208988</c:v>
                </c:pt>
                <c:pt idx="59">
                  <c:v>4.2449828157477301</c:v>
                </c:pt>
                <c:pt idx="60">
                  <c:v>4.2199619006954752</c:v>
                </c:pt>
                <c:pt idx="61">
                  <c:v>4.2214598966535819</c:v>
                </c:pt>
                <c:pt idx="62">
                  <c:v>4.3144656060980617</c:v>
                </c:pt>
                <c:pt idx="63">
                  <c:v>4.3461754500336278</c:v>
                </c:pt>
                <c:pt idx="64">
                  <c:v>4.5943717883181172</c:v>
                </c:pt>
                <c:pt idx="65">
                  <c:v>4.6069587107278567</c:v>
                </c:pt>
                <c:pt idx="66">
                  <c:v>4.6752045746859441</c:v>
                </c:pt>
                <c:pt idx="67">
                  <c:v>4.6405843281016317</c:v>
                </c:pt>
                <c:pt idx="68">
                  <c:v>4.6693372899125025</c:v>
                </c:pt>
                <c:pt idx="69">
                  <c:v>4.6791407851627191</c:v>
                </c:pt>
                <c:pt idx="70">
                  <c:v>4.6330338147628964</c:v>
                </c:pt>
                <c:pt idx="71">
                  <c:v>4.5280867970029002</c:v>
                </c:pt>
                <c:pt idx="72">
                  <c:v>4.5280817930072796</c:v>
                </c:pt>
                <c:pt idx="73">
                  <c:v>4.6565059801829376</c:v>
                </c:pt>
                <c:pt idx="74">
                  <c:v>4.6131847783030775</c:v>
                </c:pt>
                <c:pt idx="75">
                  <c:v>4.6427029791570416</c:v>
                </c:pt>
                <c:pt idx="76">
                  <c:v>4.6128495660168296</c:v>
                </c:pt>
                <c:pt idx="77">
                  <c:v>4.548612257260424</c:v>
                </c:pt>
                <c:pt idx="78">
                  <c:v>4.712489594546887</c:v>
                </c:pt>
                <c:pt idx="79">
                  <c:v>4.5779023326366151</c:v>
                </c:pt>
                <c:pt idx="80">
                  <c:v>4.6341356393349171</c:v>
                </c:pt>
                <c:pt idx="81">
                  <c:v>4.847943752387966</c:v>
                </c:pt>
                <c:pt idx="82">
                  <c:v>4.8299581902572113</c:v>
                </c:pt>
                <c:pt idx="83">
                  <c:v>4.7428769548964969</c:v>
                </c:pt>
                <c:pt idx="84">
                  <c:v>4.6477796209310345</c:v>
                </c:pt>
                <c:pt idx="85">
                  <c:v>4.637595335518748</c:v>
                </c:pt>
                <c:pt idx="86">
                  <c:v>4.7017883874679836</c:v>
                </c:pt>
                <c:pt idx="87">
                  <c:v>4.7295405765224627</c:v>
                </c:pt>
                <c:pt idx="88">
                  <c:v>4.7518355358720337</c:v>
                </c:pt>
                <c:pt idx="89">
                  <c:v>4.9877855399841868</c:v>
                </c:pt>
                <c:pt idx="90">
                  <c:v>5.1263096176652239</c:v>
                </c:pt>
                <c:pt idx="91">
                  <c:v>5.1069059833180042</c:v>
                </c:pt>
                <c:pt idx="92">
                  <c:v>5.1567977105008387</c:v>
                </c:pt>
                <c:pt idx="93">
                  <c:v>5.0759183731827484</c:v>
                </c:pt>
                <c:pt idx="94">
                  <c:v>5.0005729951010123</c:v>
                </c:pt>
                <c:pt idx="95">
                  <c:v>4.9846882688217198</c:v>
                </c:pt>
                <c:pt idx="96">
                  <c:v>4.96005583601697</c:v>
                </c:pt>
                <c:pt idx="97">
                  <c:v>4.9402193514156414</c:v>
                </c:pt>
                <c:pt idx="98">
                  <c:v>4.9822022212343953</c:v>
                </c:pt>
                <c:pt idx="99">
                  <c:v>4.9986259081615856</c:v>
                </c:pt>
                <c:pt idx="100">
                  <c:v>5.182282073076145</c:v>
                </c:pt>
                <c:pt idx="101">
                  <c:v>5.2351848686668845</c:v>
                </c:pt>
                <c:pt idx="102">
                  <c:v>5.2061036092907695</c:v>
                </c:pt>
                <c:pt idx="103">
                  <c:v>5.1036142386312573</c:v>
                </c:pt>
                <c:pt idx="104">
                  <c:v>5.2235352157621966</c:v>
                </c:pt>
                <c:pt idx="105">
                  <c:v>5.1550302756300397</c:v>
                </c:pt>
                <c:pt idx="106">
                  <c:v>5.0848327725222182</c:v>
                </c:pt>
                <c:pt idx="107">
                  <c:v>5.0452521969974597</c:v>
                </c:pt>
                <c:pt idx="108">
                  <c:v>5.0141500525362499</c:v>
                </c:pt>
                <c:pt idx="109">
                  <c:v>4.9681247556469916</c:v>
                </c:pt>
                <c:pt idx="110">
                  <c:v>5.0025074076639466</c:v>
                </c:pt>
                <c:pt idx="111">
                  <c:v>5.0322940036657116</c:v>
                </c:pt>
                <c:pt idx="112">
                  <c:v>5.0238078414765424</c:v>
                </c:pt>
                <c:pt idx="113">
                  <c:v>5.0644327091263852</c:v>
                </c:pt>
                <c:pt idx="114">
                  <c:v>5.0199999999999996</c:v>
                </c:pt>
                <c:pt idx="115">
                  <c:v>5.4496738179063344</c:v>
                </c:pt>
                <c:pt idx="116">
                  <c:v>5.0067439399134432</c:v>
                </c:pt>
                <c:pt idx="117">
                  <c:v>5.2634513867938875</c:v>
                </c:pt>
                <c:pt idx="118">
                  <c:v>5.2706618369152816</c:v>
                </c:pt>
                <c:pt idx="119">
                  <c:v>5.1449857834726913</c:v>
                </c:pt>
                <c:pt idx="120">
                  <c:v>5.1044612778996408</c:v>
                </c:pt>
                <c:pt idx="121">
                  <c:v>5.0748453730997278</c:v>
                </c:pt>
                <c:pt idx="122">
                  <c:v>5.2879836538965037</c:v>
                </c:pt>
                <c:pt idx="123">
                  <c:v>5.4019950543720787</c:v>
                </c:pt>
                <c:pt idx="124">
                  <c:v>5.3648575348068563</c:v>
                </c:pt>
                <c:pt idx="125">
                  <c:v>5.4160982521735388</c:v>
                </c:pt>
                <c:pt idx="126">
                  <c:v>5.319255282417096</c:v>
                </c:pt>
                <c:pt idx="127">
                  <c:v>5.5804690282188822</c:v>
                </c:pt>
                <c:pt idx="128">
                  <c:v>5.4653525217317105</c:v>
                </c:pt>
                <c:pt idx="129">
                  <c:v>5.4869457402688964</c:v>
                </c:pt>
                <c:pt idx="130">
                  <c:v>5.398780769983512</c:v>
                </c:pt>
                <c:pt idx="131">
                  <c:v>5.4547975181960879</c:v>
                </c:pt>
                <c:pt idx="132">
                  <c:v>5.3960233323260294</c:v>
                </c:pt>
                <c:pt idx="133">
                  <c:v>5.3511121743548555</c:v>
                </c:pt>
                <c:pt idx="134">
                  <c:v>5.3122485985030998</c:v>
                </c:pt>
                <c:pt idx="135">
                  <c:v>5.3262212302166034</c:v>
                </c:pt>
                <c:pt idx="136">
                  <c:v>5.4011042314971363</c:v>
                </c:pt>
                <c:pt idx="137">
                  <c:v>5.4238491437881367</c:v>
                </c:pt>
                <c:pt idx="138">
                  <c:v>5.5684235809958098</c:v>
                </c:pt>
                <c:pt idx="139">
                  <c:v>5.5442244098117905</c:v>
                </c:pt>
                <c:pt idx="140">
                  <c:v>5.7579433866388854</c:v>
                </c:pt>
                <c:pt idx="141">
                  <c:v>5.7862199832720282</c:v>
                </c:pt>
                <c:pt idx="142">
                  <c:v>5.7961313653188657</c:v>
                </c:pt>
                <c:pt idx="143">
                  <c:v>5.8005503938017382</c:v>
                </c:pt>
                <c:pt idx="144">
                  <c:v>5.7524849727476299</c:v>
                </c:pt>
                <c:pt idx="145">
                  <c:v>5.7087390592945981</c:v>
                </c:pt>
                <c:pt idx="146">
                  <c:v>5.8492929814560028</c:v>
                </c:pt>
                <c:pt idx="147">
                  <c:v>5.8514166257325897</c:v>
                </c:pt>
                <c:pt idx="148">
                  <c:v>5.7838191332595823</c:v>
                </c:pt>
                <c:pt idx="149">
                  <c:v>5.8654104707368804</c:v>
                </c:pt>
                <c:pt idx="150">
                  <c:v>5.8424053573128596</c:v>
                </c:pt>
                <c:pt idx="151">
                  <c:v>5.9266155635586504</c:v>
                </c:pt>
                <c:pt idx="152">
                  <c:v>5.8280523543791762</c:v>
                </c:pt>
                <c:pt idx="153">
                  <c:v>6.0160625743317269</c:v>
                </c:pt>
                <c:pt idx="154">
                  <c:v>5.9681162421471168</c:v>
                </c:pt>
                <c:pt idx="155">
                  <c:v>5.975175319113573</c:v>
                </c:pt>
                <c:pt idx="156">
                  <c:v>5.8714259522759544</c:v>
                </c:pt>
                <c:pt idx="157">
                  <c:v>5.8237021772593955</c:v>
                </c:pt>
                <c:pt idx="158">
                  <c:v>5.8775466173072415</c:v>
                </c:pt>
                <c:pt idx="159">
                  <c:v>5.8424495366514781</c:v>
                </c:pt>
                <c:pt idx="160">
                  <c:v>5.9474742247891044</c:v>
                </c:pt>
                <c:pt idx="161">
                  <c:v>6.0135276800140716</c:v>
                </c:pt>
                <c:pt idx="162">
                  <c:v>5.9127850123671282</c:v>
                </c:pt>
                <c:pt idx="163">
                  <c:v>5.905558447226432</c:v>
                </c:pt>
                <c:pt idx="164">
                  <c:v>5.8940269711903337</c:v>
                </c:pt>
                <c:pt idx="165">
                  <c:v>5.8321756261675297</c:v>
                </c:pt>
                <c:pt idx="166">
                  <c:v>5.8513673148538352</c:v>
                </c:pt>
                <c:pt idx="167">
                  <c:v>5.8606217039492048</c:v>
                </c:pt>
                <c:pt idx="168">
                  <c:v>5.8112201010291615</c:v>
                </c:pt>
                <c:pt idx="169">
                  <c:v>5.8576789714067115</c:v>
                </c:pt>
                <c:pt idx="170">
                  <c:v>6.0413950049611262</c:v>
                </c:pt>
                <c:pt idx="171">
                  <c:v>6.0829417321343557</c:v>
                </c:pt>
                <c:pt idx="172">
                  <c:v>6.1436145412830339</c:v>
                </c:pt>
                <c:pt idx="173">
                  <c:v>6.2985307133506234</c:v>
                </c:pt>
                <c:pt idx="174">
                  <c:v>6.2479801241299135</c:v>
                </c:pt>
                <c:pt idx="175">
                  <c:v>6.1728999869542918</c:v>
                </c:pt>
                <c:pt idx="176">
                  <c:v>6.0268577782454109</c:v>
                </c:pt>
                <c:pt idx="177">
                  <c:v>6.0602541269644759</c:v>
                </c:pt>
                <c:pt idx="178">
                  <c:v>6.1085683384425753</c:v>
                </c:pt>
                <c:pt idx="179">
                  <c:v>6.1610263210954397</c:v>
                </c:pt>
                <c:pt idx="180">
                  <c:v>6.0893109790502749</c:v>
                </c:pt>
                <c:pt idx="181">
                  <c:v>6.0482357106841782</c:v>
                </c:pt>
                <c:pt idx="182">
                  <c:v>6.0629886111531857</c:v>
                </c:pt>
                <c:pt idx="183">
                  <c:v>6.0068397701457421</c:v>
                </c:pt>
                <c:pt idx="184">
                  <c:v>6.0162633052582954</c:v>
                </c:pt>
                <c:pt idx="185">
                  <c:v>6.0804174384336367</c:v>
                </c:pt>
                <c:pt idx="186">
                  <c:v>6.0987772268091316</c:v>
                </c:pt>
                <c:pt idx="187">
                  <c:v>6.1973071013004084</c:v>
                </c:pt>
                <c:pt idx="188">
                  <c:v>6.2190566472830762</c:v>
                </c:pt>
                <c:pt idx="189">
                  <c:v>6.2241942380841691</c:v>
                </c:pt>
                <c:pt idx="190">
                  <c:v>6.1331813842459457</c:v>
                </c:pt>
                <c:pt idx="191">
                  <c:v>5.9596429407840397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06-40EE-AA5D-5BC961C24785}"/>
            </c:ext>
          </c:extLst>
        </c:ser>
        <c:ser>
          <c:idx val="1"/>
          <c:order val="1"/>
          <c:tx>
            <c:strRef>
              <c:f>Indicadores!$E$20</c:f>
              <c:strCache>
                <c:ptCount val="1"/>
                <c:pt idx="0">
                  <c:v>Vida media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Ref>
              <c:f>Indicadores!$A$114:$A$581</c:f>
              <c:numCache>
                <c:formatCode>mmm\-yy</c:formatCode>
                <c:ptCount val="468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Indicadores!$E$114:$E$371</c:f>
              <c:numCache>
                <c:formatCode>_ * #,##0.00_ ;_ * \-#,##0.00_ ;_ * "-"??_ ;_ @_ </c:formatCode>
                <c:ptCount val="258"/>
                <c:pt idx="0">
                  <c:v>4.250267125606606</c:v>
                </c:pt>
                <c:pt idx="1">
                  <c:v>4.3566882143070487</c:v>
                </c:pt>
                <c:pt idx="2">
                  <c:v>4.522016580167767</c:v>
                </c:pt>
                <c:pt idx="3">
                  <c:v>4.4933045656020312</c:v>
                </c:pt>
                <c:pt idx="4">
                  <c:v>4.749898474133265</c:v>
                </c:pt>
                <c:pt idx="5">
                  <c:v>4.707675621006171</c:v>
                </c:pt>
                <c:pt idx="6">
                  <c:v>4.9406967343596682</c:v>
                </c:pt>
                <c:pt idx="7">
                  <c:v>4.8400132119498922</c:v>
                </c:pt>
                <c:pt idx="8">
                  <c:v>4.9127475631672803</c:v>
                </c:pt>
                <c:pt idx="9">
                  <c:v>4.7927423225142309</c:v>
                </c:pt>
                <c:pt idx="10">
                  <c:v>4.7061644344798754</c:v>
                </c:pt>
                <c:pt idx="11">
                  <c:v>4.6955807824385793</c:v>
                </c:pt>
                <c:pt idx="12">
                  <c:v>4.6851699600811525</c:v>
                </c:pt>
                <c:pt idx="13">
                  <c:v>4.742846853221943</c:v>
                </c:pt>
                <c:pt idx="14">
                  <c:v>4.7739132381222822</c:v>
                </c:pt>
                <c:pt idx="15">
                  <c:v>4.901135689948438</c:v>
                </c:pt>
                <c:pt idx="16">
                  <c:v>4.9778897898246601</c:v>
                </c:pt>
                <c:pt idx="17">
                  <c:v>4.94360649632854</c:v>
                </c:pt>
                <c:pt idx="18">
                  <c:v>4.9417443881623528</c:v>
                </c:pt>
                <c:pt idx="19">
                  <c:v>4.9480181479006813</c:v>
                </c:pt>
                <c:pt idx="20">
                  <c:v>5.0747441574857852</c:v>
                </c:pt>
                <c:pt idx="21">
                  <c:v>5.0059777453378169</c:v>
                </c:pt>
                <c:pt idx="22">
                  <c:v>4.9924386792628797</c:v>
                </c:pt>
                <c:pt idx="23">
                  <c:v>4.7250266103300662</c:v>
                </c:pt>
                <c:pt idx="24">
                  <c:v>4.9286593275574262</c:v>
                </c:pt>
                <c:pt idx="25">
                  <c:v>4.877984833651194</c:v>
                </c:pt>
                <c:pt idx="26">
                  <c:v>4.8694013139067609</c:v>
                </c:pt>
                <c:pt idx="27">
                  <c:v>4.8311947832950679</c:v>
                </c:pt>
                <c:pt idx="28">
                  <c:v>4.8311947832950679</c:v>
                </c:pt>
                <c:pt idx="29">
                  <c:v>5.1707688946464039</c:v>
                </c:pt>
                <c:pt idx="30">
                  <c:v>5.1128851444981773</c:v>
                </c:pt>
                <c:pt idx="31">
                  <c:v>5.0641381272208132</c:v>
                </c:pt>
                <c:pt idx="32">
                  <c:v>5.3006564459931136</c:v>
                </c:pt>
                <c:pt idx="33">
                  <c:v>5.2637111118963729</c:v>
                </c:pt>
                <c:pt idx="34">
                  <c:v>5.7133601536716778</c:v>
                </c:pt>
                <c:pt idx="35">
                  <c:v>5.0305028681531807</c:v>
                </c:pt>
                <c:pt idx="36">
                  <c:v>5</c:v>
                </c:pt>
                <c:pt idx="37">
                  <c:v>5.0887754144494988</c:v>
                </c:pt>
                <c:pt idx="38">
                  <c:v>5.1380278287448835</c:v>
                </c:pt>
                <c:pt idx="39">
                  <c:v>5.1870350380518646</c:v>
                </c:pt>
                <c:pt idx="40">
                  <c:v>5.2229183588860684</c:v>
                </c:pt>
                <c:pt idx="41">
                  <c:v>5.2809484234046051</c:v>
                </c:pt>
                <c:pt idx="42">
                  <c:v>5.3125637304120428</c:v>
                </c:pt>
                <c:pt idx="43">
                  <c:v>5.462545539246058</c:v>
                </c:pt>
                <c:pt idx="44">
                  <c:v>5.4399244926187915</c:v>
                </c:pt>
                <c:pt idx="45">
                  <c:v>5.4399244926187915</c:v>
                </c:pt>
                <c:pt idx="46">
                  <c:v>5.2689551220911737</c:v>
                </c:pt>
                <c:pt idx="47">
                  <c:v>5.1389638181873147</c:v>
                </c:pt>
                <c:pt idx="48">
                  <c:v>5.2999366107225896</c:v>
                </c:pt>
                <c:pt idx="49">
                  <c:v>5.2898534344046091</c:v>
                </c:pt>
                <c:pt idx="50">
                  <c:v>5.2505883086264253</c:v>
                </c:pt>
                <c:pt idx="51">
                  <c:v>5.4225199312501848</c:v>
                </c:pt>
                <c:pt idx="52">
                  <c:v>5.4827963474673211</c:v>
                </c:pt>
                <c:pt idx="53">
                  <c:v>5.5532617542802001</c:v>
                </c:pt>
                <c:pt idx="54">
                  <c:v>5.5645893243236699</c:v>
                </c:pt>
                <c:pt idx="55">
                  <c:v>5.5371423710668495</c:v>
                </c:pt>
                <c:pt idx="56">
                  <c:v>5.5104535993185939</c:v>
                </c:pt>
                <c:pt idx="57">
                  <c:v>5.5069141070790426</c:v>
                </c:pt>
                <c:pt idx="58">
                  <c:v>5.5421660577762832</c:v>
                </c:pt>
                <c:pt idx="59">
                  <c:v>5.2942344710728282</c:v>
                </c:pt>
                <c:pt idx="60">
                  <c:v>5.4852136469046071</c:v>
                </c:pt>
                <c:pt idx="61">
                  <c:v>5.4502195853029063</c:v>
                </c:pt>
                <c:pt idx="62">
                  <c:v>5.6108656826241132</c:v>
                </c:pt>
                <c:pt idx="63">
                  <c:v>5.6522065718154275</c:v>
                </c:pt>
                <c:pt idx="64">
                  <c:v>5.9576008347457607</c:v>
                </c:pt>
                <c:pt idx="65">
                  <c:v>5.8803067462156369</c:v>
                </c:pt>
                <c:pt idx="66">
                  <c:v>5.9031067064329692</c:v>
                </c:pt>
                <c:pt idx="67">
                  <c:v>5.8639984487072692</c:v>
                </c:pt>
                <c:pt idx="68">
                  <c:v>5.7871001488593068</c:v>
                </c:pt>
                <c:pt idx="69">
                  <c:v>5.7291445404629862</c:v>
                </c:pt>
                <c:pt idx="70">
                  <c:v>5.7882132714502559</c:v>
                </c:pt>
                <c:pt idx="71">
                  <c:v>5.681577419274098</c:v>
                </c:pt>
                <c:pt idx="72">
                  <c:v>5.8661561090134056</c:v>
                </c:pt>
                <c:pt idx="73">
                  <c:v>5.8916636795114679</c:v>
                </c:pt>
                <c:pt idx="74">
                  <c:v>5.9410556377134647</c:v>
                </c:pt>
                <c:pt idx="75">
                  <c:v>6.0441269829527338</c:v>
                </c:pt>
                <c:pt idx="76">
                  <c:v>5.8581049357320829</c:v>
                </c:pt>
                <c:pt idx="77">
                  <c:v>6.0008527361588282</c:v>
                </c:pt>
                <c:pt idx="78">
                  <c:v>6.1302183872787976</c:v>
                </c:pt>
                <c:pt idx="79">
                  <c:v>6.08563737137057</c:v>
                </c:pt>
                <c:pt idx="80">
                  <c:v>5.8514797094218496</c:v>
                </c:pt>
                <c:pt idx="81">
                  <c:v>6.0911609934755759</c:v>
                </c:pt>
                <c:pt idx="82">
                  <c:v>6.1023786396034714</c:v>
                </c:pt>
                <c:pt idx="83">
                  <c:v>5.911603415869763</c:v>
                </c:pt>
                <c:pt idx="84">
                  <c:v>5.932234086000058</c:v>
                </c:pt>
                <c:pt idx="85">
                  <c:v>6.1061727350426143</c:v>
                </c:pt>
                <c:pt idx="86">
                  <c:v>5.993728450630047</c:v>
                </c:pt>
                <c:pt idx="87">
                  <c:v>6.0252597871687907</c:v>
                </c:pt>
                <c:pt idx="88">
                  <c:v>6.0219619854795177</c:v>
                </c:pt>
                <c:pt idx="89">
                  <c:v>6.2067392189012711</c:v>
                </c:pt>
                <c:pt idx="90">
                  <c:v>6.3241801578440731</c:v>
                </c:pt>
                <c:pt idx="91">
                  <c:v>6.3152627955367882</c:v>
                </c:pt>
                <c:pt idx="92">
                  <c:v>6.3095210582311401</c:v>
                </c:pt>
                <c:pt idx="93">
                  <c:v>6.203751987243157</c:v>
                </c:pt>
                <c:pt idx="94">
                  <c:v>6.1531743946659825</c:v>
                </c:pt>
                <c:pt idx="95">
                  <c:v>6.1578499062101377</c:v>
                </c:pt>
                <c:pt idx="96">
                  <c:v>6.2516814559354987</c:v>
                </c:pt>
                <c:pt idx="97">
                  <c:v>6.2664061956236621</c:v>
                </c:pt>
                <c:pt idx="98">
                  <c:v>6.2605546980194298</c:v>
                </c:pt>
                <c:pt idx="99">
                  <c:v>6.3099496701833262</c:v>
                </c:pt>
                <c:pt idx="100">
                  <c:v>6.5170347572087008</c:v>
                </c:pt>
                <c:pt idx="101">
                  <c:v>6.6162887082005737</c:v>
                </c:pt>
                <c:pt idx="102">
                  <c:v>6.5130770266262967</c:v>
                </c:pt>
                <c:pt idx="103">
                  <c:v>6.449517190866966</c:v>
                </c:pt>
                <c:pt idx="104">
                  <c:v>6.4524238711560535</c:v>
                </c:pt>
                <c:pt idx="105">
                  <c:v>6.3969591123461598</c:v>
                </c:pt>
                <c:pt idx="106">
                  <c:v>6.3200324966963084</c:v>
                </c:pt>
                <c:pt idx="107">
                  <c:v>6.1740889076699057</c:v>
                </c:pt>
                <c:pt idx="108">
                  <c:v>6.211994236536758</c:v>
                </c:pt>
                <c:pt idx="109">
                  <c:v>6.180534275818486</c:v>
                </c:pt>
                <c:pt idx="110">
                  <c:v>6.2119312020249504</c:v>
                </c:pt>
                <c:pt idx="111">
                  <c:v>6.2162481495610011</c:v>
                </c:pt>
                <c:pt idx="112">
                  <c:v>6.2410083927705422</c:v>
                </c:pt>
                <c:pt idx="113">
                  <c:v>6.288492726220535</c:v>
                </c:pt>
                <c:pt idx="114">
                  <c:v>6.21517557943619</c:v>
                </c:pt>
                <c:pt idx="115">
                  <c:v>6.1915511659925917</c:v>
                </c:pt>
                <c:pt idx="116">
                  <c:v>6.1541543126518281</c:v>
                </c:pt>
                <c:pt idx="117">
                  <c:v>6.5482110194066125</c:v>
                </c:pt>
                <c:pt idx="118">
                  <c:v>6.5442279156388858</c:v>
                </c:pt>
                <c:pt idx="119">
                  <c:v>6.4399904218289601</c:v>
                </c:pt>
                <c:pt idx="120">
                  <c:v>6.4036992175995104</c:v>
                </c:pt>
                <c:pt idx="121">
                  <c:v>6.3687407857117178</c:v>
                </c:pt>
                <c:pt idx="122">
                  <c:v>6.5064091468224667</c:v>
                </c:pt>
                <c:pt idx="123">
                  <c:v>6.6831700705665948</c:v>
                </c:pt>
                <c:pt idx="124">
                  <c:v>6.6504847929424802</c:v>
                </c:pt>
                <c:pt idx="125">
                  <c:v>6.6184828811257397</c:v>
                </c:pt>
                <c:pt idx="126">
                  <c:v>6.8280322190142151</c:v>
                </c:pt>
                <c:pt idx="127">
                  <c:v>6.3687407857117178</c:v>
                </c:pt>
                <c:pt idx="128">
                  <c:v>6.9246082032998721</c:v>
                </c:pt>
                <c:pt idx="129">
                  <c:v>6.5582234378855588</c:v>
                </c:pt>
                <c:pt idx="130">
                  <c:v>6.6420215264647728</c:v>
                </c:pt>
                <c:pt idx="131">
                  <c:v>6.5954393743173467</c:v>
                </c:pt>
                <c:pt idx="132">
                  <c:v>6.3246826770494717</c:v>
                </c:pt>
                <c:pt idx="133">
                  <c:v>6.3012886905194554</c:v>
                </c:pt>
                <c:pt idx="134">
                  <c:v>6.3024871081101024</c:v>
                </c:pt>
                <c:pt idx="135">
                  <c:v>6.4176091818640675</c:v>
                </c:pt>
                <c:pt idx="136">
                  <c:v>6.4342674569666976</c:v>
                </c:pt>
                <c:pt idx="137">
                  <c:v>6.480569513364391</c:v>
                </c:pt>
                <c:pt idx="138">
                  <c:v>6.6459475485462907</c:v>
                </c:pt>
                <c:pt idx="139">
                  <c:v>6.6088984087981641</c:v>
                </c:pt>
                <c:pt idx="140">
                  <c:v>7.113504995745898</c:v>
                </c:pt>
                <c:pt idx="141">
                  <c:v>7.1857249080777805</c:v>
                </c:pt>
                <c:pt idx="142">
                  <c:v>7.5378603807527798</c:v>
                </c:pt>
                <c:pt idx="143">
                  <c:v>7.5539413813884888</c:v>
                </c:pt>
                <c:pt idx="144">
                  <c:v>7.5611637563386322</c:v>
                </c:pt>
                <c:pt idx="145">
                  <c:v>7.6104988230909214</c:v>
                </c:pt>
                <c:pt idx="146">
                  <c:v>7.9476740870436418</c:v>
                </c:pt>
                <c:pt idx="147">
                  <c:v>7.9836346663469389</c:v>
                </c:pt>
                <c:pt idx="148">
                  <c:v>8.0430575709642422</c:v>
                </c:pt>
                <c:pt idx="149">
                  <c:v>8.1147731478539846</c:v>
                </c:pt>
                <c:pt idx="150">
                  <c:v>8.0810327720334456</c:v>
                </c:pt>
                <c:pt idx="151">
                  <c:v>8.2535373003796142</c:v>
                </c:pt>
                <c:pt idx="152">
                  <c:v>8.3191303234016321</c:v>
                </c:pt>
                <c:pt idx="153">
                  <c:v>8.39868550079483</c:v>
                </c:pt>
                <c:pt idx="154">
                  <c:v>8.4469123588103514</c:v>
                </c:pt>
                <c:pt idx="155">
                  <c:v>8.453248779500548</c:v>
                </c:pt>
                <c:pt idx="156">
                  <c:v>8.4293271103414131</c:v>
                </c:pt>
                <c:pt idx="157">
                  <c:v>8.4489788376502659</c:v>
                </c:pt>
                <c:pt idx="158">
                  <c:v>8.6027575102624709</c:v>
                </c:pt>
                <c:pt idx="159">
                  <c:v>8.6451957052787076</c:v>
                </c:pt>
                <c:pt idx="160">
                  <c:v>8.8864914109210886</c:v>
                </c:pt>
                <c:pt idx="161">
                  <c:v>9.0210835191313397</c:v>
                </c:pt>
                <c:pt idx="162">
                  <c:v>9.0360834297302279</c:v>
                </c:pt>
                <c:pt idx="163">
                  <c:v>8.9989526635062553</c:v>
                </c:pt>
                <c:pt idx="164">
                  <c:v>9.1020906435752771</c:v>
                </c:pt>
                <c:pt idx="165">
                  <c:v>9.0466732208807361</c:v>
                </c:pt>
                <c:pt idx="166">
                  <c:v>8.9915107007944677</c:v>
                </c:pt>
                <c:pt idx="167">
                  <c:v>9.0385458764974622</c:v>
                </c:pt>
                <c:pt idx="168">
                  <c:v>8.9642461331604935</c:v>
                </c:pt>
                <c:pt idx="169">
                  <c:v>9.2165456144021167</c:v>
                </c:pt>
                <c:pt idx="170">
                  <c:v>9.3257029264195523</c:v>
                </c:pt>
                <c:pt idx="171">
                  <c:v>9.3543814751078642</c:v>
                </c:pt>
                <c:pt idx="172">
                  <c:v>9.3619013867148837</c:v>
                </c:pt>
                <c:pt idx="173">
                  <c:v>9.4303117691794949</c:v>
                </c:pt>
                <c:pt idx="174">
                  <c:v>9.4112091037949472</c:v>
                </c:pt>
                <c:pt idx="175">
                  <c:v>9.4221394138803838</c:v>
                </c:pt>
                <c:pt idx="176">
                  <c:v>9.4531838595218414</c:v>
                </c:pt>
                <c:pt idx="177">
                  <c:v>9.4158773282348278</c:v>
                </c:pt>
                <c:pt idx="178">
                  <c:v>9.3763263743784737</c:v>
                </c:pt>
                <c:pt idx="179">
                  <c:v>9.5493000000000006</c:v>
                </c:pt>
                <c:pt idx="180">
                  <c:v>9.2603776868861303</c:v>
                </c:pt>
                <c:pt idx="181">
                  <c:v>9.2603776868861303</c:v>
                </c:pt>
                <c:pt idx="182">
                  <c:v>9.4158854617777017</c:v>
                </c:pt>
                <c:pt idx="183">
                  <c:v>9.4051376268128521</c:v>
                </c:pt>
                <c:pt idx="184">
                  <c:v>9.4887829067709664</c:v>
                </c:pt>
                <c:pt idx="185">
                  <c:v>9.6650794591898883</c:v>
                </c:pt>
                <c:pt idx="186">
                  <c:v>9.7772002900188983</c:v>
                </c:pt>
                <c:pt idx="187">
                  <c:v>9.9285355019032444</c:v>
                </c:pt>
                <c:pt idx="188">
                  <c:v>10.158715859484305</c:v>
                </c:pt>
                <c:pt idx="189">
                  <c:v>10.123538004966797</c:v>
                </c:pt>
                <c:pt idx="190">
                  <c:v>10.178434917267117</c:v>
                </c:pt>
                <c:pt idx="191">
                  <c:v>10.45121418343872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06-40EE-AA5D-5BC961C2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2322928"/>
        <c:axId val="1"/>
      </c:lineChart>
      <c:lineChart>
        <c:grouping val="standard"/>
        <c:varyColors val="0"/>
        <c:ser>
          <c:idx val="2"/>
          <c:order val="2"/>
          <c:tx>
            <c:strRef>
              <c:f>Indicadores!$H$20</c:f>
              <c:strCache>
                <c:ptCount val="1"/>
                <c:pt idx="0">
                  <c:v>Cupón promedio (%)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Indicadores!$A$115:$A$254</c:f>
              <c:numCache>
                <c:formatCode>mmm\-yy</c:formatCode>
                <c:ptCount val="140"/>
                <c:pt idx="0">
                  <c:v>39872</c:v>
                </c:pt>
                <c:pt idx="1">
                  <c:v>39903</c:v>
                </c:pt>
                <c:pt idx="2">
                  <c:v>39933</c:v>
                </c:pt>
                <c:pt idx="3">
                  <c:v>39964</c:v>
                </c:pt>
                <c:pt idx="4">
                  <c:v>39994</c:v>
                </c:pt>
                <c:pt idx="5">
                  <c:v>40025</c:v>
                </c:pt>
                <c:pt idx="6">
                  <c:v>40056</c:v>
                </c:pt>
                <c:pt idx="7">
                  <c:v>40086</c:v>
                </c:pt>
                <c:pt idx="8">
                  <c:v>40117</c:v>
                </c:pt>
                <c:pt idx="9">
                  <c:v>40147</c:v>
                </c:pt>
                <c:pt idx="10">
                  <c:v>40178</c:v>
                </c:pt>
                <c:pt idx="11">
                  <c:v>40209</c:v>
                </c:pt>
                <c:pt idx="12">
                  <c:v>40237</c:v>
                </c:pt>
                <c:pt idx="13">
                  <c:v>40268</c:v>
                </c:pt>
                <c:pt idx="14">
                  <c:v>40298</c:v>
                </c:pt>
                <c:pt idx="15">
                  <c:v>40329</c:v>
                </c:pt>
                <c:pt idx="16">
                  <c:v>40359</c:v>
                </c:pt>
                <c:pt idx="17">
                  <c:v>40390</c:v>
                </c:pt>
                <c:pt idx="18">
                  <c:v>40421</c:v>
                </c:pt>
                <c:pt idx="19">
                  <c:v>40451</c:v>
                </c:pt>
                <c:pt idx="20">
                  <c:v>40482</c:v>
                </c:pt>
                <c:pt idx="21">
                  <c:v>40512</c:v>
                </c:pt>
                <c:pt idx="22">
                  <c:v>40543</c:v>
                </c:pt>
                <c:pt idx="23">
                  <c:v>40574</c:v>
                </c:pt>
                <c:pt idx="24">
                  <c:v>40602</c:v>
                </c:pt>
                <c:pt idx="25">
                  <c:v>40633</c:v>
                </c:pt>
                <c:pt idx="26">
                  <c:v>40663</c:v>
                </c:pt>
                <c:pt idx="27">
                  <c:v>40694</c:v>
                </c:pt>
                <c:pt idx="28">
                  <c:v>40724</c:v>
                </c:pt>
                <c:pt idx="29">
                  <c:v>40755</c:v>
                </c:pt>
                <c:pt idx="30">
                  <c:v>40786</c:v>
                </c:pt>
                <c:pt idx="31">
                  <c:v>40816</c:v>
                </c:pt>
                <c:pt idx="32">
                  <c:v>40847</c:v>
                </c:pt>
                <c:pt idx="33">
                  <c:v>40877</c:v>
                </c:pt>
                <c:pt idx="34">
                  <c:v>40878</c:v>
                </c:pt>
                <c:pt idx="35">
                  <c:v>40909</c:v>
                </c:pt>
                <c:pt idx="36">
                  <c:v>40940</c:v>
                </c:pt>
                <c:pt idx="37">
                  <c:v>40969</c:v>
                </c:pt>
                <c:pt idx="38">
                  <c:v>41000</c:v>
                </c:pt>
                <c:pt idx="39">
                  <c:v>41030</c:v>
                </c:pt>
                <c:pt idx="40">
                  <c:v>41061</c:v>
                </c:pt>
                <c:pt idx="41">
                  <c:v>41091</c:v>
                </c:pt>
                <c:pt idx="42">
                  <c:v>41122</c:v>
                </c:pt>
                <c:pt idx="43">
                  <c:v>41182</c:v>
                </c:pt>
                <c:pt idx="44">
                  <c:v>41213</c:v>
                </c:pt>
                <c:pt idx="45">
                  <c:v>41243</c:v>
                </c:pt>
                <c:pt idx="46">
                  <c:v>41274</c:v>
                </c:pt>
                <c:pt idx="47">
                  <c:v>41305</c:v>
                </c:pt>
                <c:pt idx="48">
                  <c:v>41333</c:v>
                </c:pt>
                <c:pt idx="49">
                  <c:v>41334</c:v>
                </c:pt>
                <c:pt idx="50">
                  <c:v>41394</c:v>
                </c:pt>
                <c:pt idx="51">
                  <c:v>41425</c:v>
                </c:pt>
                <c:pt idx="52">
                  <c:v>41455</c:v>
                </c:pt>
                <c:pt idx="53">
                  <c:v>41486</c:v>
                </c:pt>
                <c:pt idx="54">
                  <c:v>41517</c:v>
                </c:pt>
                <c:pt idx="55">
                  <c:v>41547</c:v>
                </c:pt>
                <c:pt idx="56">
                  <c:v>41578</c:v>
                </c:pt>
                <c:pt idx="57">
                  <c:v>41608</c:v>
                </c:pt>
                <c:pt idx="58">
                  <c:v>41639</c:v>
                </c:pt>
                <c:pt idx="59">
                  <c:v>41670</c:v>
                </c:pt>
                <c:pt idx="60">
                  <c:v>41698</c:v>
                </c:pt>
                <c:pt idx="61">
                  <c:v>41729</c:v>
                </c:pt>
                <c:pt idx="62">
                  <c:v>41759</c:v>
                </c:pt>
                <c:pt idx="63">
                  <c:v>41790</c:v>
                </c:pt>
                <c:pt idx="64">
                  <c:v>41820</c:v>
                </c:pt>
                <c:pt idx="65">
                  <c:v>41851</c:v>
                </c:pt>
                <c:pt idx="66">
                  <c:v>41882</c:v>
                </c:pt>
                <c:pt idx="67">
                  <c:v>41912</c:v>
                </c:pt>
                <c:pt idx="68">
                  <c:v>41943</c:v>
                </c:pt>
                <c:pt idx="69">
                  <c:v>41973</c:v>
                </c:pt>
                <c:pt idx="70">
                  <c:v>42004</c:v>
                </c:pt>
                <c:pt idx="71">
                  <c:v>42035</c:v>
                </c:pt>
                <c:pt idx="72">
                  <c:v>42063</c:v>
                </c:pt>
                <c:pt idx="73">
                  <c:v>42094</c:v>
                </c:pt>
                <c:pt idx="74">
                  <c:v>42124</c:v>
                </c:pt>
                <c:pt idx="75">
                  <c:v>42155</c:v>
                </c:pt>
                <c:pt idx="76">
                  <c:v>42185</c:v>
                </c:pt>
                <c:pt idx="77">
                  <c:v>42216</c:v>
                </c:pt>
                <c:pt idx="78">
                  <c:v>42247</c:v>
                </c:pt>
                <c:pt idx="79">
                  <c:v>42277</c:v>
                </c:pt>
                <c:pt idx="80">
                  <c:v>42308</c:v>
                </c:pt>
                <c:pt idx="81">
                  <c:v>42338</c:v>
                </c:pt>
                <c:pt idx="82">
                  <c:v>42369</c:v>
                </c:pt>
                <c:pt idx="83">
                  <c:v>42400</c:v>
                </c:pt>
                <c:pt idx="84">
                  <c:v>42429</c:v>
                </c:pt>
                <c:pt idx="85">
                  <c:v>42460</c:v>
                </c:pt>
                <c:pt idx="86">
                  <c:v>42490</c:v>
                </c:pt>
                <c:pt idx="87">
                  <c:v>42521</c:v>
                </c:pt>
                <c:pt idx="88">
                  <c:v>42551</c:v>
                </c:pt>
                <c:pt idx="89">
                  <c:v>42582</c:v>
                </c:pt>
                <c:pt idx="90">
                  <c:v>42613</c:v>
                </c:pt>
                <c:pt idx="91">
                  <c:v>42643</c:v>
                </c:pt>
                <c:pt idx="92">
                  <c:v>42674</c:v>
                </c:pt>
                <c:pt idx="93">
                  <c:v>42704</c:v>
                </c:pt>
                <c:pt idx="94">
                  <c:v>42735</c:v>
                </c:pt>
                <c:pt idx="95">
                  <c:v>42766</c:v>
                </c:pt>
                <c:pt idx="96">
                  <c:v>42794</c:v>
                </c:pt>
                <c:pt idx="97">
                  <c:v>42825</c:v>
                </c:pt>
                <c:pt idx="98">
                  <c:v>42855</c:v>
                </c:pt>
                <c:pt idx="99">
                  <c:v>42886</c:v>
                </c:pt>
                <c:pt idx="100">
                  <c:v>42916</c:v>
                </c:pt>
                <c:pt idx="101">
                  <c:v>42947</c:v>
                </c:pt>
                <c:pt idx="102">
                  <c:v>42978</c:v>
                </c:pt>
                <c:pt idx="103">
                  <c:v>43008</c:v>
                </c:pt>
                <c:pt idx="104">
                  <c:v>43039</c:v>
                </c:pt>
                <c:pt idx="105">
                  <c:v>43069</c:v>
                </c:pt>
                <c:pt idx="106">
                  <c:v>43100</c:v>
                </c:pt>
                <c:pt idx="107">
                  <c:v>43131</c:v>
                </c:pt>
                <c:pt idx="108">
                  <c:v>43159</c:v>
                </c:pt>
                <c:pt idx="109">
                  <c:v>43190</c:v>
                </c:pt>
                <c:pt idx="110">
                  <c:v>43220</c:v>
                </c:pt>
                <c:pt idx="111">
                  <c:v>43251</c:v>
                </c:pt>
                <c:pt idx="112">
                  <c:v>43281</c:v>
                </c:pt>
                <c:pt idx="113">
                  <c:v>43312</c:v>
                </c:pt>
                <c:pt idx="114">
                  <c:v>43343</c:v>
                </c:pt>
                <c:pt idx="115">
                  <c:v>43373</c:v>
                </c:pt>
                <c:pt idx="116">
                  <c:v>43404</c:v>
                </c:pt>
                <c:pt idx="117">
                  <c:v>43434</c:v>
                </c:pt>
                <c:pt idx="118">
                  <c:v>43465</c:v>
                </c:pt>
                <c:pt idx="119">
                  <c:v>43496</c:v>
                </c:pt>
                <c:pt idx="120">
                  <c:v>43524</c:v>
                </c:pt>
                <c:pt idx="121">
                  <c:v>43555</c:v>
                </c:pt>
                <c:pt idx="122">
                  <c:v>43585</c:v>
                </c:pt>
                <c:pt idx="123">
                  <c:v>43616</c:v>
                </c:pt>
                <c:pt idx="124">
                  <c:v>43646</c:v>
                </c:pt>
                <c:pt idx="125">
                  <c:v>43677</c:v>
                </c:pt>
                <c:pt idx="126">
                  <c:v>43708</c:v>
                </c:pt>
                <c:pt idx="127">
                  <c:v>43738</c:v>
                </c:pt>
                <c:pt idx="128">
                  <c:v>43769</c:v>
                </c:pt>
                <c:pt idx="129">
                  <c:v>43799</c:v>
                </c:pt>
                <c:pt idx="130">
                  <c:v>43830</c:v>
                </c:pt>
                <c:pt idx="131">
                  <c:v>43861</c:v>
                </c:pt>
                <c:pt idx="132">
                  <c:v>43890</c:v>
                </c:pt>
                <c:pt idx="133">
                  <c:v>43921</c:v>
                </c:pt>
                <c:pt idx="134">
                  <c:v>43951</c:v>
                </c:pt>
                <c:pt idx="135">
                  <c:v>43982</c:v>
                </c:pt>
                <c:pt idx="136">
                  <c:v>44012</c:v>
                </c:pt>
                <c:pt idx="137">
                  <c:v>44043</c:v>
                </c:pt>
                <c:pt idx="138">
                  <c:v>44074</c:v>
                </c:pt>
                <c:pt idx="139">
                  <c:v>44104</c:v>
                </c:pt>
              </c:numCache>
            </c:numRef>
          </c:cat>
          <c:val>
            <c:numRef>
              <c:f>Indicadores!$H$114:$H$388</c:f>
              <c:numCache>
                <c:formatCode>0.00%</c:formatCode>
                <c:ptCount val="275"/>
                <c:pt idx="0">
                  <c:v>0.10924419903860295</c:v>
                </c:pt>
                <c:pt idx="1">
                  <c:v>0.10728852397645172</c:v>
                </c:pt>
                <c:pt idx="2">
                  <c:v>0.10666896651933168</c:v>
                </c:pt>
                <c:pt idx="3">
                  <c:v>0.10394498760175074</c:v>
                </c:pt>
                <c:pt idx="4">
                  <c:v>0.10407061462038614</c:v>
                </c:pt>
                <c:pt idx="5">
                  <c:v>9.8437045982109173E-2</c:v>
                </c:pt>
                <c:pt idx="6">
                  <c:v>9.5207756501452717E-2</c:v>
                </c:pt>
                <c:pt idx="7">
                  <c:v>9.2752296053914995E-2</c:v>
                </c:pt>
                <c:pt idx="8">
                  <c:v>9.4434846071508344E-2</c:v>
                </c:pt>
                <c:pt idx="9">
                  <c:v>9.1718189283043858E-2</c:v>
                </c:pt>
                <c:pt idx="10">
                  <c:v>8.7216824247288383E-2</c:v>
                </c:pt>
                <c:pt idx="11">
                  <c:v>8.6223940796502863E-2</c:v>
                </c:pt>
                <c:pt idx="12">
                  <c:v>8.6563535772948993E-2</c:v>
                </c:pt>
                <c:pt idx="13">
                  <c:v>8.4273479587153602E-2</c:v>
                </c:pt>
                <c:pt idx="14">
                  <c:v>8.4691482680604266E-2</c:v>
                </c:pt>
                <c:pt idx="15">
                  <c:v>8.5360099739995643E-2</c:v>
                </c:pt>
                <c:pt idx="16">
                  <c:v>8.7027116297858878E-2</c:v>
                </c:pt>
                <c:pt idx="17">
                  <c:v>8.7248102426772375E-2</c:v>
                </c:pt>
                <c:pt idx="18">
                  <c:v>8.7221402895351574E-2</c:v>
                </c:pt>
                <c:pt idx="19">
                  <c:v>8.7288828281262193E-2</c:v>
                </c:pt>
                <c:pt idx="20">
                  <c:v>8.6834843281048235E-2</c:v>
                </c:pt>
                <c:pt idx="21">
                  <c:v>8.6728798493202225E-2</c:v>
                </c:pt>
                <c:pt idx="22">
                  <c:v>8.567958795178128E-2</c:v>
                </c:pt>
                <c:pt idx="23">
                  <c:v>8.3781550460336973E-2</c:v>
                </c:pt>
                <c:pt idx="24">
                  <c:v>8.8712845944748028E-2</c:v>
                </c:pt>
                <c:pt idx="25">
                  <c:v>8.8257260145812436E-2</c:v>
                </c:pt>
                <c:pt idx="26">
                  <c:v>8.9177825762841612E-2</c:v>
                </c:pt>
                <c:pt idx="27">
                  <c:v>8.8523582235062029E-2</c:v>
                </c:pt>
                <c:pt idx="28">
                  <c:v>8.7945195109199889E-2</c:v>
                </c:pt>
                <c:pt idx="29">
                  <c:v>8.608509587900387E-2</c:v>
                </c:pt>
                <c:pt idx="30">
                  <c:v>8.8001401085419526E-2</c:v>
                </c:pt>
                <c:pt idx="31">
                  <c:v>8.816316605009536E-2</c:v>
                </c:pt>
                <c:pt idx="32">
                  <c:v>8.9065845778320871E-2</c:v>
                </c:pt>
                <c:pt idx="33">
                  <c:v>8.9889078424864446E-2</c:v>
                </c:pt>
                <c:pt idx="34">
                  <c:v>8.9768028102158046E-2</c:v>
                </c:pt>
                <c:pt idx="35">
                  <c:v>8.7733678612698748E-2</c:v>
                </c:pt>
                <c:pt idx="36">
                  <c:v>8.7999999999999995E-2</c:v>
                </c:pt>
                <c:pt idx="37">
                  <c:v>8.8716219285870326E-2</c:v>
                </c:pt>
                <c:pt idx="38">
                  <c:v>8.9924789190600971E-2</c:v>
                </c:pt>
                <c:pt idx="39">
                  <c:v>8.9127097281255965E-2</c:v>
                </c:pt>
                <c:pt idx="40">
                  <c:v>8.9113849599591385E-2</c:v>
                </c:pt>
                <c:pt idx="41">
                  <c:v>8.8537757954083668E-2</c:v>
                </c:pt>
                <c:pt idx="42">
                  <c:v>8.8479506646864881E-2</c:v>
                </c:pt>
                <c:pt idx="43">
                  <c:v>8.8292573802120841E-2</c:v>
                </c:pt>
                <c:pt idx="44">
                  <c:v>8.808614582474919E-2</c:v>
                </c:pt>
                <c:pt idx="45">
                  <c:v>8.808614582474919E-2</c:v>
                </c:pt>
                <c:pt idx="46">
                  <c:v>8.703389558664415E-2</c:v>
                </c:pt>
                <c:pt idx="47">
                  <c:v>8.4471746077433366E-2</c:v>
                </c:pt>
                <c:pt idx="48">
                  <c:v>8.4666008950656693E-2</c:v>
                </c:pt>
                <c:pt idx="49">
                  <c:v>8.312686357340264E-2</c:v>
                </c:pt>
                <c:pt idx="50">
                  <c:v>8.1124502597753403E-2</c:v>
                </c:pt>
                <c:pt idx="51">
                  <c:v>8.0856624058377069E-2</c:v>
                </c:pt>
                <c:pt idx="52">
                  <c:v>8.1569130765409406E-2</c:v>
                </c:pt>
                <c:pt idx="53">
                  <c:v>8.2534254401690987E-2</c:v>
                </c:pt>
                <c:pt idx="54">
                  <c:v>8.2066884885636196E-2</c:v>
                </c:pt>
                <c:pt idx="55">
                  <c:v>8.1193697125312742E-2</c:v>
                </c:pt>
                <c:pt idx="56">
                  <c:v>8.0468946417488182E-2</c:v>
                </c:pt>
                <c:pt idx="57">
                  <c:v>7.9151859577546529E-2</c:v>
                </c:pt>
                <c:pt idx="58">
                  <c:v>7.787916288634894E-2</c:v>
                </c:pt>
                <c:pt idx="59">
                  <c:v>7.5778428502810039E-2</c:v>
                </c:pt>
                <c:pt idx="60">
                  <c:v>7.8808992069852757E-2</c:v>
                </c:pt>
                <c:pt idx="61">
                  <c:v>7.8678143146550777E-2</c:v>
                </c:pt>
                <c:pt idx="62">
                  <c:v>7.9404111789997914E-2</c:v>
                </c:pt>
                <c:pt idx="63">
                  <c:v>7.9658781992458391E-2</c:v>
                </c:pt>
                <c:pt idx="64">
                  <c:v>7.9435562998076165E-2</c:v>
                </c:pt>
                <c:pt idx="65">
                  <c:v>7.8771160572038659E-2</c:v>
                </c:pt>
                <c:pt idx="66">
                  <c:v>8.0190323495994781E-2</c:v>
                </c:pt>
                <c:pt idx="67">
                  <c:v>8.0116192393671112E-2</c:v>
                </c:pt>
                <c:pt idx="68">
                  <c:v>7.7666392813070403E-2</c:v>
                </c:pt>
                <c:pt idx="69">
                  <c:v>7.7850961226951509E-2</c:v>
                </c:pt>
                <c:pt idx="70">
                  <c:v>7.8951226199847457E-2</c:v>
                </c:pt>
                <c:pt idx="71">
                  <c:v>7.8979903108518518E-2</c:v>
                </c:pt>
                <c:pt idx="72">
                  <c:v>7.9380149629221852E-2</c:v>
                </c:pt>
                <c:pt idx="73">
                  <c:v>7.9671183260118988E-2</c:v>
                </c:pt>
                <c:pt idx="74">
                  <c:v>8.0220250348405464E-2</c:v>
                </c:pt>
                <c:pt idx="75">
                  <c:v>8.0599768554907469E-2</c:v>
                </c:pt>
                <c:pt idx="76">
                  <c:v>8.0111786347251746E-2</c:v>
                </c:pt>
                <c:pt idx="77">
                  <c:v>8.0242994884041824E-2</c:v>
                </c:pt>
                <c:pt idx="78">
                  <c:v>8.1293743730696533E-2</c:v>
                </c:pt>
                <c:pt idx="79">
                  <c:v>8.2129259363437387E-2</c:v>
                </c:pt>
                <c:pt idx="80">
                  <c:v>8.394730474363804E-2</c:v>
                </c:pt>
                <c:pt idx="81">
                  <c:v>8.5930370211477453E-2</c:v>
                </c:pt>
                <c:pt idx="82">
                  <c:v>8.8162834436875906E-2</c:v>
                </c:pt>
                <c:pt idx="83">
                  <c:v>8.9561670456945436E-2</c:v>
                </c:pt>
                <c:pt idx="84">
                  <c:v>9.1854909144448549E-2</c:v>
                </c:pt>
                <c:pt idx="85">
                  <c:v>9.2545810037881995E-2</c:v>
                </c:pt>
                <c:pt idx="86">
                  <c:v>9.3886385973923486E-2</c:v>
                </c:pt>
                <c:pt idx="87">
                  <c:v>9.3773322325435504E-2</c:v>
                </c:pt>
                <c:pt idx="88">
                  <c:v>9.4255815465823845E-2</c:v>
                </c:pt>
                <c:pt idx="89">
                  <c:v>9.6465474262849862E-2</c:v>
                </c:pt>
                <c:pt idx="90">
                  <c:v>9.8485937078498911E-2</c:v>
                </c:pt>
                <c:pt idx="91">
                  <c:v>9.5543340914653871E-2</c:v>
                </c:pt>
                <c:pt idx="92">
                  <c:v>9.2737342341157644E-2</c:v>
                </c:pt>
                <c:pt idx="93">
                  <c:v>9.0073499783423147E-2</c:v>
                </c:pt>
                <c:pt idx="94">
                  <c:v>8.8211779072198182E-2</c:v>
                </c:pt>
                <c:pt idx="95">
                  <c:v>8.7451657788224252E-2</c:v>
                </c:pt>
                <c:pt idx="96">
                  <c:v>8.6400717484912584E-2</c:v>
                </c:pt>
                <c:pt idx="97">
                  <c:v>8.5285852671078827E-2</c:v>
                </c:pt>
                <c:pt idx="98">
                  <c:v>8.3475979514033807E-2</c:v>
                </c:pt>
                <c:pt idx="99">
                  <c:v>8.3187493708137883E-2</c:v>
                </c:pt>
                <c:pt idx="100">
                  <c:v>8.1830034364023974E-2</c:v>
                </c:pt>
                <c:pt idx="101">
                  <c:v>8.0175428402578588E-2</c:v>
                </c:pt>
                <c:pt idx="102">
                  <c:v>7.8243597414142704E-2</c:v>
                </c:pt>
                <c:pt idx="103">
                  <c:v>7.9635868892051195E-2</c:v>
                </c:pt>
                <c:pt idx="104">
                  <c:v>7.9882715106397995E-2</c:v>
                </c:pt>
                <c:pt idx="105">
                  <c:v>7.9885758477386243E-2</c:v>
                </c:pt>
                <c:pt idx="106">
                  <c:v>8.0090850119123952E-2</c:v>
                </c:pt>
                <c:pt idx="107">
                  <c:v>7.9981721045730994E-2</c:v>
                </c:pt>
                <c:pt idx="108">
                  <c:v>7.8549430700791747E-2</c:v>
                </c:pt>
                <c:pt idx="109">
                  <c:v>7.741530707877331E-2</c:v>
                </c:pt>
                <c:pt idx="110">
                  <c:v>7.6583467991472642E-2</c:v>
                </c:pt>
                <c:pt idx="111">
                  <c:v>7.6438412174065912E-2</c:v>
                </c:pt>
                <c:pt idx="112">
                  <c:v>7.6371290879711978E-2</c:v>
                </c:pt>
                <c:pt idx="113">
                  <c:v>7.6365784894011537E-2</c:v>
                </c:pt>
                <c:pt idx="114">
                  <c:v>7.5989512749296634E-2</c:v>
                </c:pt>
                <c:pt idx="115">
                  <c:v>7.6262471084213967E-2</c:v>
                </c:pt>
                <c:pt idx="116">
                  <c:v>7.6110776191242041E-2</c:v>
                </c:pt>
                <c:pt idx="117">
                  <c:v>7.633906344229624E-2</c:v>
                </c:pt>
                <c:pt idx="118">
                  <c:v>7.6959152831066413E-2</c:v>
                </c:pt>
                <c:pt idx="119">
                  <c:v>7.6147413168859715E-2</c:v>
                </c:pt>
                <c:pt idx="120">
                  <c:v>7.5986407673717185E-2</c:v>
                </c:pt>
                <c:pt idx="121">
                  <c:v>7.5368928523383255E-2</c:v>
                </c:pt>
                <c:pt idx="122">
                  <c:v>7.5349311001401784E-2</c:v>
                </c:pt>
                <c:pt idx="123">
                  <c:v>7.5503523228733854E-2</c:v>
                </c:pt>
                <c:pt idx="124">
                  <c:v>7.5608320687547054E-2</c:v>
                </c:pt>
                <c:pt idx="125">
                  <c:v>7.5939738608505322E-2</c:v>
                </c:pt>
                <c:pt idx="126">
                  <c:v>7.7151025390243211E-2</c:v>
                </c:pt>
                <c:pt idx="127">
                  <c:v>7.6989506913272096E-2</c:v>
                </c:pt>
                <c:pt idx="128">
                  <c:v>7.687349834258092E-2</c:v>
                </c:pt>
                <c:pt idx="129">
                  <c:v>7.7005566864951122E-2</c:v>
                </c:pt>
                <c:pt idx="130">
                  <c:v>7.6881123333550391E-2</c:v>
                </c:pt>
                <c:pt idx="131">
                  <c:v>7.6187469667938601E-2</c:v>
                </c:pt>
                <c:pt idx="132">
                  <c:v>7.5351193777871237E-2</c:v>
                </c:pt>
                <c:pt idx="133">
                  <c:v>7.5213379596426419E-2</c:v>
                </c:pt>
                <c:pt idx="134">
                  <c:v>7.603931656210032E-2</c:v>
                </c:pt>
                <c:pt idx="135">
                  <c:v>7.4486579959506055E-2</c:v>
                </c:pt>
                <c:pt idx="136">
                  <c:v>7.1878152859379707E-2</c:v>
                </c:pt>
                <c:pt idx="137">
                  <c:v>6.9426461828000316E-2</c:v>
                </c:pt>
                <c:pt idx="138">
                  <c:v>6.8221920682782766E-2</c:v>
                </c:pt>
                <c:pt idx="139">
                  <c:v>6.7825051044708123E-2</c:v>
                </c:pt>
                <c:pt idx="140">
                  <c:v>6.8120788619821626E-2</c:v>
                </c:pt>
                <c:pt idx="141">
                  <c:v>6.7362971044755804E-2</c:v>
                </c:pt>
                <c:pt idx="142">
                  <c:v>6.642263665940705E-2</c:v>
                </c:pt>
                <c:pt idx="143">
                  <c:v>6.6880709260756205E-2</c:v>
                </c:pt>
                <c:pt idx="144">
                  <c:v>6.5448646031523922E-2</c:v>
                </c:pt>
                <c:pt idx="145">
                  <c:v>6.525906722119984E-2</c:v>
                </c:pt>
                <c:pt idx="146">
                  <c:v>6.5250826375195706E-2</c:v>
                </c:pt>
                <c:pt idx="147">
                  <c:v>6.6579207345586769E-2</c:v>
                </c:pt>
                <c:pt idx="148">
                  <c:v>7.0653473856404081E-2</c:v>
                </c:pt>
                <c:pt idx="149">
                  <c:v>7.1672102299639009E-2</c:v>
                </c:pt>
                <c:pt idx="150">
                  <c:v>7.2757741728643355E-2</c:v>
                </c:pt>
                <c:pt idx="151">
                  <c:v>7.4225350748683958E-2</c:v>
                </c:pt>
                <c:pt idx="152">
                  <c:v>7.449229599651172E-2</c:v>
                </c:pt>
                <c:pt idx="153">
                  <c:v>7.5056065604168248E-2</c:v>
                </c:pt>
                <c:pt idx="154">
                  <c:v>7.7502416380081193E-2</c:v>
                </c:pt>
                <c:pt idx="155">
                  <c:v>7.8740564530006829E-2</c:v>
                </c:pt>
                <c:pt idx="156">
                  <c:v>8.3373813283802209E-2</c:v>
                </c:pt>
                <c:pt idx="157">
                  <c:v>8.7286734042908362E-2</c:v>
                </c:pt>
                <c:pt idx="158">
                  <c:v>8.9394856474552156E-2</c:v>
                </c:pt>
                <c:pt idx="159">
                  <c:v>9.1893689828129219E-2</c:v>
                </c:pt>
                <c:pt idx="160">
                  <c:v>9.3085739421151323E-2</c:v>
                </c:pt>
                <c:pt idx="161">
                  <c:v>9.5094267230127483E-2</c:v>
                </c:pt>
                <c:pt idx="162">
                  <c:v>9.7380783256541759E-2</c:v>
                </c:pt>
                <c:pt idx="163">
                  <c:v>9.9667408823059689E-2</c:v>
                </c:pt>
                <c:pt idx="164">
                  <c:v>0.10184754555778014</c:v>
                </c:pt>
                <c:pt idx="165">
                  <c:v>0.104806030912918</c:v>
                </c:pt>
                <c:pt idx="166">
                  <c:v>0.10607573705515809</c:v>
                </c:pt>
                <c:pt idx="167">
                  <c:v>0.10811983113888289</c:v>
                </c:pt>
                <c:pt idx="168">
                  <c:v>0.10914194065543266</c:v>
                </c:pt>
                <c:pt idx="169">
                  <c:v>0.1074347089811673</c:v>
                </c:pt>
                <c:pt idx="170">
                  <c:v>0.10842365643807403</c:v>
                </c:pt>
                <c:pt idx="171">
                  <c:v>0.10706118895214885</c:v>
                </c:pt>
                <c:pt idx="172">
                  <c:v>0.10607187418006352</c:v>
                </c:pt>
                <c:pt idx="173">
                  <c:v>0.10553728185106</c:v>
                </c:pt>
                <c:pt idx="174">
                  <c:v>0.10440848128740035</c:v>
                </c:pt>
                <c:pt idx="175">
                  <c:v>0.10347121235849348</c:v>
                </c:pt>
                <c:pt idx="176">
                  <c:v>0.10213285993956786</c:v>
                </c:pt>
                <c:pt idx="177">
                  <c:v>0.1004891028818034</c:v>
                </c:pt>
                <c:pt idx="178">
                  <c:v>9.9485053016962852E-2</c:v>
                </c:pt>
                <c:pt idx="179">
                  <c:v>9.6100000000000005E-2</c:v>
                </c:pt>
                <c:pt idx="180">
                  <c:v>9.3157779119477646E-2</c:v>
                </c:pt>
                <c:pt idx="181">
                  <c:v>9.3157779119477646E-2</c:v>
                </c:pt>
                <c:pt idx="182">
                  <c:v>9.0353523109484371E-2</c:v>
                </c:pt>
                <c:pt idx="183">
                  <c:v>8.9636551275212847E-2</c:v>
                </c:pt>
                <c:pt idx="184">
                  <c:v>8.967642151443532E-2</c:v>
                </c:pt>
                <c:pt idx="185">
                  <c:v>8.9645128274830871E-2</c:v>
                </c:pt>
                <c:pt idx="186">
                  <c:v>8.8537832489111429E-2</c:v>
                </c:pt>
                <c:pt idx="187">
                  <c:v>8.616521953722707E-2</c:v>
                </c:pt>
                <c:pt idx="188">
                  <c:v>8.5430619068696062E-2</c:v>
                </c:pt>
                <c:pt idx="189">
                  <c:v>8.4125105155060179E-2</c:v>
                </c:pt>
                <c:pt idx="190">
                  <c:v>8.3497143190233727E-2</c:v>
                </c:pt>
                <c:pt idx="191">
                  <c:v>8.3428412709860289E-2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06-40EE-AA5D-5BC961C2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712322928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2"/>
        <c:majorTimeUnit val="years"/>
      </c:dateAx>
      <c:valAx>
        <c:axId val="1"/>
        <c:scaling>
          <c:orientation val="minMax"/>
        </c:scaling>
        <c:delete val="0"/>
        <c:axPos val="l"/>
        <c:majorGridlines/>
        <c:title>
          <c:tx>
            <c:strRef>
              <c:f>Indicadores!$B$21</c:f>
              <c:strCache>
                <c:ptCount val="1"/>
                <c:pt idx="0">
                  <c:v>(Años)</c:v>
                </c:pt>
              </c:strCache>
            </c:strRef>
          </c:tx>
          <c:layout>
            <c:manualLayout>
              <c:xMode val="edge"/>
              <c:yMode val="edge"/>
              <c:x val="6.6181040942425102E-3"/>
              <c:y val="0.44215399249590448"/>
            </c:manualLayout>
          </c:layout>
          <c:overlay val="0"/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s-CO"/>
            </a:p>
          </c:tx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1232292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title>
          <c:tx>
            <c:strRef>
              <c:f>Indicadores!$H$21</c:f>
              <c:strCache>
                <c:ptCount val="1"/>
                <c:pt idx="0">
                  <c:v>(Tasa anual %)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s-CO"/>
            </a:p>
          </c:tx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6952334156358381"/>
          <c:y val="0.80971480913879057"/>
          <c:w val="0.57078023593384686"/>
          <c:h val="0.1384128661769628"/>
        </c:manualLayout>
      </c:layout>
      <c:overlay val="0"/>
      <c:txPr>
        <a:bodyPr/>
        <a:lstStyle/>
        <a:p>
          <a:pPr>
            <a:defRPr sz="4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Indicadores!$C$22</c:f>
          <c:strCache>
            <c:ptCount val="1"/>
            <c:pt idx="0">
              <c:v>Deuda externa</c:v>
            </c:pt>
          </c:strCache>
        </c:strRef>
      </c:tx>
      <c:layout>
        <c:manualLayout>
          <c:xMode val="edge"/>
          <c:yMode val="edge"/>
          <c:x val="0.39188284391280359"/>
          <c:y val="0"/>
        </c:manualLayout>
      </c:layout>
      <c:overlay val="1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3125436494351236"/>
          <c:y val="0.13700531336022037"/>
          <c:w val="0.70150952870021621"/>
          <c:h val="0.64693839221275107"/>
        </c:manualLayout>
      </c:layout>
      <c:lineChart>
        <c:grouping val="standard"/>
        <c:varyColors val="0"/>
        <c:ser>
          <c:idx val="0"/>
          <c:order val="0"/>
          <c:tx>
            <c:strRef>
              <c:f>Indicadores!$B$20</c:f>
              <c:strCache>
                <c:ptCount val="1"/>
                <c:pt idx="0">
                  <c:v>Duración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Indicadores!$A$114:$A$384</c:f>
              <c:numCache>
                <c:formatCode>mmm\-yy</c:formatCode>
                <c:ptCount val="271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Indicadores!$C$114:$C$410</c:f>
              <c:numCache>
                <c:formatCode>_ * #,##0.00_ ;_ * \-#,##0.00_ ;_ * "-"??_ ;_ @_ </c:formatCode>
                <c:ptCount val="297"/>
                <c:pt idx="0">
                  <c:v>5.1565473034383693</c:v>
                </c:pt>
                <c:pt idx="1">
                  <c:v>5.0462378476171095</c:v>
                </c:pt>
                <c:pt idx="2">
                  <c:v>5.3757735769705253</c:v>
                </c:pt>
                <c:pt idx="3">
                  <c:v>5.7602818218063607</c:v>
                </c:pt>
                <c:pt idx="4">
                  <c:v>5.5238705156195191</c:v>
                </c:pt>
                <c:pt idx="5">
                  <c:v>5.5085122308744756</c:v>
                </c:pt>
                <c:pt idx="6">
                  <c:v>5.4710099410151223</c:v>
                </c:pt>
                <c:pt idx="7">
                  <c:v>5.3658493883797753</c:v>
                </c:pt>
                <c:pt idx="8">
                  <c:v>5.4379871991840858</c:v>
                </c:pt>
                <c:pt idx="9">
                  <c:v>5.5824160348335834</c:v>
                </c:pt>
                <c:pt idx="10">
                  <c:v>5.6312016440774038</c:v>
                </c:pt>
                <c:pt idx="11">
                  <c:v>5.4566238538547864</c:v>
                </c:pt>
                <c:pt idx="12">
                  <c:v>5.4646300732788715</c:v>
                </c:pt>
                <c:pt idx="13">
                  <c:v>5.4495951169304764</c:v>
                </c:pt>
                <c:pt idx="14">
                  <c:v>6.2671435687068771</c:v>
                </c:pt>
                <c:pt idx="15">
                  <c:v>6.165767538679785</c:v>
                </c:pt>
                <c:pt idx="16">
                  <c:v>6.1219783099517215</c:v>
                </c:pt>
                <c:pt idx="17">
                  <c:v>6.1137288067143984</c:v>
                </c:pt>
                <c:pt idx="18">
                  <c:v>6.0944550446771304</c:v>
                </c:pt>
                <c:pt idx="19">
                  <c:v>6.0934198298199211</c:v>
                </c:pt>
                <c:pt idx="20">
                  <c:v>6.0756563201191742</c:v>
                </c:pt>
                <c:pt idx="21">
                  <c:v>6.0258453089571899</c:v>
                </c:pt>
                <c:pt idx="22">
                  <c:v>5.8638203261613002</c:v>
                </c:pt>
                <c:pt idx="23">
                  <c:v>5.7854648895989289</c:v>
                </c:pt>
                <c:pt idx="24">
                  <c:v>5.8377304894765523</c:v>
                </c:pt>
                <c:pt idx="25">
                  <c:v>5.7739337815103644</c:v>
                </c:pt>
                <c:pt idx="26">
                  <c:v>5.5964379961333348</c:v>
                </c:pt>
                <c:pt idx="27">
                  <c:v>5.7383074550797879</c:v>
                </c:pt>
                <c:pt idx="28">
                  <c:v>6.2366990497156056</c:v>
                </c:pt>
                <c:pt idx="29">
                  <c:v>6.2059047935738354</c:v>
                </c:pt>
                <c:pt idx="30">
                  <c:v>6.3029469281799777</c:v>
                </c:pt>
                <c:pt idx="31">
                  <c:v>5.9114213979178372</c:v>
                </c:pt>
                <c:pt idx="32">
                  <c:v>5.8438671861221634</c:v>
                </c:pt>
                <c:pt idx="33">
                  <c:v>5.714562207113012</c:v>
                </c:pt>
                <c:pt idx="34">
                  <c:v>5.1913242794745438</c:v>
                </c:pt>
                <c:pt idx="35">
                  <c:v>5.4922817844019889</c:v>
                </c:pt>
                <c:pt idx="36">
                  <c:v>6.406418687252911</c:v>
                </c:pt>
                <c:pt idx="37">
                  <c:v>6.3872703460973286</c:v>
                </c:pt>
                <c:pt idx="38">
                  <c:v>6.3196600467638202</c:v>
                </c:pt>
                <c:pt idx="39">
                  <c:v>5.9662111189767302</c:v>
                </c:pt>
                <c:pt idx="40">
                  <c:v>5.8596934583723952</c:v>
                </c:pt>
                <c:pt idx="41">
                  <c:v>6.0575846577515247</c:v>
                </c:pt>
                <c:pt idx="42">
                  <c:v>5.983514673808803</c:v>
                </c:pt>
                <c:pt idx="43">
                  <c:v>5.9081390113477061</c:v>
                </c:pt>
                <c:pt idx="44">
                  <c:v>5.9251343317131635</c:v>
                </c:pt>
                <c:pt idx="45">
                  <c:v>5.8893376815883007</c:v>
                </c:pt>
                <c:pt idx="46">
                  <c:v>5.846252750263722</c:v>
                </c:pt>
                <c:pt idx="47">
                  <c:v>5.8636639063576714</c:v>
                </c:pt>
                <c:pt idx="48">
                  <c:v>6.0529655451799398</c:v>
                </c:pt>
                <c:pt idx="49">
                  <c:v>5.9085829190694552</c:v>
                </c:pt>
                <c:pt idx="50">
                  <c:v>5.9421259037175815</c:v>
                </c:pt>
                <c:pt idx="51">
                  <c:v>5.8736269630948925</c:v>
                </c:pt>
                <c:pt idx="52">
                  <c:v>5.7467705338471511</c:v>
                </c:pt>
                <c:pt idx="53">
                  <c:v>5.6426380058418921</c:v>
                </c:pt>
                <c:pt idx="54">
                  <c:v>5.6132570269838755</c:v>
                </c:pt>
                <c:pt idx="55">
                  <c:v>5.4797252290833161</c:v>
                </c:pt>
                <c:pt idx="56">
                  <c:v>5.5417369182092937</c:v>
                </c:pt>
                <c:pt idx="57">
                  <c:v>5.5124273900950929</c:v>
                </c:pt>
                <c:pt idx="58">
                  <c:v>5.4398525842033942</c:v>
                </c:pt>
                <c:pt idx="59">
                  <c:v>5.4188170349855573</c:v>
                </c:pt>
                <c:pt idx="60">
                  <c:v>5.8802294334729668</c:v>
                </c:pt>
                <c:pt idx="61">
                  <c:v>5.5306668283953595</c:v>
                </c:pt>
                <c:pt idx="62">
                  <c:v>5.8798340578907125</c:v>
                </c:pt>
                <c:pt idx="63">
                  <c:v>5.8861336577536916</c:v>
                </c:pt>
                <c:pt idx="64">
                  <c:v>5.9614562827387205</c:v>
                </c:pt>
                <c:pt idx="65">
                  <c:v>5.8245042243661773</c:v>
                </c:pt>
                <c:pt idx="66">
                  <c:v>5.7507476247441209</c:v>
                </c:pt>
                <c:pt idx="67">
                  <c:v>5.8558444097823967</c:v>
                </c:pt>
                <c:pt idx="68">
                  <c:v>5.8614596048757344</c:v>
                </c:pt>
                <c:pt idx="69">
                  <c:v>5.9060940373940793</c:v>
                </c:pt>
                <c:pt idx="70">
                  <c:v>5.890542954461111</c:v>
                </c:pt>
                <c:pt idx="71">
                  <c:v>5.7208130232232302</c:v>
                </c:pt>
                <c:pt idx="72">
                  <c:v>6.1362957847904562</c:v>
                </c:pt>
                <c:pt idx="73">
                  <c:v>6.0910073049936786</c:v>
                </c:pt>
                <c:pt idx="74">
                  <c:v>6.2965293683382235</c:v>
                </c:pt>
                <c:pt idx="75">
                  <c:v>6.2282745343513106</c:v>
                </c:pt>
                <c:pt idx="76">
                  <c:v>6.1536028987856222</c:v>
                </c:pt>
                <c:pt idx="77">
                  <c:v>6.0418317972918247</c:v>
                </c:pt>
                <c:pt idx="78">
                  <c:v>6.0651576927951494</c:v>
                </c:pt>
                <c:pt idx="79">
                  <c:v>5.968963752988345</c:v>
                </c:pt>
                <c:pt idx="80">
                  <c:v>6.3224304458042146</c:v>
                </c:pt>
                <c:pt idx="81">
                  <c:v>6.2756104722637911</c:v>
                </c:pt>
                <c:pt idx="82">
                  <c:v>6.1915937199137332</c:v>
                </c:pt>
                <c:pt idx="83">
                  <c:v>5.8947772099585993</c:v>
                </c:pt>
                <c:pt idx="84">
                  <c:v>5.8623074191599214</c:v>
                </c:pt>
                <c:pt idx="85">
                  <c:v>5.8304251975128265</c:v>
                </c:pt>
                <c:pt idx="86">
                  <c:v>6.0975700264693833</c:v>
                </c:pt>
                <c:pt idx="87">
                  <c:v>6.0691699966674326</c:v>
                </c:pt>
                <c:pt idx="88">
                  <c:v>5.9329843019356829</c:v>
                </c:pt>
                <c:pt idx="89">
                  <c:v>6.033737221197133</c:v>
                </c:pt>
                <c:pt idx="90">
                  <c:v>5.9929013437095682</c:v>
                </c:pt>
                <c:pt idx="91">
                  <c:v>5.7820709566695845</c:v>
                </c:pt>
                <c:pt idx="92">
                  <c:v>5.7608539016790017</c:v>
                </c:pt>
                <c:pt idx="93">
                  <c:v>5.6421275672714701</c:v>
                </c:pt>
                <c:pt idx="94">
                  <c:v>5.3956454893618426</c:v>
                </c:pt>
                <c:pt idx="95">
                  <c:v>5.2821456885776703</c:v>
                </c:pt>
                <c:pt idx="96">
                  <c:v>5.8561217902260552</c:v>
                </c:pt>
                <c:pt idx="97">
                  <c:v>5.8650085895843409</c:v>
                </c:pt>
                <c:pt idx="98">
                  <c:v>5.8681189065741384</c:v>
                </c:pt>
                <c:pt idx="99">
                  <c:v>5.8364213520108388</c:v>
                </c:pt>
                <c:pt idx="100">
                  <c:v>5.786686588124426</c:v>
                </c:pt>
                <c:pt idx="101">
                  <c:v>5.7893716195088905</c:v>
                </c:pt>
                <c:pt idx="102">
                  <c:v>5.770521566361265</c:v>
                </c:pt>
                <c:pt idx="103">
                  <c:v>5.7852363424057138</c:v>
                </c:pt>
                <c:pt idx="104">
                  <c:v>5.7692972446315283</c:v>
                </c:pt>
                <c:pt idx="105">
                  <c:v>5.7216475107140647</c:v>
                </c:pt>
                <c:pt idx="106">
                  <c:v>5.5940892904123736</c:v>
                </c:pt>
                <c:pt idx="107">
                  <c:v>5.6625120767238926</c:v>
                </c:pt>
                <c:pt idx="108">
                  <c:v>5.4014807489305285</c:v>
                </c:pt>
                <c:pt idx="109">
                  <c:v>5.3084386098079328</c:v>
                </c:pt>
                <c:pt idx="110">
                  <c:v>5.215787558387766</c:v>
                </c:pt>
                <c:pt idx="111">
                  <c:v>5.2159363914406081</c:v>
                </c:pt>
                <c:pt idx="112">
                  <c:v>5.1410682114759183</c:v>
                </c:pt>
                <c:pt idx="113">
                  <c:v>5.1510191438563755</c:v>
                </c:pt>
                <c:pt idx="114">
                  <c:v>5.1395150363276461</c:v>
                </c:pt>
                <c:pt idx="115">
                  <c:v>5.1335445485717397</c:v>
                </c:pt>
                <c:pt idx="116">
                  <c:v>5.0975184565200244</c:v>
                </c:pt>
                <c:pt idx="117">
                  <c:v>5.2726943771721837</c:v>
                </c:pt>
                <c:pt idx="118">
                  <c:v>5.423471062502542</c:v>
                </c:pt>
                <c:pt idx="119">
                  <c:v>5.5659648546975911</c:v>
                </c:pt>
                <c:pt idx="120">
                  <c:v>5.7772676132758765</c:v>
                </c:pt>
                <c:pt idx="121">
                  <c:v>5.9848712075757389</c:v>
                </c:pt>
                <c:pt idx="122">
                  <c:v>6.5151671065164098</c:v>
                </c:pt>
                <c:pt idx="123">
                  <c:v>6.4348861409787226</c:v>
                </c:pt>
                <c:pt idx="124">
                  <c:v>6.4974254150054049</c:v>
                </c:pt>
                <c:pt idx="125">
                  <c:v>6.5484236938095721</c:v>
                </c:pt>
                <c:pt idx="126">
                  <c:v>5.9757589839066663</c:v>
                </c:pt>
                <c:pt idx="127">
                  <c:v>6.0640820101321236</c:v>
                </c:pt>
                <c:pt idx="128">
                  <c:v>6.8621535007679784</c:v>
                </c:pt>
                <c:pt idx="129">
                  <c:v>7.0099195104772045</c:v>
                </c:pt>
                <c:pt idx="130">
                  <c:v>6.5217823429892485</c:v>
                </c:pt>
                <c:pt idx="131">
                  <c:v>6.4366343070910199</c:v>
                </c:pt>
                <c:pt idx="132">
                  <c:v>6.5208410345161623</c:v>
                </c:pt>
                <c:pt idx="133">
                  <c:v>7.4153674790727129</c:v>
                </c:pt>
                <c:pt idx="134">
                  <c:v>7.4352359587338599</c:v>
                </c:pt>
                <c:pt idx="135">
                  <c:v>7.1331732203551343</c:v>
                </c:pt>
                <c:pt idx="136">
                  <c:v>6.8512481106229837</c:v>
                </c:pt>
                <c:pt idx="137">
                  <c:v>7.0086074792971251</c:v>
                </c:pt>
                <c:pt idx="138">
                  <c:v>7.002327491923392</c:v>
                </c:pt>
                <c:pt idx="139">
                  <c:v>7.0130313473643566</c:v>
                </c:pt>
                <c:pt idx="140">
                  <c:v>7.2579063008189211</c:v>
                </c:pt>
                <c:pt idx="141">
                  <c:v>7.2318757652239976</c:v>
                </c:pt>
                <c:pt idx="142">
                  <c:v>6.6696946935427714</c:v>
                </c:pt>
                <c:pt idx="143">
                  <c:v>6.1177908615290946</c:v>
                </c:pt>
                <c:pt idx="144">
                  <c:v>6.9356001723480558</c:v>
                </c:pt>
                <c:pt idx="145">
                  <c:v>6.3403885565369782</c:v>
                </c:pt>
                <c:pt idx="146">
                  <c:v>6.8461777899702767</c:v>
                </c:pt>
                <c:pt idx="147">
                  <c:v>7.1645568992011688</c:v>
                </c:pt>
                <c:pt idx="148">
                  <c:v>6.9016483824193759</c:v>
                </c:pt>
                <c:pt idx="149">
                  <c:v>6.7312697476719316</c:v>
                </c:pt>
                <c:pt idx="150">
                  <c:v>6.5627749533028421</c:v>
                </c:pt>
                <c:pt idx="151">
                  <c:v>6.6178734923166358</c:v>
                </c:pt>
                <c:pt idx="152">
                  <c:v>6.4176384302135299</c:v>
                </c:pt>
                <c:pt idx="153">
                  <c:v>6.8083898501220617</c:v>
                </c:pt>
                <c:pt idx="154">
                  <c:v>6.2267309121849994</c:v>
                </c:pt>
                <c:pt idx="155">
                  <c:v>6.2296216524381665</c:v>
                </c:pt>
                <c:pt idx="156">
                  <c:v>6.099136042226962</c:v>
                </c:pt>
                <c:pt idx="157">
                  <c:v>6.3735580498650375</c:v>
                </c:pt>
                <c:pt idx="158">
                  <c:v>6.4005708044061675</c:v>
                </c:pt>
                <c:pt idx="159">
                  <c:v>6.199591626317023</c:v>
                </c:pt>
                <c:pt idx="160">
                  <c:v>6.2237966468010759</c:v>
                </c:pt>
                <c:pt idx="161">
                  <c:v>6.0428241166271786</c:v>
                </c:pt>
                <c:pt idx="162">
                  <c:v>6.1475868483056315</c:v>
                </c:pt>
                <c:pt idx="163">
                  <c:v>6.0128287601441288</c:v>
                </c:pt>
                <c:pt idx="164">
                  <c:v>5.9025595704742839</c:v>
                </c:pt>
                <c:pt idx="165">
                  <c:v>5.9040301496439946</c:v>
                </c:pt>
                <c:pt idx="166">
                  <c:v>6.0636397342644566</c:v>
                </c:pt>
                <c:pt idx="167">
                  <c:v>6.2242772330337957</c:v>
                </c:pt>
                <c:pt idx="168">
                  <c:v>6.2296731390219797</c:v>
                </c:pt>
                <c:pt idx="169">
                  <c:v>6.1697729743296801</c:v>
                </c:pt>
                <c:pt idx="170">
                  <c:v>6.2896212264140701</c:v>
                </c:pt>
                <c:pt idx="171">
                  <c:v>6.2469926983385262</c:v>
                </c:pt>
                <c:pt idx="172">
                  <c:v>6.2349795942910786</c:v>
                </c:pt>
                <c:pt idx="173">
                  <c:v>6.2940503804782635</c:v>
                </c:pt>
                <c:pt idx="174">
                  <c:v>6.3213364697032786</c:v>
                </c:pt>
                <c:pt idx="175">
                  <c:v>6.2642522923515571</c:v>
                </c:pt>
                <c:pt idx="176">
                  <c:v>6.1190409019769145</c:v>
                </c:pt>
                <c:pt idx="177">
                  <c:v>6.1314975509551504</c:v>
                </c:pt>
                <c:pt idx="178">
                  <c:v>6.3372425704971773</c:v>
                </c:pt>
                <c:pt idx="179">
                  <c:v>6.4009184103939676</c:v>
                </c:pt>
                <c:pt idx="180">
                  <c:v>6.2798919895938656</c:v>
                </c:pt>
                <c:pt idx="181">
                  <c:v>6.2379969848222494</c:v>
                </c:pt>
                <c:pt idx="182">
                  <c:v>6.2276894501829023</c:v>
                </c:pt>
                <c:pt idx="183">
                  <c:v>6.1470615054648619</c:v>
                </c:pt>
                <c:pt idx="184">
                  <c:v>6.2317248934831202</c:v>
                </c:pt>
                <c:pt idx="185">
                  <c:v>6.2019945595957884</c:v>
                </c:pt>
                <c:pt idx="186">
                  <c:v>6.1608148866255377</c:v>
                </c:pt>
                <c:pt idx="187">
                  <c:v>6.1574305468835773</c:v>
                </c:pt>
                <c:pt idx="188">
                  <c:v>6.073632075200651</c:v>
                </c:pt>
                <c:pt idx="189">
                  <c:v>5.9121878354164838</c:v>
                </c:pt>
                <c:pt idx="190">
                  <c:v>6.0831581263231218</c:v>
                </c:pt>
                <c:pt idx="191">
                  <c:v>6.0079505569952847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C-4A87-A957-C25D02668EF9}"/>
            </c:ext>
          </c:extLst>
        </c:ser>
        <c:ser>
          <c:idx val="1"/>
          <c:order val="1"/>
          <c:tx>
            <c:strRef>
              <c:f>Indicadores!$E$20</c:f>
              <c:strCache>
                <c:ptCount val="1"/>
                <c:pt idx="0">
                  <c:v>Vida media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Ref>
              <c:f>Indicadores!$A$114:$A$384</c:f>
              <c:numCache>
                <c:formatCode>mmm\-yy</c:formatCode>
                <c:ptCount val="271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Indicadores!$F$114:$F$384</c:f>
              <c:numCache>
                <c:formatCode>_ * #,##0.00_ ;_ * \-#,##0.00_ ;_ * "-"??_ ;_ @_ </c:formatCode>
                <c:ptCount val="271"/>
                <c:pt idx="0">
                  <c:v>10.159615424352701</c:v>
                </c:pt>
                <c:pt idx="1">
                  <c:v>10.11190408714601</c:v>
                </c:pt>
                <c:pt idx="2">
                  <c:v>10.195831373591497</c:v>
                </c:pt>
                <c:pt idx="3">
                  <c:v>10.34999011375236</c:v>
                </c:pt>
                <c:pt idx="4">
                  <c:v>10.254725119749345</c:v>
                </c:pt>
                <c:pt idx="5">
                  <c:v>10.183421203960707</c:v>
                </c:pt>
                <c:pt idx="6">
                  <c:v>10.142868943092031</c:v>
                </c:pt>
                <c:pt idx="7">
                  <c:v>10.09428618946408</c:v>
                </c:pt>
                <c:pt idx="8">
                  <c:v>10.002191772131098</c:v>
                </c:pt>
                <c:pt idx="9">
                  <c:v>10.796022119088045</c:v>
                </c:pt>
                <c:pt idx="10">
                  <c:v>10.734515314649084</c:v>
                </c:pt>
                <c:pt idx="11">
                  <c:v>10.635895520639057</c:v>
                </c:pt>
                <c:pt idx="12">
                  <c:v>10.654172159816349</c:v>
                </c:pt>
                <c:pt idx="13">
                  <c:v>10.844019993449727</c:v>
                </c:pt>
                <c:pt idx="14">
                  <c:v>10.788153985631585</c:v>
                </c:pt>
                <c:pt idx="15">
                  <c:v>10.873483440384041</c:v>
                </c:pt>
                <c:pt idx="16">
                  <c:v>10.794252600242887</c:v>
                </c:pt>
                <c:pt idx="17">
                  <c:v>10.724693065079073</c:v>
                </c:pt>
                <c:pt idx="18">
                  <c:v>10.727181248258995</c:v>
                </c:pt>
                <c:pt idx="19">
                  <c:v>10.655118926943889</c:v>
                </c:pt>
                <c:pt idx="20">
                  <c:v>10.595282286678469</c:v>
                </c:pt>
                <c:pt idx="21">
                  <c:v>10.54673429227671</c:v>
                </c:pt>
                <c:pt idx="22">
                  <c:v>10.543538988459604</c:v>
                </c:pt>
                <c:pt idx="23">
                  <c:v>10.559996405736866</c:v>
                </c:pt>
                <c:pt idx="24">
                  <c:v>10.56811571347269</c:v>
                </c:pt>
                <c:pt idx="25">
                  <c:v>10.49993139695936</c:v>
                </c:pt>
                <c:pt idx="26">
                  <c:v>10.447771803490674</c:v>
                </c:pt>
                <c:pt idx="27">
                  <c:v>10.350024970158852</c:v>
                </c:pt>
                <c:pt idx="28">
                  <c:v>10.350024970158852</c:v>
                </c:pt>
                <c:pt idx="29">
                  <c:v>10.338664112155401</c:v>
                </c:pt>
                <c:pt idx="30">
                  <c:v>9.9610686700456181</c:v>
                </c:pt>
                <c:pt idx="31">
                  <c:v>9.8810638211318036</c:v>
                </c:pt>
                <c:pt idx="32">
                  <c:v>9.817167934538972</c:v>
                </c:pt>
                <c:pt idx="33">
                  <c:v>9.7122853095973927</c:v>
                </c:pt>
                <c:pt idx="34">
                  <c:v>9.6928366155725261</c:v>
                </c:pt>
                <c:pt idx="35">
                  <c:v>9.7174917617085015</c:v>
                </c:pt>
                <c:pt idx="36">
                  <c:v>10.984640715689409</c:v>
                </c:pt>
                <c:pt idx="37">
                  <c:v>10.90863300348768</c:v>
                </c:pt>
                <c:pt idx="38">
                  <c:v>10.835438400960831</c:v>
                </c:pt>
                <c:pt idx="39">
                  <c:v>10.742721372331307</c:v>
                </c:pt>
                <c:pt idx="40">
                  <c:v>10.700118068018632</c:v>
                </c:pt>
                <c:pt idx="41">
                  <c:v>10.624212697143934</c:v>
                </c:pt>
                <c:pt idx="42">
                  <c:v>10.548203014598252</c:v>
                </c:pt>
                <c:pt idx="43">
                  <c:v>10.479486355914345</c:v>
                </c:pt>
                <c:pt idx="44">
                  <c:v>10.389700527895874</c:v>
                </c:pt>
                <c:pt idx="45">
                  <c:v>10.313249575457498</c:v>
                </c:pt>
                <c:pt idx="46">
                  <c:v>10.260598600804606</c:v>
                </c:pt>
                <c:pt idx="47">
                  <c:v>10.36515957114575</c:v>
                </c:pt>
                <c:pt idx="48">
                  <c:v>10.5742928781721</c:v>
                </c:pt>
                <c:pt idx="49">
                  <c:v>10.523221080742552</c:v>
                </c:pt>
                <c:pt idx="50">
                  <c:v>10.454914501529641</c:v>
                </c:pt>
                <c:pt idx="51">
                  <c:v>10.373253365594223</c:v>
                </c:pt>
                <c:pt idx="52">
                  <c:v>10.335201405818804</c:v>
                </c:pt>
                <c:pt idx="53">
                  <c:v>10.275309442969084</c:v>
                </c:pt>
                <c:pt idx="54">
                  <c:v>10.231601080447373</c:v>
                </c:pt>
                <c:pt idx="55">
                  <c:v>10.18717544644449</c:v>
                </c:pt>
                <c:pt idx="56">
                  <c:v>10.606690097145075</c:v>
                </c:pt>
                <c:pt idx="57">
                  <c:v>10.464844999522665</c:v>
                </c:pt>
                <c:pt idx="58">
                  <c:v>10.455522073482072</c:v>
                </c:pt>
                <c:pt idx="59">
                  <c:v>10.495637801210387</c:v>
                </c:pt>
                <c:pt idx="60">
                  <c:v>11.201601753033506</c:v>
                </c:pt>
                <c:pt idx="61">
                  <c:v>11.139734277413435</c:v>
                </c:pt>
                <c:pt idx="62">
                  <c:v>11.039864068409019</c:v>
                </c:pt>
                <c:pt idx="63">
                  <c:v>10.949240518197081</c:v>
                </c:pt>
                <c:pt idx="64">
                  <c:v>10.947902098704585</c:v>
                </c:pt>
                <c:pt idx="65">
                  <c:v>10.878406255081993</c:v>
                </c:pt>
                <c:pt idx="66">
                  <c:v>10.799318300026949</c:v>
                </c:pt>
                <c:pt idx="67">
                  <c:v>10.733756627608802</c:v>
                </c:pt>
                <c:pt idx="68">
                  <c:v>10.707476613799336</c:v>
                </c:pt>
                <c:pt idx="69">
                  <c:v>10.888207147565753</c:v>
                </c:pt>
                <c:pt idx="70">
                  <c:v>10.896989468908499</c:v>
                </c:pt>
                <c:pt idx="71">
                  <c:v>11.468151073784005</c:v>
                </c:pt>
                <c:pt idx="72">
                  <c:v>12.136345613207103</c:v>
                </c:pt>
                <c:pt idx="73">
                  <c:v>12.181578863896023</c:v>
                </c:pt>
                <c:pt idx="74">
                  <c:v>12.596705786817793</c:v>
                </c:pt>
                <c:pt idx="75">
                  <c:v>12.464507816729814</c:v>
                </c:pt>
                <c:pt idx="76">
                  <c:v>12.475013605311034</c:v>
                </c:pt>
                <c:pt idx="77">
                  <c:v>12.432955715585969</c:v>
                </c:pt>
                <c:pt idx="78">
                  <c:v>12.415066135440984</c:v>
                </c:pt>
                <c:pt idx="79">
                  <c:v>12.387939324987158</c:v>
                </c:pt>
                <c:pt idx="80">
                  <c:v>12.250676356240469</c:v>
                </c:pt>
                <c:pt idx="81">
                  <c:v>12.389745917595713</c:v>
                </c:pt>
                <c:pt idx="82">
                  <c:v>12.425337484957161</c:v>
                </c:pt>
                <c:pt idx="83">
                  <c:v>12.50041087063215</c:v>
                </c:pt>
                <c:pt idx="84">
                  <c:v>12.437169949602747</c:v>
                </c:pt>
                <c:pt idx="85">
                  <c:v>12.389953187719598</c:v>
                </c:pt>
                <c:pt idx="86">
                  <c:v>12.22459482503986</c:v>
                </c:pt>
                <c:pt idx="87">
                  <c:v>12.135083798244951</c:v>
                </c:pt>
                <c:pt idx="88">
                  <c:v>12.231257414131324</c:v>
                </c:pt>
                <c:pt idx="89">
                  <c:v>12.156595631739187</c:v>
                </c:pt>
                <c:pt idx="90">
                  <c:v>12.088592666576421</c:v>
                </c:pt>
                <c:pt idx="91">
                  <c:v>12.008003132708476</c:v>
                </c:pt>
                <c:pt idx="92">
                  <c:v>11.941444024158647</c:v>
                </c:pt>
                <c:pt idx="93">
                  <c:v>11.873115439846014</c:v>
                </c:pt>
                <c:pt idx="94">
                  <c:v>11.799874009270198</c:v>
                </c:pt>
                <c:pt idx="95">
                  <c:v>11.908332181677759</c:v>
                </c:pt>
                <c:pt idx="96">
                  <c:v>12.7584028136684</c:v>
                </c:pt>
                <c:pt idx="97">
                  <c:v>12.690930495426867</c:v>
                </c:pt>
                <c:pt idx="98">
                  <c:v>12.628244350097688</c:v>
                </c:pt>
                <c:pt idx="99">
                  <c:v>12.558924612124668</c:v>
                </c:pt>
                <c:pt idx="100">
                  <c:v>12.486539281161425</c:v>
                </c:pt>
                <c:pt idx="101">
                  <c:v>12.446602803864488</c:v>
                </c:pt>
                <c:pt idx="102">
                  <c:v>12.366917434916029</c:v>
                </c:pt>
                <c:pt idx="103">
                  <c:v>12.217948395597023</c:v>
                </c:pt>
                <c:pt idx="104">
                  <c:v>12.160927592186429</c:v>
                </c:pt>
                <c:pt idx="105">
                  <c:v>12.085734003679471</c:v>
                </c:pt>
                <c:pt idx="106">
                  <c:v>12.01968202286915</c:v>
                </c:pt>
                <c:pt idx="107">
                  <c:v>11.943734485336728</c:v>
                </c:pt>
                <c:pt idx="108">
                  <c:v>11.88001895291557</c:v>
                </c:pt>
                <c:pt idx="109">
                  <c:v>11.806973331445366</c:v>
                </c:pt>
                <c:pt idx="110">
                  <c:v>11.844901084208313</c:v>
                </c:pt>
                <c:pt idx="111">
                  <c:v>11.773930126079692</c:v>
                </c:pt>
                <c:pt idx="112">
                  <c:v>11.700473480986776</c:v>
                </c:pt>
                <c:pt idx="113">
                  <c:v>11.639956208444891</c:v>
                </c:pt>
                <c:pt idx="114">
                  <c:v>11.556062042732577</c:v>
                </c:pt>
                <c:pt idx="115">
                  <c:v>11.481044386739159</c:v>
                </c:pt>
                <c:pt idx="116">
                  <c:v>11.37746098520782</c:v>
                </c:pt>
                <c:pt idx="117">
                  <c:v>11.666555053068178</c:v>
                </c:pt>
                <c:pt idx="118">
                  <c:v>11.60569796520954</c:v>
                </c:pt>
                <c:pt idx="119">
                  <c:v>11.623224858255325</c:v>
                </c:pt>
                <c:pt idx="120">
                  <c:v>12.0581759270784</c:v>
                </c:pt>
                <c:pt idx="121">
                  <c:v>11.985299324461661</c:v>
                </c:pt>
                <c:pt idx="122">
                  <c:v>12.154469535762834</c:v>
                </c:pt>
                <c:pt idx="123">
                  <c:v>12.086235932108025</c:v>
                </c:pt>
                <c:pt idx="124">
                  <c:v>12.023863851251765</c:v>
                </c:pt>
                <c:pt idx="125">
                  <c:v>11.941524725530689</c:v>
                </c:pt>
                <c:pt idx="126">
                  <c:v>11.869448686709926</c:v>
                </c:pt>
                <c:pt idx="127">
                  <c:v>11.81932403675191</c:v>
                </c:pt>
                <c:pt idx="128">
                  <c:v>11.745732045233805</c:v>
                </c:pt>
                <c:pt idx="129">
                  <c:v>11.663929116559078</c:v>
                </c:pt>
                <c:pt idx="130">
                  <c:v>11.805262026021804</c:v>
                </c:pt>
                <c:pt idx="131">
                  <c:v>11.721187252837174</c:v>
                </c:pt>
                <c:pt idx="132">
                  <c:v>11.891856762369899</c:v>
                </c:pt>
                <c:pt idx="133">
                  <c:v>12.011569183869593</c:v>
                </c:pt>
                <c:pt idx="134">
                  <c:v>11.883495605536243</c:v>
                </c:pt>
                <c:pt idx="135">
                  <c:v>11.819173327243314</c:v>
                </c:pt>
                <c:pt idx="136">
                  <c:v>11.768959951062444</c:v>
                </c:pt>
                <c:pt idx="137">
                  <c:v>12.1780113407244</c:v>
                </c:pt>
                <c:pt idx="138">
                  <c:v>12.204162281285418</c:v>
                </c:pt>
                <c:pt idx="139">
                  <c:v>12.128802157347527</c:v>
                </c:pt>
                <c:pt idx="140">
                  <c:v>12.059398644388995</c:v>
                </c:pt>
                <c:pt idx="141">
                  <c:v>11.981515956218123</c:v>
                </c:pt>
                <c:pt idx="142">
                  <c:v>11.897901072192328</c:v>
                </c:pt>
                <c:pt idx="143">
                  <c:v>11.212482119004237</c:v>
                </c:pt>
                <c:pt idx="144">
                  <c:v>11.826407499177623</c:v>
                </c:pt>
                <c:pt idx="145">
                  <c:v>11.756423043673397</c:v>
                </c:pt>
                <c:pt idx="146">
                  <c:v>11.881564609197016</c:v>
                </c:pt>
                <c:pt idx="147">
                  <c:v>12.654261474444272</c:v>
                </c:pt>
                <c:pt idx="148">
                  <c:v>11.968703402885188</c:v>
                </c:pt>
                <c:pt idx="149">
                  <c:v>11.914265090869396</c:v>
                </c:pt>
                <c:pt idx="150">
                  <c:v>11.834383789059535</c:v>
                </c:pt>
                <c:pt idx="151">
                  <c:v>11.75811051879214</c:v>
                </c:pt>
                <c:pt idx="152">
                  <c:v>11.669762458754857</c:v>
                </c:pt>
                <c:pt idx="153">
                  <c:v>11.826623677161518</c:v>
                </c:pt>
                <c:pt idx="154">
                  <c:v>11.756761892061922</c:v>
                </c:pt>
                <c:pt idx="155">
                  <c:v>11.702943841396539</c:v>
                </c:pt>
                <c:pt idx="156">
                  <c:v>11.686748854047735</c:v>
                </c:pt>
                <c:pt idx="157">
                  <c:v>11.605772357922007</c:v>
                </c:pt>
                <c:pt idx="158">
                  <c:v>11.526429430916689</c:v>
                </c:pt>
                <c:pt idx="159">
                  <c:v>11.482853390690032</c:v>
                </c:pt>
                <c:pt idx="160">
                  <c:v>11.418152895455515</c:v>
                </c:pt>
                <c:pt idx="161">
                  <c:v>11.355975765187875</c:v>
                </c:pt>
                <c:pt idx="162">
                  <c:v>11.288944388860623</c:v>
                </c:pt>
                <c:pt idx="163">
                  <c:v>11.236959174206802</c:v>
                </c:pt>
                <c:pt idx="164">
                  <c:v>11.169713801970772</c:v>
                </c:pt>
                <c:pt idx="165">
                  <c:v>11.095519550987797</c:v>
                </c:pt>
                <c:pt idx="166">
                  <c:v>11.006650000483424</c:v>
                </c:pt>
                <c:pt idx="167">
                  <c:v>11.033327871811368</c:v>
                </c:pt>
                <c:pt idx="168">
                  <c:v>10.986023933307676</c:v>
                </c:pt>
                <c:pt idx="169">
                  <c:v>10.997363531865593</c:v>
                </c:pt>
                <c:pt idx="170">
                  <c:v>11.03345890418214</c:v>
                </c:pt>
                <c:pt idx="171">
                  <c:v>10.957988803627254</c:v>
                </c:pt>
                <c:pt idx="172">
                  <c:v>10.898440605208528</c:v>
                </c:pt>
                <c:pt idx="173">
                  <c:v>10.814677353419166</c:v>
                </c:pt>
                <c:pt idx="174">
                  <c:v>10.717187916162203</c:v>
                </c:pt>
                <c:pt idx="175">
                  <c:v>10.655992210729838</c:v>
                </c:pt>
                <c:pt idx="176">
                  <c:v>10.73128676338488</c:v>
                </c:pt>
                <c:pt idx="177">
                  <c:v>10.760237643777293</c:v>
                </c:pt>
                <c:pt idx="178">
                  <c:v>11.009681100510072</c:v>
                </c:pt>
                <c:pt idx="179">
                  <c:v>10.915286678356559</c:v>
                </c:pt>
                <c:pt idx="180">
                  <c:v>10.901045527655583</c:v>
                </c:pt>
                <c:pt idx="181">
                  <c:v>10.827412496228463</c:v>
                </c:pt>
                <c:pt idx="182">
                  <c:v>10.797957543581816</c:v>
                </c:pt>
                <c:pt idx="183">
                  <c:v>10.88416598795704</c:v>
                </c:pt>
                <c:pt idx="184">
                  <c:v>10.971599692753697</c:v>
                </c:pt>
                <c:pt idx="185">
                  <c:v>10.910215656026732</c:v>
                </c:pt>
                <c:pt idx="186">
                  <c:v>10.889928673064892</c:v>
                </c:pt>
                <c:pt idx="187">
                  <c:v>10.878411359954379</c:v>
                </c:pt>
                <c:pt idx="188">
                  <c:v>10.795002993990456</c:v>
                </c:pt>
                <c:pt idx="189">
                  <c:v>10.737208533222606</c:v>
                </c:pt>
                <c:pt idx="190">
                  <c:v>11.17006354924365</c:v>
                </c:pt>
                <c:pt idx="191">
                  <c:v>11.159950015875284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C-4A87-A957-C25D02668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2326288"/>
        <c:axId val="1"/>
      </c:lineChart>
      <c:lineChart>
        <c:grouping val="standard"/>
        <c:varyColors val="0"/>
        <c:ser>
          <c:idx val="2"/>
          <c:order val="2"/>
          <c:tx>
            <c:strRef>
              <c:f>Indicadores!$H$20</c:f>
              <c:strCache>
                <c:ptCount val="1"/>
                <c:pt idx="0">
                  <c:v>Cupón promedio (%)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Indicadores!$A$114:$A$248</c:f>
              <c:numCache>
                <c:formatCode>mmm\-yy</c:formatCode>
                <c:ptCount val="135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</c:numCache>
            </c:numRef>
          </c:cat>
          <c:val>
            <c:numRef>
              <c:f>Indicadores!$I$114:$I$385</c:f>
              <c:numCache>
                <c:formatCode>0.00%</c:formatCode>
                <c:ptCount val="272"/>
                <c:pt idx="0">
                  <c:v>6.2004627643169698E-2</c:v>
                </c:pt>
                <c:pt idx="1">
                  <c:v>6.186503799226007E-2</c:v>
                </c:pt>
                <c:pt idx="2">
                  <c:v>6.038606442427439E-2</c:v>
                </c:pt>
                <c:pt idx="3">
                  <c:v>6.1661483946562713E-2</c:v>
                </c:pt>
                <c:pt idx="4">
                  <c:v>6.1433276053813164E-2</c:v>
                </c:pt>
                <c:pt idx="5">
                  <c:v>6.1497303843397945E-2</c:v>
                </c:pt>
                <c:pt idx="6">
                  <c:v>6.0891767457554584E-2</c:v>
                </c:pt>
                <c:pt idx="7">
                  <c:v>6.0124290385098658E-2</c:v>
                </c:pt>
                <c:pt idx="8">
                  <c:v>5.9239012006741892E-2</c:v>
                </c:pt>
                <c:pt idx="9">
                  <c:v>5.9976852285929833E-2</c:v>
                </c:pt>
                <c:pt idx="10">
                  <c:v>5.8989331395896731E-2</c:v>
                </c:pt>
                <c:pt idx="11">
                  <c:v>6.0011923355057256E-2</c:v>
                </c:pt>
                <c:pt idx="12">
                  <c:v>5.926531051546946E-2</c:v>
                </c:pt>
                <c:pt idx="13">
                  <c:v>5.9433955055367541E-2</c:v>
                </c:pt>
                <c:pt idx="14">
                  <c:v>6.013614897882457E-2</c:v>
                </c:pt>
                <c:pt idx="15">
                  <c:v>5.8881732910313803E-2</c:v>
                </c:pt>
                <c:pt idx="16">
                  <c:v>5.8198424225920989E-2</c:v>
                </c:pt>
                <c:pt idx="17">
                  <c:v>5.7214927193848603E-2</c:v>
                </c:pt>
                <c:pt idx="18">
                  <c:v>5.6829615868279677E-2</c:v>
                </c:pt>
                <c:pt idx="19">
                  <c:v>5.4835744067167361E-2</c:v>
                </c:pt>
                <c:pt idx="20">
                  <c:v>5.4945434794206549E-2</c:v>
                </c:pt>
                <c:pt idx="21">
                  <c:v>5.4743580252396271E-2</c:v>
                </c:pt>
                <c:pt idx="22">
                  <c:v>5.4835148454096254E-2</c:v>
                </c:pt>
                <c:pt idx="23">
                  <c:v>5.4156251846509719E-2</c:v>
                </c:pt>
                <c:pt idx="24">
                  <c:v>5.3928928808860147E-2</c:v>
                </c:pt>
                <c:pt idx="25">
                  <c:v>5.4037320063785838E-2</c:v>
                </c:pt>
                <c:pt idx="26">
                  <c:v>5.682183743582972E-2</c:v>
                </c:pt>
                <c:pt idx="27">
                  <c:v>5.5905980820379765E-2</c:v>
                </c:pt>
                <c:pt idx="28">
                  <c:v>5.5086493694289071E-2</c:v>
                </c:pt>
                <c:pt idx="29">
                  <c:v>5.5752059293162556E-2</c:v>
                </c:pt>
                <c:pt idx="30">
                  <c:v>5.4146973168631575E-2</c:v>
                </c:pt>
                <c:pt idx="31">
                  <c:v>5.2149565177001402E-2</c:v>
                </c:pt>
                <c:pt idx="32">
                  <c:v>5.1878695008468576E-2</c:v>
                </c:pt>
                <c:pt idx="33">
                  <c:v>5.1853173693253179E-2</c:v>
                </c:pt>
                <c:pt idx="34">
                  <c:v>5.202045885236798E-2</c:v>
                </c:pt>
                <c:pt idx="35">
                  <c:v>5.0977711402670843E-2</c:v>
                </c:pt>
                <c:pt idx="36">
                  <c:v>5.1342345073373222E-2</c:v>
                </c:pt>
                <c:pt idx="37">
                  <c:v>5.1439505908519569E-2</c:v>
                </c:pt>
                <c:pt idx="38">
                  <c:v>5.227677088614275E-2</c:v>
                </c:pt>
                <c:pt idx="39">
                  <c:v>5.2266383804067167E-2</c:v>
                </c:pt>
                <c:pt idx="40">
                  <c:v>5.2394734719252989E-2</c:v>
                </c:pt>
                <c:pt idx="41">
                  <c:v>5.093154388206185E-2</c:v>
                </c:pt>
                <c:pt idx="42">
                  <c:v>5.0635913087595123E-2</c:v>
                </c:pt>
                <c:pt idx="43">
                  <c:v>5.0827994798130965E-2</c:v>
                </c:pt>
                <c:pt idx="44">
                  <c:v>5.0299719101554896E-2</c:v>
                </c:pt>
                <c:pt idx="45">
                  <c:v>5.0532833110525692E-2</c:v>
                </c:pt>
                <c:pt idx="46">
                  <c:v>5.0363095152469672E-2</c:v>
                </c:pt>
                <c:pt idx="47">
                  <c:v>4.9865478563439945E-2</c:v>
                </c:pt>
                <c:pt idx="48">
                  <c:v>5.0280869153916198E-2</c:v>
                </c:pt>
                <c:pt idx="49">
                  <c:v>5.103462203468552E-2</c:v>
                </c:pt>
                <c:pt idx="50">
                  <c:v>5.0576720105953848E-2</c:v>
                </c:pt>
                <c:pt idx="51">
                  <c:v>5.0233050033306428E-2</c:v>
                </c:pt>
                <c:pt idx="52">
                  <c:v>5.3829964901422452E-2</c:v>
                </c:pt>
                <c:pt idx="53">
                  <c:v>5.4080481094121488E-2</c:v>
                </c:pt>
                <c:pt idx="54">
                  <c:v>5.2600000000000001E-2</c:v>
                </c:pt>
                <c:pt idx="55">
                  <c:v>5.2900000000000003E-2</c:v>
                </c:pt>
                <c:pt idx="56">
                  <c:v>5.2043607951707815E-2</c:v>
                </c:pt>
                <c:pt idx="57">
                  <c:v>5.2131830885851466E-2</c:v>
                </c:pt>
                <c:pt idx="58">
                  <c:v>5.267083223882895E-2</c:v>
                </c:pt>
                <c:pt idx="59">
                  <c:v>5.1383345192264659E-2</c:v>
                </c:pt>
                <c:pt idx="60">
                  <c:v>5.9816619916831064E-2</c:v>
                </c:pt>
                <c:pt idx="61">
                  <c:v>5.7883081410198531E-2</c:v>
                </c:pt>
                <c:pt idx="62">
                  <c:v>6.0138065695223786E-2</c:v>
                </c:pt>
                <c:pt idx="63">
                  <c:v>6.0185346424002945E-2</c:v>
                </c:pt>
                <c:pt idx="64">
                  <c:v>6.0209664664697918E-2</c:v>
                </c:pt>
                <c:pt idx="65">
                  <c:v>6.0304275476794164E-2</c:v>
                </c:pt>
                <c:pt idx="66">
                  <c:v>6.0253084775355528E-2</c:v>
                </c:pt>
                <c:pt idx="67">
                  <c:v>6.0360369993584233E-2</c:v>
                </c:pt>
                <c:pt idx="68">
                  <c:v>6.0114001742393841E-2</c:v>
                </c:pt>
                <c:pt idx="69">
                  <c:v>5.9547109439513864E-2</c:v>
                </c:pt>
                <c:pt idx="70">
                  <c:v>5.9361460707873646E-2</c:v>
                </c:pt>
                <c:pt idx="71">
                  <c:v>5.7806568071176963E-2</c:v>
                </c:pt>
                <c:pt idx="72">
                  <c:v>5.7481631826727761E-2</c:v>
                </c:pt>
                <c:pt idx="73">
                  <c:v>5.6129060070740013E-2</c:v>
                </c:pt>
                <c:pt idx="74">
                  <c:v>5.5725645919697128E-2</c:v>
                </c:pt>
                <c:pt idx="75">
                  <c:v>5.6208053601016252E-2</c:v>
                </c:pt>
                <c:pt idx="76">
                  <c:v>5.6201213052926725E-2</c:v>
                </c:pt>
                <c:pt idx="77">
                  <c:v>5.6771171609321401E-2</c:v>
                </c:pt>
                <c:pt idx="78">
                  <c:v>5.5952554631814727E-2</c:v>
                </c:pt>
                <c:pt idx="79">
                  <c:v>5.5814292988062564E-2</c:v>
                </c:pt>
                <c:pt idx="80">
                  <c:v>5.4582465096314321E-2</c:v>
                </c:pt>
                <c:pt idx="81">
                  <c:v>5.3511591881580896E-2</c:v>
                </c:pt>
                <c:pt idx="82">
                  <c:v>5.3361720089208281E-2</c:v>
                </c:pt>
                <c:pt idx="83">
                  <c:v>5.3933982457061221E-2</c:v>
                </c:pt>
                <c:pt idx="84">
                  <c:v>5.2683801692316734E-2</c:v>
                </c:pt>
                <c:pt idx="85">
                  <c:v>5.1934227425186046E-2</c:v>
                </c:pt>
                <c:pt idx="86">
                  <c:v>5.177010448920534E-2</c:v>
                </c:pt>
                <c:pt idx="87">
                  <c:v>5.210238965825767E-2</c:v>
                </c:pt>
                <c:pt idx="88">
                  <c:v>5.1916331634296244E-2</c:v>
                </c:pt>
                <c:pt idx="89">
                  <c:v>5.0752470923983058E-2</c:v>
                </c:pt>
                <c:pt idx="90">
                  <c:v>5.0789697935502864E-2</c:v>
                </c:pt>
                <c:pt idx="91">
                  <c:v>5.1175638971138748E-2</c:v>
                </c:pt>
                <c:pt idx="92">
                  <c:v>5.133490341322805E-2</c:v>
                </c:pt>
                <c:pt idx="93">
                  <c:v>5.2785590960798913E-2</c:v>
                </c:pt>
                <c:pt idx="94">
                  <c:v>5.3169446710999484E-2</c:v>
                </c:pt>
                <c:pt idx="95">
                  <c:v>5.3397107326257007E-2</c:v>
                </c:pt>
                <c:pt idx="96">
                  <c:v>5.1866957834427879E-2</c:v>
                </c:pt>
                <c:pt idx="97">
                  <c:v>5.2429239237003863E-2</c:v>
                </c:pt>
                <c:pt idx="98">
                  <c:v>5.2222590419018604E-2</c:v>
                </c:pt>
                <c:pt idx="99">
                  <c:v>5.196648318583208E-2</c:v>
                </c:pt>
                <c:pt idx="100">
                  <c:v>5.1526225577600587E-2</c:v>
                </c:pt>
                <c:pt idx="101">
                  <c:v>5.1908098544799108E-2</c:v>
                </c:pt>
                <c:pt idx="102">
                  <c:v>5.1525844024979298E-2</c:v>
                </c:pt>
                <c:pt idx="103">
                  <c:v>5.0382740679915515E-2</c:v>
                </c:pt>
                <c:pt idx="104">
                  <c:v>5.1336156383604267E-2</c:v>
                </c:pt>
                <c:pt idx="105">
                  <c:v>5.1478043495779731E-2</c:v>
                </c:pt>
                <c:pt idx="106">
                  <c:v>5.1663983880504215E-2</c:v>
                </c:pt>
                <c:pt idx="107">
                  <c:v>5.1100437893716259E-2</c:v>
                </c:pt>
                <c:pt idx="108">
                  <c:v>5.4025349439925797E-2</c:v>
                </c:pt>
                <c:pt idx="109">
                  <c:v>5.5113939034438002E-2</c:v>
                </c:pt>
                <c:pt idx="110">
                  <c:v>5.8179888143453672E-2</c:v>
                </c:pt>
                <c:pt idx="111">
                  <c:v>5.5396862520961453E-2</c:v>
                </c:pt>
                <c:pt idx="112">
                  <c:v>5.5213441233964322E-2</c:v>
                </c:pt>
                <c:pt idx="113">
                  <c:v>5.532705623848768E-2</c:v>
                </c:pt>
                <c:pt idx="114">
                  <c:v>5.5219959318408209E-2</c:v>
                </c:pt>
                <c:pt idx="115">
                  <c:v>5.4982645877908486E-2</c:v>
                </c:pt>
                <c:pt idx="116">
                  <c:v>5.5733698193787561E-2</c:v>
                </c:pt>
                <c:pt idx="117">
                  <c:v>5.4869495228484354E-2</c:v>
                </c:pt>
                <c:pt idx="118">
                  <c:v>5.4693278312460028E-2</c:v>
                </c:pt>
                <c:pt idx="119">
                  <c:v>5.3034732838785785E-2</c:v>
                </c:pt>
                <c:pt idx="120">
                  <c:v>5.2960780666261351E-2</c:v>
                </c:pt>
                <c:pt idx="121">
                  <c:v>5.3216097638267401E-2</c:v>
                </c:pt>
                <c:pt idx="122">
                  <c:v>5.3748992374011061E-2</c:v>
                </c:pt>
                <c:pt idx="123">
                  <c:v>5.1749937455962895E-2</c:v>
                </c:pt>
                <c:pt idx="124">
                  <c:v>5.0187619289764757E-2</c:v>
                </c:pt>
                <c:pt idx="125">
                  <c:v>4.9607877915696201E-2</c:v>
                </c:pt>
                <c:pt idx="126">
                  <c:v>4.9039946319530417E-2</c:v>
                </c:pt>
                <c:pt idx="127">
                  <c:v>4.7539299740914781E-2</c:v>
                </c:pt>
                <c:pt idx="128">
                  <c:v>4.6508985562227351E-2</c:v>
                </c:pt>
                <c:pt idx="129">
                  <c:v>4.6918068476046085E-2</c:v>
                </c:pt>
                <c:pt idx="130">
                  <c:v>4.6514696975296387E-2</c:v>
                </c:pt>
                <c:pt idx="131">
                  <c:v>4.6610015611637023E-2</c:v>
                </c:pt>
                <c:pt idx="132">
                  <c:v>4.6040397298902587E-2</c:v>
                </c:pt>
                <c:pt idx="133">
                  <c:v>4.3493794427321937E-2</c:v>
                </c:pt>
                <c:pt idx="134">
                  <c:v>4.1204441848657916E-2</c:v>
                </c:pt>
                <c:pt idx="135">
                  <c:v>3.9994928844394755E-2</c:v>
                </c:pt>
                <c:pt idx="136">
                  <c:v>3.9240928661601011E-2</c:v>
                </c:pt>
                <c:pt idx="137">
                  <c:v>3.9124753760203052E-2</c:v>
                </c:pt>
                <c:pt idx="138">
                  <c:v>3.8784605035320024E-2</c:v>
                </c:pt>
                <c:pt idx="139">
                  <c:v>3.8572869543909913E-2</c:v>
                </c:pt>
                <c:pt idx="140">
                  <c:v>3.8246764378560831E-2</c:v>
                </c:pt>
                <c:pt idx="141">
                  <c:v>3.8348867612850501E-2</c:v>
                </c:pt>
                <c:pt idx="142">
                  <c:v>3.8212470743536731E-2</c:v>
                </c:pt>
                <c:pt idx="143">
                  <c:v>3.6949635110706099E-2</c:v>
                </c:pt>
                <c:pt idx="144">
                  <c:v>3.6918816917147081E-2</c:v>
                </c:pt>
                <c:pt idx="145">
                  <c:v>3.6885780526570669E-2</c:v>
                </c:pt>
                <c:pt idx="146">
                  <c:v>3.5276139961170523E-2</c:v>
                </c:pt>
                <c:pt idx="147">
                  <c:v>3.694153990296542E-2</c:v>
                </c:pt>
                <c:pt idx="148">
                  <c:v>3.6031076180536865E-2</c:v>
                </c:pt>
                <c:pt idx="149">
                  <c:v>3.6110111754563058E-2</c:v>
                </c:pt>
                <c:pt idx="150">
                  <c:v>3.6203981589170972E-2</c:v>
                </c:pt>
                <c:pt idx="151">
                  <c:v>3.6218875247432544E-2</c:v>
                </c:pt>
                <c:pt idx="152">
                  <c:v>3.6462706406176063E-2</c:v>
                </c:pt>
                <c:pt idx="153">
                  <c:v>3.721789521933442E-2</c:v>
                </c:pt>
                <c:pt idx="154">
                  <c:v>3.6971483975306765E-2</c:v>
                </c:pt>
                <c:pt idx="155">
                  <c:v>3.6965227062320596E-2</c:v>
                </c:pt>
                <c:pt idx="156">
                  <c:v>3.7313927441308292E-2</c:v>
                </c:pt>
                <c:pt idx="157">
                  <c:v>3.7983016999428375E-2</c:v>
                </c:pt>
                <c:pt idx="158">
                  <c:v>3.9765608256304069E-2</c:v>
                </c:pt>
                <c:pt idx="159">
                  <c:v>4.0775419587403702E-2</c:v>
                </c:pt>
                <c:pt idx="160">
                  <c:v>4.1241296495901691E-2</c:v>
                </c:pt>
                <c:pt idx="161">
                  <c:v>4.1725487300069634E-2</c:v>
                </c:pt>
                <c:pt idx="162">
                  <c:v>4.212891096566574E-2</c:v>
                </c:pt>
                <c:pt idx="163">
                  <c:v>4.3448565407049673E-2</c:v>
                </c:pt>
                <c:pt idx="164">
                  <c:v>4.4571071582832265E-2</c:v>
                </c:pt>
                <c:pt idx="165">
                  <c:v>4.6109406698746344E-2</c:v>
                </c:pt>
                <c:pt idx="166">
                  <c:v>4.6177643232868042E-2</c:v>
                </c:pt>
                <c:pt idx="167">
                  <c:v>4.6521995943825195E-2</c:v>
                </c:pt>
                <c:pt idx="168">
                  <c:v>4.7781645975679868E-2</c:v>
                </c:pt>
                <c:pt idx="169">
                  <c:v>4.9374426011346964E-2</c:v>
                </c:pt>
                <c:pt idx="170">
                  <c:v>4.8684857466803545E-2</c:v>
                </c:pt>
                <c:pt idx="171">
                  <c:v>4.9026432014915161E-2</c:v>
                </c:pt>
                <c:pt idx="172">
                  <c:v>4.95780187108796E-2</c:v>
                </c:pt>
                <c:pt idx="173">
                  <c:v>5.0403976416536253E-2</c:v>
                </c:pt>
                <c:pt idx="174">
                  <c:v>5.0535451244387755E-2</c:v>
                </c:pt>
                <c:pt idx="175">
                  <c:v>5.0297884373547083E-2</c:v>
                </c:pt>
                <c:pt idx="176">
                  <c:v>5.1153137672030023E-2</c:v>
                </c:pt>
                <c:pt idx="177">
                  <c:v>5.1664136804383552E-2</c:v>
                </c:pt>
                <c:pt idx="178">
                  <c:v>5.1832628726490561E-2</c:v>
                </c:pt>
                <c:pt idx="179">
                  <c:v>5.0974047822589338E-2</c:v>
                </c:pt>
                <c:pt idx="180">
                  <c:v>5.1617287782073633E-2</c:v>
                </c:pt>
                <c:pt idx="181">
                  <c:v>5.1856464147380321E-2</c:v>
                </c:pt>
                <c:pt idx="182">
                  <c:v>5.0788426541272774E-2</c:v>
                </c:pt>
                <c:pt idx="183">
                  <c:v>5.2354922007520656E-2</c:v>
                </c:pt>
                <c:pt idx="184">
                  <c:v>5.1405248533922192E-2</c:v>
                </c:pt>
                <c:pt idx="185">
                  <c:v>5.1169552542285723E-2</c:v>
                </c:pt>
                <c:pt idx="186">
                  <c:v>5.14208295334906E-2</c:v>
                </c:pt>
                <c:pt idx="187">
                  <c:v>5.0433563116517983E-2</c:v>
                </c:pt>
                <c:pt idx="188">
                  <c:v>5.0159889308300357E-2</c:v>
                </c:pt>
                <c:pt idx="189">
                  <c:v>5.0058981839717562E-2</c:v>
                </c:pt>
                <c:pt idx="190">
                  <c:v>5.2987302693458679E-2</c:v>
                </c:pt>
                <c:pt idx="191">
                  <c:v>5.0069273186533515E-2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8C-4A87-A957-C25D02668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712326288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2"/>
        <c:majorTimeUnit val="years"/>
      </c:dateAx>
      <c:valAx>
        <c:axId val="1"/>
        <c:scaling>
          <c:orientation val="minMax"/>
        </c:scaling>
        <c:delete val="0"/>
        <c:axPos val="l"/>
        <c:majorGridlines/>
        <c:title>
          <c:tx>
            <c:strRef>
              <c:f>Indicadores!$B$21</c:f>
              <c:strCache>
                <c:ptCount val="1"/>
                <c:pt idx="0">
                  <c:v>(Años)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1232628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ax val="9.0000000000000024E-2"/>
        </c:scaling>
        <c:delete val="0"/>
        <c:axPos val="r"/>
        <c:title>
          <c:tx>
            <c:strRef>
              <c:f>Indicadores!$H$21</c:f>
              <c:strCache>
                <c:ptCount val="1"/>
                <c:pt idx="0">
                  <c:v>(Tasa anual %)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s-CO"/>
            </a:p>
          </c:tx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22300358796613837"/>
          <c:y val="0.79587345206010329"/>
          <c:w val="0.46923671126475042"/>
          <c:h val="0.18339692437774135"/>
        </c:manualLayout>
      </c:layout>
      <c:overlay val="0"/>
      <c:txPr>
        <a:bodyPr/>
        <a:lstStyle/>
        <a:p>
          <a:pPr>
            <a:defRPr sz="4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CO"/>
              <a:t>Composición interna y externa (% total deuda del GNC)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Composición!$B$1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cat>
            <c:numRef>
              <c:f>Composición!$A$2:$A$89</c:f>
              <c:numCache>
                <c:formatCode>m/d/yyyy</c:formatCode>
                <c:ptCount val="88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  <c:pt idx="67">
                  <c:v>44804</c:v>
                </c:pt>
                <c:pt idx="68">
                  <c:v>44834</c:v>
                </c:pt>
                <c:pt idx="69">
                  <c:v>44865</c:v>
                </c:pt>
                <c:pt idx="70">
                  <c:v>44895</c:v>
                </c:pt>
                <c:pt idx="71">
                  <c:v>44926</c:v>
                </c:pt>
                <c:pt idx="72">
                  <c:v>44957</c:v>
                </c:pt>
                <c:pt idx="73">
                  <c:v>44985</c:v>
                </c:pt>
                <c:pt idx="74">
                  <c:v>45016</c:v>
                </c:pt>
                <c:pt idx="75">
                  <c:v>45046</c:v>
                </c:pt>
                <c:pt idx="76">
                  <c:v>45077</c:v>
                </c:pt>
                <c:pt idx="77">
                  <c:v>45107</c:v>
                </c:pt>
                <c:pt idx="78">
                  <c:v>45138</c:v>
                </c:pt>
                <c:pt idx="79">
                  <c:v>45169</c:v>
                </c:pt>
                <c:pt idx="80">
                  <c:v>45199</c:v>
                </c:pt>
                <c:pt idx="81">
                  <c:v>45230</c:v>
                </c:pt>
                <c:pt idx="82">
                  <c:v>45260</c:v>
                </c:pt>
                <c:pt idx="83">
                  <c:v>45291</c:v>
                </c:pt>
                <c:pt idx="84">
                  <c:v>45322</c:v>
                </c:pt>
                <c:pt idx="85">
                  <c:v>45350</c:v>
                </c:pt>
                <c:pt idx="87">
                  <c:v>45382</c:v>
                </c:pt>
              </c:numCache>
            </c:numRef>
          </c:cat>
          <c:val>
            <c:numRef>
              <c:f>Composición!$B$2:$B$89</c:f>
              <c:numCache>
                <c:formatCode>0.00%</c:formatCode>
                <c:ptCount val="88"/>
                <c:pt idx="0">
                  <c:v>0.64372370460118056</c:v>
                </c:pt>
                <c:pt idx="1">
                  <c:v>0.65188037587679537</c:v>
                </c:pt>
                <c:pt idx="2">
                  <c:v>0.65798134189441071</c:v>
                </c:pt>
                <c:pt idx="3">
                  <c:v>0.65499361524570954</c:v>
                </c:pt>
                <c:pt idx="4">
                  <c:v>0.65352524140402357</c:v>
                </c:pt>
                <c:pt idx="5">
                  <c:v>0.64310209316291378</c:v>
                </c:pt>
                <c:pt idx="6">
                  <c:v>0.65017337022415445</c:v>
                </c:pt>
                <c:pt idx="7">
                  <c:v>0.64973647205152463</c:v>
                </c:pt>
                <c:pt idx="8">
                  <c:v>0.65104577885565296</c:v>
                </c:pt>
                <c:pt idx="9">
                  <c:v>0.64762637516745292</c:v>
                </c:pt>
                <c:pt idx="10">
                  <c:v>0.64958114434527836</c:v>
                </c:pt>
                <c:pt idx="11">
                  <c:v>0.6539038597857777</c:v>
                </c:pt>
                <c:pt idx="12">
                  <c:v>0.66489265539955589</c:v>
                </c:pt>
                <c:pt idx="13">
                  <c:v>0.66871948436463002</c:v>
                </c:pt>
                <c:pt idx="14">
                  <c:v>0.67261556226213481</c:v>
                </c:pt>
                <c:pt idx="15">
                  <c:v>0.67584142967635552</c:v>
                </c:pt>
                <c:pt idx="16">
                  <c:v>0.67627291088399433</c:v>
                </c:pt>
                <c:pt idx="17">
                  <c:v>0.67377931124297652</c:v>
                </c:pt>
                <c:pt idx="18">
                  <c:v>0.68284892626973492</c:v>
                </c:pt>
                <c:pt idx="19">
                  <c:v>0.67709631315802965</c:v>
                </c:pt>
                <c:pt idx="20">
                  <c:v>0.68101070474239578</c:v>
                </c:pt>
                <c:pt idx="21">
                  <c:v>0.66129292510645044</c:v>
                </c:pt>
                <c:pt idx="22">
                  <c:v>0.65665896398564561</c:v>
                </c:pt>
                <c:pt idx="23">
                  <c:v>0.65383670426710039</c:v>
                </c:pt>
                <c:pt idx="24">
                  <c:v>0.6540823466675002</c:v>
                </c:pt>
                <c:pt idx="25">
                  <c:v>0.66537358121338963</c:v>
                </c:pt>
                <c:pt idx="26">
                  <c:v>0.66477499186824718</c:v>
                </c:pt>
                <c:pt idx="27">
                  <c:v>0.66128517734025805</c:v>
                </c:pt>
                <c:pt idx="28">
                  <c:v>0.65489158729323493</c:v>
                </c:pt>
                <c:pt idx="29">
                  <c:v>0.67080219311847045</c:v>
                </c:pt>
                <c:pt idx="30">
                  <c:v>0.67006570707165325</c:v>
                </c:pt>
                <c:pt idx="31">
                  <c:v>0.66203407772796841</c:v>
                </c:pt>
                <c:pt idx="32">
                  <c:v>0.65532991669078744</c:v>
                </c:pt>
                <c:pt idx="33">
                  <c:v>0.66122309121342582</c:v>
                </c:pt>
                <c:pt idx="34">
                  <c:v>0.65570880833323741</c:v>
                </c:pt>
                <c:pt idx="35">
                  <c:v>0.66153077000907323</c:v>
                </c:pt>
                <c:pt idx="36">
                  <c:v>0.656153290084588</c:v>
                </c:pt>
                <c:pt idx="37">
                  <c:v>0.6567258515474087</c:v>
                </c:pt>
                <c:pt idx="38">
                  <c:v>0.6205045527264943</c:v>
                </c:pt>
                <c:pt idx="39">
                  <c:v>0.61708472283752758</c:v>
                </c:pt>
                <c:pt idx="40">
                  <c:v>0.63799926529809781</c:v>
                </c:pt>
                <c:pt idx="41">
                  <c:v>0.62446115361305576</c:v>
                </c:pt>
                <c:pt idx="42">
                  <c:v>0.62207331711016978</c:v>
                </c:pt>
                <c:pt idx="43">
                  <c:v>0.62212113827269422</c:v>
                </c:pt>
                <c:pt idx="44">
                  <c:v>0.61867980588949767</c:v>
                </c:pt>
                <c:pt idx="45">
                  <c:v>0.62351434653716264</c:v>
                </c:pt>
                <c:pt idx="46">
                  <c:v>0.64163350199949887</c:v>
                </c:pt>
                <c:pt idx="47">
                  <c:v>0.62919798855397269</c:v>
                </c:pt>
                <c:pt idx="48">
                  <c:v>0.61468265238793618</c:v>
                </c:pt>
                <c:pt idx="49">
                  <c:v>0.61699510390625212</c:v>
                </c:pt>
                <c:pt idx="50">
                  <c:v>0.61248278790539668</c:v>
                </c:pt>
                <c:pt idx="51">
                  <c:v>0.60924854620154811</c:v>
                </c:pt>
                <c:pt idx="52">
                  <c:v>0.61349665217033766</c:v>
                </c:pt>
                <c:pt idx="53">
                  <c:v>0.61141868089416518</c:v>
                </c:pt>
                <c:pt idx="54">
                  <c:v>0.61110255737564856</c:v>
                </c:pt>
                <c:pt idx="55">
                  <c:v>0.61032675155098948</c:v>
                </c:pt>
                <c:pt idx="56">
                  <c:v>0.61481756311396474</c:v>
                </c:pt>
                <c:pt idx="57">
                  <c:v>0.6136588826895184</c:v>
                </c:pt>
                <c:pt idx="58">
                  <c:v>0.6009254136130695</c:v>
                </c:pt>
                <c:pt idx="59">
                  <c:v>0.59630094615014784</c:v>
                </c:pt>
                <c:pt idx="60">
                  <c:v>0.60187662773930206</c:v>
                </c:pt>
                <c:pt idx="61">
                  <c:v>0.61006332304181021</c:v>
                </c:pt>
                <c:pt idx="62">
                  <c:v>0.62299790043639447</c:v>
                </c:pt>
                <c:pt idx="63">
                  <c:v>0.61510126347087557</c:v>
                </c:pt>
                <c:pt idx="64">
                  <c:v>0.61958575773749691</c:v>
                </c:pt>
                <c:pt idx="65">
                  <c:v>0.60462904554351637</c:v>
                </c:pt>
                <c:pt idx="66">
                  <c:v>0.6007175542111779</c:v>
                </c:pt>
                <c:pt idx="67">
                  <c:v>0.59826676080980989</c:v>
                </c:pt>
                <c:pt idx="68">
                  <c:v>0.59509526953632008</c:v>
                </c:pt>
                <c:pt idx="69">
                  <c:v>0.58411974739975603</c:v>
                </c:pt>
                <c:pt idx="70">
                  <c:v>0.583589971004847</c:v>
                </c:pt>
                <c:pt idx="71">
                  <c:v>0.58124032868599718</c:v>
                </c:pt>
                <c:pt idx="72">
                  <c:v>0.59281089682192711</c:v>
                </c:pt>
                <c:pt idx="73">
                  <c:v>0.57680410698194262</c:v>
                </c:pt>
                <c:pt idx="74">
                  <c:v>0.59424659617913489</c:v>
                </c:pt>
                <c:pt idx="75">
                  <c:v>0.59698750620396945</c:v>
                </c:pt>
                <c:pt idx="76">
                  <c:v>0.61499431933961113</c:v>
                </c:pt>
                <c:pt idx="77">
                  <c:v>0.62750267442483132</c:v>
                </c:pt>
                <c:pt idx="78">
                  <c:v>0.64411699902461605</c:v>
                </c:pt>
                <c:pt idx="79">
                  <c:v>0.63843800970324005</c:v>
                </c:pt>
                <c:pt idx="80">
                  <c:v>0.63768754120176852</c:v>
                </c:pt>
                <c:pt idx="81">
                  <c:v>0.64526878622173978</c:v>
                </c:pt>
                <c:pt idx="82">
                  <c:v>0.64188955343431597</c:v>
                </c:pt>
                <c:pt idx="83">
                  <c:v>0.64557144178660208</c:v>
                </c:pt>
                <c:pt idx="84">
                  <c:v>0.64170166177746257</c:v>
                </c:pt>
                <c:pt idx="85">
                  <c:v>0.64728045282363444</c:v>
                </c:pt>
                <c:pt idx="86" formatCode="General">
                  <c:v>0</c:v>
                </c:pt>
                <c:pt idx="87">
                  <c:v>0.6543825885282526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F-4FDE-B6A5-6EC0E9FF2A71}"/>
            </c:ext>
          </c:extLst>
        </c:ser>
        <c:ser>
          <c:idx val="1"/>
          <c:order val="1"/>
          <c:tx>
            <c:strRef>
              <c:f>Composición!$C$1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996633"/>
            </a:solidFill>
            <a:ln w="25400">
              <a:noFill/>
            </a:ln>
          </c:spPr>
          <c:cat>
            <c:numRef>
              <c:f>Composición!$A$2:$A$89</c:f>
              <c:numCache>
                <c:formatCode>m/d/yyyy</c:formatCode>
                <c:ptCount val="88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  <c:pt idx="67">
                  <c:v>44804</c:v>
                </c:pt>
                <c:pt idx="68">
                  <c:v>44834</c:v>
                </c:pt>
                <c:pt idx="69">
                  <c:v>44865</c:v>
                </c:pt>
                <c:pt idx="70">
                  <c:v>44895</c:v>
                </c:pt>
                <c:pt idx="71">
                  <c:v>44926</c:v>
                </c:pt>
                <c:pt idx="72">
                  <c:v>44957</c:v>
                </c:pt>
                <c:pt idx="73">
                  <c:v>44985</c:v>
                </c:pt>
                <c:pt idx="74">
                  <c:v>45016</c:v>
                </c:pt>
                <c:pt idx="75">
                  <c:v>45046</c:v>
                </c:pt>
                <c:pt idx="76">
                  <c:v>45077</c:v>
                </c:pt>
                <c:pt idx="77">
                  <c:v>45107</c:v>
                </c:pt>
                <c:pt idx="78">
                  <c:v>45138</c:v>
                </c:pt>
                <c:pt idx="79">
                  <c:v>45169</c:v>
                </c:pt>
                <c:pt idx="80">
                  <c:v>45199</c:v>
                </c:pt>
                <c:pt idx="81">
                  <c:v>45230</c:v>
                </c:pt>
                <c:pt idx="82">
                  <c:v>45260</c:v>
                </c:pt>
                <c:pt idx="83">
                  <c:v>45291</c:v>
                </c:pt>
                <c:pt idx="84">
                  <c:v>45322</c:v>
                </c:pt>
                <c:pt idx="85">
                  <c:v>45350</c:v>
                </c:pt>
                <c:pt idx="87">
                  <c:v>45382</c:v>
                </c:pt>
              </c:numCache>
            </c:numRef>
          </c:cat>
          <c:val>
            <c:numRef>
              <c:f>Composición!$C$2:$C$89</c:f>
              <c:numCache>
                <c:formatCode>0.00%</c:formatCode>
                <c:ptCount val="88"/>
                <c:pt idx="0">
                  <c:v>0.35627629539881944</c:v>
                </c:pt>
                <c:pt idx="1">
                  <c:v>0.34811962412320463</c:v>
                </c:pt>
                <c:pt idx="2">
                  <c:v>0.34201865810558923</c:v>
                </c:pt>
                <c:pt idx="3">
                  <c:v>0.34500638475429046</c:v>
                </c:pt>
                <c:pt idx="4">
                  <c:v>0.34647475859597637</c:v>
                </c:pt>
                <c:pt idx="5">
                  <c:v>0.35689790683708633</c:v>
                </c:pt>
                <c:pt idx="6">
                  <c:v>0.34982662977584561</c:v>
                </c:pt>
                <c:pt idx="7">
                  <c:v>0.35026352794847532</c:v>
                </c:pt>
                <c:pt idx="8">
                  <c:v>0.34895422114434704</c:v>
                </c:pt>
                <c:pt idx="9">
                  <c:v>0.35237362483254703</c:v>
                </c:pt>
                <c:pt idx="10">
                  <c:v>0.35041885565472164</c:v>
                </c:pt>
                <c:pt idx="11">
                  <c:v>0.34609614021422236</c:v>
                </c:pt>
                <c:pt idx="12">
                  <c:v>0.33510734460044411</c:v>
                </c:pt>
                <c:pt idx="13">
                  <c:v>0.33128051563536987</c:v>
                </c:pt>
                <c:pt idx="14">
                  <c:v>0.32738443773786507</c:v>
                </c:pt>
                <c:pt idx="15">
                  <c:v>0.32415857032364442</c:v>
                </c:pt>
                <c:pt idx="16">
                  <c:v>0.32372708911600562</c:v>
                </c:pt>
                <c:pt idx="17">
                  <c:v>0.32622068875702342</c:v>
                </c:pt>
                <c:pt idx="18">
                  <c:v>0.31715107373026513</c:v>
                </c:pt>
                <c:pt idx="19">
                  <c:v>0.32290368684197041</c:v>
                </c:pt>
                <c:pt idx="20">
                  <c:v>0.31898929525760433</c:v>
                </c:pt>
                <c:pt idx="21">
                  <c:v>0.33870707489354951</c:v>
                </c:pt>
                <c:pt idx="22">
                  <c:v>0.34334103601435439</c:v>
                </c:pt>
                <c:pt idx="23">
                  <c:v>0.33710810145387121</c:v>
                </c:pt>
                <c:pt idx="24">
                  <c:v>0.3459176533324998</c:v>
                </c:pt>
                <c:pt idx="25">
                  <c:v>0.33462641878661042</c:v>
                </c:pt>
                <c:pt idx="26">
                  <c:v>0.33522500813175288</c:v>
                </c:pt>
                <c:pt idx="27">
                  <c:v>0.33871482265974201</c:v>
                </c:pt>
                <c:pt idx="28">
                  <c:v>0.34510841270676507</c:v>
                </c:pt>
                <c:pt idx="29">
                  <c:v>0.32919780688152955</c:v>
                </c:pt>
                <c:pt idx="30">
                  <c:v>0.32993429292834675</c:v>
                </c:pt>
                <c:pt idx="31">
                  <c:v>0.33796592227203165</c:v>
                </c:pt>
                <c:pt idx="32">
                  <c:v>0.3446700833092125</c:v>
                </c:pt>
                <c:pt idx="33">
                  <c:v>0.33877690878657429</c:v>
                </c:pt>
                <c:pt idx="34">
                  <c:v>0.34429119166676259</c:v>
                </c:pt>
                <c:pt idx="35">
                  <c:v>0.33846922999092682</c:v>
                </c:pt>
                <c:pt idx="36">
                  <c:v>0.34384670991541205</c:v>
                </c:pt>
                <c:pt idx="37">
                  <c:v>0.34327414845259119</c:v>
                </c:pt>
                <c:pt idx="38">
                  <c:v>0.37949544727350581</c:v>
                </c:pt>
                <c:pt idx="39">
                  <c:v>0.38291527716247226</c:v>
                </c:pt>
                <c:pt idx="40">
                  <c:v>0.36200073470190214</c:v>
                </c:pt>
                <c:pt idx="41">
                  <c:v>0.37553884638694429</c:v>
                </c:pt>
                <c:pt idx="42">
                  <c:v>0.37792668288983017</c:v>
                </c:pt>
                <c:pt idx="43">
                  <c:v>0.37787886172730595</c:v>
                </c:pt>
                <c:pt idx="44">
                  <c:v>0.38132019411050233</c:v>
                </c:pt>
                <c:pt idx="45">
                  <c:v>0.37648565346283741</c:v>
                </c:pt>
                <c:pt idx="46">
                  <c:v>0.35836649800050113</c:v>
                </c:pt>
                <c:pt idx="47">
                  <c:v>0.37080201144602742</c:v>
                </c:pt>
                <c:pt idx="48">
                  <c:v>0.38531734761206371</c:v>
                </c:pt>
                <c:pt idx="49">
                  <c:v>0.38300489609374794</c:v>
                </c:pt>
                <c:pt idx="50">
                  <c:v>0.38751721209460332</c:v>
                </c:pt>
                <c:pt idx="51">
                  <c:v>0.39075145379845183</c:v>
                </c:pt>
                <c:pt idx="52">
                  <c:v>0.38650334782966228</c:v>
                </c:pt>
                <c:pt idx="53">
                  <c:v>0.38858131910583477</c:v>
                </c:pt>
                <c:pt idx="54">
                  <c:v>0.38889744262435144</c:v>
                </c:pt>
                <c:pt idx="55">
                  <c:v>0.38967324844901047</c:v>
                </c:pt>
                <c:pt idx="56">
                  <c:v>0.38518243688603526</c:v>
                </c:pt>
                <c:pt idx="57">
                  <c:v>0.3863411173104816</c:v>
                </c:pt>
                <c:pt idx="58">
                  <c:v>0.39907458638693</c:v>
                </c:pt>
                <c:pt idx="59">
                  <c:v>0.40369905384985211</c:v>
                </c:pt>
                <c:pt idx="60">
                  <c:v>0.39812337226069788</c:v>
                </c:pt>
                <c:pt idx="61">
                  <c:v>0.38993667695818979</c:v>
                </c:pt>
                <c:pt idx="62">
                  <c:v>0.37700209956360553</c:v>
                </c:pt>
                <c:pt idx="63">
                  <c:v>0.38489873652912437</c:v>
                </c:pt>
                <c:pt idx="64">
                  <c:v>0.38041424226250314</c:v>
                </c:pt>
                <c:pt idx="65">
                  <c:v>0.39537095445648368</c:v>
                </c:pt>
                <c:pt idx="66">
                  <c:v>0.39928244578882205</c:v>
                </c:pt>
                <c:pt idx="67">
                  <c:v>0.40173323919019016</c:v>
                </c:pt>
                <c:pt idx="68">
                  <c:v>0.40490473046367992</c:v>
                </c:pt>
                <c:pt idx="69">
                  <c:v>0.41588025260024397</c:v>
                </c:pt>
                <c:pt idx="70">
                  <c:v>0.41641002899515306</c:v>
                </c:pt>
                <c:pt idx="71">
                  <c:v>0.41875967131400277</c:v>
                </c:pt>
                <c:pt idx="72">
                  <c:v>0.40718910317807289</c:v>
                </c:pt>
                <c:pt idx="73">
                  <c:v>0.42319589301805732</c:v>
                </c:pt>
                <c:pt idx="74">
                  <c:v>0.40575340382086517</c:v>
                </c:pt>
                <c:pt idx="75">
                  <c:v>0.40301249379603055</c:v>
                </c:pt>
                <c:pt idx="76">
                  <c:v>0.38500568066038893</c:v>
                </c:pt>
                <c:pt idx="77">
                  <c:v>0.37249732557516863</c:v>
                </c:pt>
                <c:pt idx="78">
                  <c:v>0.35588300097538383</c:v>
                </c:pt>
                <c:pt idx="79">
                  <c:v>0.36156199029675989</c:v>
                </c:pt>
                <c:pt idx="80">
                  <c:v>0.36231245879823148</c:v>
                </c:pt>
                <c:pt idx="81">
                  <c:v>0.35473121377826022</c:v>
                </c:pt>
                <c:pt idx="82">
                  <c:v>0.35811044656568408</c:v>
                </c:pt>
                <c:pt idx="83">
                  <c:v>0.35442855821339803</c:v>
                </c:pt>
                <c:pt idx="84">
                  <c:v>0.35829833822253737</c:v>
                </c:pt>
                <c:pt idx="85">
                  <c:v>0.35271954717636556</c:v>
                </c:pt>
                <c:pt idx="86" formatCode="General">
                  <c:v>0</c:v>
                </c:pt>
                <c:pt idx="87">
                  <c:v>0.34561741147174746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F-4FDE-B6A5-6EC0E9FF2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570080"/>
        <c:axId val="1"/>
      </c:areaChart>
      <c:dateAx>
        <c:axId val="70957008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CO"/>
          </a:p>
        </c:txPr>
        <c:crossAx val="70957008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327693847591085"/>
          <c:y val="0.89567986610369354"/>
          <c:w val="0.66810000444859652"/>
          <c:h val="0.959449807904446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CO"/>
              <a:t>Composición deuda al 31 de marzo de 2024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Composición!$A$89</c:f>
              <c:strCache>
                <c:ptCount val="1"/>
                <c:pt idx="0">
                  <c:v>31/03/2024</c:v>
                </c:pt>
              </c:strCache>
            </c:strRef>
          </c:tx>
          <c:dPt>
            <c:idx val="0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7855-46FF-B010-EA8990309A54}"/>
              </c:ext>
            </c:extLst>
          </c:dPt>
          <c:dPt>
            <c:idx val="1"/>
            <c:bubble3D val="0"/>
            <c:spPr>
              <a:solidFill>
                <a:srgbClr val="CC99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55-46FF-B010-EA8990309A54}"/>
              </c:ext>
            </c:extLst>
          </c:dPt>
          <c:cat>
            <c:strRef>
              <c:f>Composición!$B$88:$C$88</c:f>
              <c:strCache>
                <c:ptCount val="2"/>
                <c:pt idx="0">
                  <c:v>Deuda interna</c:v>
                </c:pt>
                <c:pt idx="1">
                  <c:v>Deuda externa</c:v>
                </c:pt>
              </c:strCache>
            </c:strRef>
          </c:cat>
          <c:val>
            <c:numRef>
              <c:f>Composición!$B$89:$C$89</c:f>
              <c:numCache>
                <c:formatCode>0.00%</c:formatCode>
                <c:ptCount val="2"/>
                <c:pt idx="0">
                  <c:v>0.6543825885282526</c:v>
                </c:pt>
                <c:pt idx="1">
                  <c:v>0.34561741147174746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55-46FF-B010-EA8990309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8541265675123945"/>
          <c:y val="0.8750274046626525"/>
          <c:w val="0.72333579217630484"/>
          <c:h val="0.9559124594719777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3C3C3C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'Fuente - interna'!$B$20</c:f>
          <c:strCache>
            <c:ptCount val="1"/>
            <c:pt idx="0">
              <c:v>Composición por fuente - deuda interna</c:v>
            </c:pt>
          </c:strCache>
        </c:strRef>
      </c:tx>
      <c:layout>
        <c:manualLayout>
          <c:xMode val="edge"/>
          <c:yMode val="edge"/>
          <c:x val="0.14973818609423456"/>
          <c:y val="3.206868507633729E-2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3464308309879242"/>
          <c:y val="0.18028169014084508"/>
          <c:w val="0.6156375374905585"/>
          <c:h val="0.73530516431924886"/>
        </c:manualLayout>
      </c:layout>
      <c:areaChart>
        <c:grouping val="percentStacked"/>
        <c:varyColors val="0"/>
        <c:ser>
          <c:idx val="0"/>
          <c:order val="0"/>
          <c:tx>
            <c:strRef>
              <c:f>'Fuente - interna'!$B$22</c:f>
              <c:strCache>
                <c:ptCount val="1"/>
                <c:pt idx="0">
                  <c:v>TES</c:v>
                </c:pt>
              </c:strCache>
            </c:strRef>
          </c:tx>
          <c:spPr>
            <a:solidFill>
              <a:srgbClr val="B48C41"/>
            </a:solidFill>
          </c:spPr>
          <c:cat>
            <c:numRef>
              <c:f>'Fuente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interna'!$B$114:$B$305</c:f>
              <c:numCache>
                <c:formatCode>0.00%</c:formatCode>
                <c:ptCount val="192"/>
                <c:pt idx="0">
                  <c:v>0.93914825093335264</c:v>
                </c:pt>
                <c:pt idx="1">
                  <c:v>0.94104411745430772</c:v>
                </c:pt>
                <c:pt idx="2">
                  <c:v>0.94281727232474843</c:v>
                </c:pt>
                <c:pt idx="3">
                  <c:v>0.94409202114321844</c:v>
                </c:pt>
                <c:pt idx="4">
                  <c:v>0.94361814253857845</c:v>
                </c:pt>
                <c:pt idx="5">
                  <c:v>0.945160561029733</c:v>
                </c:pt>
                <c:pt idx="6">
                  <c:v>0.94430220155698497</c:v>
                </c:pt>
                <c:pt idx="7">
                  <c:v>0.93014862419507294</c:v>
                </c:pt>
                <c:pt idx="8">
                  <c:v>0.94624557477031335</c:v>
                </c:pt>
                <c:pt idx="9">
                  <c:v>0.93462358849426175</c:v>
                </c:pt>
                <c:pt idx="10">
                  <c:v>0.90713663783339804</c:v>
                </c:pt>
                <c:pt idx="11">
                  <c:v>0.9061317194609968</c:v>
                </c:pt>
                <c:pt idx="12">
                  <c:v>0.91762377029967801</c:v>
                </c:pt>
                <c:pt idx="13">
                  <c:v>0.91061676882469844</c:v>
                </c:pt>
                <c:pt idx="14">
                  <c:v>0.92759232620646037</c:v>
                </c:pt>
                <c:pt idx="15">
                  <c:v>0.9420558586348442</c:v>
                </c:pt>
                <c:pt idx="16">
                  <c:v>0.96153404627131689</c:v>
                </c:pt>
                <c:pt idx="17">
                  <c:v>0.96042479213790866</c:v>
                </c:pt>
                <c:pt idx="18">
                  <c:v>0.96346668041818717</c:v>
                </c:pt>
                <c:pt idx="19">
                  <c:v>0.96438317411353203</c:v>
                </c:pt>
                <c:pt idx="20">
                  <c:v>0.96614776256633428</c:v>
                </c:pt>
                <c:pt idx="21">
                  <c:v>0.96758192143239818</c:v>
                </c:pt>
                <c:pt idx="22">
                  <c:v>0.94762775023047618</c:v>
                </c:pt>
                <c:pt idx="23">
                  <c:v>0.91513364848315271</c:v>
                </c:pt>
                <c:pt idx="24">
                  <c:v>0.96345299428913866</c:v>
                </c:pt>
                <c:pt idx="25">
                  <c:v>0.96552447227503735</c:v>
                </c:pt>
                <c:pt idx="26">
                  <c:v>0.97027588669322051</c:v>
                </c:pt>
                <c:pt idx="27">
                  <c:v>0.97120210474282531</c:v>
                </c:pt>
                <c:pt idx="28">
                  <c:v>0.97112556125480554</c:v>
                </c:pt>
                <c:pt idx="29">
                  <c:v>0.97144430759773082</c:v>
                </c:pt>
                <c:pt idx="30">
                  <c:v>0.97206649619808061</c:v>
                </c:pt>
                <c:pt idx="31">
                  <c:v>0.97275564980409368</c:v>
                </c:pt>
                <c:pt idx="32">
                  <c:v>0.97300670620097673</c:v>
                </c:pt>
                <c:pt idx="33">
                  <c:v>0.97391358675212769</c:v>
                </c:pt>
                <c:pt idx="34">
                  <c:v>0.97348198536872743</c:v>
                </c:pt>
                <c:pt idx="35">
                  <c:v>0.96172469904204205</c:v>
                </c:pt>
                <c:pt idx="36">
                  <c:v>0.97470034093780589</c:v>
                </c:pt>
                <c:pt idx="37">
                  <c:v>0.97532467806605561</c:v>
                </c:pt>
                <c:pt idx="38">
                  <c:v>0.97561403800650981</c:v>
                </c:pt>
                <c:pt idx="39">
                  <c:v>0.97590597457220607</c:v>
                </c:pt>
                <c:pt idx="40">
                  <c:v>0.97623400088554013</c:v>
                </c:pt>
                <c:pt idx="41">
                  <c:v>0.97668257893282373</c:v>
                </c:pt>
                <c:pt idx="42">
                  <c:v>0.97733866095193878</c:v>
                </c:pt>
                <c:pt idx="43">
                  <c:v>0.97699206498070634</c:v>
                </c:pt>
                <c:pt idx="44">
                  <c:v>0.97795871609789564</c:v>
                </c:pt>
                <c:pt idx="45">
                  <c:v>0.97881348937707535</c:v>
                </c:pt>
                <c:pt idx="46">
                  <c:v>0.97906000657653824</c:v>
                </c:pt>
                <c:pt idx="47">
                  <c:v>0.95804771370156061</c:v>
                </c:pt>
                <c:pt idx="48">
                  <c:v>0.98048196806572097</c:v>
                </c:pt>
                <c:pt idx="49">
                  <c:v>0.98129200798694749</c:v>
                </c:pt>
                <c:pt idx="50">
                  <c:v>0.95522808826055805</c:v>
                </c:pt>
                <c:pt idx="51">
                  <c:v>0.97416814441085364</c:v>
                </c:pt>
                <c:pt idx="52">
                  <c:v>0.98218790746811468</c:v>
                </c:pt>
                <c:pt idx="53">
                  <c:v>0.9827456210718255</c:v>
                </c:pt>
                <c:pt idx="54">
                  <c:v>0.98343195965983665</c:v>
                </c:pt>
                <c:pt idx="55">
                  <c:v>0.98411178885510997</c:v>
                </c:pt>
                <c:pt idx="56">
                  <c:v>0.98490272180006289</c:v>
                </c:pt>
                <c:pt idx="57">
                  <c:v>0.98566647811916941</c:v>
                </c:pt>
                <c:pt idx="58">
                  <c:v>0.9806531599225583</c:v>
                </c:pt>
                <c:pt idx="59">
                  <c:v>0.95279015130025368</c:v>
                </c:pt>
                <c:pt idx="60">
                  <c:v>0.9863623188653603</c:v>
                </c:pt>
                <c:pt idx="61">
                  <c:v>0.98150512795146583</c:v>
                </c:pt>
                <c:pt idx="62">
                  <c:v>0.9804917383426397</c:v>
                </c:pt>
                <c:pt idx="63">
                  <c:v>0.98841820833351268</c:v>
                </c:pt>
                <c:pt idx="64">
                  <c:v>0.98825788046497287</c:v>
                </c:pt>
                <c:pt idx="65">
                  <c:v>0.97350784403143353</c:v>
                </c:pt>
                <c:pt idx="66">
                  <c:v>0.97696518528763077</c:v>
                </c:pt>
                <c:pt idx="67">
                  <c:v>0.98184424356212074</c:v>
                </c:pt>
                <c:pt idx="68">
                  <c:v>0.96269846295393013</c:v>
                </c:pt>
                <c:pt idx="69">
                  <c:v>0.95041741188978057</c:v>
                </c:pt>
                <c:pt idx="70">
                  <c:v>0.96925462852768607</c:v>
                </c:pt>
                <c:pt idx="71">
                  <c:v>0.9638952337912664</c:v>
                </c:pt>
                <c:pt idx="72">
                  <c:v>0.99294672704259024</c:v>
                </c:pt>
                <c:pt idx="73">
                  <c:v>0.96702360339701399</c:v>
                </c:pt>
                <c:pt idx="74">
                  <c:v>0.9770504574893466</c:v>
                </c:pt>
                <c:pt idx="75">
                  <c:v>0.992904409550731</c:v>
                </c:pt>
                <c:pt idx="76">
                  <c:v>0.96678604085166153</c:v>
                </c:pt>
                <c:pt idx="77">
                  <c:v>0.99498267015160635</c:v>
                </c:pt>
                <c:pt idx="78">
                  <c:v>0.99527712131415047</c:v>
                </c:pt>
                <c:pt idx="79">
                  <c:v>0.99437120262677925</c:v>
                </c:pt>
                <c:pt idx="80">
                  <c:v>0.96321007425564775</c:v>
                </c:pt>
                <c:pt idx="81">
                  <c:v>0.96176861792260926</c:v>
                </c:pt>
                <c:pt idx="82">
                  <c:v>0.96095794345423069</c:v>
                </c:pt>
                <c:pt idx="83">
                  <c:v>0.9425015598970703</c:v>
                </c:pt>
                <c:pt idx="84">
                  <c:v>0.95617218060566589</c:v>
                </c:pt>
                <c:pt idx="85">
                  <c:v>0.95323757998263892</c:v>
                </c:pt>
                <c:pt idx="86">
                  <c:v>0.96007983824724796</c:v>
                </c:pt>
                <c:pt idx="87">
                  <c:v>0.96326448244240803</c:v>
                </c:pt>
                <c:pt idx="88">
                  <c:v>0.95795374075629214</c:v>
                </c:pt>
                <c:pt idx="89">
                  <c:v>0.9417551943445639</c:v>
                </c:pt>
                <c:pt idx="90">
                  <c:v>0.94306690841422547</c:v>
                </c:pt>
                <c:pt idx="91">
                  <c:v>0.94901153991229514</c:v>
                </c:pt>
                <c:pt idx="92">
                  <c:v>0.94955903011503684</c:v>
                </c:pt>
                <c:pt idx="93">
                  <c:v>0.94602270297372038</c:v>
                </c:pt>
                <c:pt idx="94">
                  <c:v>0.94665667191784442</c:v>
                </c:pt>
                <c:pt idx="95">
                  <c:v>0.94774099283094304</c:v>
                </c:pt>
                <c:pt idx="96">
                  <c:v>0.96326170065362071</c:v>
                </c:pt>
                <c:pt idx="97">
                  <c:v>0.9652909505204631</c:v>
                </c:pt>
                <c:pt idx="98">
                  <c:v>0.95752927517097697</c:v>
                </c:pt>
                <c:pt idx="99">
                  <c:v>0.96969705127132022</c:v>
                </c:pt>
                <c:pt idx="100">
                  <c:v>0.96937466134936368</c:v>
                </c:pt>
                <c:pt idx="101">
                  <c:v>0.9690788205018519</c:v>
                </c:pt>
                <c:pt idx="102">
                  <c:v>0.96460563470051086</c:v>
                </c:pt>
                <c:pt idx="103">
                  <c:v>0.9652432595780176</c:v>
                </c:pt>
                <c:pt idx="104">
                  <c:v>0.96547296173724628</c:v>
                </c:pt>
                <c:pt idx="105">
                  <c:v>0.96564765269690167</c:v>
                </c:pt>
                <c:pt idx="106">
                  <c:v>0.96605698633343995</c:v>
                </c:pt>
                <c:pt idx="107">
                  <c:v>0.94687902904469767</c:v>
                </c:pt>
                <c:pt idx="108">
                  <c:v>0.95193405853624413</c:v>
                </c:pt>
                <c:pt idx="109">
                  <c:v>0.9515292208157895</c:v>
                </c:pt>
                <c:pt idx="110">
                  <c:v>0.95317102813559496</c:v>
                </c:pt>
                <c:pt idx="111">
                  <c:v>0.95011913847686991</c:v>
                </c:pt>
                <c:pt idx="112">
                  <c:v>0.95269581386732383</c:v>
                </c:pt>
                <c:pt idx="113">
                  <c:v>0.95316469724327069</c:v>
                </c:pt>
                <c:pt idx="114">
                  <c:v>0.95233564840378426</c:v>
                </c:pt>
                <c:pt idx="115">
                  <c:v>0.95455103940204578</c:v>
                </c:pt>
                <c:pt idx="116">
                  <c:v>0.95503634478162802</c:v>
                </c:pt>
                <c:pt idx="117">
                  <c:v>0.95774404274388525</c:v>
                </c:pt>
                <c:pt idx="118">
                  <c:v>0.95741782107652829</c:v>
                </c:pt>
                <c:pt idx="119">
                  <c:v>0.94667619672502301</c:v>
                </c:pt>
                <c:pt idx="120">
                  <c:v>0.9500903985551995</c:v>
                </c:pt>
                <c:pt idx="121">
                  <c:v>0.9510323160173384</c:v>
                </c:pt>
                <c:pt idx="122">
                  <c:v>0.95154513930902496</c:v>
                </c:pt>
                <c:pt idx="123">
                  <c:v>0.95160746352149339</c:v>
                </c:pt>
                <c:pt idx="124">
                  <c:v>0.95162732746623924</c:v>
                </c:pt>
                <c:pt idx="125">
                  <c:v>0.95029610904182238</c:v>
                </c:pt>
                <c:pt idx="126">
                  <c:v>0.94153800557363221</c:v>
                </c:pt>
                <c:pt idx="127">
                  <c:v>0.94197759423556249</c:v>
                </c:pt>
                <c:pt idx="128">
                  <c:v>0.93812545934511804</c:v>
                </c:pt>
                <c:pt idx="129">
                  <c:v>0.93825599879542876</c:v>
                </c:pt>
                <c:pt idx="130">
                  <c:v>0.93881472658073328</c:v>
                </c:pt>
                <c:pt idx="131">
                  <c:v>0.94291624434200694</c:v>
                </c:pt>
                <c:pt idx="132">
                  <c:v>0.91433198548901684</c:v>
                </c:pt>
                <c:pt idx="133">
                  <c:v>0.91847972499690511</c:v>
                </c:pt>
                <c:pt idx="134">
                  <c:v>0.91551289517711454</c:v>
                </c:pt>
                <c:pt idx="135">
                  <c:v>0.93037229487532624</c:v>
                </c:pt>
                <c:pt idx="136">
                  <c:v>0.92220710596598932</c:v>
                </c:pt>
                <c:pt idx="137">
                  <c:v>0.92390864447093557</c:v>
                </c:pt>
                <c:pt idx="138">
                  <c:v>0.92073907882258532</c:v>
                </c:pt>
                <c:pt idx="139">
                  <c:v>0.91992249923524283</c:v>
                </c:pt>
                <c:pt idx="140">
                  <c:v>0.91993197864678211</c:v>
                </c:pt>
                <c:pt idx="141">
                  <c:v>0.9200705519198199</c:v>
                </c:pt>
                <c:pt idx="142">
                  <c:v>0.89168215019506936</c:v>
                </c:pt>
                <c:pt idx="143">
                  <c:v>0.89202756287064533</c:v>
                </c:pt>
                <c:pt idx="144">
                  <c:v>0.90870740227815328</c:v>
                </c:pt>
                <c:pt idx="145">
                  <c:v>0.90513877103942941</c:v>
                </c:pt>
                <c:pt idx="146">
                  <c:v>0.89656479967079561</c:v>
                </c:pt>
                <c:pt idx="147">
                  <c:v>0.8965661252080539</c:v>
                </c:pt>
                <c:pt idx="148">
                  <c:v>0.89819799054722349</c:v>
                </c:pt>
                <c:pt idx="149">
                  <c:v>0.90071907769397919</c:v>
                </c:pt>
                <c:pt idx="150">
                  <c:v>0.89955684124802193</c:v>
                </c:pt>
                <c:pt idx="151">
                  <c:v>0.91277150231574311</c:v>
                </c:pt>
                <c:pt idx="152">
                  <c:v>0.91634167281860646</c:v>
                </c:pt>
                <c:pt idx="153">
                  <c:v>0.91789394366523624</c:v>
                </c:pt>
                <c:pt idx="154">
                  <c:v>0.9202932900694788</c:v>
                </c:pt>
                <c:pt idx="155">
                  <c:v>0.92120205312058034</c:v>
                </c:pt>
                <c:pt idx="156">
                  <c:v>0.91381398776862943</c:v>
                </c:pt>
                <c:pt idx="157">
                  <c:v>0.91541873790981931</c:v>
                </c:pt>
                <c:pt idx="158">
                  <c:v>0.91514437389430026</c:v>
                </c:pt>
                <c:pt idx="159">
                  <c:v>0.91445510898591498</c:v>
                </c:pt>
                <c:pt idx="160">
                  <c:v>0.89552600047400499</c:v>
                </c:pt>
                <c:pt idx="161">
                  <c:v>0.91443874113850365</c:v>
                </c:pt>
                <c:pt idx="162">
                  <c:v>0.91159473401322089</c:v>
                </c:pt>
                <c:pt idx="163">
                  <c:v>0.91423640386217941</c:v>
                </c:pt>
                <c:pt idx="164">
                  <c:v>0.91282901178829357</c:v>
                </c:pt>
                <c:pt idx="165">
                  <c:v>0.90912953384428241</c:v>
                </c:pt>
                <c:pt idx="166">
                  <c:v>0.90945740348763637</c:v>
                </c:pt>
                <c:pt idx="167">
                  <c:v>0.88830972739723213</c:v>
                </c:pt>
                <c:pt idx="168">
                  <c:v>0.8918935499527314</c:v>
                </c:pt>
                <c:pt idx="169">
                  <c:v>0.88997514810083311</c:v>
                </c:pt>
                <c:pt idx="170">
                  <c:v>0.88347350757957066</c:v>
                </c:pt>
                <c:pt idx="171">
                  <c:v>0.87906771312717302</c:v>
                </c:pt>
                <c:pt idx="172">
                  <c:v>0.88154633047548403</c:v>
                </c:pt>
                <c:pt idx="173">
                  <c:v>0.88456346991144508</c:v>
                </c:pt>
                <c:pt idx="174">
                  <c:v>0.88607052761250338</c:v>
                </c:pt>
                <c:pt idx="175">
                  <c:v>0.88558764515390209</c:v>
                </c:pt>
                <c:pt idx="176">
                  <c:v>0.8946652443028229</c:v>
                </c:pt>
                <c:pt idx="177">
                  <c:v>0.88039303993892459</c:v>
                </c:pt>
                <c:pt idx="178">
                  <c:v>0.88024170933244794</c:v>
                </c:pt>
                <c:pt idx="179">
                  <c:v>0.89043392829834223</c:v>
                </c:pt>
                <c:pt idx="180">
                  <c:v>0.89552501714691757</c:v>
                </c:pt>
                <c:pt idx="181">
                  <c:v>0.88302678967868897</c:v>
                </c:pt>
                <c:pt idx="182">
                  <c:v>0.88922324416050347</c:v>
                </c:pt>
                <c:pt idx="183">
                  <c:v>0.88412280072552374</c:v>
                </c:pt>
                <c:pt idx="184">
                  <c:v>0.88665979066617628</c:v>
                </c:pt>
                <c:pt idx="185">
                  <c:v>0.88919716701084428</c:v>
                </c:pt>
                <c:pt idx="186">
                  <c:v>0.88931471132355822</c:v>
                </c:pt>
                <c:pt idx="187">
                  <c:v>0.89093537915429533</c:v>
                </c:pt>
                <c:pt idx="188">
                  <c:v>0.89251038551235573</c:v>
                </c:pt>
                <c:pt idx="189">
                  <c:v>0.89316838820569644</c:v>
                </c:pt>
                <c:pt idx="190">
                  <c:v>0.89203134471578649</c:v>
                </c:pt>
                <c:pt idx="191">
                  <c:v>0.87968578060309299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D-4820-917C-2EC9C8DE6A08}"/>
            </c:ext>
          </c:extLst>
        </c:ser>
        <c:ser>
          <c:idx val="1"/>
          <c:order val="1"/>
          <c:tx>
            <c:strRef>
              <c:f>'Fuente - interna'!$C$22</c:f>
              <c:strCache>
                <c:ptCount val="1"/>
                <c:pt idx="0">
                  <c:v>Bonos Fogafin</c:v>
                </c:pt>
              </c:strCache>
            </c:strRef>
          </c:tx>
          <c:spPr>
            <a:solidFill>
              <a:srgbClr val="193A61"/>
            </a:solidFill>
          </c:spPr>
          <c:cat>
            <c:numRef>
              <c:f>'Fuente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interna'!$C$100:$C$220</c:f>
            </c:numRef>
          </c:val>
          <c:extLst>
            <c:ext xmlns:c16="http://schemas.microsoft.com/office/drawing/2014/chart" uri="{C3380CC4-5D6E-409C-BE32-E72D297353CC}">
              <c16:uniqueId val="{00000001-207D-4820-917C-2EC9C8DE6A08}"/>
            </c:ext>
          </c:extLst>
        </c:ser>
        <c:ser>
          <c:idx val="2"/>
          <c:order val="2"/>
          <c:tx>
            <c:strRef>
              <c:f>'Fuente - interna'!$D$22</c:f>
              <c:strCache>
                <c:ptCount val="1"/>
                <c:pt idx="0">
                  <c:v>Bonos Ley 546/99 </c:v>
                </c:pt>
              </c:strCache>
            </c:strRef>
          </c:tx>
          <c:spPr>
            <a:solidFill>
              <a:srgbClr val="C5A15F"/>
            </a:solidFill>
            <a:ln w="25400">
              <a:noFill/>
            </a:ln>
          </c:spPr>
          <c:cat>
            <c:numRef>
              <c:f>'Fuente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interna'!$D$114:$D$303</c:f>
              <c:numCache>
                <c:formatCode>0.00%</c:formatCode>
                <c:ptCount val="190"/>
                <c:pt idx="0">
                  <c:v>5.1029411967126806E-3</c:v>
                </c:pt>
                <c:pt idx="1">
                  <c:v>5.0340192661588422E-3</c:v>
                </c:pt>
                <c:pt idx="2">
                  <c:v>4.2139879366285913E-3</c:v>
                </c:pt>
                <c:pt idx="3">
                  <c:v>3.7864292302633939E-3</c:v>
                </c:pt>
                <c:pt idx="4">
                  <c:v>3.4718506909287884E-3</c:v>
                </c:pt>
                <c:pt idx="5">
                  <c:v>3.0595747549858146E-3</c:v>
                </c:pt>
                <c:pt idx="6">
                  <c:v>2.7610688571596412E-3</c:v>
                </c:pt>
                <c:pt idx="7">
                  <c:v>2.3062892834474938E-3</c:v>
                </c:pt>
                <c:pt idx="8">
                  <c:v>1.924342203555726E-3</c:v>
                </c:pt>
                <c:pt idx="9">
                  <c:v>1.5105326692241962E-3</c:v>
                </c:pt>
                <c:pt idx="10">
                  <c:v>1.0948230064703444E-3</c:v>
                </c:pt>
                <c:pt idx="11">
                  <c:v>7.2758077509798105E-4</c:v>
                </c:pt>
                <c:pt idx="12">
                  <c:v>3.5952454507723005E-4</c:v>
                </c:pt>
                <c:pt idx="13">
                  <c:v>3.5838225080893577E-4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7D-4820-917C-2EC9C8DE6A08}"/>
            </c:ext>
          </c:extLst>
        </c:ser>
        <c:ser>
          <c:idx val="3"/>
          <c:order val="3"/>
          <c:tx>
            <c:strRef>
              <c:f>'Fuente - interna'!$E$22</c:f>
              <c:strCache>
                <c:ptCount val="1"/>
                <c:pt idx="0">
                  <c:v>Títulos de reducción de deuda</c:v>
                </c:pt>
              </c:strCache>
            </c:strRef>
          </c:tx>
          <c:spPr>
            <a:solidFill>
              <a:srgbClr val="CFB17B"/>
            </a:solidFill>
            <a:ln w="25400">
              <a:noFill/>
            </a:ln>
          </c:spPr>
          <c:cat>
            <c:numRef>
              <c:f>'Fuente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interna'!$E$114:$E$303</c:f>
              <c:numCache>
                <c:formatCode>0.00%</c:formatCode>
                <c:ptCount val="190"/>
                <c:pt idx="0">
                  <c:v>3.7973741147205468E-2</c:v>
                </c:pt>
                <c:pt idx="1">
                  <c:v>3.7463019233606808E-2</c:v>
                </c:pt>
                <c:pt idx="2">
                  <c:v>3.6896977912316879E-2</c:v>
                </c:pt>
                <c:pt idx="3">
                  <c:v>3.638766910549647E-2</c:v>
                </c:pt>
                <c:pt idx="4">
                  <c:v>3.6990891934065767E-2</c:v>
                </c:pt>
                <c:pt idx="5">
                  <c:v>3.6592716748575518E-2</c:v>
                </c:pt>
                <c:pt idx="6">
                  <c:v>3.7655425723201907E-2</c:v>
                </c:pt>
                <c:pt idx="7">
                  <c:v>3.6637285965742297E-2</c:v>
                </c:pt>
                <c:pt idx="8">
                  <c:v>3.6601928925675035E-2</c:v>
                </c:pt>
                <c:pt idx="9">
                  <c:v>3.5834926879252306E-2</c:v>
                </c:pt>
                <c:pt idx="10">
                  <c:v>3.4551066234624304E-2</c:v>
                </c:pt>
                <c:pt idx="11">
                  <c:v>3.4365328830491926E-2</c:v>
                </c:pt>
                <c:pt idx="12">
                  <c:v>3.3803974474371112E-2</c:v>
                </c:pt>
                <c:pt idx="13">
                  <c:v>3.3696571275295101E-2</c:v>
                </c:pt>
                <c:pt idx="14">
                  <c:v>3.287160013324144E-2</c:v>
                </c:pt>
                <c:pt idx="15">
                  <c:v>3.296988093783635E-2</c:v>
                </c:pt>
                <c:pt idx="16">
                  <c:v>3.2172944245723201E-2</c:v>
                </c:pt>
                <c:pt idx="17">
                  <c:v>3.1388556725198961E-2</c:v>
                </c:pt>
                <c:pt idx="18">
                  <c:v>3.047106642786282E-2</c:v>
                </c:pt>
                <c:pt idx="19">
                  <c:v>2.9416995340840378E-2</c:v>
                </c:pt>
                <c:pt idx="20">
                  <c:v>2.9454084712594527E-2</c:v>
                </c:pt>
                <c:pt idx="21">
                  <c:v>2.8567626969181612E-2</c:v>
                </c:pt>
                <c:pt idx="22">
                  <c:v>2.7919100675790804E-2</c:v>
                </c:pt>
                <c:pt idx="23">
                  <c:v>2.633497434467573E-2</c:v>
                </c:pt>
                <c:pt idx="24">
                  <c:v>3.1235103923187527E-2</c:v>
                </c:pt>
                <c:pt idx="25">
                  <c:v>3.0589681630586299E-2</c:v>
                </c:pt>
                <c:pt idx="26">
                  <c:v>2.5869320290901748E-2</c:v>
                </c:pt>
                <c:pt idx="27">
                  <c:v>2.4977887770789863E-2</c:v>
                </c:pt>
                <c:pt idx="28">
                  <c:v>2.5516043537682918E-2</c:v>
                </c:pt>
                <c:pt idx="29">
                  <c:v>2.5063901552208286E-2</c:v>
                </c:pt>
                <c:pt idx="30">
                  <c:v>2.4381422682338741E-2</c:v>
                </c:pt>
                <c:pt idx="31">
                  <c:v>2.3568365561905953E-2</c:v>
                </c:pt>
                <c:pt idx="32">
                  <c:v>2.3110687577372752E-2</c:v>
                </c:pt>
                <c:pt idx="33">
                  <c:v>2.2530180215671835E-2</c:v>
                </c:pt>
                <c:pt idx="34">
                  <c:v>2.2471641985311111E-2</c:v>
                </c:pt>
                <c:pt idx="35">
                  <c:v>2.210868294852554E-2</c:v>
                </c:pt>
                <c:pt idx="36">
                  <c:v>2.1159932851663722E-2</c:v>
                </c:pt>
                <c:pt idx="37">
                  <c:v>2.0482171982945607E-2</c:v>
                </c:pt>
                <c:pt idx="38">
                  <c:v>2.0190187768205654E-2</c:v>
                </c:pt>
                <c:pt idx="39">
                  <c:v>1.9896610690937941E-2</c:v>
                </c:pt>
                <c:pt idx="40">
                  <c:v>1.9551704161285637E-2</c:v>
                </c:pt>
                <c:pt idx="41">
                  <c:v>1.9130884635420082E-2</c:v>
                </c:pt>
                <c:pt idx="42">
                  <c:v>1.852766303594635E-2</c:v>
                </c:pt>
                <c:pt idx="43">
                  <c:v>1.8790504369678596E-2</c:v>
                </c:pt>
                <c:pt idx="44">
                  <c:v>1.7868555708046335E-2</c:v>
                </c:pt>
                <c:pt idx="45">
                  <c:v>1.7007756833211152E-2</c:v>
                </c:pt>
                <c:pt idx="46">
                  <c:v>1.6842762434815649E-2</c:v>
                </c:pt>
                <c:pt idx="47">
                  <c:v>1.62401240148368E-2</c:v>
                </c:pt>
                <c:pt idx="48">
                  <c:v>1.5793982539521498E-2</c:v>
                </c:pt>
                <c:pt idx="49">
                  <c:v>1.5093515263640658E-2</c:v>
                </c:pt>
                <c:pt idx="50">
                  <c:v>1.4563076292602511E-2</c:v>
                </c:pt>
                <c:pt idx="51">
                  <c:v>1.4357611125824949E-2</c:v>
                </c:pt>
                <c:pt idx="52">
                  <c:v>1.4042167821783885E-2</c:v>
                </c:pt>
                <c:pt idx="53">
                  <c:v>1.3654937633626067E-2</c:v>
                </c:pt>
                <c:pt idx="54">
                  <c:v>1.2999098586633605E-2</c:v>
                </c:pt>
                <c:pt idx="55">
                  <c:v>1.2360332618606749E-2</c:v>
                </c:pt>
                <c:pt idx="56">
                  <c:v>1.1695543340802864E-2</c:v>
                </c:pt>
                <c:pt idx="57">
                  <c:v>1.1106382345960064E-2</c:v>
                </c:pt>
                <c:pt idx="58">
                  <c:v>1.0862982280771457E-2</c:v>
                </c:pt>
                <c:pt idx="59">
                  <c:v>1.0105041288701331E-2</c:v>
                </c:pt>
                <c:pt idx="60">
                  <c:v>9.9388576755026874E-3</c:v>
                </c:pt>
                <c:pt idx="61">
                  <c:v>9.4385186004409972E-3</c:v>
                </c:pt>
                <c:pt idx="62">
                  <c:v>8.8491026635457888E-3</c:v>
                </c:pt>
                <c:pt idx="63">
                  <c:v>8.3573714496271139E-3</c:v>
                </c:pt>
                <c:pt idx="64">
                  <c:v>8.3321280845581359E-3</c:v>
                </c:pt>
                <c:pt idx="65">
                  <c:v>7.7608833716915271E-3</c:v>
                </c:pt>
                <c:pt idx="66">
                  <c:v>7.3880252386583365E-3</c:v>
                </c:pt>
                <c:pt idx="67">
                  <c:v>6.9079757476453322E-3</c:v>
                </c:pt>
                <c:pt idx="68">
                  <c:v>6.5027120961825419E-3</c:v>
                </c:pt>
                <c:pt idx="69">
                  <c:v>5.963434418270545E-3</c:v>
                </c:pt>
                <c:pt idx="70">
                  <c:v>5.7094353044877802E-3</c:v>
                </c:pt>
                <c:pt idx="71">
                  <c:v>5.29907022869273E-3</c:v>
                </c:pt>
                <c:pt idx="72">
                  <c:v>4.9809200665177989E-3</c:v>
                </c:pt>
                <c:pt idx="73">
                  <c:v>4.562086813410202E-3</c:v>
                </c:pt>
                <c:pt idx="74">
                  <c:v>4.1795460899707211E-3</c:v>
                </c:pt>
                <c:pt idx="75">
                  <c:v>3.8019333607815695E-3</c:v>
                </c:pt>
                <c:pt idx="76">
                  <c:v>3.2898346853790571E-3</c:v>
                </c:pt>
                <c:pt idx="77">
                  <c:v>2.9663504485033096E-3</c:v>
                </c:pt>
                <c:pt idx="78">
                  <c:v>2.5934829678246072E-3</c:v>
                </c:pt>
                <c:pt idx="79">
                  <c:v>2.1576543493687932E-3</c:v>
                </c:pt>
                <c:pt idx="80">
                  <c:v>1.6808428262972675E-3</c:v>
                </c:pt>
                <c:pt idx="81">
                  <c:v>1.3486788097563931E-3</c:v>
                </c:pt>
                <c:pt idx="82">
                  <c:v>9.1983142289058428E-4</c:v>
                </c:pt>
                <c:pt idx="83">
                  <c:v>4.5533678266828465E-4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7D-4820-917C-2EC9C8DE6A08}"/>
            </c:ext>
          </c:extLst>
        </c:ser>
        <c:ser>
          <c:idx val="4"/>
          <c:order val="4"/>
          <c:tx>
            <c:strRef>
              <c:f>'Fuente - interna'!$F$22</c:f>
              <c:strCache>
                <c:ptCount val="1"/>
                <c:pt idx="0">
                  <c:v>Bonos agrarios</c:v>
                </c:pt>
              </c:strCache>
            </c:strRef>
          </c:tx>
          <c:spPr>
            <a:solidFill>
              <a:srgbClr val="D9C197"/>
            </a:solidFill>
            <a:ln w="25400">
              <a:noFill/>
            </a:ln>
          </c:spPr>
          <c:cat>
            <c:numRef>
              <c:f>'Fuente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interna'!$F$114:$F$303</c:f>
              <c:numCache>
                <c:formatCode>0.00%</c:formatCode>
                <c:ptCount val="190"/>
                <c:pt idx="0">
                  <c:v>3.7008847230631716E-3</c:v>
                </c:pt>
                <c:pt idx="1">
                  <c:v>2.4222828488283292E-3</c:v>
                </c:pt>
                <c:pt idx="2">
                  <c:v>2.3679330224436845E-3</c:v>
                </c:pt>
                <c:pt idx="3">
                  <c:v>2.3200221145329748E-3</c:v>
                </c:pt>
                <c:pt idx="4">
                  <c:v>2.3487324278205013E-3</c:v>
                </c:pt>
                <c:pt idx="5">
                  <c:v>2.3197455799689407E-3</c:v>
                </c:pt>
                <c:pt idx="6">
                  <c:v>2.3877342102941214E-3</c:v>
                </c:pt>
                <c:pt idx="7">
                  <c:v>2.3243283018470019E-3</c:v>
                </c:pt>
                <c:pt idx="8">
                  <c:v>2.3220713161319867E-3</c:v>
                </c:pt>
                <c:pt idx="9">
                  <c:v>2.2742483893345381E-3</c:v>
                </c:pt>
                <c:pt idx="10">
                  <c:v>2.1953641228283916E-3</c:v>
                </c:pt>
                <c:pt idx="11">
                  <c:v>2.1857732609411131E-3</c:v>
                </c:pt>
                <c:pt idx="12">
                  <c:v>1.0750101932054921E-3</c:v>
                </c:pt>
                <c:pt idx="13">
                  <c:v>1.067710747157819E-3</c:v>
                </c:pt>
                <c:pt idx="14">
                  <c:v>1.0627718169443467E-3</c:v>
                </c:pt>
                <c:pt idx="15">
                  <c:v>1.060369166235724E-3</c:v>
                </c:pt>
                <c:pt idx="16">
                  <c:v>1.0610588481776268E-3</c:v>
                </c:pt>
                <c:pt idx="17">
                  <c:v>1.04547141754121E-3</c:v>
                </c:pt>
                <c:pt idx="18">
                  <c:v>1.028135629735704E-3</c:v>
                </c:pt>
                <c:pt idx="19">
                  <c:v>4.7416507242960937E-4</c:v>
                </c:pt>
                <c:pt idx="20">
                  <c:v>1.0225614611023971E-3</c:v>
                </c:pt>
                <c:pt idx="21">
                  <c:v>1.0063721869180257E-3</c:v>
                </c:pt>
                <c:pt idx="22">
                  <c:v>9.9928365395656198E-4</c:v>
                </c:pt>
                <c:pt idx="23">
                  <c:v>9.5663591151703043E-4</c:v>
                </c:pt>
                <c:pt idx="24">
                  <c:v>9.9315637950522307E-4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6.5993106399742563E-6</c:v>
                </c:pt>
                <c:pt idx="45">
                  <c:v>4.4127785175689328E-6</c:v>
                </c:pt>
                <c:pt idx="46">
                  <c:v>3.8215687341342846E-6</c:v>
                </c:pt>
                <c:pt idx="47">
                  <c:v>1.768231939364445E-6</c:v>
                </c:pt>
                <c:pt idx="48">
                  <c:v>1.76464574896402E-6</c:v>
                </c:pt>
                <c:pt idx="49">
                  <c:v>1.725882232301181E-6</c:v>
                </c:pt>
                <c:pt idx="50">
                  <c:v>1.7027894906489329E-6</c:v>
                </c:pt>
                <c:pt idx="51">
                  <c:v>1.7172332088397974E-6</c:v>
                </c:pt>
                <c:pt idx="52">
                  <c:v>1.6739707888405242E-6</c:v>
                </c:pt>
                <c:pt idx="53">
                  <c:v>1.6691212798612686E-6</c:v>
                </c:pt>
                <c:pt idx="54">
                  <c:v>1.6301612250121872E-6</c:v>
                </c:pt>
                <c:pt idx="55">
                  <c:v>1.5945902875834551E-6</c:v>
                </c:pt>
                <c:pt idx="56">
                  <c:v>1.5553207157804608E-6</c:v>
                </c:pt>
                <c:pt idx="57">
                  <c:v>1.5266539308419098E-6</c:v>
                </c:pt>
                <c:pt idx="58">
                  <c:v>1.5445037465323187E-6</c:v>
                </c:pt>
                <c:pt idx="59">
                  <c:v>1.4923245565163973E-6</c:v>
                </c:pt>
                <c:pt idx="60">
                  <c:v>1.518171084475082E-6</c:v>
                </c:pt>
                <c:pt idx="61">
                  <c:v>1.371849721128475E-6</c:v>
                </c:pt>
                <c:pt idx="62">
                  <c:v>1.3290927212529944E-6</c:v>
                </c:pt>
                <c:pt idx="63">
                  <c:v>1.3002501806791609E-6</c:v>
                </c:pt>
                <c:pt idx="64">
                  <c:v>1.3461215833911134E-6</c:v>
                </c:pt>
                <c:pt idx="65">
                  <c:v>1.3050864888919483E-6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7D-4820-917C-2EC9C8DE6A08}"/>
            </c:ext>
          </c:extLst>
        </c:ser>
        <c:ser>
          <c:idx val="5"/>
          <c:order val="5"/>
          <c:tx>
            <c:strRef>
              <c:f>'Fuente - interna'!$G$22</c:f>
              <c:strCache>
                <c:ptCount val="1"/>
                <c:pt idx="0">
                  <c:v>Bonos de paz</c:v>
                </c:pt>
              </c:strCache>
            </c:strRef>
          </c:tx>
          <c:spPr>
            <a:solidFill>
              <a:srgbClr val="E3D2B3"/>
            </a:solidFill>
            <a:ln w="25400">
              <a:noFill/>
            </a:ln>
          </c:spPr>
          <c:cat>
            <c:numRef>
              <c:f>'Fuente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interna'!$G$112:$G$303</c:f>
              <c:numCache>
                <c:formatCode>0.00%</c:formatCode>
                <c:ptCount val="192"/>
                <c:pt idx="0">
                  <c:v>9.2537673054553303E-4</c:v>
                </c:pt>
                <c:pt idx="1">
                  <c:v>8.3900539285116532E-4</c:v>
                </c:pt>
                <c:pt idx="2">
                  <c:v>7.9905920362141559E-4</c:v>
                </c:pt>
                <c:pt idx="3">
                  <c:v>7.7072670563301958E-4</c:v>
                </c:pt>
                <c:pt idx="4">
                  <c:v>7.3602763394054686E-4</c:v>
                </c:pt>
                <c:pt idx="5">
                  <c:v>7.1008080987527479E-4</c:v>
                </c:pt>
                <c:pt idx="6">
                  <c:v>7.096318198769973E-4</c:v>
                </c:pt>
                <c:pt idx="7">
                  <c:v>6.9095918853608594E-4</c:v>
                </c:pt>
                <c:pt idx="8">
                  <c:v>7.0433669253038911E-4</c:v>
                </c:pt>
                <c:pt idx="9">
                  <c:v>6.7183168291973911E-4</c:v>
                </c:pt>
                <c:pt idx="10">
                  <c:v>6.6164252141105565E-4</c:v>
                </c:pt>
                <c:pt idx="11">
                  <c:v>6.6091534752911636E-4</c:v>
                </c:pt>
                <c:pt idx="12">
                  <c:v>6.2098538662931971E-4</c:v>
                </c:pt>
                <c:pt idx="13">
                  <c:v>7.6291138033635867E-4</c:v>
                </c:pt>
                <c:pt idx="14">
                  <c:v>5.7760455814139747E-4</c:v>
                </c:pt>
                <c:pt idx="15">
                  <c:v>5.6563658358084695E-4</c:v>
                </c:pt>
                <c:pt idx="16">
                  <c:v>5.4491195732153999E-4</c:v>
                </c:pt>
                <c:pt idx="17">
                  <c:v>5.2730550823484662E-4</c:v>
                </c:pt>
                <c:pt idx="18">
                  <c:v>5.2170605249921801E-4</c:v>
                </c:pt>
                <c:pt idx="19">
                  <c:v>5.0770450837382491E-4</c:v>
                </c:pt>
                <c:pt idx="20">
                  <c:v>4.9433246280436861E-4</c:v>
                </c:pt>
                <c:pt idx="21">
                  <c:v>3.4020845007024425E-5</c:v>
                </c:pt>
                <c:pt idx="22">
                  <c:v>4.7182761204182588E-4</c:v>
                </c:pt>
                <c:pt idx="23">
                  <c:v>4.5603879880097613E-4</c:v>
                </c:pt>
                <c:pt idx="24">
                  <c:v>4.409514330671772E-4</c:v>
                </c:pt>
                <c:pt idx="25">
                  <c:v>4.1081415596174099E-4</c:v>
                </c:pt>
                <c:pt idx="26">
                  <c:v>5.4672166503276715E-4</c:v>
                </c:pt>
                <c:pt idx="27">
                  <c:v>5.3383787591765514E-4</c:v>
                </c:pt>
                <c:pt idx="28">
                  <c:v>3.9637471539309108E-4</c:v>
                </c:pt>
                <c:pt idx="29">
                  <c:v>3.7756251881859417E-4</c:v>
                </c:pt>
                <c:pt idx="30">
                  <c:v>3.7848072344379922E-4</c:v>
                </c:pt>
                <c:pt idx="31">
                  <c:v>3.6094396404182604E-4</c:v>
                </c:pt>
                <c:pt idx="32">
                  <c:v>3.5272103298166857E-4</c:v>
                </c:pt>
                <c:pt idx="33">
                  <c:v>3.4065059931999062E-4</c:v>
                </c:pt>
                <c:pt idx="34">
                  <c:v>3.3509953674713415E-4</c:v>
                </c:pt>
                <c:pt idx="35">
                  <c:v>3.2613961533340069E-4</c:v>
                </c:pt>
                <c:pt idx="36">
                  <c:v>3.2007108990839833E-4</c:v>
                </c:pt>
                <c:pt idx="37">
                  <c:v>4.0473175553077393E-4</c:v>
                </c:pt>
                <c:pt idx="38">
                  <c:v>3.0800965844032124E-4</c:v>
                </c:pt>
                <c:pt idx="39">
                  <c:v>2.999975935107646E-4</c:v>
                </c:pt>
                <c:pt idx="40">
                  <c:v>2.9556537028480251E-4</c:v>
                </c:pt>
                <c:pt idx="41">
                  <c:v>2.85501478260823E-4</c:v>
                </c:pt>
                <c:pt idx="42">
                  <c:v>2.8308678984856453E-4</c:v>
                </c:pt>
                <c:pt idx="43">
                  <c:v>2.7722633546117635E-4</c:v>
                </c:pt>
                <c:pt idx="44">
                  <c:v>2.708219351680575E-4</c:v>
                </c:pt>
                <c:pt idx="45">
                  <c:v>2.7458600377251833E-4</c:v>
                </c:pt>
                <c:pt idx="46">
                  <c:v>2.6607646032068382E-4</c:v>
                </c:pt>
                <c:pt idx="47">
                  <c:v>2.6394911519596651E-4</c:v>
                </c:pt>
                <c:pt idx="48">
                  <c:v>2.5446097023157165E-4</c:v>
                </c:pt>
                <c:pt idx="49">
                  <c:v>2.491377048112941E-4</c:v>
                </c:pt>
                <c:pt idx="50">
                  <c:v>2.4296888237555799E-4</c:v>
                </c:pt>
                <c:pt idx="51">
                  <c:v>2.3506927374923663E-4</c:v>
                </c:pt>
                <c:pt idx="52">
                  <c:v>2.2808365548837231E-4</c:v>
                </c:pt>
                <c:pt idx="53">
                  <c:v>2.2864798776081583E-4</c:v>
                </c:pt>
                <c:pt idx="54">
                  <c:v>2.256839716276653E-4</c:v>
                </c:pt>
                <c:pt idx="55">
                  <c:v>2.2271978412036176E-4</c:v>
                </c:pt>
                <c:pt idx="56">
                  <c:v>2.1574207324657717E-4</c:v>
                </c:pt>
                <c:pt idx="57">
                  <c:v>1.9533097472435731E-4</c:v>
                </c:pt>
                <c:pt idx="58">
                  <c:v>1.8699358699518837E-4</c:v>
                </c:pt>
                <c:pt idx="59">
                  <c:v>1.7970025021613999E-4</c:v>
                </c:pt>
                <c:pt idx="60">
                  <c:v>1.7747012476895631E-4</c:v>
                </c:pt>
                <c:pt idx="61">
                  <c:v>1.6880690444919021E-4</c:v>
                </c:pt>
                <c:pt idx="62">
                  <c:v>8.8213040902276321E-5</c:v>
                </c:pt>
                <c:pt idx="63">
                  <c:v>8.6071815076432071E-5</c:v>
                </c:pt>
                <c:pt idx="64">
                  <c:v>8.2280590579349183E-5</c:v>
                </c:pt>
                <c:pt idx="65">
                  <c:v>7.9849252354733383E-5</c:v>
                </c:pt>
                <c:pt idx="66">
                  <c:v>8.1296751980843997E-5</c:v>
                </c:pt>
                <c:pt idx="67">
                  <c:v>7.7730687749359297E-5</c:v>
                </c:pt>
                <c:pt idx="68">
                  <c:v>7.6191663167440033E-5</c:v>
                </c:pt>
                <c:pt idx="69">
                  <c:v>7.3229572893699656E-5</c:v>
                </c:pt>
                <c:pt idx="70">
                  <c:v>7.1432520721528779E-5</c:v>
                </c:pt>
                <c:pt idx="71">
                  <c:v>6.7672110185846692E-5</c:v>
                </c:pt>
                <c:pt idx="72">
                  <c:v>6.7886446635067669E-5</c:v>
                </c:pt>
                <c:pt idx="73">
                  <c:v>6.6665191542857543E-5</c:v>
                </c:pt>
                <c:pt idx="74">
                  <c:v>6.6103791467444074E-5</c:v>
                </c:pt>
                <c:pt idx="75">
                  <c:v>6.375863984710612E-5</c:v>
                </c:pt>
                <c:pt idx="76">
                  <c:v>5.7300277546337418E-5</c:v>
                </c:pt>
                <c:pt idx="77">
                  <c:v>5.537860953076808E-5</c:v>
                </c:pt>
                <c:pt idx="78">
                  <c:v>5.1276469685340664E-5</c:v>
                </c:pt>
                <c:pt idx="79">
                  <c:v>4.0911018231205914E-5</c:v>
                </c:pt>
                <c:pt idx="80">
                  <c:v>4.0633714490207791E-5</c:v>
                </c:pt>
                <c:pt idx="81">
                  <c:v>3.9714844553334127E-5</c:v>
                </c:pt>
                <c:pt idx="82">
                  <c:v>3.745244624547025E-5</c:v>
                </c:pt>
                <c:pt idx="83">
                  <c:v>3.8695506561522412E-5</c:v>
                </c:pt>
                <c:pt idx="84">
                  <c:v>3.8227463109041131E-5</c:v>
                </c:pt>
                <c:pt idx="85">
                  <c:v>3.616841080982228E-5</c:v>
                </c:pt>
                <c:pt idx="86">
                  <c:v>3.5522080271785268E-5</c:v>
                </c:pt>
                <c:pt idx="87">
                  <c:v>3.4170866708502086E-5</c:v>
                </c:pt>
                <c:pt idx="88">
                  <c:v>3.287428989120611E-5</c:v>
                </c:pt>
                <c:pt idx="89">
                  <c:v>3.1752145512957176E-5</c:v>
                </c:pt>
                <c:pt idx="90">
                  <c:v>3.0465553989224426E-5</c:v>
                </c:pt>
                <c:pt idx="91">
                  <c:v>3.0077639624293255E-5</c:v>
                </c:pt>
                <c:pt idx="92">
                  <c:v>2.9342214087885476E-5</c:v>
                </c:pt>
                <c:pt idx="93">
                  <c:v>2.8592853838289318E-5</c:v>
                </c:pt>
                <c:pt idx="94">
                  <c:v>2.7365936088747555E-5</c:v>
                </c:pt>
                <c:pt idx="95">
                  <c:v>1.3434600496670207E-5</c:v>
                </c:pt>
                <c:pt idx="96">
                  <c:v>1.2861953230639568E-5</c:v>
                </c:pt>
                <c:pt idx="97">
                  <c:v>1.2535149400485145E-5</c:v>
                </c:pt>
                <c:pt idx="98">
                  <c:v>1.2873071960260278E-5</c:v>
                </c:pt>
                <c:pt idx="99">
                  <c:v>1.2090122691200598E-5</c:v>
                </c:pt>
                <c:pt idx="100">
                  <c:v>1.1423655437255098E-5</c:v>
                </c:pt>
                <c:pt idx="101">
                  <c:v>1.0666814660377336E-5</c:v>
                </c:pt>
                <c:pt idx="102">
                  <c:v>1.0381133428236251E-5</c:v>
                </c:pt>
                <c:pt idx="103">
                  <c:v>1.0053104004866898E-5</c:v>
                </c:pt>
                <c:pt idx="104">
                  <c:v>9.5185065488904858E-6</c:v>
                </c:pt>
                <c:pt idx="105">
                  <c:v>8.9607513126147835E-6</c:v>
                </c:pt>
                <c:pt idx="106">
                  <c:v>8.6344352697134887E-6</c:v>
                </c:pt>
                <c:pt idx="107">
                  <c:v>8.1873133492630643E-6</c:v>
                </c:pt>
                <c:pt idx="108">
                  <c:v>7.875250340725009E-6</c:v>
                </c:pt>
                <c:pt idx="109">
                  <c:v>7.5633986231657348E-6</c:v>
                </c:pt>
                <c:pt idx="110">
                  <c:v>7.1842544761215107E-6</c:v>
                </c:pt>
                <c:pt idx="111">
                  <c:v>6.8093803542274174E-6</c:v>
                </c:pt>
                <c:pt idx="112">
                  <c:v>6.5107174888445639E-6</c:v>
                </c:pt>
                <c:pt idx="113">
                  <c:v>6.2716346271333608E-6</c:v>
                </c:pt>
                <c:pt idx="114">
                  <c:v>5.8968122914401647E-6</c:v>
                </c:pt>
                <c:pt idx="115">
                  <c:v>4.7413727389672049E-6</c:v>
                </c:pt>
                <c:pt idx="116">
                  <c:v>4.4596552159163784E-6</c:v>
                </c:pt>
                <c:pt idx="117">
                  <c:v>0</c:v>
                </c:pt>
                <c:pt idx="118">
                  <c:v>0</c:v>
                </c:pt>
                <c:pt idx="119">
                  <c:v>3.7708591263701148E-6</c:v>
                </c:pt>
                <c:pt idx="120">
                  <c:v>3.7760799842991944E-6</c:v>
                </c:pt>
                <c:pt idx="121">
                  <c:v>3.7557030476554295E-6</c:v>
                </c:pt>
                <c:pt idx="122">
                  <c:v>3.7026542504047894E-6</c:v>
                </c:pt>
                <c:pt idx="123">
                  <c:v>3.6327745880708551E-6</c:v>
                </c:pt>
                <c:pt idx="124">
                  <c:v>3.3830852168325453E-6</c:v>
                </c:pt>
                <c:pt idx="125">
                  <c:v>3.3379939739650747E-6</c:v>
                </c:pt>
                <c:pt idx="126">
                  <c:v>3.2924911758290272E-6</c:v>
                </c:pt>
                <c:pt idx="127">
                  <c:v>3.1589240611220476E-6</c:v>
                </c:pt>
                <c:pt idx="128">
                  <c:v>3.0418025547951043E-6</c:v>
                </c:pt>
                <c:pt idx="129">
                  <c:v>2.941127242570622E-6</c:v>
                </c:pt>
                <c:pt idx="130">
                  <c:v>2.9797436665483906E-6</c:v>
                </c:pt>
                <c:pt idx="131">
                  <c:v>2.9279446002522273E-6</c:v>
                </c:pt>
                <c:pt idx="132">
                  <c:v>2.8573711748494908E-6</c:v>
                </c:pt>
                <c:pt idx="133">
                  <c:v>2.9150688065594424E-6</c:v>
                </c:pt>
                <c:pt idx="134">
                  <c:v>2.7197732429509172E-6</c:v>
                </c:pt>
                <c:pt idx="135">
                  <c:v>2.6192098907903867E-6</c:v>
                </c:pt>
                <c:pt idx="136">
                  <c:v>5.2170225208265379E-6</c:v>
                </c:pt>
                <c:pt idx="137">
                  <c:v>2.5133300997638079E-6</c:v>
                </c:pt>
                <c:pt idx="138">
                  <c:v>2.3753973128950696E-6</c:v>
                </c:pt>
                <c:pt idx="139">
                  <c:v>2.3352756271148476E-6</c:v>
                </c:pt>
                <c:pt idx="140">
                  <c:v>2.1766025654182546E-6</c:v>
                </c:pt>
                <c:pt idx="141">
                  <c:v>2.9081975441854659E-6</c:v>
                </c:pt>
                <c:pt idx="142">
                  <c:v>2.4195064814344694E-6</c:v>
                </c:pt>
                <c:pt idx="143">
                  <c:v>2.4791140616891136E-6</c:v>
                </c:pt>
                <c:pt idx="144">
                  <c:v>4.7101522629032913E-6</c:v>
                </c:pt>
                <c:pt idx="145">
                  <c:v>2.3551122460759584E-6</c:v>
                </c:pt>
                <c:pt idx="146">
                  <c:v>2.3331550739041538E-6</c:v>
                </c:pt>
                <c:pt idx="147">
                  <c:v>2.2001936179357433E-6</c:v>
                </c:pt>
                <c:pt idx="148">
                  <c:v>2.1950623195607889E-6</c:v>
                </c:pt>
                <c:pt idx="149">
                  <c:v>2.0960433690866468E-6</c:v>
                </c:pt>
                <c:pt idx="150">
                  <c:v>2.0597473956698909E-6</c:v>
                </c:pt>
                <c:pt idx="151">
                  <c:v>2.0430528396193561E-6</c:v>
                </c:pt>
                <c:pt idx="152">
                  <c:v>2.0016988480851199E-6</c:v>
                </c:pt>
                <c:pt idx="153">
                  <c:v>2.0016988480851199E-6</c:v>
                </c:pt>
                <c:pt idx="154">
                  <c:v>1.952018789605648E-6</c:v>
                </c:pt>
                <c:pt idx="155">
                  <c:v>1.9512597596799389E-6</c:v>
                </c:pt>
                <c:pt idx="156">
                  <c:v>1.9037725691705022E-6</c:v>
                </c:pt>
                <c:pt idx="157">
                  <c:v>1.9031239370258328E-6</c:v>
                </c:pt>
                <c:pt idx="158">
                  <c:v>1.8511298466397697E-6</c:v>
                </c:pt>
                <c:pt idx="159">
                  <c:v>1.8086587184226933E-6</c:v>
                </c:pt>
                <c:pt idx="160">
                  <c:v>1.7893628709063572E-6</c:v>
                </c:pt>
                <c:pt idx="161">
                  <c:v>1.7287172049898249E-6</c:v>
                </c:pt>
                <c:pt idx="162">
                  <c:v>1.6790500776755617E-6</c:v>
                </c:pt>
                <c:pt idx="163">
                  <c:v>1.6937381312672956E-6</c:v>
                </c:pt>
                <c:pt idx="164">
                  <c:v>1.6489853748835057E-6</c:v>
                </c:pt>
                <c:pt idx="165">
                  <c:v>1.6006659706663212E-6</c:v>
                </c:pt>
                <c:pt idx="166">
                  <c:v>1.5775391985634876E-6</c:v>
                </c:pt>
                <c:pt idx="167">
                  <c:v>1.5546082532432707E-6</c:v>
                </c:pt>
                <c:pt idx="168">
                  <c:v>1.5489725813583244E-6</c:v>
                </c:pt>
                <c:pt idx="169">
                  <c:v>1.5133703154690136E-6</c:v>
                </c:pt>
                <c:pt idx="170">
                  <c:v>1.4680034353000759E-6</c:v>
                </c:pt>
                <c:pt idx="171">
                  <c:v>1.4806678318086555E-6</c:v>
                </c:pt>
                <c:pt idx="172">
                  <c:v>1.4457379302714208E-6</c:v>
                </c:pt>
                <c:pt idx="173">
                  <c:v>1.4182481255320432E-6</c:v>
                </c:pt>
                <c:pt idx="174">
                  <c:v>1.3996820963156277E-6</c:v>
                </c:pt>
                <c:pt idx="175">
                  <c:v>1.3937941622276169E-6</c:v>
                </c:pt>
                <c:pt idx="176">
                  <c:v>1.381542903999773E-6</c:v>
                </c:pt>
                <c:pt idx="177">
                  <c:v>1.3655864570770285E-6</c:v>
                </c:pt>
                <c:pt idx="178">
                  <c:v>1.3842828811645002E-6</c:v>
                </c:pt>
                <c:pt idx="179">
                  <c:v>1.3519793089235232E-6</c:v>
                </c:pt>
                <c:pt idx="180">
                  <c:v>1.3441446480166158E-6</c:v>
                </c:pt>
                <c:pt idx="181">
                  <c:v>1.3103763039119363E-6</c:v>
                </c:pt>
                <c:pt idx="182">
                  <c:v>1.3054815638618801E-6</c:v>
                </c:pt>
                <c:pt idx="183">
                  <c:v>1.2688928352439755E-6</c:v>
                </c:pt>
                <c:pt idx="184">
                  <c:v>1.2620300005762345E-6</c:v>
                </c:pt>
                <c:pt idx="185">
                  <c:v>1.2797646060598625E-6</c:v>
                </c:pt>
                <c:pt idx="186">
                  <c:v>1.260037580585211E-6</c:v>
                </c:pt>
                <c:pt idx="187">
                  <c:v>1.231828730401244E-6</c:v>
                </c:pt>
                <c:pt idx="188">
                  <c:v>1.2262724772398895E-6</c:v>
                </c:pt>
                <c:pt idx="189">
                  <c:v>1.1591105872606206E-6</c:v>
                </c:pt>
                <c:pt idx="190">
                  <c:v>1.18625368576758E-6</c:v>
                </c:pt>
                <c:pt idx="191">
                  <c:v>1.1791642674014741E-6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7D-4820-917C-2EC9C8DE6A08}"/>
            </c:ext>
          </c:extLst>
        </c:ser>
        <c:ser>
          <c:idx val="6"/>
          <c:order val="6"/>
          <c:tx>
            <c:strRef>
              <c:f>'Fuente - interna'!$H$22</c:f>
              <c:strCache>
                <c:ptCount val="1"/>
                <c:pt idx="0">
                  <c:v>Bono de seguridad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</c:spPr>
          <c:cat>
            <c:numRef>
              <c:f>'Fuente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interna'!$H$112:$H$303</c:f>
              <c:numCache>
                <c:formatCode>0.00%</c:formatCode>
                <c:ptCount val="192"/>
                <c:pt idx="0">
                  <c:v>5.1178134925524831E-5</c:v>
                </c:pt>
                <c:pt idx="1">
                  <c:v>4.9703156474955716E-5</c:v>
                </c:pt>
                <c:pt idx="2">
                  <c:v>4.8241355708514897E-5</c:v>
                </c:pt>
                <c:pt idx="3">
                  <c:v>4.7241012195548659E-5</c:v>
                </c:pt>
                <c:pt idx="4">
                  <c:v>4.57990903701519E-5</c:v>
                </c:pt>
                <c:pt idx="5">
                  <c:v>4.3229217731359E-5</c:v>
                </c:pt>
                <c:pt idx="6">
                  <c:v>4.3527707448190393E-5</c:v>
                </c:pt>
                <c:pt idx="7">
                  <c:v>4.3548939671049038E-5</c:v>
                </c:pt>
                <c:pt idx="8">
                  <c:v>4.3548939671049038E-5</c:v>
                </c:pt>
                <c:pt idx="9">
                  <c:v>4.1954418187933269E-5</c:v>
                </c:pt>
                <c:pt idx="10">
                  <c:v>4.1779184860103653E-5</c:v>
                </c:pt>
                <c:pt idx="11">
                  <c:v>4.0652405607989561E-5</c:v>
                </c:pt>
                <c:pt idx="12">
                  <c:v>3.9082490065383737E-5</c:v>
                </c:pt>
                <c:pt idx="13">
                  <c:v>4.2344263319722228E-5</c:v>
                </c:pt>
                <c:pt idx="14">
                  <c:v>3.780783322478449E-5</c:v>
                </c:pt>
                <c:pt idx="15">
                  <c:v>3.7342330286323122E-5</c:v>
                </c:pt>
                <c:pt idx="16">
                  <c:v>3.6668526603495682E-5</c:v>
                </c:pt>
                <c:pt idx="17">
                  <c:v>3.6398127592727114E-5</c:v>
                </c:pt>
                <c:pt idx="18">
                  <c:v>3.6375042628721384E-5</c:v>
                </c:pt>
                <c:pt idx="19">
                  <c:v>3.5597266574692494E-5</c:v>
                </c:pt>
                <c:pt idx="20">
                  <c:v>3.4804615211972397E-5</c:v>
                </c:pt>
                <c:pt idx="21">
                  <c:v>1.0069325329517241E-3</c:v>
                </c:pt>
                <c:pt idx="22">
                  <c:v>3.4437231799869673E-5</c:v>
                </c:pt>
                <c:pt idx="23">
                  <c:v>3.3784909913103882E-5</c:v>
                </c:pt>
                <c:pt idx="24">
                  <c:v>3.271416080520256E-5</c:v>
                </c:pt>
                <c:pt idx="25">
                  <c:v>2.9950984563920345E-5</c:v>
                </c:pt>
                <c:pt idx="26">
                  <c:v>3.0942911654897714E-5</c:v>
                </c:pt>
                <c:pt idx="27">
                  <c:v>3.0279260461346622E-5</c:v>
                </c:pt>
                <c:pt idx="28">
                  <c:v>2.9448232369110769E-5</c:v>
                </c:pt>
                <c:pt idx="29">
                  <c:v>2.8595439861684263E-5</c:v>
                </c:pt>
                <c:pt idx="30">
                  <c:v>1.480895807267572E-5</c:v>
                </c:pt>
                <c:pt idx="31">
                  <c:v>1.4060810913600001E-5</c:v>
                </c:pt>
                <c:pt idx="32">
                  <c:v>1.4384646182466906E-5</c:v>
                </c:pt>
                <c:pt idx="33">
                  <c:v>1.3833474209744143E-5</c:v>
                </c:pt>
                <c:pt idx="34">
                  <c:v>1.3392861504090598E-5</c:v>
                </c:pt>
                <c:pt idx="35">
                  <c:v>1.2863855568386378E-5</c:v>
                </c:pt>
                <c:pt idx="36">
                  <c:v>1.2418999423816005E-5</c:v>
                </c:pt>
                <c:pt idx="37">
                  <c:v>1.0951791118243087E-5</c:v>
                </c:pt>
                <c:pt idx="38">
                  <c:v>9.1931776063903253E-6</c:v>
                </c:pt>
                <c:pt idx="39">
                  <c:v>9.1931776063903253E-6</c:v>
                </c:pt>
                <c:pt idx="40">
                  <c:v>8.8601407422120859E-6</c:v>
                </c:pt>
                <c:pt idx="41">
                  <c:v>8.7619877459880826E-6</c:v>
                </c:pt>
                <c:pt idx="42">
                  <c:v>8.2815478711684892E-6</c:v>
                </c:pt>
                <c:pt idx="43">
                  <c:v>7.4818169122780915E-6</c:v>
                </c:pt>
                <c:pt idx="44">
                  <c:v>6.9319561165610961E-6</c:v>
                </c:pt>
                <c:pt idx="45">
                  <c:v>7.0634021309123103E-6</c:v>
                </c:pt>
                <c:pt idx="46">
                  <c:v>6.6008151357131923E-6</c:v>
                </c:pt>
                <c:pt idx="47">
                  <c:v>5.8255375690677853E-6</c:v>
                </c:pt>
                <c:pt idx="48">
                  <c:v>5.3944944152149511E-6</c:v>
                </c:pt>
                <c:pt idx="49">
                  <c:v>5.2472460101513802E-6</c:v>
                </c:pt>
                <c:pt idx="50">
                  <c:v>5.1588772321274703E-6</c:v>
                </c:pt>
                <c:pt idx="51">
                  <c:v>4.8796309177369425E-6</c:v>
                </c:pt>
                <c:pt idx="52">
                  <c:v>4.685098165545066E-6</c:v>
                </c:pt>
                <c:pt idx="53">
                  <c:v>4.2825311303330365E-6</c:v>
                </c:pt>
                <c:pt idx="54">
                  <c:v>3.891155955627369E-6</c:v>
                </c:pt>
                <c:pt idx="55">
                  <c:v>2.2786526421475581E-6</c:v>
                </c:pt>
                <c:pt idx="56">
                  <c:v>2.2626673684717598E-6</c:v>
                </c:pt>
                <c:pt idx="57">
                  <c:v>2.1669845114510874E-6</c:v>
                </c:pt>
                <c:pt idx="58">
                  <c:v>2.0355162675297798E-6</c:v>
                </c:pt>
                <c:pt idx="59">
                  <c:v>1.874620017664539E-6</c:v>
                </c:pt>
                <c:pt idx="60">
                  <c:v>1.9536377796231881E-6</c:v>
                </c:pt>
                <c:pt idx="61">
                  <c:v>1.8151332430696172E-6</c:v>
                </c:pt>
                <c:pt idx="62">
                  <c:v>1.7987346507240634E-6</c:v>
                </c:pt>
                <c:pt idx="63">
                  <c:v>1.66077285230476E-6</c:v>
                </c:pt>
                <c:pt idx="64">
                  <c:v>1.6051534330035263E-6</c:v>
                </c:pt>
                <c:pt idx="65">
                  <c:v>1.5016016459144014E-6</c:v>
                </c:pt>
                <c:pt idx="66">
                  <c:v>1.452092043891407E-6</c:v>
                </c:pt>
                <c:pt idx="67">
                  <c:v>1.3677762411700787E-6</c:v>
                </c:pt>
                <c:pt idx="68">
                  <c:v>1.2297843621410213E-6</c:v>
                </c:pt>
                <c:pt idx="69">
                  <c:v>1.1543298692221066E-6</c:v>
                </c:pt>
                <c:pt idx="70">
                  <c:v>1.1339948676200666E-6</c:v>
                </c:pt>
                <c:pt idx="71">
                  <c:v>1.0462222562398279E-6</c:v>
                </c:pt>
                <c:pt idx="72">
                  <c:v>9.9833128326894346E-7</c:v>
                </c:pt>
                <c:pt idx="73">
                  <c:v>9.8404438612394325E-7</c:v>
                </c:pt>
                <c:pt idx="74">
                  <c:v>9.7615636233189584E-7</c:v>
                </c:pt>
                <c:pt idx="75">
                  <c:v>9.5159420838179076E-7</c:v>
                </c:pt>
                <c:pt idx="76">
                  <c:v>9.2268146989712116E-7</c:v>
                </c:pt>
                <c:pt idx="77">
                  <c:v>8.7894304117796408E-7</c:v>
                </c:pt>
                <c:pt idx="78">
                  <c:v>7.924910764137728E-7</c:v>
                </c:pt>
                <c:pt idx="79">
                  <c:v>7.8302823333883392E-7</c:v>
                </c:pt>
                <c:pt idx="80">
                  <c:v>6.6240471383944284E-7</c:v>
                </c:pt>
                <c:pt idx="81">
                  <c:v>5.9876715264918982E-7</c:v>
                </c:pt>
                <c:pt idx="82">
                  <c:v>5.5443961719886986E-7</c:v>
                </c:pt>
                <c:pt idx="83">
                  <c:v>5.6599324896207985E-7</c:v>
                </c:pt>
                <c:pt idx="84">
                  <c:v>5.4742259692482981E-7</c:v>
                </c:pt>
                <c:pt idx="85">
                  <c:v>5.0825750743254445E-7</c:v>
                </c:pt>
                <c:pt idx="86">
                  <c:v>4.9953360298929284E-7</c:v>
                </c:pt>
                <c:pt idx="87">
                  <c:v>4.5680200010582482E-7</c:v>
                </c:pt>
                <c:pt idx="88">
                  <c:v>4.3836524429622551E-7</c:v>
                </c:pt>
                <c:pt idx="89">
                  <c:v>4.2544044575870398E-7</c:v>
                </c:pt>
                <c:pt idx="90">
                  <c:v>4.0831929663499798E-7</c:v>
                </c:pt>
                <c:pt idx="91">
                  <c:v>3.1427797126107406E-7</c:v>
                </c:pt>
                <c:pt idx="92">
                  <c:v>3.1351836042367905E-7</c:v>
                </c:pt>
                <c:pt idx="93">
                  <c:v>3.0674347995790916E-7</c:v>
                </c:pt>
                <c:pt idx="94">
                  <c:v>2.9590877340684533E-7</c:v>
                </c:pt>
                <c:pt idx="95">
                  <c:v>2.8879510114091802E-7</c:v>
                </c:pt>
                <c:pt idx="96">
                  <c:v>2.6872103785311135E-7</c:v>
                </c:pt>
                <c:pt idx="97">
                  <c:v>2.7022132251399301E-7</c:v>
                </c:pt>
                <c:pt idx="98">
                  <c:v>3.0500012896939176E-7</c:v>
                </c:pt>
                <c:pt idx="99">
                  <c:v>2.9827360966610427E-7</c:v>
                </c:pt>
                <c:pt idx="100">
                  <c:v>2.880084205171398E-7</c:v>
                </c:pt>
                <c:pt idx="101">
                  <c:v>2.8527118330187996E-7</c:v>
                </c:pt>
                <c:pt idx="102">
                  <c:v>2.847201145549714E-7</c:v>
                </c:pt>
                <c:pt idx="103">
                  <c:v>2.8219419953701063E-7</c:v>
                </c:pt>
                <c:pt idx="104">
                  <c:v>2.6560878295108299E-7</c:v>
                </c:pt>
                <c:pt idx="105">
                  <c:v>2.5988677126981146E-7</c:v>
                </c:pt>
                <c:pt idx="106">
                  <c:v>2.5368343215657911E-7</c:v>
                </c:pt>
                <c:pt idx="107">
                  <c:v>2.4949257891853441E-7</c:v>
                </c:pt>
                <c:pt idx="108">
                  <c:v>2.4756626756814724E-7</c:v>
                </c:pt>
                <c:pt idx="109">
                  <c:v>2.3862212208591955E-7</c:v>
                </c:pt>
                <c:pt idx="110">
                  <c:v>2.3492022601897501E-7</c:v>
                </c:pt>
                <c:pt idx="111">
                  <c:v>2.1459831133714327E-7</c:v>
                </c:pt>
                <c:pt idx="112">
                  <c:v>1.8511713210928899E-7</c:v>
                </c:pt>
                <c:pt idx="113">
                  <c:v>1.7190896402134791E-7</c:v>
                </c:pt>
                <c:pt idx="114">
                  <c:v>1.652318560878048E-7</c:v>
                </c:pt>
                <c:pt idx="115">
                  <c:v>1.6346430186120817E-7</c:v>
                </c:pt>
                <c:pt idx="116">
                  <c:v>1.446388641260793E-7</c:v>
                </c:pt>
                <c:pt idx="117">
                  <c:v>1.2012652733934806E-7</c:v>
                </c:pt>
                <c:pt idx="118">
                  <c:v>1.2012652733934806E-7</c:v>
                </c:pt>
                <c:pt idx="119">
                  <c:v>4.9895237209170065E-8</c:v>
                </c:pt>
                <c:pt idx="120">
                  <c:v>4.9467489283382346E-8</c:v>
                </c:pt>
                <c:pt idx="121">
                  <c:v>4.9200546872404607E-8</c:v>
                </c:pt>
                <c:pt idx="122">
                  <c:v>2.8850793754754136E-8</c:v>
                </c:pt>
                <c:pt idx="123">
                  <c:v>4.7590156657576785E-8</c:v>
                </c:pt>
                <c:pt idx="124">
                  <c:v>2.7324478743625164E-8</c:v>
                </c:pt>
                <c:pt idx="125">
                  <c:v>2.6888211674432839E-9</c:v>
                </c:pt>
                <c:pt idx="126">
                  <c:v>2.6847636397013963E-9</c:v>
                </c:pt>
                <c:pt idx="127">
                  <c:v>5.2242685145624127E-9</c:v>
                </c:pt>
                <c:pt idx="128">
                  <c:v>5.1081731577232323E-9</c:v>
                </c:pt>
                <c:pt idx="129">
                  <c:v>5.0679879123000679E-9</c:v>
                </c:pt>
                <c:pt idx="130">
                  <c:v>5.1921433788609996E-9</c:v>
                </c:pt>
                <c:pt idx="131">
                  <c:v>5.1593474751933712E-9</c:v>
                </c:pt>
                <c:pt idx="132">
                  <c:v>5.1113131740890462E-9</c:v>
                </c:pt>
                <c:pt idx="133">
                  <c:v>5.2460183859409078E-9</c:v>
                </c:pt>
                <c:pt idx="134">
                  <c:v>4.9992605083746016E-9</c:v>
                </c:pt>
                <c:pt idx="135">
                  <c:v>4.9381419826332147E-9</c:v>
                </c:pt>
                <c:pt idx="136">
                  <c:v>4.9335021460173824E-9</c:v>
                </c:pt>
                <c:pt idx="137">
                  <c:v>4.959059363714192E-9</c:v>
                </c:pt>
                <c:pt idx="138">
                  <c:v>3.5945545133525872E-9</c:v>
                </c:pt>
                <c:pt idx="139">
                  <c:v>3.6155429902064101E-9</c:v>
                </c:pt>
                <c:pt idx="140">
                  <c:v>2.4203548496762408E-9</c:v>
                </c:pt>
                <c:pt idx="141">
                  <c:v>2.3840636930655825E-9</c:v>
                </c:pt>
                <c:pt idx="142">
                  <c:v>2.353565858541415E-9</c:v>
                </c:pt>
                <c:pt idx="143">
                  <c:v>2.3215285384822126E-9</c:v>
                </c:pt>
                <c:pt idx="144">
                  <c:v>4.4224338098773554E-9</c:v>
                </c:pt>
                <c:pt idx="145">
                  <c:v>2.2239552617446098E-9</c:v>
                </c:pt>
                <c:pt idx="146">
                  <c:v>2.2311303419306249E-9</c:v>
                </c:pt>
                <c:pt idx="147">
                  <c:v>2.1939962188493779E-9</c:v>
                </c:pt>
                <c:pt idx="148">
                  <c:v>2.1929704685540477E-9</c:v>
                </c:pt>
                <c:pt idx="149">
                  <c:v>2.1512691477410304E-9</c:v>
                </c:pt>
                <c:pt idx="150">
                  <c:v>2.1140168613855625E-9</c:v>
                </c:pt>
                <c:pt idx="151">
                  <c:v>2.0968824433213035E-9</c:v>
                </c:pt>
                <c:pt idx="152">
                  <c:v>2.054438872050012E-9</c:v>
                </c:pt>
                <c:pt idx="153">
                  <c:v>2.054438872050012E-9</c:v>
                </c:pt>
                <c:pt idx="154">
                  <c:v>2.0278126202395647E-9</c:v>
                </c:pt>
                <c:pt idx="155">
                  <c:v>2.0311955707379263E-9</c:v>
                </c:pt>
                <c:pt idx="156">
                  <c:v>1.9997513575146421E-9</c:v>
                </c:pt>
                <c:pt idx="157">
                  <c:v>2.0073534569365517E-9</c:v>
                </c:pt>
                <c:pt idx="158">
                  <c:v>1.9696688770111324E-9</c:v>
                </c:pt>
                <c:pt idx="159">
                  <c:v>1.9329945889050159E-9</c:v>
                </c:pt>
                <c:pt idx="160">
                  <c:v>1.9124429759814032E-9</c:v>
                </c:pt>
                <c:pt idx="161">
                  <c:v>1.8919794935559613E-9</c:v>
                </c:pt>
                <c:pt idx="162">
                  <c:v>1.8573325310016311E-9</c:v>
                </c:pt>
                <c:pt idx="163">
                  <c:v>1.8772063120764937E-9</c:v>
                </c:pt>
                <c:pt idx="164">
                  <c:v>1.8288894031564347E-9</c:v>
                </c:pt>
                <c:pt idx="165">
                  <c:v>1.8002951984355235E-9</c:v>
                </c:pt>
                <c:pt idx="166">
                  <c:v>1.7742841395793698E-9</c:v>
                </c:pt>
                <c:pt idx="167">
                  <c:v>1.7484933303086579E-9</c:v>
                </c:pt>
                <c:pt idx="168">
                  <c:v>1.7421547979600236E-9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7D-4820-917C-2EC9C8DE6A08}"/>
            </c:ext>
          </c:extLst>
        </c:ser>
        <c:ser>
          <c:idx val="7"/>
          <c:order val="7"/>
          <c:tx>
            <c:strRef>
              <c:f>'Fuente - interna'!$I$22</c:f>
              <c:strCache>
                <c:ptCount val="1"/>
                <c:pt idx="0">
                  <c:v>Titulos de Tesorería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  <c:cat>
            <c:numRef>
              <c:f>'Fuente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interna'!$I$114:$I$305</c:f>
              <c:numCache>
                <c:formatCode>0.00%</c:formatCode>
                <c:ptCount val="1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2.0236960273644872E-2</c:v>
                </c:pt>
                <c:pt idx="8">
                  <c:v>4.5773467824087206E-3</c:v>
                </c:pt>
                <c:pt idx="9">
                  <c:v>1.7586864433735E-2</c:v>
                </c:pt>
                <c:pt idx="10">
                  <c:v>4.7224871527613101E-2</c:v>
                </c:pt>
                <c:pt idx="11">
                  <c:v>4.8606608951498716E-2</c:v>
                </c:pt>
                <c:pt idx="12">
                  <c:v>3.9568044178824202E-2</c:v>
                </c:pt>
                <c:pt idx="13">
                  <c:v>4.6790073370824498E-2</c:v>
                </c:pt>
                <c:pt idx="14">
                  <c:v>3.1020599787487699E-2</c:v>
                </c:pt>
                <c:pt idx="15">
                  <c:v>1.8808523763183843E-2</c:v>
                </c:pt>
                <c:pt idx="16">
                  <c:v>1.3155882554736209E-3</c:v>
                </c:pt>
                <c:pt idx="17">
                  <c:v>3.2889313193357949E-3</c:v>
                </c:pt>
                <c:pt idx="18">
                  <c:v>1.2509020801667868E-3</c:v>
                </c:pt>
                <c:pt idx="19">
                  <c:v>1.5037602322453447E-3</c:v>
                </c:pt>
                <c:pt idx="20">
                  <c:v>1.5869427486061474E-3</c:v>
                </c:pt>
                <c:pt idx="21">
                  <c:v>1.0797132905293043E-3</c:v>
                </c:pt>
                <c:pt idx="22">
                  <c:v>2.1714634863683063E-2</c:v>
                </c:pt>
                <c:pt idx="23">
                  <c:v>5.5821029458969842E-2</c:v>
                </c:pt>
                <c:pt idx="24">
                  <c:v>2.4938035899016026E-3</c:v>
                </c:pt>
                <c:pt idx="25">
                  <c:v>1.2879505590458725E-3</c:v>
                </c:pt>
                <c:pt idx="26">
                  <c:v>1.3482914504701631E-3</c:v>
                </c:pt>
                <c:pt idx="27">
                  <c:v>1.3810620656901267E-3</c:v>
                </c:pt>
                <c:pt idx="28">
                  <c:v>1.5171301012214286E-3</c:v>
                </c:pt>
                <c:pt idx="29">
                  <c:v>1.6741239702975704E-3</c:v>
                </c:pt>
                <c:pt idx="30">
                  <c:v>1.761792859482088E-3</c:v>
                </c:pt>
                <c:pt idx="31">
                  <c:v>1.8330187078209441E-3</c:v>
                </c:pt>
                <c:pt idx="32">
                  <c:v>1.9703635460944823E-3</c:v>
                </c:pt>
                <c:pt idx="33">
                  <c:v>1.6678344048973077E-3</c:v>
                </c:pt>
                <c:pt idx="34">
                  <c:v>2.1722892118916587E-3</c:v>
                </c:pt>
                <c:pt idx="35">
                  <c:v>1.4270768754163008E-2</c:v>
                </c:pt>
                <c:pt idx="36">
                  <c:v>2.3759020100240255E-3</c:v>
                </c:pt>
                <c:pt idx="37">
                  <c:v>2.4496837586196756E-3</c:v>
                </c:pt>
                <c:pt idx="38">
                  <c:v>2.4591957932702984E-3</c:v>
                </c:pt>
                <c:pt idx="39">
                  <c:v>2.4666545947428717E-3</c:v>
                </c:pt>
                <c:pt idx="40">
                  <c:v>2.4858079523737905E-3</c:v>
                </c:pt>
                <c:pt idx="41">
                  <c:v>2.4854158294627384E-3</c:v>
                </c:pt>
                <c:pt idx="42">
                  <c:v>2.4562077708232656E-3</c:v>
                </c:pt>
                <c:pt idx="43">
                  <c:v>2.4903458274413586E-3</c:v>
                </c:pt>
                <c:pt idx="44">
                  <c:v>2.4541183535104144E-3</c:v>
                </c:pt>
                <c:pt idx="45">
                  <c:v>2.4611241971338816E-3</c:v>
                </c:pt>
                <c:pt idx="46">
                  <c:v>2.4163636968160514E-3</c:v>
                </c:pt>
                <c:pt idx="47">
                  <c:v>2.4055171263311765E-2</c:v>
                </c:pt>
                <c:pt idx="48">
                  <c:v>2.0761602221469801E-3</c:v>
                </c:pt>
                <c:pt idx="49">
                  <c:v>2.0055146285911014E-3</c:v>
                </c:pt>
                <c:pt idx="50">
                  <c:v>2.8546839235914945E-2</c:v>
                </c:pt>
                <c:pt idx="51">
                  <c:v>9.7115110936675849E-3</c:v>
                </c:pt>
                <c:pt idx="52">
                  <c:v>1.9866549888577518E-3</c:v>
                </c:pt>
                <c:pt idx="53">
                  <c:v>1.9065568006633934E-3</c:v>
                </c:pt>
                <c:pt idx="54">
                  <c:v>1.8428563050315672E-3</c:v>
                </c:pt>
                <c:pt idx="55">
                  <c:v>1.8552069383381271E-3</c:v>
                </c:pt>
                <c:pt idx="56">
                  <c:v>1.7966210651730089E-3</c:v>
                </c:pt>
                <c:pt idx="57">
                  <c:v>1.655922529857496E-3</c:v>
                </c:pt>
                <c:pt idx="58">
                  <c:v>5.9663037495323408E-3</c:v>
                </c:pt>
                <c:pt idx="59">
                  <c:v>3.4674992198467675E-2</c:v>
                </c:pt>
                <c:pt idx="60">
                  <c:v>1.3104900903509243E-3</c:v>
                </c:pt>
                <c:pt idx="61">
                  <c:v>6.7521815677843103E-3</c:v>
                </c:pt>
                <c:pt idx="62">
                  <c:v>8.4279146249971043E-3</c:v>
                </c:pt>
                <c:pt idx="63">
                  <c:v>1.0423104050847679E-3</c:v>
                </c:pt>
                <c:pt idx="64">
                  <c:v>1.1523711727899099E-3</c:v>
                </c:pt>
                <c:pt idx="65">
                  <c:v>1.6543601357467651E-2</c:v>
                </c:pt>
                <c:pt idx="66">
                  <c:v>1.3486349551718731E-2</c:v>
                </c:pt>
                <c:pt idx="67">
                  <c:v>9.0662737542984099E-3</c:v>
                </c:pt>
                <c:pt idx="68">
                  <c:v>2.8636105977598258E-2</c:v>
                </c:pt>
                <c:pt idx="69">
                  <c:v>4.1521874855153504E-2</c:v>
                </c:pt>
                <c:pt idx="70">
                  <c:v>2.368380103364055E-2</c:v>
                </c:pt>
                <c:pt idx="71">
                  <c:v>2.9465407164065205E-2</c:v>
                </c:pt>
                <c:pt idx="72">
                  <c:v>7.1844523278526162E-4</c:v>
                </c:pt>
                <c:pt idx="73">
                  <c:v>2.704074036344175E-2</c:v>
                </c:pt>
                <c:pt idx="74">
                  <c:v>1.7407011302376395E-2</c:v>
                </c:pt>
                <c:pt idx="75">
                  <c:v>1.9269920094725779E-3</c:v>
                </c:pt>
                <c:pt idx="76">
                  <c:v>2.8613894081954958E-2</c:v>
                </c:pt>
                <c:pt idx="77">
                  <c:v>7.3013008782950664E-4</c:v>
                </c:pt>
                <c:pt idx="78">
                  <c:v>7.3620353029156527E-4</c:v>
                </c:pt>
                <c:pt idx="79">
                  <c:v>2.0910407666436194E-3</c:v>
                </c:pt>
                <c:pt idx="80">
                  <c:v>3.378867017719079E-2</c:v>
                </c:pt>
                <c:pt idx="81">
                  <c:v>3.5496015209834919E-2</c:v>
                </c:pt>
                <c:pt idx="82">
                  <c:v>3.6651338846496545E-2</c:v>
                </c:pt>
                <c:pt idx="83">
                  <c:v>5.5605404127112942E-2</c:v>
                </c:pt>
                <c:pt idx="84">
                  <c:v>4.2397857433507512E-2</c:v>
                </c:pt>
                <c:pt idx="85">
                  <c:v>4.5333589226937858E-2</c:v>
                </c:pt>
                <c:pt idx="86">
                  <c:v>3.8538002413185141E-2</c:v>
                </c:pt>
                <c:pt idx="87">
                  <c:v>3.5394492353108903E-2</c:v>
                </c:pt>
                <c:pt idx="88">
                  <c:v>4.0739792459691539E-2</c:v>
                </c:pt>
                <c:pt idx="89">
                  <c:v>5.6937183410879194E-2</c:v>
                </c:pt>
                <c:pt idx="90">
                  <c:v>5.558858050241508E-2</c:v>
                </c:pt>
                <c:pt idx="91">
                  <c:v>4.9634452902358149E-2</c:v>
                </c:pt>
                <c:pt idx="92">
                  <c:v>4.9045824168405382E-2</c:v>
                </c:pt>
                <c:pt idx="93">
                  <c:v>5.2680004191612388E-2</c:v>
                </c:pt>
                <c:pt idx="94">
                  <c:v>5.2061701984803054E-2</c:v>
                </c:pt>
                <c:pt idx="95">
                  <c:v>5.0968040816376584E-2</c:v>
                </c:pt>
                <c:pt idx="96">
                  <c:v>3.5382285404757283E-2</c:v>
                </c:pt>
                <c:pt idx="97">
                  <c:v>3.3379102028236789E-2</c:v>
                </c:pt>
                <c:pt idx="98">
                  <c:v>4.1117721215829246E-2</c:v>
                </c:pt>
                <c:pt idx="99">
                  <c:v>2.8990869931202812E-2</c:v>
                </c:pt>
                <c:pt idx="100">
                  <c:v>2.933381595897902E-2</c:v>
                </c:pt>
                <c:pt idx="101">
                  <c:v>2.9586293221373756E-2</c:v>
                </c:pt>
                <c:pt idx="102">
                  <c:v>3.410111952371464E-2</c:v>
                </c:pt>
                <c:pt idx="103">
                  <c:v>3.3487198046881335E-2</c:v>
                </c:pt>
                <c:pt idx="104">
                  <c:v>3.3263549257820491E-2</c:v>
                </c:pt>
                <c:pt idx="105">
                  <c:v>3.3053236953951889E-2</c:v>
                </c:pt>
                <c:pt idx="106">
                  <c:v>3.2702933183805662E-2</c:v>
                </c:pt>
                <c:pt idx="107">
                  <c:v>5.1837177443196505E-2</c:v>
                </c:pt>
                <c:pt idx="108">
                  <c:v>4.6768552614961288E-2</c:v>
                </c:pt>
                <c:pt idx="109">
                  <c:v>4.7199215063789712E-2</c:v>
                </c:pt>
                <c:pt idx="110">
                  <c:v>4.5610124405863955E-2</c:v>
                </c:pt>
                <c:pt idx="111">
                  <c:v>4.8653279412622111E-2</c:v>
                </c:pt>
                <c:pt idx="112">
                  <c:v>4.6070320331461162E-2</c:v>
                </c:pt>
                <c:pt idx="113">
                  <c:v>4.5613019640318178E-2</c:v>
                </c:pt>
                <c:pt idx="114">
                  <c:v>4.6464166203633847E-2</c:v>
                </c:pt>
                <c:pt idx="115">
                  <c:v>4.4269037134636202E-2</c:v>
                </c:pt>
                <c:pt idx="116">
                  <c:v>4.3796845041313398E-2</c:v>
                </c:pt>
                <c:pt idx="117">
                  <c:v>4.1085969586689849E-2</c:v>
                </c:pt>
                <c:pt idx="118">
                  <c:v>4.1377546091885396E-2</c:v>
                </c:pt>
                <c:pt idx="119">
                  <c:v>5.2151894111442214E-2</c:v>
                </c:pt>
                <c:pt idx="120">
                  <c:v>4.8703984309059908E-2</c:v>
                </c:pt>
                <c:pt idx="121">
                  <c:v>4.7784801002257161E-2</c:v>
                </c:pt>
                <c:pt idx="122">
                  <c:v>4.7247336639490906E-2</c:v>
                </c:pt>
                <c:pt idx="123">
                  <c:v>4.7266971301574152E-2</c:v>
                </c:pt>
                <c:pt idx="124">
                  <c:v>4.7195643743738282E-2</c:v>
                </c:pt>
                <c:pt idx="125">
                  <c:v>4.8556117277782765E-2</c:v>
                </c:pt>
                <c:pt idx="126">
                  <c:v>5.7340410606654624E-2</c:v>
                </c:pt>
                <c:pt idx="127">
                  <c:v>5.6889322046861084E-2</c:v>
                </c:pt>
                <c:pt idx="128">
                  <c:v>6.0713732110296223E-2</c:v>
                </c:pt>
                <c:pt idx="129">
                  <c:v>6.0618123549498353E-2</c:v>
                </c:pt>
                <c:pt idx="130">
                  <c:v>6.0053759700589994E-2</c:v>
                </c:pt>
                <c:pt idx="131">
                  <c:v>5.5922869258587651E-2</c:v>
                </c:pt>
                <c:pt idx="132">
                  <c:v>8.4554496896052267E-2</c:v>
                </c:pt>
                <c:pt idx="133">
                  <c:v>8.0420438025282384E-2</c:v>
                </c:pt>
                <c:pt idx="134">
                  <c:v>8.3360285794316355E-2</c:v>
                </c:pt>
                <c:pt idx="135">
                  <c:v>6.6497547454991104E-2</c:v>
                </c:pt>
                <c:pt idx="136">
                  <c:v>7.3358561183750837E-2</c:v>
                </c:pt>
                <c:pt idx="137">
                  <c:v>7.1147344633596662E-2</c:v>
                </c:pt>
                <c:pt idx="138">
                  <c:v>7.435162148658199E-2</c:v>
                </c:pt>
                <c:pt idx="139">
                  <c:v>7.5213723871547331E-2</c:v>
                </c:pt>
                <c:pt idx="140">
                  <c:v>7.5255816385805752E-2</c:v>
                </c:pt>
                <c:pt idx="141">
                  <c:v>7.4974132907700011E-2</c:v>
                </c:pt>
                <c:pt idx="142">
                  <c:v>7.1185533874436727E-2</c:v>
                </c:pt>
                <c:pt idx="143">
                  <c:v>7.0557383472761317E-2</c:v>
                </c:pt>
                <c:pt idx="144">
                  <c:v>5.3728942437246609E-2</c:v>
                </c:pt>
                <c:pt idx="145">
                  <c:v>5.7922863640959235E-2</c:v>
                </c:pt>
                <c:pt idx="146">
                  <c:v>6.6514108758750023E-2</c:v>
                </c:pt>
                <c:pt idx="147">
                  <c:v>6.7233801663466194E-2</c:v>
                </c:pt>
                <c:pt idx="148">
                  <c:v>6.6174431533168723E-2</c:v>
                </c:pt>
                <c:pt idx="149">
                  <c:v>6.3942113572075285E-2</c:v>
                </c:pt>
                <c:pt idx="150">
                  <c:v>6.5936560130500241E-2</c:v>
                </c:pt>
                <c:pt idx="151">
                  <c:v>5.2113950079371613E-2</c:v>
                </c:pt>
                <c:pt idx="152">
                  <c:v>4.9475597316623106E-2</c:v>
                </c:pt>
                <c:pt idx="153">
                  <c:v>5.4838818799021402E-2</c:v>
                </c:pt>
                <c:pt idx="154">
                  <c:v>5.2845134091964917E-2</c:v>
                </c:pt>
                <c:pt idx="155">
                  <c:v>5.1885200417803472E-2</c:v>
                </c:pt>
                <c:pt idx="156">
                  <c:v>5.9712349953022763E-2</c:v>
                </c:pt>
                <c:pt idx="157">
                  <c:v>5.8600534687406405E-2</c:v>
                </c:pt>
                <c:pt idx="158">
                  <c:v>5.9151126057122562E-2</c:v>
                </c:pt>
                <c:pt idx="159">
                  <c:v>6.0165369314712752E-2</c:v>
                </c:pt>
                <c:pt idx="160">
                  <c:v>7.9518591315868678E-2</c:v>
                </c:pt>
                <c:pt idx="161">
                  <c:v>6.0317164924656712E-2</c:v>
                </c:pt>
                <c:pt idx="162">
                  <c:v>6.3804696502095956E-2</c:v>
                </c:pt>
                <c:pt idx="163">
                  <c:v>6.155268078665263E-2</c:v>
                </c:pt>
                <c:pt idx="164">
                  <c:v>6.328363315105405E-2</c:v>
                </c:pt>
                <c:pt idx="165">
                  <c:v>6.7330789643754857E-2</c:v>
                </c:pt>
                <c:pt idx="166">
                  <c:v>6.7086706134359533E-2</c:v>
                </c:pt>
                <c:pt idx="167">
                  <c:v>8.8686437795433185E-2</c:v>
                </c:pt>
                <c:pt idx="168">
                  <c:v>8.5401272068233391E-2</c:v>
                </c:pt>
                <c:pt idx="169">
                  <c:v>8.7131287862108442E-2</c:v>
                </c:pt>
                <c:pt idx="170">
                  <c:v>9.4173002207135953E-2</c:v>
                </c:pt>
                <c:pt idx="171">
                  <c:v>9.900958873991024E-2</c:v>
                </c:pt>
                <c:pt idx="172">
                  <c:v>9.6813712778467301E-2</c:v>
                </c:pt>
                <c:pt idx="173">
                  <c:v>9.3887110691177098E-2</c:v>
                </c:pt>
                <c:pt idx="174">
                  <c:v>9.2575157385556897E-2</c:v>
                </c:pt>
                <c:pt idx="175">
                  <c:v>9.3348088474978802E-2</c:v>
                </c:pt>
                <c:pt idx="176">
                  <c:v>8.4177487974496298E-2</c:v>
                </c:pt>
                <c:pt idx="177">
                  <c:v>9.8960665990892135E-2</c:v>
                </c:pt>
                <c:pt idx="178">
                  <c:v>9.9206427168677905E-2</c:v>
                </c:pt>
                <c:pt idx="179">
                  <c:v>8.8782442535252803E-2</c:v>
                </c:pt>
                <c:pt idx="180">
                  <c:v>8.3829773302807317E-2</c:v>
                </c:pt>
                <c:pt idx="181">
                  <c:v>9.6818084562415682E-2</c:v>
                </c:pt>
                <c:pt idx="182">
                  <c:v>9.0730639519340905E-2</c:v>
                </c:pt>
                <c:pt idx="183">
                  <c:v>9.6321331930467255E-2</c:v>
                </c:pt>
                <c:pt idx="184">
                  <c:v>9.4109759207382099E-2</c:v>
                </c:pt>
                <c:pt idx="185">
                  <c:v>9.2002894984255276E-2</c:v>
                </c:pt>
                <c:pt idx="186">
                  <c:v>9.190529796621541E-2</c:v>
                </c:pt>
                <c:pt idx="187">
                  <c:v>9.0559649964870523E-2</c:v>
                </c:pt>
                <c:pt idx="188">
                  <c:v>8.9254502758829485E-2</c:v>
                </c:pt>
                <c:pt idx="189">
                  <c:v>8.8705478724564205E-2</c:v>
                </c:pt>
                <c:pt idx="190">
                  <c:v>9.0125556319810896E-2</c:v>
                </c:pt>
                <c:pt idx="191">
                  <c:v>0.10279316459032468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7D-4820-917C-2EC9C8DE6A08}"/>
            </c:ext>
          </c:extLst>
        </c:ser>
        <c:ser>
          <c:idx val="8"/>
          <c:order val="8"/>
          <c:tx>
            <c:strRef>
              <c:f>'Fuente - interna'!$J$22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'Fuente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43435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interna'!$J$112:$J$305</c:f>
              <c:numCache>
                <c:formatCode>0.00%</c:formatCode>
                <c:ptCount val="194"/>
                <c:pt idx="0">
                  <c:v>1.6831385753620356E-3</c:v>
                </c:pt>
                <c:pt idx="1">
                  <c:v>1.672198807616447E-3</c:v>
                </c:pt>
                <c:pt idx="2">
                  <c:v>1.6449109346510361E-3</c:v>
                </c:pt>
                <c:pt idx="3">
                  <c:v>1.8477413948785957E-3</c:v>
                </c:pt>
                <c:pt idx="4">
                  <c:v>1.8062828079658624E-3</c:v>
                </c:pt>
                <c:pt idx="5">
                  <c:v>1.7697358919623678E-3</c:v>
                </c:pt>
                <c:pt idx="6">
                  <c:v>1.7916364038480692E-3</c:v>
                </c:pt>
                <c:pt idx="7">
                  <c:v>1.5371927527071474E-3</c:v>
                </c:pt>
                <c:pt idx="8">
                  <c:v>1.582245809690988E-3</c:v>
                </c:pt>
                <c:pt idx="9">
                  <c:v>1.5591574404531694E-3</c:v>
                </c:pt>
                <c:pt idx="10">
                  <c:v>1.5576434563624683E-3</c:v>
                </c:pt>
                <c:pt idx="11">
                  <c:v>1.5255638778961913E-3</c:v>
                </c:pt>
                <c:pt idx="12">
                  <c:v>1.400589829454249E-3</c:v>
                </c:pt>
                <c:pt idx="13">
                  <c:v>1.466214837306684E-3</c:v>
                </c:pt>
                <c:pt idx="14">
                  <c:v>1.3716616095770585E-3</c:v>
                </c:pt>
                <c:pt idx="15">
                  <c:v>1.3231062200292623E-3</c:v>
                </c:pt>
                <c:pt idx="16">
                  <c:v>1.3169859020469522E-3</c:v>
                </c:pt>
                <c:pt idx="17">
                  <c:v>6.8739181261635149E-6</c:v>
                </c:pt>
                <c:pt idx="18">
                  <c:v>1.3155882554736209E-3</c:v>
                </c:pt>
                <c:pt idx="19">
                  <c:v>1.178926845430974E-3</c:v>
                </c:pt>
                <c:pt idx="20">
                  <c:v>1.1593781277064201E-3</c:v>
                </c:pt>
                <c:pt idx="21">
                  <c:v>1.262783591668699E-3</c:v>
                </c:pt>
                <c:pt idx="22">
                  <c:v>1.2823836675210352E-3</c:v>
                </c:pt>
                <c:pt idx="23">
                  <c:v>1.2745424122588905E-3</c:v>
                </c:pt>
                <c:pt idx="24">
                  <c:v>1.2655649822210543E-3</c:v>
                </c:pt>
                <c:pt idx="25">
                  <c:v>1.307906675006244E-3</c:v>
                </c:pt>
                <c:pt idx="26">
                  <c:v>1.2472772415791302E-3</c:v>
                </c:pt>
                <c:pt idx="27">
                  <c:v>2.033778398951218E-3</c:v>
                </c:pt>
                <c:pt idx="28">
                  <c:v>2.0806786176450756E-3</c:v>
                </c:pt>
                <c:pt idx="29">
                  <c:v>2.0327874620144587E-3</c:v>
                </c:pt>
                <c:pt idx="30">
                  <c:v>1.4479754247735011E-3</c:v>
                </c:pt>
                <c:pt idx="31">
                  <c:v>1.4231641564686867E-3</c:v>
                </c:pt>
                <c:pt idx="32">
                  <c:v>1.4231825809342647E-3</c:v>
                </c:pt>
                <c:pt idx="33">
                  <c:v>1.4884818526497065E-3</c:v>
                </c:pt>
                <c:pt idx="34">
                  <c:v>1.5637502773049551E-3</c:v>
                </c:pt>
                <c:pt idx="35">
                  <c:v>1.549395156401218E-3</c:v>
                </c:pt>
                <c:pt idx="36">
                  <c:v>1.5415933447376026E-3</c:v>
                </c:pt>
                <c:pt idx="37">
                  <c:v>1.480165708620242E-3</c:v>
                </c:pt>
                <c:pt idx="38">
                  <c:v>1.4466213644598121E-3</c:v>
                </c:pt>
                <c:pt idx="39">
                  <c:v>1.1625639742761922E-3</c:v>
                </c:pt>
                <c:pt idx="40">
                  <c:v>1.4321529209872091E-3</c:v>
                </c:pt>
                <c:pt idx="41">
                  <c:v>1.1641343871056605E-3</c:v>
                </c:pt>
                <c:pt idx="42">
                  <c:v>1.4371186630806651E-3</c:v>
                </c:pt>
                <c:pt idx="43">
                  <c:v>1.4164124499200792E-3</c:v>
                </c:pt>
                <c:pt idx="44">
                  <c:v>1.1610858287554883E-3</c:v>
                </c:pt>
                <c:pt idx="45">
                  <c:v>1.2048132484943836E-3</c:v>
                </c:pt>
                <c:pt idx="46">
                  <c:v>1.1997269158081879E-3</c:v>
                </c:pt>
                <c:pt idx="47">
                  <c:v>1.4434421612969928E-3</c:v>
                </c:pt>
                <c:pt idx="48">
                  <c:v>1.4171902584492191E-3</c:v>
                </c:pt>
                <c:pt idx="49">
                  <c:v>1.4008378375299137E-3</c:v>
                </c:pt>
                <c:pt idx="50">
                  <c:v>1.1652717289058899E-3</c:v>
                </c:pt>
                <c:pt idx="51">
                  <c:v>1.3672873339212912E-3</c:v>
                </c:pt>
                <c:pt idx="52">
                  <c:v>1.4275246677796071E-3</c:v>
                </c:pt>
                <c:pt idx="53">
                  <c:v>1.5280856175540955E-3</c:v>
                </c:pt>
                <c:pt idx="54">
                  <c:v>1.552020622871805E-3</c:v>
                </c:pt>
                <c:pt idx="55">
                  <c:v>1.4662169358428253E-3</c:v>
                </c:pt>
                <c:pt idx="56">
                  <c:v>1.5037415803115515E-3</c:v>
                </c:pt>
                <c:pt idx="57">
                  <c:v>1.4709291830826542E-3</c:v>
                </c:pt>
                <c:pt idx="58">
                  <c:v>1.4145293699827125E-3</c:v>
                </c:pt>
                <c:pt idx="59">
                  <c:v>1.3881154808483916E-3</c:v>
                </c:pt>
                <c:pt idx="60">
                  <c:v>2.3365857808427259E-3</c:v>
                </c:pt>
                <c:pt idx="61">
                  <c:v>2.2577008503285034E-3</c:v>
                </c:pt>
                <c:pt idx="62">
                  <c:v>2.2968034221486967E-3</c:v>
                </c:pt>
                <c:pt idx="63">
                  <c:v>2.2150674426588608E-3</c:v>
                </c:pt>
                <c:pt idx="64">
                  <c:v>2.1460295320838707E-3</c:v>
                </c:pt>
                <c:pt idx="65">
                  <c:v>2.0994587075940973E-3</c:v>
                </c:pt>
                <c:pt idx="66">
                  <c:v>2.1714007716450026E-3</c:v>
                </c:pt>
                <c:pt idx="67">
                  <c:v>2.1085727754165985E-3</c:v>
                </c:pt>
                <c:pt idx="68">
                  <c:v>2.0830184744627545E-3</c:v>
                </c:pt>
                <c:pt idx="69">
                  <c:v>2.1071230331724676E-3</c:v>
                </c:pt>
                <c:pt idx="70">
                  <c:v>2.0901524567001829E-3</c:v>
                </c:pt>
                <c:pt idx="71">
                  <c:v>2.0285605043533902E-3</c:v>
                </c:pt>
                <c:pt idx="72">
                  <c:v>1.2832503562672187E-3</c:v>
                </c:pt>
                <c:pt idx="73">
                  <c:v>1.2726395800466944E-3</c:v>
                </c:pt>
                <c:pt idx="74">
                  <c:v>1.2868277102770559E-3</c:v>
                </c:pt>
                <c:pt idx="75">
                  <c:v>1.3088591920783249E-3</c:v>
                </c:pt>
                <c:pt idx="76">
                  <c:v>1.3047621592899199E-3</c:v>
                </c:pt>
                <c:pt idx="77">
                  <c:v>1.3104075264428838E-3</c:v>
                </c:pt>
                <c:pt idx="78">
                  <c:v>1.2581614202427428E-3</c:v>
                </c:pt>
                <c:pt idx="79">
                  <c:v>1.2791552655964824E-3</c:v>
                </c:pt>
                <c:pt idx="80">
                  <c:v>1.3518960685292253E-3</c:v>
                </c:pt>
                <c:pt idx="81">
                  <c:v>1.3397886455023301E-3</c:v>
                </c:pt>
                <c:pt idx="82">
                  <c:v>1.2808831126173827E-3</c:v>
                </c:pt>
                <c:pt idx="83">
                  <c:v>1.3474265579889494E-3</c:v>
                </c:pt>
                <c:pt idx="84">
                  <c:v>1.4308923452598659E-3</c:v>
                </c:pt>
                <c:pt idx="85">
                  <c:v>1.3998299429564495E-3</c:v>
                </c:pt>
                <c:pt idx="86">
                  <c:v>1.3939403469519084E-3</c:v>
                </c:pt>
                <c:pt idx="87">
                  <c:v>1.3942031217145112E-3</c:v>
                </c:pt>
                <c:pt idx="88">
                  <c:v>1.3488466844311417E-3</c:v>
                </c:pt>
                <c:pt idx="89">
                  <c:v>1.3088476185245084E-3</c:v>
                </c:pt>
                <c:pt idx="90">
                  <c:v>1.2755929107304657E-3</c:v>
                </c:pt>
                <c:pt idx="91">
                  <c:v>1.2772303269613244E-3</c:v>
                </c:pt>
                <c:pt idx="92">
                  <c:v>1.3148553509111588E-3</c:v>
                </c:pt>
                <c:pt idx="93">
                  <c:v>1.3251075880286653E-3</c:v>
                </c:pt>
                <c:pt idx="94">
                  <c:v>1.3674838716957408E-3</c:v>
                </c:pt>
                <c:pt idx="95">
                  <c:v>1.2835694390694874E-3</c:v>
                </c:pt>
                <c:pt idx="96">
                  <c:v>1.2684954230841878E-3</c:v>
                </c:pt>
                <c:pt idx="97">
                  <c:v>1.2781609819574463E-3</c:v>
                </c:pt>
                <c:pt idx="98">
                  <c:v>1.3428358695328892E-3</c:v>
                </c:pt>
                <c:pt idx="99">
                  <c:v>1.3175590549993181E-3</c:v>
                </c:pt>
                <c:pt idx="100">
                  <c:v>1.3412919493360704E-3</c:v>
                </c:pt>
                <c:pt idx="101">
                  <c:v>1.3011267116333821E-3</c:v>
                </c:pt>
                <c:pt idx="102">
                  <c:v>1.2808568381146455E-3</c:v>
                </c:pt>
                <c:pt idx="103">
                  <c:v>1.3245509785698574E-3</c:v>
                </c:pt>
                <c:pt idx="104">
                  <c:v>1.2834616604425078E-3</c:v>
                </c:pt>
                <c:pt idx="105">
                  <c:v>1.260321737017083E-3</c:v>
                </c:pt>
                <c:pt idx="106">
                  <c:v>1.2546008862313342E-3</c:v>
                </c:pt>
                <c:pt idx="107">
                  <c:v>1.2906735432183384E-3</c:v>
                </c:pt>
                <c:pt idx="108">
                  <c:v>1.2319576661460308E-3</c:v>
                </c:pt>
                <c:pt idx="109">
                  <c:v>1.2759914913606887E-3</c:v>
                </c:pt>
                <c:pt idx="110">
                  <c:v>1.2899696740925506E-3</c:v>
                </c:pt>
                <c:pt idx="111">
                  <c:v>1.2645401417553533E-3</c:v>
                </c:pt>
                <c:pt idx="112">
                  <c:v>1.2121516239202133E-3</c:v>
                </c:pt>
                <c:pt idx="113">
                  <c:v>1.2211385669167463E-3</c:v>
                </c:pt>
                <c:pt idx="114">
                  <c:v>1.2278037570672019E-3</c:v>
                </c:pt>
                <c:pt idx="115">
                  <c:v>1.2173782793703676E-3</c:v>
                </c:pt>
                <c:pt idx="116">
                  <c:v>1.1955810985016314E-3</c:v>
                </c:pt>
                <c:pt idx="117">
                  <c:v>1.1755076372396201E-3</c:v>
                </c:pt>
                <c:pt idx="118">
                  <c:v>1.1629691803886843E-3</c:v>
                </c:pt>
                <c:pt idx="119">
                  <c:v>1.166166915061319E-3</c:v>
                </c:pt>
                <c:pt idx="120">
                  <c:v>1.2008072841125242E-3</c:v>
                </c:pt>
                <c:pt idx="121">
                  <c:v>1.168104259940206E-3</c:v>
                </c:pt>
                <c:pt idx="122">
                  <c:v>1.2018856306964532E-3</c:v>
                </c:pt>
                <c:pt idx="123">
                  <c:v>1.1792026156597357E-3</c:v>
                </c:pt>
                <c:pt idx="124">
                  <c:v>1.2041136417885786E-3</c:v>
                </c:pt>
                <c:pt idx="125">
                  <c:v>1.1222244941374079E-3</c:v>
                </c:pt>
                <c:pt idx="126">
                  <c:v>1.173733614082921E-3</c:v>
                </c:pt>
                <c:pt idx="127">
                  <c:v>1.1446095320650569E-3</c:v>
                </c:pt>
                <c:pt idx="128">
                  <c:v>1.118536908985353E-3</c:v>
                </c:pt>
                <c:pt idx="129">
                  <c:v>1.1301375223460636E-3</c:v>
                </c:pt>
                <c:pt idx="130">
                  <c:v>1.1578236087758183E-3</c:v>
                </c:pt>
                <c:pt idx="131">
                  <c:v>1.1229445511252356E-3</c:v>
                </c:pt>
                <c:pt idx="132">
                  <c:v>1.1286512361888862E-3</c:v>
                </c:pt>
                <c:pt idx="133">
                  <c:v>1.1579660845804939E-3</c:v>
                </c:pt>
                <c:pt idx="134">
                  <c:v>1.1107928424276005E-3</c:v>
                </c:pt>
                <c:pt idx="135">
                  <c:v>1.0972128297798232E-3</c:v>
                </c:pt>
                <c:pt idx="136">
                  <c:v>1.121597072546231E-3</c:v>
                </c:pt>
                <c:pt idx="137">
                  <c:v>3.127639380523406E-3</c:v>
                </c:pt>
                <c:pt idx="138">
                  <c:v>4.431953858392474E-3</c:v>
                </c:pt>
                <c:pt idx="139">
                  <c:v>4.9416720042976155E-3</c:v>
                </c:pt>
                <c:pt idx="140">
                  <c:v>4.90712066791238E-3</c:v>
                </c:pt>
                <c:pt idx="141">
                  <c:v>4.8608663116018937E-3</c:v>
                </c:pt>
                <c:pt idx="142">
                  <c:v>4.8097831073648954E-3</c:v>
                </c:pt>
                <c:pt idx="143">
                  <c:v>4.9528337368900067E-3</c:v>
                </c:pt>
                <c:pt idx="144">
                  <c:v>3.7127601355797096E-2</c:v>
                </c:pt>
                <c:pt idx="145">
                  <c:v>3.2627298789327838E-2</c:v>
                </c:pt>
                <c:pt idx="146">
                  <c:v>3.7561319898395854E-2</c:v>
                </c:pt>
                <c:pt idx="147">
                  <c:v>3.6936162931997293E-2</c:v>
                </c:pt>
                <c:pt idx="148">
                  <c:v>3.6918896508134992E-2</c:v>
                </c:pt>
                <c:pt idx="149">
                  <c:v>3.6197974933841658E-2</c:v>
                </c:pt>
                <c:pt idx="150">
                  <c:v>3.5625516058195084E-2</c:v>
                </c:pt>
                <c:pt idx="151">
                  <c:v>3.5336763584223198E-2</c:v>
                </c:pt>
                <c:pt idx="152">
                  <c:v>3.4504594868190866E-2</c:v>
                </c:pt>
                <c:pt idx="153">
                  <c:v>3.5112514333565679E-2</c:v>
                </c:pt>
                <c:pt idx="154">
                  <c:v>3.4180775818168224E-2</c:v>
                </c:pt>
                <c:pt idx="155">
                  <c:v>2.7265284244787115E-2</c:v>
                </c:pt>
                <c:pt idx="156">
                  <c:v>2.6859670066235842E-2</c:v>
                </c:pt>
                <c:pt idx="157">
                  <c:v>2.6910841330325716E-2</c:v>
                </c:pt>
                <c:pt idx="158">
                  <c:v>2.6471809178832132E-2</c:v>
                </c:pt>
                <c:pt idx="159">
                  <c:v>2.5978916811061237E-2</c:v>
                </c:pt>
                <c:pt idx="160">
                  <c:v>2.5702708773263305E-2</c:v>
                </c:pt>
                <c:pt idx="161">
                  <c:v>2.5377796451328039E-2</c:v>
                </c:pt>
                <c:pt idx="162">
                  <c:v>2.4953727302716167E-2</c:v>
                </c:pt>
                <c:pt idx="163">
                  <c:v>2.5242398321502227E-2</c:v>
                </c:pt>
                <c:pt idx="164">
                  <c:v>2.4598918670418822E-2</c:v>
                </c:pt>
                <c:pt idx="165">
                  <c:v>2.4209312884902221E-2</c:v>
                </c:pt>
                <c:pt idx="166">
                  <c:v>2.3885775747169651E-2</c:v>
                </c:pt>
                <c:pt idx="167">
                  <c:v>2.3538120155216117E-2</c:v>
                </c:pt>
                <c:pt idx="168">
                  <c:v>2.345433966326808E-2</c:v>
                </c:pt>
                <c:pt idx="169">
                  <c:v>2.3002321437019326E-2</c:v>
                </c:pt>
                <c:pt idx="170">
                  <c:v>2.2703709975600051E-2</c:v>
                </c:pt>
                <c:pt idx="171">
                  <c:v>2.2892083369226685E-2</c:v>
                </c:pt>
                <c:pt idx="172">
                  <c:v>2.2352044475363157E-2</c:v>
                </c:pt>
                <c:pt idx="173">
                  <c:v>2.1921279884791242E-2</c:v>
                </c:pt>
                <c:pt idx="174">
                  <c:v>2.1638557063952277E-2</c:v>
                </c:pt>
                <c:pt idx="175">
                  <c:v>2.1548025603215431E-2</c:v>
                </c:pt>
                <c:pt idx="176">
                  <c:v>2.1352933459035727E-2</c:v>
                </c:pt>
                <c:pt idx="177">
                  <c:v>2.1062900784662084E-2</c:v>
                </c:pt>
                <c:pt idx="178">
                  <c:v>2.1155883439799825E-2</c:v>
                </c:pt>
                <c:pt idx="179">
                  <c:v>2.0644942090874373E-2</c:v>
                </c:pt>
                <c:pt idx="180">
                  <c:v>2.0550519354226204E-2</c:v>
                </c:pt>
                <c:pt idx="181">
                  <c:v>2.078231879010118E-2</c:v>
                </c:pt>
                <c:pt idx="182">
                  <c:v>2.0609152100075852E-2</c:v>
                </c:pt>
                <c:pt idx="183">
                  <c:v>2.0153856866060128E-2</c:v>
                </c:pt>
                <c:pt idx="184">
                  <c:v>2.0044854290155054E-2</c:v>
                </c:pt>
                <c:pt idx="185">
                  <c:v>1.9554587579402906E-2</c:v>
                </c:pt>
                <c:pt idx="186">
                  <c:v>1.9229190088861023E-2</c:v>
                </c:pt>
                <c:pt idx="187">
                  <c:v>1.8798706176170479E-2</c:v>
                </c:pt>
                <c:pt idx="188">
                  <c:v>1.8778764437749243E-2</c:v>
                </c:pt>
                <c:pt idx="189">
                  <c:v>1.8503811770246854E-2</c:v>
                </c:pt>
                <c:pt idx="190">
                  <c:v>1.8233925475129253E-2</c:v>
                </c:pt>
                <c:pt idx="191">
                  <c:v>1.8124953905472176E-2</c:v>
                </c:pt>
                <c:pt idx="192">
                  <c:v>1.7841936385248749E-2</c:v>
                </c:pt>
                <c:pt idx="193">
                  <c:v>1.7519955598742053E-2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7D-4820-917C-2EC9C8DE6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139936"/>
        <c:axId val="1"/>
      </c:areaChart>
      <c:dateAx>
        <c:axId val="711139936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2"/>
        <c:majorTimeUnit val="years"/>
      </c:dateAx>
      <c:valAx>
        <c:axId val="1"/>
        <c:scaling>
          <c:orientation val="minMax"/>
          <c:min val="0.8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111399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914504098407901"/>
          <c:y val="0.31834941406972017"/>
          <c:w val="0.17449218554854873"/>
          <c:h val="0.47406380540460613"/>
        </c:manualLayout>
      </c:layout>
      <c:overlay val="0"/>
      <c:spPr>
        <a:noFill/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'Fuente - externa'!$B$20</c:f>
          <c:strCache>
            <c:ptCount val="1"/>
            <c:pt idx="0">
              <c:v>Composición por fuente - deuda externa</c:v>
            </c:pt>
          </c:strCache>
        </c:strRef>
      </c:tx>
      <c:layout>
        <c:manualLayout>
          <c:xMode val="edge"/>
          <c:yMode val="edge"/>
          <c:x val="0.21452386412863442"/>
          <c:y val="2.1079571459261544E-2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430078593117036"/>
          <c:y val="0.20111388515459958"/>
          <c:w val="0.66901431438717218"/>
          <c:h val="0.68368734396005382"/>
        </c:manualLayout>
      </c:layout>
      <c:areaChart>
        <c:grouping val="percentStacked"/>
        <c:varyColors val="0"/>
        <c:ser>
          <c:idx val="0"/>
          <c:order val="0"/>
          <c:tx>
            <c:strRef>
              <c:f>'Fuente - externa'!$B$22</c:f>
              <c:strCache>
                <c:ptCount val="1"/>
                <c:pt idx="0">
                  <c:v>Bonos</c:v>
                </c:pt>
              </c:strCache>
            </c:strRef>
          </c:tx>
          <c:spPr>
            <a:solidFill>
              <a:srgbClr val="B48C41"/>
            </a:solidFill>
            <a:ln w="25400">
              <a:noFill/>
            </a:ln>
          </c:spPr>
          <c:cat>
            <c:numRef>
              <c:f>'Fuente - externa'!$A$114:$A$305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43250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externa'!$B$114:$B$305</c:f>
              <c:numCache>
                <c:formatCode>0.00%</c:formatCode>
                <c:ptCount val="192"/>
                <c:pt idx="0">
                  <c:v>0.56306089794371272</c:v>
                </c:pt>
                <c:pt idx="1">
                  <c:v>0.56073858691753531</c:v>
                </c:pt>
                <c:pt idx="2">
                  <c:v>0.54897429727967029</c:v>
                </c:pt>
                <c:pt idx="3">
                  <c:v>0.55810832653508569</c:v>
                </c:pt>
                <c:pt idx="4">
                  <c:v>0.56197714403468491</c:v>
                </c:pt>
                <c:pt idx="5">
                  <c:v>0.56194684144755269</c:v>
                </c:pt>
                <c:pt idx="6">
                  <c:v>0.56162009238266741</c:v>
                </c:pt>
                <c:pt idx="7">
                  <c:v>0.55715960288641031</c:v>
                </c:pt>
                <c:pt idx="8">
                  <c:v>0.55861649627441945</c:v>
                </c:pt>
                <c:pt idx="9">
                  <c:v>0.5656741575923101</c:v>
                </c:pt>
                <c:pt idx="10">
                  <c:v>0.57092719436754158</c:v>
                </c:pt>
                <c:pt idx="11">
                  <c:v>0.55998755245574128</c:v>
                </c:pt>
                <c:pt idx="12">
                  <c:v>0.56185021048044692</c:v>
                </c:pt>
                <c:pt idx="13">
                  <c:v>0.55559068083817031</c:v>
                </c:pt>
                <c:pt idx="14">
                  <c:v>0.55527415585658713</c:v>
                </c:pt>
                <c:pt idx="15">
                  <c:v>0.55449027342032342</c:v>
                </c:pt>
                <c:pt idx="16">
                  <c:v>0.55868214711744857</c:v>
                </c:pt>
                <c:pt idx="17">
                  <c:v>0.55804948220842143</c:v>
                </c:pt>
                <c:pt idx="18">
                  <c:v>0.55445443108375791</c:v>
                </c:pt>
                <c:pt idx="19">
                  <c:v>0.56247293065699178</c:v>
                </c:pt>
                <c:pt idx="20">
                  <c:v>0.5612094017897149</c:v>
                </c:pt>
                <c:pt idx="21">
                  <c:v>0.5560788893643589</c:v>
                </c:pt>
                <c:pt idx="22">
                  <c:v>0.55513335086606386</c:v>
                </c:pt>
                <c:pt idx="23">
                  <c:v>0.54701810447985133</c:v>
                </c:pt>
                <c:pt idx="24">
                  <c:v>0.54770898234815391</c:v>
                </c:pt>
                <c:pt idx="25">
                  <c:v>0.54746187409020497</c:v>
                </c:pt>
                <c:pt idx="26">
                  <c:v>0.54792159438370935</c:v>
                </c:pt>
                <c:pt idx="27">
                  <c:v>0.54960328203026443</c:v>
                </c:pt>
                <c:pt idx="28">
                  <c:v>0.54718476757466039</c:v>
                </c:pt>
                <c:pt idx="29">
                  <c:v>0.54682036972149928</c:v>
                </c:pt>
                <c:pt idx="30">
                  <c:v>0.57553754046137395</c:v>
                </c:pt>
                <c:pt idx="31">
                  <c:v>0.57591297954134268</c:v>
                </c:pt>
                <c:pt idx="32">
                  <c:v>0.57421094026833619</c:v>
                </c:pt>
                <c:pt idx="33">
                  <c:v>0.57269080478612833</c:v>
                </c:pt>
                <c:pt idx="34">
                  <c:v>0.56911727496898501</c:v>
                </c:pt>
                <c:pt idx="35">
                  <c:v>0.56088334079354996</c:v>
                </c:pt>
                <c:pt idx="36">
                  <c:v>0.56385232705178423</c:v>
                </c:pt>
                <c:pt idx="37">
                  <c:v>0.56431932868398704</c:v>
                </c:pt>
                <c:pt idx="38">
                  <c:v>0.56401082729230057</c:v>
                </c:pt>
                <c:pt idx="39">
                  <c:v>0.56498354361498426</c:v>
                </c:pt>
                <c:pt idx="40">
                  <c:v>0.56761882099103012</c:v>
                </c:pt>
                <c:pt idx="41">
                  <c:v>0.56881122804991568</c:v>
                </c:pt>
                <c:pt idx="42">
                  <c:v>0.56980708016708104</c:v>
                </c:pt>
                <c:pt idx="43">
                  <c:v>0.56941909022679349</c:v>
                </c:pt>
                <c:pt idx="44">
                  <c:v>0.57741166888268602</c:v>
                </c:pt>
                <c:pt idx="45">
                  <c:v>0.57633130149497569</c:v>
                </c:pt>
                <c:pt idx="46">
                  <c:v>0.57956464509447081</c:v>
                </c:pt>
                <c:pt idx="47">
                  <c:v>0.56529831302708022</c:v>
                </c:pt>
                <c:pt idx="48">
                  <c:v>0.57159156236972397</c:v>
                </c:pt>
                <c:pt idx="49">
                  <c:v>0.57187292459805328</c:v>
                </c:pt>
                <c:pt idx="50">
                  <c:v>0.57137147807753774</c:v>
                </c:pt>
                <c:pt idx="51">
                  <c:v>0.5712184638792247</c:v>
                </c:pt>
                <c:pt idx="52">
                  <c:v>0.57317955229981343</c:v>
                </c:pt>
                <c:pt idx="53">
                  <c:v>0.57386434389003438</c:v>
                </c:pt>
                <c:pt idx="54">
                  <c:v>0.57539532569501894</c:v>
                </c:pt>
                <c:pt idx="55">
                  <c:v>0.57147582536204977</c:v>
                </c:pt>
                <c:pt idx="56">
                  <c:v>0.58246841440294328</c:v>
                </c:pt>
                <c:pt idx="57">
                  <c:v>0.58295882834456592</c:v>
                </c:pt>
                <c:pt idx="58">
                  <c:v>0.58524842034127555</c:v>
                </c:pt>
                <c:pt idx="59">
                  <c:v>0.5780454677030934</c:v>
                </c:pt>
                <c:pt idx="60">
                  <c:v>0.59998612011428343</c:v>
                </c:pt>
                <c:pt idx="61">
                  <c:v>0.59996859565348881</c:v>
                </c:pt>
                <c:pt idx="62">
                  <c:v>0.60177060137206839</c:v>
                </c:pt>
                <c:pt idx="63">
                  <c:v>0.60249388434057083</c:v>
                </c:pt>
                <c:pt idx="64">
                  <c:v>0.6098694160664524</c:v>
                </c:pt>
                <c:pt idx="65">
                  <c:v>0.61190021290146424</c:v>
                </c:pt>
                <c:pt idx="66">
                  <c:v>0.61249143779299831</c:v>
                </c:pt>
                <c:pt idx="67">
                  <c:v>0.61216970116473901</c:v>
                </c:pt>
                <c:pt idx="68">
                  <c:v>0.61176612562413213</c:v>
                </c:pt>
                <c:pt idx="69">
                  <c:v>0.61709556284392952</c:v>
                </c:pt>
                <c:pt idx="70">
                  <c:v>0.61861055130049392</c:v>
                </c:pt>
                <c:pt idx="71">
                  <c:v>0.57987082405541879</c:v>
                </c:pt>
                <c:pt idx="72">
                  <c:v>0.59597634619608419</c:v>
                </c:pt>
                <c:pt idx="73">
                  <c:v>0.59334864335826654</c:v>
                </c:pt>
                <c:pt idx="74">
                  <c:v>0.60397033275322354</c:v>
                </c:pt>
                <c:pt idx="75">
                  <c:v>0.60592834749889624</c:v>
                </c:pt>
                <c:pt idx="76">
                  <c:v>0.6080342799240176</c:v>
                </c:pt>
                <c:pt idx="77">
                  <c:v>0.6091162865639046</c:v>
                </c:pt>
                <c:pt idx="78">
                  <c:v>0.60689982317388802</c:v>
                </c:pt>
                <c:pt idx="79">
                  <c:v>0.61053172752142293</c:v>
                </c:pt>
                <c:pt idx="80">
                  <c:v>0.62192498326489787</c:v>
                </c:pt>
                <c:pt idx="81">
                  <c:v>0.6028215226674194</c:v>
                </c:pt>
                <c:pt idx="82">
                  <c:v>0.60352113036841137</c:v>
                </c:pt>
                <c:pt idx="83">
                  <c:v>0.58245551473859014</c:v>
                </c:pt>
                <c:pt idx="84">
                  <c:v>0.57888246325250481</c:v>
                </c:pt>
                <c:pt idx="85">
                  <c:v>0.57930590941816618</c:v>
                </c:pt>
                <c:pt idx="86">
                  <c:v>0.5962330630146252</c:v>
                </c:pt>
                <c:pt idx="87">
                  <c:v>0.59793423909049292</c:v>
                </c:pt>
                <c:pt idx="88">
                  <c:v>0.58962305515718183</c:v>
                </c:pt>
                <c:pt idx="89">
                  <c:v>0.59172600579049051</c:v>
                </c:pt>
                <c:pt idx="90">
                  <c:v>0.59114646393233139</c:v>
                </c:pt>
                <c:pt idx="91">
                  <c:v>0.59292224168052488</c:v>
                </c:pt>
                <c:pt idx="92">
                  <c:v>0.59452798457465605</c:v>
                </c:pt>
                <c:pt idx="93">
                  <c:v>0.5942414671925087</c:v>
                </c:pt>
                <c:pt idx="94">
                  <c:v>0.58547971675809263</c:v>
                </c:pt>
                <c:pt idx="95">
                  <c:v>0.56838750340972366</c:v>
                </c:pt>
                <c:pt idx="96">
                  <c:v>0.57335665218294318</c:v>
                </c:pt>
                <c:pt idx="97">
                  <c:v>0.57510826582331565</c:v>
                </c:pt>
                <c:pt idx="98">
                  <c:v>0.57621975002186043</c:v>
                </c:pt>
                <c:pt idx="99">
                  <c:v>0.57581078400700358</c:v>
                </c:pt>
                <c:pt idx="100">
                  <c:v>0.57565856906309842</c:v>
                </c:pt>
                <c:pt idx="101">
                  <c:v>0.57580463823834804</c:v>
                </c:pt>
                <c:pt idx="102">
                  <c:v>0.57561645361007407</c:v>
                </c:pt>
                <c:pt idx="103">
                  <c:v>0.58356103001279369</c:v>
                </c:pt>
                <c:pt idx="104">
                  <c:v>0.58467601402738223</c:v>
                </c:pt>
                <c:pt idx="105">
                  <c:v>0.5847853237195878</c:v>
                </c:pt>
                <c:pt idx="106">
                  <c:v>0.58568731050180078</c:v>
                </c:pt>
                <c:pt idx="107">
                  <c:v>0.58331672524563039</c:v>
                </c:pt>
                <c:pt idx="108">
                  <c:v>0.57814586791666267</c:v>
                </c:pt>
                <c:pt idx="109">
                  <c:v>0.5782911051854347</c:v>
                </c:pt>
                <c:pt idx="110">
                  <c:v>0.57126394112321865</c:v>
                </c:pt>
                <c:pt idx="111">
                  <c:v>0.5693730723411824</c:v>
                </c:pt>
                <c:pt idx="112">
                  <c:v>0.57133667692211931</c:v>
                </c:pt>
                <c:pt idx="113">
                  <c:v>0.57204252039627113</c:v>
                </c:pt>
                <c:pt idx="114">
                  <c:v>0.57255015974979273</c:v>
                </c:pt>
                <c:pt idx="115">
                  <c:v>0.57293576774769972</c:v>
                </c:pt>
                <c:pt idx="116">
                  <c:v>0.57031901319351963</c:v>
                </c:pt>
                <c:pt idx="117">
                  <c:v>0.57702448375736981</c:v>
                </c:pt>
                <c:pt idx="118">
                  <c:v>0.57547925212727402</c:v>
                </c:pt>
                <c:pt idx="119">
                  <c:v>0.56741690085431773</c:v>
                </c:pt>
                <c:pt idx="120">
                  <c:v>0.58424192661425678</c:v>
                </c:pt>
                <c:pt idx="121">
                  <c:v>0.58592186428255821</c:v>
                </c:pt>
                <c:pt idx="122">
                  <c:v>0.57889827680583372</c:v>
                </c:pt>
                <c:pt idx="123">
                  <c:v>0.57954570915167336</c:v>
                </c:pt>
                <c:pt idx="124">
                  <c:v>0.58077848540161559</c:v>
                </c:pt>
                <c:pt idx="125">
                  <c:v>0.58140180120672258</c:v>
                </c:pt>
                <c:pt idx="126">
                  <c:v>0.58225874056545279</c:v>
                </c:pt>
                <c:pt idx="127">
                  <c:v>0.58358277761115107</c:v>
                </c:pt>
                <c:pt idx="128">
                  <c:v>0.57996116529265496</c:v>
                </c:pt>
                <c:pt idx="129">
                  <c:v>0.5803052784850995</c:v>
                </c:pt>
                <c:pt idx="130">
                  <c:v>0.57038218411535835</c:v>
                </c:pt>
                <c:pt idx="131">
                  <c:v>0.56457493906390421</c:v>
                </c:pt>
                <c:pt idx="132">
                  <c:v>0.57018261788178604</c:v>
                </c:pt>
                <c:pt idx="133">
                  <c:v>0.56437558498796281</c:v>
                </c:pt>
                <c:pt idx="134">
                  <c:v>0.55440418926517732</c:v>
                </c:pt>
                <c:pt idx="135">
                  <c:v>0.53827043979075229</c:v>
                </c:pt>
                <c:pt idx="136">
                  <c:v>0.52720645630060459</c:v>
                </c:pt>
                <c:pt idx="137">
                  <c:v>0.54779502297815996</c:v>
                </c:pt>
                <c:pt idx="138">
                  <c:v>0.53267225591948486</c:v>
                </c:pt>
                <c:pt idx="139">
                  <c:v>0.52812132787511012</c:v>
                </c:pt>
                <c:pt idx="140">
                  <c:v>0.52881867899489121</c:v>
                </c:pt>
                <c:pt idx="141">
                  <c:v>0.52914661966907806</c:v>
                </c:pt>
                <c:pt idx="142">
                  <c:v>0.53047378525576405</c:v>
                </c:pt>
                <c:pt idx="143">
                  <c:v>0.48236399002338598</c:v>
                </c:pt>
                <c:pt idx="144">
                  <c:v>0.49448918312686196</c:v>
                </c:pt>
                <c:pt idx="145">
                  <c:v>0.49502442210075653</c:v>
                </c:pt>
                <c:pt idx="146">
                  <c:v>0.48380279987746355</c:v>
                </c:pt>
                <c:pt idx="147">
                  <c:v>0.50006354795228269</c:v>
                </c:pt>
                <c:pt idx="148">
                  <c:v>0.50073273861629497</c:v>
                </c:pt>
                <c:pt idx="149">
                  <c:v>0.49700270002402214</c:v>
                </c:pt>
                <c:pt idx="150">
                  <c:v>0.49674766202194021</c:v>
                </c:pt>
                <c:pt idx="151">
                  <c:v>0.49799548372672464</c:v>
                </c:pt>
                <c:pt idx="152">
                  <c:v>0.49680092914931767</c:v>
                </c:pt>
                <c:pt idx="153">
                  <c:v>0.50067260184754137</c:v>
                </c:pt>
                <c:pt idx="154">
                  <c:v>0.49648773296669169</c:v>
                </c:pt>
                <c:pt idx="155">
                  <c:v>0.48595024004413356</c:v>
                </c:pt>
                <c:pt idx="156">
                  <c:v>0.48724925749022752</c:v>
                </c:pt>
                <c:pt idx="157">
                  <c:v>0.48640339869372118</c:v>
                </c:pt>
                <c:pt idx="158">
                  <c:v>0.48736508405014001</c:v>
                </c:pt>
                <c:pt idx="159">
                  <c:v>0.49022357650887327</c:v>
                </c:pt>
                <c:pt idx="160">
                  <c:v>0.48573939523022369</c:v>
                </c:pt>
                <c:pt idx="161">
                  <c:v>0.48533138724070485</c:v>
                </c:pt>
                <c:pt idx="162">
                  <c:v>0.48374073180647154</c:v>
                </c:pt>
                <c:pt idx="163">
                  <c:v>0.48181328449235988</c:v>
                </c:pt>
                <c:pt idx="164">
                  <c:v>0.48195656542668663</c:v>
                </c:pt>
                <c:pt idx="165">
                  <c:v>0.48228833122720893</c:v>
                </c:pt>
                <c:pt idx="166">
                  <c:v>0.47942756111371354</c:v>
                </c:pt>
                <c:pt idx="167">
                  <c:v>0.47570133719179331</c:v>
                </c:pt>
                <c:pt idx="168">
                  <c:v>0.4748973590190384</c:v>
                </c:pt>
                <c:pt idx="169">
                  <c:v>0.48631464793348073</c:v>
                </c:pt>
                <c:pt idx="170">
                  <c:v>0.48016154521236504</c:v>
                </c:pt>
                <c:pt idx="171">
                  <c:v>0.4809198632395118</c:v>
                </c:pt>
                <c:pt idx="172">
                  <c:v>0.48315614600514106</c:v>
                </c:pt>
                <c:pt idx="173">
                  <c:v>0.48299427912741355</c:v>
                </c:pt>
                <c:pt idx="174">
                  <c:v>0.48218591488701845</c:v>
                </c:pt>
                <c:pt idx="175">
                  <c:v>0.4836479978468457</c:v>
                </c:pt>
                <c:pt idx="176">
                  <c:v>0.48022965008968355</c:v>
                </c:pt>
                <c:pt idx="177">
                  <c:v>0.47524255470297683</c:v>
                </c:pt>
                <c:pt idx="178">
                  <c:v>0.48854692997449367</c:v>
                </c:pt>
                <c:pt idx="179">
                  <c:v>0.4835166945193709</c:v>
                </c:pt>
                <c:pt idx="180">
                  <c:v>0.48371633312223772</c:v>
                </c:pt>
                <c:pt idx="181">
                  <c:v>0.48433923563718401</c:v>
                </c:pt>
                <c:pt idx="182">
                  <c:v>0.48559025439185965</c:v>
                </c:pt>
                <c:pt idx="183">
                  <c:v>0.49467432639570708</c:v>
                </c:pt>
                <c:pt idx="184">
                  <c:v>0.4933624281598683</c:v>
                </c:pt>
                <c:pt idx="185">
                  <c:v>0.49433820062050055</c:v>
                </c:pt>
                <c:pt idx="186">
                  <c:v>0.48953887439095828</c:v>
                </c:pt>
                <c:pt idx="187">
                  <c:v>0.4931234241128305</c:v>
                </c:pt>
                <c:pt idx="188">
                  <c:v>0.49296247250305181</c:v>
                </c:pt>
                <c:pt idx="189">
                  <c:v>0.49454651206944789</c:v>
                </c:pt>
                <c:pt idx="190">
                  <c:v>0.51498901329759039</c:v>
                </c:pt>
                <c:pt idx="191">
                  <c:v>0.51754968925395506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4-4AE5-90D5-A0C9DD396A99}"/>
            </c:ext>
          </c:extLst>
        </c:ser>
        <c:ser>
          <c:idx val="1"/>
          <c:order val="1"/>
          <c:tx>
            <c:strRef>
              <c:f>'Fuente - externa'!$C$22</c:f>
              <c:strCache>
                <c:ptCount val="1"/>
                <c:pt idx="0">
                  <c:v>BID                            </c:v>
                </c:pt>
              </c:strCache>
            </c:strRef>
          </c:tx>
          <c:spPr>
            <a:solidFill>
              <a:srgbClr val="C5A15F"/>
            </a:solidFill>
            <a:ln w="25400">
              <a:noFill/>
            </a:ln>
          </c:spPr>
          <c:cat>
            <c:numRef>
              <c:f>'Fuente - externa'!$A$114:$A$305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43250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externa'!$C$114:$C$305</c:f>
              <c:numCache>
                <c:formatCode>0.00%</c:formatCode>
                <c:ptCount val="192"/>
                <c:pt idx="0">
                  <c:v>0.19990082391649452</c:v>
                </c:pt>
                <c:pt idx="1">
                  <c:v>0.20203109573797234</c:v>
                </c:pt>
                <c:pt idx="2">
                  <c:v>0.19881204072632538</c:v>
                </c:pt>
                <c:pt idx="3">
                  <c:v>0.19313506839034789</c:v>
                </c:pt>
                <c:pt idx="4">
                  <c:v>0.18794099561285543</c:v>
                </c:pt>
                <c:pt idx="5">
                  <c:v>0.18840355023528785</c:v>
                </c:pt>
                <c:pt idx="6">
                  <c:v>0.18672798041528446</c:v>
                </c:pt>
                <c:pt idx="7">
                  <c:v>0.19443600932949939</c:v>
                </c:pt>
                <c:pt idx="8">
                  <c:v>0.19301640054313174</c:v>
                </c:pt>
                <c:pt idx="9">
                  <c:v>0.18483539406783778</c:v>
                </c:pt>
                <c:pt idx="10">
                  <c:v>0.18535572346449225</c:v>
                </c:pt>
                <c:pt idx="11">
                  <c:v>0.19082146958271701</c:v>
                </c:pt>
                <c:pt idx="12">
                  <c:v>0.18998908989540711</c:v>
                </c:pt>
                <c:pt idx="13">
                  <c:v>0.18846310069207231</c:v>
                </c:pt>
                <c:pt idx="14">
                  <c:v>0.18739765898126307</c:v>
                </c:pt>
                <c:pt idx="15">
                  <c:v>0.18028240412610039</c:v>
                </c:pt>
                <c:pt idx="16">
                  <c:v>0.17748530675437835</c:v>
                </c:pt>
                <c:pt idx="17">
                  <c:v>0.17646499063510376</c:v>
                </c:pt>
                <c:pt idx="18">
                  <c:v>0.17702774591061338</c:v>
                </c:pt>
                <c:pt idx="19">
                  <c:v>0.17457980768687356</c:v>
                </c:pt>
                <c:pt idx="20">
                  <c:v>0.17378087928913427</c:v>
                </c:pt>
                <c:pt idx="21">
                  <c:v>0.17564787534754817</c:v>
                </c:pt>
                <c:pt idx="22">
                  <c:v>0.18016337406228658</c:v>
                </c:pt>
                <c:pt idx="23">
                  <c:v>0.18104411528395942</c:v>
                </c:pt>
                <c:pt idx="24">
                  <c:v>0.18139781201224076</c:v>
                </c:pt>
                <c:pt idx="25">
                  <c:v>0.18206682328487092</c:v>
                </c:pt>
                <c:pt idx="26">
                  <c:v>0.18188411921785486</c:v>
                </c:pt>
                <c:pt idx="27">
                  <c:v>0.17989497742290331</c:v>
                </c:pt>
                <c:pt idx="28">
                  <c:v>0.18008078258014262</c:v>
                </c:pt>
                <c:pt idx="29">
                  <c:v>0.17934105235697445</c:v>
                </c:pt>
                <c:pt idx="30">
                  <c:v>0.16823812308428779</c:v>
                </c:pt>
                <c:pt idx="31">
                  <c:v>0.16868133104224362</c:v>
                </c:pt>
                <c:pt idx="32">
                  <c:v>0.17066630865501731</c:v>
                </c:pt>
                <c:pt idx="33">
                  <c:v>0.16906620469857803</c:v>
                </c:pt>
                <c:pt idx="34">
                  <c:v>0.17623775399844666</c:v>
                </c:pt>
                <c:pt idx="35">
                  <c:v>0.1775745495285613</c:v>
                </c:pt>
                <c:pt idx="36">
                  <c:v>0.17556708297511145</c:v>
                </c:pt>
                <c:pt idx="37">
                  <c:v>0.17545449607923649</c:v>
                </c:pt>
                <c:pt idx="38">
                  <c:v>0.17600702003074739</c:v>
                </c:pt>
                <c:pt idx="39">
                  <c:v>0.1753293172559395</c:v>
                </c:pt>
                <c:pt idx="40">
                  <c:v>0.17367266642702781</c:v>
                </c:pt>
                <c:pt idx="41">
                  <c:v>0.17285945638378927</c:v>
                </c:pt>
                <c:pt idx="42">
                  <c:v>0.17279551651753783</c:v>
                </c:pt>
                <c:pt idx="43">
                  <c:v>0.17374019341452596</c:v>
                </c:pt>
                <c:pt idx="44">
                  <c:v>0.17047071866007568</c:v>
                </c:pt>
                <c:pt idx="45">
                  <c:v>0.17110138106696565</c:v>
                </c:pt>
                <c:pt idx="46">
                  <c:v>0.16898355906520596</c:v>
                </c:pt>
                <c:pt idx="47">
                  <c:v>0.17282190285311175</c:v>
                </c:pt>
                <c:pt idx="48">
                  <c:v>0.170553975810082</c:v>
                </c:pt>
                <c:pt idx="49">
                  <c:v>0.17161310672255409</c:v>
                </c:pt>
                <c:pt idx="50">
                  <c:v>0.17214249738238349</c:v>
                </c:pt>
                <c:pt idx="51">
                  <c:v>0.17194483832417146</c:v>
                </c:pt>
                <c:pt idx="52">
                  <c:v>0.17115962498939546</c:v>
                </c:pt>
                <c:pt idx="53">
                  <c:v>0.17113478427453618</c:v>
                </c:pt>
                <c:pt idx="54">
                  <c:v>0.17050785292211507</c:v>
                </c:pt>
                <c:pt idx="55">
                  <c:v>0.17779953357012637</c:v>
                </c:pt>
                <c:pt idx="56">
                  <c:v>0.16612839792546186</c:v>
                </c:pt>
                <c:pt idx="57">
                  <c:v>0.16573996227273277</c:v>
                </c:pt>
                <c:pt idx="58">
                  <c:v>0.16471166141033519</c:v>
                </c:pt>
                <c:pt idx="59">
                  <c:v>0.17321791516104032</c:v>
                </c:pt>
                <c:pt idx="60">
                  <c:v>0.16479525567032435</c:v>
                </c:pt>
                <c:pt idx="61">
                  <c:v>0.16533059468468034</c:v>
                </c:pt>
                <c:pt idx="62">
                  <c:v>0.16416023260752249</c:v>
                </c:pt>
                <c:pt idx="63">
                  <c:v>0.16345722769786103</c:v>
                </c:pt>
                <c:pt idx="64">
                  <c:v>0.162398140691069</c:v>
                </c:pt>
                <c:pt idx="65">
                  <c:v>0.16181797893828856</c:v>
                </c:pt>
                <c:pt idx="66">
                  <c:v>0.1616447478711214</c:v>
                </c:pt>
                <c:pt idx="67">
                  <c:v>0.16240663043113943</c:v>
                </c:pt>
                <c:pt idx="68">
                  <c:v>0.1635165393951328</c:v>
                </c:pt>
                <c:pt idx="69">
                  <c:v>0.15769214709317289</c:v>
                </c:pt>
                <c:pt idx="70">
                  <c:v>0.15761878103536037</c:v>
                </c:pt>
                <c:pt idx="71">
                  <c:v>0.16656461992572341</c:v>
                </c:pt>
                <c:pt idx="72">
                  <c:v>0.16032272477980228</c:v>
                </c:pt>
                <c:pt idx="73">
                  <c:v>0.15982783847015183</c:v>
                </c:pt>
                <c:pt idx="74">
                  <c:v>0.15617713162985722</c:v>
                </c:pt>
                <c:pt idx="75">
                  <c:v>0.15464942771093515</c:v>
                </c:pt>
                <c:pt idx="76">
                  <c:v>0.15413801042925984</c:v>
                </c:pt>
                <c:pt idx="77">
                  <c:v>0.15405767821601879</c:v>
                </c:pt>
                <c:pt idx="78">
                  <c:v>0.15570481355522287</c:v>
                </c:pt>
                <c:pt idx="79">
                  <c:v>0.15776930641768236</c:v>
                </c:pt>
                <c:pt idx="80">
                  <c:v>0.15063749611181537</c:v>
                </c:pt>
                <c:pt idx="81">
                  <c:v>0.16206634646501908</c:v>
                </c:pt>
                <c:pt idx="82">
                  <c:v>0.1621556133793387</c:v>
                </c:pt>
                <c:pt idx="83">
                  <c:v>0.16586364448252838</c:v>
                </c:pt>
                <c:pt idx="84">
                  <c:v>0.16508188794551321</c:v>
                </c:pt>
                <c:pt idx="85">
                  <c:v>0.16542463000598348</c:v>
                </c:pt>
                <c:pt idx="86">
                  <c:v>0.15823890887641084</c:v>
                </c:pt>
                <c:pt idx="87">
                  <c:v>0.15733089533139497</c:v>
                </c:pt>
                <c:pt idx="88">
                  <c:v>0.15434271973853417</c:v>
                </c:pt>
                <c:pt idx="89">
                  <c:v>0.1536334952010735</c:v>
                </c:pt>
                <c:pt idx="90">
                  <c:v>0.15400355267331989</c:v>
                </c:pt>
                <c:pt idx="91">
                  <c:v>0.15375974373421986</c:v>
                </c:pt>
                <c:pt idx="92">
                  <c:v>0.15311164867270532</c:v>
                </c:pt>
                <c:pt idx="93">
                  <c:v>0.15353380906142108</c:v>
                </c:pt>
                <c:pt idx="94">
                  <c:v>0.15999458820915852</c:v>
                </c:pt>
                <c:pt idx="95">
                  <c:v>0.16401523488449599</c:v>
                </c:pt>
                <c:pt idx="96">
                  <c:v>0.15958937668996739</c:v>
                </c:pt>
                <c:pt idx="97">
                  <c:v>0.15965639432044201</c:v>
                </c:pt>
                <c:pt idx="98">
                  <c:v>0.15897324393388435</c:v>
                </c:pt>
                <c:pt idx="99">
                  <c:v>0.15851083676567218</c:v>
                </c:pt>
                <c:pt idx="100">
                  <c:v>0.15614360527420168</c:v>
                </c:pt>
                <c:pt idx="101">
                  <c:v>0.15609648730227094</c:v>
                </c:pt>
                <c:pt idx="102">
                  <c:v>0.15537261937761171</c:v>
                </c:pt>
                <c:pt idx="103">
                  <c:v>0.15861248809522666</c:v>
                </c:pt>
                <c:pt idx="104">
                  <c:v>0.15829335197777528</c:v>
                </c:pt>
                <c:pt idx="105">
                  <c:v>0.15859829879844276</c:v>
                </c:pt>
                <c:pt idx="106">
                  <c:v>0.1569893467159407</c:v>
                </c:pt>
                <c:pt idx="107">
                  <c:v>0.16238841148599756</c:v>
                </c:pt>
                <c:pt idx="108">
                  <c:v>0.15982990947788023</c:v>
                </c:pt>
                <c:pt idx="109">
                  <c:v>0.15987789093081739</c:v>
                </c:pt>
                <c:pt idx="110">
                  <c:v>0.15677779589198482</c:v>
                </c:pt>
                <c:pt idx="111">
                  <c:v>0.15611793587838999</c:v>
                </c:pt>
                <c:pt idx="112">
                  <c:v>0.15570225907485227</c:v>
                </c:pt>
                <c:pt idx="113">
                  <c:v>0.15542007935807739</c:v>
                </c:pt>
                <c:pt idx="114">
                  <c:v>0.15518723005890395</c:v>
                </c:pt>
                <c:pt idx="115">
                  <c:v>0.15581318735014402</c:v>
                </c:pt>
                <c:pt idx="116">
                  <c:v>0.1541631996631129</c:v>
                </c:pt>
                <c:pt idx="117">
                  <c:v>0.15101290697231143</c:v>
                </c:pt>
                <c:pt idx="118">
                  <c:v>0.14936746320513375</c:v>
                </c:pt>
                <c:pt idx="119">
                  <c:v>0.15892654446974103</c:v>
                </c:pt>
                <c:pt idx="120">
                  <c:v>0.1525151300938013</c:v>
                </c:pt>
                <c:pt idx="121">
                  <c:v>0.1523477669479896</c:v>
                </c:pt>
                <c:pt idx="122">
                  <c:v>0.15526843279161379</c:v>
                </c:pt>
                <c:pt idx="123">
                  <c:v>0.1552002409062726</c:v>
                </c:pt>
                <c:pt idx="124">
                  <c:v>0.15418422010419169</c:v>
                </c:pt>
                <c:pt idx="125">
                  <c:v>0.1529822950183487</c:v>
                </c:pt>
                <c:pt idx="126">
                  <c:v>0.15361476627760318</c:v>
                </c:pt>
                <c:pt idx="127">
                  <c:v>0.15380247554461057</c:v>
                </c:pt>
                <c:pt idx="128">
                  <c:v>0.15912368292896925</c:v>
                </c:pt>
                <c:pt idx="129">
                  <c:v>0.15852889220818558</c:v>
                </c:pt>
                <c:pt idx="130">
                  <c:v>0.15679603913011275</c:v>
                </c:pt>
                <c:pt idx="131">
                  <c:v>0.16590818877850597</c:v>
                </c:pt>
                <c:pt idx="132">
                  <c:v>0.16110446903846617</c:v>
                </c:pt>
                <c:pt idx="133">
                  <c:v>0.16300123241964226</c:v>
                </c:pt>
                <c:pt idx="134">
                  <c:v>0.16056442659899417</c:v>
                </c:pt>
                <c:pt idx="135">
                  <c:v>0.16108198779101959</c:v>
                </c:pt>
                <c:pt idx="136">
                  <c:v>0.15558553970208208</c:v>
                </c:pt>
                <c:pt idx="137">
                  <c:v>0.14842004471703318</c:v>
                </c:pt>
                <c:pt idx="138">
                  <c:v>0.1579197741523668</c:v>
                </c:pt>
                <c:pt idx="139">
                  <c:v>0.15623723520582602</c:v>
                </c:pt>
                <c:pt idx="140">
                  <c:v>0.15617491411218304</c:v>
                </c:pt>
                <c:pt idx="141">
                  <c:v>0.1559418354628388</c:v>
                </c:pt>
                <c:pt idx="142">
                  <c:v>0.15484360947442008</c:v>
                </c:pt>
                <c:pt idx="143">
                  <c:v>0.14012274222209287</c:v>
                </c:pt>
                <c:pt idx="144">
                  <c:v>0.13696494412727475</c:v>
                </c:pt>
                <c:pt idx="145">
                  <c:v>0.13675991300752427</c:v>
                </c:pt>
                <c:pt idx="146">
                  <c:v>0.13906980814463396</c:v>
                </c:pt>
                <c:pt idx="147">
                  <c:v>0.13336869824711842</c:v>
                </c:pt>
                <c:pt idx="148">
                  <c:v>0.13253342433577361</c:v>
                </c:pt>
                <c:pt idx="149">
                  <c:v>0.13136108304707972</c:v>
                </c:pt>
                <c:pt idx="150">
                  <c:v>0.13153404010720904</c:v>
                </c:pt>
                <c:pt idx="151">
                  <c:v>0.13165233564265064</c:v>
                </c:pt>
                <c:pt idx="152">
                  <c:v>0.13222944760205152</c:v>
                </c:pt>
                <c:pt idx="153">
                  <c:v>0.12919019258058381</c:v>
                </c:pt>
                <c:pt idx="154">
                  <c:v>0.13203241911113139</c:v>
                </c:pt>
                <c:pt idx="155">
                  <c:v>0.13989721794318566</c:v>
                </c:pt>
                <c:pt idx="156">
                  <c:v>0.14041558763286793</c:v>
                </c:pt>
                <c:pt idx="157">
                  <c:v>0.13966535398422261</c:v>
                </c:pt>
                <c:pt idx="158">
                  <c:v>0.13973305563209526</c:v>
                </c:pt>
                <c:pt idx="159">
                  <c:v>0.13983073392509154</c:v>
                </c:pt>
                <c:pt idx="160">
                  <c:v>0.13797333251052177</c:v>
                </c:pt>
                <c:pt idx="161">
                  <c:v>0.13710499449204971</c:v>
                </c:pt>
                <c:pt idx="162">
                  <c:v>0.13727725262072388</c:v>
                </c:pt>
                <c:pt idx="163">
                  <c:v>0.14312561258837206</c:v>
                </c:pt>
                <c:pt idx="164">
                  <c:v>0.14238485727645131</c:v>
                </c:pt>
                <c:pt idx="165">
                  <c:v>0.14158213766251418</c:v>
                </c:pt>
                <c:pt idx="166">
                  <c:v>0.1397817538837115</c:v>
                </c:pt>
                <c:pt idx="167">
                  <c:v>0.13602688004912014</c:v>
                </c:pt>
                <c:pt idx="168">
                  <c:v>0.1359215050396759</c:v>
                </c:pt>
                <c:pt idx="169">
                  <c:v>0.13237490447783626</c:v>
                </c:pt>
                <c:pt idx="170">
                  <c:v>0.13341581105991299</c:v>
                </c:pt>
                <c:pt idx="171">
                  <c:v>0.13317338890549879</c:v>
                </c:pt>
                <c:pt idx="172">
                  <c:v>0.13383595666878453</c:v>
                </c:pt>
                <c:pt idx="173">
                  <c:v>0.13393688502023873</c:v>
                </c:pt>
                <c:pt idx="174">
                  <c:v>0.13426189457594762</c:v>
                </c:pt>
                <c:pt idx="175">
                  <c:v>0.13389810300400209</c:v>
                </c:pt>
                <c:pt idx="176">
                  <c:v>0.13254428637532081</c:v>
                </c:pt>
                <c:pt idx="177">
                  <c:v>0.13375793735162672</c:v>
                </c:pt>
                <c:pt idx="178">
                  <c:v>0.13485839250937623</c:v>
                </c:pt>
                <c:pt idx="179">
                  <c:v>0.1401326696838946</c:v>
                </c:pt>
                <c:pt idx="180">
                  <c:v>0.13967886479736946</c:v>
                </c:pt>
                <c:pt idx="181">
                  <c:v>0.13936439436512221</c:v>
                </c:pt>
                <c:pt idx="182">
                  <c:v>0.13935053161157221</c:v>
                </c:pt>
                <c:pt idx="183">
                  <c:v>0.13709121243714173</c:v>
                </c:pt>
                <c:pt idx="184">
                  <c:v>0.13846659370891817</c:v>
                </c:pt>
                <c:pt idx="185">
                  <c:v>0.13772652165092275</c:v>
                </c:pt>
                <c:pt idx="186">
                  <c:v>0.13617763404410463</c:v>
                </c:pt>
                <c:pt idx="187">
                  <c:v>0.13642339101940723</c:v>
                </c:pt>
                <c:pt idx="188">
                  <c:v>0.13592546372458392</c:v>
                </c:pt>
                <c:pt idx="189">
                  <c:v>0.13591730332924695</c:v>
                </c:pt>
                <c:pt idx="190">
                  <c:v>0.13126156214192169</c:v>
                </c:pt>
                <c:pt idx="191">
                  <c:v>0.13188189450115079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04-4AE5-90D5-A0C9DD396A99}"/>
            </c:ext>
          </c:extLst>
        </c:ser>
        <c:ser>
          <c:idx val="2"/>
          <c:order val="2"/>
          <c:tx>
            <c:strRef>
              <c:f>'Fuente - externa'!$D$22</c:f>
              <c:strCache>
                <c:ptCount val="1"/>
                <c:pt idx="0">
                  <c:v>BIRF                          </c:v>
                </c:pt>
              </c:strCache>
            </c:strRef>
          </c:tx>
          <c:spPr>
            <a:solidFill>
              <a:srgbClr val="CFB17B"/>
            </a:solidFill>
            <a:ln w="25400">
              <a:noFill/>
            </a:ln>
          </c:spPr>
          <c:cat>
            <c:numRef>
              <c:f>'Fuente - externa'!$A$114:$A$305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43250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externa'!$D$114:$D$305</c:f>
              <c:numCache>
                <c:formatCode>0.00%</c:formatCode>
                <c:ptCount val="192"/>
                <c:pt idx="0">
                  <c:v>0.19603055402842567</c:v>
                </c:pt>
                <c:pt idx="1">
                  <c:v>0.19489600503936708</c:v>
                </c:pt>
                <c:pt idx="2">
                  <c:v>0.21075654432467147</c:v>
                </c:pt>
                <c:pt idx="3">
                  <c:v>0.20829173558078898</c:v>
                </c:pt>
                <c:pt idx="4">
                  <c:v>0.20969586674201543</c:v>
                </c:pt>
                <c:pt idx="5">
                  <c:v>0.20966934287407388</c:v>
                </c:pt>
                <c:pt idx="6">
                  <c:v>0.21290384903631221</c:v>
                </c:pt>
                <c:pt idx="7">
                  <c:v>0.21114196585010583</c:v>
                </c:pt>
                <c:pt idx="8">
                  <c:v>0.21154247533126444</c:v>
                </c:pt>
                <c:pt idx="9">
                  <c:v>0.21386397752077296</c:v>
                </c:pt>
                <c:pt idx="10">
                  <c:v>0.20880968469725439</c:v>
                </c:pt>
                <c:pt idx="11">
                  <c:v>0.21218692676702477</c:v>
                </c:pt>
                <c:pt idx="12">
                  <c:v>0.21231875350811535</c:v>
                </c:pt>
                <c:pt idx="13">
                  <c:v>0.2194839546354877</c:v>
                </c:pt>
                <c:pt idx="14">
                  <c:v>0.22117097527534152</c:v>
                </c:pt>
                <c:pt idx="15">
                  <c:v>0.23040665755526157</c:v>
                </c:pt>
                <c:pt idx="16">
                  <c:v>0.22885153354142235</c:v>
                </c:pt>
                <c:pt idx="17">
                  <c:v>0.23052996775023665</c:v>
                </c:pt>
                <c:pt idx="18">
                  <c:v>0.23330419953570727</c:v>
                </c:pt>
                <c:pt idx="19">
                  <c:v>0.2287993173329097</c:v>
                </c:pt>
                <c:pt idx="20">
                  <c:v>0.2310837950690289</c:v>
                </c:pt>
                <c:pt idx="21">
                  <c:v>0.22934248499186347</c:v>
                </c:pt>
                <c:pt idx="22">
                  <c:v>0.22543523861200371</c:v>
                </c:pt>
                <c:pt idx="23">
                  <c:v>0.22916130316319211</c:v>
                </c:pt>
                <c:pt idx="24">
                  <c:v>0.22917780691574968</c:v>
                </c:pt>
                <c:pt idx="25">
                  <c:v>0.22910664888178875</c:v>
                </c:pt>
                <c:pt idx="26">
                  <c:v>0.22893280488534454</c:v>
                </c:pt>
                <c:pt idx="27">
                  <c:v>0.2296797768968131</c:v>
                </c:pt>
                <c:pt idx="28">
                  <c:v>0.23108617254375224</c:v>
                </c:pt>
                <c:pt idx="29">
                  <c:v>0.23137336192512256</c:v>
                </c:pt>
                <c:pt idx="30">
                  <c:v>0.21721218806502945</c:v>
                </c:pt>
                <c:pt idx="31">
                  <c:v>0.21692625174510319</c:v>
                </c:pt>
                <c:pt idx="32">
                  <c:v>0.21638109013282067</c:v>
                </c:pt>
                <c:pt idx="33">
                  <c:v>0.21595296183660054</c:v>
                </c:pt>
                <c:pt idx="34">
                  <c:v>0.2120983940146029</c:v>
                </c:pt>
                <c:pt idx="35">
                  <c:v>0.21856415854456207</c:v>
                </c:pt>
                <c:pt idx="36">
                  <c:v>0.21872422048773357</c:v>
                </c:pt>
                <c:pt idx="37">
                  <c:v>0.21899740096821563</c:v>
                </c:pt>
                <c:pt idx="38">
                  <c:v>0.2187762141558153</c:v>
                </c:pt>
                <c:pt idx="39">
                  <c:v>0.21863951137280346</c:v>
                </c:pt>
                <c:pt idx="40">
                  <c:v>0.21728604426978587</c:v>
                </c:pt>
                <c:pt idx="41">
                  <c:v>0.21717498722606854</c:v>
                </c:pt>
                <c:pt idx="42">
                  <c:v>0.21729208820748419</c:v>
                </c:pt>
                <c:pt idx="43">
                  <c:v>0.21704012759042712</c:v>
                </c:pt>
                <c:pt idx="44">
                  <c:v>0.21312821072218954</c:v>
                </c:pt>
                <c:pt idx="45">
                  <c:v>0.21342250826827655</c:v>
                </c:pt>
                <c:pt idx="46">
                  <c:v>0.21211683933269321</c:v>
                </c:pt>
                <c:pt idx="47">
                  <c:v>0.21976996312342836</c:v>
                </c:pt>
                <c:pt idx="48">
                  <c:v>0.217293571040969</c:v>
                </c:pt>
                <c:pt idx="49">
                  <c:v>0.21623137103814993</c:v>
                </c:pt>
                <c:pt idx="50">
                  <c:v>0.21620828031977685</c:v>
                </c:pt>
                <c:pt idx="51">
                  <c:v>0.2164289238573896</c:v>
                </c:pt>
                <c:pt idx="52">
                  <c:v>0.21483879461014305</c:v>
                </c:pt>
                <c:pt idx="53">
                  <c:v>0.21421269879647381</c:v>
                </c:pt>
                <c:pt idx="54">
                  <c:v>0.21450935826027648</c:v>
                </c:pt>
                <c:pt idx="55">
                  <c:v>0.21158955473892102</c:v>
                </c:pt>
                <c:pt idx="56">
                  <c:v>0.21475585171756711</c:v>
                </c:pt>
                <c:pt idx="57">
                  <c:v>0.21473756384865628</c:v>
                </c:pt>
                <c:pt idx="58">
                  <c:v>0.21298574009297741</c:v>
                </c:pt>
                <c:pt idx="59">
                  <c:v>0.2090399327401179</c:v>
                </c:pt>
                <c:pt idx="60">
                  <c:v>0.19791888901873408</c:v>
                </c:pt>
                <c:pt idx="61">
                  <c:v>0.1978742957179237</c:v>
                </c:pt>
                <c:pt idx="62">
                  <c:v>0.19705087236535601</c:v>
                </c:pt>
                <c:pt idx="63">
                  <c:v>0.19708595925386635</c:v>
                </c:pt>
                <c:pt idx="64">
                  <c:v>0.19046011287823966</c:v>
                </c:pt>
                <c:pt idx="65">
                  <c:v>0.18941710374837778</c:v>
                </c:pt>
                <c:pt idx="66">
                  <c:v>0.18954834311256072</c:v>
                </c:pt>
                <c:pt idx="67">
                  <c:v>0.18941617214277295</c:v>
                </c:pt>
                <c:pt idx="68">
                  <c:v>0.1881647126118266</c:v>
                </c:pt>
                <c:pt idx="69">
                  <c:v>0.18194170184349184</c:v>
                </c:pt>
                <c:pt idx="70">
                  <c:v>0.1796209336534127</c:v>
                </c:pt>
                <c:pt idx="71">
                  <c:v>0.20783269165834078</c:v>
                </c:pt>
                <c:pt idx="72">
                  <c:v>0.19995539779894628</c:v>
                </c:pt>
                <c:pt idx="73">
                  <c:v>0.20340895746196125</c:v>
                </c:pt>
                <c:pt idx="74">
                  <c:v>0.19740025538814432</c:v>
                </c:pt>
                <c:pt idx="75">
                  <c:v>0.19698032358153983</c:v>
                </c:pt>
                <c:pt idx="76">
                  <c:v>0.19493018686067493</c:v>
                </c:pt>
                <c:pt idx="77">
                  <c:v>0.19413258780838238</c:v>
                </c:pt>
                <c:pt idx="78">
                  <c:v>0.1948297066417804</c:v>
                </c:pt>
                <c:pt idx="79">
                  <c:v>0.19635137083926851</c:v>
                </c:pt>
                <c:pt idx="80">
                  <c:v>0.18618613303539666</c:v>
                </c:pt>
                <c:pt idx="81">
                  <c:v>0.18647494224825856</c:v>
                </c:pt>
                <c:pt idx="82">
                  <c:v>0.18543222793961972</c:v>
                </c:pt>
                <c:pt idx="83">
                  <c:v>0.19469094975638232</c:v>
                </c:pt>
                <c:pt idx="84">
                  <c:v>0.19374610560678557</c:v>
                </c:pt>
                <c:pt idx="85">
                  <c:v>0.19306728777844562</c:v>
                </c:pt>
                <c:pt idx="86">
                  <c:v>0.18503914069328237</c:v>
                </c:pt>
                <c:pt idx="87">
                  <c:v>0.18479379138147414</c:v>
                </c:pt>
                <c:pt idx="88">
                  <c:v>0.19684393063876957</c:v>
                </c:pt>
                <c:pt idx="89">
                  <c:v>0.19587019369696854</c:v>
                </c:pt>
                <c:pt idx="90">
                  <c:v>0.19631145107935463</c:v>
                </c:pt>
                <c:pt idx="91">
                  <c:v>0.19505341916750665</c:v>
                </c:pt>
                <c:pt idx="92">
                  <c:v>0.19403041111215166</c:v>
                </c:pt>
                <c:pt idx="93">
                  <c:v>0.19384213283444784</c:v>
                </c:pt>
                <c:pt idx="94">
                  <c:v>0.18989830302803173</c:v>
                </c:pt>
                <c:pt idx="95">
                  <c:v>0.19969089083409849</c:v>
                </c:pt>
                <c:pt idx="96">
                  <c:v>0.1954883441279783</c:v>
                </c:pt>
                <c:pt idx="97">
                  <c:v>0.19444446589198813</c:v>
                </c:pt>
                <c:pt idx="98">
                  <c:v>0.19391359568062705</c:v>
                </c:pt>
                <c:pt idx="99">
                  <c:v>0.19455301666463379</c:v>
                </c:pt>
                <c:pt idx="100">
                  <c:v>0.19510071037783044</c:v>
                </c:pt>
                <c:pt idx="101">
                  <c:v>0.19494323438608394</c:v>
                </c:pt>
                <c:pt idx="102">
                  <c:v>0.19597689125831838</c:v>
                </c:pt>
                <c:pt idx="103">
                  <c:v>0.18786030220640132</c:v>
                </c:pt>
                <c:pt idx="104">
                  <c:v>0.18699527612552208</c:v>
                </c:pt>
                <c:pt idx="105">
                  <c:v>0.18655311091658022</c:v>
                </c:pt>
                <c:pt idx="106">
                  <c:v>0.1869780651880506</c:v>
                </c:pt>
                <c:pt idx="107">
                  <c:v>0.18486155420792111</c:v>
                </c:pt>
                <c:pt idx="108">
                  <c:v>0.19296094285009835</c:v>
                </c:pt>
                <c:pt idx="109">
                  <c:v>0.19085154942562796</c:v>
                </c:pt>
                <c:pt idx="110">
                  <c:v>0.20194577406250644</c:v>
                </c:pt>
                <c:pt idx="111">
                  <c:v>0.19991076990789028</c:v>
                </c:pt>
                <c:pt idx="112">
                  <c:v>0.1992448548740951</c:v>
                </c:pt>
                <c:pt idx="113">
                  <c:v>0.19907913231491292</c:v>
                </c:pt>
                <c:pt idx="114">
                  <c:v>0.19920209727229868</c:v>
                </c:pt>
                <c:pt idx="115">
                  <c:v>0.19796385440196479</c:v>
                </c:pt>
                <c:pt idx="116">
                  <c:v>0.19599428906473521</c:v>
                </c:pt>
                <c:pt idx="117">
                  <c:v>0.18995221565140577</c:v>
                </c:pt>
                <c:pt idx="118">
                  <c:v>0.19111891592751065</c:v>
                </c:pt>
                <c:pt idx="119">
                  <c:v>0.18845597682094906</c:v>
                </c:pt>
                <c:pt idx="120">
                  <c:v>0.18133931643778864</c:v>
                </c:pt>
                <c:pt idx="121">
                  <c:v>0.18008017920796346</c:v>
                </c:pt>
                <c:pt idx="122">
                  <c:v>0.18265385705035983</c:v>
                </c:pt>
                <c:pt idx="123">
                  <c:v>0.18195850907976455</c:v>
                </c:pt>
                <c:pt idx="124">
                  <c:v>0.18292041135635509</c:v>
                </c:pt>
                <c:pt idx="125">
                  <c:v>0.18362398045457093</c:v>
                </c:pt>
                <c:pt idx="126">
                  <c:v>0.18277657043073478</c:v>
                </c:pt>
                <c:pt idx="127">
                  <c:v>0.18144823513718547</c:v>
                </c:pt>
                <c:pt idx="128">
                  <c:v>0.18022978180936841</c:v>
                </c:pt>
                <c:pt idx="129">
                  <c:v>0.18012601890840466</c:v>
                </c:pt>
                <c:pt idx="130">
                  <c:v>0.19320936417738352</c:v>
                </c:pt>
                <c:pt idx="131">
                  <c:v>0.19142983979544934</c:v>
                </c:pt>
                <c:pt idx="132">
                  <c:v>0.18477522674779809</c:v>
                </c:pt>
                <c:pt idx="133">
                  <c:v>0.18689200023492894</c:v>
                </c:pt>
                <c:pt idx="134">
                  <c:v>0.18926099811718691</c:v>
                </c:pt>
                <c:pt idx="135">
                  <c:v>0.18189904901659162</c:v>
                </c:pt>
                <c:pt idx="136">
                  <c:v>0.18567587964282387</c:v>
                </c:pt>
                <c:pt idx="137">
                  <c:v>0.17832828613151641</c:v>
                </c:pt>
                <c:pt idx="138">
                  <c:v>0.18682721316845055</c:v>
                </c:pt>
                <c:pt idx="139">
                  <c:v>0.18463530632658426</c:v>
                </c:pt>
                <c:pt idx="140">
                  <c:v>0.18409467186780806</c:v>
                </c:pt>
                <c:pt idx="141">
                  <c:v>0.1837754898486158</c:v>
                </c:pt>
                <c:pt idx="142">
                  <c:v>0.18414233678529057</c:v>
                </c:pt>
                <c:pt idx="143">
                  <c:v>0.16947660545808488</c:v>
                </c:pt>
                <c:pt idx="144">
                  <c:v>0.16558928071378604</c:v>
                </c:pt>
                <c:pt idx="145">
                  <c:v>0.16547846863973367</c:v>
                </c:pt>
                <c:pt idx="146">
                  <c:v>0.17321771125634078</c:v>
                </c:pt>
                <c:pt idx="147">
                  <c:v>0.16804488155848665</c:v>
                </c:pt>
                <c:pt idx="148">
                  <c:v>0.16837272755055255</c:v>
                </c:pt>
                <c:pt idx="149">
                  <c:v>0.17679305261243691</c:v>
                </c:pt>
                <c:pt idx="150">
                  <c:v>0.17711304099288688</c:v>
                </c:pt>
                <c:pt idx="151">
                  <c:v>0.17602375259853889</c:v>
                </c:pt>
                <c:pt idx="152">
                  <c:v>0.17489610066724554</c:v>
                </c:pt>
                <c:pt idx="153">
                  <c:v>0.17770564461915569</c:v>
                </c:pt>
                <c:pt idx="154">
                  <c:v>0.17580979479148579</c:v>
                </c:pt>
                <c:pt idx="155">
                  <c:v>0.17996423339711376</c:v>
                </c:pt>
                <c:pt idx="156">
                  <c:v>0.17891027716605115</c:v>
                </c:pt>
                <c:pt idx="157">
                  <c:v>0.17831652248887783</c:v>
                </c:pt>
                <c:pt idx="158">
                  <c:v>0.17821256112157957</c:v>
                </c:pt>
                <c:pt idx="159">
                  <c:v>0.17710941930419191</c:v>
                </c:pt>
                <c:pt idx="160">
                  <c:v>0.1860742755421714</c:v>
                </c:pt>
                <c:pt idx="161">
                  <c:v>0.18540409009602793</c:v>
                </c:pt>
                <c:pt idx="162">
                  <c:v>0.18414291956014461</c:v>
                </c:pt>
                <c:pt idx="163">
                  <c:v>0.1825097562448959</c:v>
                </c:pt>
                <c:pt idx="164">
                  <c:v>0.18185807876309462</c:v>
                </c:pt>
                <c:pt idx="165">
                  <c:v>0.18163839708672011</c:v>
                </c:pt>
                <c:pt idx="166">
                  <c:v>0.18602526259711233</c:v>
                </c:pt>
                <c:pt idx="167">
                  <c:v>0.19516761133458108</c:v>
                </c:pt>
                <c:pt idx="168">
                  <c:v>0.19524075057134743</c:v>
                </c:pt>
                <c:pt idx="169">
                  <c:v>0.19006520414151484</c:v>
                </c:pt>
                <c:pt idx="170">
                  <c:v>0.19263471966180445</c:v>
                </c:pt>
                <c:pt idx="171">
                  <c:v>0.19261899482282047</c:v>
                </c:pt>
                <c:pt idx="172">
                  <c:v>0.19265474754714948</c:v>
                </c:pt>
                <c:pt idx="173">
                  <c:v>0.19296235545760823</c:v>
                </c:pt>
                <c:pt idx="174">
                  <c:v>0.19296774606861344</c:v>
                </c:pt>
                <c:pt idx="175">
                  <c:v>0.19241692606599128</c:v>
                </c:pt>
                <c:pt idx="176">
                  <c:v>0.19993649100969604</c:v>
                </c:pt>
                <c:pt idx="177">
                  <c:v>0.20160064767232802</c:v>
                </c:pt>
                <c:pt idx="178">
                  <c:v>0.19458743878438192</c:v>
                </c:pt>
                <c:pt idx="179">
                  <c:v>0.19299990962175056</c:v>
                </c:pt>
                <c:pt idx="180">
                  <c:v>0.19268301072211827</c:v>
                </c:pt>
                <c:pt idx="181">
                  <c:v>0.19254251712484019</c:v>
                </c:pt>
                <c:pt idx="182">
                  <c:v>0.19279561464690867</c:v>
                </c:pt>
                <c:pt idx="183">
                  <c:v>0.18912557042283584</c:v>
                </c:pt>
                <c:pt idx="184">
                  <c:v>0.19219229350922068</c:v>
                </c:pt>
                <c:pt idx="185">
                  <c:v>0.19272716474180041</c:v>
                </c:pt>
                <c:pt idx="186">
                  <c:v>0.20040606595409363</c:v>
                </c:pt>
                <c:pt idx="187">
                  <c:v>0.20206425319324461</c:v>
                </c:pt>
                <c:pt idx="188">
                  <c:v>0.20224804554694772</c:v>
                </c:pt>
                <c:pt idx="189">
                  <c:v>0.20159571570951584</c:v>
                </c:pt>
                <c:pt idx="190">
                  <c:v>0.19435557786416299</c:v>
                </c:pt>
                <c:pt idx="191">
                  <c:v>0.19499414075499691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04-4AE5-90D5-A0C9DD396A99}"/>
            </c:ext>
          </c:extLst>
        </c:ser>
        <c:ser>
          <c:idx val="3"/>
          <c:order val="3"/>
          <c:tx>
            <c:strRef>
              <c:f>'Fuente - externa'!$E$22</c:f>
              <c:strCache>
                <c:ptCount val="1"/>
                <c:pt idx="0">
                  <c:v>CAF                </c:v>
                </c:pt>
              </c:strCache>
            </c:strRef>
          </c:tx>
          <c:spPr>
            <a:solidFill>
              <a:srgbClr val="D9C197"/>
            </a:solidFill>
            <a:ln w="25400">
              <a:noFill/>
            </a:ln>
          </c:spPr>
          <c:cat>
            <c:numRef>
              <c:f>'Fuente - externa'!$A$114:$A$305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43250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externa'!$E$114:$E$305</c:f>
              <c:numCache>
                <c:formatCode>0.00%</c:formatCode>
                <c:ptCount val="192"/>
                <c:pt idx="0">
                  <c:v>3.72431787095635E-2</c:v>
                </c:pt>
                <c:pt idx="1">
                  <c:v>3.6406204777273472E-2</c:v>
                </c:pt>
                <c:pt idx="2">
                  <c:v>3.5671643562732842E-2</c:v>
                </c:pt>
                <c:pt idx="3">
                  <c:v>3.4744916387457504E-2</c:v>
                </c:pt>
                <c:pt idx="4">
                  <c:v>3.4600037589179199E-2</c:v>
                </c:pt>
                <c:pt idx="5">
                  <c:v>3.460756151699023E-2</c:v>
                </c:pt>
                <c:pt idx="6">
                  <c:v>3.3523268389858168E-2</c:v>
                </c:pt>
                <c:pt idx="7">
                  <c:v>3.0462857769885027E-2</c:v>
                </c:pt>
                <c:pt idx="8">
                  <c:v>3.0116435350494339E-2</c:v>
                </c:pt>
                <c:pt idx="9">
                  <c:v>2.9206193724237026E-2</c:v>
                </c:pt>
                <c:pt idx="10">
                  <c:v>2.8519334781937307E-2</c:v>
                </c:pt>
                <c:pt idx="11">
                  <c:v>3.1172853530476854E-2</c:v>
                </c:pt>
                <c:pt idx="12">
                  <c:v>3.0173861344046142E-2</c:v>
                </c:pt>
                <c:pt idx="13">
                  <c:v>3.0736713099081971E-2</c:v>
                </c:pt>
                <c:pt idx="14">
                  <c:v>3.0621998410217014E-2</c:v>
                </c:pt>
                <c:pt idx="15">
                  <c:v>2.9395072831749226E-2</c:v>
                </c:pt>
                <c:pt idx="16">
                  <c:v>2.9622989425836386E-2</c:v>
                </c:pt>
                <c:pt idx="17">
                  <c:v>2.9963649126302647E-2</c:v>
                </c:pt>
                <c:pt idx="18">
                  <c:v>2.9124376221398331E-2</c:v>
                </c:pt>
                <c:pt idx="19">
                  <c:v>2.8189679485922929E-2</c:v>
                </c:pt>
                <c:pt idx="20">
                  <c:v>2.7939865843833508E-2</c:v>
                </c:pt>
                <c:pt idx="21">
                  <c:v>3.2953060386428007E-2</c:v>
                </c:pt>
                <c:pt idx="22">
                  <c:v>3.3328869389657949E-2</c:v>
                </c:pt>
                <c:pt idx="23">
                  <c:v>3.2688050498692098E-2</c:v>
                </c:pt>
                <c:pt idx="24">
                  <c:v>3.1653101898168425E-2</c:v>
                </c:pt>
                <c:pt idx="25">
                  <c:v>3.1238572832318911E-2</c:v>
                </c:pt>
                <c:pt idx="26">
                  <c:v>3.1147638057177032E-2</c:v>
                </c:pt>
                <c:pt idx="27">
                  <c:v>3.0804900895507588E-2</c:v>
                </c:pt>
                <c:pt idx="28">
                  <c:v>3.1468043915246768E-2</c:v>
                </c:pt>
                <c:pt idx="29">
                  <c:v>3.231116508538194E-2</c:v>
                </c:pt>
                <c:pt idx="30">
                  <c:v>2.9499976765389256E-2</c:v>
                </c:pt>
                <c:pt idx="31">
                  <c:v>2.9020422845038505E-2</c:v>
                </c:pt>
                <c:pt idx="32">
                  <c:v>2.9304861681393908E-2</c:v>
                </c:pt>
                <c:pt idx="33">
                  <c:v>3.2784505451358262E-2</c:v>
                </c:pt>
                <c:pt idx="34">
                  <c:v>3.3090522493009415E-2</c:v>
                </c:pt>
                <c:pt idx="35">
                  <c:v>3.3700121913115839E-2</c:v>
                </c:pt>
                <c:pt idx="36">
                  <c:v>3.2559904570391554E-2</c:v>
                </c:pt>
                <c:pt idx="37">
                  <c:v>3.2000253670505817E-2</c:v>
                </c:pt>
                <c:pt idx="38">
                  <c:v>3.2041577613526377E-2</c:v>
                </c:pt>
                <c:pt idx="39">
                  <c:v>3.1936873742215814E-2</c:v>
                </c:pt>
                <c:pt idx="40">
                  <c:v>3.2276445447146876E-2</c:v>
                </c:pt>
                <c:pt idx="41">
                  <c:v>3.2092547912007129E-2</c:v>
                </c:pt>
                <c:pt idx="42">
                  <c:v>3.1082434218982307E-2</c:v>
                </c:pt>
                <c:pt idx="43">
                  <c:v>3.0711690849754485E-2</c:v>
                </c:pt>
                <c:pt idx="44">
                  <c:v>3.0074415512273894E-2</c:v>
                </c:pt>
                <c:pt idx="45">
                  <c:v>3.0166086954100474E-2</c:v>
                </c:pt>
                <c:pt idx="46">
                  <c:v>3.0300410115575573E-2</c:v>
                </c:pt>
                <c:pt idx="47">
                  <c:v>3.0362272368213098E-2</c:v>
                </c:pt>
                <c:pt idx="48">
                  <c:v>2.8922417794015599E-2</c:v>
                </c:pt>
                <c:pt idx="49">
                  <c:v>2.8614588783540357E-2</c:v>
                </c:pt>
                <c:pt idx="50">
                  <c:v>2.8642182064932197E-2</c:v>
                </c:pt>
                <c:pt idx="51">
                  <c:v>2.8647196195975225E-2</c:v>
                </c:pt>
                <c:pt idx="52">
                  <c:v>2.8957927345751335E-2</c:v>
                </c:pt>
                <c:pt idx="53">
                  <c:v>2.8965885335439857E-2</c:v>
                </c:pt>
                <c:pt idx="54">
                  <c:v>2.7790127830812757E-2</c:v>
                </c:pt>
                <c:pt idx="55">
                  <c:v>2.7244102049182511E-2</c:v>
                </c:pt>
                <c:pt idx="56">
                  <c:v>2.5506043794332044E-2</c:v>
                </c:pt>
                <c:pt idx="57">
                  <c:v>2.5444308368005299E-2</c:v>
                </c:pt>
                <c:pt idx="58">
                  <c:v>2.5838402639248702E-2</c:v>
                </c:pt>
                <c:pt idx="59">
                  <c:v>2.5449447788071355E-2</c:v>
                </c:pt>
                <c:pt idx="60">
                  <c:v>2.3751505287600547E-2</c:v>
                </c:pt>
                <c:pt idx="61">
                  <c:v>2.3384008919568447E-2</c:v>
                </c:pt>
                <c:pt idx="62">
                  <c:v>2.3414342405018038E-2</c:v>
                </c:pt>
                <c:pt idx="63">
                  <c:v>2.3373159838147993E-2</c:v>
                </c:pt>
                <c:pt idx="64">
                  <c:v>2.3552540982013669E-2</c:v>
                </c:pt>
                <c:pt idx="65">
                  <c:v>2.3207528591300958E-2</c:v>
                </c:pt>
                <c:pt idx="66">
                  <c:v>2.2717364924905108E-2</c:v>
                </c:pt>
                <c:pt idx="67">
                  <c:v>2.2368050292162562E-2</c:v>
                </c:pt>
                <c:pt idx="68">
                  <c:v>2.2720324879597745E-2</c:v>
                </c:pt>
                <c:pt idx="69">
                  <c:v>2.1986602604284772E-2</c:v>
                </c:pt>
                <c:pt idx="70">
                  <c:v>2.2297225612175429E-2</c:v>
                </c:pt>
                <c:pt idx="71">
                  <c:v>2.171783767000458E-2</c:v>
                </c:pt>
                <c:pt idx="72">
                  <c:v>2.0460079109914011E-2</c:v>
                </c:pt>
                <c:pt idx="73">
                  <c:v>2.0189288016072074E-2</c:v>
                </c:pt>
                <c:pt idx="74">
                  <c:v>1.9732970576902594E-2</c:v>
                </c:pt>
                <c:pt idx="75">
                  <c:v>1.9863293802201067E-2</c:v>
                </c:pt>
                <c:pt idx="76">
                  <c:v>2.0077313132818877E-2</c:v>
                </c:pt>
                <c:pt idx="77">
                  <c:v>1.9747276359935787E-2</c:v>
                </c:pt>
                <c:pt idx="78">
                  <c:v>1.9454798567988412E-2</c:v>
                </c:pt>
                <c:pt idx="79">
                  <c:v>1.9635662733650271E-2</c:v>
                </c:pt>
                <c:pt idx="80">
                  <c:v>1.8764413509159979E-2</c:v>
                </c:pt>
                <c:pt idx="81">
                  <c:v>1.8708987470683294E-2</c:v>
                </c:pt>
                <c:pt idx="82">
                  <c:v>1.9048454980709867E-2</c:v>
                </c:pt>
                <c:pt idx="83">
                  <c:v>2.4072676889342531E-2</c:v>
                </c:pt>
                <c:pt idx="84">
                  <c:v>2.9596693759927815E-2</c:v>
                </c:pt>
                <c:pt idx="85">
                  <c:v>2.93409560630426E-2</c:v>
                </c:pt>
                <c:pt idx="86">
                  <c:v>2.8571497714273666E-2</c:v>
                </c:pt>
                <c:pt idx="87">
                  <c:v>2.8083741326841188E-2</c:v>
                </c:pt>
                <c:pt idx="88">
                  <c:v>2.7878638452350765E-2</c:v>
                </c:pt>
                <c:pt idx="89">
                  <c:v>2.753719116115938E-2</c:v>
                </c:pt>
                <c:pt idx="90">
                  <c:v>2.7209477164037266E-2</c:v>
                </c:pt>
                <c:pt idx="91">
                  <c:v>2.6969289359042314E-2</c:v>
                </c:pt>
                <c:pt idx="92">
                  <c:v>2.693838306000269E-2</c:v>
                </c:pt>
                <c:pt idx="93">
                  <c:v>2.7057653426253235E-2</c:v>
                </c:pt>
                <c:pt idx="94">
                  <c:v>3.2043135242298404E-2</c:v>
                </c:pt>
                <c:pt idx="95">
                  <c:v>3.0963165630430556E-2</c:v>
                </c:pt>
                <c:pt idx="96">
                  <c:v>3.528221139146475E-2</c:v>
                </c:pt>
                <c:pt idx="97">
                  <c:v>3.4657185115436237E-2</c:v>
                </c:pt>
                <c:pt idx="98">
                  <c:v>3.4654706332832942E-2</c:v>
                </c:pt>
                <c:pt idx="99">
                  <c:v>3.4652719326508957E-2</c:v>
                </c:pt>
                <c:pt idx="100">
                  <c:v>3.4532226488057163E-2</c:v>
                </c:pt>
                <c:pt idx="101">
                  <c:v>3.4292384890923101E-2</c:v>
                </c:pt>
                <c:pt idx="102">
                  <c:v>3.3768063954662093E-2</c:v>
                </c:pt>
                <c:pt idx="103">
                  <c:v>3.2144329905688912E-2</c:v>
                </c:pt>
                <c:pt idx="104">
                  <c:v>3.2226815267304636E-2</c:v>
                </c:pt>
                <c:pt idx="105">
                  <c:v>3.2359600263226762E-2</c:v>
                </c:pt>
                <c:pt idx="106">
                  <c:v>3.2334381570988675E-2</c:v>
                </c:pt>
                <c:pt idx="107">
                  <c:v>3.1884716849588421E-2</c:v>
                </c:pt>
                <c:pt idx="108">
                  <c:v>3.1207141443726345E-2</c:v>
                </c:pt>
                <c:pt idx="109">
                  <c:v>3.0947521905025206E-2</c:v>
                </c:pt>
                <c:pt idx="110">
                  <c:v>3.0499163456644107E-2</c:v>
                </c:pt>
                <c:pt idx="111">
                  <c:v>3.0462076444984134E-2</c:v>
                </c:pt>
                <c:pt idx="112">
                  <c:v>3.0263306351534638E-2</c:v>
                </c:pt>
                <c:pt idx="113">
                  <c:v>3.0056995306178887E-2</c:v>
                </c:pt>
                <c:pt idx="114">
                  <c:v>2.9835886433902829E-2</c:v>
                </c:pt>
                <c:pt idx="115">
                  <c:v>2.9859101431861913E-2</c:v>
                </c:pt>
                <c:pt idx="116">
                  <c:v>2.9700357462314742E-2</c:v>
                </c:pt>
                <c:pt idx="117">
                  <c:v>2.9175397884224939E-2</c:v>
                </c:pt>
                <c:pt idx="118">
                  <c:v>3.1749232028374472E-2</c:v>
                </c:pt>
                <c:pt idx="119">
                  <c:v>3.3967585176118767E-2</c:v>
                </c:pt>
                <c:pt idx="120">
                  <c:v>3.243841361061521E-2</c:v>
                </c:pt>
                <c:pt idx="121">
                  <c:v>3.2309921956981687E-2</c:v>
                </c:pt>
                <c:pt idx="122">
                  <c:v>3.3094239707188118E-2</c:v>
                </c:pt>
                <c:pt idx="123">
                  <c:v>3.3209971166519116E-2</c:v>
                </c:pt>
                <c:pt idx="124">
                  <c:v>3.2453070358566739E-2</c:v>
                </c:pt>
                <c:pt idx="125">
                  <c:v>3.2229212681894139E-2</c:v>
                </c:pt>
                <c:pt idx="126">
                  <c:v>3.2184466061918673E-2</c:v>
                </c:pt>
                <c:pt idx="127">
                  <c:v>3.2163821050897823E-2</c:v>
                </c:pt>
                <c:pt idx="128">
                  <c:v>3.1963869198471648E-2</c:v>
                </c:pt>
                <c:pt idx="129">
                  <c:v>3.1926326061289964E-2</c:v>
                </c:pt>
                <c:pt idx="130">
                  <c:v>3.1174676755233343E-2</c:v>
                </c:pt>
                <c:pt idx="131">
                  <c:v>3.1390686368585538E-2</c:v>
                </c:pt>
                <c:pt idx="132">
                  <c:v>3.874410297584225E-2</c:v>
                </c:pt>
                <c:pt idx="133">
                  <c:v>3.9252947305400153E-2</c:v>
                </c:pt>
                <c:pt idx="134">
                  <c:v>3.8846354674161067E-2</c:v>
                </c:pt>
                <c:pt idx="135">
                  <c:v>3.7713742474779384E-2</c:v>
                </c:pt>
                <c:pt idx="136">
                  <c:v>3.6119508135074245E-2</c:v>
                </c:pt>
                <c:pt idx="137">
                  <c:v>3.4348607287196131E-2</c:v>
                </c:pt>
                <c:pt idx="138">
                  <c:v>3.3148025080044385E-2</c:v>
                </c:pt>
                <c:pt idx="139">
                  <c:v>3.8449411886680489E-2</c:v>
                </c:pt>
                <c:pt idx="140">
                  <c:v>3.8603003488135251E-2</c:v>
                </c:pt>
                <c:pt idx="141">
                  <c:v>3.8590699852900694E-2</c:v>
                </c:pt>
                <c:pt idx="142">
                  <c:v>3.7947004053798174E-2</c:v>
                </c:pt>
                <c:pt idx="143">
                  <c:v>3.4162050740003315E-2</c:v>
                </c:pt>
                <c:pt idx="144">
                  <c:v>3.3115747278822029E-2</c:v>
                </c:pt>
                <c:pt idx="145">
                  <c:v>3.3150237603699152E-2</c:v>
                </c:pt>
                <c:pt idx="146">
                  <c:v>3.385645005752496E-2</c:v>
                </c:pt>
                <c:pt idx="147">
                  <c:v>3.2553211256550633E-2</c:v>
                </c:pt>
                <c:pt idx="148">
                  <c:v>3.1950310277052134E-2</c:v>
                </c:pt>
                <c:pt idx="149">
                  <c:v>3.1702866264687872E-2</c:v>
                </c:pt>
                <c:pt idx="150">
                  <c:v>3.1357134278776864E-2</c:v>
                </c:pt>
                <c:pt idx="151">
                  <c:v>3.1466769551201659E-2</c:v>
                </c:pt>
                <c:pt idx="152">
                  <c:v>3.143370695161192E-2</c:v>
                </c:pt>
                <c:pt idx="153">
                  <c:v>3.0772199767999671E-2</c:v>
                </c:pt>
                <c:pt idx="154">
                  <c:v>3.7044412510916204E-2</c:v>
                </c:pt>
                <c:pt idx="155">
                  <c:v>3.6004932710783463E-2</c:v>
                </c:pt>
                <c:pt idx="156">
                  <c:v>3.5894438344210196E-2</c:v>
                </c:pt>
                <c:pt idx="157">
                  <c:v>3.579618561061549E-2</c:v>
                </c:pt>
                <c:pt idx="158">
                  <c:v>3.5853017804719028E-2</c:v>
                </c:pt>
                <c:pt idx="159">
                  <c:v>3.6185020112571062E-2</c:v>
                </c:pt>
                <c:pt idx="160">
                  <c:v>3.5216911726231898E-2</c:v>
                </c:pt>
                <c:pt idx="161">
                  <c:v>3.9263511524783114E-2</c:v>
                </c:pt>
                <c:pt idx="162">
                  <c:v>4.316774323547936E-2</c:v>
                </c:pt>
                <c:pt idx="163">
                  <c:v>4.2901959558916777E-2</c:v>
                </c:pt>
                <c:pt idx="164">
                  <c:v>4.2979489842916122E-2</c:v>
                </c:pt>
                <c:pt idx="165">
                  <c:v>4.3042766246488208E-2</c:v>
                </c:pt>
                <c:pt idx="166">
                  <c:v>4.2210439807307203E-2</c:v>
                </c:pt>
                <c:pt idx="167">
                  <c:v>4.0824529883160349E-2</c:v>
                </c:pt>
                <c:pt idx="168">
                  <c:v>4.0665579383034285E-2</c:v>
                </c:pt>
                <c:pt idx="169">
                  <c:v>3.9664964977624534E-2</c:v>
                </c:pt>
                <c:pt idx="170">
                  <c:v>4.0050171224192174E-2</c:v>
                </c:pt>
                <c:pt idx="171">
                  <c:v>4.0096665187916325E-2</c:v>
                </c:pt>
                <c:pt idx="172">
                  <c:v>3.9824501478468229E-2</c:v>
                </c:pt>
                <c:pt idx="173">
                  <c:v>3.9568351374181465E-2</c:v>
                </c:pt>
                <c:pt idx="174">
                  <c:v>3.9411549794708567E-2</c:v>
                </c:pt>
                <c:pt idx="175">
                  <c:v>3.9378239684756469E-2</c:v>
                </c:pt>
                <c:pt idx="176">
                  <c:v>3.9135131805855011E-2</c:v>
                </c:pt>
                <c:pt idx="177">
                  <c:v>3.9571759619667225E-2</c:v>
                </c:pt>
                <c:pt idx="178">
                  <c:v>3.7542577428100792E-2</c:v>
                </c:pt>
                <c:pt idx="179">
                  <c:v>4.0053512787696012E-2</c:v>
                </c:pt>
                <c:pt idx="180">
                  <c:v>3.98893513345061E-2</c:v>
                </c:pt>
                <c:pt idx="181">
                  <c:v>3.9759987111192913E-2</c:v>
                </c:pt>
                <c:pt idx="182">
                  <c:v>3.9853789162572394E-2</c:v>
                </c:pt>
                <c:pt idx="183">
                  <c:v>3.9300107010119947E-2</c:v>
                </c:pt>
                <c:pt idx="184">
                  <c:v>3.9372291185174234E-2</c:v>
                </c:pt>
                <c:pt idx="185">
                  <c:v>3.9316940668707022E-2</c:v>
                </c:pt>
                <c:pt idx="186">
                  <c:v>3.8697435066062671E-2</c:v>
                </c:pt>
                <c:pt idx="187">
                  <c:v>3.8767921766210738E-2</c:v>
                </c:pt>
                <c:pt idx="188">
                  <c:v>3.8743482182750956E-2</c:v>
                </c:pt>
                <c:pt idx="189">
                  <c:v>3.8934297789628584E-2</c:v>
                </c:pt>
                <c:pt idx="190">
                  <c:v>3.7262108391161071E-2</c:v>
                </c:pt>
                <c:pt idx="191">
                  <c:v>4.1575835064233443E-2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04-4AE5-90D5-A0C9DD396A99}"/>
            </c:ext>
          </c:extLst>
        </c:ser>
        <c:ser>
          <c:idx val="4"/>
          <c:order val="4"/>
          <c:tx>
            <c:strRef>
              <c:f>'Fuente - externa'!$F$22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E3D2B3"/>
            </a:solidFill>
            <a:ln w="25400">
              <a:noFill/>
            </a:ln>
          </c:spPr>
          <c:cat>
            <c:numRef>
              <c:f>'Fuente - externa'!$A$114:$A$305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43250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externa'!$F$114:$F$305</c:f>
              <c:numCache>
                <c:formatCode>0.00%</c:formatCode>
                <c:ptCount val="192"/>
                <c:pt idx="0">
                  <c:v>5.9122455578680512E-3</c:v>
                </c:pt>
                <c:pt idx="1">
                  <c:v>5.9281075278515864E-3</c:v>
                </c:pt>
                <c:pt idx="2">
                  <c:v>5.785474106600047E-3</c:v>
                </c:pt>
                <c:pt idx="3">
                  <c:v>5.7199531063200117E-3</c:v>
                </c:pt>
                <c:pt idx="4">
                  <c:v>5.7859560212649153E-3</c:v>
                </c:pt>
                <c:pt idx="5">
                  <c:v>5.3727039260954429E-3</c:v>
                </c:pt>
                <c:pt idx="6">
                  <c:v>5.2248097758776828E-3</c:v>
                </c:pt>
                <c:pt idx="7">
                  <c:v>6.7995641640993896E-3</c:v>
                </c:pt>
                <c:pt idx="8">
                  <c:v>6.7081925006900623E-3</c:v>
                </c:pt>
                <c:pt idx="9">
                  <c:v>6.4202770948421414E-3</c:v>
                </c:pt>
                <c:pt idx="10">
                  <c:v>6.3880626887744723E-3</c:v>
                </c:pt>
                <c:pt idx="11">
                  <c:v>5.8311976640400076E-3</c:v>
                </c:pt>
                <c:pt idx="12">
                  <c:v>5.6680847719844151E-3</c:v>
                </c:pt>
                <c:pt idx="13">
                  <c:v>5.7255507351877191E-3</c:v>
                </c:pt>
                <c:pt idx="14">
                  <c:v>5.5352114765912517E-3</c:v>
                </c:pt>
                <c:pt idx="15">
                  <c:v>5.4255920665653738E-3</c:v>
                </c:pt>
                <c:pt idx="16">
                  <c:v>5.3580231609144319E-3</c:v>
                </c:pt>
                <c:pt idx="17">
                  <c:v>4.991910279935485E-3</c:v>
                </c:pt>
                <c:pt idx="18">
                  <c:v>6.0892472485229781E-3</c:v>
                </c:pt>
                <c:pt idx="19">
                  <c:v>5.9582648373021569E-3</c:v>
                </c:pt>
                <c:pt idx="20">
                  <c:v>5.9860580082884036E-3</c:v>
                </c:pt>
                <c:pt idx="21">
                  <c:v>5.977689909801495E-3</c:v>
                </c:pt>
                <c:pt idx="22">
                  <c:v>5.9391670699878987E-3</c:v>
                </c:pt>
                <c:pt idx="23">
                  <c:v>1.0088426574304985E-2</c:v>
                </c:pt>
                <c:pt idx="24">
                  <c:v>1.0062296825687161E-2</c:v>
                </c:pt>
                <c:pt idx="25">
                  <c:v>1.0126080910816361E-2</c:v>
                </c:pt>
                <c:pt idx="26">
                  <c:v>1.0113843455914111E-2</c:v>
                </c:pt>
                <c:pt idx="27">
                  <c:v>1.0017062754511604E-2</c:v>
                </c:pt>
                <c:pt idx="28">
                  <c:v>1.0180233386197926E-2</c:v>
                </c:pt>
                <c:pt idx="29">
                  <c:v>1.0154050911021695E-2</c:v>
                </c:pt>
                <c:pt idx="30">
                  <c:v>9.5121716239195964E-3</c:v>
                </c:pt>
                <c:pt idx="31">
                  <c:v>9.4590148262720594E-3</c:v>
                </c:pt>
                <c:pt idx="32">
                  <c:v>9.4367992624319504E-3</c:v>
                </c:pt>
                <c:pt idx="33">
                  <c:v>9.5055232273348403E-3</c:v>
                </c:pt>
                <c:pt idx="34">
                  <c:v>9.4560545249558221E-3</c:v>
                </c:pt>
                <c:pt idx="35">
                  <c:v>9.2778292202108318E-3</c:v>
                </c:pt>
                <c:pt idx="36">
                  <c:v>9.2964649149792043E-3</c:v>
                </c:pt>
                <c:pt idx="37">
                  <c:v>9.2285205980549862E-3</c:v>
                </c:pt>
                <c:pt idx="38">
                  <c:v>9.1643609076106081E-3</c:v>
                </c:pt>
                <c:pt idx="39">
                  <c:v>9.1107540140572593E-3</c:v>
                </c:pt>
                <c:pt idx="40">
                  <c:v>9.1460228650092536E-3</c:v>
                </c:pt>
                <c:pt idx="41">
                  <c:v>9.0617804282194028E-3</c:v>
                </c:pt>
                <c:pt idx="42">
                  <c:v>9.022880888914675E-3</c:v>
                </c:pt>
                <c:pt idx="43">
                  <c:v>9.0888979184988814E-3</c:v>
                </c:pt>
                <c:pt idx="44">
                  <c:v>8.9149862227748972E-3</c:v>
                </c:pt>
                <c:pt idx="45">
                  <c:v>8.9787222156816338E-3</c:v>
                </c:pt>
                <c:pt idx="46">
                  <c:v>9.0345463920541973E-3</c:v>
                </c:pt>
                <c:pt idx="47">
                  <c:v>1.1747548628166307E-2</c:v>
                </c:pt>
                <c:pt idx="48">
                  <c:v>1.16384729852091E-2</c:v>
                </c:pt>
                <c:pt idx="49">
                  <c:v>1.1668008857702345E-2</c:v>
                </c:pt>
                <c:pt idx="50">
                  <c:v>1.1635562155369679E-2</c:v>
                </c:pt>
                <c:pt idx="51">
                  <c:v>1.176057774323909E-2</c:v>
                </c:pt>
                <c:pt idx="52">
                  <c:v>1.1864100754896955E-2</c:v>
                </c:pt>
                <c:pt idx="53">
                  <c:v>1.1822287703515792E-2</c:v>
                </c:pt>
                <c:pt idx="54">
                  <c:v>1.1797335291776722E-2</c:v>
                </c:pt>
                <c:pt idx="55">
                  <c:v>1.1890984279720376E-2</c:v>
                </c:pt>
                <c:pt idx="56">
                  <c:v>1.1141292159695722E-2</c:v>
                </c:pt>
                <c:pt idx="57">
                  <c:v>1.1119337166039774E-2</c:v>
                </c:pt>
                <c:pt idx="58">
                  <c:v>1.1215775516163156E-2</c:v>
                </c:pt>
                <c:pt idx="59">
                  <c:v>1.424723660767711E-2</c:v>
                </c:pt>
                <c:pt idx="60">
                  <c:v>1.3548229909057609E-2</c:v>
                </c:pt>
                <c:pt idx="61">
                  <c:v>1.3442505024338825E-2</c:v>
                </c:pt>
                <c:pt idx="62">
                  <c:v>1.3603951250035065E-2</c:v>
                </c:pt>
                <c:pt idx="63">
                  <c:v>1.3589768869553846E-2</c:v>
                </c:pt>
                <c:pt idx="64">
                  <c:v>1.3719789382225043E-2</c:v>
                </c:pt>
                <c:pt idx="65">
                  <c:v>1.3657175820568442E-2</c:v>
                </c:pt>
                <c:pt idx="66">
                  <c:v>1.3598106298414502E-2</c:v>
                </c:pt>
                <c:pt idx="67">
                  <c:v>1.3639445969186014E-2</c:v>
                </c:pt>
                <c:pt idx="68">
                  <c:v>1.3832297489310514E-2</c:v>
                </c:pt>
                <c:pt idx="69">
                  <c:v>2.128398561512122E-2</c:v>
                </c:pt>
                <c:pt idx="70">
                  <c:v>2.1852508398557759E-2</c:v>
                </c:pt>
                <c:pt idx="71">
                  <c:v>2.4014026690512402E-2</c:v>
                </c:pt>
                <c:pt idx="72">
                  <c:v>2.3285452115253253E-2</c:v>
                </c:pt>
                <c:pt idx="73">
                  <c:v>2.3225272693548262E-2</c:v>
                </c:pt>
                <c:pt idx="74">
                  <c:v>2.2719309651872341E-2</c:v>
                </c:pt>
                <c:pt idx="75">
                  <c:v>2.257860740642767E-2</c:v>
                </c:pt>
                <c:pt idx="76">
                  <c:v>2.2820209653228764E-2</c:v>
                </c:pt>
                <c:pt idx="77">
                  <c:v>2.2946171051758588E-2</c:v>
                </c:pt>
                <c:pt idx="78">
                  <c:v>2.3110858061120343E-2</c:v>
                </c:pt>
                <c:pt idx="79">
                  <c:v>1.5711932487975706E-2</c:v>
                </c:pt>
                <c:pt idx="80">
                  <c:v>2.2486974078730085E-2</c:v>
                </c:pt>
                <c:pt idx="81">
                  <c:v>2.9928201148619757E-2</c:v>
                </c:pt>
                <c:pt idx="82">
                  <c:v>2.9842573331920398E-2</c:v>
                </c:pt>
                <c:pt idx="83">
                  <c:v>3.2917214133156618E-2</c:v>
                </c:pt>
                <c:pt idx="84">
                  <c:v>3.2692849435268664E-2</c:v>
                </c:pt>
                <c:pt idx="85">
                  <c:v>3.2861216734362091E-2</c:v>
                </c:pt>
                <c:pt idx="86">
                  <c:v>3.191738970140795E-2</c:v>
                </c:pt>
                <c:pt idx="87">
                  <c:v>3.1857332869796806E-2</c:v>
                </c:pt>
                <c:pt idx="88">
                  <c:v>3.1311656013163658E-2</c:v>
                </c:pt>
                <c:pt idx="89">
                  <c:v>3.123311415030806E-2</c:v>
                </c:pt>
                <c:pt idx="90">
                  <c:v>3.1329055150956679E-2</c:v>
                </c:pt>
                <c:pt idx="91">
                  <c:v>3.1295306058706118E-2</c:v>
                </c:pt>
                <c:pt idx="92">
                  <c:v>3.1391572580484313E-2</c:v>
                </c:pt>
                <c:pt idx="93">
                  <c:v>3.1324937485369013E-2</c:v>
                </c:pt>
                <c:pt idx="94">
                  <c:v>3.2584256762418738E-2</c:v>
                </c:pt>
                <c:pt idx="95">
                  <c:v>3.6943205241251359E-2</c:v>
                </c:pt>
                <c:pt idx="96">
                  <c:v>3.628341560764637E-2</c:v>
                </c:pt>
                <c:pt idx="97">
                  <c:v>3.6133688848817798E-2</c:v>
                </c:pt>
                <c:pt idx="98">
                  <c:v>3.6238704030795321E-2</c:v>
                </c:pt>
                <c:pt idx="99">
                  <c:v>3.647264323618149E-2</c:v>
                </c:pt>
                <c:pt idx="100">
                  <c:v>3.8564888796812441E-2</c:v>
                </c:pt>
                <c:pt idx="101">
                  <c:v>3.8863255182374004E-2</c:v>
                </c:pt>
                <c:pt idx="102">
                  <c:v>3.9265971799333742E-2</c:v>
                </c:pt>
                <c:pt idx="103">
                  <c:v>3.782184977988947E-2</c:v>
                </c:pt>
                <c:pt idx="104">
                  <c:v>3.7808542602015743E-2</c:v>
                </c:pt>
                <c:pt idx="105">
                  <c:v>3.770366630216266E-2</c:v>
                </c:pt>
                <c:pt idx="106">
                  <c:v>3.8010896023219422E-2</c:v>
                </c:pt>
                <c:pt idx="107">
                  <c:v>3.7548592210862528E-2</c:v>
                </c:pt>
                <c:pt idx="108">
                  <c:v>3.7856138311632426E-2</c:v>
                </c:pt>
                <c:pt idx="109">
                  <c:v>4.0031932553094798E-2</c:v>
                </c:pt>
                <c:pt idx="110">
                  <c:v>3.9513325465646003E-2</c:v>
                </c:pt>
                <c:pt idx="111">
                  <c:v>4.4136145427553286E-2</c:v>
                </c:pt>
                <c:pt idx="112">
                  <c:v>4.3452902777398654E-2</c:v>
                </c:pt>
                <c:pt idx="113">
                  <c:v>4.3401272624559645E-2</c:v>
                </c:pt>
                <c:pt idx="114">
                  <c:v>4.3224626485101787E-2</c:v>
                </c:pt>
                <c:pt idx="115">
                  <c:v>4.3428089068329706E-2</c:v>
                </c:pt>
                <c:pt idx="116">
                  <c:v>4.9823140616317568E-2</c:v>
                </c:pt>
                <c:pt idx="117">
                  <c:v>5.2834995734688084E-2</c:v>
                </c:pt>
                <c:pt idx="118">
                  <c:v>5.2285136711707203E-2</c:v>
                </c:pt>
                <c:pt idx="119">
                  <c:v>5.1232992678873331E-2</c:v>
                </c:pt>
                <c:pt idx="120">
                  <c:v>4.9465213243538031E-2</c:v>
                </c:pt>
                <c:pt idx="121">
                  <c:v>4.9340267604507125E-2</c:v>
                </c:pt>
                <c:pt idx="122">
                  <c:v>5.0085193645004411E-2</c:v>
                </c:pt>
                <c:pt idx="123">
                  <c:v>5.0085569695770465E-2</c:v>
                </c:pt>
                <c:pt idx="124">
                  <c:v>4.9663812779270927E-2</c:v>
                </c:pt>
                <c:pt idx="125">
                  <c:v>4.9762710638463499E-2</c:v>
                </c:pt>
                <c:pt idx="126">
                  <c:v>4.9165456664290452E-2</c:v>
                </c:pt>
                <c:pt idx="127">
                  <c:v>4.900269065615491E-2</c:v>
                </c:pt>
                <c:pt idx="128">
                  <c:v>4.8721500770535928E-2</c:v>
                </c:pt>
                <c:pt idx="129">
                  <c:v>4.9113484337020272E-2</c:v>
                </c:pt>
                <c:pt idx="130">
                  <c:v>4.8437735821912006E-2</c:v>
                </c:pt>
                <c:pt idx="131">
                  <c:v>4.6696345993554864E-2</c:v>
                </c:pt>
                <c:pt idx="132">
                  <c:v>4.5193583356107347E-2</c:v>
                </c:pt>
                <c:pt idx="133">
                  <c:v>4.6478235052065831E-2</c:v>
                </c:pt>
                <c:pt idx="134">
                  <c:v>5.6924031344480694E-2</c:v>
                </c:pt>
                <c:pt idx="135">
                  <c:v>8.1034780926857106E-2</c:v>
                </c:pt>
                <c:pt idx="136">
                  <c:v>9.54126162194152E-2</c:v>
                </c:pt>
                <c:pt idx="137">
                  <c:v>9.1108038886094284E-2</c:v>
                </c:pt>
                <c:pt idx="138">
                  <c:v>8.9432731679653446E-2</c:v>
                </c:pt>
                <c:pt idx="139">
                  <c:v>9.2556718705799179E-2</c:v>
                </c:pt>
                <c:pt idx="140">
                  <c:v>9.2308731536982463E-2</c:v>
                </c:pt>
                <c:pt idx="141">
                  <c:v>9.2545355166566798E-2</c:v>
                </c:pt>
                <c:pt idx="142">
                  <c:v>9.2593264430727101E-2</c:v>
                </c:pt>
                <c:pt idx="143">
                  <c:v>0.17387461155643302</c:v>
                </c:pt>
                <c:pt idx="144">
                  <c:v>0.16984084475325517</c:v>
                </c:pt>
                <c:pt idx="145">
                  <c:v>0.16958695864828618</c:v>
                </c:pt>
                <c:pt idx="146">
                  <c:v>0.17005323066403671</c:v>
                </c:pt>
                <c:pt idx="147">
                  <c:v>0.1659696609855616</c:v>
                </c:pt>
                <c:pt idx="148">
                  <c:v>0.166410799220327</c:v>
                </c:pt>
                <c:pt idx="149">
                  <c:v>0.16314029805177335</c:v>
                </c:pt>
                <c:pt idx="150">
                  <c:v>0.16324812259918708</c:v>
                </c:pt>
                <c:pt idx="151">
                  <c:v>0.16286165848088413</c:v>
                </c:pt>
                <c:pt idx="152">
                  <c:v>0.16463981562977331</c:v>
                </c:pt>
                <c:pt idx="153">
                  <c:v>0.16165936118471952</c:v>
                </c:pt>
                <c:pt idx="154">
                  <c:v>0.15862564061977491</c:v>
                </c:pt>
                <c:pt idx="155">
                  <c:v>0.1581833759047836</c:v>
                </c:pt>
                <c:pt idx="156">
                  <c:v>0.15753043936664313</c:v>
                </c:pt>
                <c:pt idx="157">
                  <c:v>0.15981853922256284</c:v>
                </c:pt>
                <c:pt idx="158">
                  <c:v>0.15883628139146616</c:v>
                </c:pt>
                <c:pt idx="159">
                  <c:v>0.15665125014927217</c:v>
                </c:pt>
                <c:pt idx="160">
                  <c:v>0.15499608499085124</c:v>
                </c:pt>
                <c:pt idx="161">
                  <c:v>0.15289601664643443</c:v>
                </c:pt>
                <c:pt idx="162">
                  <c:v>0.15167135277718063</c:v>
                </c:pt>
                <c:pt idx="163">
                  <c:v>0.1496493871154555</c:v>
                </c:pt>
                <c:pt idx="164">
                  <c:v>0.15082100869085135</c:v>
                </c:pt>
                <c:pt idx="165">
                  <c:v>0.1514483677770686</c:v>
                </c:pt>
                <c:pt idx="166">
                  <c:v>0.15255498259815542</c:v>
                </c:pt>
                <c:pt idx="167">
                  <c:v>0.1522796415413451</c:v>
                </c:pt>
                <c:pt idx="168">
                  <c:v>0.15327480598690402</c:v>
                </c:pt>
                <c:pt idx="169">
                  <c:v>0.15158027846954361</c:v>
                </c:pt>
                <c:pt idx="170">
                  <c:v>0.15373775284172536</c:v>
                </c:pt>
                <c:pt idx="171">
                  <c:v>0.15319108784425259</c:v>
                </c:pt>
                <c:pt idx="172">
                  <c:v>0.1505286483004567</c:v>
                </c:pt>
                <c:pt idx="173">
                  <c:v>0.15053812902055785</c:v>
                </c:pt>
                <c:pt idx="174">
                  <c:v>0.15117289467371187</c:v>
                </c:pt>
                <c:pt idx="175">
                  <c:v>0.15065873339840424</c:v>
                </c:pt>
                <c:pt idx="176">
                  <c:v>0.14815444071944472</c:v>
                </c:pt>
                <c:pt idx="177">
                  <c:v>0.14982710065340127</c:v>
                </c:pt>
                <c:pt idx="178">
                  <c:v>0.1444646613036476</c:v>
                </c:pt>
                <c:pt idx="179">
                  <c:v>0.14329721338728793</c:v>
                </c:pt>
                <c:pt idx="180">
                  <c:v>0.14403244002376864</c:v>
                </c:pt>
                <c:pt idx="181">
                  <c:v>0.14399386576166084</c:v>
                </c:pt>
                <c:pt idx="182">
                  <c:v>0.14240981018708726</c:v>
                </c:pt>
                <c:pt idx="183">
                  <c:v>0.13980878373419556</c:v>
                </c:pt>
                <c:pt idx="184">
                  <c:v>0.13660639343681877</c:v>
                </c:pt>
                <c:pt idx="185">
                  <c:v>0.13589117231806935</c:v>
                </c:pt>
                <c:pt idx="186">
                  <c:v>0.13517999054478061</c:v>
                </c:pt>
                <c:pt idx="187">
                  <c:v>0.12962100990830691</c:v>
                </c:pt>
                <c:pt idx="188">
                  <c:v>0.1301205360426656</c:v>
                </c:pt>
                <c:pt idx="189">
                  <c:v>0.12900617110216098</c:v>
                </c:pt>
                <c:pt idx="190">
                  <c:v>0.1221317383051638</c:v>
                </c:pt>
                <c:pt idx="191">
                  <c:v>0.11399844042566375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04-4AE5-90D5-A0C9DD396A99}"/>
            </c:ext>
          </c:extLst>
        </c:ser>
        <c:ser>
          <c:idx val="5"/>
          <c:order val="5"/>
          <c:spPr>
            <a:ln w="25400">
              <a:noFill/>
            </a:ln>
          </c:spPr>
          <c:cat>
            <c:numRef>
              <c:f>'Fuente - externa'!$A$114:$A$305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43250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Lit>
              <c:formatCode>General</c:formatCode>
              <c:ptCount val="2"/>
              <c:pt idx="0">
                <c:v>0.90572068144690943</c:v>
              </c:pt>
              <c:pt idx="1">
                <c:v>9.4279318553090574E-2</c:v>
              </c:pt>
            </c:numLit>
          </c:val>
          <c:extLst>
            <c:ext xmlns:c16="http://schemas.microsoft.com/office/drawing/2014/chart" uri="{C3380CC4-5D6E-409C-BE32-E72D297353CC}">
              <c16:uniqueId val="{00000005-9704-4AE5-90D5-A0C9DD396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138496"/>
        <c:axId val="1"/>
      </c:areaChart>
      <c:dateAx>
        <c:axId val="711138496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2"/>
        <c:majorTimeUnit val="years"/>
        <c:minorUnit val="1"/>
        <c:minorTimeUnit val="months"/>
      </c:dateAx>
      <c:valAx>
        <c:axId val="1"/>
        <c:scaling>
          <c:orientation val="minMax"/>
          <c:min val="0.4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11138496"/>
        <c:crosses val="autoZero"/>
        <c:crossBetween val="midCat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8009785184618905"/>
          <c:y val="0.42719720533153993"/>
          <c:w val="8.8186209733492005E-2"/>
          <c:h val="0.26942584134278591"/>
        </c:manualLayout>
      </c:layout>
      <c:overlay val="0"/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'Fuente - total'!$B$20</c:f>
          <c:strCache>
            <c:ptCount val="1"/>
            <c:pt idx="0">
              <c:v>Composición por fuente - deuda total</c:v>
            </c:pt>
          </c:strCache>
        </c:strRef>
      </c:tx>
      <c:layout>
        <c:manualLayout>
          <c:xMode val="edge"/>
          <c:yMode val="edge"/>
          <c:x val="0.22568454082904443"/>
          <c:y val="3.8830562846310875E-3"/>
        </c:manualLayout>
      </c:layout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9200085229198749"/>
          <c:y val="0.18004095232776754"/>
          <c:w val="0.50689378311105948"/>
          <c:h val="0.73295793745339033"/>
        </c:manualLayout>
      </c:layout>
      <c:areaChart>
        <c:grouping val="percentStacked"/>
        <c:varyColors val="0"/>
        <c:ser>
          <c:idx val="0"/>
          <c:order val="0"/>
          <c:tx>
            <c:strRef>
              <c:f>'Fuente - total'!$B$22</c:f>
              <c:strCache>
                <c:ptCount val="1"/>
                <c:pt idx="0">
                  <c:v>TES</c:v>
                </c:pt>
              </c:strCache>
            </c:strRef>
          </c:tx>
          <c:spPr>
            <a:solidFill>
              <a:srgbClr val="B48C41"/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total'!$B$114:$B$305</c:f>
              <c:numCache>
                <c:formatCode>0.00%</c:formatCode>
                <c:ptCount val="192"/>
                <c:pt idx="0">
                  <c:v>0.60844507483529198</c:v>
                </c:pt>
                <c:pt idx="1">
                  <c:v>0.60370365897060008</c:v>
                </c:pt>
                <c:pt idx="2">
                  <c:v>0.60460482148595729</c:v>
                </c:pt>
                <c:pt idx="3">
                  <c:v>0.62746458968378138</c:v>
                </c:pt>
                <c:pt idx="4">
                  <c:v>0.63725728013360794</c:v>
                </c:pt>
                <c:pt idx="5">
                  <c:v>0.6395053063811198</c:v>
                </c:pt>
                <c:pt idx="6">
                  <c:v>0.64204135709937937</c:v>
                </c:pt>
                <c:pt idx="7">
                  <c:v>0.63677679872403492</c:v>
                </c:pt>
                <c:pt idx="8">
                  <c:v>0.6577100519080521</c:v>
                </c:pt>
                <c:pt idx="9">
                  <c:v>0.63766322998889025</c:v>
                </c:pt>
                <c:pt idx="10">
                  <c:v>0.62080685735163765</c:v>
                </c:pt>
                <c:pt idx="11">
                  <c:v>0.61427507185168484</c:v>
                </c:pt>
                <c:pt idx="12">
                  <c:v>0.63097572935536794</c:v>
                </c:pt>
                <c:pt idx="13">
                  <c:v>0.63589263946597308</c:v>
                </c:pt>
                <c:pt idx="14">
                  <c:v>0.64871385987671759</c:v>
                </c:pt>
                <c:pt idx="15">
                  <c:v>0.64685575752155322</c:v>
                </c:pt>
                <c:pt idx="16">
                  <c:v>0.6615032853799333</c:v>
                </c:pt>
                <c:pt idx="17">
                  <c:v>0.66848992517079486</c:v>
                </c:pt>
                <c:pt idx="18">
                  <c:v>0.6821937868217347</c:v>
                </c:pt>
                <c:pt idx="19">
                  <c:v>0.68507085434426296</c:v>
                </c:pt>
                <c:pt idx="20">
                  <c:v>0.68454085718459745</c:v>
                </c:pt>
                <c:pt idx="21">
                  <c:v>0.68313712918158143</c:v>
                </c:pt>
                <c:pt idx="22">
                  <c:v>0.66457916876296341</c:v>
                </c:pt>
                <c:pt idx="23">
                  <c:v>0.64756862246277791</c:v>
                </c:pt>
                <c:pt idx="24">
                  <c:v>0.67918321523631331</c:v>
                </c:pt>
                <c:pt idx="25">
                  <c:v>0.68031606554081647</c:v>
                </c:pt>
                <c:pt idx="26">
                  <c:v>0.68750131635018863</c:v>
                </c:pt>
                <c:pt idx="27">
                  <c:v>0.70269319973642119</c:v>
                </c:pt>
                <c:pt idx="28">
                  <c:v>0.69462634145753266</c:v>
                </c:pt>
                <c:pt idx="29">
                  <c:v>0.69928204534159011</c:v>
                </c:pt>
                <c:pt idx="30">
                  <c:v>0.69086381403802422</c:v>
                </c:pt>
                <c:pt idx="31">
                  <c:v>0.69407819184134212</c:v>
                </c:pt>
                <c:pt idx="32">
                  <c:v>0.68142914901623308</c:v>
                </c:pt>
                <c:pt idx="33">
                  <c:v>0.68945727999930706</c:v>
                </c:pt>
                <c:pt idx="34">
                  <c:v>0.67998655793128659</c:v>
                </c:pt>
                <c:pt idx="35">
                  <c:v>0.67512356029394771</c:v>
                </c:pt>
                <c:pt idx="36">
                  <c:v>0.69408921456209127</c:v>
                </c:pt>
                <c:pt idx="37">
                  <c:v>0.70309338026070356</c:v>
                </c:pt>
                <c:pt idx="38">
                  <c:v>0.70236933115174927</c:v>
                </c:pt>
                <c:pt idx="39">
                  <c:v>0.70394126593159989</c:v>
                </c:pt>
                <c:pt idx="40">
                  <c:v>0.70199175214557041</c:v>
                </c:pt>
                <c:pt idx="41">
                  <c:v>0.70199175214557041</c:v>
                </c:pt>
                <c:pt idx="42">
                  <c:v>0.70686245515136426</c:v>
                </c:pt>
                <c:pt idx="43">
                  <c:v>0.70023002285240799</c:v>
                </c:pt>
                <c:pt idx="44">
                  <c:v>0.70151703842007773</c:v>
                </c:pt>
                <c:pt idx="45">
                  <c:v>0.69867502994409936</c:v>
                </c:pt>
                <c:pt idx="46">
                  <c:v>0.7048816983199081</c:v>
                </c:pt>
                <c:pt idx="47">
                  <c:v>0.69440965333729754</c:v>
                </c:pt>
                <c:pt idx="48">
                  <c:v>0.70823282638695295</c:v>
                </c:pt>
                <c:pt idx="49">
                  <c:v>0.70968884618534833</c:v>
                </c:pt>
                <c:pt idx="50">
                  <c:v>0.69265121442468547</c:v>
                </c:pt>
                <c:pt idx="51">
                  <c:v>0.70479289384390287</c:v>
                </c:pt>
                <c:pt idx="52">
                  <c:v>0.70579746015461464</c:v>
                </c:pt>
                <c:pt idx="53">
                  <c:v>0.7045374208853149</c:v>
                </c:pt>
                <c:pt idx="54">
                  <c:v>0.71266053636848503</c:v>
                </c:pt>
                <c:pt idx="55">
                  <c:v>0.71174288292445709</c:v>
                </c:pt>
                <c:pt idx="56">
                  <c:v>0.70751863616036259</c:v>
                </c:pt>
                <c:pt idx="57">
                  <c:v>0.71446002495983951</c:v>
                </c:pt>
                <c:pt idx="58">
                  <c:v>0.70592714618371055</c:v>
                </c:pt>
                <c:pt idx="59">
                  <c:v>0.6902175645213291</c:v>
                </c:pt>
                <c:pt idx="60">
                  <c:v>0.69296301302575869</c:v>
                </c:pt>
                <c:pt idx="61">
                  <c:v>0.6892471329939005</c:v>
                </c:pt>
                <c:pt idx="62">
                  <c:v>0.70314292579094206</c:v>
                </c:pt>
                <c:pt idx="63">
                  <c:v>0.71592052785539428</c:v>
                </c:pt>
                <c:pt idx="64">
                  <c:v>0.71368959797765164</c:v>
                </c:pt>
                <c:pt idx="65">
                  <c:v>0.71132056316328263</c:v>
                </c:pt>
                <c:pt idx="66">
                  <c:v>0.71620917608161028</c:v>
                </c:pt>
                <c:pt idx="67">
                  <c:v>0.71773844358604433</c:v>
                </c:pt>
                <c:pt idx="68">
                  <c:v>0.69827066319440956</c:v>
                </c:pt>
                <c:pt idx="69">
                  <c:v>0.68675648489385377</c:v>
                </c:pt>
                <c:pt idx="70">
                  <c:v>0.68916904723665251</c:v>
                </c:pt>
                <c:pt idx="71">
                  <c:v>0.66539100043678068</c:v>
                </c:pt>
                <c:pt idx="72">
                  <c:v>0.67475961546679764</c:v>
                </c:pt>
                <c:pt idx="73">
                  <c:v>0.65185969137990729</c:v>
                </c:pt>
                <c:pt idx="74">
                  <c:v>0.64846951523474405</c:v>
                </c:pt>
                <c:pt idx="75">
                  <c:v>0.67532083018219358</c:v>
                </c:pt>
                <c:pt idx="76">
                  <c:v>0.65482891912178431</c:v>
                </c:pt>
                <c:pt idx="77">
                  <c:v>0.66823344613510538</c:v>
                </c:pt>
                <c:pt idx="78">
                  <c:v>0.64564110977765576</c:v>
                </c:pt>
                <c:pt idx="79">
                  <c:v>0.63319076797368334</c:v>
                </c:pt>
                <c:pt idx="80">
                  <c:v>0.61204957033110441</c:v>
                </c:pt>
                <c:pt idx="81">
                  <c:v>0.61424741588203335</c:v>
                </c:pt>
                <c:pt idx="82">
                  <c:v>0.60236217522062585</c:v>
                </c:pt>
                <c:pt idx="83">
                  <c:v>0.58453171949509142</c:v>
                </c:pt>
                <c:pt idx="84">
                  <c:v>0.58261583305158271</c:v>
                </c:pt>
                <c:pt idx="85">
                  <c:v>0.58758061781697679</c:v>
                </c:pt>
                <c:pt idx="86">
                  <c:v>0.60719105030499898</c:v>
                </c:pt>
                <c:pt idx="87">
                  <c:v>0.62351238003375764</c:v>
                </c:pt>
                <c:pt idx="88">
                  <c:v>0.61074548604234491</c:v>
                </c:pt>
                <c:pt idx="89">
                  <c:v>0.61093169078597664</c:v>
                </c:pt>
                <c:pt idx="90">
                  <c:v>0.59999222653492723</c:v>
                </c:pt>
                <c:pt idx="91">
                  <c:v>0.61809615346701419</c:v>
                </c:pt>
                <c:pt idx="92">
                  <c:v>0.62509096913434148</c:v>
                </c:pt>
                <c:pt idx="93">
                  <c:v>0.61971927082389966</c:v>
                </c:pt>
                <c:pt idx="94">
                  <c:v>0.60722786880658131</c:v>
                </c:pt>
                <c:pt idx="95">
                  <c:v>0.61077903750327089</c:v>
                </c:pt>
                <c:pt idx="96">
                  <c:v>0.6200743904451822</c:v>
                </c:pt>
                <c:pt idx="97">
                  <c:v>0.62925422765574845</c:v>
                </c:pt>
                <c:pt idx="98">
                  <c:v>0.63003639738018202</c:v>
                </c:pt>
                <c:pt idx="99">
                  <c:v>0.63514537730530618</c:v>
                </c:pt>
                <c:pt idx="100">
                  <c:v>0.63351080956928651</c:v>
                </c:pt>
                <c:pt idx="101">
                  <c:v>0.62321661790458849</c:v>
                </c:pt>
                <c:pt idx="102">
                  <c:v>0.62716089645044071</c:v>
                </c:pt>
                <c:pt idx="103">
                  <c:v>0.62686860044955195</c:v>
                </c:pt>
                <c:pt idx="104">
                  <c:v>0.62856709633829944</c:v>
                </c:pt>
                <c:pt idx="105">
                  <c:v>0.62537888900505401</c:v>
                </c:pt>
                <c:pt idx="106">
                  <c:v>0.62753240268522692</c:v>
                </c:pt>
                <c:pt idx="107">
                  <c:v>0.6191678518425372</c:v>
                </c:pt>
                <c:pt idx="108">
                  <c:v>0.63293396394543955</c:v>
                </c:pt>
                <c:pt idx="109">
                  <c:v>0.63630612990181323</c:v>
                </c:pt>
                <c:pt idx="110">
                  <c:v>0.64111766702140038</c:v>
                </c:pt>
                <c:pt idx="111">
                  <c:v>0.64212987691107504</c:v>
                </c:pt>
                <c:pt idx="112">
                  <c:v>0.64428237123105114</c:v>
                </c:pt>
                <c:pt idx="113">
                  <c:v>0.64222265320969107</c:v>
                </c:pt>
                <c:pt idx="114">
                  <c:v>0.65030137496091589</c:v>
                </c:pt>
                <c:pt idx="115">
                  <c:v>0.64632298950029021</c:v>
                </c:pt>
                <c:pt idx="116">
                  <c:v>0.65038997421433808</c:v>
                </c:pt>
                <c:pt idx="117">
                  <c:v>0.63334935952938121</c:v>
                </c:pt>
                <c:pt idx="118">
                  <c:v>0.62869699448950744</c:v>
                </c:pt>
                <c:pt idx="119">
                  <c:v>0.61897164447480224</c:v>
                </c:pt>
                <c:pt idx="120">
                  <c:v>0.62143735320812843</c:v>
                </c:pt>
                <c:pt idx="121">
                  <c:v>0.63279177795812036</c:v>
                </c:pt>
                <c:pt idx="122">
                  <c:v>0.63256341224642731</c:v>
                </c:pt>
                <c:pt idx="123">
                  <c:v>0.6292839102731238</c:v>
                </c:pt>
                <c:pt idx="124">
                  <c:v>0.6232127309959844</c:v>
                </c:pt>
                <c:pt idx="125">
                  <c:v>0.63746071405720361</c:v>
                </c:pt>
                <c:pt idx="126">
                  <c:v>0.63089232943953</c:v>
                </c:pt>
                <c:pt idx="127">
                  <c:v>0.62362126784015082</c:v>
                </c:pt>
                <c:pt idx="128">
                  <c:v>0.61478167911814297</c:v>
                </c:pt>
                <c:pt idx="129">
                  <c:v>0.62039653187305344</c:v>
                </c:pt>
                <c:pt idx="130">
                  <c:v>0.61558908561194658</c:v>
                </c:pt>
                <c:pt idx="131">
                  <c:v>0.62376810917363135</c:v>
                </c:pt>
                <c:pt idx="132">
                  <c:v>0.59994194050819216</c:v>
                </c:pt>
                <c:pt idx="133">
                  <c:v>0.60318937952762219</c:v>
                </c:pt>
                <c:pt idx="134">
                  <c:v>0.56807991953721315</c:v>
                </c:pt>
                <c:pt idx="135">
                  <c:v>0.57411852971885524</c:v>
                </c:pt>
                <c:pt idx="136">
                  <c:v>0.58282197325280838</c:v>
                </c:pt>
                <c:pt idx="137">
                  <c:v>0.57127325402935081</c:v>
                </c:pt>
                <c:pt idx="138">
                  <c:v>0.56518265115690902</c:v>
                </c:pt>
                <c:pt idx="139">
                  <c:v>0.56483789645508753</c:v>
                </c:pt>
                <c:pt idx="140">
                  <c:v>0.56174707987982975</c:v>
                </c:pt>
                <c:pt idx="141">
                  <c:v>0.56641426140653939</c:v>
                </c:pt>
                <c:pt idx="142">
                  <c:v>0.57213314070010557</c:v>
                </c:pt>
                <c:pt idx="143">
                  <c:v>0.56126194829291232</c:v>
                </c:pt>
                <c:pt idx="144">
                  <c:v>0.55856667627688672</c:v>
                </c:pt>
                <c:pt idx="145">
                  <c:v>0.55846619008705001</c:v>
                </c:pt>
                <c:pt idx="146">
                  <c:v>0.54913050804021235</c:v>
                </c:pt>
                <c:pt idx="147">
                  <c:v>0.54623160835656193</c:v>
                </c:pt>
                <c:pt idx="148">
                  <c:v>0.5510414601868463</c:v>
                </c:pt>
                <c:pt idx="149">
                  <c:v>0.55071647033986204</c:v>
                </c:pt>
                <c:pt idx="150">
                  <c:v>0.54972148619142647</c:v>
                </c:pt>
                <c:pt idx="151">
                  <c:v>0.55708886591668405</c:v>
                </c:pt>
                <c:pt idx="152">
                  <c:v>0.5633829542621096</c:v>
                </c:pt>
                <c:pt idx="153">
                  <c:v>0.56327377189708472</c:v>
                </c:pt>
                <c:pt idx="154">
                  <c:v>0.55302762598033417</c:v>
                </c:pt>
                <c:pt idx="155">
                  <c:v>0.5493136558712608</c:v>
                </c:pt>
                <c:pt idx="156">
                  <c:v>0.55000328133918663</c:v>
                </c:pt>
                <c:pt idx="157">
                  <c:v>0.55846339722400429</c:v>
                </c:pt>
                <c:pt idx="158">
                  <c:v>0.57013302353232787</c:v>
                </c:pt>
                <c:pt idx="159">
                  <c:v>0.56248249292463337</c:v>
                </c:pt>
                <c:pt idx="160">
                  <c:v>0.55485515557731635</c:v>
                </c:pt>
                <c:pt idx="161">
                  <c:v>0.55289622326258803</c:v>
                </c:pt>
                <c:pt idx="162">
                  <c:v>0.54761095904821133</c:v>
                </c:pt>
                <c:pt idx="163">
                  <c:v>0.54695725195303524</c:v>
                </c:pt>
                <c:pt idx="164">
                  <c:v>0.54322022681072724</c:v>
                </c:pt>
                <c:pt idx="165">
                  <c:v>0.53104051366278016</c:v>
                </c:pt>
                <c:pt idx="166">
                  <c:v>0.53075021973149317</c:v>
                </c:pt>
                <c:pt idx="167">
                  <c:v>0.51632143792733576</c:v>
                </c:pt>
                <c:pt idx="168">
                  <c:v>0.52872421521717095</c:v>
                </c:pt>
                <c:pt idx="169">
                  <c:v>0.51334132053642312</c:v>
                </c:pt>
                <c:pt idx="170">
                  <c:v>0.52500112469360094</c:v>
                </c:pt>
                <c:pt idx="171">
                  <c:v>0.52479244184421747</c:v>
                </c:pt>
                <c:pt idx="172">
                  <c:v>0.54214598547710224</c:v>
                </c:pt>
                <c:pt idx="173">
                  <c:v>0.55506594306794066</c:v>
                </c:pt>
                <c:pt idx="174">
                  <c:v>0.57073308916992394</c:v>
                </c:pt>
                <c:pt idx="175">
                  <c:v>0.5653928135898364</c:v>
                </c:pt>
                <c:pt idx="176">
                  <c:v>0.5705168798381467</c:v>
                </c:pt>
                <c:pt idx="177">
                  <c:v>0.56809014827945747</c:v>
                </c:pt>
                <c:pt idx="178">
                  <c:v>0.56501795771766394</c:v>
                </c:pt>
                <c:pt idx="179">
                  <c:v>0.57508469475207669</c:v>
                </c:pt>
                <c:pt idx="180">
                  <c:v>0.574679865576327</c:v>
                </c:pt>
                <c:pt idx="181">
                  <c:v>0.57358824537342179</c:v>
                </c:pt>
                <c:pt idx="182">
                  <c:v>0.58189220829324062</c:v>
                </c:pt>
                <c:pt idx="183">
                  <c:v>0.57886380360417988</c:v>
                </c:pt>
                <c:pt idx="184">
                  <c:v>0.58625028259318912</c:v>
                </c:pt>
                <c:pt idx="185">
                  <c:v>0.57943675724196408</c:v>
                </c:pt>
                <c:pt idx="186">
                  <c:v>0.58054322380518675</c:v>
                </c:pt>
                <c:pt idx="187">
                  <c:v>0.58243331442858026</c:v>
                </c:pt>
                <c:pt idx="188">
                  <c:v>0.58610931225180574</c:v>
                </c:pt>
                <c:pt idx="189">
                  <c:v>0.57696301388876658</c:v>
                </c:pt>
                <c:pt idx="190">
                  <c:v>0.57228925486839977</c:v>
                </c:pt>
                <c:pt idx="191">
                  <c:v>0.56964354604458056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4-4FA4-80E7-D6C800A7FA94}"/>
            </c:ext>
          </c:extLst>
        </c:ser>
        <c:ser>
          <c:idx val="1"/>
          <c:order val="1"/>
          <c:tx>
            <c:strRef>
              <c:f>'Fuente - total'!$C$22</c:f>
              <c:strCache>
                <c:ptCount val="1"/>
                <c:pt idx="0">
                  <c:v>Bonos externos</c:v>
                </c:pt>
              </c:strCache>
            </c:strRef>
          </c:tx>
          <c:spPr>
            <a:solidFill>
              <a:srgbClr val="C5A15F"/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total'!$C$114:$C$305</c:f>
              <c:numCache>
                <c:formatCode>0.00%</c:formatCode>
                <c:ptCount val="192"/>
                <c:pt idx="0">
                  <c:v>0.19784626063486954</c:v>
                </c:pt>
                <c:pt idx="1">
                  <c:v>0.20101056740249218</c:v>
                </c:pt>
                <c:pt idx="2">
                  <c:v>0.19693099392700508</c:v>
                </c:pt>
                <c:pt idx="3">
                  <c:v>0.18717709921215592</c:v>
                </c:pt>
                <c:pt idx="4">
                  <c:v>0.18245562502909821</c:v>
                </c:pt>
                <c:pt idx="5">
                  <c:v>0.18172785874021685</c:v>
                </c:pt>
                <c:pt idx="6">
                  <c:v>0.17976759761561487</c:v>
                </c:pt>
                <c:pt idx="7">
                  <c:v>0.17572990544275077</c:v>
                </c:pt>
                <c:pt idx="8">
                  <c:v>0.170337074359527</c:v>
                </c:pt>
                <c:pt idx="9">
                  <c:v>0.17973310614433272</c:v>
                </c:pt>
                <c:pt idx="10">
                  <c:v>0.18020819732820517</c:v>
                </c:pt>
                <c:pt idx="11">
                  <c:v>0.18036681229953519</c:v>
                </c:pt>
                <c:pt idx="12">
                  <c:v>0.17551121423736835</c:v>
                </c:pt>
                <c:pt idx="13">
                  <c:v>0.1676162479086426</c:v>
                </c:pt>
                <c:pt idx="14">
                  <c:v>0.16694187802429142</c:v>
                </c:pt>
                <c:pt idx="15">
                  <c:v>0.17375358719940082</c:v>
                </c:pt>
                <c:pt idx="16">
                  <c:v>0.17432750337452133</c:v>
                </c:pt>
                <c:pt idx="17">
                  <c:v>0.1696271302898533</c:v>
                </c:pt>
                <c:pt idx="18">
                  <c:v>0.16186819219137599</c:v>
                </c:pt>
                <c:pt idx="19">
                  <c:v>0.16290788069134057</c:v>
                </c:pt>
                <c:pt idx="20">
                  <c:v>0.16357792154829587</c:v>
                </c:pt>
                <c:pt idx="21">
                  <c:v>0.16347323224699276</c:v>
                </c:pt>
                <c:pt idx="22">
                  <c:v>0.16581374643126509</c:v>
                </c:pt>
                <c:pt idx="23">
                  <c:v>0.15993610725752047</c:v>
                </c:pt>
                <c:pt idx="24">
                  <c:v>0.16160322539890509</c:v>
                </c:pt>
                <c:pt idx="25">
                  <c:v>0.16171597234515267</c:v>
                </c:pt>
                <c:pt idx="26">
                  <c:v>0.15968478198666244</c:v>
                </c:pt>
                <c:pt idx="27">
                  <c:v>0.15194919237221965</c:v>
                </c:pt>
                <c:pt idx="28">
                  <c:v>0.15579464423102379</c:v>
                </c:pt>
                <c:pt idx="29">
                  <c:v>0.15319855982188688</c:v>
                </c:pt>
                <c:pt idx="30">
                  <c:v>0.16649344535022564</c:v>
                </c:pt>
                <c:pt idx="31">
                  <c:v>0.16498898277142662</c:v>
                </c:pt>
                <c:pt idx="32">
                  <c:v>0.17207180814395509</c:v>
                </c:pt>
                <c:pt idx="33">
                  <c:v>0.16726895841347786</c:v>
                </c:pt>
                <c:pt idx="34">
                  <c:v>0.17158336814603325</c:v>
                </c:pt>
                <c:pt idx="35">
                  <c:v>0.16714742205995886</c:v>
                </c:pt>
                <c:pt idx="36">
                  <c:v>0.162330133640186</c:v>
                </c:pt>
                <c:pt idx="37">
                  <c:v>0.15751204360880744</c:v>
                </c:pt>
                <c:pt idx="38">
                  <c:v>0.15796510419355736</c:v>
                </c:pt>
                <c:pt idx="39">
                  <c:v>0.15744916911011039</c:v>
                </c:pt>
                <c:pt idx="40">
                  <c:v>0.1611289109012646</c:v>
                </c:pt>
                <c:pt idx="41">
                  <c:v>0.15997748899097633</c:v>
                </c:pt>
                <c:pt idx="42">
                  <c:v>0.15769278678874932</c:v>
                </c:pt>
                <c:pt idx="43">
                  <c:v>0.16130488249269198</c:v>
                </c:pt>
                <c:pt idx="44">
                  <c:v>0.16321818889612505</c:v>
                </c:pt>
                <c:pt idx="45">
                  <c:v>0.1649472189298844</c:v>
                </c:pt>
                <c:pt idx="46">
                  <c:v>0.16230267077601637</c:v>
                </c:pt>
                <c:pt idx="47">
                  <c:v>0.15556059139818806</c:v>
                </c:pt>
                <c:pt idx="48">
                  <c:v>0.15871307919408201</c:v>
                </c:pt>
                <c:pt idx="49">
                  <c:v>0.15828366399130495</c:v>
                </c:pt>
                <c:pt idx="50">
                  <c:v>0.1570608510746162</c:v>
                </c:pt>
                <c:pt idx="51">
                  <c:v>0.15795231831255555</c:v>
                </c:pt>
                <c:pt idx="52">
                  <c:v>0.16129434260647313</c:v>
                </c:pt>
                <c:pt idx="53">
                  <c:v>0.16245685846021252</c:v>
                </c:pt>
                <c:pt idx="54">
                  <c:v>0.15842540987535286</c:v>
                </c:pt>
                <c:pt idx="55">
                  <c:v>0.15816520753273386</c:v>
                </c:pt>
                <c:pt idx="56">
                  <c:v>0.16404408777333546</c:v>
                </c:pt>
                <c:pt idx="57">
                  <c:v>0.16040131188689313</c:v>
                </c:pt>
                <c:pt idx="58">
                  <c:v>0.16395497627317412</c:v>
                </c:pt>
                <c:pt idx="59">
                  <c:v>0.15929939402029386</c:v>
                </c:pt>
                <c:pt idx="60">
                  <c:v>0.17846942019989678</c:v>
                </c:pt>
                <c:pt idx="61">
                  <c:v>0.17864972256351316</c:v>
                </c:pt>
                <c:pt idx="62">
                  <c:v>0.17022107906914333</c:v>
                </c:pt>
                <c:pt idx="63">
                  <c:v>0.16610194409698725</c:v>
                </c:pt>
                <c:pt idx="64">
                  <c:v>0.16944038739375025</c:v>
                </c:pt>
                <c:pt idx="65">
                  <c:v>0.16479831566523817</c:v>
                </c:pt>
                <c:pt idx="66">
                  <c:v>0.16347647326320935</c:v>
                </c:pt>
                <c:pt idx="67">
                  <c:v>0.16466722670865253</c:v>
                </c:pt>
                <c:pt idx="68">
                  <c:v>0.16803597054661251</c:v>
                </c:pt>
                <c:pt idx="69">
                  <c:v>0.17119213737992028</c:v>
                </c:pt>
                <c:pt idx="70">
                  <c:v>0.17875993650601027</c:v>
                </c:pt>
                <c:pt idx="71">
                  <c:v>0.17957749941191284</c:v>
                </c:pt>
                <c:pt idx="72">
                  <c:v>0.19097901931600067</c:v>
                </c:pt>
                <c:pt idx="73">
                  <c:v>0.19337902298757045</c:v>
                </c:pt>
                <c:pt idx="74">
                  <c:v>0.2031145264900957</c:v>
                </c:pt>
                <c:pt idx="75">
                  <c:v>0.1938080761738529</c:v>
                </c:pt>
                <c:pt idx="76">
                  <c:v>0.19619710656051823</c:v>
                </c:pt>
                <c:pt idx="77">
                  <c:v>0.20003189999303433</c:v>
                </c:pt>
                <c:pt idx="78">
                  <c:v>0.21320095582679924</c:v>
                </c:pt>
                <c:pt idx="79">
                  <c:v>0.22176035884102197</c:v>
                </c:pt>
                <c:pt idx="80">
                  <c:v>0.22673713280598431</c:v>
                </c:pt>
                <c:pt idx="81">
                  <c:v>0.21782085240607135</c:v>
                </c:pt>
                <c:pt idx="82">
                  <c:v>0.225212898091811</c:v>
                </c:pt>
                <c:pt idx="83">
                  <c:v>0.22122139264681512</c:v>
                </c:pt>
                <c:pt idx="84">
                  <c:v>0.22615719534816497</c:v>
                </c:pt>
                <c:pt idx="85">
                  <c:v>0.2222187243250742</c:v>
                </c:pt>
                <c:pt idx="86">
                  <c:v>0.21915256893889776</c:v>
                </c:pt>
                <c:pt idx="87">
                  <c:v>0.21089681861622828</c:v>
                </c:pt>
                <c:pt idx="88">
                  <c:v>0.21370759694367397</c:v>
                </c:pt>
                <c:pt idx="89">
                  <c:v>0.2078638605424209</c:v>
                </c:pt>
                <c:pt idx="90">
                  <c:v>0.21505089750066517</c:v>
                </c:pt>
                <c:pt idx="91">
                  <c:v>0.20674890081510075</c:v>
                </c:pt>
                <c:pt idx="92">
                  <c:v>0.20315255422333167</c:v>
                </c:pt>
                <c:pt idx="93">
                  <c:v>0.20496657179700581</c:v>
                </c:pt>
                <c:pt idx="94">
                  <c:v>0.20992687782204456</c:v>
                </c:pt>
                <c:pt idx="95">
                  <c:v>0.20208576602839673</c:v>
                </c:pt>
                <c:pt idx="96">
                  <c:v>0.20427338398200845</c:v>
                </c:pt>
                <c:pt idx="97">
                  <c:v>0.2002064733285607</c:v>
                </c:pt>
                <c:pt idx="98">
                  <c:v>0.19707790567641481</c:v>
                </c:pt>
                <c:pt idx="99">
                  <c:v>0.19865839689278991</c:v>
                </c:pt>
                <c:pt idx="100">
                  <c:v>0.19945116374984218</c:v>
                </c:pt>
                <c:pt idx="101">
                  <c:v>0.20550347013435213</c:v>
                </c:pt>
                <c:pt idx="102">
                  <c:v>0.20136596400993656</c:v>
                </c:pt>
                <c:pt idx="103">
                  <c:v>0.20430720997597474</c:v>
                </c:pt>
                <c:pt idx="104">
                  <c:v>0.20402516309670651</c:v>
                </c:pt>
                <c:pt idx="105">
                  <c:v>0.20606292426794551</c:v>
                </c:pt>
                <c:pt idx="106">
                  <c:v>0.20523587711753258</c:v>
                </c:pt>
                <c:pt idx="107">
                  <c:v>0.20188366712991271</c:v>
                </c:pt>
                <c:pt idx="108">
                  <c:v>0.19374092658927192</c:v>
                </c:pt>
                <c:pt idx="109">
                  <c:v>0.19157657551317869</c:v>
                </c:pt>
                <c:pt idx="110">
                  <c:v>0.18702292416454178</c:v>
                </c:pt>
                <c:pt idx="111">
                  <c:v>0.18456716111089863</c:v>
                </c:pt>
                <c:pt idx="112">
                  <c:v>0.18495715932520942</c:v>
                </c:pt>
                <c:pt idx="113">
                  <c:v>0.1866121050019752</c:v>
                </c:pt>
                <c:pt idx="114">
                  <c:v>0.18158489792908158</c:v>
                </c:pt>
                <c:pt idx="115">
                  <c:v>0.18500307172936711</c:v>
                </c:pt>
                <c:pt idx="116">
                  <c:v>0.18192566009061314</c:v>
                </c:pt>
                <c:pt idx="117">
                  <c:v>0.19544227503541917</c:v>
                </c:pt>
                <c:pt idx="118">
                  <c:v>0.19758564263014416</c:v>
                </c:pt>
                <c:pt idx="119">
                  <c:v>0.19641890445427845</c:v>
                </c:pt>
                <c:pt idx="120">
                  <c:v>0.20209959883102621</c:v>
                </c:pt>
                <c:pt idx="121">
                  <c:v>0.19606493513364681</c:v>
                </c:pt>
                <c:pt idx="122">
                  <c:v>0.19406117954969332</c:v>
                </c:pt>
                <c:pt idx="123">
                  <c:v>0.19630072209852348</c:v>
                </c:pt>
                <c:pt idx="124">
                  <c:v>0.20043154123119067</c:v>
                </c:pt>
                <c:pt idx="125">
                  <c:v>0.19139619787422407</c:v>
                </c:pt>
                <c:pt idx="126">
                  <c:v>0.19210712586981235</c:v>
                </c:pt>
                <c:pt idx="127">
                  <c:v>0.19723109165742658</c:v>
                </c:pt>
                <c:pt idx="128">
                  <c:v>0.19989526315752734</c:v>
                </c:pt>
                <c:pt idx="129">
                  <c:v>0.19659402839771406</c:v>
                </c:pt>
                <c:pt idx="130">
                  <c:v>0.19637756187456754</c:v>
                </c:pt>
                <c:pt idx="131">
                  <c:v>0.19109124489713408</c:v>
                </c:pt>
                <c:pt idx="132">
                  <c:v>0.19605541720960873</c:v>
                </c:pt>
                <c:pt idx="133">
                  <c:v>0.19373554834417597</c:v>
                </c:pt>
                <c:pt idx="134">
                  <c:v>0.21039386577549382</c:v>
                </c:pt>
                <c:pt idx="135">
                  <c:v>0.20611197464084177</c:v>
                </c:pt>
                <c:pt idx="136">
                  <c:v>0.19401936070684039</c:v>
                </c:pt>
                <c:pt idx="137">
                  <c:v>0.20908118239382617</c:v>
                </c:pt>
                <c:pt idx="138">
                  <c:v>0.20569893120376934</c:v>
                </c:pt>
                <c:pt idx="139">
                  <c:v>0.20385168542367282</c:v>
                </c:pt>
                <c:pt idx="140">
                  <c:v>0.20590094637267345</c:v>
                </c:pt>
                <c:pt idx="141">
                  <c:v>0.20339313138468515</c:v>
                </c:pt>
                <c:pt idx="142">
                  <c:v>0.19010403270317802</c:v>
                </c:pt>
                <c:pt idx="143">
                  <c:v>0.17886153774980296</c:v>
                </c:pt>
                <c:pt idx="144">
                  <c:v>0.19053526046529851</c:v>
                </c:pt>
                <c:pt idx="145">
                  <c:v>0.18959677735056793</c:v>
                </c:pt>
                <c:pt idx="146">
                  <c:v>0.18748191221207805</c:v>
                </c:pt>
                <c:pt idx="147">
                  <c:v>0.19540055835396633</c:v>
                </c:pt>
                <c:pt idx="148">
                  <c:v>0.19353487984311316</c:v>
                </c:pt>
                <c:pt idx="149">
                  <c:v>0.19312596477449606</c:v>
                </c:pt>
                <c:pt idx="150">
                  <c:v>0.19318389538995817</c:v>
                </c:pt>
                <c:pt idx="151">
                  <c:v>0.19405551785672914</c:v>
                </c:pt>
                <c:pt idx="152">
                  <c:v>0.19135899253698072</c:v>
                </c:pt>
                <c:pt idx="153">
                  <c:v>0.19343041240452505</c:v>
                </c:pt>
                <c:pt idx="154">
                  <c:v>0.19813563667986731</c:v>
                </c:pt>
                <c:pt idx="155">
                  <c:v>0.19617765212392518</c:v>
                </c:pt>
                <c:pt idx="156">
                  <c:v>0.19398531752353046</c:v>
                </c:pt>
                <c:pt idx="157">
                  <c:v>0.18966652494779918</c:v>
                </c:pt>
                <c:pt idx="158">
                  <c:v>0.18373765994089583</c:v>
                </c:pt>
                <c:pt idx="159">
                  <c:v>0.18868643521505388</c:v>
                </c:pt>
                <c:pt idx="160">
                  <c:v>0.18478218397355206</c:v>
                </c:pt>
                <c:pt idx="161">
                  <c:v>0.19188593380104674</c:v>
                </c:pt>
                <c:pt idx="162">
                  <c:v>0.19314918252336258</c:v>
                </c:pt>
                <c:pt idx="163">
                  <c:v>0.19356041146398034</c:v>
                </c:pt>
                <c:pt idx="164">
                  <c:v>0.19514649321929348</c:v>
                </c:pt>
                <c:pt idx="165">
                  <c:v>0.20057419301692178</c:v>
                </c:pt>
                <c:pt idx="166">
                  <c:v>0.19963844462443697</c:v>
                </c:pt>
                <c:pt idx="167">
                  <c:v>0.19920453560606699</c:v>
                </c:pt>
                <c:pt idx="168">
                  <c:v>0.19337302972059753</c:v>
                </c:pt>
                <c:pt idx="169">
                  <c:v>0.20580636171997152</c:v>
                </c:pt>
                <c:pt idx="170">
                  <c:v>0.19482718135380334</c:v>
                </c:pt>
                <c:pt idx="171">
                  <c:v>0.1938167134002016</c:v>
                </c:pt>
                <c:pt idx="172">
                  <c:v>0.1860178608579596</c:v>
                </c:pt>
                <c:pt idx="173">
                  <c:v>0.17991407724306804</c:v>
                </c:pt>
                <c:pt idx="174">
                  <c:v>0.17160177041805313</c:v>
                </c:pt>
                <c:pt idx="175">
                  <c:v>0.17486873270454859</c:v>
                </c:pt>
                <c:pt idx="176">
                  <c:v>0.17399318531180757</c:v>
                </c:pt>
                <c:pt idx="177">
                  <c:v>0.16858336826886822</c:v>
                </c:pt>
                <c:pt idx="178">
                  <c:v>0.17495375926145992</c:v>
                </c:pt>
                <c:pt idx="179">
                  <c:v>0.17137212491060863</c:v>
                </c:pt>
                <c:pt idx="180">
                  <c:v>0.17331475832879709</c:v>
                </c:pt>
                <c:pt idx="181">
                  <c:v>0.17083591587369457</c:v>
                </c:pt>
                <c:pt idx="182">
                  <c:v>0.16782844675882191</c:v>
                </c:pt>
                <c:pt idx="183">
                  <c:v>0.17079503961815484</c:v>
                </c:pt>
                <c:pt idx="184">
                  <c:v>0.16715629366010262</c:v>
                </c:pt>
                <c:pt idx="185">
                  <c:v>0.17220748026376664</c:v>
                </c:pt>
                <c:pt idx="186">
                  <c:v>0.16996867871307547</c:v>
                </c:pt>
                <c:pt idx="187">
                  <c:v>0.17075266968052058</c:v>
                </c:pt>
                <c:pt idx="188">
                  <c:v>0.16923526392961891</c:v>
                </c:pt>
                <c:pt idx="189">
                  <c:v>0.17508262387141046</c:v>
                </c:pt>
                <c:pt idx="190">
                  <c:v>0.18459403286179293</c:v>
                </c:pt>
                <c:pt idx="191">
                  <c:v>0.18240861190384428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44-4FA4-80E7-D6C800A7FA94}"/>
            </c:ext>
          </c:extLst>
        </c:ser>
        <c:ser>
          <c:idx val="2"/>
          <c:order val="2"/>
          <c:tx>
            <c:strRef>
              <c:f>'Fuente - total'!$D$22</c:f>
              <c:strCache>
                <c:ptCount val="1"/>
                <c:pt idx="0">
                  <c:v>BID                            </c:v>
                </c:pt>
              </c:strCache>
            </c:strRef>
          </c:tx>
          <c:spPr>
            <a:solidFill>
              <a:srgbClr val="CFB17B"/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total'!$D$114:$D$305</c:f>
              <c:numCache>
                <c:formatCode>0.00%</c:formatCode>
                <c:ptCount val="192"/>
                <c:pt idx="0">
                  <c:v>7.0240413877330876E-2</c:v>
                </c:pt>
                <c:pt idx="1">
                  <c:v>7.2423025871072036E-2</c:v>
                </c:pt>
                <c:pt idx="2">
                  <c:v>7.1318917805264184E-2</c:v>
                </c:pt>
                <c:pt idx="3">
                  <c:v>6.4773199285307656E-2</c:v>
                </c:pt>
                <c:pt idx="4">
                  <c:v>6.1018303301349427E-2</c:v>
                </c:pt>
                <c:pt idx="5">
                  <c:v>6.0927780419794811E-2</c:v>
                </c:pt>
                <c:pt idx="6">
                  <c:v>5.976930117378975E-2</c:v>
                </c:pt>
                <c:pt idx="7">
                  <c:v>6.1325733877918467E-2</c:v>
                </c:pt>
                <c:pt idx="8">
                  <c:v>5.8855850464846364E-2</c:v>
                </c:pt>
                <c:pt idx="9">
                  <c:v>5.8728225525846195E-2</c:v>
                </c:pt>
                <c:pt idx="10">
                  <c:v>5.8505920053438701E-2</c:v>
                </c:pt>
                <c:pt idx="11">
                  <c:v>6.1461830778225389E-2</c:v>
                </c:pt>
                <c:pt idx="12">
                  <c:v>5.9348942542677724E-2</c:v>
                </c:pt>
                <c:pt idx="13">
                  <c:v>5.6857465210859236E-2</c:v>
                </c:pt>
                <c:pt idx="14">
                  <c:v>5.634066847470523E-2</c:v>
                </c:pt>
                <c:pt idx="15">
                  <c:v>5.6492811375424702E-2</c:v>
                </c:pt>
                <c:pt idx="16">
                  <c:v>5.5381348002243189E-2</c:v>
                </c:pt>
                <c:pt idx="17">
                  <c:v>5.3639060535637148E-2</c:v>
                </c:pt>
                <c:pt idx="18">
                  <c:v>5.1681724577896812E-2</c:v>
                </c:pt>
                <c:pt idx="19">
                  <c:v>5.0563191456255117E-2</c:v>
                </c:pt>
                <c:pt idx="20">
                  <c:v>5.065259945449626E-2</c:v>
                </c:pt>
                <c:pt idx="21">
                  <c:v>5.1636065438849126E-2</c:v>
                </c:pt>
                <c:pt idx="22">
                  <c:v>5.3813311659909081E-2</c:v>
                </c:pt>
                <c:pt idx="23">
                  <c:v>5.2933332193696662E-2</c:v>
                </c:pt>
                <c:pt idx="24">
                  <c:v>5.3521984203736259E-2</c:v>
                </c:pt>
                <c:pt idx="25">
                  <c:v>5.3781121120508688E-2</c:v>
                </c:pt>
                <c:pt idx="26">
                  <c:v>5.3007813931494153E-2</c:v>
                </c:pt>
                <c:pt idx="27">
                  <c:v>4.9735686494178581E-2</c:v>
                </c:pt>
                <c:pt idx="28">
                  <c:v>5.127266531791682E-2</c:v>
                </c:pt>
                <c:pt idx="29">
                  <c:v>5.024463692167002E-2</c:v>
                </c:pt>
                <c:pt idx="30">
                  <c:v>4.8668492986754665E-2</c:v>
                </c:pt>
                <c:pt idx="31">
                  <c:v>4.8324247255816868E-2</c:v>
                </c:pt>
                <c:pt idx="32">
                  <c:v>5.1142982935503893E-2</c:v>
                </c:pt>
                <c:pt idx="33">
                  <c:v>4.9380097823313207E-2</c:v>
                </c:pt>
                <c:pt idx="34">
                  <c:v>5.3133982670256263E-2</c:v>
                </c:pt>
                <c:pt idx="35">
                  <c:v>5.2918541198182137E-2</c:v>
                </c:pt>
                <c:pt idx="36">
                  <c:v>5.0544844234632451E-2</c:v>
                </c:pt>
                <c:pt idx="37">
                  <c:v>4.8972620346431579E-2</c:v>
                </c:pt>
                <c:pt idx="38">
                  <c:v>4.9295094903462844E-2</c:v>
                </c:pt>
                <c:pt idx="39">
                  <c:v>4.8860636092088953E-2</c:v>
                </c:pt>
                <c:pt idx="40">
                  <c:v>4.9300140446096707E-2</c:v>
                </c:pt>
                <c:pt idx="41">
                  <c:v>4.861651883249582E-2</c:v>
                </c:pt>
                <c:pt idx="42">
                  <c:v>4.7820758099850154E-2</c:v>
                </c:pt>
                <c:pt idx="43">
                  <c:v>4.921707396888568E-2</c:v>
                </c:pt>
                <c:pt idx="44">
                  <c:v>4.8187321903900536E-2</c:v>
                </c:pt>
                <c:pt idx="45">
                  <c:v>4.8969571648893685E-2</c:v>
                </c:pt>
                <c:pt idx="46">
                  <c:v>4.7322560452335807E-2</c:v>
                </c:pt>
                <c:pt idx="47">
                  <c:v>4.7557682014703617E-2</c:v>
                </c:pt>
                <c:pt idx="48">
                  <c:v>4.7357498696073801E-2</c:v>
                </c:pt>
                <c:pt idx="49">
                  <c:v>4.7499278515535398E-2</c:v>
                </c:pt>
                <c:pt idx="50">
                  <c:v>4.7319210325227359E-2</c:v>
                </c:pt>
                <c:pt idx="51">
                  <c:v>4.7545882271975717E-2</c:v>
                </c:pt>
                <c:pt idx="52">
                  <c:v>4.8164801208739831E-2</c:v>
                </c:pt>
                <c:pt idx="53">
                  <c:v>4.8447023625909115E-2</c:v>
                </c:pt>
                <c:pt idx="54">
                  <c:v>4.6946464943078532E-2</c:v>
                </c:pt>
                <c:pt idx="55">
                  <c:v>4.9208905920956933E-2</c:v>
                </c:pt>
                <c:pt idx="56">
                  <c:v>4.6787741304158095E-2</c:v>
                </c:pt>
                <c:pt idx="57">
                  <c:v>4.5603404714058354E-2</c:v>
                </c:pt>
                <c:pt idx="58">
                  <c:v>4.6143305303923784E-2</c:v>
                </c:pt>
                <c:pt idx="59">
                  <c:v>4.7735879719388259E-2</c:v>
                </c:pt>
                <c:pt idx="60">
                  <c:v>4.9019323522974903E-2</c:v>
                </c:pt>
                <c:pt idx="61">
                  <c:v>4.9229684829599683E-2</c:v>
                </c:pt>
                <c:pt idx="62">
                  <c:v>4.6435521893195407E-2</c:v>
                </c:pt>
                <c:pt idx="63">
                  <c:v>4.5063633014358152E-2</c:v>
                </c:pt>
                <c:pt idx="64">
                  <c:v>4.5119173294830721E-2</c:v>
                </c:pt>
                <c:pt idx="65">
                  <c:v>4.3581175183668781E-2</c:v>
                </c:pt>
                <c:pt idx="66">
                  <c:v>4.314364523806194E-2</c:v>
                </c:pt>
                <c:pt idx="67">
                  <c:v>4.3685679610262262E-2</c:v>
                </c:pt>
                <c:pt idx="68">
                  <c:v>4.4913667571332881E-2</c:v>
                </c:pt>
                <c:pt idx="69">
                  <c:v>4.3746313106672846E-2</c:v>
                </c:pt>
                <c:pt idx="70">
                  <c:v>4.5547110748114475E-2</c:v>
                </c:pt>
                <c:pt idx="71">
                  <c:v>5.1582622708223093E-2</c:v>
                </c:pt>
                <c:pt idx="72">
                  <c:v>5.1374986520760162E-2</c:v>
                </c:pt>
                <c:pt idx="73">
                  <c:v>5.2089697339901375E-2</c:v>
                </c:pt>
                <c:pt idx="74">
                  <c:v>5.2522189285315504E-2</c:v>
                </c:pt>
                <c:pt idx="75">
                  <c:v>4.9465102911525817E-2</c:v>
                </c:pt>
                <c:pt idx="76">
                  <c:v>4.9736392594501175E-2</c:v>
                </c:pt>
                <c:pt idx="77">
                  <c:v>5.0592063883080338E-2</c:v>
                </c:pt>
                <c:pt idx="78">
                  <c:v>5.4698343629761934E-2</c:v>
                </c:pt>
                <c:pt idx="79">
                  <c:v>5.7305749116955976E-2</c:v>
                </c:pt>
                <c:pt idx="80">
                  <c:v>5.4918382249516208E-2</c:v>
                </c:pt>
                <c:pt idx="81">
                  <c:v>5.8560334039075408E-2</c:v>
                </c:pt>
                <c:pt idx="82">
                  <c:v>6.0510782130732112E-2</c:v>
                </c:pt>
                <c:pt idx="83">
                  <c:v>6.2996375677495373E-2</c:v>
                </c:pt>
                <c:pt idx="84">
                  <c:v>6.4494019339902273E-2</c:v>
                </c:pt>
                <c:pt idx="85">
                  <c:v>6.3456024967530375E-2</c:v>
                </c:pt>
                <c:pt idx="86">
                  <c:v>5.8162597040518273E-2</c:v>
                </c:pt>
                <c:pt idx="87">
                  <c:v>5.5492030939563508E-2</c:v>
                </c:pt>
                <c:pt idx="88">
                  <c:v>5.5941183867513719E-2</c:v>
                </c:pt>
                <c:pt idx="89">
                  <c:v>5.3968984138965906E-2</c:v>
                </c:pt>
                <c:pt idx="90">
                  <c:v>5.6024359852179531E-2</c:v>
                </c:pt>
                <c:pt idx="91">
                  <c:v>5.3615222658134412E-2</c:v>
                </c:pt>
                <c:pt idx="92">
                  <c:v>5.231885347072264E-2</c:v>
                </c:pt>
                <c:pt idx="93">
                  <c:v>5.2957089391509671E-2</c:v>
                </c:pt>
                <c:pt idx="94">
                  <c:v>5.736691367747216E-2</c:v>
                </c:pt>
                <c:pt idx="95">
                  <c:v>5.8314343969782932E-2</c:v>
                </c:pt>
                <c:pt idx="96">
                  <c:v>5.6857911912108296E-2</c:v>
                </c:pt>
                <c:pt idx="97">
                  <c:v>5.5579523979698425E-2</c:v>
                </c:pt>
                <c:pt idx="98">
                  <c:v>5.4371815564959639E-2</c:v>
                </c:pt>
                <c:pt idx="99">
                  <c:v>5.4687250736902025E-2</c:v>
                </c:pt>
                <c:pt idx="100">
                  <c:v>5.4099817943684438E-2</c:v>
                </c:pt>
                <c:pt idx="101">
                  <c:v>5.5710509582802319E-2</c:v>
                </c:pt>
                <c:pt idx="102">
                  <c:v>5.4353479796315142E-2</c:v>
                </c:pt>
                <c:pt idx="103">
                  <c:v>5.5530909782260177E-2</c:v>
                </c:pt>
                <c:pt idx="104">
                  <c:v>5.5237133351732561E-2</c:v>
                </c:pt>
                <c:pt idx="105">
                  <c:v>5.5885857439882648E-2</c:v>
                </c:pt>
                <c:pt idx="106">
                  <c:v>5.5012027226182252E-2</c:v>
                </c:pt>
                <c:pt idx="107">
                  <c:v>5.6202002430822642E-2</c:v>
                </c:pt>
                <c:pt idx="108">
                  <c:v>5.3560176552861799E-2</c:v>
                </c:pt>
                <c:pt idx="109">
                  <c:v>5.2964430146256611E-2</c:v>
                </c:pt>
                <c:pt idx="110">
                  <c:v>5.1326610557879217E-2</c:v>
                </c:pt>
                <c:pt idx="111">
                  <c:v>5.0606966896217291E-2</c:v>
                </c:pt>
                <c:pt idx="112">
                  <c:v>5.0405039099088098E-2</c:v>
                </c:pt>
                <c:pt idx="113">
                  <c:v>5.070124533486324E-2</c:v>
                </c:pt>
                <c:pt idx="114">
                  <c:v>4.9217796642407059E-2</c:v>
                </c:pt>
                <c:pt idx="115">
                  <c:v>5.0312652653960163E-2</c:v>
                </c:pt>
                <c:pt idx="116">
                  <c:v>4.9176410415193723E-2</c:v>
                </c:pt>
                <c:pt idx="117">
                  <c:v>5.11491399917633E-2</c:v>
                </c:pt>
                <c:pt idx="118">
                  <c:v>5.1283979563686591E-2</c:v>
                </c:pt>
                <c:pt idx="119">
                  <c:v>5.5014536413086755E-2</c:v>
                </c:pt>
                <c:pt idx="120">
                  <c:v>5.2757676577993913E-2</c:v>
                </c:pt>
                <c:pt idx="121">
                  <c:v>5.0979587663942887E-2</c:v>
                </c:pt>
                <c:pt idx="122">
                  <c:v>5.2049861645173258E-2</c:v>
                </c:pt>
                <c:pt idx="123">
                  <c:v>5.2568622075317366E-2</c:v>
                </c:pt>
                <c:pt idx="124">
                  <c:v>5.3210271464588094E-2</c:v>
                </c:pt>
                <c:pt idx="125">
                  <c:v>5.0361436011743532E-2</c:v>
                </c:pt>
                <c:pt idx="126">
                  <c:v>5.0682779295154252E-2</c:v>
                </c:pt>
                <c:pt idx="127">
                  <c:v>5.1979995495155903E-2</c:v>
                </c:pt>
                <c:pt idx="128">
                  <c:v>5.484517305159655E-2</c:v>
                </c:pt>
                <c:pt idx="129">
                  <c:v>5.3705928055649131E-2</c:v>
                </c:pt>
                <c:pt idx="130">
                  <c:v>5.3983495160734862E-2</c:v>
                </c:pt>
                <c:pt idx="131">
                  <c:v>5.6154816905050239E-2</c:v>
                </c:pt>
                <c:pt idx="132">
                  <c:v>5.5395241631545973E-2</c:v>
                </c:pt>
                <c:pt idx="133">
                  <c:v>5.5954109255575604E-2</c:v>
                </c:pt>
                <c:pt idx="134">
                  <c:v>6.0933468888399275E-2</c:v>
                </c:pt>
                <c:pt idx="135">
                  <c:v>6.1680754000880259E-2</c:v>
                </c:pt>
                <c:pt idx="136">
                  <c:v>5.7257657958222706E-2</c:v>
                </c:pt>
                <c:pt idx="137">
                  <c:v>5.6648631584261512E-2</c:v>
                </c:pt>
                <c:pt idx="138">
                  <c:v>6.0982956026139533E-2</c:v>
                </c:pt>
                <c:pt idx="139">
                  <c:v>6.030664175368073E-2</c:v>
                </c:pt>
                <c:pt idx="140">
                  <c:v>6.0808295721490851E-2</c:v>
                </c:pt>
                <c:pt idx="141">
                  <c:v>5.9940850134312239E-2</c:v>
                </c:pt>
                <c:pt idx="142">
                  <c:v>5.5490762065105136E-2</c:v>
                </c:pt>
                <c:pt idx="143">
                  <c:v>5.195779466528521E-2</c:v>
                </c:pt>
                <c:pt idx="144">
                  <c:v>5.2774968986956008E-2</c:v>
                </c:pt>
                <c:pt idx="145">
                  <c:v>5.2379716271236852E-2</c:v>
                </c:pt>
                <c:pt idx="146">
                  <c:v>5.3891944338739929E-2</c:v>
                </c:pt>
                <c:pt idx="147">
                  <c:v>5.2114012731268561E-2</c:v>
                </c:pt>
                <c:pt idx="148">
                  <c:v>5.1224612205105713E-2</c:v>
                </c:pt>
                <c:pt idx="149">
                  <c:v>5.1044462929605364E-2</c:v>
                </c:pt>
                <c:pt idx="150">
                  <c:v>5.1153251815742463E-2</c:v>
                </c:pt>
                <c:pt idx="151">
                  <c:v>5.1301393295771124E-2</c:v>
                </c:pt>
                <c:pt idx="152">
                  <c:v>5.0932460855452513E-2</c:v>
                </c:pt>
                <c:pt idx="153">
                  <c:v>4.9911483347139053E-2</c:v>
                </c:pt>
                <c:pt idx="154">
                  <c:v>5.2690783046440627E-2</c:v>
                </c:pt>
                <c:pt idx="155">
                  <c:v>5.6476374519890592E-2</c:v>
                </c:pt>
                <c:pt idx="156">
                  <c:v>5.5902727266364916E-2</c:v>
                </c:pt>
                <c:pt idx="157">
                  <c:v>5.4460644018797043E-2</c:v>
                </c:pt>
                <c:pt idx="158">
                  <c:v>5.2679655351737999E-2</c:v>
                </c:pt>
                <c:pt idx="159">
                  <c:v>5.3820672815707904E-2</c:v>
                </c:pt>
                <c:pt idx="160">
                  <c:v>5.2487020739422532E-2</c:v>
                </c:pt>
                <c:pt idx="161">
                  <c:v>5.4207332533072632E-2</c:v>
                </c:pt>
                <c:pt idx="162">
                  <c:v>5.4812397177572615E-2</c:v>
                </c:pt>
                <c:pt idx="163">
                  <c:v>5.7498315956206962E-2</c:v>
                </c:pt>
                <c:pt idx="164">
                  <c:v>5.7652302257631051E-2</c:v>
                </c:pt>
                <c:pt idx="165">
                  <c:v>5.8881215174768915E-2</c:v>
                </c:pt>
                <c:pt idx="166">
                  <c:v>5.8206524187709649E-2</c:v>
                </c:pt>
                <c:pt idx="167">
                  <c:v>5.6962571579238834E-2</c:v>
                </c:pt>
                <c:pt idx="168">
                  <c:v>5.5345755739719546E-2</c:v>
                </c:pt>
                <c:pt idx="169">
                  <c:v>5.6020515913677953E-2</c:v>
                </c:pt>
                <c:pt idx="170">
                  <c:v>5.413391946108112E-2</c:v>
                </c:pt>
                <c:pt idx="171">
                  <c:v>5.3670539570073693E-2</c:v>
                </c:pt>
                <c:pt idx="172">
                  <c:v>5.1527603594099705E-2</c:v>
                </c:pt>
                <c:pt idx="173">
                  <c:v>4.9891131465907797E-2</c:v>
                </c:pt>
                <c:pt idx="174">
                  <c:v>4.7781525958328845E-2</c:v>
                </c:pt>
                <c:pt idx="175">
                  <c:v>4.8412464619087561E-2</c:v>
                </c:pt>
                <c:pt idx="176">
                  <c:v>4.8022446296299412E-2</c:v>
                </c:pt>
                <c:pt idx="177">
                  <c:v>4.7448115469219045E-2</c:v>
                </c:pt>
                <c:pt idx="178">
                  <c:v>4.8294199164663022E-2</c:v>
                </c:pt>
                <c:pt idx="179">
                  <c:v>4.9667020074657106E-2</c:v>
                </c:pt>
                <c:pt idx="180">
                  <c:v>5.0046705141707955E-2</c:v>
                </c:pt>
                <c:pt idx="181">
                  <c:v>4.9156546072974337E-2</c:v>
                </c:pt>
                <c:pt idx="182">
                  <c:v>4.8161970022803507E-2</c:v>
                </c:pt>
                <c:pt idx="183">
                  <c:v>4.7333160041082137E-2</c:v>
                </c:pt>
                <c:pt idx="184">
                  <c:v>4.6913914151204876E-2</c:v>
                </c:pt>
                <c:pt idx="185">
                  <c:v>4.7978362241129474E-2</c:v>
                </c:pt>
                <c:pt idx="186">
                  <c:v>4.7281091940952279E-2</c:v>
                </c:pt>
                <c:pt idx="187">
                  <c:v>4.7239001605616969E-2</c:v>
                </c:pt>
                <c:pt idx="188">
                  <c:v>4.6663555567190547E-2</c:v>
                </c:pt>
                <c:pt idx="189">
                  <c:v>4.8118341785148885E-2</c:v>
                </c:pt>
                <c:pt idx="190">
                  <c:v>4.7049743761260816E-2</c:v>
                </c:pt>
                <c:pt idx="191">
                  <c:v>4.6481321138229843E-2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44-4FA4-80E7-D6C800A7FA94}"/>
            </c:ext>
          </c:extLst>
        </c:ser>
        <c:ser>
          <c:idx val="3"/>
          <c:order val="3"/>
          <c:tx>
            <c:strRef>
              <c:f>'Fuente - total'!$I$22</c:f>
              <c:strCache>
                <c:ptCount val="1"/>
                <c:pt idx="0">
                  <c:v>Bonos Fogafin</c:v>
                </c:pt>
              </c:strCache>
            </c:strRef>
          </c:tx>
          <c:spPr>
            <a:solidFill>
              <a:srgbClr val="D9C197"/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total'!$I$114:$I$303</c:f>
              <c:numCache>
                <c:formatCode>0.00%</c:formatCode>
                <c:ptCount val="190"/>
                <c:pt idx="0">
                  <c:v>7.5036001015475655E-3</c:v>
                </c:pt>
                <c:pt idx="1">
                  <c:v>7.2946898892801782E-3</c:v>
                </c:pt>
                <c:pt idx="2">
                  <c:v>7.1282290462433067E-3</c:v>
                </c:pt>
                <c:pt idx="3">
                  <c:v>7.2382766037501472E-3</c:v>
                </c:pt>
                <c:pt idx="4">
                  <c:v>7.4459518461407626E-3</c:v>
                </c:pt>
                <c:pt idx="5">
                  <c:v>7.1697888652616452E-3</c:v>
                </c:pt>
                <c:pt idx="6">
                  <c:v>7.1821967513165325E-3</c:v>
                </c:pt>
                <c:pt idx="7">
                  <c:v>4.1579456944997361E-3</c:v>
                </c:pt>
                <c:pt idx="8">
                  <c:v>4.217476106700346E-3</c:v>
                </c:pt>
                <c:pt idx="9">
                  <c:v>4.0545157515750425E-3</c:v>
                </c:pt>
                <c:pt idx="10">
                  <c:v>3.9258781815191962E-3</c:v>
                </c:pt>
                <c:pt idx="11">
                  <c:v>3.8718910307562198E-3</c:v>
                </c:pt>
                <c:pt idx="12">
                  <c:v>3.8631096596919625E-3</c:v>
                </c:pt>
                <c:pt idx="13">
                  <c:v>3.8965317881907093E-3</c:v>
                </c:pt>
                <c:pt idx="14">
                  <c:v>3.8842977533365308E-3</c:v>
                </c:pt>
                <c:pt idx="15">
                  <c:v>2.2162458941571064E-3</c:v>
                </c:pt>
                <c:pt idx="16">
                  <c:v>1.3905709121280485E-3</c:v>
                </c:pt>
                <c:pt idx="17">
                  <c:v>1.3862130990569012E-3</c:v>
                </c:pt>
                <c:pt idx="18">
                  <c:v>1.3867807345309053E-3</c:v>
                </c:pt>
                <c:pt idx="19">
                  <c:v>1.3626131310523857E-3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44-4FA4-80E7-D6C800A7FA94}"/>
            </c:ext>
          </c:extLst>
        </c:ser>
        <c:ser>
          <c:idx val="4"/>
          <c:order val="4"/>
          <c:tx>
            <c:strRef>
              <c:f>'Fuente - total'!$E$22</c:f>
              <c:strCache>
                <c:ptCount val="1"/>
                <c:pt idx="0">
                  <c:v>BIRF                          </c:v>
                </c:pt>
              </c:strCache>
            </c:strRef>
          </c:tx>
          <c:spPr>
            <a:solidFill>
              <a:srgbClr val="E3D2B3"/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total'!$E$114:$E$305</c:f>
              <c:numCache>
                <c:formatCode>0.00%</c:formatCode>
                <c:ptCount val="192"/>
                <c:pt idx="0">
                  <c:v>6.8880492725287554E-2</c:v>
                </c:pt>
                <c:pt idx="1">
                  <c:v>6.9865276746512842E-2</c:v>
                </c:pt>
                <c:pt idx="2">
                  <c:v>7.5603713973760672E-2</c:v>
                </c:pt>
                <c:pt idx="3">
                  <c:v>6.9856407801553416E-2</c:v>
                </c:pt>
                <c:pt idx="4">
                  <c:v>6.8081399463590125E-2</c:v>
                </c:pt>
                <c:pt idx="5">
                  <c:v>6.7804920169713206E-2</c:v>
                </c:pt>
                <c:pt idx="6">
                  <c:v>6.8147870746578298E-2</c:v>
                </c:pt>
                <c:pt idx="7">
                  <c:v>6.6594845537285105E-2</c:v>
                </c:pt>
                <c:pt idx="8">
                  <c:v>6.4504944968539812E-2</c:v>
                </c:pt>
                <c:pt idx="9">
                  <c:v>6.7951552066292956E-2</c:v>
                </c:pt>
                <c:pt idx="10">
                  <c:v>6.5908958681934568E-2</c:v>
                </c:pt>
                <c:pt idx="11">
                  <c:v>6.8343446965507287E-2</c:v>
                </c:pt>
                <c:pt idx="12">
                  <c:v>6.6324300567064898E-2</c:v>
                </c:pt>
                <c:pt idx="13">
                  <c:v>6.6216151963979591E-2</c:v>
                </c:pt>
                <c:pt idx="14">
                  <c:v>6.6494537135392648E-2</c:v>
                </c:pt>
                <c:pt idx="15">
                  <c:v>7.2199613201336416E-2</c:v>
                </c:pt>
                <c:pt idx="16">
                  <c:v>7.1409327632085157E-2</c:v>
                </c:pt>
                <c:pt idx="17">
                  <c:v>7.007288443407314E-2</c:v>
                </c:pt>
                <c:pt idx="18">
                  <c:v>6.8111150154729586E-2</c:v>
                </c:pt>
                <c:pt idx="19">
                  <c:v>6.6266676774637254E-2</c:v>
                </c:pt>
                <c:pt idx="20">
                  <c:v>6.7354906707439349E-2</c:v>
                </c:pt>
                <c:pt idx="21">
                  <c:v>6.7420932587519855E-2</c:v>
                </c:pt>
                <c:pt idx="22">
                  <c:v>6.7335643649522339E-2</c:v>
                </c:pt>
                <c:pt idx="23">
                  <c:v>6.7001743565384062E-2</c:v>
                </c:pt>
                <c:pt idx="24">
                  <c:v>6.7619619142726795E-2</c:v>
                </c:pt>
                <c:pt idx="25">
                  <c:v>6.7676319115791472E-2</c:v>
                </c:pt>
                <c:pt idx="26">
                  <c:v>6.6719555156116855E-2</c:v>
                </c:pt>
                <c:pt idx="27">
                  <c:v>6.3499723791279258E-2</c:v>
                </c:pt>
                <c:pt idx="28">
                  <c:v>6.5794938330863861E-2</c:v>
                </c:pt>
                <c:pt idx="29">
                  <c:v>6.482213865977593E-2</c:v>
                </c:pt>
                <c:pt idx="30">
                  <c:v>6.2835876064690904E-2</c:v>
                </c:pt>
                <c:pt idx="31">
                  <c:v>6.2145572132002488E-2</c:v>
                </c:pt>
                <c:pt idx="32">
                  <c:v>6.484217352235587E-2</c:v>
                </c:pt>
                <c:pt idx="33">
                  <c:v>6.307457128843473E-2</c:v>
                </c:pt>
                <c:pt idx="34">
                  <c:v>6.3945619688619185E-2</c:v>
                </c:pt>
                <c:pt idx="35">
                  <c:v>6.5133750636524157E-2</c:v>
                </c:pt>
                <c:pt idx="36">
                  <c:v>6.2969558231260908E-2</c:v>
                </c:pt>
                <c:pt idx="37">
                  <c:v>6.112625674538566E-2</c:v>
                </c:pt>
                <c:pt idx="38">
                  <c:v>6.1273659638957707E-2</c:v>
                </c:pt>
                <c:pt idx="39">
                  <c:v>6.093028688946657E-2</c:v>
                </c:pt>
                <c:pt idx="40">
                  <c:v>6.1680589812203972E-2</c:v>
                </c:pt>
                <c:pt idx="41">
                  <c:v>6.1080209768687867E-2</c:v>
                </c:pt>
                <c:pt idx="42">
                  <c:v>6.01350810287185E-2</c:v>
                </c:pt>
                <c:pt idx="43">
                  <c:v>6.1483067354185059E-2</c:v>
                </c:pt>
                <c:pt idx="44">
                  <c:v>6.024540623513984E-2</c:v>
                </c:pt>
                <c:pt idx="45">
                  <c:v>6.1081966404698859E-2</c:v>
                </c:pt>
                <c:pt idx="46">
                  <c:v>5.9401707525916357E-2</c:v>
                </c:pt>
                <c:pt idx="47">
                  <c:v>6.0476998864492933E-2</c:v>
                </c:pt>
                <c:pt idx="48">
                  <c:v>6.0335620781404399E-2</c:v>
                </c:pt>
                <c:pt idx="49">
                  <c:v>5.9848774449039931E-2</c:v>
                </c:pt>
                <c:pt idx="50">
                  <c:v>5.9432186973454607E-2</c:v>
                </c:pt>
                <c:pt idx="51">
                  <c:v>5.9846542846335997E-2</c:v>
                </c:pt>
                <c:pt idx="52">
                  <c:v>6.045624273226783E-2</c:v>
                </c:pt>
                <c:pt idx="53">
                  <c:v>6.0642070655338415E-2</c:v>
                </c:pt>
                <c:pt idx="54">
                  <c:v>5.9061538192779581E-2</c:v>
                </c:pt>
                <c:pt idx="55">
                  <c:v>5.8560842562042331E-2</c:v>
                </c:pt>
                <c:pt idx="56">
                  <c:v>6.0482984000266804E-2</c:v>
                </c:pt>
                <c:pt idx="57">
                  <c:v>5.9085110779660804E-2</c:v>
                </c:pt>
                <c:pt idx="58">
                  <c:v>5.9667093066403533E-2</c:v>
                </c:pt>
                <c:pt idx="59">
                  <c:v>5.7607811966528408E-2</c:v>
                </c:pt>
                <c:pt idx="60">
                  <c:v>5.8872144180690512E-2</c:v>
                </c:pt>
                <c:pt idx="61">
                  <c:v>5.8920063964271373E-2</c:v>
                </c:pt>
                <c:pt idx="62">
                  <c:v>5.5739200368161795E-2</c:v>
                </c:pt>
                <c:pt idx="63">
                  <c:v>5.4334760629341068E-2</c:v>
                </c:pt>
                <c:pt idx="64">
                  <c:v>5.2915647938689143E-2</c:v>
                </c:pt>
                <c:pt idx="65">
                  <c:v>5.1014232382604281E-2</c:v>
                </c:pt>
                <c:pt idx="66">
                  <c:v>5.0591229089799357E-2</c:v>
                </c:pt>
                <c:pt idx="67">
                  <c:v>5.095096294569066E-2</c:v>
                </c:pt>
                <c:pt idx="68">
                  <c:v>5.1683868690988961E-2</c:v>
                </c:pt>
                <c:pt idx="69">
                  <c:v>5.0473525807873912E-2</c:v>
                </c:pt>
                <c:pt idx="70">
                  <c:v>5.1905074408336714E-2</c:v>
                </c:pt>
                <c:pt idx="71">
                  <c:v>6.4362739968591792E-2</c:v>
                </c:pt>
                <c:pt idx="72">
                  <c:v>6.4075170134385559E-2</c:v>
                </c:pt>
                <c:pt idx="73">
                  <c:v>6.6293276139107432E-2</c:v>
                </c:pt>
                <c:pt idx="74">
                  <c:v>6.6385478272439041E-2</c:v>
                </c:pt>
                <c:pt idx="75">
                  <c:v>6.3004772288708294E-2</c:v>
                </c:pt>
                <c:pt idx="76">
                  <c:v>6.2898984327240212E-2</c:v>
                </c:pt>
                <c:pt idx="77">
                  <c:v>6.3752539944277486E-2</c:v>
                </c:pt>
                <c:pt idx="78">
                  <c:v>6.8442728261565347E-2</c:v>
                </c:pt>
                <c:pt idx="79">
                  <c:v>7.1319717704130106E-2</c:v>
                </c:pt>
                <c:pt idx="80">
                  <c:v>6.7878459796008123E-2</c:v>
                </c:pt>
                <c:pt idx="81">
                  <c:v>6.7380027662512471E-2</c:v>
                </c:pt>
                <c:pt idx="82">
                  <c:v>6.9196797514629121E-2</c:v>
                </c:pt>
                <c:pt idx="83">
                  <c:v>7.3945223199007773E-2</c:v>
                </c:pt>
                <c:pt idx="84">
                  <c:v>7.5692525918767184E-2</c:v>
                </c:pt>
                <c:pt idx="85">
                  <c:v>7.4059604263520387E-2</c:v>
                </c:pt>
                <c:pt idx="86">
                  <c:v>6.8013341682435779E-2</c:v>
                </c:pt>
                <c:pt idx="87">
                  <c:v>6.5178442970023148E-2</c:v>
                </c:pt>
                <c:pt idx="88">
                  <c:v>7.1345655536730057E-2</c:v>
                </c:pt>
                <c:pt idx="89">
                  <c:v>6.8806059271728462E-2</c:v>
                </c:pt>
                <c:pt idx="90">
                  <c:v>7.1415387420985604E-2</c:v>
                </c:pt>
                <c:pt idx="91">
                  <c:v>6.8014112438773922E-2</c:v>
                </c:pt>
                <c:pt idx="92">
                  <c:v>6.6300955778620649E-2</c:v>
                </c:pt>
                <c:pt idx="93">
                  <c:v>6.6860291027158167E-2</c:v>
                </c:pt>
                <c:pt idx="94">
                  <c:v>6.8089050256288308E-2</c:v>
                </c:pt>
                <c:pt idx="95">
                  <c:v>7.0998546591922451E-2</c:v>
                </c:pt>
                <c:pt idx="96">
                  <c:v>6.9647863039565674E-2</c:v>
                </c:pt>
                <c:pt idx="97">
                  <c:v>6.76899343791562E-2</c:v>
                </c:pt>
                <c:pt idx="98">
                  <c:v>6.6322067783117861E-2</c:v>
                </c:pt>
                <c:pt idx="99">
                  <c:v>6.7122032922506528E-2</c:v>
                </c:pt>
                <c:pt idx="100">
                  <c:v>6.7597471530062292E-2</c:v>
                </c:pt>
                <c:pt idx="101">
                  <c:v>6.9574832304444861E-2</c:v>
                </c:pt>
                <c:pt idx="102">
                  <c:v>6.8557935382844895E-2</c:v>
                </c:pt>
                <c:pt idx="103">
                  <c:v>6.577069446908039E-2</c:v>
                </c:pt>
                <c:pt idx="104">
                  <c:v>6.5252790938053667E-2</c:v>
                </c:pt>
                <c:pt idx="105">
                  <c:v>6.5736395917463553E-2</c:v>
                </c:pt>
                <c:pt idx="106">
                  <c:v>6.5520639635730626E-2</c:v>
                </c:pt>
                <c:pt idx="107">
                  <c:v>6.3979870385363735E-2</c:v>
                </c:pt>
                <c:pt idx="108">
                  <c:v>6.4662629170094507E-2</c:v>
                </c:pt>
                <c:pt idx="109">
                  <c:v>6.3225399703531304E-2</c:v>
                </c:pt>
                <c:pt idx="110">
                  <c:v>6.6113903694991608E-2</c:v>
                </c:pt>
                <c:pt idx="111">
                  <c:v>6.4802789365640739E-2</c:v>
                </c:pt>
                <c:pt idx="112">
                  <c:v>6.4500956889731786E-2</c:v>
                </c:pt>
                <c:pt idx="113">
                  <c:v>6.4943731660921503E-2</c:v>
                </c:pt>
                <c:pt idx="114">
                  <c:v>6.3177159039230227E-2</c:v>
                </c:pt>
                <c:pt idx="115">
                  <c:v>6.3923258447841455E-2</c:v>
                </c:pt>
                <c:pt idx="116">
                  <c:v>6.2520080143275064E-2</c:v>
                </c:pt>
                <c:pt idx="117">
                  <c:v>6.4338159332836348E-2</c:v>
                </c:pt>
                <c:pt idx="118">
                  <c:v>6.5618966596491815E-2</c:v>
                </c:pt>
                <c:pt idx="119">
                  <c:v>6.5236542036902628E-2</c:v>
                </c:pt>
                <c:pt idx="120">
                  <c:v>6.2728471605507832E-2</c:v>
                </c:pt>
                <c:pt idx="121">
                  <c:v>6.0259585462811828E-2</c:v>
                </c:pt>
                <c:pt idx="122">
                  <c:v>6.12301407150029E-2</c:v>
                </c:pt>
                <c:pt idx="123">
                  <c:v>6.1632044134383508E-2</c:v>
                </c:pt>
                <c:pt idx="124">
                  <c:v>6.3127372814860222E-2</c:v>
                </c:pt>
                <c:pt idx="125">
                  <c:v>6.0448611656501595E-2</c:v>
                </c:pt>
                <c:pt idx="126">
                  <c:v>6.0304258528932654E-2</c:v>
                </c:pt>
                <c:pt idx="127">
                  <c:v>6.1323320132771343E-2</c:v>
                </c:pt>
                <c:pt idx="128">
                  <c:v>6.2119813911036208E-2</c:v>
                </c:pt>
                <c:pt idx="129">
                  <c:v>6.1022535877821332E-2</c:v>
                </c:pt>
                <c:pt idx="130">
                  <c:v>6.6520282233808889E-2</c:v>
                </c:pt>
                <c:pt idx="131">
                  <c:v>6.4793110472852231E-2</c:v>
                </c:pt>
                <c:pt idx="132">
                  <c:v>6.3534353791104628E-2</c:v>
                </c:pt>
                <c:pt idx="133">
                  <c:v>6.4155192233246713E-2</c:v>
                </c:pt>
                <c:pt idx="134">
                  <c:v>7.1823687131911992E-2</c:v>
                </c:pt>
                <c:pt idx="135">
                  <c:v>6.9651924769778328E-2</c:v>
                </c:pt>
                <c:pt idx="136">
                  <c:v>6.8331324543643712E-2</c:v>
                </c:pt>
                <c:pt idx="137">
                  <c:v>6.8063942450474813E-2</c:v>
                </c:pt>
                <c:pt idx="138">
                  <c:v>7.2145972765545921E-2</c:v>
                </c:pt>
                <c:pt idx="139">
                  <c:v>7.1268127978900697E-2</c:v>
                </c:pt>
                <c:pt idx="140">
                  <c:v>7.1679138172263124E-2</c:v>
                </c:pt>
                <c:pt idx="141">
                  <c:v>7.0639537252341442E-2</c:v>
                </c:pt>
                <c:pt idx="142">
                  <c:v>6.5990444367373433E-2</c:v>
                </c:pt>
                <c:pt idx="143">
                  <c:v>6.2842266196902627E-2</c:v>
                </c:pt>
                <c:pt idx="144">
                  <c:v>6.3804422437625491E-2</c:v>
                </c:pt>
                <c:pt idx="145">
                  <c:v>6.337906368711374E-2</c:v>
                </c:pt>
                <c:pt idx="146">
                  <c:v>6.7124844551465196E-2</c:v>
                </c:pt>
                <c:pt idx="147">
                  <c:v>6.5663781772367313E-2</c:v>
                </c:pt>
                <c:pt idx="148">
                  <c:v>6.5076622881500151E-2</c:v>
                </c:pt>
                <c:pt idx="149">
                  <c:v>6.8698477592887996E-2</c:v>
                </c:pt>
                <c:pt idx="150">
                  <c:v>6.8878808697555624E-2</c:v>
                </c:pt>
                <c:pt idx="151">
                  <c:v>6.8591747479257614E-2</c:v>
                </c:pt>
                <c:pt idx="152">
                  <c:v>6.736690625687497E-2</c:v>
                </c:pt>
                <c:pt idx="153">
                  <c:v>6.8654997294543996E-2</c:v>
                </c:pt>
                <c:pt idx="154">
                  <c:v>7.0161221139183313E-2</c:v>
                </c:pt>
                <c:pt idx="155">
                  <c:v>7.2651390749228759E-2</c:v>
                </c:pt>
                <c:pt idx="156">
                  <c:v>7.1228362877444412E-2</c:v>
                </c:pt>
                <c:pt idx="157">
                  <c:v>6.9532152226053343E-2</c:v>
                </c:pt>
                <c:pt idx="158">
                  <c:v>6.7186509711442868E-2</c:v>
                </c:pt>
                <c:pt idx="159">
                  <c:v>6.816919171759038E-2</c:v>
                </c:pt>
                <c:pt idx="160">
                  <c:v>7.0785304534919366E-2</c:v>
                </c:pt>
                <c:pt idx="161">
                  <c:v>7.3303392061402448E-2</c:v>
                </c:pt>
                <c:pt idx="162">
                  <c:v>7.3525035296668859E-2</c:v>
                </c:pt>
                <c:pt idx="163">
                  <c:v>7.3320235560074068E-2</c:v>
                </c:pt>
                <c:pt idx="164">
                  <c:v>7.3635196364213507E-2</c:v>
                </c:pt>
                <c:pt idx="165">
                  <c:v>7.5539822462328585E-2</c:v>
                </c:pt>
                <c:pt idx="166">
                  <c:v>7.7462784991894504E-2</c:v>
                </c:pt>
                <c:pt idx="167">
                  <c:v>8.172832477360821E-2</c:v>
                </c:pt>
                <c:pt idx="168">
                  <c:v>7.9499906128960782E-2</c:v>
                </c:pt>
                <c:pt idx="169">
                  <c:v>8.0434813798327731E-2</c:v>
                </c:pt>
                <c:pt idx="170">
                  <c:v>7.8162193196855301E-2</c:v>
                </c:pt>
                <c:pt idx="171">
                  <c:v>7.7627861456029568E-2</c:v>
                </c:pt>
                <c:pt idx="172">
                  <c:v>7.4173172211845675E-2</c:v>
                </c:pt>
                <c:pt idx="173">
                  <c:v>7.1877961344644109E-2</c:v>
                </c:pt>
                <c:pt idx="174">
                  <c:v>6.8673940562353972E-2</c:v>
                </c:pt>
                <c:pt idx="175">
                  <c:v>6.9570646755204302E-2</c:v>
                </c:pt>
                <c:pt idx="176">
                  <c:v>7.2439481661213473E-2</c:v>
                </c:pt>
                <c:pt idx="177">
                  <c:v>7.1514042447288317E-2</c:v>
                </c:pt>
                <c:pt idx="178">
                  <c:v>6.9683794599147725E-2</c:v>
                </c:pt>
                <c:pt idx="179">
                  <c:v>6.8404679702553178E-2</c:v>
                </c:pt>
                <c:pt idx="180">
                  <c:v>6.9038002545450325E-2</c:v>
                </c:pt>
                <c:pt idx="181">
                  <c:v>6.7913509452471238E-2</c:v>
                </c:pt>
                <c:pt idx="182">
                  <c:v>6.6633521277369101E-2</c:v>
                </c:pt>
                <c:pt idx="183">
                  <c:v>6.5298940271533573E-2</c:v>
                </c:pt>
                <c:pt idx="184">
                  <c:v>6.5116736945006734E-2</c:v>
                </c:pt>
                <c:pt idx="185">
                  <c:v>6.7138366763697208E-2</c:v>
                </c:pt>
                <c:pt idx="186">
                  <c:v>6.9581306037606663E-2</c:v>
                </c:pt>
                <c:pt idx="187">
                  <c:v>6.996830609257898E-2</c:v>
                </c:pt>
                <c:pt idx="188">
                  <c:v>6.9432265692750877E-2</c:v>
                </c:pt>
                <c:pt idx="189">
                  <c:v>7.1370247299814019E-2</c:v>
                </c:pt>
                <c:pt idx="190">
                  <c:v>6.9665330717256141E-2</c:v>
                </c:pt>
                <c:pt idx="191">
                  <c:v>6.8725015748292248E-2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44-4FA4-80E7-D6C800A7FA94}"/>
            </c:ext>
          </c:extLst>
        </c:ser>
        <c:ser>
          <c:idx val="5"/>
          <c:order val="5"/>
          <c:tx>
            <c:strRef>
              <c:f>'Fuente - total'!$G$22</c:f>
              <c:strCache>
                <c:ptCount val="1"/>
                <c:pt idx="0">
                  <c:v>Créditos comerciales      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total'!$G$114:$G$303</c:f>
              <c:numCache>
                <c:formatCode>0.00%</c:formatCode>
                <c:ptCount val="190"/>
                <c:pt idx="0">
                  <c:v>7.5465095586293334E-4</c:v>
                </c:pt>
                <c:pt idx="1">
                  <c:v>7.7451827691035508E-4</c:v>
                </c:pt>
                <c:pt idx="2">
                  <c:v>7.5991221689858065E-4</c:v>
                </c:pt>
                <c:pt idx="3">
                  <c:v>6.8975800046184406E-4</c:v>
                </c:pt>
                <c:pt idx="4">
                  <c:v>6.6702851845279975E-4</c:v>
                </c:pt>
                <c:pt idx="5">
                  <c:v>5.5782332937277183E-4</c:v>
                </c:pt>
                <c:pt idx="6">
                  <c:v>5.1897235613059076E-4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2.4721598262126193E-4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44-4FA4-80E7-D6C800A7FA94}"/>
            </c:ext>
          </c:extLst>
        </c:ser>
        <c:ser>
          <c:idx val="6"/>
          <c:order val="6"/>
          <c:tx>
            <c:strRef>
              <c:f>'Fuente - total'!$H$22</c:f>
              <c:strCache>
                <c:ptCount val="1"/>
                <c:pt idx="0">
                  <c:v>Bonos Ley 546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total'!$H$114:$H$303</c:f>
              <c:numCache>
                <c:formatCode>0.00%</c:formatCode>
                <c:ptCount val="190"/>
                <c:pt idx="0">
                  <c:v>3.3060376093212566E-3</c:v>
                </c:pt>
                <c:pt idx="1">
                  <c:v>3.2294509831587675E-3</c:v>
                </c:pt>
                <c:pt idx="2">
                  <c:v>2.7023236622374176E-3</c:v>
                </c:pt>
                <c:pt idx="3">
                  <c:v>2.5165452203027155E-3</c:v>
                </c:pt>
                <c:pt idx="4">
                  <c:v>2.3446583194968768E-3</c:v>
                </c:pt>
                <c:pt idx="5">
                  <c:v>2.0701395844865255E-3</c:v>
                </c:pt>
                <c:pt idx="6">
                  <c:v>1.8772808039340693E-3</c:v>
                </c:pt>
                <c:pt idx="7">
                  <c:v>1.5788783304561949E-3</c:v>
                </c:pt>
                <c:pt idx="8">
                  <c:v>1.3375589216326972E-3</c:v>
                </c:pt>
                <c:pt idx="9">
                  <c:v>1.0305872361011511E-3</c:v>
                </c:pt>
                <c:pt idx="10">
                  <c:v>7.4925165808147293E-4</c:v>
                </c:pt>
                <c:pt idx="11">
                  <c:v>4.9323373556227682E-4</c:v>
                </c:pt>
                <c:pt idx="12">
                  <c:v>9.4257347313173798E-3</c:v>
                </c:pt>
                <c:pt idx="13">
                  <c:v>2.5026184802063738E-4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44-4FA4-80E7-D6C800A7FA94}"/>
            </c:ext>
          </c:extLst>
        </c:ser>
        <c:ser>
          <c:idx val="7"/>
          <c:order val="7"/>
          <c:tx>
            <c:strRef>
              <c:f>'Fuente - total'!$F$22</c:f>
              <c:strCache>
                <c:ptCount val="1"/>
                <c:pt idx="0">
                  <c:v>CAF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total'!$F$114:$F$305</c:f>
              <c:numCache>
                <c:formatCode>0.00%</c:formatCode>
                <c:ptCount val="192"/>
                <c:pt idx="0">
                  <c:v>1.3086370708306441E-2</c:v>
                </c:pt>
                <c:pt idx="1">
                  <c:v>1.3050701431979896E-2</c:v>
                </c:pt>
                <c:pt idx="2">
                  <c:v>1.27963226268134E-2</c:v>
                </c:pt>
                <c:pt idx="3">
                  <c:v>1.1652670910947883E-2</c:v>
                </c:pt>
                <c:pt idx="4">
                  <c:v>1.1233502200890842E-2</c:v>
                </c:pt>
                <c:pt idx="5">
                  <c:v>1.1191731293483819E-2</c:v>
                </c:pt>
                <c:pt idx="6">
                  <c:v>1.0730380740299651E-2</c:v>
                </c:pt>
                <c:pt idx="7">
                  <c:v>9.6080819350236341E-3</c:v>
                </c:pt>
                <c:pt idx="8">
                  <c:v>9.1833046856907678E-3</c:v>
                </c:pt>
                <c:pt idx="9">
                  <c:v>9.279759109118612E-3</c:v>
                </c:pt>
                <c:pt idx="10">
                  <c:v>9.0018796805533454E-3</c:v>
                </c:pt>
                <c:pt idx="11">
                  <c:v>1.0040487858909687E-2</c:v>
                </c:pt>
                <c:pt idx="12">
                  <c:v>7.3919765668316209E-4</c:v>
                </c:pt>
                <c:pt idx="13">
                  <c:v>9.2729642530004694E-3</c:v>
                </c:pt>
                <c:pt idx="14">
                  <c:v>9.206432299324975E-3</c:v>
                </c:pt>
                <c:pt idx="15">
                  <c:v>9.2111613049565798E-3</c:v>
                </c:pt>
                <c:pt idx="16">
                  <c:v>9.243362823996383E-3</c:v>
                </c:pt>
                <c:pt idx="17">
                  <c:v>9.107880172548051E-3</c:v>
                </c:pt>
                <c:pt idx="18">
                  <c:v>8.5026106084939643E-3</c:v>
                </c:pt>
                <c:pt idx="19">
                  <c:v>8.1645190232636465E-3</c:v>
                </c:pt>
                <c:pt idx="20">
                  <c:v>8.1437430814550339E-3</c:v>
                </c:pt>
                <c:pt idx="21">
                  <c:v>9.6873724157329824E-3</c:v>
                </c:pt>
                <c:pt idx="22">
                  <c:v>9.9550579859700016E-3</c:v>
                </c:pt>
                <c:pt idx="23">
                  <c:v>9.4889577542311594E-3</c:v>
                </c:pt>
                <c:pt idx="24">
                  <c:v>9.339345392317653E-3</c:v>
                </c:pt>
                <c:pt idx="25">
                  <c:v>9.2276310357658712E-3</c:v>
                </c:pt>
                <c:pt idx="26">
                  <c:v>9.0775830767433341E-3</c:v>
                </c:pt>
                <c:pt idx="27">
                  <c:v>8.5166518563855528E-3</c:v>
                </c:pt>
                <c:pt idx="28">
                  <c:v>8.9595928047342364E-3</c:v>
                </c:pt>
                <c:pt idx="29">
                  <c:v>9.0523766694515072E-3</c:v>
                </c:pt>
                <c:pt idx="30">
                  <c:v>8.5338530054598453E-3</c:v>
                </c:pt>
                <c:pt idx="31">
                  <c:v>8.3138429153181755E-3</c:v>
                </c:pt>
                <c:pt idx="32">
                  <c:v>8.7816866299508505E-3</c:v>
                </c:pt>
                <c:pt idx="33">
                  <c:v>9.5755511230839873E-3</c:v>
                </c:pt>
                <c:pt idx="34">
                  <c:v>9.9764733083740065E-3</c:v>
                </c:pt>
                <c:pt idx="35">
                  <c:v>1.0042887872037895E-2</c:v>
                </c:pt>
                <c:pt idx="36">
                  <c:v>9.3738261006377777E-3</c:v>
                </c:pt>
                <c:pt idx="37">
                  <c:v>8.9318672876154467E-3</c:v>
                </c:pt>
                <c:pt idx="38">
                  <c:v>8.9740318825892573E-3</c:v>
                </c:pt>
                <c:pt idx="39">
                  <c:v>8.9001428298468768E-3</c:v>
                </c:pt>
                <c:pt idx="40">
                  <c:v>9.1622552148337612E-3</c:v>
                </c:pt>
                <c:pt idx="41">
                  <c:v>9.0259913607664624E-3</c:v>
                </c:pt>
                <c:pt idx="42">
                  <c:v>8.6019915209408666E-3</c:v>
                </c:pt>
                <c:pt idx="43">
                  <c:v>8.6999992952439074E-3</c:v>
                </c:pt>
                <c:pt idx="44">
                  <c:v>8.5011992250197885E-3</c:v>
                </c:pt>
                <c:pt idx="45">
                  <c:v>8.6335969192874364E-3</c:v>
                </c:pt>
                <c:pt idx="46">
                  <c:v>8.4853993924438164E-3</c:v>
                </c:pt>
                <c:pt idx="47">
                  <c:v>8.3551868755812712E-3</c:v>
                </c:pt>
                <c:pt idx="48">
                  <c:v>8.0308498026020608E-3</c:v>
                </c:pt>
                <c:pt idx="49">
                  <c:v>7.9199797043139862E-3</c:v>
                </c:pt>
                <c:pt idx="50">
                  <c:v>7.8732762560855072E-3</c:v>
                </c:pt>
                <c:pt idx="51">
                  <c:v>7.9214719734018047E-3</c:v>
                </c:pt>
                <c:pt idx="52">
                  <c:v>8.1488424277142407E-3</c:v>
                </c:pt>
                <c:pt idx="53">
                  <c:v>8.2000333078997151E-3</c:v>
                </c:pt>
                <c:pt idx="54">
                  <c:v>7.6515435483717111E-3</c:v>
                </c:pt>
                <c:pt idx="55">
                  <c:v>7.540247309537524E-3</c:v>
                </c:pt>
                <c:pt idx="56">
                  <c:v>7.1834207374778481E-3</c:v>
                </c:pt>
                <c:pt idx="57">
                  <c:v>7.001009752047864E-3</c:v>
                </c:pt>
                <c:pt idx="58">
                  <c:v>7.2385239231989879E-3</c:v>
                </c:pt>
                <c:pt idx="59">
                  <c:v>7.0134303221856742E-3</c:v>
                </c:pt>
                <c:pt idx="60">
                  <c:v>7.065025732171E-3</c:v>
                </c:pt>
                <c:pt idx="61">
                  <c:v>6.9629422875932614E-3</c:v>
                </c:pt>
                <c:pt idx="62">
                  <c:v>6.6231461304177399E-3</c:v>
                </c:pt>
                <c:pt idx="63">
                  <c:v>6.4437621521340601E-3</c:v>
                </c:pt>
                <c:pt idx="64">
                  <c:v>6.5436166545933755E-3</c:v>
                </c:pt>
                <c:pt idx="65">
                  <c:v>6.2503028140229351E-3</c:v>
                </c:pt>
                <c:pt idx="66">
                  <c:v>6.0633577395606715E-3</c:v>
                </c:pt>
                <c:pt idx="67">
                  <c:v>6.0167708422715236E-3</c:v>
                </c:pt>
                <c:pt idx="68">
                  <c:v>6.240672182335285E-3</c:v>
                </c:pt>
                <c:pt idx="69">
                  <c:v>6.0994337347105082E-3</c:v>
                </c:pt>
                <c:pt idx="70">
                  <c:v>6.4432309250356022E-3</c:v>
                </c:pt>
                <c:pt idx="71">
                  <c:v>6.7256961716710487E-3</c:v>
                </c:pt>
                <c:pt idx="72">
                  <c:v>6.5563773939671891E-3</c:v>
                </c:pt>
                <c:pt idx="73">
                  <c:v>6.5799169427026355E-3</c:v>
                </c:pt>
                <c:pt idx="74">
                  <c:v>6.6361752516877568E-3</c:v>
                </c:pt>
                <c:pt idx="75">
                  <c:v>6.3533366183822874E-3</c:v>
                </c:pt>
                <c:pt idx="76">
                  <c:v>6.4784353024648616E-3</c:v>
                </c:pt>
                <c:pt idx="77">
                  <c:v>6.4849443318095697E-3</c:v>
                </c:pt>
                <c:pt idx="78">
                  <c:v>6.8343761057985319E-3</c:v>
                </c:pt>
                <c:pt idx="79">
                  <c:v>7.1321626995097878E-3</c:v>
                </c:pt>
                <c:pt idx="80">
                  <c:v>6.8410008157537639E-3</c:v>
                </c:pt>
                <c:pt idx="81">
                  <c:v>6.7602224626725268E-3</c:v>
                </c:pt>
                <c:pt idx="82">
                  <c:v>7.1082146664165902E-3</c:v>
                </c:pt>
                <c:pt idx="83">
                  <c:v>9.1430005750520304E-3</c:v>
                </c:pt>
                <c:pt idx="84">
                  <c:v>1.156280536590404E-2</c:v>
                </c:pt>
                <c:pt idx="85">
                  <c:v>1.1255037659387835E-2</c:v>
                </c:pt>
                <c:pt idx="86">
                  <c:v>1.0501794534600185E-2</c:v>
                </c:pt>
                <c:pt idx="87">
                  <c:v>9.9053897794528743E-3</c:v>
                </c:pt>
                <c:pt idx="88">
                  <c:v>1.0104552014379995E-2</c:v>
                </c:pt>
                <c:pt idx="89">
                  <c:v>9.673373837282187E-3</c:v>
                </c:pt>
                <c:pt idx="90">
                  <c:v>9.8984310008828538E-3</c:v>
                </c:pt>
                <c:pt idx="91">
                  <c:v>9.404050883540226E-3</c:v>
                </c:pt>
                <c:pt idx="92">
                  <c:v>9.204951604088657E-3</c:v>
                </c:pt>
                <c:pt idx="93">
                  <c:v>9.332762470872797E-3</c:v>
                </c:pt>
                <c:pt idx="94">
                  <c:v>1.1489237192181942E-2</c:v>
                </c:pt>
                <c:pt idx="95">
                  <c:v>1.1008713259093516E-2</c:v>
                </c:pt>
                <c:pt idx="96">
                  <c:v>1.2570215568029088E-2</c:v>
                </c:pt>
                <c:pt idx="97">
                  <c:v>1.2064846255553985E-2</c:v>
                </c:pt>
                <c:pt idx="98">
                  <c:v>1.1852556156998793E-2</c:v>
                </c:pt>
                <c:pt idx="99">
                  <c:v>1.1955409416743987E-2</c:v>
                </c:pt>
                <c:pt idx="100">
                  <c:v>1.1964544836231182E-2</c:v>
                </c:pt>
                <c:pt idx="101">
                  <c:v>1.2238880388022179E-2</c:v>
                </c:pt>
                <c:pt idx="102">
                  <c:v>1.1812968007314651E-2</c:v>
                </c:pt>
                <c:pt idx="103">
                  <c:v>1.1253867242359571E-2</c:v>
                </c:pt>
                <c:pt idx="104">
                  <c:v>1.1245683221565042E-2</c:v>
                </c:pt>
                <c:pt idx="105">
                  <c:v>1.1402669642885454E-2</c:v>
                </c:pt>
                <c:pt idx="106">
                  <c:v>1.1330576988408969E-2</c:v>
                </c:pt>
                <c:pt idx="107">
                  <c:v>1.1035177433465933E-2</c:v>
                </c:pt>
                <c:pt idx="108">
                  <c:v>1.0457742301777604E-2</c:v>
                </c:pt>
                <c:pt idx="109">
                  <c:v>1.0252311014333654E-2</c:v>
                </c:pt>
                <c:pt idx="110">
                  <c:v>9.9849514797286723E-3</c:v>
                </c:pt>
                <c:pt idx="111">
                  <c:v>9.874543149495622E-3</c:v>
                </c:pt>
                <c:pt idx="112">
                  <c:v>9.797052072208233E-3</c:v>
                </c:pt>
                <c:pt idx="113">
                  <c:v>9.8052137107482971E-3</c:v>
                </c:pt>
                <c:pt idx="114">
                  <c:v>9.4624834182065326E-3</c:v>
                </c:pt>
                <c:pt idx="115">
                  <c:v>9.6416139381365704E-3</c:v>
                </c:pt>
                <c:pt idx="116">
                  <c:v>9.4740960958027091E-3</c:v>
                </c:pt>
                <c:pt idx="117">
                  <c:v>9.8819136762212795E-3</c:v>
                </c:pt>
                <c:pt idx="118">
                  <c:v>1.0900814217282215E-2</c:v>
                </c:pt>
                <c:pt idx="119">
                  <c:v>1.1758331232653253E-2</c:v>
                </c:pt>
                <c:pt idx="120">
                  <c:v>1.1221020058268886E-2</c:v>
                </c:pt>
                <c:pt idx="121">
                  <c:v>1.0811753475739651E-2</c:v>
                </c:pt>
                <c:pt idx="122">
                  <c:v>1.1094016774956314E-2</c:v>
                </c:pt>
                <c:pt idx="123">
                  <c:v>1.1248709494202667E-2</c:v>
                </c:pt>
                <c:pt idx="124">
                  <c:v>1.1199827598905934E-2</c:v>
                </c:pt>
                <c:pt idx="125">
                  <c:v>1.0609786132397927E-2</c:v>
                </c:pt>
                <c:pt idx="126">
                  <c:v>1.0618759053415512E-2</c:v>
                </c:pt>
                <c:pt idx="127">
                  <c:v>1.0870275445259267E-2</c:v>
                </c:pt>
                <c:pt idx="128">
                  <c:v>1.1016989459521995E-2</c:v>
                </c:pt>
                <c:pt idx="129">
                  <c:v>1.0815902051956055E-2</c:v>
                </c:pt>
                <c:pt idx="130">
                  <c:v>1.0733166609885412E-2</c:v>
                </c:pt>
                <c:pt idx="131">
                  <c:v>1.0624781444061831E-2</c:v>
                </c:pt>
                <c:pt idx="132">
                  <c:v>1.3322032336867285E-2</c:v>
                </c:pt>
                <c:pt idx="133">
                  <c:v>1.3474522060515673E-2</c:v>
                </c:pt>
                <c:pt idx="134">
                  <c:v>1.4742014742015995E-2</c:v>
                </c:pt>
                <c:pt idx="135">
                  <c:v>1.4441168152564252E-2</c:v>
                </c:pt>
                <c:pt idx="136">
                  <c:v>1.3292484933865915E-2</c:v>
                </c:pt>
                <c:pt idx="137">
                  <c:v>1.3110099807304177E-2</c:v>
                </c:pt>
                <c:pt idx="138">
                  <c:v>1.2800579070353368E-2</c:v>
                </c:pt>
                <c:pt idx="139">
                  <c:v>1.4841243863762947E-2</c:v>
                </c:pt>
                <c:pt idx="140">
                  <c:v>1.5030473140891927E-2</c:v>
                </c:pt>
                <c:pt idx="141">
                  <c:v>1.4833475247969465E-2</c:v>
                </c:pt>
                <c:pt idx="142">
                  <c:v>1.3598934952370471E-2</c:v>
                </c:pt>
                <c:pt idx="143">
                  <c:v>1.2667357129514473E-2</c:v>
                </c:pt>
                <c:pt idx="144">
                  <c:v>1.2760071905667121E-2</c:v>
                </c:pt>
                <c:pt idx="145">
                  <c:v>1.2696703308887853E-2</c:v>
                </c:pt>
                <c:pt idx="146">
                  <c:v>1.3119957137712249E-2</c:v>
                </c:pt>
                <c:pt idx="147">
                  <c:v>1.2720214624305287E-2</c:v>
                </c:pt>
                <c:pt idx="148">
                  <c:v>1.234890188627711E-2</c:v>
                </c:pt>
                <c:pt idx="149">
                  <c:v>1.2319141592568283E-2</c:v>
                </c:pt>
                <c:pt idx="150">
                  <c:v>1.2194709329044708E-2</c:v>
                </c:pt>
                <c:pt idx="151">
                  <c:v>1.2261758309213165E-2</c:v>
                </c:pt>
                <c:pt idx="152">
                  <c:v>1.2107711843983385E-2</c:v>
                </c:pt>
                <c:pt idx="153">
                  <c:v>1.1888566040470337E-2</c:v>
                </c:pt>
                <c:pt idx="154">
                  <c:v>1.4783483600740721E-2</c:v>
                </c:pt>
                <c:pt idx="155">
                  <c:v>1.4535157269270873E-2</c:v>
                </c:pt>
                <c:pt idx="156">
                  <c:v>1.4290414839000662E-2</c:v>
                </c:pt>
                <c:pt idx="157">
                  <c:v>1.3958245664781977E-2</c:v>
                </c:pt>
                <c:pt idx="158">
                  <c:v>1.3516662988070405E-2</c:v>
                </c:pt>
                <c:pt idx="159">
                  <c:v>1.3927568522609558E-2</c:v>
                </c:pt>
                <c:pt idx="160">
                  <c:v>1.3397014789159969E-2</c:v>
                </c:pt>
                <c:pt idx="161">
                  <c:v>1.5523652026866647E-2</c:v>
                </c:pt>
                <c:pt idx="162">
                  <c:v>1.7236122098246077E-2</c:v>
                </c:pt>
                <c:pt idx="163">
                  <c:v>1.7235143181210177E-2</c:v>
                </c:pt>
                <c:pt idx="164">
                  <c:v>1.7402598750312422E-2</c:v>
                </c:pt>
                <c:pt idx="165">
                  <c:v>1.790063649920277E-2</c:v>
                </c:pt>
                <c:pt idx="166">
                  <c:v>1.7576850464058956E-2</c:v>
                </c:pt>
                <c:pt idx="167">
                  <c:v>1.7095666715420912E-2</c:v>
                </c:pt>
                <c:pt idx="168">
                  <c:v>1.655858079919446E-2</c:v>
                </c:pt>
                <c:pt idx="169">
                  <c:v>1.6786050275235782E-2</c:v>
                </c:pt>
                <c:pt idx="170">
                  <c:v>1.625049329782444E-2</c:v>
                </c:pt>
                <c:pt idx="171">
                  <c:v>1.6159457030286643E-2</c:v>
                </c:pt>
                <c:pt idx="172">
                  <c:v>1.5332659298678325E-2</c:v>
                </c:pt>
                <c:pt idx="173">
                  <c:v>1.4739105064301143E-2</c:v>
                </c:pt>
                <c:pt idx="174">
                  <c:v>1.4025900614031658E-2</c:v>
                </c:pt>
                <c:pt idx="175">
                  <c:v>1.4237674714803404E-2</c:v>
                </c:pt>
                <c:pt idx="176">
                  <c:v>1.4179145829972203E-2</c:v>
                </c:pt>
                <c:pt idx="177">
                  <c:v>1.4037338321226101E-2</c:v>
                </c:pt>
                <c:pt idx="178">
                  <c:v>1.3444389168003947E-2</c:v>
                </c:pt>
                <c:pt idx="179">
                  <c:v>1.4196108788724997E-2</c:v>
                </c:pt>
                <c:pt idx="180">
                  <c:v>1.4292288295928489E-2</c:v>
                </c:pt>
                <c:pt idx="181">
                  <c:v>1.4024124649598095E-2</c:v>
                </c:pt>
                <c:pt idx="182">
                  <c:v>1.3774163447709053E-2</c:v>
                </c:pt>
                <c:pt idx="183">
                  <c:v>1.3569055387810424E-2</c:v>
                </c:pt>
                <c:pt idx="184">
                  <c:v>1.333973949327056E-2</c:v>
                </c:pt>
                <c:pt idx="185">
                  <c:v>1.3696435508604034E-2</c:v>
                </c:pt>
                <c:pt idx="186">
                  <c:v>1.3435811233472882E-2</c:v>
                </c:pt>
                <c:pt idx="187">
                  <c:v>1.3424075628643024E-2</c:v>
                </c:pt>
                <c:pt idx="188">
                  <c:v>1.3300735448396134E-2</c:v>
                </c:pt>
                <c:pt idx="189">
                  <c:v>1.3783777358117887E-2</c:v>
                </c:pt>
                <c:pt idx="190">
                  <c:v>1.3356329325967507E-2</c:v>
                </c:pt>
                <c:pt idx="191">
                  <c:v>1.465326039272092E-2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744-4FA4-80E7-D6C800A7FA94}"/>
            </c:ext>
          </c:extLst>
        </c:ser>
        <c:ser>
          <c:idx val="8"/>
          <c:order val="8"/>
          <c:tx>
            <c:strRef>
              <c:f>'Fuente - total'!$J$22</c:f>
              <c:strCache>
                <c:ptCount val="1"/>
                <c:pt idx="0">
                  <c:v>Bonos Agrarios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total'!$J$114:$J$303</c:f>
              <c:numCache>
                <c:formatCode>0.00%</c:formatCode>
                <c:ptCount val="190"/>
                <c:pt idx="0">
                  <c:v>2.3976886290775403E-3</c:v>
                </c:pt>
                <c:pt idx="1">
                  <c:v>1.5539558579413736E-3</c:v>
                </c:pt>
                <c:pt idx="2">
                  <c:v>1.5184954331555118E-3</c:v>
                </c:pt>
                <c:pt idx="3">
                  <c:v>1.5419383826482927E-3</c:v>
                </c:pt>
                <c:pt idx="4">
                  <c:v>1.5861785305312803E-3</c:v>
                </c:pt>
                <c:pt idx="5">
                  <c:v>1.5695635948119275E-3</c:v>
                </c:pt>
                <c:pt idx="6">
                  <c:v>1.6234465092236051E-3</c:v>
                </c:pt>
                <c:pt idx="7">
                  <c:v>1.5912277852527369E-3</c:v>
                </c:pt>
                <c:pt idx="8">
                  <c:v>1.6140098158325174E-3</c:v>
                </c:pt>
                <c:pt idx="9">
                  <c:v>1.551645594646787E-3</c:v>
                </c:pt>
                <c:pt idx="10">
                  <c:v>1.5024165544572942E-3</c:v>
                </c:pt>
                <c:pt idx="11">
                  <c:v>1.4817559059898753E-3</c:v>
                </c:pt>
                <c:pt idx="12">
                  <c:v>3.9717198829017852E-4</c:v>
                </c:pt>
                <c:pt idx="13">
                  <c:v>7.4559290849944299E-4</c:v>
                </c:pt>
                <c:pt idx="14">
                  <c:v>7.432519524581615E-4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9.5572696914104274E-3</c:v>
                </c:pt>
                <c:pt idx="24">
                  <c:v>9.9315637950522307E-4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9.0784100129770276E-6</c:v>
                </c:pt>
                <c:pt idx="45">
                  <c:v>3.1480795930980901E-4</c:v>
                </c:pt>
                <c:pt idx="46">
                  <c:v>2.7513674764246953E-6</c:v>
                </c:pt>
                <c:pt idx="47">
                  <c:v>1.2816445247421401E-6</c:v>
                </c:pt>
                <c:pt idx="48">
                  <c:v>1.2616445247421401E-6</c:v>
                </c:pt>
                <c:pt idx="49">
                  <c:v>1.2616445247421401E-6</c:v>
                </c:pt>
                <c:pt idx="50">
                  <c:v>1.2347199826957544E-6</c:v>
                </c:pt>
                <c:pt idx="51">
                  <c:v>1.2414630406670908E-6</c:v>
                </c:pt>
                <c:pt idx="52">
                  <c:v>1.2029106876119973E-6</c:v>
                </c:pt>
                <c:pt idx="53">
                  <c:v>1.1966050791207825E-6</c:v>
                </c:pt>
                <c:pt idx="54">
                  <c:v>1.1813237932455797E-6</c:v>
                </c:pt>
                <c:pt idx="55">
                  <c:v>1.1813237932455797E-6</c:v>
                </c:pt>
                <c:pt idx="56">
                  <c:v>1.1172863748510765E-6</c:v>
                </c:pt>
                <c:pt idx="57">
                  <c:v>1.1065946034967782E-6</c:v>
                </c:pt>
                <c:pt idx="58">
                  <c:v>1.1118172730363811E-6</c:v>
                </c:pt>
                <c:pt idx="59">
                  <c:v>1.0810655625149574E-6</c:v>
                </c:pt>
                <c:pt idx="60">
                  <c:v>1.0665821157854277E-6</c:v>
                </c:pt>
                <c:pt idx="61">
                  <c:v>9.6336072044754424E-7</c:v>
                </c:pt>
                <c:pt idx="62">
                  <c:v>9.5313617455764124E-7</c:v>
                </c:pt>
                <c:pt idx="63">
                  <c:v>9.4178333406601873E-7</c:v>
                </c:pt>
                <c:pt idx="64">
                  <c:v>9.7212781265900991E-7</c:v>
                </c:pt>
                <c:pt idx="65">
                  <c:v>9.535977156702157E-7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44-4FA4-80E7-D6C800A7FA94}"/>
            </c:ext>
          </c:extLst>
        </c:ser>
        <c:ser>
          <c:idx val="9"/>
          <c:order val="9"/>
          <c:tx>
            <c:strRef>
              <c:f>'Fuente - total'!$L$22</c:f>
              <c:strCache>
                <c:ptCount val="1"/>
                <c:pt idx="0">
                  <c:v>Bonos de Paz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total'!$L$115:$L$303</c:f>
              <c:numCache>
                <c:formatCode>0.00%</c:formatCode>
                <c:ptCount val="189"/>
                <c:pt idx="0">
                  <c:v>4.9444072135077421E-4</c:v>
                </c:pt>
                <c:pt idx="1">
                  <c:v>4.7199586737532316E-4</c:v>
                </c:pt>
                <c:pt idx="2">
                  <c:v>4.7193552538574694E-4</c:v>
                </c:pt>
                <c:pt idx="3">
                  <c:v>4.792383942666612E-4</c:v>
                </c:pt>
                <c:pt idx="4">
                  <c:v>4.675100567888794E-4</c:v>
                </c:pt>
                <c:pt idx="5">
                  <c:v>4.7888619255729854E-4</c:v>
                </c:pt>
                <c:pt idx="6">
                  <c:v>4.5993383982180866E-4</c:v>
                </c:pt>
                <c:pt idx="7">
                  <c:v>4.5989006311334193E-4</c:v>
                </c:pt>
                <c:pt idx="8">
                  <c:v>4.5092101295411907E-4</c:v>
                </c:pt>
                <c:pt idx="9">
                  <c:v>4.2497675681515311E-4</c:v>
                </c:pt>
                <c:pt idx="10">
                  <c:v>5.17184679564411E-4</c:v>
                </c:pt>
                <c:pt idx="11">
                  <c:v>2.3244262125109022E-2</c:v>
                </c:pt>
                <c:pt idx="12">
                  <c:v>3.9498958554867416E-4</c:v>
                </c:pt>
                <c:pt idx="13">
                  <c:v>3.8108545008419396E-4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3.6603083766976666E-4</c:v>
                </c:pt>
                <c:pt idx="44">
                  <c:v>1.8840632864655692E-4</c:v>
                </c:pt>
                <c:pt idx="45">
                  <c:v>1.8320111091060066E-4</c:v>
                </c:pt>
                <c:pt idx="46">
                  <c:v>1.80579237468692E-4</c:v>
                </c:pt>
                <c:pt idx="47">
                  <c:v>1.8014923746869201E-4</c:v>
                </c:pt>
                <c:pt idx="48">
                  <c:v>1.7000652232249973E-4</c:v>
                </c:pt>
                <c:pt idx="49">
                  <c:v>1.6538711843380144E-4</c:v>
                </c:pt>
                <c:pt idx="50">
                  <c:v>1.6542265099726578E-4</c:v>
                </c:pt>
                <c:pt idx="51">
                  <c:v>1.6217586549504865E-4</c:v>
                </c:pt>
                <c:pt idx="52">
                  <c:v>1.5966941894195982E-4</c:v>
                </c:pt>
                <c:pt idx="53">
                  <c:v>1.5634112774851879E-4</c:v>
                </c:pt>
                <c:pt idx="54">
                  <c:v>1.4126995799582575E-4</c:v>
                </c:pt>
                <c:pt idx="55">
                  <c:v>1.343294568216527E-4</c:v>
                </c:pt>
                <c:pt idx="56">
                  <c:v>1.3025566771805169E-4</c:v>
                </c:pt>
                <c:pt idx="57">
                  <c:v>1.2775258759265074E-4</c:v>
                </c:pt>
                <c:pt idx="58">
                  <c:v>1.2228662345459924E-4</c:v>
                </c:pt>
                <c:pt idx="59">
                  <c:v>6.1973550127222569E-5</c:v>
                </c:pt>
                <c:pt idx="60">
                  <c:v>6.0442630490205158E-5</c:v>
                </c:pt>
                <c:pt idx="61">
                  <c:v>5.9006122064388434E-5</c:v>
                </c:pt>
                <c:pt idx="62">
                  <c:v>5.7835558281591662E-5</c:v>
                </c:pt>
                <c:pt idx="63">
                  <c:v>5.8710026385824344E-5</c:v>
                </c:pt>
                <c:pt idx="64">
                  <c:v>5.6796087390496894E-5</c:v>
                </c:pt>
                <c:pt idx="65">
                  <c:v>5.5855796217931708E-5</c:v>
                </c:pt>
                <c:pt idx="66">
                  <c:v>5.3531586112384571E-5</c:v>
                </c:pt>
                <c:pt idx="67">
                  <c:v>5.1811897013756069E-5</c:v>
                </c:pt>
                <c:pt idx="68">
                  <c:v>4.8898789032256522E-5</c:v>
                </c:pt>
                <c:pt idx="69">
                  <c:v>4.8269295158114422E-5</c:v>
                </c:pt>
                <c:pt idx="70">
                  <c:v>4.6019958331506261E-5</c:v>
                </c:pt>
                <c:pt idx="71">
                  <c:v>4.4921009049820611E-5</c:v>
                </c:pt>
                <c:pt idx="72">
                  <c:v>4.2978979155769385E-5</c:v>
                </c:pt>
                <c:pt idx="73">
                  <c:v>3.8030260278236315E-5</c:v>
                </c:pt>
                <c:pt idx="74">
                  <c:v>3.7665588150198485E-5</c:v>
                </c:pt>
                <c:pt idx="75">
                  <c:v>3.4730864743199676E-5</c:v>
                </c:pt>
                <c:pt idx="76">
                  <c:v>2.747596668529847E-5</c:v>
                </c:pt>
                <c:pt idx="77">
                  <c:v>2.6359288238441669E-5</c:v>
                </c:pt>
                <c:pt idx="78">
                  <c:v>2.5289421954549129E-5</c:v>
                </c:pt>
                <c:pt idx="79">
                  <c:v>3.745244624547025E-5</c:v>
                </c:pt>
                <c:pt idx="80">
                  <c:v>2.4713444032932665E-5</c:v>
                </c:pt>
                <c:pt idx="81">
                  <c:v>2.3962315924833181E-5</c:v>
                </c:pt>
                <c:pt idx="82">
                  <c:v>2.243135105726416E-5</c:v>
                </c:pt>
                <c:pt idx="83">
                  <c:v>2.1644351100198419E-5</c:v>
                </c:pt>
                <c:pt idx="84">
                  <c:v>2.1063100525567716E-5</c:v>
                </c:pt>
                <c:pt idx="85">
                  <c:v>3.287428989120611E-5</c:v>
                </c:pt>
                <c:pt idx="86">
                  <c:v>2.0552876370738408E-5</c:v>
                </c:pt>
                <c:pt idx="87">
                  <c:v>2.0552876370738408E-5</c:v>
                </c:pt>
                <c:pt idx="88">
                  <c:v>3.0077639624293255E-5</c:v>
                </c:pt>
                <c:pt idx="89">
                  <c:v>1.8667922927820708E-5</c:v>
                </c:pt>
                <c:pt idx="90">
                  <c:v>1.8622674467925313E-5</c:v>
                </c:pt>
                <c:pt idx="91">
                  <c:v>1.8014887930570559E-5</c:v>
                </c:pt>
                <c:pt idx="92">
                  <c:v>8.8007198954485803E-6</c:v>
                </c:pt>
                <c:pt idx="93">
                  <c:v>8.250231240760739E-6</c:v>
                </c:pt>
                <c:pt idx="94">
                  <c:v>8.0783743065904559E-6</c:v>
                </c:pt>
                <c:pt idx="95">
                  <c:v>8.2867015718563296E-6</c:v>
                </c:pt>
                <c:pt idx="96">
                  <c:v>7.8813137243364174E-6</c:v>
                </c:pt>
                <c:pt idx="97">
                  <c:v>7.5165521339444909E-6</c:v>
                </c:pt>
                <c:pt idx="98">
                  <c:v>6.9866954975564867E-6</c:v>
                </c:pt>
                <c:pt idx="99">
                  <c:v>6.7843327297354753E-6</c:v>
                </c:pt>
                <c:pt idx="100">
                  <c:v>6.4651722283143729E-6</c:v>
                </c:pt>
                <c:pt idx="101">
                  <c:v>6.188679482392812E-6</c:v>
                </c:pt>
                <c:pt idx="102">
                  <c:v>5.8194797825068803E-6</c:v>
                </c:pt>
                <c:pt idx="103">
                  <c:v>5.6214126351493381E-6</c:v>
                </c:pt>
                <c:pt idx="104">
                  <c:v>5.3023200667433415E-6</c:v>
                </c:pt>
                <c:pt idx="105">
                  <c:v>5.1156141283336948E-6</c:v>
                </c:pt>
                <c:pt idx="106">
                  <c:v>4.94573555278651E-6</c:v>
                </c:pt>
                <c:pt idx="107">
                  <c:v>4.7767580356945764E-6</c:v>
                </c:pt>
                <c:pt idx="108">
                  <c:v>4.5535653193216006E-6</c:v>
                </c:pt>
                <c:pt idx="109">
                  <c:v>4.3792099044891012E-6</c:v>
                </c:pt>
                <c:pt idx="110">
                  <c:v>4.2386305128095476E-6</c:v>
                </c:pt>
                <c:pt idx="111">
                  <c:v>3.9878544132687569E-6</c:v>
                </c:pt>
                <c:pt idx="112">
                  <c:v>3.1946388584075486E-6</c:v>
                </c:pt>
                <c:pt idx="113">
                  <c:v>3.0452707757217219E-6</c:v>
                </c:pt>
                <c:pt idx="114">
                  <c:v>2.908602328677448E-6</c:v>
                </c:pt>
                <c:pt idx="115">
                  <c:v>2.908602328677448E-6</c:v>
                </c:pt>
                <c:pt idx="116">
                  <c:v>2.908602328677448E-6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1.1141517896031162E-6</c:v>
                </c:pt>
                <c:pt idx="156">
                  <c:v>1.1033963480094899E-6</c:v>
                </c:pt>
                <c:pt idx="157">
                  <c:v>1.1147693116934998E-6</c:v>
                </c:pt>
                <c:pt idx="158">
                  <c:v>1.0620658450350367E-6</c:v>
                </c:pt>
                <c:pt idx="159">
                  <c:v>0</c:v>
                </c:pt>
                <c:pt idx="160">
                  <c:v>1.024083269708804E-6</c:v>
                </c:pt>
                <c:pt idx="161">
                  <c:v>9.9057446133002192E-7</c:v>
                </c:pt>
                <c:pt idx="162">
                  <c:v>9.5762524540903024E-7</c:v>
                </c:pt>
                <c:pt idx="163">
                  <c:v>9.3878611457324897E-7</c:v>
                </c:pt>
                <c:pt idx="164">
                  <c:v>9.0807738019003516E-7</c:v>
                </c:pt>
                <c:pt idx="165">
                  <c:v>9.0396486384220768E-7</c:v>
                </c:pt>
                <c:pt idx="166">
                  <c:v>8.796318595868408E-7</c:v>
                </c:pt>
                <c:pt idx="167">
                  <c:v>8.7024843301790785E-7</c:v>
                </c:pt>
                <c:pt idx="168">
                  <c:v>8.5405528646328076E-7</c:v>
                </c:pt>
                <c:pt idx="169">
                  <c:v>8.5912484403085919E-7</c:v>
                </c:pt>
                <c:pt idx="170">
                  <c:v>8.4667641163982864E-7</c:v>
                </c:pt>
                <c:pt idx="171">
                  <c:v>8.6079653811546956E-7</c:v>
                </c:pt>
                <c:pt idx="172">
                  <c:v>8.7460956439554694E-7</c:v>
                </c:pt>
                <c:pt idx="173">
                  <c:v>8.8987526934808715E-7</c:v>
                </c:pt>
                <c:pt idx="174">
                  <c:v>8.718422997339571E-7</c:v>
                </c:pt>
                <c:pt idx="175">
                  <c:v>8.8273994681748991E-7</c:v>
                </c:pt>
                <c:pt idx="176">
                  <c:v>8.7239004766598834E-7</c:v>
                </c:pt>
                <c:pt idx="177">
                  <c:v>8.6279240786651122E-7</c:v>
                </c:pt>
                <c:pt idx="178">
                  <c:v>8.4696364424302206E-7</c:v>
                </c:pt>
                <c:pt idx="179">
                  <c:v>8.3772968895000913E-7</c:v>
                </c:pt>
                <c:pt idx="180">
                  <c:v>8.4501269780942422E-7</c:v>
                </c:pt>
                <c:pt idx="181">
                  <c:v>8.2585045857738855E-7</c:v>
                </c:pt>
                <c:pt idx="182">
                  <c:v>8.3790329462592542E-7</c:v>
                </c:pt>
                <c:pt idx="183">
                  <c:v>8.331238153261816E-7</c:v>
                </c:pt>
                <c:pt idx="184">
                  <c:v>8.0270931071519889E-7</c:v>
                </c:pt>
                <c:pt idx="185">
                  <c:v>8.0050871545900563E-7</c:v>
                </c:pt>
                <c:pt idx="186">
                  <c:v>7.5774813406589882E-7</c:v>
                </c:pt>
                <c:pt idx="187">
                  <c:v>7.7900979440398986E-7</c:v>
                </c:pt>
                <c:pt idx="188">
                  <c:v>7.6170874224134901E-7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744-4FA4-80E7-D6C800A7FA94}"/>
            </c:ext>
          </c:extLst>
        </c:ser>
        <c:ser>
          <c:idx val="10"/>
          <c:order val="10"/>
          <c:tx>
            <c:strRef>
              <c:f>'Fuente - total'!$K$22</c:f>
              <c:strCache>
                <c:ptCount val="1"/>
                <c:pt idx="0">
                  <c:v>Títulos de reducción de deuda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total'!$K$114:$K$303</c:f>
              <c:numCache>
                <c:formatCode>0.00%</c:formatCode>
                <c:ptCount val="190"/>
                <c:pt idx="0">
                  <c:v>2.4602011185268235E-2</c:v>
                </c:pt>
                <c:pt idx="1">
                  <c:v>2.4033476611698325E-2</c:v>
                </c:pt>
                <c:pt idx="2">
                  <c:v>2.3661096798790669E-2</c:v>
                </c:pt>
                <c:pt idx="3">
                  <c:v>2.4184055530076291E-2</c:v>
                </c:pt>
                <c:pt idx="4">
                  <c:v>2.4981201739299155E-2</c:v>
                </c:pt>
                <c:pt idx="5">
                  <c:v>2.475900656510694E-2</c:v>
                </c:pt>
                <c:pt idx="6">
                  <c:v>2.5602334288342209E-2</c:v>
                </c:pt>
                <c:pt idx="7">
                  <c:v>2.5081769799306413E-2</c:v>
                </c:pt>
                <c:pt idx="8">
                  <c:v>2.5441024207150484E-2</c:v>
                </c:pt>
                <c:pt idx="9">
                  <c:v>2.4449003322346622E-2</c:v>
                </c:pt>
                <c:pt idx="10">
                  <c:v>2.3645323044712861E-2</c:v>
                </c:pt>
                <c:pt idx="11">
                  <c:v>2.3296574199073522E-2</c:v>
                </c:pt>
                <c:pt idx="12">
                  <c:v>9.6917826069997659E-4</c:v>
                </c:pt>
                <c:pt idx="13">
                  <c:v>2.3530646900843156E-2</c:v>
                </c:pt>
                <c:pt idx="14">
                  <c:v>2.2988830330203481E-2</c:v>
                </c:pt>
                <c:pt idx="15">
                  <c:v>2.2638527337799978E-2</c:v>
                </c:pt>
                <c:pt idx="16">
                  <c:v>2.2133910287858917E-2</c:v>
                </c:pt>
                <c:pt idx="17">
                  <c:v>2.2133910287858917E-2</c:v>
                </c:pt>
                <c:pt idx="18">
                  <c:v>2.1575392919553599E-2</c:v>
                </c:pt>
                <c:pt idx="19">
                  <c:v>2.0897011345013608E-2</c:v>
                </c:pt>
                <c:pt idx="20">
                  <c:v>2.0868986275132916E-2</c:v>
                </c:pt>
                <c:pt idx="21">
                  <c:v>2.0169461874986618E-2</c:v>
                </c:pt>
                <c:pt idx="22">
                  <c:v>1.9179014321484499E-3</c:v>
                </c:pt>
                <c:pt idx="23">
                  <c:v>2.9496348684508547E-3</c:v>
                </c:pt>
                <c:pt idx="24">
                  <c:v>2.201909012327416E-2</c:v>
                </c:pt>
                <c:pt idx="25">
                  <c:v>2.1553728000317924E-2</c:v>
                </c:pt>
                <c:pt idx="26">
                  <c:v>1.8330035814548562E-2</c:v>
                </c:pt>
                <c:pt idx="27">
                  <c:v>1.8072234187508553E-2</c:v>
                </c:pt>
                <c:pt idx="28">
                  <c:v>1.825110642556892E-2</c:v>
                </c:pt>
                <c:pt idx="29">
                  <c:v>1.8041936325727263E-2</c:v>
                </c:pt>
                <c:pt idx="30">
                  <c:v>1.7328282305659613E-2</c:v>
                </c:pt>
                <c:pt idx="31">
                  <c:v>1.6816441577242842E-2</c:v>
                </c:pt>
                <c:pt idx="32">
                  <c:v>1.6185187695691276E-2</c:v>
                </c:pt>
                <c:pt idx="33">
                  <c:v>1.5949666357149592E-2</c:v>
                </c:pt>
                <c:pt idx="34">
                  <c:v>1.5696658709989479E-2</c:v>
                </c:pt>
                <c:pt idx="35">
                  <c:v>1.5520130407887297E-2</c:v>
                </c:pt>
                <c:pt idx="36">
                  <c:v>1.5068098939071791E-2</c:v>
                </c:pt>
                <c:pt idx="37">
                  <c:v>1.4765215992612239E-2</c:v>
                </c:pt>
                <c:pt idx="38">
                  <c:v>1.4535429100178866E-2</c:v>
                </c:pt>
                <c:pt idx="39">
                  <c:v>1.4351838888645689E-2</c:v>
                </c:pt>
                <c:pt idx="40">
                  <c:v>1.4268166559143213E-2</c:v>
                </c:pt>
                <c:pt idx="41">
                  <c:v>1.375034582882328E-2</c:v>
                </c:pt>
                <c:pt idx="42">
                  <c:v>1.340017529752693E-2</c:v>
                </c:pt>
                <c:pt idx="43">
                  <c:v>1.3467535485508934E-2</c:v>
                </c:pt>
                <c:pt idx="44">
                  <c:v>1.281761292661566E-2</c:v>
                </c:pt>
                <c:pt idx="45">
                  <c:v>1.2140101402043539E-2</c:v>
                </c:pt>
                <c:pt idx="46">
                  <c:v>1.2126074918497345E-2</c:v>
                </c:pt>
                <c:pt idx="47">
                  <c:v>1.1771124471166487E-2</c:v>
                </c:pt>
                <c:pt idx="48">
                  <c:v>1.1408488129505E-2</c:v>
                </c:pt>
                <c:pt idx="49">
                  <c:v>1.0915914269299299E-2</c:v>
                </c:pt>
                <c:pt idx="50">
                  <c:v>1.0559920299453133E-2</c:v>
                </c:pt>
                <c:pt idx="51">
                  <c:v>1.0387469916885163E-2</c:v>
                </c:pt>
                <c:pt idx="52">
                  <c:v>1.0090662192358203E-2</c:v>
                </c:pt>
                <c:pt idx="53">
                  <c:v>9.7893232352969321E-3</c:v>
                </c:pt>
                <c:pt idx="54">
                  <c:v>9.4200157723788678E-3</c:v>
                </c:pt>
                <c:pt idx="55">
                  <c:v>8.9394100055513147E-3</c:v>
                </c:pt>
                <c:pt idx="56">
                  <c:v>8.4016570271181115E-3</c:v>
                </c:pt>
                <c:pt idx="57">
                  <c:v>8.0504576185341046E-3</c:v>
                </c:pt>
                <c:pt idx="58">
                  <c:v>7.8197617607378995E-3</c:v>
                </c:pt>
                <c:pt idx="59">
                  <c:v>7.3202656200388964E-3</c:v>
                </c:pt>
                <c:pt idx="60">
                  <c:v>6.9824856739997294E-3</c:v>
                </c:pt>
                <c:pt idx="61">
                  <c:v>6.6280569502895625E-3</c:v>
                </c:pt>
                <c:pt idx="62">
                  <c:v>6.3459830349897528E-3</c:v>
                </c:pt>
                <c:pt idx="63">
                  <c:v>6.0533220950961938E-3</c:v>
                </c:pt>
                <c:pt idx="64">
                  <c:v>6.0172079176021923E-3</c:v>
                </c:pt>
                <c:pt idx="65">
                  <c:v>5.6707051354975228E-3</c:v>
                </c:pt>
                <c:pt idx="66">
                  <c:v>5.4161310441085807E-3</c:v>
                </c:pt>
                <c:pt idx="67">
                  <c:v>5.0498027502377512E-3</c:v>
                </c:pt>
                <c:pt idx="68">
                  <c:v>4.7165891114349752E-3</c:v>
                </c:pt>
                <c:pt idx="69">
                  <c:v>4.309082733283771E-3</c:v>
                </c:pt>
                <c:pt idx="70">
                  <c:v>4.0595793646403585E-3</c:v>
                </c:pt>
                <c:pt idx="71">
                  <c:v>3.6580258074169177E-3</c:v>
                </c:pt>
                <c:pt idx="72">
                  <c:v>3.3847976102047697E-3</c:v>
                </c:pt>
                <c:pt idx="73">
                  <c:v>3.0752512056492183E-3</c:v>
                </c:pt>
                <c:pt idx="74">
                  <c:v>2.7739695591863897E-3</c:v>
                </c:pt>
                <c:pt idx="75">
                  <c:v>2.5858730899001041E-3</c:v>
                </c:pt>
                <c:pt idx="76">
                  <c:v>2.2282891974923173E-3</c:v>
                </c:pt>
                <c:pt idx="77">
                  <c:v>1.9922101581384831E-3</c:v>
                </c:pt>
                <c:pt idx="78">
                  <c:v>1.682405016328311E-3</c:v>
                </c:pt>
                <c:pt idx="79">
                  <c:v>1.3739404468769269E-3</c:v>
                </c:pt>
                <c:pt idx="80">
                  <c:v>1.0680527095030324E-3</c:v>
                </c:pt>
                <c:pt idx="81">
                  <c:v>8.6135319692286097E-4</c:v>
                </c:pt>
                <c:pt idx="82">
                  <c:v>5.7658262830629855E-4</c:v>
                </c:pt>
                <c:pt idx="83">
                  <c:v>2.8239612945735832E-4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744-4FA4-80E7-D6C800A7FA94}"/>
            </c:ext>
          </c:extLst>
        </c:ser>
        <c:ser>
          <c:idx val="11"/>
          <c:order val="11"/>
          <c:tx>
            <c:strRef>
              <c:f>'Fuente - total'!$M$22</c:f>
              <c:strCache>
                <c:ptCount val="1"/>
                <c:pt idx="0">
                  <c:v>Titulos de Tesorería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total'!$M$114:$M$305</c:f>
              <c:numCache>
                <c:formatCode>0.00%</c:formatCode>
                <c:ptCount val="192"/>
                <c:pt idx="7">
                  <c:v>1.3854158834141843E-2</c:v>
                </c:pt>
                <c:pt idx="8">
                  <c:v>3.1815916186344806E-3</c:v>
                </c:pt>
                <c:pt idx="9">
                  <c:v>1.1998944728390012E-2</c:v>
                </c:pt>
                <c:pt idx="10">
                  <c:v>3.2318752059132101E-2</c:v>
                </c:pt>
                <c:pt idx="11">
                  <c:v>3.2950869685821421E-2</c:v>
                </c:pt>
                <c:pt idx="12">
                  <c:v>2.7183342077846992E-2</c:v>
                </c:pt>
                <c:pt idx="13">
                  <c:v>3.2649151188392962E-2</c:v>
                </c:pt>
                <c:pt idx="14">
                  <c:v>2.1694328915085302E-2</c:v>
                </c:pt>
                <c:pt idx="15">
                  <c:v>1.2914735124440545E-2</c:v>
                </c:pt>
                <c:pt idx="16">
                  <c:v>9.0508074735139578E-4</c:v>
                </c:pt>
                <c:pt idx="17">
                  <c:v>2.2892135537864863E-3</c:v>
                </c:pt>
                <c:pt idx="18">
                  <c:v>8.8571576407994767E-4</c:v>
                </c:pt>
                <c:pt idx="19">
                  <c:v>1.0682292419506346E-3</c:v>
                </c:pt>
                <c:pt idx="20">
                  <c:v>1.1243902760258659E-3</c:v>
                </c:pt>
                <c:pt idx="21">
                  <c:v>7.6230469099656585E-4</c:v>
                </c:pt>
                <c:pt idx="22">
                  <c:v>1.9179014321484499E-3</c:v>
                </c:pt>
                <c:pt idx="23">
                  <c:v>2.9496348684508547E-3</c:v>
                </c:pt>
                <c:pt idx="24">
                  <c:v>1.7579991451548962E-3</c:v>
                </c:pt>
                <c:pt idx="25">
                  <c:v>9.0749999829272754E-4</c:v>
                </c:pt>
                <c:pt idx="26">
                  <c:v>9.5534905044489021E-4</c:v>
                </c:pt>
                <c:pt idx="27">
                  <c:v>9.9923889912837999E-4</c:v>
                </c:pt>
                <c:pt idx="28">
                  <c:v>1.0851722720230503E-3</c:v>
                </c:pt>
                <c:pt idx="29">
                  <c:v>1.2050972196234659E-3</c:v>
                </c:pt>
                <c:pt idx="30">
                  <c:v>1.2521354652251368E-3</c:v>
                </c:pt>
                <c:pt idx="31">
                  <c:v>1.3078909493786425E-3</c:v>
                </c:pt>
                <c:pt idx="32">
                  <c:v>1.3799115113091937E-3</c:v>
                </c:pt>
                <c:pt idx="33">
                  <c:v>1.1807008218506596E-3</c:v>
                </c:pt>
                <c:pt idx="34">
                  <c:v>1.5173649705145622E-3</c:v>
                </c:pt>
                <c:pt idx="35">
                  <c:v>1.0017973146617686E-2</c:v>
                </c:pt>
                <c:pt idx="36">
                  <c:v>1.6918922572935632E-3</c:v>
                </c:pt>
                <c:pt idx="37">
                  <c:v>1.7659313592196461E-3</c:v>
                </c:pt>
                <c:pt idx="38">
                  <c:v>1.7704375267291197E-3</c:v>
                </c:pt>
                <c:pt idx="39">
                  <c:v>1.779249234333714E-3</c:v>
                </c:pt>
                <c:pt idx="40">
                  <c:v>1.7794857605387786E-3</c:v>
                </c:pt>
                <c:pt idx="41">
                  <c:v>1.7863955501707456E-3</c:v>
                </c:pt>
                <c:pt idx="42">
                  <c:v>1.7764579716460966E-3</c:v>
                </c:pt>
                <c:pt idx="43">
                  <c:v>1.7848813497723733E-3</c:v>
                </c:pt>
                <c:pt idx="44">
                  <c:v>1.7604074803446478E-3</c:v>
                </c:pt>
                <c:pt idx="45">
                  <c:v>1.7567453256319364E-3</c:v>
                </c:pt>
                <c:pt idx="46">
                  <c:v>1.7396794220264349E-3</c:v>
                </c:pt>
                <c:pt idx="47">
                  <c:v>1.74356067020782E-2</c:v>
                </c:pt>
                <c:pt idx="48">
                  <c:v>1.4996755371892399E-3</c:v>
                </c:pt>
                <c:pt idx="49">
                  <c:v>1.4504259192861866E-3</c:v>
                </c:pt>
                <c:pt idx="50">
                  <c:v>2.0699771193651559E-2</c:v>
                </c:pt>
                <c:pt idx="51">
                  <c:v>7.0261012398866174E-3</c:v>
                </c:pt>
                <c:pt idx="52">
                  <c:v>1.4276046718532979E-3</c:v>
                </c:pt>
                <c:pt idx="53">
                  <c:v>1.3668243157835163E-3</c:v>
                </c:pt>
                <c:pt idx="54">
                  <c:v>1.3354568660226525E-3</c:v>
                </c:pt>
                <c:pt idx="55">
                  <c:v>1.3417483152502302E-3</c:v>
                </c:pt>
                <c:pt idx="56">
                  <c:v>1.2906278534848333E-3</c:v>
                </c:pt>
                <c:pt idx="57">
                  <c:v>1.2002949053021449E-3</c:v>
                </c:pt>
                <c:pt idx="58">
                  <c:v>4.2948679016188958E-3</c:v>
                </c:pt>
                <c:pt idx="59">
                  <c:v>2.5119160428307499E-2</c:v>
                </c:pt>
                <c:pt idx="60">
                  <c:v>9.2067706174604486E-4</c:v>
                </c:pt>
                <c:pt idx="61">
                  <c:v>4.7416173940557612E-3</c:v>
                </c:pt>
                <c:pt idx="62">
                  <c:v>6.0439352173978656E-3</c:v>
                </c:pt>
                <c:pt idx="63">
                  <c:v>7.5495514864662395E-4</c:v>
                </c:pt>
                <c:pt idx="64">
                  <c:v>8.3220719539571161E-4</c:v>
                </c:pt>
                <c:pt idx="65">
                  <c:v>1.2088042131854423E-2</c:v>
                </c:pt>
                <c:pt idx="66">
                  <c:v>9.8867876217526851E-3</c:v>
                </c:pt>
                <c:pt idx="67">
                  <c:v>6.6275412380349058E-3</c:v>
                </c:pt>
                <c:pt idx="68">
                  <c:v>2.0770525228562486E-2</c:v>
                </c:pt>
                <c:pt idx="69">
                  <c:v>3.0003045467179041E-2</c:v>
                </c:pt>
                <c:pt idx="70">
                  <c:v>1.6839891307086262E-2</c:v>
                </c:pt>
                <c:pt idx="71">
                  <c:v>2.0340402217841193E-2</c:v>
                </c:pt>
                <c:pt idx="72">
                  <c:v>4.8822138771936719E-4</c:v>
                </c:pt>
                <c:pt idx="73">
                  <c:v>1.8227857733851639E-2</c:v>
                </c:pt>
                <c:pt idx="74">
                  <c:v>1.1553053472738188E-2</c:v>
                </c:pt>
                <c:pt idx="75">
                  <c:v>1.3106375911658037E-3</c:v>
                </c:pt>
                <c:pt idx="76">
                  <c:v>1.9380922501783127E-2</c:v>
                </c:pt>
                <c:pt idx="77">
                  <c:v>4.9035763069410748E-4</c:v>
                </c:pt>
                <c:pt idx="78">
                  <c:v>4.7757881110746704E-4</c:v>
                </c:pt>
                <c:pt idx="79">
                  <c:v>1.3315225796943205E-3</c:v>
                </c:pt>
                <c:pt idx="80">
                  <c:v>2.1470229202067301E-2</c:v>
                </c:pt>
                <c:pt idx="81">
                  <c:v>2.2670042680166657E-2</c:v>
                </c:pt>
                <c:pt idx="82">
                  <c:v>2.2974345904218443E-2</c:v>
                </c:pt>
                <c:pt idx="83">
                  <c:v>3.4486014528390188E-2</c:v>
                </c:pt>
                <c:pt idx="84">
                  <c:v>2.5833906831067285E-2</c:v>
                </c:pt>
                <c:pt idx="85">
                  <c:v>2.7943860927419926E-2</c:v>
                </c:pt>
                <c:pt idx="86">
                  <c:v>2.437290028362445E-2</c:v>
                </c:pt>
                <c:pt idx="87">
                  <c:v>2.2910534509916428E-2</c:v>
                </c:pt>
                <c:pt idx="88">
                  <c:v>2.5973743082223187E-2</c:v>
                </c:pt>
                <c:pt idx="89">
                  <c:v>3.6936063574365435E-2</c:v>
                </c:pt>
                <c:pt idx="90">
                  <c:v>3.5366224695173462E-2</c:v>
                </c:pt>
                <c:pt idx="91">
                  <c:v>3.2327177413693516E-2</c:v>
                </c:pt>
                <c:pt idx="92">
                  <c:v>3.2286672854563735E-2</c:v>
                </c:pt>
                <c:pt idx="93">
                  <c:v>3.4509545787859287E-2</c:v>
                </c:pt>
                <c:pt idx="94">
                  <c:v>3.3394700824988098E-2</c:v>
                </c:pt>
                <c:pt idx="95">
                  <c:v>3.284674942704191E-2</c:v>
                </c:pt>
                <c:pt idx="96">
                  <c:v>2.2776415838006644E-2</c:v>
                </c:pt>
                <c:pt idx="97">
                  <c:v>2.1759181576596901E-2</c:v>
                </c:pt>
                <c:pt idx="98">
                  <c:v>2.7054693381231617E-2</c:v>
                </c:pt>
                <c:pt idx="99">
                  <c:v>1.8988834705356662E-2</c:v>
                </c:pt>
                <c:pt idx="100">
                  <c:v>1.9170389155892965E-2</c:v>
                </c:pt>
                <c:pt idx="101">
                  <c:v>1.9027007099597183E-2</c:v>
                </c:pt>
                <c:pt idx="102">
                  <c:v>2.2171639809150261E-2</c:v>
                </c:pt>
                <c:pt idx="103">
                  <c:v>2.1747961215292738E-2</c:v>
                </c:pt>
                <c:pt idx="104">
                  <c:v>2.1656093334061117E-2</c:v>
                </c:pt>
                <c:pt idx="105">
                  <c:v>2.1406148036038769E-2</c:v>
                </c:pt>
                <c:pt idx="106">
                  <c:v>2.1243208760983654E-2</c:v>
                </c:pt>
                <c:pt idx="107">
                  <c:v>3.3896530410506442E-2</c:v>
                </c:pt>
                <c:pt idx="108">
                  <c:v>3.1096067137355455E-2</c:v>
                </c:pt>
                <c:pt idx="109">
                  <c:v>3.1563034759872745E-2</c:v>
                </c:pt>
                <c:pt idx="110">
                  <c:v>3.0678079472096102E-2</c:v>
                </c:pt>
                <c:pt idx="111">
                  <c:v>3.2881901916669717E-2</c:v>
                </c:pt>
                <c:pt idx="112">
                  <c:v>3.1156109635915308E-2</c:v>
                </c:pt>
                <c:pt idx="113">
                  <c:v>3.0733108956965939E-2</c:v>
                </c:pt>
                <c:pt idx="114">
                  <c:v>3.1728006002169878E-2</c:v>
                </c:pt>
                <c:pt idx="115">
                  <c:v>2.9974401830918072E-2</c:v>
                </c:pt>
                <c:pt idx="116">
                  <c:v>2.9826120307078336E-2</c:v>
                </c:pt>
                <c:pt idx="117">
                  <c:v>2.7169861008816791E-2</c:v>
                </c:pt>
                <c:pt idx="118">
                  <c:v>2.7170936548965765E-2</c:v>
                </c:pt>
                <c:pt idx="119">
                  <c:v>3.4098822567112171E-2</c:v>
                </c:pt>
                <c:pt idx="120">
                  <c:v>3.1856416132337056E-2</c:v>
                </c:pt>
                <c:pt idx="121">
                  <c:v>3.1794744170441008E-2</c:v>
                </c:pt>
                <c:pt idx="122">
                  <c:v>3.1408847830313905E-2</c:v>
                </c:pt>
                <c:pt idx="123">
                  <c:v>3.1256947499498346E-2</c:v>
                </c:pt>
                <c:pt idx="124">
                  <c:v>3.090803004466279E-2</c:v>
                </c:pt>
                <c:pt idx="125">
                  <c:v>3.2571549959254334E-2</c:v>
                </c:pt>
                <c:pt idx="126">
                  <c:v>3.8421842776926958E-2</c:v>
                </c:pt>
                <c:pt idx="127">
                  <c:v>3.7662669853863039E-2</c:v>
                </c:pt>
                <c:pt idx="128">
                  <c:v>3.9787525005827218E-2</c:v>
                </c:pt>
                <c:pt idx="129">
                  <c:v>4.0082103036956654E-2</c:v>
                </c:pt>
                <c:pt idx="130">
                  <c:v>3.9377779209204454E-2</c:v>
                </c:pt>
                <c:pt idx="131">
                  <c:v>3.6994698761750218E-2</c:v>
                </c:pt>
                <c:pt idx="132">
                  <c:v>5.5480711329791786E-2</c:v>
                </c:pt>
                <c:pt idx="133">
                  <c:v>5.2814180643969179E-2</c:v>
                </c:pt>
                <c:pt idx="134">
                  <c:v>5.1725436851954992E-2</c:v>
                </c:pt>
                <c:pt idx="135">
                  <c:v>4.1034620640638536E-2</c:v>
                </c:pt>
                <c:pt idx="136">
                  <c:v>4.6361583105907364E-2</c:v>
                </c:pt>
                <c:pt idx="137">
                  <c:v>4.3991984843541568E-2</c:v>
                </c:pt>
                <c:pt idx="138">
                  <c:v>4.5639690457516202E-2</c:v>
                </c:pt>
                <c:pt idx="139">
                  <c:v>4.6181674664416146E-2</c:v>
                </c:pt>
                <c:pt idx="140">
                  <c:v>4.5954196701461628E-2</c:v>
                </c:pt>
                <c:pt idx="141">
                  <c:v>4.6155610596274564E-2</c:v>
                </c:pt>
                <c:pt idx="142">
                  <c:v>4.5675023391558808E-2</c:v>
                </c:pt>
                <c:pt idx="143">
                  <c:v>4.4394563758692725E-2</c:v>
                </c:pt>
                <c:pt idx="144">
                  <c:v>3.3026248847325496E-2</c:v>
                </c:pt>
                <c:pt idx="145">
                  <c:v>3.5738123270701312E-2</c:v>
                </c:pt>
                <c:pt idx="146">
                  <c:v>4.0738746767601981E-2</c:v>
                </c:pt>
                <c:pt idx="147">
                  <c:v>4.0962095919070005E-2</c:v>
                </c:pt>
                <c:pt idx="148">
                  <c:v>4.0597792204874236E-2</c:v>
                </c:pt>
                <c:pt idx="149">
                  <c:v>3.9095402733823177E-2</c:v>
                </c:pt>
                <c:pt idx="150">
                  <c:v>4.029400052030193E-2</c:v>
                </c:pt>
                <c:pt idx="151">
                  <c:v>3.1806537862433315E-2</c:v>
                </c:pt>
                <c:pt idx="152">
                  <c:v>3.0418466175814035E-2</c:v>
                </c:pt>
                <c:pt idx="153">
                  <c:v>3.3652328272220436E-2</c:v>
                </c:pt>
                <c:pt idx="154">
                  <c:v>3.1755984061652143E-2</c:v>
                </c:pt>
                <c:pt idx="155">
                  <c:v>3.0939194100326251E-2</c:v>
                </c:pt>
                <c:pt idx="156">
                  <c:v>3.5939467824114418E-2</c:v>
                </c:pt>
                <c:pt idx="157">
                  <c:v>3.5750036923426022E-2</c:v>
                </c:pt>
                <c:pt idx="158">
                  <c:v>3.6851027342035859E-2</c:v>
                </c:pt>
                <c:pt idx="159">
                  <c:v>3.7007794682671659E-2</c:v>
                </c:pt>
                <c:pt idx="160">
                  <c:v>4.9268586654660849E-2</c:v>
                </c:pt>
                <c:pt idx="161">
                  <c:v>3.6469509858286051E-2</c:v>
                </c:pt>
                <c:pt idx="162">
                  <c:v>3.8328601229925582E-2</c:v>
                </c:pt>
                <c:pt idx="163">
                  <c:v>3.6824922953390897E-2</c:v>
                </c:pt>
                <c:pt idx="164">
                  <c:v>3.7659790727264109E-2</c:v>
                </c:pt>
                <c:pt idx="165">
                  <c:v>3.9329243838936191E-2</c:v>
                </c:pt>
                <c:pt idx="166">
                  <c:v>3.9151128887761573E-2</c:v>
                </c:pt>
                <c:pt idx="167">
                  <c:v>5.1548134254207831E-2</c:v>
                </c:pt>
                <c:pt idx="168">
                  <c:v>5.0626804684502827E-2</c:v>
                </c:pt>
                <c:pt idx="169">
                  <c:v>5.025768468549003E-2</c:v>
                </c:pt>
                <c:pt idx="170">
                  <c:v>5.5961986013560693E-2</c:v>
                </c:pt>
                <c:pt idx="171">
                  <c:v>5.9107487472119621E-2</c:v>
                </c:pt>
                <c:pt idx="172">
                  <c:v>5.9539883392934111E-2</c:v>
                </c:pt>
                <c:pt idx="173">
                  <c:v>5.8914413052733809E-2</c:v>
                </c:pt>
                <c:pt idx="174">
                  <c:v>5.9629232559416434E-2</c:v>
                </c:pt>
                <c:pt idx="175">
                  <c:v>5.9596967815567427E-2</c:v>
                </c:pt>
                <c:pt idx="176">
                  <c:v>5.3678935330997976E-2</c:v>
                </c:pt>
                <c:pt idx="177">
                  <c:v>6.3856228827637973E-2</c:v>
                </c:pt>
                <c:pt idx="178">
                  <c:v>6.3679569233116656E-2</c:v>
                </c:pt>
                <c:pt idx="179">
                  <c:v>5.7384661833375088E-2</c:v>
                </c:pt>
                <c:pt idx="180">
                  <c:v>5.3795574585324801E-2</c:v>
                </c:pt>
                <c:pt idx="181">
                  <c:v>5.7252478590200467E-2</c:v>
                </c:pt>
                <c:pt idx="182">
                  <c:v>5.9372550747490073E-2</c:v>
                </c:pt>
                <c:pt idx="183">
                  <c:v>6.3064692510741815E-2</c:v>
                </c:pt>
                <c:pt idx="184">
                  <c:v>6.2224399381697819E-2</c:v>
                </c:pt>
                <c:pt idx="185">
                  <c:v>5.995279911401212E-2</c:v>
                </c:pt>
                <c:pt idx="186">
                  <c:v>5.9995631790095164E-2</c:v>
                </c:pt>
                <c:pt idx="187">
                  <c:v>5.9201776376417797E-2</c:v>
                </c:pt>
                <c:pt idx="188">
                  <c:v>5.8613206161543585E-2</c:v>
                </c:pt>
                <c:pt idx="189">
                  <c:v>5.7301379033562187E-2</c:v>
                </c:pt>
                <c:pt idx="190">
                  <c:v>5.7820711992242826E-2</c:v>
                </c:pt>
                <c:pt idx="191">
                  <c:v>6.656406648545854E-2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744-4FA4-80E7-D6C800A7FA94}"/>
            </c:ext>
          </c:extLst>
        </c:ser>
        <c:ser>
          <c:idx val="12"/>
          <c:order val="12"/>
          <c:tx>
            <c:strRef>
              <c:f>'Fuente - total'!$N$22</c:f>
              <c:strCache>
                <c:ptCount val="1"/>
                <c:pt idx="0">
                  <c:v>Otros - deuda interna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total'!$N$114:$N$305</c:f>
              <c:numCache>
                <c:formatCode>0.00%</c:formatCode>
                <c:ptCount val="192"/>
                <c:pt idx="0">
                  <c:v>1.0969409472801875E-3</c:v>
                </c:pt>
                <c:pt idx="1">
                  <c:v>1.2156792562821833E-3</c:v>
                </c:pt>
                <c:pt idx="2">
                  <c:v>1.1876931812669605E-3</c:v>
                </c:pt>
                <c:pt idx="3">
                  <c:v>1.2049370010430549E-3</c:v>
                </c:pt>
                <c:pt idx="4">
                  <c:v>1.2381500854440279E-3</c:v>
                </c:pt>
                <c:pt idx="5">
                  <c:v>1.0689168524857596E-3</c:v>
                </c:pt>
                <c:pt idx="6">
                  <c:v>1.105395566720445E-3</c:v>
                </c:pt>
                <c:pt idx="7">
                  <c:v>1.105395566720445E-3</c:v>
                </c:pt>
                <c:pt idx="8">
                  <c:v>1.1117160031493497E-3</c:v>
                </c:pt>
                <c:pt idx="9">
                  <c:v>1.0685783522856199E-3</c:v>
                </c:pt>
                <c:pt idx="10">
                  <c:v>9.8525228837827031E-4</c:v>
                </c:pt>
                <c:pt idx="11">
                  <c:v>1.0226661643419994E-3</c:v>
                </c:pt>
                <c:pt idx="12">
                  <c:v>9.6917826069997659E-4</c:v>
                </c:pt>
                <c:pt idx="13">
                  <c:v>9.5001459355332097E-4</c:v>
                </c:pt>
                <c:pt idx="14">
                  <c:v>9.4668138635893876E-4</c:v>
                </c:pt>
                <c:pt idx="15">
                  <c:v>2.0174120402433248E-3</c:v>
                </c:pt>
                <c:pt idx="16">
                  <c:v>2.0337285263266444E-3</c:v>
                </c:pt>
                <c:pt idx="17">
                  <c:v>2.022774654224283E-3</c:v>
                </c:pt>
                <c:pt idx="18">
                  <c:v>2.0169429779467395E-3</c:v>
                </c:pt>
                <c:pt idx="19">
                  <c:v>1.9733439739717628E-3</c:v>
                </c:pt>
                <c:pt idx="20">
                  <c:v>1.9918154953498034E-3</c:v>
                </c:pt>
                <c:pt idx="21">
                  <c:v>1.9562108090692885E-3</c:v>
                </c:pt>
                <c:pt idx="22">
                  <c:v>1.9205426500116041E-3</c:v>
                </c:pt>
                <c:pt idx="23">
                  <c:v>1.9179014321484499E-3</c:v>
                </c:pt>
                <c:pt idx="24">
                  <c:v>1.9866096282431123E-3</c:v>
                </c:pt>
                <c:pt idx="25">
                  <c:v>1.8304974343296119E-3</c:v>
                </c:pt>
                <c:pt idx="26">
                  <c:v>1.7760135537575777E-3</c:v>
                </c:pt>
                <c:pt idx="27">
                  <c:v>1.7646485250403152E-3</c:v>
                </c:pt>
                <c:pt idx="28">
                  <c:v>1.3170194416291729E-3</c:v>
                </c:pt>
                <c:pt idx="29">
                  <c:v>1.3084247892438316E-3</c:v>
                </c:pt>
                <c:pt idx="30">
                  <c:v>1.2723876200204352E-3</c:v>
                </c:pt>
                <c:pt idx="31">
                  <c:v>1.3149884638813925E-3</c:v>
                </c:pt>
                <c:pt idx="32">
                  <c:v>1.3392075211942299E-3</c:v>
                </c:pt>
                <c:pt idx="33">
                  <c:v>1.3368436366892184E-3</c:v>
                </c:pt>
                <c:pt idx="34">
                  <c:v>1.3090653579238985E-3</c:v>
                </c:pt>
                <c:pt idx="35">
                  <c:v>1.3308720263428097E-3</c:v>
                </c:pt>
                <c:pt idx="36">
                  <c:v>1.2560284453961212E-3</c:v>
                </c:pt>
                <c:pt idx="37">
                  <c:v>1.2568322796886156E-3</c:v>
                </c:pt>
                <c:pt idx="38">
                  <c:v>1.2502069304769936E-3</c:v>
                </c:pt>
                <c:pt idx="39">
                  <c:v>1.2484332683762624E-3</c:v>
                </c:pt>
                <c:pt idx="40">
                  <c:v>1.2391684900893458E-3</c:v>
                </c:pt>
                <c:pt idx="41">
                  <c:v>1.2226824333447378E-3</c:v>
                </c:pt>
                <c:pt idx="42">
                  <c:v>1.2132327992866389E-3</c:v>
                </c:pt>
                <c:pt idx="43">
                  <c:v>1.2378367111123528E-3</c:v>
                </c:pt>
                <c:pt idx="44">
                  <c:v>8.6677589097336341E-4</c:v>
                </c:pt>
                <c:pt idx="45">
                  <c:v>7.2282613757167409E-4</c:v>
                </c:pt>
                <c:pt idx="46">
                  <c:v>1.0269520802697293E-3</c:v>
                </c:pt>
                <c:pt idx="47">
                  <c:v>1.019849227802648E-3</c:v>
                </c:pt>
                <c:pt idx="48">
                  <c:v>1.010172710615928E-3</c:v>
                </c:pt>
                <c:pt idx="49">
                  <c:v>9.9362516099624014E-4</c:v>
                </c:pt>
                <c:pt idx="50">
                  <c:v>1.0397530025629785E-3</c:v>
                </c:pt>
                <c:pt idx="51">
                  <c:v>1.1098828081286443E-3</c:v>
                </c:pt>
                <c:pt idx="52">
                  <c:v>1.1192767266765312E-3</c:v>
                </c:pt>
                <c:pt idx="53">
                  <c:v>1.0539716796343001E-3</c:v>
                </c:pt>
                <c:pt idx="54">
                  <c:v>1.0933144461831759E-3</c:v>
                </c:pt>
                <c:pt idx="55">
                  <c:v>1.0684626269321543E-3</c:v>
                </c:pt>
                <c:pt idx="56">
                  <c:v>1.0176091853220464E-3</c:v>
                </c:pt>
                <c:pt idx="57">
                  <c:v>1.0075338709435416E-3</c:v>
                </c:pt>
                <c:pt idx="58">
                  <c:v>1.683407065303788E-3</c:v>
                </c:pt>
                <c:pt idx="59">
                  <c:v>1.6368322206621322E-3</c:v>
                </c:pt>
                <c:pt idx="60">
                  <c:v>1.614869349587002E-3</c:v>
                </c:pt>
                <c:pt idx="61">
                  <c:v>1.5566638661956172E-3</c:v>
                </c:pt>
                <c:pt idx="62">
                  <c:v>1.5401395822638442E-3</c:v>
                </c:pt>
                <c:pt idx="63">
                  <c:v>1.5805224904937934E-3</c:v>
                </c:pt>
                <c:pt idx="64">
                  <c:v>1.6303842754128144E-3</c:v>
                </c:pt>
                <c:pt idx="65">
                  <c:v>1.5407331084037626E-3</c:v>
                </c:pt>
                <c:pt idx="66">
                  <c:v>1.5279538623098683E-3</c:v>
                </c:pt>
                <c:pt idx="67">
                  <c:v>1.5411728724989907E-3</c:v>
                </c:pt>
                <c:pt idx="68">
                  <c:v>1.516865387927409E-3</c:v>
                </c:pt>
                <c:pt idx="69">
                  <c:v>1.4658055123318782E-3</c:v>
                </c:pt>
                <c:pt idx="70">
                  <c:v>9.1313924985689102E-4</c:v>
                </c:pt>
                <c:pt idx="71">
                  <c:v>8.7920104585224076E-4</c:v>
                </c:pt>
                <c:pt idx="72">
                  <c:v>8.7513057668095484E-4</c:v>
                </c:pt>
                <c:pt idx="73">
                  <c:v>8.8292866059898171E-4</c:v>
                </c:pt>
                <c:pt idx="74">
                  <c:v>8.6658453434694267E-4</c:v>
                </c:pt>
                <c:pt idx="75">
                  <c:v>8.9186739293397091E-4</c:v>
                </c:pt>
                <c:pt idx="76">
                  <c:v>8.5272169243055666E-4</c:v>
                </c:pt>
                <c:pt idx="77">
                  <c:v>8.5961052647868337E-4</c:v>
                </c:pt>
                <c:pt idx="78">
                  <c:v>8.7741126064545057E-4</c:v>
                </c:pt>
                <c:pt idx="79">
                  <c:v>8.5352525591976276E-4</c:v>
                </c:pt>
                <c:pt idx="80">
                  <c:v>8.3902574558310748E-4</c:v>
                </c:pt>
                <c:pt idx="81">
                  <c:v>8.856283520433159E-4</c:v>
                </c:pt>
                <c:pt idx="82">
                  <c:v>9.2200315630773066E-4</c:v>
                </c:pt>
                <c:pt idx="83">
                  <c:v>8.916492208029625E-4</c:v>
                </c:pt>
                <c:pt idx="84">
                  <c:v>8.7130591742524044E-4</c:v>
                </c:pt>
                <c:pt idx="85">
                  <c:v>8.5967565361380041E-4</c:v>
                </c:pt>
                <c:pt idx="86">
                  <c:v>8.7413020005968213E-4</c:v>
                </c:pt>
                <c:pt idx="87">
                  <c:v>8.4748059955738861E-4</c:v>
                </c:pt>
                <c:pt idx="88">
                  <c:v>8.3294073299644219E-4</c:v>
                </c:pt>
                <c:pt idx="89">
                  <c:v>8.4827551106047053E-4</c:v>
                </c:pt>
                <c:pt idx="90">
                  <c:v>8.5539656975367796E-4</c:v>
                </c:pt>
                <c:pt idx="91">
                  <c:v>8.8187192445201418E-4</c:v>
                </c:pt>
                <c:pt idx="92">
                  <c:v>9.0040404168684153E-4</c:v>
                </c:pt>
                <c:pt idx="93">
                  <c:v>8.4102811298351302E-4</c:v>
                </c:pt>
                <c:pt idx="94">
                  <c:v>8.1384198739402607E-4</c:v>
                </c:pt>
                <c:pt idx="95">
                  <c:v>8.2389490985409759E-4</c:v>
                </c:pt>
                <c:pt idx="96">
                  <c:v>8.6461161641998335E-4</c:v>
                </c:pt>
                <c:pt idx="97">
                  <c:v>8.590853307256141E-4</c:v>
                </c:pt>
                <c:pt idx="98">
                  <c:v>8.8273458086332655E-4</c:v>
                </c:pt>
                <c:pt idx="99">
                  <c:v>8.5241653954918706E-4</c:v>
                </c:pt>
                <c:pt idx="100">
                  <c:v>8.3725834611446523E-4</c:v>
                </c:pt>
                <c:pt idx="101">
                  <c:v>8.5200298649966151E-4</c:v>
                </c:pt>
                <c:pt idx="102">
                  <c:v>8.3464528508096693E-4</c:v>
                </c:pt>
                <c:pt idx="103">
                  <c:v>8.186734591672716E-4</c:v>
                </c:pt>
                <c:pt idx="104">
                  <c:v>8.1696777065714263E-4</c:v>
                </c:pt>
                <c:pt idx="105">
                  <c:v>8.3603580629354219E-4</c:v>
                </c:pt>
                <c:pt idx="106">
                  <c:v>8.0041728493946513E-4</c:v>
                </c:pt>
                <c:pt idx="107">
                  <c:v>8.3453179718122729E-4</c:v>
                </c:pt>
                <c:pt idx="108">
                  <c:v>8.5784755872518039E-4</c:v>
                </c:pt>
                <c:pt idx="109">
                  <c:v>8.4576613762477049E-4</c:v>
                </c:pt>
                <c:pt idx="110">
                  <c:v>8.1543655873394204E-4</c:v>
                </c:pt>
                <c:pt idx="111">
                  <c:v>8.2541221809796816E-4</c:v>
                </c:pt>
                <c:pt idx="112">
                  <c:v>8.3044216261442846E-4</c:v>
                </c:pt>
                <c:pt idx="113">
                  <c:v>8.2024429859632608E-4</c:v>
                </c:pt>
                <c:pt idx="114">
                  <c:v>8.1640126938022908E-4</c:v>
                </c:pt>
                <c:pt idx="115">
                  <c:v>7.9593188726405329E-4</c:v>
                </c:pt>
                <c:pt idx="116">
                  <c:v>7.9461022097930306E-4</c:v>
                </c:pt>
                <c:pt idx="117">
                  <c:v>7.7370456825246966E-4</c:v>
                </c:pt>
                <c:pt idx="118">
                  <c:v>7.9103294717242773E-4</c:v>
                </c:pt>
                <c:pt idx="119">
                  <c:v>7.6623722518596462E-4</c:v>
                </c:pt>
                <c:pt idx="120">
                  <c:v>7.8857287996623928E-4</c:v>
                </c:pt>
                <c:pt idx="121">
                  <c:v>7.8705908482812933E-4</c:v>
                </c:pt>
                <c:pt idx="122">
                  <c:v>8.0273179150609189E-4</c:v>
                </c:pt>
                <c:pt idx="123">
                  <c:v>7.443195676358537E-4</c:v>
                </c:pt>
                <c:pt idx="124">
                  <c:v>7.7082625258759836E-4</c:v>
                </c:pt>
                <c:pt idx="125">
                  <c:v>7.6992910201241873E-4</c:v>
                </c:pt>
                <c:pt idx="126">
                  <c:v>7.5153485519632195E-4</c:v>
                </c:pt>
                <c:pt idx="127">
                  <c:v>7.501400339543665E-4</c:v>
                </c:pt>
                <c:pt idx="128">
                  <c:v>7.6071256681733079E-4</c:v>
                </c:pt>
                <c:pt idx="129">
                  <c:v>7.4445630341546767E-4</c:v>
                </c:pt>
                <c:pt idx="130">
                  <c:v>7.4194351208634653E-4</c:v>
                </c:pt>
                <c:pt idx="131">
                  <c:v>7.6796207369174061E-4</c:v>
                </c:pt>
                <c:pt idx="132">
                  <c:v>7.3063824660415846E-4</c:v>
                </c:pt>
                <c:pt idx="133">
                  <c:v>7.2229137581730578E-4</c:v>
                </c:pt>
                <c:pt idx="134">
                  <c:v>6.9919633732603626E-4</c:v>
                </c:pt>
                <c:pt idx="135">
                  <c:v>1.931572478033901E-3</c:v>
                </c:pt>
                <c:pt idx="136">
                  <c:v>2.8024362479197032E-3</c:v>
                </c:pt>
                <c:pt idx="137">
                  <c:v>3.056991845582043E-3</c:v>
                </c:pt>
                <c:pt idx="138">
                  <c:v>3.0135041277239297E-3</c:v>
                </c:pt>
                <c:pt idx="139">
                  <c:v>2.9863879962402592E-3</c:v>
                </c:pt>
                <c:pt idx="140">
                  <c:v>2.9385238810846329E-3</c:v>
                </c:pt>
                <c:pt idx="141">
                  <c:v>3.0505934328627525E-3</c:v>
                </c:pt>
                <c:pt idx="142">
                  <c:v>2.3825337907834528E-2</c:v>
                </c:pt>
                <c:pt idx="143">
                  <c:v>2.3541476502367528E-2</c:v>
                </c:pt>
                <c:pt idx="144">
                  <c:v>2.3089727263724113E-2</c:v>
                </c:pt>
                <c:pt idx="145">
                  <c:v>2.279079054850076E-2</c:v>
                </c:pt>
                <c:pt idx="146">
                  <c:v>2.2613533097582444E-2</c:v>
                </c:pt>
                <c:pt idx="147">
                  <c:v>2.2054841925916099E-2</c:v>
                </c:pt>
                <c:pt idx="148">
                  <c:v>2.1857399778617115E-2</c:v>
                </c:pt>
                <c:pt idx="149">
                  <c:v>2.1606807820480023E-2</c:v>
                </c:pt>
                <c:pt idx="150">
                  <c:v>2.1087070663920172E-2</c:v>
                </c:pt>
                <c:pt idx="151">
                  <c:v>2.1431347771872247E-2</c:v>
                </c:pt>
                <c:pt idx="152">
                  <c:v>2.1016142676041114E-2</c:v>
                </c:pt>
                <c:pt idx="153">
                  <c:v>1.6732782520213364E-2</c:v>
                </c:pt>
                <c:pt idx="154">
                  <c:v>1.6141803571083326E-2</c:v>
                </c:pt>
                <c:pt idx="155">
                  <c:v>1.6048096178560785E-2</c:v>
                </c:pt>
                <c:pt idx="156">
                  <c:v>1.5932764424211453E-2</c:v>
                </c:pt>
                <c:pt idx="157">
                  <c:v>1.5848785498031873E-2</c:v>
                </c:pt>
                <c:pt idx="158">
                  <c:v>1.6012734792719044E-2</c:v>
                </c:pt>
                <c:pt idx="159">
                  <c:v>1.5610975863570469E-2</c:v>
                </c:pt>
                <c:pt idx="160">
                  <c:v>1.5462015505519767E-2</c:v>
                </c:pt>
                <c:pt idx="161">
                  <c:v>1.526228833937261E-2</c:v>
                </c:pt>
                <c:pt idx="162">
                  <c:v>1.4777003358579644E-2</c:v>
                </c:pt>
                <c:pt idx="163">
                  <c:v>1.4483628278138424E-2</c:v>
                </c:pt>
                <c:pt idx="164">
                  <c:v>1.4214313212214117E-2</c:v>
                </c:pt>
                <c:pt idx="165">
                  <c:v>1.3749081820659426E-2</c:v>
                </c:pt>
                <c:pt idx="166">
                  <c:v>1.3687718420728521E-2</c:v>
                </c:pt>
                <c:pt idx="167">
                  <c:v>1.3369876872594074E-2</c:v>
                </c:pt>
                <c:pt idx="168">
                  <c:v>1.3459006671820399E-2</c:v>
                </c:pt>
                <c:pt idx="169">
                  <c:v>1.3204247704742978E-2</c:v>
                </c:pt>
                <c:pt idx="170">
                  <c:v>1.3282626347129192E-2</c:v>
                </c:pt>
                <c:pt idx="171">
                  <c:v>1.3086730211220761E-2</c:v>
                </c:pt>
                <c:pt idx="172">
                  <c:v>1.3307589673036664E-2</c:v>
                </c:pt>
                <c:pt idx="173">
                  <c:v>1.3521443694592425E-2</c:v>
                </c:pt>
                <c:pt idx="174">
                  <c:v>1.3753787420006406E-2</c:v>
                </c:pt>
                <c:pt idx="175">
                  <c:v>1.3447356455536474E-2</c:v>
                </c:pt>
                <c:pt idx="176">
                  <c:v>1.3490843292677163E-2</c:v>
                </c:pt>
                <c:pt idx="177">
                  <c:v>1.3321536724596614E-2</c:v>
                </c:pt>
                <c:pt idx="178">
                  <c:v>1.3191163691127524E-2</c:v>
                </c:pt>
                <c:pt idx="179">
                  <c:v>1.3432682204139779E-2</c:v>
                </c:pt>
                <c:pt idx="180">
                  <c:v>1.3226221615810401E-2</c:v>
                </c:pt>
                <c:pt idx="181">
                  <c:v>1.3234118897141533E-2</c:v>
                </c:pt>
                <c:pt idx="182">
                  <c:v>1.3117003637063312E-2</c:v>
                </c:pt>
                <c:pt idx="183">
                  <c:v>1.2803021180808054E-2</c:v>
                </c:pt>
                <c:pt idx="184">
                  <c:v>1.271414159331965E-2</c:v>
                </c:pt>
                <c:pt idx="185">
                  <c:v>1.224999555911975E-2</c:v>
                </c:pt>
                <c:pt idx="186">
                  <c:v>1.2258747445596593E-2</c:v>
                </c:pt>
                <c:pt idx="187">
                  <c:v>1.2096541085996101E-2</c:v>
                </c:pt>
                <c:pt idx="188">
                  <c:v>1.1974172730487219E-2</c:v>
                </c:pt>
                <c:pt idx="189">
                  <c:v>1.1708237964964624E-2</c:v>
                </c:pt>
                <c:pt idx="190">
                  <c:v>1.1446625210885028E-2</c:v>
                </c:pt>
                <c:pt idx="191">
                  <c:v>1.1345107371144355E-2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744-4FA4-80E7-D6C800A7FA94}"/>
            </c:ext>
          </c:extLst>
        </c:ser>
        <c:ser>
          <c:idx val="13"/>
          <c:order val="13"/>
          <c:tx>
            <c:strRef>
              <c:f>'Fuente - total'!$O$22</c:f>
              <c:strCache>
                <c:ptCount val="1"/>
                <c:pt idx="0">
                  <c:v>Otros - deuda externa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</c:spPr>
          <c:cat>
            <c:numRef>
              <c:f>'Fuente - total'!$A$114:$A$305</c:f>
              <c:numCache>
                <c:formatCode>mmm\-yy</c:formatCode>
                <c:ptCount val="192"/>
                <c:pt idx="0">
                  <c:v>39844</c:v>
                </c:pt>
                <c:pt idx="1">
                  <c:v>39845</c:v>
                </c:pt>
                <c:pt idx="2">
                  <c:v>39874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39995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'Fuente - total'!$O$114:$O$305</c:f>
              <c:numCache>
                <c:formatCode>0.00%</c:formatCode>
                <c:ptCount val="192"/>
                <c:pt idx="0">
                  <c:v>1.3227720721809084E-3</c:v>
                </c:pt>
                <c:pt idx="1">
                  <c:v>1.3505579807213963E-3</c:v>
                </c:pt>
                <c:pt idx="2">
                  <c:v>1.3154839752318359E-3</c:v>
                </c:pt>
                <c:pt idx="3">
                  <c:v>1.2285868425858141E-3</c:v>
                </c:pt>
                <c:pt idx="4">
                  <c:v>1.2114824378319426E-3</c:v>
                </c:pt>
                <c:pt idx="5">
                  <c:v>1.1796541473568616E-3</c:v>
                </c:pt>
                <c:pt idx="6">
                  <c:v>1.1549801561137633E-3</c:v>
                </c:pt>
                <c:pt idx="7">
                  <c:v>1.1549801561137633E-3</c:v>
                </c:pt>
                <c:pt idx="8">
                  <c:v>2.045506877130847E-3</c:v>
                </c:pt>
                <c:pt idx="9">
                  <c:v>2.0399311672196804E-3</c:v>
                </c:pt>
                <c:pt idx="10">
                  <c:v>2.0163363611342142E-3</c:v>
                </c:pt>
                <c:pt idx="11">
                  <c:v>1.8781748450283949E-3</c:v>
                </c:pt>
                <c:pt idx="12">
                  <c:v>1.7706008152611388E-3</c:v>
                </c:pt>
                <c:pt idx="13">
                  <c:v>1.7273423844959539E-3</c:v>
                </c:pt>
                <c:pt idx="14">
                  <c:v>1.6641484020416305E-3</c:v>
                </c:pt>
                <c:pt idx="15">
                  <c:v>1.7001490006872159E-3</c:v>
                </c:pt>
                <c:pt idx="16">
                  <c:v>1.6718823135558577E-3</c:v>
                </c:pt>
                <c:pt idx="17">
                  <c:v>1.517362603937734E-3</c:v>
                </c:pt>
                <c:pt idx="18">
                  <c:v>1.777703249657731E-3</c:v>
                </c:pt>
                <c:pt idx="19">
                  <c:v>1.725680018252384E-3</c:v>
                </c:pt>
                <c:pt idx="20">
                  <c:v>1.7447799772075986E-3</c:v>
                </c:pt>
                <c:pt idx="21">
                  <c:v>1.7572907542713792E-3</c:v>
                </c:pt>
                <c:pt idx="22">
                  <c:v>1.7739801455263189E-3</c:v>
                </c:pt>
                <c:pt idx="23">
                  <c:v>2.9496348684508547E-3</c:v>
                </c:pt>
                <c:pt idx="24">
                  <c:v>2.9689117293288628E-3</c:v>
                </c:pt>
                <c:pt idx="25">
                  <c:v>2.9911654090245179E-3</c:v>
                </c:pt>
                <c:pt idx="26">
                  <c:v>2.9475510800435339E-3</c:v>
                </c:pt>
                <c:pt idx="27">
                  <c:v>2.7694241378385101E-3</c:v>
                </c:pt>
                <c:pt idx="28">
                  <c:v>2.898519718707433E-3</c:v>
                </c:pt>
                <c:pt idx="29">
                  <c:v>2.844784251030949E-3</c:v>
                </c:pt>
                <c:pt idx="30">
                  <c:v>2.7517131639396724E-3</c:v>
                </c:pt>
                <c:pt idx="31">
                  <c:v>2.709842093590873E-3</c:v>
                </c:pt>
                <c:pt idx="32">
                  <c:v>2.8278930238065155E-3</c:v>
                </c:pt>
                <c:pt idx="33">
                  <c:v>2.7763305366937017E-3</c:v>
                </c:pt>
                <c:pt idx="34">
                  <c:v>2.8509092170025578E-3</c:v>
                </c:pt>
                <c:pt idx="35">
                  <c:v>2.7648623585017564E-3</c:v>
                </c:pt>
                <c:pt idx="36">
                  <c:v>2.6764035894300373E-3</c:v>
                </c:pt>
                <c:pt idx="37">
                  <c:v>2.575852119535706E-3</c:v>
                </c:pt>
                <c:pt idx="38">
                  <c:v>2.5667046722984707E-3</c:v>
                </c:pt>
                <c:pt idx="39">
                  <c:v>2.5389777555316988E-3</c:v>
                </c:pt>
                <c:pt idx="40">
                  <c:v>2.5962646917592129E-3</c:v>
                </c:pt>
                <c:pt idx="41">
                  <c:v>2.548615089164341E-3</c:v>
                </c:pt>
                <c:pt idx="42">
                  <c:v>2.497061341917147E-3</c:v>
                </c:pt>
                <c:pt idx="43">
                  <c:v>2.5747004901918715E-3</c:v>
                </c:pt>
                <c:pt idx="44">
                  <c:v>2.5200181841334743E-3</c:v>
                </c:pt>
                <c:pt idx="45">
                  <c:v>2.5697289999328039E-3</c:v>
                </c:pt>
                <c:pt idx="46">
                  <c:v>2.5300560016755379E-3</c:v>
                </c:pt>
                <c:pt idx="47">
                  <c:v>3.232727871220413E-3</c:v>
                </c:pt>
                <c:pt idx="48">
                  <c:v>3.2316395241063101E-3</c:v>
                </c:pt>
                <c:pt idx="49">
                  <c:v>3.2294852825533031E-3</c:v>
                </c:pt>
                <c:pt idx="50">
                  <c:v>3.1984293318294732E-3</c:v>
                </c:pt>
                <c:pt idx="51">
                  <c:v>3.252014135930347E-3</c:v>
                </c:pt>
                <c:pt idx="52">
                  <c:v>3.3385914138072E-3</c:v>
                </c:pt>
                <c:pt idx="53">
                  <c:v>3.3468044156686784E-3</c:v>
                </c:pt>
                <c:pt idx="54">
                  <c:v>3.248197535805724E-3</c:v>
                </c:pt>
                <c:pt idx="55">
                  <c:v>3.2910228445427853E-3</c:v>
                </c:pt>
                <c:pt idx="56">
                  <c:v>3.1377892152777711E-3</c:v>
                </c:pt>
                <c:pt idx="57">
                  <c:v>3.0594892503991249E-3</c:v>
                </c:pt>
                <c:pt idx="58">
                  <c:v>3.1420541170627532E-3</c:v>
                </c:pt>
                <c:pt idx="59">
                  <c:v>3.9262934922490444E-3</c:v>
                </c:pt>
                <c:pt idx="60">
                  <c:v>4.0300011209323467E-3</c:v>
                </c:pt>
                <c:pt idx="61">
                  <c:v>4.0027091593703113E-3</c:v>
                </c:pt>
                <c:pt idx="62">
                  <c:v>3.848109655249227E-3</c:v>
                </c:pt>
                <c:pt idx="63">
                  <c:v>3.7465725175488047E-3</c:v>
                </c:pt>
                <c:pt idx="64">
                  <c:v>3.8117773520742852E-3</c:v>
                </c:pt>
                <c:pt idx="65">
                  <c:v>3.6781807303213482E-3</c:v>
                </c:pt>
                <c:pt idx="66">
                  <c:v>3.629390263369408E-3</c:v>
                </c:pt>
                <c:pt idx="67">
                  <c:v>3.6688678601948066E-3</c:v>
                </c:pt>
                <c:pt idx="68">
                  <c:v>3.7993661893823516E-3</c:v>
                </c:pt>
                <c:pt idx="69">
                  <c:v>5.9045165916021989E-3</c:v>
                </c:pt>
                <c:pt idx="70">
                  <c:v>6.3147209591090624E-3</c:v>
                </c:pt>
                <c:pt idx="71">
                  <c:v>7.4367922733788241E-3</c:v>
                </c:pt>
                <c:pt idx="72">
                  <c:v>7.4617605844337093E-3</c:v>
                </c:pt>
                <c:pt idx="73">
                  <c:v>7.5693786315550841E-3</c:v>
                </c:pt>
                <c:pt idx="74">
                  <c:v>7.6404776391680836E-3</c:v>
                </c:pt>
                <c:pt idx="75">
                  <c:v>7.2218381631871491E-3</c:v>
                </c:pt>
                <c:pt idx="76">
                  <c:v>7.363497837041994E-3</c:v>
                </c:pt>
                <c:pt idx="77">
                  <c:v>7.5354514306963678E-3</c:v>
                </c:pt>
                <c:pt idx="78">
                  <c:v>8.1187320220994612E-3</c:v>
                </c:pt>
                <c:pt idx="79">
                  <c:v>5.7069659602533001E-3</c:v>
                </c:pt>
                <c:pt idx="80">
                  <c:v>8.1981463444797467E-3</c:v>
                </c:pt>
                <c:pt idx="81">
                  <c:v>1.0814123318502162E-2</c:v>
                </c:pt>
                <c:pt idx="82">
                  <c:v>1.1136200686952721E-2</c:v>
                </c:pt>
                <c:pt idx="83">
                  <c:v>1.2502228527887729E-2</c:v>
                </c:pt>
                <c:pt idx="84">
                  <c:v>1.2772408227186364E-2</c:v>
                </c:pt>
                <c:pt idx="85">
                  <c:v>1.2605391285951091E-2</c:v>
                </c:pt>
                <c:pt idx="86">
                  <c:v>1.1731617014865031E-2</c:v>
                </c:pt>
                <c:pt idx="87">
                  <c:v>1.1236369675129998E-2</c:v>
                </c:pt>
                <c:pt idx="88">
                  <c:v>1.1348841780137503E-2</c:v>
                </c:pt>
                <c:pt idx="89">
                  <c:v>1.0971692338199888E-2</c:v>
                </c:pt>
                <c:pt idx="90">
                  <c:v>1.1397076425432692E-2</c:v>
                </c:pt>
                <c:pt idx="91">
                  <c:v>1.0912510399290989E-2</c:v>
                </c:pt>
                <c:pt idx="92">
                  <c:v>1.0726624004713583E-2</c:v>
                </c:pt>
                <c:pt idx="93">
                  <c:v>1.0804639868815516E-2</c:v>
                </c:pt>
                <c:pt idx="94">
                  <c:v>1.1683259201808821E-2</c:v>
                </c:pt>
                <c:pt idx="95">
                  <c:v>1.3134869936330913E-2</c:v>
                </c:pt>
                <c:pt idx="96">
                  <c:v>1.2926920897107955E-2</c:v>
                </c:pt>
                <c:pt idx="97">
                  <c:v>1.2578846180235283E-2</c:v>
                </c:pt>
                <c:pt idx="98">
                  <c:v>1.2394312924098226E-2</c:v>
                </c:pt>
                <c:pt idx="99">
                  <c:v>1.2583294785348E-2</c:v>
                </c:pt>
                <c:pt idx="100">
                  <c:v>1.336176053615626E-2</c:v>
                </c:pt>
                <c:pt idx="101">
                  <c:v>1.3870214427464828E-2</c:v>
                </c:pt>
                <c:pt idx="102">
                  <c:v>1.3736282579434315E-2</c:v>
                </c:pt>
                <c:pt idx="103">
                  <c:v>1.3696263926530715E-2</c:v>
                </c:pt>
                <c:pt idx="104">
                  <c:v>1.3193450536289269E-2</c:v>
                </c:pt>
                <c:pt idx="105">
                  <c:v>1.3285777564369808E-2</c:v>
                </c:pt>
                <c:pt idx="106">
                  <c:v>1.3319734686867157E-2</c:v>
                </c:pt>
                <c:pt idx="107">
                  <c:v>1.2995422834657336E-2</c:v>
                </c:pt>
                <c:pt idx="108">
                  <c:v>1.2685869986438281E-2</c:v>
                </c:pt>
                <c:pt idx="109">
                  <c:v>1.3261799258069593E-2</c:v>
                </c:pt>
                <c:pt idx="110">
                  <c:v>1.2936047840723783E-2</c:v>
                </c:pt>
                <c:pt idx="111">
                  <c:v>1.4307109801392128E-2</c:v>
                </c:pt>
                <c:pt idx="112">
                  <c:v>1.4066881729768062E-2</c:v>
                </c:pt>
                <c:pt idx="113">
                  <c:v>1.4158393048515192E-2</c:v>
                </c:pt>
                <c:pt idx="114">
                  <c:v>1.3708736701339685E-2</c:v>
                </c:pt>
                <c:pt idx="115">
                  <c:v>1.4023090072665133E-2</c:v>
                </c:pt>
                <c:pt idx="116">
                  <c:v>1.5893048512719662E-2</c:v>
                </c:pt>
                <c:pt idx="117">
                  <c:v>1.7895586857309378E-2</c:v>
                </c:pt>
                <c:pt idx="118">
                  <c:v>1.7951633006749686E-2</c:v>
                </c:pt>
                <c:pt idx="119">
                  <c:v>1.7734981595978302E-2</c:v>
                </c:pt>
                <c:pt idx="120">
                  <c:v>1.7110890706771555E-2</c:v>
                </c:pt>
                <c:pt idx="121">
                  <c:v>1.6510557050469225E-2</c:v>
                </c:pt>
                <c:pt idx="122">
                  <c:v>1.678980944692704E-2</c:v>
                </c:pt>
                <c:pt idx="123">
                  <c:v>1.6964724857315042E-2</c:v>
                </c:pt>
                <c:pt idx="124">
                  <c:v>1.7139399597220144E-2</c:v>
                </c:pt>
                <c:pt idx="125">
                  <c:v>1.6381775206662341E-2</c:v>
                </c:pt>
                <c:pt idx="126">
                  <c:v>1.6221370181031945E-2</c:v>
                </c:pt>
                <c:pt idx="127">
                  <c:v>1.6561239541418457E-2</c:v>
                </c:pt>
                <c:pt idx="128">
                  <c:v>1.6792843729530479E-2</c:v>
                </c:pt>
                <c:pt idx="129">
                  <c:v>1.6638514403433554E-2</c:v>
                </c:pt>
                <c:pt idx="130">
                  <c:v>1.6676685787765919E-2</c:v>
                </c:pt>
                <c:pt idx="131">
                  <c:v>1.5805276271828417E-2</c:v>
                </c:pt>
                <c:pt idx="132">
                  <c:v>1.5539664946285439E-2</c:v>
                </c:pt>
                <c:pt idx="133">
                  <c:v>1.5954776559077278E-2</c:v>
                </c:pt>
                <c:pt idx="134">
                  <c:v>2.1602410735684766E-2</c:v>
                </c:pt>
                <c:pt idx="135">
                  <c:v>3.1029455598407755E-2</c:v>
                </c:pt>
                <c:pt idx="136">
                  <c:v>3.5113179250792152E-2</c:v>
                </c:pt>
                <c:pt idx="137">
                  <c:v>3.4773913045658959E-2</c:v>
                </c:pt>
                <c:pt idx="138">
                  <c:v>3.4535715192042675E-2</c:v>
                </c:pt>
                <c:pt idx="139">
                  <c:v>3.5726341864238828E-2</c:v>
                </c:pt>
                <c:pt idx="140">
                  <c:v>3.594134613030444E-2</c:v>
                </c:pt>
                <c:pt idx="141">
                  <c:v>3.5572540545014929E-2</c:v>
                </c:pt>
                <c:pt idx="142">
                  <c:v>3.3182323912474034E-2</c:v>
                </c:pt>
                <c:pt idx="143">
                  <c:v>6.4473055704522095E-2</c:v>
                </c:pt>
                <c:pt idx="144">
                  <c:v>6.5442623816516568E-2</c:v>
                </c:pt>
                <c:pt idx="145">
                  <c:v>6.4952635475941586E-2</c:v>
                </c:pt>
                <c:pt idx="146">
                  <c:v>6.5898553854608036E-2</c:v>
                </c:pt>
                <c:pt idx="147">
                  <c:v>6.4852886316544386E-2</c:v>
                </c:pt>
                <c:pt idx="148">
                  <c:v>6.4318331013665977E-2</c:v>
                </c:pt>
                <c:pt idx="149">
                  <c:v>6.3393272216277205E-2</c:v>
                </c:pt>
                <c:pt idx="150">
                  <c:v>6.34867773920504E-2</c:v>
                </c:pt>
                <c:pt idx="151">
                  <c:v>6.3462831508039469E-2</c:v>
                </c:pt>
                <c:pt idx="152">
                  <c:v>6.3416365392743645E-2</c:v>
                </c:pt>
                <c:pt idx="153">
                  <c:v>6.2455658223803251E-2</c:v>
                </c:pt>
                <c:pt idx="154">
                  <c:v>6.3303461920698564E-2</c:v>
                </c:pt>
                <c:pt idx="155">
                  <c:v>6.3858479187536621E-2</c:v>
                </c:pt>
                <c:pt idx="156">
                  <c:v>6.2715435602567773E-2</c:v>
                </c:pt>
                <c:pt idx="157">
                  <c:v>6.2319110100758301E-2</c:v>
                </c:pt>
                <c:pt idx="158">
                  <c:v>5.9881611571458382E-2</c:v>
                </c:pt>
                <c:pt idx="159">
                  <c:v>6.0294868258162687E-2</c:v>
                </c:pt>
                <c:pt idx="160">
                  <c:v>5.8962718225449212E-2</c:v>
                </c:pt>
                <c:pt idx="161">
                  <c:v>6.0450644034095197E-2</c:v>
                </c:pt>
                <c:pt idx="162">
                  <c:v>6.0559708692971934E-2</c:v>
                </c:pt>
                <c:pt idx="163">
                  <c:v>6.0119133028718644E-2</c:v>
                </c:pt>
                <c:pt idx="164">
                  <c:v>6.1068139872229497E-2</c:v>
                </c:pt>
                <c:pt idx="165">
                  <c:v>6.2984385447021937E-2</c:v>
                </c:pt>
                <c:pt idx="166">
                  <c:v>6.352542472705297E-2</c:v>
                </c:pt>
                <c:pt idx="167">
                  <c:v>6.3768572639667842E-2</c:v>
                </c:pt>
                <c:pt idx="168">
                  <c:v>6.241183078960056E-2</c:v>
                </c:pt>
                <c:pt idx="169">
                  <c:v>6.4148151310844309E-2</c:v>
                </c:pt>
                <c:pt idx="170">
                  <c:v>6.2379616511300945E-2</c:v>
                </c:pt>
                <c:pt idx="171">
                  <c:v>6.1737922339439019E-2</c:v>
                </c:pt>
                <c:pt idx="172">
                  <c:v>5.795438469780563E-2</c:v>
                </c:pt>
                <c:pt idx="173">
                  <c:v>5.6075050457247477E-2</c:v>
                </c:pt>
                <c:pt idx="174">
                  <c:v>5.3799863422616202E-2</c:v>
                </c:pt>
                <c:pt idx="175">
                  <c:v>5.4472471503115974E-2</c:v>
                </c:pt>
                <c:pt idx="176">
                  <c:v>5.367819969893884E-2</c:v>
                </c:pt>
                <c:pt idx="177">
                  <c:v>5.3148349271658603E-2</c:v>
                </c:pt>
                <c:pt idx="178">
                  <c:v>5.1734304372409542E-2</c:v>
                </c:pt>
                <c:pt idx="179">
                  <c:v>5.0788624736854096E-2</c:v>
                </c:pt>
                <c:pt idx="180">
                  <c:v>5.1606583910653585E-2</c:v>
                </c:pt>
                <c:pt idx="181">
                  <c:v>5.078945112762738E-2</c:v>
                </c:pt>
                <c:pt idx="182">
                  <c:v>4.9219309965043992E-2</c:v>
                </c:pt>
                <c:pt idx="183">
                  <c:v>4.8271449482394639E-2</c:v>
                </c:pt>
                <c:pt idx="184">
                  <c:v>4.6283659058393288E-2</c:v>
                </c:pt>
                <c:pt idx="185">
                  <c:v>4.7339000598396325E-2</c:v>
                </c:pt>
                <c:pt idx="186">
                  <c:v>4.6934708525298616E-2</c:v>
                </c:pt>
                <c:pt idx="187">
                  <c:v>4.4883557353512335E-2</c:v>
                </c:pt>
                <c:pt idx="188">
                  <c:v>4.4670709208412769E-2</c:v>
                </c:pt>
                <c:pt idx="189">
                  <c:v>4.5671617089473426E-2</c:v>
                </c:pt>
                <c:pt idx="190">
                  <c:v>4.3777225401007959E-2</c:v>
                </c:pt>
                <c:pt idx="191">
                  <c:v>4.0178359119920008E-2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744-4FA4-80E7-D6C800A7F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777248"/>
        <c:axId val="1"/>
      </c:areaChart>
      <c:dateAx>
        <c:axId val="684777248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in val="0.4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6847772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3905238102220472"/>
          <c:y val="8.732210557013706E-2"/>
          <c:w val="0.10302673059722278"/>
          <c:h val="0.87819626713327503"/>
        </c:manualLayout>
      </c:layout>
      <c:overlay val="0"/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'Tasa - interna'!$B$20</c:f>
          <c:strCache>
            <c:ptCount val="1"/>
            <c:pt idx="0">
              <c:v>Composición por tipo de interés - deuda interna</c:v>
            </c:pt>
          </c:strCache>
        </c:strRef>
      </c:tx>
      <c:layout>
        <c:manualLayout>
          <c:xMode val="edge"/>
          <c:yMode val="edge"/>
          <c:x val="0.16302197519427719"/>
          <c:y val="1.4795202392529619E-2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943513471072527"/>
          <c:y val="0.19997101108630078"/>
          <c:w val="0.72140251699306812"/>
          <c:h val="0.69752654052571783"/>
        </c:manualLayout>
      </c:layout>
      <c:areaChart>
        <c:grouping val="percentStacked"/>
        <c:varyColors val="0"/>
        <c:ser>
          <c:idx val="0"/>
          <c:order val="0"/>
          <c:tx>
            <c:strRef>
              <c:f>'Tasa - interna'!$B$22</c:f>
              <c:strCache>
                <c:ptCount val="1"/>
                <c:pt idx="0">
                  <c:v>COP fija</c:v>
                </c:pt>
              </c:strCache>
            </c:strRef>
          </c:tx>
          <c:spPr>
            <a:solidFill>
              <a:srgbClr val="B48C41"/>
            </a:solidFill>
          </c:spPr>
          <c:cat>
            <c:numRef>
              <c:f>'Tasa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39909</c:v>
                </c:pt>
                <c:pt idx="4">
                  <c:v>39939</c:v>
                </c:pt>
                <c:pt idx="5">
                  <c:v>39970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'Tasa - interna'!$B$114:$B$305</c:f>
              <c:numCache>
                <c:formatCode>0.00%</c:formatCode>
                <c:ptCount val="192"/>
                <c:pt idx="0">
                  <c:v>0.68565063426548534</c:v>
                </c:pt>
                <c:pt idx="1">
                  <c:v>0.68848765964419811</c:v>
                </c:pt>
                <c:pt idx="2">
                  <c:v>0.69723778848650941</c:v>
                </c:pt>
                <c:pt idx="3">
                  <c:v>0.69943420696330771</c:v>
                </c:pt>
                <c:pt idx="4">
                  <c:v>0.69006026680703325</c:v>
                </c:pt>
                <c:pt idx="5">
                  <c:v>0.69187955712988136</c:v>
                </c:pt>
                <c:pt idx="6">
                  <c:v>0.6793852779333367</c:v>
                </c:pt>
                <c:pt idx="7">
                  <c:v>0.67225237782594327</c:v>
                </c:pt>
                <c:pt idx="8">
                  <c:v>0.68528597900947397</c:v>
                </c:pt>
                <c:pt idx="9">
                  <c:v>0.67911640876190804</c:v>
                </c:pt>
                <c:pt idx="10">
                  <c:v>0.67006660890140723</c:v>
                </c:pt>
                <c:pt idx="11">
                  <c:v>0.67369187907476469</c:v>
                </c:pt>
                <c:pt idx="12">
                  <c:v>0.68725344104628283</c:v>
                </c:pt>
                <c:pt idx="13">
                  <c:v>0.67808731504731901</c:v>
                </c:pt>
                <c:pt idx="14">
                  <c:v>0.69207029585539437</c:v>
                </c:pt>
                <c:pt idx="15">
                  <c:v>0.68766950425574791</c:v>
                </c:pt>
                <c:pt idx="16">
                  <c:v>0.70218245606709362</c:v>
                </c:pt>
                <c:pt idx="17">
                  <c:v>0.70062244886718783</c:v>
                </c:pt>
                <c:pt idx="18">
                  <c:v>0.705671004199666</c:v>
                </c:pt>
                <c:pt idx="19">
                  <c:v>0.7076699797438829</c:v>
                </c:pt>
                <c:pt idx="20">
                  <c:v>0.73103495777996164</c:v>
                </c:pt>
                <c:pt idx="21">
                  <c:v>0.73421793102405608</c:v>
                </c:pt>
                <c:pt idx="22">
                  <c:v>0.71399618696876777</c:v>
                </c:pt>
                <c:pt idx="23">
                  <c:v>0.69065019429641905</c:v>
                </c:pt>
                <c:pt idx="24">
                  <c:v>0.72680002546763911</c:v>
                </c:pt>
                <c:pt idx="25">
                  <c:v>0.72746557434999237</c:v>
                </c:pt>
                <c:pt idx="26">
                  <c:v>0.72940468777518463</c:v>
                </c:pt>
                <c:pt idx="27">
                  <c:v>0.72972470089469488</c:v>
                </c:pt>
                <c:pt idx="28">
                  <c:v>0.71419502077860397</c:v>
                </c:pt>
                <c:pt idx="29">
                  <c:v>0.73345557735590083</c:v>
                </c:pt>
                <c:pt idx="30">
                  <c:v>0.73428460699343212</c:v>
                </c:pt>
                <c:pt idx="31">
                  <c:v>0.73278557380114728</c:v>
                </c:pt>
                <c:pt idx="32">
                  <c:v>0.73706625756354616</c:v>
                </c:pt>
                <c:pt idx="33">
                  <c:v>0.73783339353889232</c:v>
                </c:pt>
                <c:pt idx="34">
                  <c:v>0.73797392501192816</c:v>
                </c:pt>
                <c:pt idx="35">
                  <c:v>0.72969525107356981</c:v>
                </c:pt>
                <c:pt idx="36">
                  <c:v>0.74122738924522003</c:v>
                </c:pt>
                <c:pt idx="37">
                  <c:v>0.74179203166857188</c:v>
                </c:pt>
                <c:pt idx="38">
                  <c:v>0.73854131067077566</c:v>
                </c:pt>
                <c:pt idx="39">
                  <c:v>0.73247149129454203</c:v>
                </c:pt>
                <c:pt idx="40">
                  <c:v>0.74236758848190831</c:v>
                </c:pt>
                <c:pt idx="41">
                  <c:v>0.74021444190815744</c:v>
                </c:pt>
                <c:pt idx="42">
                  <c:v>0.73714589170662836</c:v>
                </c:pt>
                <c:pt idx="43">
                  <c:v>0.72905587710939457</c:v>
                </c:pt>
                <c:pt idx="44">
                  <c:v>0.7299403705771258</c:v>
                </c:pt>
                <c:pt idx="45">
                  <c:v>0.73604514705761726</c:v>
                </c:pt>
                <c:pt idx="46">
                  <c:v>0.73309829238716906</c:v>
                </c:pt>
                <c:pt idx="47">
                  <c:v>0.71490627468859558</c:v>
                </c:pt>
                <c:pt idx="48">
                  <c:v>0.73742869999191396</c:v>
                </c:pt>
                <c:pt idx="49">
                  <c:v>0.74507609179835732</c:v>
                </c:pt>
                <c:pt idx="50">
                  <c:v>0.75760277900686446</c:v>
                </c:pt>
                <c:pt idx="51">
                  <c:v>0.77081146022477398</c:v>
                </c:pt>
                <c:pt idx="52">
                  <c:v>0.77684501553308227</c:v>
                </c:pt>
                <c:pt idx="53">
                  <c:v>0.77386536240663617</c:v>
                </c:pt>
                <c:pt idx="54">
                  <c:v>0.77484377502701418</c:v>
                </c:pt>
                <c:pt idx="55">
                  <c:v>0.77663229658542887</c:v>
                </c:pt>
                <c:pt idx="56">
                  <c:v>0.77621532978999486</c:v>
                </c:pt>
                <c:pt idx="57">
                  <c:v>0.77465298587187648</c:v>
                </c:pt>
                <c:pt idx="58">
                  <c:v>0.76704810140503721</c:v>
                </c:pt>
                <c:pt idx="59">
                  <c:v>0.74668759112763994</c:v>
                </c:pt>
                <c:pt idx="60">
                  <c:v>0.77033797939267212</c:v>
                </c:pt>
                <c:pt idx="61">
                  <c:v>0.76303725005682954</c:v>
                </c:pt>
                <c:pt idx="62">
                  <c:v>0.75425423589340712</c:v>
                </c:pt>
                <c:pt idx="63">
                  <c:v>0.75604078826808796</c:v>
                </c:pt>
                <c:pt idx="64">
                  <c:v>0.74280428134429832</c:v>
                </c:pt>
                <c:pt idx="65">
                  <c:v>0.73407381556832796</c:v>
                </c:pt>
                <c:pt idx="66">
                  <c:v>0.73161671263220052</c:v>
                </c:pt>
                <c:pt idx="67">
                  <c:v>0.73321961250161716</c:v>
                </c:pt>
                <c:pt idx="68">
                  <c:v>0.71212900265243584</c:v>
                </c:pt>
                <c:pt idx="69">
                  <c:v>0.71111899436002046</c:v>
                </c:pt>
                <c:pt idx="70">
                  <c:v>0.72507395626504112</c:v>
                </c:pt>
                <c:pt idx="71">
                  <c:v>0.72086737382516874</c:v>
                </c:pt>
                <c:pt idx="72">
                  <c:v>0.7411908906363851</c:v>
                </c:pt>
                <c:pt idx="73">
                  <c:v>0.74294963023806704</c:v>
                </c:pt>
                <c:pt idx="74">
                  <c:v>0.74841004751763085</c:v>
                </c:pt>
                <c:pt idx="75">
                  <c:v>0.76008999369986641</c:v>
                </c:pt>
                <c:pt idx="76">
                  <c:v>0.7385028160665662</c:v>
                </c:pt>
                <c:pt idx="77">
                  <c:v>0.75760782249534875</c:v>
                </c:pt>
                <c:pt idx="78">
                  <c:v>0.74978056893664724</c:v>
                </c:pt>
                <c:pt idx="79">
                  <c:v>0.74573763335663046</c:v>
                </c:pt>
                <c:pt idx="80">
                  <c:v>0.71580262156817398</c:v>
                </c:pt>
                <c:pt idx="81">
                  <c:v>0.6985518342049678</c:v>
                </c:pt>
                <c:pt idx="82">
                  <c:v>0.68741893603436077</c:v>
                </c:pt>
                <c:pt idx="83">
                  <c:v>0.67081224257397654</c:v>
                </c:pt>
                <c:pt idx="84">
                  <c:v>0.67740144120013168</c:v>
                </c:pt>
                <c:pt idx="85">
                  <c:v>0.66842839301194967</c:v>
                </c:pt>
                <c:pt idx="86">
                  <c:v>0.6707849302855623</c:v>
                </c:pt>
                <c:pt idx="87">
                  <c:v>0.67189240021736385</c:v>
                </c:pt>
                <c:pt idx="88">
                  <c:v>0.68161502610270897</c:v>
                </c:pt>
                <c:pt idx="89">
                  <c:v>0.6581106917120666</c:v>
                </c:pt>
                <c:pt idx="90">
                  <c:v>0.65422762378969379</c:v>
                </c:pt>
                <c:pt idx="91">
                  <c:v>0.65928045735342833</c:v>
                </c:pt>
                <c:pt idx="92">
                  <c:v>0.65771238542524624</c:v>
                </c:pt>
                <c:pt idx="93">
                  <c:v>0.65771238542524624</c:v>
                </c:pt>
                <c:pt idx="94">
                  <c:v>0.65915076049964338</c:v>
                </c:pt>
                <c:pt idx="95">
                  <c:v>0.65758140082401961</c:v>
                </c:pt>
                <c:pt idx="96">
                  <c:v>0.66757225742001491</c:v>
                </c:pt>
                <c:pt idx="97">
                  <c:v>0.66849258151309476</c:v>
                </c:pt>
                <c:pt idx="98">
                  <c:v>0.65967078284272618</c:v>
                </c:pt>
                <c:pt idx="99">
                  <c:v>0.66905627294654602</c:v>
                </c:pt>
                <c:pt idx="100">
                  <c:v>0.6937983168198768</c:v>
                </c:pt>
                <c:pt idx="101">
                  <c:v>0.68615325618639822</c:v>
                </c:pt>
                <c:pt idx="102">
                  <c:v>0.68203352251364902</c:v>
                </c:pt>
                <c:pt idx="103">
                  <c:v>0.68352283369715217</c:v>
                </c:pt>
                <c:pt idx="104">
                  <c:v>0.68163025817162337</c:v>
                </c:pt>
                <c:pt idx="105">
                  <c:v>0.68140158887683522</c:v>
                </c:pt>
                <c:pt idx="106">
                  <c:v>0.68158301479226746</c:v>
                </c:pt>
                <c:pt idx="107">
                  <c:v>0.66489410982117869</c:v>
                </c:pt>
                <c:pt idx="108">
                  <c:v>0.66630897464658001</c:v>
                </c:pt>
                <c:pt idx="109">
                  <c:v>0.66613014996157893</c:v>
                </c:pt>
                <c:pt idx="110">
                  <c:v>0.66380326563311975</c:v>
                </c:pt>
                <c:pt idx="111">
                  <c:v>0.65700742637171405</c:v>
                </c:pt>
                <c:pt idx="112">
                  <c:v>0.65765016269195609</c:v>
                </c:pt>
                <c:pt idx="113">
                  <c:v>0.65501398268763988</c:v>
                </c:pt>
                <c:pt idx="114">
                  <c:v>0.65494387229521511</c:v>
                </c:pt>
                <c:pt idx="115">
                  <c:v>0.65585134074073159</c:v>
                </c:pt>
                <c:pt idx="116">
                  <c:v>0.65637330750050149</c:v>
                </c:pt>
                <c:pt idx="117">
                  <c:v>0.63751281705477969</c:v>
                </c:pt>
                <c:pt idx="118">
                  <c:v>0.6336085851300951</c:v>
                </c:pt>
                <c:pt idx="119">
                  <c:v>0.62363059347903937</c:v>
                </c:pt>
                <c:pt idx="120">
                  <c:v>0.62669411993125534</c:v>
                </c:pt>
                <c:pt idx="121">
                  <c:v>0.62885379218120085</c:v>
                </c:pt>
                <c:pt idx="122">
                  <c:v>0.62671284259922522</c:v>
                </c:pt>
                <c:pt idx="123">
                  <c:v>0.64340199987826152</c:v>
                </c:pt>
                <c:pt idx="124">
                  <c:v>0.64243108314519592</c:v>
                </c:pt>
                <c:pt idx="125">
                  <c:v>0.64028817523402282</c:v>
                </c:pt>
                <c:pt idx="126">
                  <c:v>0.63589537829783316</c:v>
                </c:pt>
                <c:pt idx="127">
                  <c:v>0.63673056975189124</c:v>
                </c:pt>
                <c:pt idx="128">
                  <c:v>0.62332204391089974</c:v>
                </c:pt>
                <c:pt idx="129">
                  <c:v>0.62536397253469311</c:v>
                </c:pt>
                <c:pt idx="130">
                  <c:v>0.62806990914942495</c:v>
                </c:pt>
                <c:pt idx="131">
                  <c:v>0.62335268585304737</c:v>
                </c:pt>
                <c:pt idx="132">
                  <c:v>0.60660406444485038</c:v>
                </c:pt>
                <c:pt idx="133">
                  <c:v>0.61190613403174599</c:v>
                </c:pt>
                <c:pt idx="134">
                  <c:v>0.60501702107426458</c:v>
                </c:pt>
                <c:pt idx="135">
                  <c:v>0.61369311748241095</c:v>
                </c:pt>
                <c:pt idx="136">
                  <c:v>0.61481461040718388</c:v>
                </c:pt>
                <c:pt idx="137">
                  <c:v>0.62273160413954221</c:v>
                </c:pt>
                <c:pt idx="138">
                  <c:v>0.63297790483530847</c:v>
                </c:pt>
                <c:pt idx="139">
                  <c:v>0.63344418911439726</c:v>
                </c:pt>
                <c:pt idx="140">
                  <c:v>0.63565633066787841</c:v>
                </c:pt>
                <c:pt idx="141">
                  <c:v>0.63683887639603065</c:v>
                </c:pt>
                <c:pt idx="142">
                  <c:v>0.63910512985452961</c:v>
                </c:pt>
                <c:pt idx="143">
                  <c:v>0.63944627007991572</c:v>
                </c:pt>
                <c:pt idx="144">
                  <c:v>0.65141342399057556</c:v>
                </c:pt>
                <c:pt idx="145">
                  <c:v>0.64840405219940211</c:v>
                </c:pt>
                <c:pt idx="146">
                  <c:v>0.65001016116532562</c:v>
                </c:pt>
                <c:pt idx="147">
                  <c:v>0.64965340131563931</c:v>
                </c:pt>
                <c:pt idx="148">
                  <c:v>0.64933632209492287</c:v>
                </c:pt>
                <c:pt idx="149">
                  <c:v>0.64774791396733211</c:v>
                </c:pt>
                <c:pt idx="150">
                  <c:v>0.64656073394430369</c:v>
                </c:pt>
                <c:pt idx="151">
                  <c:v>0.65608545987034916</c:v>
                </c:pt>
                <c:pt idx="152">
                  <c:v>0.6550717317946021</c:v>
                </c:pt>
                <c:pt idx="153">
                  <c:v>0.64918795034687304</c:v>
                </c:pt>
                <c:pt idx="154">
                  <c:v>0.64401314698359491</c:v>
                </c:pt>
                <c:pt idx="155">
                  <c:v>0.64053598110646648</c:v>
                </c:pt>
                <c:pt idx="156">
                  <c:v>0.63625947590251009</c:v>
                </c:pt>
                <c:pt idx="157">
                  <c:v>0.63539652277878078</c:v>
                </c:pt>
                <c:pt idx="158">
                  <c:v>0.63030863357524958</c:v>
                </c:pt>
                <c:pt idx="159">
                  <c:v>0.63011783431945534</c:v>
                </c:pt>
                <c:pt idx="160">
                  <c:v>0.61373335591974643</c:v>
                </c:pt>
                <c:pt idx="161">
                  <c:v>0.6257404781016398</c:v>
                </c:pt>
                <c:pt idx="162">
                  <c:v>0.62383353372328443</c:v>
                </c:pt>
                <c:pt idx="163">
                  <c:v>0.62589565061881769</c:v>
                </c:pt>
                <c:pt idx="164">
                  <c:v>0.62256424897363283</c:v>
                </c:pt>
                <c:pt idx="165">
                  <c:v>0.61866786215679137</c:v>
                </c:pt>
                <c:pt idx="166">
                  <c:v>0.61726214649513045</c:v>
                </c:pt>
                <c:pt idx="167">
                  <c:v>0.60115562447449533</c:v>
                </c:pt>
                <c:pt idx="168">
                  <c:v>0.60225367490957138</c:v>
                </c:pt>
                <c:pt idx="169">
                  <c:v>0.61740746798815571</c:v>
                </c:pt>
                <c:pt idx="170">
                  <c:v>0.60823254920493741</c:v>
                </c:pt>
                <c:pt idx="171">
                  <c:v>0.60408006529343339</c:v>
                </c:pt>
                <c:pt idx="172">
                  <c:v>0.60481238781059221</c:v>
                </c:pt>
                <c:pt idx="173">
                  <c:v>0.6045369717339103</c:v>
                </c:pt>
                <c:pt idx="174">
                  <c:v>0.60530244258012456</c:v>
                </c:pt>
                <c:pt idx="175">
                  <c:v>0.60366539461377611</c:v>
                </c:pt>
                <c:pt idx="176">
                  <c:v>0.6081899275657543</c:v>
                </c:pt>
                <c:pt idx="177">
                  <c:v>0.59752638854035911</c:v>
                </c:pt>
                <c:pt idx="178">
                  <c:v>0.59720726865201745</c:v>
                </c:pt>
                <c:pt idx="179">
                  <c:v>0.60218666843512292</c:v>
                </c:pt>
                <c:pt idx="180">
                  <c:v>0.60378109805572355</c:v>
                </c:pt>
                <c:pt idx="181">
                  <c:v>0.55136311521159709</c:v>
                </c:pt>
                <c:pt idx="182">
                  <c:v>0.59731709387727405</c:v>
                </c:pt>
                <c:pt idx="183">
                  <c:v>0.59337785590210557</c:v>
                </c:pt>
                <c:pt idx="184">
                  <c:v>0.59519532067485115</c:v>
                </c:pt>
                <c:pt idx="185">
                  <c:v>0.59979573775706485</c:v>
                </c:pt>
                <c:pt idx="186">
                  <c:v>0.59632606542931421</c:v>
                </c:pt>
                <c:pt idx="187">
                  <c:v>0.59632606542931421</c:v>
                </c:pt>
                <c:pt idx="188">
                  <c:v>0.60853437965286661</c:v>
                </c:pt>
                <c:pt idx="189">
                  <c:v>0.6100733172659778</c:v>
                </c:pt>
                <c:pt idx="190">
                  <c:v>0.61675408211265437</c:v>
                </c:pt>
                <c:pt idx="191">
                  <c:v>0.6084834633484949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58-4970-A672-BECC2AE26211}"/>
            </c:ext>
          </c:extLst>
        </c:ser>
        <c:ser>
          <c:idx val="1"/>
          <c:order val="1"/>
          <c:tx>
            <c:strRef>
              <c:f>'Tasa - interna'!$D$22</c:f>
              <c:strCache>
                <c:ptCount val="1"/>
                <c:pt idx="0">
                  <c:v>COP IPC</c:v>
                </c:pt>
              </c:strCache>
            </c:strRef>
          </c:tx>
          <c:spPr>
            <a:solidFill>
              <a:srgbClr val="C5A15F"/>
            </a:solidFill>
          </c:spPr>
          <c:cat>
            <c:numRef>
              <c:f>'Tasa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39909</c:v>
                </c:pt>
                <c:pt idx="4">
                  <c:v>39939</c:v>
                </c:pt>
                <c:pt idx="5">
                  <c:v>39970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'Tasa - interna'!$D$114:$D$303</c:f>
              <c:numCache>
                <c:formatCode>0.00%</c:formatCode>
                <c:ptCount val="190"/>
                <c:pt idx="0">
                  <c:v>4.8441337818347668E-2</c:v>
                </c:pt>
                <c:pt idx="1">
                  <c:v>4.7368394594595971E-2</c:v>
                </c:pt>
                <c:pt idx="2">
                  <c:v>4.6263381869585465E-2</c:v>
                </c:pt>
                <c:pt idx="3">
                  <c:v>4.5295957402188843E-2</c:v>
                </c:pt>
                <c:pt idx="4">
                  <c:v>4.5844690612530915E-2</c:v>
                </c:pt>
                <c:pt idx="5">
                  <c:v>4.5267043393957686E-2</c:v>
                </c:pt>
                <c:pt idx="6">
                  <c:v>4.657643581643401E-2</c:v>
                </c:pt>
                <c:pt idx="7">
                  <c:v>4.5325366304042478E-2</c:v>
                </c:pt>
                <c:pt idx="8">
                  <c:v>4.5261107463300983E-2</c:v>
                </c:pt>
                <c:pt idx="9">
                  <c:v>4.4341590504117796E-2</c:v>
                </c:pt>
                <c:pt idx="10">
                  <c:v>4.2768479832891844E-2</c:v>
                </c:pt>
                <c:pt idx="11">
                  <c:v>4.2729709066885946E-2</c:v>
                </c:pt>
                <c:pt idx="12">
                  <c:v>4.1846462093059179E-2</c:v>
                </c:pt>
                <c:pt idx="13">
                  <c:v>4.1507190158821088E-2</c:v>
                </c:pt>
                <c:pt idx="14">
                  <c:v>4.1292797044331142E-2</c:v>
                </c:pt>
                <c:pt idx="15">
                  <c:v>4.1177315610499102E-2</c:v>
                </c:pt>
                <c:pt idx="16">
                  <c:v>4.1196996090558706E-2</c:v>
                </c:pt>
                <c:pt idx="17">
                  <c:v>4.0584037278317157E-2</c:v>
                </c:pt>
                <c:pt idx="18">
                  <c:v>3.9904232910604021E-2</c:v>
                </c:pt>
                <c:pt idx="19">
                  <c:v>3.9067344201924085E-2</c:v>
                </c:pt>
                <c:pt idx="20">
                  <c:v>3.9662440104237008E-2</c:v>
                </c:pt>
                <c:pt idx="21">
                  <c:v>3.9010930240761951E-2</c:v>
                </c:pt>
                <c:pt idx="22">
                  <c:v>3.8722002720914944E-2</c:v>
                </c:pt>
                <c:pt idx="23">
                  <c:v>3.7056727691965108E-2</c:v>
                </c:pt>
                <c:pt idx="24">
                  <c:v>3.8590364661893042E-2</c:v>
                </c:pt>
                <c:pt idx="25">
                  <c:v>3.8024953163670397E-2</c:v>
                </c:pt>
                <c:pt idx="26">
                  <c:v>3.7453252118128208E-2</c:v>
                </c:pt>
                <c:pt idx="27">
                  <c:v>3.6581073080512075E-2</c:v>
                </c:pt>
                <c:pt idx="28">
                  <c:v>3.7872411681739257E-2</c:v>
                </c:pt>
                <c:pt idx="29">
                  <c:v>1.3407371856629787E-2</c:v>
                </c:pt>
                <c:pt idx="30">
                  <c:v>1.3223503415796756E-2</c:v>
                </c:pt>
                <c:pt idx="31">
                  <c:v>1.2958859726460586E-2</c:v>
                </c:pt>
                <c:pt idx="32">
                  <c:v>1.2915579304949161E-2</c:v>
                </c:pt>
                <c:pt idx="33">
                  <c:v>1.2790623534135489E-2</c:v>
                </c:pt>
                <c:pt idx="34">
                  <c:v>1.2721411367017958E-2</c:v>
                </c:pt>
                <c:pt idx="35">
                  <c:v>1.2584145623612856E-2</c:v>
                </c:pt>
                <c:pt idx="36">
                  <c:v>1.2600073743341603E-2</c:v>
                </c:pt>
                <c:pt idx="37">
                  <c:v>1.2363765879566873E-2</c:v>
                </c:pt>
                <c:pt idx="38">
                  <c:v>1.233906660759077E-2</c:v>
                </c:pt>
                <c:pt idx="39">
                  <c:v>1.2365389470608468E-2</c:v>
                </c:pt>
                <c:pt idx="40">
                  <c:v>1.2367721004704223E-2</c:v>
                </c:pt>
                <c:pt idx="41">
                  <c:v>1.2332005890482545E-2</c:v>
                </c:pt>
                <c:pt idx="42">
                  <c:v>1.2176999756387022E-2</c:v>
                </c:pt>
                <c:pt idx="43">
                  <c:v>1.2345663073765686E-2</c:v>
                </c:pt>
                <c:pt idx="44">
                  <c:v>9.3687447263403213E-3</c:v>
                </c:pt>
                <c:pt idx="45">
                  <c:v>9.3917832803441705E-3</c:v>
                </c:pt>
                <c:pt idx="46">
                  <c:v>9.215961993278822E-3</c:v>
                </c:pt>
                <c:pt idx="47">
                  <c:v>9.1071503628451234E-3</c:v>
                </c:pt>
                <c:pt idx="48">
                  <c:v>9.0829386818209196E-3</c:v>
                </c:pt>
                <c:pt idx="49">
                  <c:v>6.8148811867542979E-3</c:v>
                </c:pt>
                <c:pt idx="50">
                  <c:v>2.6488918240886563E-3</c:v>
                </c:pt>
                <c:pt idx="51">
                  <c:v>2.6695480784776297E-3</c:v>
                </c:pt>
                <c:pt idx="52">
                  <c:v>3.1030612238389186E-4</c:v>
                </c:pt>
                <c:pt idx="53">
                  <c:v>3.0341514029052678E-4</c:v>
                </c:pt>
                <c:pt idx="54">
                  <c:v>2.9341065884423278E-4</c:v>
                </c:pt>
                <c:pt idx="55">
                  <c:v>2.7125848242189374E-4</c:v>
                </c:pt>
                <c:pt idx="56">
                  <c:v>2.6053408156967792E-4</c:v>
                </c:pt>
                <c:pt idx="57">
                  <c:v>2.5176190953669669E-4</c:v>
                </c:pt>
                <c:pt idx="58">
                  <c:v>2.3422803964511408E-4</c:v>
                </c:pt>
                <c:pt idx="59">
                  <c:v>2.0985749410167018E-4</c:v>
                </c:pt>
                <c:pt idx="60">
                  <c:v>1.2992677604458061E-4</c:v>
                </c:pt>
                <c:pt idx="61">
                  <c:v>1.249515822297204E-4</c:v>
                </c:pt>
                <c:pt idx="62">
                  <c:v>1.177604465423244E-4</c:v>
                </c:pt>
                <c:pt idx="63">
                  <c:v>1.1211352190188652E-4</c:v>
                </c:pt>
                <c:pt idx="64">
                  <c:v>1.1459678516704741E-4</c:v>
                </c:pt>
                <c:pt idx="65">
                  <c:v>1.0997555428957186E-4</c:v>
                </c:pt>
                <c:pt idx="66">
                  <c:v>1.0645912811969685E-4</c:v>
                </c:pt>
                <c:pt idx="67">
                  <c:v>7.5624205347355961E-5</c:v>
                </c:pt>
                <c:pt idx="68">
                  <c:v>7.3796828889840916E-5</c:v>
                </c:pt>
                <c:pt idx="69">
                  <c:v>6.9912391259070963E-5</c:v>
                </c:pt>
                <c:pt idx="70">
                  <c:v>6.9225931845021422E-5</c:v>
                </c:pt>
                <c:pt idx="71">
                  <c:v>6.7649235928981486E-5</c:v>
                </c:pt>
                <c:pt idx="72">
                  <c:v>6.7079947829775955E-5</c:v>
                </c:pt>
                <c:pt idx="73">
                  <c:v>6.4710234055487931E-5</c:v>
                </c:pt>
                <c:pt idx="74">
                  <c:v>5.8222959016234541E-5</c:v>
                </c:pt>
                <c:pt idx="75">
                  <c:v>5.6257552571946045E-5</c:v>
                </c:pt>
                <c:pt idx="76">
                  <c:v>5.2068960761754439E-5</c:v>
                </c:pt>
                <c:pt idx="77">
                  <c:v>4.1694046464544741E-5</c:v>
                </c:pt>
                <c:pt idx="78">
                  <c:v>4.1296119204047233E-5</c:v>
                </c:pt>
                <c:pt idx="79">
                  <c:v>4.0313611705983323E-5</c:v>
                </c:pt>
                <c:pt idx="80">
                  <c:v>3.8006885862669124E-5</c:v>
                </c:pt>
                <c:pt idx="81">
                  <c:v>3.9261499810484493E-5</c:v>
                </c:pt>
                <c:pt idx="82">
                  <c:v>3.8774885705965959E-5</c:v>
                </c:pt>
                <c:pt idx="83">
                  <c:v>3.6676668317254815E-5</c:v>
                </c:pt>
                <c:pt idx="84">
                  <c:v>3.602161387477456E-5</c:v>
                </c:pt>
                <c:pt idx="85">
                  <c:v>3.4627668708607909E-5</c:v>
                </c:pt>
                <c:pt idx="86">
                  <c:v>3.3312655135502328E-5</c:v>
                </c:pt>
                <c:pt idx="87">
                  <c:v>3.2177585958715875E-5</c:v>
                </c:pt>
                <c:pt idx="88">
                  <c:v>3.0873873285859419E-5</c:v>
                </c:pt>
                <c:pt idx="89">
                  <c:v>3.0391917595554333E-5</c:v>
                </c:pt>
                <c:pt idx="90">
                  <c:v>2.9655732448309151E-5</c:v>
                </c:pt>
                <c:pt idx="91">
                  <c:v>2.8899597318247224E-5</c:v>
                </c:pt>
                <c:pt idx="92">
                  <c:v>2.7661844862154397E-5</c:v>
                </c:pt>
                <c:pt idx="93">
                  <c:v>2.7661844862154397E-5</c:v>
                </c:pt>
                <c:pt idx="94">
                  <c:v>1.313067426849268E-5</c:v>
                </c:pt>
                <c:pt idx="95">
                  <c:v>1.2805370722999137E-5</c:v>
                </c:pt>
                <c:pt idx="96">
                  <c:v>1.3178072089229668E-5</c:v>
                </c:pt>
                <c:pt idx="97">
                  <c:v>1.23883963008667E-5</c:v>
                </c:pt>
                <c:pt idx="98">
                  <c:v>1.1711663857772238E-5</c:v>
                </c:pt>
                <c:pt idx="99">
                  <c:v>1.0952085843679214E-5</c:v>
                </c:pt>
                <c:pt idx="100">
                  <c:v>1.0665853542791222E-5</c:v>
                </c:pt>
                <c:pt idx="101">
                  <c:v>1.0335298204403907E-5</c:v>
                </c:pt>
                <c:pt idx="102">
                  <c:v>9.7841153318415703E-6</c:v>
                </c:pt>
                <c:pt idx="103">
                  <c:v>9.2206380838845951E-6</c:v>
                </c:pt>
                <c:pt idx="104">
                  <c:v>8.8881187018700685E-6</c:v>
                </c:pt>
                <c:pt idx="105">
                  <c:v>8.436805928181596E-6</c:v>
                </c:pt>
                <c:pt idx="106">
                  <c:v>8.1228166082931569E-6</c:v>
                </c:pt>
                <c:pt idx="107">
                  <c:v>7.8020207452516545E-6</c:v>
                </c:pt>
                <c:pt idx="108">
                  <c:v>7.4191747021404855E-6</c:v>
                </c:pt>
                <c:pt idx="109">
                  <c:v>7.0239786655645593E-6</c:v>
                </c:pt>
                <c:pt idx="110">
                  <c:v>6.6958346209538524E-6</c:v>
                </c:pt>
                <c:pt idx="111">
                  <c:v>6.4435435911547085E-6</c:v>
                </c:pt>
                <c:pt idx="112">
                  <c:v>6.0620441475279708E-6</c:v>
                </c:pt>
                <c:pt idx="113">
                  <c:v>4.904837040828414E-6</c:v>
                </c:pt>
                <c:pt idx="114">
                  <c:v>4.6042940800424582E-6</c:v>
                </c:pt>
                <c:pt idx="115">
                  <c:v>4.4158260787244386E-6</c:v>
                </c:pt>
                <c:pt idx="116">
                  <c:v>4.4158260787244386E-6</c:v>
                </c:pt>
                <c:pt idx="117">
                  <c:v>3.8207543635792855E-6</c:v>
                </c:pt>
                <c:pt idx="118">
                  <c:v>0</c:v>
                </c:pt>
                <c:pt idx="119">
                  <c:v>3.6547562341564576E-6</c:v>
                </c:pt>
                <c:pt idx="120">
                  <c:v>3.6547562341564576E-6</c:v>
                </c:pt>
                <c:pt idx="121">
                  <c:v>3.6803647447284322E-6</c:v>
                </c:pt>
                <c:pt idx="122">
                  <c:v>3.410409695576171E-6</c:v>
                </c:pt>
                <c:pt idx="123">
                  <c:v>3.3406827951325179E-6</c:v>
                </c:pt>
                <c:pt idx="124">
                  <c:v>3.2951759394687289E-6</c:v>
                </c:pt>
                <c:pt idx="125">
                  <c:v>3.1641483296366103E-6</c:v>
                </c:pt>
                <c:pt idx="126">
                  <c:v>3.046910727952827E-6</c:v>
                </c:pt>
                <c:pt idx="127">
                  <c:v>2.946195230482922E-6</c:v>
                </c:pt>
                <c:pt idx="128">
                  <c:v>2.9849358099272514E-6</c:v>
                </c:pt>
                <c:pt idx="129">
                  <c:v>2.9331039477274208E-6</c:v>
                </c:pt>
                <c:pt idx="130">
                  <c:v>2.8624824880235798E-6</c:v>
                </c:pt>
                <c:pt idx="131">
                  <c:v>2.9203148249453834E-6</c:v>
                </c:pt>
                <c:pt idx="132">
                  <c:v>2.7247725034592914E-6</c:v>
                </c:pt>
                <c:pt idx="133">
                  <c:v>2.6241480327730194E-6</c:v>
                </c:pt>
                <c:pt idx="134">
                  <c:v>5.2219560229725548E-6</c:v>
                </c:pt>
                <c:pt idx="135">
                  <c:v>2.5182891591275219E-6</c:v>
                </c:pt>
                <c:pt idx="136">
                  <c:v>2.3789918674084226E-6</c:v>
                </c:pt>
                <c:pt idx="137">
                  <c:v>2.2786490981342019E-6</c:v>
                </c:pt>
                <c:pt idx="138">
                  <c:v>2.1043020046021781E-6</c:v>
                </c:pt>
                <c:pt idx="139">
                  <c:v>2.812220743880832E-6</c:v>
                </c:pt>
                <c:pt idx="140">
                  <c:v>2.3410271978622317E-6</c:v>
                </c:pt>
                <c:pt idx="141">
                  <c:v>2.3997045774938825E-6</c:v>
                </c:pt>
                <c:pt idx="142">
                  <c:v>4.714574696713169E-6</c:v>
                </c:pt>
                <c:pt idx="143">
                  <c:v>2.3573362013377025E-6</c:v>
                </c:pt>
                <c:pt idx="144">
                  <c:v>2.3353862042460847E-6</c:v>
                </c:pt>
                <c:pt idx="145">
                  <c:v>2.2023876141545925E-6</c:v>
                </c:pt>
                <c:pt idx="146">
                  <c:v>2.1972552900293424E-6</c:v>
                </c:pt>
                <c:pt idx="147">
                  <c:v>2.0981946382343875E-6</c:v>
                </c:pt>
                <c:pt idx="148">
                  <c:v>2.0618614125312763E-6</c:v>
                </c:pt>
                <c:pt idx="149">
                  <c:v>2.0451497220626782E-6</c:v>
                </c:pt>
                <c:pt idx="150">
                  <c:v>2.00375328695717E-6</c:v>
                </c:pt>
                <c:pt idx="151">
                  <c:v>2.0332713196487806E-6</c:v>
                </c:pt>
                <c:pt idx="152">
                  <c:v>1.9540466022258873E-6</c:v>
                </c:pt>
                <c:pt idx="153">
                  <c:v>1.9532909552506763E-6</c:v>
                </c:pt>
                <c:pt idx="154">
                  <c:v>1.9057723205280168E-6</c:v>
                </c:pt>
                <c:pt idx="155">
                  <c:v>1.9051312904827694E-6</c:v>
                </c:pt>
                <c:pt idx="156">
                  <c:v>1.8530995155167809E-6</c:v>
                </c:pt>
                <c:pt idx="157">
                  <c:v>1.8105917130115982E-6</c:v>
                </c:pt>
                <c:pt idx="158">
                  <c:v>1.7912753138823386E-6</c:v>
                </c:pt>
                <c:pt idx="159">
                  <c:v>1.7306091844833804E-6</c:v>
                </c:pt>
                <c:pt idx="160">
                  <c:v>1.6809074102065632E-6</c:v>
                </c:pt>
                <c:pt idx="161">
                  <c:v>1.6956153375793718E-6</c:v>
                </c:pt>
                <c:pt idx="162">
                  <c:v>1.6508142642866618E-6</c:v>
                </c:pt>
                <c:pt idx="163">
                  <c:v>1.6024662658647567E-6</c:v>
                </c:pt>
                <c:pt idx="164">
                  <c:v>1.579313482703067E-6</c:v>
                </c:pt>
                <c:pt idx="165">
                  <c:v>1.5563567465735794E-6</c:v>
                </c:pt>
                <c:pt idx="166">
                  <c:v>1.5507147361562845E-6</c:v>
                </c:pt>
                <c:pt idx="167">
                  <c:v>1.5133703154690136E-6</c:v>
                </c:pt>
                <c:pt idx="168">
                  <c:v>1.4680034353000756E-6</c:v>
                </c:pt>
                <c:pt idx="169">
                  <c:v>1.4806678318086555E-6</c:v>
                </c:pt>
                <c:pt idx="170">
                  <c:v>1.4457379302714206E-6</c:v>
                </c:pt>
                <c:pt idx="171">
                  <c:v>1.418248125532043E-6</c:v>
                </c:pt>
                <c:pt idx="172">
                  <c:v>1.3996820963156277E-6</c:v>
                </c:pt>
                <c:pt idx="173">
                  <c:v>1.3937941622276173E-6</c:v>
                </c:pt>
                <c:pt idx="174">
                  <c:v>1.381542903999773E-6</c:v>
                </c:pt>
                <c:pt idx="175">
                  <c:v>1.3655864570770285E-6</c:v>
                </c:pt>
                <c:pt idx="176">
                  <c:v>1.3842828811645002E-6</c:v>
                </c:pt>
                <c:pt idx="177">
                  <c:v>1.3519793089235232E-6</c:v>
                </c:pt>
                <c:pt idx="178">
                  <c:v>1.3441446480166158E-6</c:v>
                </c:pt>
                <c:pt idx="179">
                  <c:v>1.3119595902493337E-6</c:v>
                </c:pt>
                <c:pt idx="180">
                  <c:v>1.3077074586063495E-6</c:v>
                </c:pt>
                <c:pt idx="181">
                  <c:v>1.2012323829608917E-6</c:v>
                </c:pt>
                <c:pt idx="182">
                  <c:v>1.2620300005762345E-6</c:v>
                </c:pt>
                <c:pt idx="183">
                  <c:v>1.2797646060598625E-6</c:v>
                </c:pt>
                <c:pt idx="184">
                  <c:v>1.260037580585211E-6</c:v>
                </c:pt>
                <c:pt idx="185">
                  <c:v>1.231828730401244E-6</c:v>
                </c:pt>
                <c:pt idx="186">
                  <c:v>1.2262724772398893E-6</c:v>
                </c:pt>
                <c:pt idx="187">
                  <c:v>1.2262724772398893E-6</c:v>
                </c:pt>
                <c:pt idx="188">
                  <c:v>1.1862536857675798E-6</c:v>
                </c:pt>
                <c:pt idx="189">
                  <c:v>1.1791642674014741E-6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58-4970-A672-BECC2AE26211}"/>
            </c:ext>
          </c:extLst>
        </c:ser>
        <c:ser>
          <c:idx val="2"/>
          <c:order val="2"/>
          <c:tx>
            <c:strRef>
              <c:f>'Tasa - interna'!$C$22</c:f>
              <c:strCache>
                <c:ptCount val="1"/>
                <c:pt idx="0">
                  <c:v>UVR fija</c:v>
                </c:pt>
              </c:strCache>
            </c:strRef>
          </c:tx>
          <c:spPr>
            <a:solidFill>
              <a:srgbClr val="CFB17B"/>
            </a:solidFill>
          </c:spPr>
          <c:cat>
            <c:numRef>
              <c:f>'Tasa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39909</c:v>
                </c:pt>
                <c:pt idx="4">
                  <c:v>39939</c:v>
                </c:pt>
                <c:pt idx="5">
                  <c:v>39970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'Tasa - interna'!$C$114:$C$305</c:f>
              <c:numCache>
                <c:formatCode>0.00%</c:formatCode>
                <c:ptCount val="192"/>
                <c:pt idx="0">
                  <c:v>0.24583518628617937</c:v>
                </c:pt>
                <c:pt idx="1">
                  <c:v>0.24524228745578178</c:v>
                </c:pt>
                <c:pt idx="2">
                  <c:v>0.23801464124335941</c:v>
                </c:pt>
                <c:pt idx="3">
                  <c:v>0.23749137184333985</c:v>
                </c:pt>
                <c:pt idx="4">
                  <c:v>0.24628097748105632</c:v>
                </c:pt>
                <c:pt idx="5">
                  <c:v>0.24576239773612144</c:v>
                </c:pt>
                <c:pt idx="6">
                  <c:v>0.25693513654569877</c:v>
                </c:pt>
                <c:pt idx="7">
                  <c:v>0.25222824141538452</c:v>
                </c:pt>
                <c:pt idx="8">
                  <c:v>0.25492818113304022</c:v>
                </c:pt>
                <c:pt idx="9">
                  <c:v>0.2492126165298495</c:v>
                </c:pt>
                <c:pt idx="10">
                  <c:v>0.23060750621688847</c:v>
                </c:pt>
                <c:pt idx="11">
                  <c:v>0.22560829656859224</c:v>
                </c:pt>
                <c:pt idx="12">
                  <c:v>0.22330277857115069</c:v>
                </c:pt>
                <c:pt idx="13">
                  <c:v>0.22568019605852968</c:v>
                </c:pt>
                <c:pt idx="14">
                  <c:v>0.22768241392390118</c:v>
                </c:pt>
                <c:pt idx="15">
                  <c:v>0.2467426233422611</c:v>
                </c:pt>
                <c:pt idx="16">
                  <c:v>0.25088561945451582</c:v>
                </c:pt>
                <c:pt idx="17">
                  <c:v>0.2511501644925514</c:v>
                </c:pt>
                <c:pt idx="18">
                  <c:v>0.24889587346009714</c:v>
                </c:pt>
                <c:pt idx="19">
                  <c:v>0.24757103142600143</c:v>
                </c:pt>
                <c:pt idx="20">
                  <c:v>0.22541071423857179</c:v>
                </c:pt>
                <c:pt idx="21">
                  <c:v>0.22341051084547572</c:v>
                </c:pt>
                <c:pt idx="22">
                  <c:v>0.22330232681045672</c:v>
                </c:pt>
                <c:pt idx="23">
                  <c:v>0.21420246597997039</c:v>
                </c:pt>
                <c:pt idx="24">
                  <c:v>0.22987537265948182</c:v>
                </c:pt>
                <c:pt idx="25">
                  <c:v>0.23118774352834012</c:v>
                </c:pt>
                <c:pt idx="26">
                  <c:v>0.22971309003857182</c:v>
                </c:pt>
                <c:pt idx="27">
                  <c:v>0.23028037649708843</c:v>
                </c:pt>
                <c:pt idx="28">
                  <c:v>0.24496746201366171</c:v>
                </c:pt>
                <c:pt idx="29">
                  <c:v>0.2500202647123636</c:v>
                </c:pt>
                <c:pt idx="30">
                  <c:v>0.24930691415035461</c:v>
                </c:pt>
                <c:pt idx="31">
                  <c:v>0.25093406591192136</c:v>
                </c:pt>
                <c:pt idx="32">
                  <c:v>0.24648404930810516</c:v>
                </c:pt>
                <c:pt idx="33">
                  <c:v>0.24615875336567364</c:v>
                </c:pt>
                <c:pt idx="34">
                  <c:v>0.24559078106442464</c:v>
                </c:pt>
                <c:pt idx="35">
                  <c:v>0.24196966884003415</c:v>
                </c:pt>
                <c:pt idx="36">
                  <c:v>0.24235001363695444</c:v>
                </c:pt>
                <c:pt idx="37">
                  <c:v>0.24195995984564933</c:v>
                </c:pt>
                <c:pt idx="38">
                  <c:v>0.2452282740073761</c:v>
                </c:pt>
                <c:pt idx="39">
                  <c:v>0.25125996796400035</c:v>
                </c:pt>
                <c:pt idx="40">
                  <c:v>0.24134176389793302</c:v>
                </c:pt>
                <c:pt idx="41">
                  <c:v>0.24355172392197713</c:v>
                </c:pt>
                <c:pt idx="42">
                  <c:v>0.24682118641615433</c:v>
                </c:pt>
                <c:pt idx="43">
                  <c:v>0.25466267857312835</c:v>
                </c:pt>
                <c:pt idx="44">
                  <c:v>0.2567908337779321</c:v>
                </c:pt>
                <c:pt idx="45">
                  <c:v>0.25065409052509002</c:v>
                </c:pt>
                <c:pt idx="46">
                  <c:v>0.25384837009555256</c:v>
                </c:pt>
                <c:pt idx="47">
                  <c:v>0.25052879761577795</c:v>
                </c:pt>
                <c:pt idx="48">
                  <c:v>0.25001243969111597</c:v>
                </c:pt>
                <c:pt idx="49">
                  <c:v>0.24473449917014362</c:v>
                </c:pt>
                <c:pt idx="50">
                  <c:v>0.20977226247586134</c:v>
                </c:pt>
                <c:pt idx="51">
                  <c:v>0.21527767775231796</c:v>
                </c:pt>
                <c:pt idx="52">
                  <c:v>0.2193043287620155</c:v>
                </c:pt>
                <c:pt idx="53">
                  <c:v>0.22245677959528731</c:v>
                </c:pt>
                <c:pt idx="54">
                  <c:v>0.22151187730122715</c:v>
                </c:pt>
                <c:pt idx="55">
                  <c:v>0.21976606436510193</c:v>
                </c:pt>
                <c:pt idx="56">
                  <c:v>0.22031143037256409</c:v>
                </c:pt>
                <c:pt idx="57">
                  <c:v>0.22204968755394999</c:v>
                </c:pt>
                <c:pt idx="58">
                  <c:v>0.22441323652119621</c:v>
                </c:pt>
                <c:pt idx="59">
                  <c:v>0.21616836600490577</c:v>
                </c:pt>
                <c:pt idx="60">
                  <c:v>0.22592328214769894</c:v>
                </c:pt>
                <c:pt idx="61">
                  <c:v>0.22786917750077654</c:v>
                </c:pt>
                <c:pt idx="62">
                  <c:v>0.23505273041024857</c:v>
                </c:pt>
                <c:pt idx="63">
                  <c:v>0.24070402884715042</c:v>
                </c:pt>
                <c:pt idx="64">
                  <c:v>0.25375387926409038</c:v>
                </c:pt>
                <c:pt idx="65">
                  <c:v>0.24716403474449825</c:v>
                </c:pt>
                <c:pt idx="66">
                  <c:v>0.25270746021349827</c:v>
                </c:pt>
                <c:pt idx="67">
                  <c:v>0.25553136650556463</c:v>
                </c:pt>
                <c:pt idx="68">
                  <c:v>0.25707094208437609</c:v>
                </c:pt>
                <c:pt idx="69">
                  <c:v>0.24526065788921356</c:v>
                </c:pt>
                <c:pt idx="70">
                  <c:v>0.24988976641320618</c:v>
                </c:pt>
                <c:pt idx="71">
                  <c:v>0.24832693019479044</c:v>
                </c:pt>
                <c:pt idx="72">
                  <c:v>0.25673675647272265</c:v>
                </c:pt>
                <c:pt idx="73">
                  <c:v>0.22863605997235742</c:v>
                </c:pt>
                <c:pt idx="74">
                  <c:v>0.23281995606168654</c:v>
                </c:pt>
                <c:pt idx="75">
                  <c:v>0.2366163492116462</c:v>
                </c:pt>
                <c:pt idx="76">
                  <c:v>0.2315730594704743</c:v>
                </c:pt>
                <c:pt idx="77">
                  <c:v>0.24034119810476062</c:v>
                </c:pt>
                <c:pt idx="78">
                  <c:v>0.24809003534532784</c:v>
                </c:pt>
                <c:pt idx="79">
                  <c:v>0.25079122361951756</c:v>
                </c:pt>
                <c:pt idx="80">
                  <c:v>0.24908829551377129</c:v>
                </c:pt>
                <c:pt idx="81">
                  <c:v>0.26456546252739782</c:v>
                </c:pt>
                <c:pt idx="82">
                  <c:v>0.27445883884276046</c:v>
                </c:pt>
                <c:pt idx="83">
                  <c:v>0.27214465410576205</c:v>
                </c:pt>
                <c:pt idx="84">
                  <c:v>0.27877073940553393</c:v>
                </c:pt>
                <c:pt idx="85">
                  <c:v>0.28480918697068924</c:v>
                </c:pt>
                <c:pt idx="86">
                  <c:v>0.28929490796168578</c:v>
                </c:pt>
                <c:pt idx="87">
                  <c:v>0.29137208222504402</c:v>
                </c:pt>
                <c:pt idx="88">
                  <c:v>0.27633871465358306</c:v>
                </c:pt>
                <c:pt idx="89">
                  <c:v>0.28364450263249741</c:v>
                </c:pt>
                <c:pt idx="90">
                  <c:v>0.28883928462453162</c:v>
                </c:pt>
                <c:pt idx="91">
                  <c:v>0.28973108255886665</c:v>
                </c:pt>
                <c:pt idx="92">
                  <c:v>0.29184664468979049</c:v>
                </c:pt>
                <c:pt idx="93">
                  <c:v>0.29184664468979049</c:v>
                </c:pt>
                <c:pt idx="94">
                  <c:v>0.28750591141820098</c:v>
                </c:pt>
                <c:pt idx="95">
                  <c:v>0.29015959200692337</c:v>
                </c:pt>
                <c:pt idx="96">
                  <c:v>0.29568944323360563</c:v>
                </c:pt>
                <c:pt idx="97">
                  <c:v>0.29679836900736822</c:v>
                </c:pt>
                <c:pt idx="98">
                  <c:v>0.29785849232825073</c:v>
                </c:pt>
                <c:pt idx="99">
                  <c:v>0.30064077832477404</c:v>
                </c:pt>
                <c:pt idx="100">
                  <c:v>0.27557634452948676</c:v>
                </c:pt>
                <c:pt idx="101">
                  <c:v>0.28292556431545374</c:v>
                </c:pt>
                <c:pt idx="102">
                  <c:v>0.2825721121868619</c:v>
                </c:pt>
                <c:pt idx="103">
                  <c:v>0.2817204258808656</c:v>
                </c:pt>
                <c:pt idx="104">
                  <c:v>0.28384270356562286</c:v>
                </c:pt>
                <c:pt idx="105">
                  <c:v>0.28424606382006629</c:v>
                </c:pt>
                <c:pt idx="106">
                  <c:v>0.2844739715411726</c:v>
                </c:pt>
                <c:pt idx="107">
                  <c:v>0.28198491922351887</c:v>
                </c:pt>
                <c:pt idx="108">
                  <c:v>0.28562508388966412</c:v>
                </c:pt>
                <c:pt idx="109">
                  <c:v>0.28539907085421035</c:v>
                </c:pt>
                <c:pt idx="110">
                  <c:v>0.2893677625024752</c:v>
                </c:pt>
                <c:pt idx="111">
                  <c:v>0.29311171210515563</c:v>
                </c:pt>
                <c:pt idx="112">
                  <c:v>0.29504565117536802</c:v>
                </c:pt>
                <c:pt idx="113">
                  <c:v>0.2981507145556308</c:v>
                </c:pt>
                <c:pt idx="114">
                  <c:v>0.29739177610856937</c:v>
                </c:pt>
                <c:pt idx="115">
                  <c:v>0.29869969866131385</c:v>
                </c:pt>
                <c:pt idx="116">
                  <c:v>0.29866303728112636</c:v>
                </c:pt>
                <c:pt idx="117">
                  <c:v>0.32023122568910573</c:v>
                </c:pt>
                <c:pt idx="118">
                  <c:v>0.3238092359464334</c:v>
                </c:pt>
                <c:pt idx="119">
                  <c:v>0.32304560324598364</c:v>
                </c:pt>
                <c:pt idx="120">
                  <c:v>0.32339625995010601</c:v>
                </c:pt>
                <c:pt idx="121">
                  <c:v>0.3221785238361376</c:v>
                </c:pt>
                <c:pt idx="122">
                  <c:v>0.32483229670979985</c:v>
                </c:pt>
                <c:pt idx="123">
                  <c:v>0.3082054636432317</c:v>
                </c:pt>
                <c:pt idx="124">
                  <c:v>0.30919624432104337</c:v>
                </c:pt>
                <c:pt idx="125">
                  <c:v>0.31000793380779962</c:v>
                </c:pt>
                <c:pt idx="126">
                  <c:v>0.30564262727579888</c:v>
                </c:pt>
                <c:pt idx="127">
                  <c:v>0.30524702448367119</c:v>
                </c:pt>
                <c:pt idx="128">
                  <c:v>0.31480341543421825</c:v>
                </c:pt>
                <c:pt idx="129">
                  <c:v>0.31289202626073559</c:v>
                </c:pt>
                <c:pt idx="130">
                  <c:v>0.31074481743130827</c:v>
                </c:pt>
                <c:pt idx="131">
                  <c:v>0.31956355848895951</c:v>
                </c:pt>
                <c:pt idx="132">
                  <c:v>0.30772792104416624</c:v>
                </c:pt>
                <c:pt idx="133">
                  <c:v>0.30657359096515907</c:v>
                </c:pt>
                <c:pt idx="134">
                  <c:v>0.31049587410284984</c:v>
                </c:pt>
                <c:pt idx="135">
                  <c:v>0.31667917739291529</c:v>
                </c:pt>
                <c:pt idx="136">
                  <c:v>0.30739249555880538</c:v>
                </c:pt>
                <c:pt idx="137">
                  <c:v>0.30313690104433788</c:v>
                </c:pt>
                <c:pt idx="138">
                  <c:v>0.29047911171606389</c:v>
                </c:pt>
                <c:pt idx="139">
                  <c:v>0.2891844675914616</c:v>
                </c:pt>
                <c:pt idx="140">
                  <c:v>0.28694802631121041</c:v>
                </c:pt>
                <c:pt idx="141">
                  <c:v>0.28586431074695084</c:v>
                </c:pt>
                <c:pt idx="142">
                  <c:v>0.28501743669534152</c:v>
                </c:pt>
                <c:pt idx="143">
                  <c:v>0.28520859158005718</c:v>
                </c:pt>
                <c:pt idx="144">
                  <c:v>0.29002654155281188</c:v>
                </c:pt>
                <c:pt idx="145">
                  <c:v>0.28892249321049679</c:v>
                </c:pt>
                <c:pt idx="146">
                  <c:v>0.2787273642542587</c:v>
                </c:pt>
                <c:pt idx="147">
                  <c:v>0.27847365610493924</c:v>
                </c:pt>
                <c:pt idx="148">
                  <c:v>0.27987607821520027</c:v>
                </c:pt>
                <c:pt idx="149">
                  <c:v>0.28373419471132844</c:v>
                </c:pt>
                <c:pt idx="150">
                  <c:v>0.28313645536104787</c:v>
                </c:pt>
                <c:pt idx="151">
                  <c:v>0.28727039914644414</c:v>
                </c:pt>
                <c:pt idx="152">
                  <c:v>0.29101965954840059</c:v>
                </c:pt>
                <c:pt idx="153">
                  <c:v>0.29152872088182646</c:v>
                </c:pt>
                <c:pt idx="154">
                  <c:v>0.29874956015469012</c:v>
                </c:pt>
                <c:pt idx="155">
                  <c:v>0.30322090707344568</c:v>
                </c:pt>
                <c:pt idx="156">
                  <c:v>0.29968591151565382</c:v>
                </c:pt>
                <c:pt idx="157">
                  <c:v>0.30174153875276344</c:v>
                </c:pt>
                <c:pt idx="158">
                  <c:v>0.3063241439296186</c:v>
                </c:pt>
                <c:pt idx="159">
                  <c:v>0.30552989328433</c:v>
                </c:pt>
                <c:pt idx="160">
                  <c:v>0.30266182867443048</c:v>
                </c:pt>
                <c:pt idx="161">
                  <c:v>0.30979075105630666</c:v>
                </c:pt>
                <c:pt idx="162">
                  <c:v>0.30831079442713705</c:v>
                </c:pt>
                <c:pt idx="163">
                  <c:v>0.30856905988188882</c:v>
                </c:pt>
                <c:pt idx="164">
                  <c:v>0.31020080645376868</c:v>
                </c:pt>
                <c:pt idx="165">
                  <c:v>0.31010792707474039</c:v>
                </c:pt>
                <c:pt idx="166">
                  <c:v>0.31177029196207162</c:v>
                </c:pt>
                <c:pt idx="167">
                  <c:v>0.30635811431943294</c:v>
                </c:pt>
                <c:pt idx="168">
                  <c:v>0.3085945834693779</c:v>
                </c:pt>
                <c:pt idx="169">
                  <c:v>0.29168590991591797</c:v>
                </c:pt>
                <c:pt idx="170">
                  <c:v>0.29390817690427995</c:v>
                </c:pt>
                <c:pt idx="171">
                  <c:v>0.29329992084963685</c:v>
                </c:pt>
                <c:pt idx="172">
                  <c:v>0.29481003889228785</c:v>
                </c:pt>
                <c:pt idx="173">
                  <c:v>0.2980265550932647</c:v>
                </c:pt>
                <c:pt idx="174">
                  <c:v>0.29860992393330632</c:v>
                </c:pt>
                <c:pt idx="175">
                  <c:v>0.29955802102681722</c:v>
                </c:pt>
                <c:pt idx="176">
                  <c:v>0.30419619957022687</c:v>
                </c:pt>
                <c:pt idx="177">
                  <c:v>0.3001740003893541</c:v>
                </c:pt>
                <c:pt idx="178">
                  <c:v>0.30024149434151581</c:v>
                </c:pt>
                <c:pt idx="179">
                  <c:v>0.30555278640197953</c:v>
                </c:pt>
                <c:pt idx="180">
                  <c:v>0.30861070098560284</c:v>
                </c:pt>
                <c:pt idx="181">
                  <c:v>0.27976463944307567</c:v>
                </c:pt>
                <c:pt idx="182">
                  <c:v>0.30868042287460556</c:v>
                </c:pt>
                <c:pt idx="183">
                  <c:v>0.30712665512304616</c:v>
                </c:pt>
                <c:pt idx="184">
                  <c:v>0.30759482227813245</c:v>
                </c:pt>
                <c:pt idx="185">
                  <c:v>0.30517067186956243</c:v>
                </c:pt>
                <c:pt idx="186">
                  <c:v>0.30874116043797789</c:v>
                </c:pt>
                <c:pt idx="187">
                  <c:v>0.30874116043797789</c:v>
                </c:pt>
                <c:pt idx="188">
                  <c:v>0.29927148374827645</c:v>
                </c:pt>
                <c:pt idx="189">
                  <c:v>0.29829913832907906</c:v>
                </c:pt>
                <c:pt idx="190">
                  <c:v>0.29026748261912116</c:v>
                </c:pt>
                <c:pt idx="191">
                  <c:v>0.28592201938920703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58-4970-A672-BECC2AE26211}"/>
            </c:ext>
          </c:extLst>
        </c:ser>
        <c:ser>
          <c:idx val="3"/>
          <c:order val="3"/>
          <c:tx>
            <c:strRef>
              <c:f>'Tasa - interna'!$E$22</c:f>
              <c:strCache>
                <c:ptCount val="1"/>
                <c:pt idx="0">
                  <c:v>USD fija</c:v>
                </c:pt>
              </c:strCache>
            </c:strRef>
          </c:tx>
          <c:spPr>
            <a:solidFill>
              <a:srgbClr val="D9C197"/>
            </a:solidFill>
          </c:spPr>
          <c:cat>
            <c:numRef>
              <c:f>'Tasa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39909</c:v>
                </c:pt>
                <c:pt idx="4">
                  <c:v>39939</c:v>
                </c:pt>
                <c:pt idx="5">
                  <c:v>39970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'Tasa - interna'!$E$114:$E$303</c:f>
              <c:numCache>
                <c:formatCode>0.00%</c:formatCode>
                <c:ptCount val="190"/>
                <c:pt idx="0">
                  <c:v>3.1450754665883862E-3</c:v>
                </c:pt>
                <c:pt idx="1">
                  <c:v>3.2607819773260659E-3</c:v>
                </c:pt>
                <c:pt idx="2">
                  <c:v>3.1942532985503843E-3</c:v>
                </c:pt>
                <c:pt idx="3">
                  <c:v>2.7978932977485277E-3</c:v>
                </c:pt>
                <c:pt idx="4">
                  <c:v>2.6481097902776442E-3</c:v>
                </c:pt>
                <c:pt idx="5">
                  <c:v>2.6374325448247746E-3</c:v>
                </c:pt>
                <c:pt idx="6">
                  <c:v>2.5697314740785473E-3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4.4127785175689328E-6</c:v>
                </c:pt>
                <c:pt idx="46">
                  <c:v>0</c:v>
                </c:pt>
                <c:pt idx="47">
                  <c:v>1.7682319393644446E-6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58-4970-A672-BECC2AE26211}"/>
            </c:ext>
          </c:extLst>
        </c:ser>
        <c:ser>
          <c:idx val="4"/>
          <c:order val="4"/>
          <c:tx>
            <c:strRef>
              <c:f>'Tasa - interna'!$F$22</c:f>
              <c:strCache>
                <c:ptCount val="1"/>
                <c:pt idx="0">
                  <c:v>DTF </c:v>
                </c:pt>
              </c:strCache>
            </c:strRef>
          </c:tx>
          <c:spPr>
            <a:solidFill>
              <a:srgbClr val="E3D2B3"/>
            </a:solidFill>
          </c:spPr>
          <c:cat>
            <c:numRef>
              <c:f>'Tasa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39909</c:v>
                </c:pt>
                <c:pt idx="4">
                  <c:v>39939</c:v>
                </c:pt>
                <c:pt idx="5">
                  <c:v>39970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'Tasa - interna'!$F$114:$F$303</c:f>
              <c:numCache>
                <c:formatCode>0.00%</c:formatCode>
                <c:ptCount val="190"/>
                <c:pt idx="0">
                  <c:v>1.5282855228748284E-2</c:v>
                </c:pt>
                <c:pt idx="1">
                  <c:v>1.3793134933219669E-2</c:v>
                </c:pt>
                <c:pt idx="2">
                  <c:v>1.3483652294029503E-2</c:v>
                </c:pt>
                <c:pt idx="3">
                  <c:v>1.3210834601452793E-2</c:v>
                </c:pt>
                <c:pt idx="4">
                  <c:v>1.3374318905253818E-2</c:v>
                </c:pt>
                <c:pt idx="5">
                  <c:v>1.2916376442507623E-2</c:v>
                </c:pt>
                <c:pt idx="6">
                  <c:v>1.2951172420761051E-2</c:v>
                </c:pt>
                <c:pt idx="7">
                  <c:v>8.3978967405313534E-3</c:v>
                </c:pt>
                <c:pt idx="8">
                  <c:v>8.3897421554133701E-3</c:v>
                </c:pt>
                <c:pt idx="9">
                  <c:v>8.2169558924935285E-3</c:v>
                </c:pt>
                <c:pt idx="10">
                  <c:v>7.9319436917451407E-3</c:v>
                </c:pt>
                <c:pt idx="11">
                  <c:v>7.8972915009517582E-3</c:v>
                </c:pt>
                <c:pt idx="12">
                  <c:v>6.6931046556173018E-3</c:v>
                </c:pt>
                <c:pt idx="13">
                  <c:v>6.6476576853151618E-3</c:v>
                </c:pt>
                <c:pt idx="14">
                  <c:v>6.6169074868384472E-3</c:v>
                </c:pt>
                <c:pt idx="15">
                  <c:v>4.2880244889087309E-3</c:v>
                </c:pt>
                <c:pt idx="16">
                  <c:v>3.0823356964063218E-3</c:v>
                </c:pt>
                <c:pt idx="17">
                  <c:v>3.0370548018089937E-3</c:v>
                </c:pt>
                <c:pt idx="18">
                  <c:v>2.986707689910161E-3</c:v>
                </c:pt>
                <c:pt idx="19">
                  <c:v>2.92510080427731E-3</c:v>
                </c:pt>
                <c:pt idx="20">
                  <c:v>1.0225614611023971E-3</c:v>
                </c:pt>
                <c:pt idx="21">
                  <c:v>1.0063721869180255E-3</c:v>
                </c:pt>
                <c:pt idx="22">
                  <c:v>9.9928365395656198E-4</c:v>
                </c:pt>
                <c:pt idx="23">
                  <c:v>9.5663591151703064E-4</c:v>
                </c:pt>
                <c:pt idx="24">
                  <c:v>9.9315637950522307E-4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6.5993106399742546E-6</c:v>
                </c:pt>
                <c:pt idx="45">
                  <c:v>0</c:v>
                </c:pt>
                <c:pt idx="46">
                  <c:v>3.8215687341342838E-6</c:v>
                </c:pt>
                <c:pt idx="47">
                  <c:v>3.8215687341342838E-6</c:v>
                </c:pt>
                <c:pt idx="48">
                  <c:v>1.76464574896402E-6</c:v>
                </c:pt>
                <c:pt idx="49">
                  <c:v>1.7258822323011812E-6</c:v>
                </c:pt>
                <c:pt idx="50">
                  <c:v>1.7027894906489329E-6</c:v>
                </c:pt>
                <c:pt idx="51">
                  <c:v>1.717233208839797E-6</c:v>
                </c:pt>
                <c:pt idx="52">
                  <c:v>1.6739707888405238E-6</c:v>
                </c:pt>
                <c:pt idx="53">
                  <c:v>1.6691212798612686E-6</c:v>
                </c:pt>
                <c:pt idx="54">
                  <c:v>1.6301612250121877E-6</c:v>
                </c:pt>
                <c:pt idx="55">
                  <c:v>1.5945902875834553E-6</c:v>
                </c:pt>
                <c:pt idx="56">
                  <c:v>1.5553207157804613E-6</c:v>
                </c:pt>
                <c:pt idx="57">
                  <c:v>1.5266539308419098E-6</c:v>
                </c:pt>
                <c:pt idx="58">
                  <c:v>1.5445037465323192E-6</c:v>
                </c:pt>
                <c:pt idx="59">
                  <c:v>1.4923245565163975E-6</c:v>
                </c:pt>
                <c:pt idx="60">
                  <c:v>1.5181710844750818E-6</c:v>
                </c:pt>
                <c:pt idx="61">
                  <c:v>1.3718497211284752E-6</c:v>
                </c:pt>
                <c:pt idx="62">
                  <c:v>1.3290927212529946E-6</c:v>
                </c:pt>
                <c:pt idx="63">
                  <c:v>1.3002501806791607E-6</c:v>
                </c:pt>
                <c:pt idx="64">
                  <c:v>1.3461215833911134E-6</c:v>
                </c:pt>
                <c:pt idx="65">
                  <c:v>1.3050864888919485E-6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58-4970-A672-BECC2AE26211}"/>
            </c:ext>
          </c:extLst>
        </c:ser>
        <c:ser>
          <c:idx val="5"/>
          <c:order val="5"/>
          <c:tx>
            <c:strRef>
              <c:f>'Tasa - interna'!$G$22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'Tasa - interna'!$A$114:$A$305</c:f>
              <c:numCache>
                <c:formatCode>mmm\-yy</c:formatCode>
                <c:ptCount val="192"/>
                <c:pt idx="0">
                  <c:v>39814</c:v>
                </c:pt>
                <c:pt idx="1">
                  <c:v>39846</c:v>
                </c:pt>
                <c:pt idx="2">
                  <c:v>39875</c:v>
                </c:pt>
                <c:pt idx="3">
                  <c:v>39909</c:v>
                </c:pt>
                <c:pt idx="4">
                  <c:v>39939</c:v>
                </c:pt>
                <c:pt idx="5">
                  <c:v>39970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'Tasa - interna'!$G$114:$G$305</c:f>
              <c:numCache>
                <c:formatCode>0.00%</c:formatCode>
                <c:ptCount val="192"/>
                <c:pt idx="0">
                  <c:v>1.6449109346510361E-3</c:v>
                </c:pt>
                <c:pt idx="1">
                  <c:v>1.8477413948785957E-3</c:v>
                </c:pt>
                <c:pt idx="2">
                  <c:v>1.8062828079658624E-3</c:v>
                </c:pt>
                <c:pt idx="3">
                  <c:v>1.7697358919623676E-3</c:v>
                </c:pt>
                <c:pt idx="4">
                  <c:v>1.791636403848069E-3</c:v>
                </c:pt>
                <c:pt idx="5">
                  <c:v>1.5371927527071472E-3</c:v>
                </c:pt>
                <c:pt idx="6">
                  <c:v>1.5822458096909878E-3</c:v>
                </c:pt>
                <c:pt idx="7">
                  <c:v>2.1796117714098041E-2</c:v>
                </c:pt>
                <c:pt idx="8">
                  <c:v>6.1349902387711893E-3</c:v>
                </c:pt>
                <c:pt idx="9">
                  <c:v>1.9112428311631166E-2</c:v>
                </c:pt>
                <c:pt idx="10">
                  <c:v>4.8625461357067329E-2</c:v>
                </c:pt>
                <c:pt idx="11">
                  <c:v>5.0072823788805398E-2</c:v>
                </c:pt>
                <c:pt idx="12">
                  <c:v>4.0904213633889928E-2</c:v>
                </c:pt>
                <c:pt idx="13">
                  <c:v>4.8077641050015101E-2</c:v>
                </c:pt>
                <c:pt idx="14">
                  <c:v>3.2337585689534661E-2</c:v>
                </c:pt>
                <c:pt idx="15">
                  <c:v>2.0122532302583093E-2</c:v>
                </c:pt>
                <c:pt idx="16">
                  <c:v>2.6525926914255575E-3</c:v>
                </c:pt>
                <c:pt idx="17">
                  <c:v>4.6062945601346265E-3</c:v>
                </c:pt>
                <c:pt idx="18">
                  <c:v>2.5421817397227671E-3</c:v>
                </c:pt>
                <c:pt idx="19">
                  <c:v>2.7665438239140418E-3</c:v>
                </c:pt>
                <c:pt idx="20">
                  <c:v>2.8693264161271824E-3</c:v>
                </c:pt>
                <c:pt idx="21">
                  <c:v>2.3542557027881944E-3</c:v>
                </c:pt>
                <c:pt idx="22">
                  <c:v>2.2980199845904117E-2</c:v>
                </c:pt>
                <c:pt idx="23">
                  <c:v>5.7133976120128702E-2</c:v>
                </c:pt>
                <c:pt idx="24">
                  <c:v>3.7410808314807327E-3</c:v>
                </c:pt>
                <c:pt idx="25">
                  <c:v>3.3217289579970909E-3</c:v>
                </c:pt>
                <c:pt idx="26">
                  <c:v>3.4289700681152399E-3</c:v>
                </c:pt>
                <c:pt idx="27">
                  <c:v>3.4138495277045845E-3</c:v>
                </c:pt>
                <c:pt idx="28">
                  <c:v>2.9651055259949295E-3</c:v>
                </c:pt>
                <c:pt idx="29">
                  <c:v>3.116786075105636E-3</c:v>
                </c:pt>
                <c:pt idx="30">
                  <c:v>3.1849754404163527E-3</c:v>
                </c:pt>
                <c:pt idx="31">
                  <c:v>3.321500560470651E-3</c:v>
                </c:pt>
                <c:pt idx="32">
                  <c:v>3.5341138233994369E-3</c:v>
                </c:pt>
                <c:pt idx="33">
                  <c:v>3.2172295612985262E-3</c:v>
                </c:pt>
                <c:pt idx="34">
                  <c:v>3.7138825566292613E-3</c:v>
                </c:pt>
                <c:pt idx="35">
                  <c:v>1.575093446278325E-2</c:v>
                </c:pt>
                <c:pt idx="36">
                  <c:v>3.8225233744838363E-3</c:v>
                </c:pt>
                <c:pt idx="37">
                  <c:v>3.8842426062118741E-3</c:v>
                </c:pt>
                <c:pt idx="38">
                  <c:v>3.8913487142575079E-3</c:v>
                </c:pt>
                <c:pt idx="39">
                  <c:v>3.9031512708492312E-3</c:v>
                </c:pt>
                <c:pt idx="40">
                  <c:v>3.9229266154544558E-3</c:v>
                </c:pt>
                <c:pt idx="41">
                  <c:v>3.901828279382864E-3</c:v>
                </c:pt>
                <c:pt idx="42">
                  <c:v>3.8559221208301834E-3</c:v>
                </c:pt>
                <c:pt idx="43">
                  <c:v>3.9357812437114115E-3</c:v>
                </c:pt>
                <c:pt idx="44">
                  <c:v>3.8934516079618202E-3</c:v>
                </c:pt>
                <c:pt idx="45">
                  <c:v>3.9045663584309251E-3</c:v>
                </c:pt>
                <c:pt idx="46">
                  <c:v>3.833553955265303E-3</c:v>
                </c:pt>
                <c:pt idx="47">
                  <c:v>2.5456009100841673E-2</c:v>
                </c:pt>
                <c:pt idx="48">
                  <c:v>3.4741569894000501E-3</c:v>
                </c:pt>
                <c:pt idx="49">
                  <c:v>3.3728019625123935E-3</c:v>
                </c:pt>
                <c:pt idx="50">
                  <c:v>2.997436390369455E-2</c:v>
                </c:pt>
                <c:pt idx="51">
                  <c:v>1.123959671122168E-2</c:v>
                </c:pt>
                <c:pt idx="52">
                  <c:v>3.5386756117295561E-3</c:v>
                </c:pt>
                <c:pt idx="53">
                  <c:v>3.3727737365062183E-3</c:v>
                </c:pt>
                <c:pt idx="54">
                  <c:v>3.3493068516895659E-3</c:v>
                </c:pt>
                <c:pt idx="55">
                  <c:v>3.3287859767597238E-3</c:v>
                </c:pt>
                <c:pt idx="56">
                  <c:v>3.2111504351557216E-3</c:v>
                </c:pt>
                <c:pt idx="57">
                  <c:v>3.0440380107058878E-3</c:v>
                </c:pt>
                <c:pt idx="58">
                  <c:v>8.3028895303750329E-3</c:v>
                </c:pt>
                <c:pt idx="59">
                  <c:v>3.6932693048796088E-2</c:v>
                </c:pt>
                <c:pt idx="60">
                  <c:v>3.6072935124996206E-3</c:v>
                </c:pt>
                <c:pt idx="61">
                  <c:v>8.9672490104431724E-3</c:v>
                </c:pt>
                <c:pt idx="62">
                  <c:v>1.0573944157080718E-2</c:v>
                </c:pt>
                <c:pt idx="63">
                  <c:v>3.1417691126788649E-3</c:v>
                </c:pt>
                <c:pt idx="64">
                  <c:v>3.3258964848607402E-3</c:v>
                </c:pt>
                <c:pt idx="65">
                  <c:v>1.8650869046395357E-2</c:v>
                </c:pt>
                <c:pt idx="66">
                  <c:v>1.5569368026181482E-2</c:v>
                </c:pt>
                <c:pt idx="67">
                  <c:v>1.1173396787470877E-2</c:v>
                </c:pt>
                <c:pt idx="68">
                  <c:v>3.0726258434298433E-2</c:v>
                </c:pt>
                <c:pt idx="69">
                  <c:v>4.3550435359506881E-2</c:v>
                </c:pt>
                <c:pt idx="70">
                  <c:v>2.4967051389907766E-2</c:v>
                </c:pt>
                <c:pt idx="71">
                  <c:v>3.0738046744111895E-2</c:v>
                </c:pt>
                <c:pt idx="72">
                  <c:v>2.0052729430623168E-3</c:v>
                </c:pt>
                <c:pt idx="73">
                  <c:v>2.8349599555520084E-2</c:v>
                </c:pt>
                <c:pt idx="74">
                  <c:v>1.8711773461666314E-2</c:v>
                </c:pt>
                <c:pt idx="75">
                  <c:v>3.2373995359154615E-3</c:v>
                </c:pt>
                <c:pt idx="76">
                  <c:v>2.9872055502197698E-2</c:v>
                </c:pt>
                <c:pt idx="77">
                  <c:v>2.0092853534259885E-3</c:v>
                </c:pt>
                <c:pt idx="78">
                  <c:v>2.0880995988207906E-3</c:v>
                </c:pt>
                <c:pt idx="79">
                  <c:v>3.43082941214595E-3</c:v>
                </c:pt>
                <c:pt idx="80">
                  <c:v>3.5071076032192089E-2</c:v>
                </c:pt>
                <c:pt idx="81">
                  <c:v>3.6843441767823865E-2</c:v>
                </c:pt>
                <c:pt idx="82">
                  <c:v>3.8083450237172842E-2</c:v>
                </c:pt>
                <c:pt idx="83">
                  <c:v>5.7006426651944178E-2</c:v>
                </c:pt>
                <c:pt idx="84">
                  <c:v>4.3791797780459413E-2</c:v>
                </c:pt>
                <c:pt idx="85">
                  <c:v>4.6727792348652375E-2</c:v>
                </c:pt>
                <c:pt idx="86">
                  <c:v>3.9886849097616278E-2</c:v>
                </c:pt>
                <c:pt idx="87">
                  <c:v>3.6703339971633414E-2</c:v>
                </c:pt>
                <c:pt idx="88">
                  <c:v>4.2015385370422001E-2</c:v>
                </c:pt>
                <c:pt idx="89">
                  <c:v>5.8214413737840531E-2</c:v>
                </c:pt>
                <c:pt idx="90">
                  <c:v>5.6903435853326238E-2</c:v>
                </c:pt>
                <c:pt idx="91">
                  <c:v>5.0959560490386802E-2</c:v>
                </c:pt>
                <c:pt idx="92">
                  <c:v>5.0413308040101114E-2</c:v>
                </c:pt>
                <c:pt idx="93">
                  <c:v>5.0413308040101114E-2</c:v>
                </c:pt>
                <c:pt idx="94">
                  <c:v>5.3330197407887248E-2</c:v>
                </c:pt>
                <c:pt idx="95">
                  <c:v>5.2246201798334023E-2</c:v>
                </c:pt>
                <c:pt idx="96">
                  <c:v>3.6725121274290173E-2</c:v>
                </c:pt>
                <c:pt idx="97">
                  <c:v>3.4696661083236102E-2</c:v>
                </c:pt>
                <c:pt idx="98">
                  <c:v>4.2459013165165316E-2</c:v>
                </c:pt>
                <c:pt idx="99">
                  <c:v>3.0291996642836189E-2</c:v>
                </c:pt>
                <c:pt idx="100">
                  <c:v>3.0614672797093661E-2</c:v>
                </c:pt>
                <c:pt idx="101">
                  <c:v>3.0910844199943614E-2</c:v>
                </c:pt>
                <c:pt idx="102">
                  <c:v>3.5384581184157153E-2</c:v>
                </c:pt>
                <c:pt idx="103">
                  <c:v>3.4747519783898423E-2</c:v>
                </c:pt>
                <c:pt idx="104">
                  <c:v>3.4518150144051823E-2</c:v>
                </c:pt>
                <c:pt idx="105">
                  <c:v>3.434391049717022E-2</c:v>
                </c:pt>
                <c:pt idx="106">
                  <c:v>3.3934890849951688E-2</c:v>
                </c:pt>
                <c:pt idx="107">
                  <c:v>5.3113168934557191E-2</c:v>
                </c:pt>
                <c:pt idx="108">
                  <c:v>4.8058522289053843E-2</c:v>
                </c:pt>
                <c:pt idx="109">
                  <c:v>4.8463755205545057E-2</c:v>
                </c:pt>
                <c:pt idx="110">
                  <c:v>4.6822276029784171E-2</c:v>
                </c:pt>
                <c:pt idx="111">
                  <c:v>4.9874417979538947E-2</c:v>
                </c:pt>
                <c:pt idx="112">
                  <c:v>4.7298124088528376E-2</c:v>
                </c:pt>
                <c:pt idx="113">
                  <c:v>4.6830397919688543E-2</c:v>
                </c:pt>
                <c:pt idx="114">
                  <c:v>4.7659747302135486E-2</c:v>
                </c:pt>
                <c:pt idx="115">
                  <c:v>4.544454477187581E-2</c:v>
                </c:pt>
                <c:pt idx="116">
                  <c:v>4.4959814221702074E-2</c:v>
                </c:pt>
                <c:pt idx="117">
                  <c:v>4.2252136501751171E-2</c:v>
                </c:pt>
                <c:pt idx="118">
                  <c:v>4.2578353375997927E-2</c:v>
                </c:pt>
                <c:pt idx="119">
                  <c:v>5.3319998371382418E-2</c:v>
                </c:pt>
                <c:pt idx="120">
                  <c:v>4.9905868958866284E-2</c:v>
                </c:pt>
                <c:pt idx="121">
                  <c:v>4.896400361791696E-2</c:v>
                </c:pt>
                <c:pt idx="122">
                  <c:v>4.8451450281279486E-2</c:v>
                </c:pt>
                <c:pt idx="123">
                  <c:v>4.8389195795711555E-2</c:v>
                </c:pt>
                <c:pt idx="124">
                  <c:v>4.8369377357821201E-2</c:v>
                </c:pt>
                <c:pt idx="125">
                  <c:v>4.9700726809847821E-2</c:v>
                </c:pt>
                <c:pt idx="126">
                  <c:v>5.8458947515639965E-2</c:v>
                </c:pt>
                <c:pt idx="127">
                  <c:v>5.8019459569207142E-2</c:v>
                </c:pt>
                <c:pt idx="128">
                  <c:v>6.1871555719072047E-2</c:v>
                </c:pt>
                <c:pt idx="129">
                  <c:v>6.1741068100623589E-2</c:v>
                </c:pt>
                <c:pt idx="130">
                  <c:v>6.1182410936778876E-2</c:v>
                </c:pt>
                <c:pt idx="131">
                  <c:v>5.7080835343168143E-2</c:v>
                </c:pt>
                <c:pt idx="132">
                  <c:v>8.5665289738479852E-2</c:v>
                </c:pt>
                <c:pt idx="133">
                  <c:v>8.1517650855062199E-2</c:v>
                </c:pt>
                <c:pt idx="134">
                  <c:v>8.4481882866862576E-2</c:v>
                </c:pt>
                <c:pt idx="135">
                  <c:v>6.9625186835514663E-2</c:v>
                </c:pt>
                <c:pt idx="136">
                  <c:v>7.7790515042143307E-2</c:v>
                </c:pt>
                <c:pt idx="137">
                  <c:v>7.4129216167021783E-2</c:v>
                </c:pt>
                <c:pt idx="138">
                  <c:v>7.6540879146623206E-2</c:v>
                </c:pt>
                <c:pt idx="139">
                  <c:v>7.7368531073397237E-2</c:v>
                </c:pt>
                <c:pt idx="140">
                  <c:v>7.7393301993713387E-2</c:v>
                </c:pt>
                <c:pt idx="141">
                  <c:v>7.7294413152441177E-2</c:v>
                </c:pt>
                <c:pt idx="142">
                  <c:v>7.5872718875432205E-2</c:v>
                </c:pt>
                <c:pt idx="143">
                  <c:v>7.5342781003825549E-2</c:v>
                </c:pt>
                <c:pt idx="144">
                  <c:v>5.8557699070408378E-2</c:v>
                </c:pt>
                <c:pt idx="145">
                  <c:v>6.2671252202486927E-2</c:v>
                </c:pt>
                <c:pt idx="146">
                  <c:v>7.1260277325125715E-2</c:v>
                </c:pt>
                <c:pt idx="147">
                  <c:v>7.1870844384783139E-2</c:v>
                </c:pt>
                <c:pt idx="148">
                  <c:v>7.0785537828464293E-2</c:v>
                </c:pt>
                <c:pt idx="149">
                  <c:v>6.8515846171617392E-2</c:v>
                </c:pt>
                <c:pt idx="150">
                  <c:v>7.0300806941361579E-2</c:v>
                </c:pt>
                <c:pt idx="151">
                  <c:v>5.6642107711886956E-2</c:v>
                </c:pt>
                <c:pt idx="152">
                  <c:v>5.3906654610395052E-2</c:v>
                </c:pt>
                <c:pt idx="153">
                  <c:v>5.9281375480345309E-2</c:v>
                </c:pt>
                <c:pt idx="154">
                  <c:v>5.7235387089394525E-2</c:v>
                </c:pt>
                <c:pt idx="155">
                  <c:v>5.6241206688797521E-2</c:v>
                </c:pt>
                <c:pt idx="156">
                  <c:v>6.4052759482320601E-2</c:v>
                </c:pt>
                <c:pt idx="157">
                  <c:v>6.2860127876742791E-2</c:v>
                </c:pt>
                <c:pt idx="158">
                  <c:v>6.3365431219817928E-2</c:v>
                </c:pt>
                <c:pt idx="159">
                  <c:v>6.4350547148170331E-2</c:v>
                </c:pt>
                <c:pt idx="160">
                  <c:v>8.3603134498412876E-2</c:v>
                </c:pt>
                <c:pt idx="161">
                  <c:v>6.4467075226715978E-2</c:v>
                </c:pt>
                <c:pt idx="162">
                  <c:v>6.7854021035314072E-2</c:v>
                </c:pt>
                <c:pt idx="163">
                  <c:v>6.5533687033027727E-2</c:v>
                </c:pt>
                <c:pt idx="164">
                  <c:v>6.7233365259115954E-2</c:v>
                </c:pt>
                <c:pt idx="165">
                  <c:v>7.1222654411721639E-2</c:v>
                </c:pt>
                <c:pt idx="166">
                  <c:v>7.0966010828061907E-2</c:v>
                </c:pt>
                <c:pt idx="167">
                  <c:v>9.2484747835756276E-2</c:v>
                </c:pt>
                <c:pt idx="168">
                  <c:v>8.9150273617615405E-2</c:v>
                </c:pt>
                <c:pt idx="169">
                  <c:v>9.0905141428094527E-2</c:v>
                </c:pt>
                <c:pt idx="170">
                  <c:v>9.7857828152852308E-2</c:v>
                </c:pt>
                <c:pt idx="171">
                  <c:v>0.10261859560880415</c:v>
                </c:pt>
                <c:pt idx="172">
                  <c:v>0.10037617361502355</c:v>
                </c:pt>
                <c:pt idx="173">
                  <c:v>9.7435079378662789E-2</c:v>
                </c:pt>
                <c:pt idx="174">
                  <c:v>9.6086251943665033E-2</c:v>
                </c:pt>
                <c:pt idx="175">
                  <c:v>9.6775218772949714E-2</c:v>
                </c:pt>
                <c:pt idx="176">
                  <c:v>8.7612488581137668E-2</c:v>
                </c:pt>
                <c:pt idx="177">
                  <c:v>0.10229825909097795</c:v>
                </c:pt>
                <c:pt idx="178">
                  <c:v>0.10254989286181872</c:v>
                </c:pt>
                <c:pt idx="179">
                  <c:v>9.225923320330745E-2</c:v>
                </c:pt>
                <c:pt idx="180">
                  <c:v>8.7606893251215109E-2</c:v>
                </c:pt>
                <c:pt idx="181">
                  <c:v>0.16887104411294432</c:v>
                </c:pt>
                <c:pt idx="182">
                  <c:v>9.4001221218119865E-2</c:v>
                </c:pt>
                <c:pt idx="183">
                  <c:v>9.9494209210242185E-2</c:v>
                </c:pt>
                <c:pt idx="184">
                  <c:v>9.7208597009435807E-2</c:v>
                </c:pt>
                <c:pt idx="185">
                  <c:v>9.5032358544642273E-2</c:v>
                </c:pt>
                <c:pt idx="186">
                  <c:v>9.4931547860230531E-2</c:v>
                </c:pt>
                <c:pt idx="187">
                  <c:v>9.4931547860230531E-2</c:v>
                </c:pt>
                <c:pt idx="188">
                  <c:v>9.2192950345171235E-2</c:v>
                </c:pt>
                <c:pt idx="189">
                  <c:v>9.1626365240675897E-2</c:v>
                </c:pt>
                <c:pt idx="190">
                  <c:v>9.2977272689070481E-2</c:v>
                </c:pt>
                <c:pt idx="191">
                  <c:v>0.10559341805445771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58-4970-A672-BECC2AE26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372480"/>
        <c:axId val="1"/>
      </c:areaChart>
      <c:dateAx>
        <c:axId val="713372480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2"/>
        <c:majorTimeUnit val="years"/>
      </c:dateAx>
      <c:valAx>
        <c:axId val="1"/>
        <c:scaling>
          <c:orientation val="minMax"/>
          <c:min val="0.4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133724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5754365018098233"/>
          <c:y val="0.16406813690121405"/>
          <c:w val="9.9349561696944755E-2"/>
          <c:h val="0.58205142683857747"/>
        </c:manualLayout>
      </c:layout>
      <c:overlay val="0"/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'Tasa - externa'!$B$20</c:f>
          <c:strCache>
            <c:ptCount val="1"/>
            <c:pt idx="0">
              <c:v>Composición por tipo de interés - deuda externa  </c:v>
            </c:pt>
          </c:strCache>
        </c:strRef>
      </c:tx>
      <c:layout>
        <c:manualLayout>
          <c:xMode val="edge"/>
          <c:yMode val="edge"/>
          <c:x val="0.12837355795641825"/>
          <c:y val="0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2584068017138883"/>
          <c:y val="0.16679946879150068"/>
          <c:w val="0.71257000994533803"/>
          <c:h val="0.73237715803452852"/>
        </c:manualLayout>
      </c:layout>
      <c:areaChart>
        <c:grouping val="percentStacked"/>
        <c:varyColors val="0"/>
        <c:ser>
          <c:idx val="0"/>
          <c:order val="0"/>
          <c:tx>
            <c:strRef>
              <c:f>'Tasa - externa'!$B$22</c:f>
              <c:strCache>
                <c:ptCount val="1"/>
                <c:pt idx="0">
                  <c:v>Tasa fija</c:v>
                </c:pt>
              </c:strCache>
            </c:strRef>
          </c:tx>
          <c:spPr>
            <a:solidFill>
              <a:srgbClr val="B48C41"/>
            </a:solidFill>
          </c:spPr>
          <c:cat>
            <c:numRef>
              <c:f>'Tasa - externa'!$A$83:$A$303</c:f>
              <c:numCache>
                <c:formatCode>mmm\-yy</c:formatCode>
                <c:ptCount val="221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'Tasa - externa'!$B$83:$B$303</c:f>
              <c:numCache>
                <c:formatCode>0%</c:formatCode>
                <c:ptCount val="221"/>
                <c:pt idx="0">
                  <c:v>0.83079153671558303</c:v>
                </c:pt>
                <c:pt idx="1">
                  <c:v>0.81961321914802721</c:v>
                </c:pt>
                <c:pt idx="2">
                  <c:v>0.86674829541759724</c:v>
                </c:pt>
                <c:pt idx="3">
                  <c:v>0.88564392226191635</c:v>
                </c:pt>
                <c:pt idx="4">
                  <c:v>0.86127608433365177</c:v>
                </c:pt>
                <c:pt idx="5">
                  <c:v>0.86085759709971443</c:v>
                </c:pt>
                <c:pt idx="6">
                  <c:v>0.85849766554150775</c:v>
                </c:pt>
                <c:pt idx="7">
                  <c:v>0.85132242561239635</c:v>
                </c:pt>
                <c:pt idx="8">
                  <c:v>0.85189813224984978</c:v>
                </c:pt>
                <c:pt idx="9">
                  <c:v>0.84554368685884329</c:v>
                </c:pt>
                <c:pt idx="10">
                  <c:v>0.83912792637635603</c:v>
                </c:pt>
                <c:pt idx="11">
                  <c:v>0.82421232293386626</c:v>
                </c:pt>
                <c:pt idx="12">
                  <c:v>0.82540544965364271</c:v>
                </c:pt>
                <c:pt idx="13">
                  <c:v>0.79854694081495525</c:v>
                </c:pt>
                <c:pt idx="14">
                  <c:v>0.84129927034749996</c:v>
                </c:pt>
                <c:pt idx="15">
                  <c:v>0.82802676640257777</c:v>
                </c:pt>
                <c:pt idx="16">
                  <c:v>0.82620179704317154</c:v>
                </c:pt>
                <c:pt idx="17">
                  <c:v>0.82541286501079236</c:v>
                </c:pt>
                <c:pt idx="18">
                  <c:v>0.82425929138010334</c:v>
                </c:pt>
                <c:pt idx="19">
                  <c:v>0.82695853863061319</c:v>
                </c:pt>
                <c:pt idx="20">
                  <c:v>0.82445185923139408</c:v>
                </c:pt>
                <c:pt idx="21">
                  <c:v>0.81742001721337176</c:v>
                </c:pt>
                <c:pt idx="22">
                  <c:v>0.80863921097417091</c:v>
                </c:pt>
                <c:pt idx="23">
                  <c:v>0.802048034984848</c:v>
                </c:pt>
                <c:pt idx="24">
                  <c:v>0.80208605489976048</c:v>
                </c:pt>
                <c:pt idx="25">
                  <c:v>0.80202121331975162</c:v>
                </c:pt>
                <c:pt idx="26">
                  <c:v>0.80224449855271429</c:v>
                </c:pt>
                <c:pt idx="27">
                  <c:v>0.80312450757504672</c:v>
                </c:pt>
                <c:pt idx="28">
                  <c:v>0.79890169381489873</c:v>
                </c:pt>
                <c:pt idx="29">
                  <c:v>0.80006198278210194</c:v>
                </c:pt>
                <c:pt idx="30">
                  <c:v>0.81288982229166984</c:v>
                </c:pt>
                <c:pt idx="31">
                  <c:v>0.81289116493666813</c:v>
                </c:pt>
                <c:pt idx="32">
                  <c:v>0.81125134542631294</c:v>
                </c:pt>
                <c:pt idx="33">
                  <c:v>0.80886422119420454</c:v>
                </c:pt>
                <c:pt idx="34">
                  <c:v>0.79814152191293952</c:v>
                </c:pt>
                <c:pt idx="35">
                  <c:v>0.78808900774637669</c:v>
                </c:pt>
                <c:pt idx="36">
                  <c:v>0.79733316044900782</c:v>
                </c:pt>
                <c:pt idx="37">
                  <c:v>0.79778801812166977</c:v>
                </c:pt>
                <c:pt idx="38">
                  <c:v>0.79732331544860491</c:v>
                </c:pt>
                <c:pt idx="39">
                  <c:v>0.79787023255499367</c:v>
                </c:pt>
                <c:pt idx="40">
                  <c:v>0.7957889726876326</c:v>
                </c:pt>
                <c:pt idx="41">
                  <c:v>0.79641286649820731</c:v>
                </c:pt>
                <c:pt idx="42">
                  <c:v>0.79641286649820731</c:v>
                </c:pt>
                <c:pt idx="43">
                  <c:v>0.79673593300315393</c:v>
                </c:pt>
                <c:pt idx="44">
                  <c:v>0.80052275801232031</c:v>
                </c:pt>
                <c:pt idx="45">
                  <c:v>0.79984646102236134</c:v>
                </c:pt>
                <c:pt idx="46">
                  <c:v>0.79872962647124623</c:v>
                </c:pt>
                <c:pt idx="47">
                  <c:v>0.78338514125287406</c:v>
                </c:pt>
                <c:pt idx="48">
                  <c:v>0.78338514125287395</c:v>
                </c:pt>
                <c:pt idx="49">
                  <c:v>0.78617146518494563</c:v>
                </c:pt>
                <c:pt idx="50">
                  <c:v>0.79237119374374976</c:v>
                </c:pt>
                <c:pt idx="51">
                  <c:v>0.78652028610722169</c:v>
                </c:pt>
                <c:pt idx="52">
                  <c:v>0.78423135795849408</c:v>
                </c:pt>
                <c:pt idx="53">
                  <c:v>0.78375828877323073</c:v>
                </c:pt>
                <c:pt idx="54">
                  <c:v>0.78514935175600342</c:v>
                </c:pt>
                <c:pt idx="55">
                  <c:v>0.77864257568294049</c:v>
                </c:pt>
                <c:pt idx="56">
                  <c:v>0.77619323020837139</c:v>
                </c:pt>
                <c:pt idx="57">
                  <c:v>0.77626901760327605</c:v>
                </c:pt>
                <c:pt idx="58">
                  <c:v>0.77450962904855203</c:v>
                </c:pt>
                <c:pt idx="59">
                  <c:v>0.7648711503806217</c:v>
                </c:pt>
                <c:pt idx="60">
                  <c:v>0.77489378769003081</c:v>
                </c:pt>
                <c:pt idx="61">
                  <c:v>0.77492805935173137</c:v>
                </c:pt>
                <c:pt idx="62">
                  <c:v>0.77574680761788861</c:v>
                </c:pt>
                <c:pt idx="63">
                  <c:v>0.77910785756548606</c:v>
                </c:pt>
                <c:pt idx="64">
                  <c:v>0.77689447709058079</c:v>
                </c:pt>
                <c:pt idx="65">
                  <c:v>0.77739237866488531</c:v>
                </c:pt>
                <c:pt idx="66">
                  <c:v>0.77774238368185322</c:v>
                </c:pt>
                <c:pt idx="67">
                  <c:v>0.78622140500292892</c:v>
                </c:pt>
                <c:pt idx="68">
                  <c:v>0.79114888456352661</c:v>
                </c:pt>
                <c:pt idx="69">
                  <c:v>0.7850237563467386</c:v>
                </c:pt>
                <c:pt idx="70">
                  <c:v>0.78197523544794734</c:v>
                </c:pt>
                <c:pt idx="71">
                  <c:v>0.7387744527562885</c:v>
                </c:pt>
                <c:pt idx="72">
                  <c:v>0.75154541815695919</c:v>
                </c:pt>
                <c:pt idx="73">
                  <c:v>0.74636024739398488</c:v>
                </c:pt>
                <c:pt idx="74">
                  <c:v>0.75419163542229839</c:v>
                </c:pt>
                <c:pt idx="75">
                  <c:v>0.75586960777104373</c:v>
                </c:pt>
                <c:pt idx="76">
                  <c:v>0.75118460105551366</c:v>
                </c:pt>
                <c:pt idx="77">
                  <c:v>0.75292388387155884</c:v>
                </c:pt>
                <c:pt idx="78">
                  <c:v>0.74891597007337396</c:v>
                </c:pt>
                <c:pt idx="79">
                  <c:v>0.74782002223370792</c:v>
                </c:pt>
                <c:pt idx="80">
                  <c:v>0.75789340030835639</c:v>
                </c:pt>
                <c:pt idx="81">
                  <c:v>0.74075045617170066</c:v>
                </c:pt>
                <c:pt idx="82">
                  <c:v>0.740531021947336</c:v>
                </c:pt>
                <c:pt idx="83">
                  <c:v>0.71645458421617958</c:v>
                </c:pt>
                <c:pt idx="84">
                  <c:v>0.71190223467094105</c:v>
                </c:pt>
                <c:pt idx="85">
                  <c:v>0.7116630416105072</c:v>
                </c:pt>
                <c:pt idx="86">
                  <c:v>0.72300005095399578</c:v>
                </c:pt>
                <c:pt idx="87">
                  <c:v>0.72451037494479897</c:v>
                </c:pt>
                <c:pt idx="88">
                  <c:v>0.71079381737177505</c:v>
                </c:pt>
                <c:pt idx="89">
                  <c:v>0.71156300618593515</c:v>
                </c:pt>
                <c:pt idx="90">
                  <c:v>0.71069908431586282</c:v>
                </c:pt>
                <c:pt idx="91">
                  <c:v>0.71148405617331745</c:v>
                </c:pt>
                <c:pt idx="92">
                  <c:v>0.71175140329556952</c:v>
                </c:pt>
                <c:pt idx="93">
                  <c:v>0.71150996804481581</c:v>
                </c:pt>
                <c:pt idx="94">
                  <c:v>0.70039309267764571</c:v>
                </c:pt>
                <c:pt idx="95">
                  <c:v>0.68387692454820537</c:v>
                </c:pt>
                <c:pt idx="96">
                  <c:v>0.68600221039800724</c:v>
                </c:pt>
                <c:pt idx="97">
                  <c:v>0.68743599722698878</c:v>
                </c:pt>
                <c:pt idx="98">
                  <c:v>0.68755131207783315</c:v>
                </c:pt>
                <c:pt idx="99">
                  <c:v>0.68625331786068566</c:v>
                </c:pt>
                <c:pt idx="100">
                  <c:v>0.68542494512714336</c:v>
                </c:pt>
                <c:pt idx="101">
                  <c:v>0.6844021971739771</c:v>
                </c:pt>
                <c:pt idx="102">
                  <c:v>0.68498787517224702</c:v>
                </c:pt>
                <c:pt idx="103">
                  <c:v>0.68750573671846626</c:v>
                </c:pt>
                <c:pt idx="104">
                  <c:v>0.68694652023543445</c:v>
                </c:pt>
                <c:pt idx="105">
                  <c:v>0.68663021691099457</c:v>
                </c:pt>
                <c:pt idx="106">
                  <c:v>0.68543011599025316</c:v>
                </c:pt>
                <c:pt idx="107">
                  <c:v>0.68107789512893424</c:v>
                </c:pt>
                <c:pt idx="108">
                  <c:v>0.64653999510519544</c:v>
                </c:pt>
                <c:pt idx="109">
                  <c:v>0.64752390470280263</c:v>
                </c:pt>
                <c:pt idx="110">
                  <c:v>0.63879139597627421</c:v>
                </c:pt>
                <c:pt idx="111">
                  <c:v>0.64158409643082204</c:v>
                </c:pt>
                <c:pt idx="112">
                  <c:v>0.64239026812502353</c:v>
                </c:pt>
                <c:pt idx="113">
                  <c:v>0.64248125628616914</c:v>
                </c:pt>
                <c:pt idx="114">
                  <c:v>0.64299015547671445</c:v>
                </c:pt>
                <c:pt idx="115">
                  <c:v>0.6429836168376265</c:v>
                </c:pt>
                <c:pt idx="116">
                  <c:v>0.64517744240915353</c:v>
                </c:pt>
                <c:pt idx="117">
                  <c:v>0.64978678966685588</c:v>
                </c:pt>
                <c:pt idx="118">
                  <c:v>0.64707961539050873</c:v>
                </c:pt>
                <c:pt idx="119">
                  <c:v>0.63745865483965125</c:v>
                </c:pt>
                <c:pt idx="120">
                  <c:v>0.65163471093614711</c:v>
                </c:pt>
                <c:pt idx="121">
                  <c:v>0.65252047794221402</c:v>
                </c:pt>
                <c:pt idx="122">
                  <c:v>0.66942513681486282</c:v>
                </c:pt>
                <c:pt idx="123">
                  <c:v>0.66955323479243689</c:v>
                </c:pt>
                <c:pt idx="124">
                  <c:v>0.66884739746296806</c:v>
                </c:pt>
                <c:pt idx="125">
                  <c:v>0.66892686249195243</c:v>
                </c:pt>
                <c:pt idx="126">
                  <c:v>0.75989090689426675</c:v>
                </c:pt>
                <c:pt idx="127">
                  <c:v>0.76063019111768548</c:v>
                </c:pt>
                <c:pt idx="128">
                  <c:v>0.81680338698230159</c:v>
                </c:pt>
                <c:pt idx="129">
                  <c:v>0.81739596587566399</c:v>
                </c:pt>
                <c:pt idx="130">
                  <c:v>0.80414990081950277</c:v>
                </c:pt>
                <c:pt idx="131">
                  <c:v>0.79523384092970284</c:v>
                </c:pt>
                <c:pt idx="132">
                  <c:v>0.80186048564826196</c:v>
                </c:pt>
                <c:pt idx="133">
                  <c:v>0.90572068144690943</c:v>
                </c:pt>
                <c:pt idx="134">
                  <c:v>0.96429799012517181</c:v>
                </c:pt>
                <c:pt idx="135">
                  <c:v>0.95949762796523885</c:v>
                </c:pt>
                <c:pt idx="136">
                  <c:v>0.96385318784697083</c:v>
                </c:pt>
                <c:pt idx="137">
                  <c:v>0.96573920995584062</c:v>
                </c:pt>
                <c:pt idx="138">
                  <c:v>0.94117354940773168</c:v>
                </c:pt>
                <c:pt idx="139">
                  <c:v>0.96004281478346154</c:v>
                </c:pt>
                <c:pt idx="140">
                  <c:v>0.98451259124336277</c:v>
                </c:pt>
                <c:pt idx="141">
                  <c:v>0.98434773501950024</c:v>
                </c:pt>
                <c:pt idx="142">
                  <c:v>0.98433159126088587</c:v>
                </c:pt>
                <c:pt idx="143">
                  <c:v>0.89956868762565123</c:v>
                </c:pt>
                <c:pt idx="144">
                  <c:v>0.90169140183079588</c:v>
                </c:pt>
                <c:pt idx="145">
                  <c:v>0.90221910511284309</c:v>
                </c:pt>
                <c:pt idx="146">
                  <c:v>0.8977877790743366</c:v>
                </c:pt>
                <c:pt idx="147">
                  <c:v>0.90901843435733576</c:v>
                </c:pt>
                <c:pt idx="148">
                  <c:v>0.90839947200768822</c:v>
                </c:pt>
                <c:pt idx="149">
                  <c:v>0.89944984777238279</c:v>
                </c:pt>
                <c:pt idx="150">
                  <c:v>0.89953690770059058</c:v>
                </c:pt>
                <c:pt idx="151">
                  <c:v>0.89945440325039194</c:v>
                </c:pt>
                <c:pt idx="152">
                  <c:v>0.89897242042512293</c:v>
                </c:pt>
                <c:pt idx="153">
                  <c:v>0.89363295352941696</c:v>
                </c:pt>
                <c:pt idx="154">
                  <c:v>0.8905292701458154</c:v>
                </c:pt>
                <c:pt idx="155">
                  <c:v>0.87323468663010995</c:v>
                </c:pt>
                <c:pt idx="156">
                  <c:v>0.87307222993401301</c:v>
                </c:pt>
                <c:pt idx="157">
                  <c:v>0.87104289367683108</c:v>
                </c:pt>
                <c:pt idx="158">
                  <c:v>0.87173319419485717</c:v>
                </c:pt>
                <c:pt idx="159">
                  <c:v>0.8711103246684071</c:v>
                </c:pt>
                <c:pt idx="160">
                  <c:v>0.86207834726406996</c:v>
                </c:pt>
                <c:pt idx="161">
                  <c:v>0.85899641836276064</c:v>
                </c:pt>
                <c:pt idx="162">
                  <c:v>0.85454017667877036</c:v>
                </c:pt>
                <c:pt idx="163">
                  <c:v>0.8495141779851888</c:v>
                </c:pt>
                <c:pt idx="164">
                  <c:v>0.85034323036254855</c:v>
                </c:pt>
                <c:pt idx="165">
                  <c:v>0.84987852372453887</c:v>
                </c:pt>
                <c:pt idx="166">
                  <c:v>0.84517419526618409</c:v>
                </c:pt>
                <c:pt idx="167">
                  <c:v>0.83487997316638618</c:v>
                </c:pt>
                <c:pt idx="168">
                  <c:v>0.83442977694600107</c:v>
                </c:pt>
                <c:pt idx="169">
                  <c:v>0.83553155778747357</c:v>
                </c:pt>
                <c:pt idx="170">
                  <c:v>0.83299315685558728</c:v>
                </c:pt>
                <c:pt idx="171">
                  <c:v>0.83263567088094603</c:v>
                </c:pt>
                <c:pt idx="172">
                  <c:v>0.83308194312157002</c:v>
                </c:pt>
                <c:pt idx="173">
                  <c:v>0.83323010925037821</c:v>
                </c:pt>
                <c:pt idx="174">
                  <c:v>0.83298548948719409</c:v>
                </c:pt>
                <c:pt idx="175">
                  <c:v>0.83314811844361547</c:v>
                </c:pt>
                <c:pt idx="176">
                  <c:v>0.8252825190325267</c:v>
                </c:pt>
                <c:pt idx="177">
                  <c:v>0.82312666846886706</c:v>
                </c:pt>
                <c:pt idx="178">
                  <c:v>0.82269422896608668</c:v>
                </c:pt>
                <c:pt idx="179">
                  <c:v>0.8143610742830043</c:v>
                </c:pt>
                <c:pt idx="180">
                  <c:v>0.81306113125008483</c:v>
                </c:pt>
                <c:pt idx="181">
                  <c:v>0.81314534828390261</c:v>
                </c:pt>
                <c:pt idx="182">
                  <c:v>0.82063928503232164</c:v>
                </c:pt>
                <c:pt idx="183">
                  <c:v>0.8233483238370275</c:v>
                </c:pt>
                <c:pt idx="184">
                  <c:v>0.82549835334035082</c:v>
                </c:pt>
                <c:pt idx="185">
                  <c:v>0.82501730415003716</c:v>
                </c:pt>
                <c:pt idx="186">
                  <c:v>0.81712385228241347</c:v>
                </c:pt>
                <c:pt idx="187">
                  <c:v>0.82324576488801848</c:v>
                </c:pt>
                <c:pt idx="188">
                  <c:v>0.82273713377307311</c:v>
                </c:pt>
                <c:pt idx="189">
                  <c:v>0.82243509292386063</c:v>
                </c:pt>
                <c:pt idx="190">
                  <c:v>0.82876631148028268</c:v>
                </c:pt>
                <c:pt idx="191">
                  <c:v>0.83116197822896642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6-4D40-95F6-42E4A2EC4065}"/>
            </c:ext>
          </c:extLst>
        </c:ser>
        <c:ser>
          <c:idx val="1"/>
          <c:order val="1"/>
          <c:tx>
            <c:strRef>
              <c:f>'Tasa - externa'!$C$22</c:f>
              <c:strCache>
                <c:ptCount val="1"/>
                <c:pt idx="0">
                  <c:v>Tasa variable</c:v>
                </c:pt>
              </c:strCache>
            </c:strRef>
          </c:tx>
          <c:spPr>
            <a:solidFill>
              <a:srgbClr val="D9C197"/>
            </a:solidFill>
          </c:spPr>
          <c:cat>
            <c:numRef>
              <c:f>'Tasa - externa'!$A$83:$A$303</c:f>
              <c:numCache>
                <c:formatCode>mmm\-yy</c:formatCode>
                <c:ptCount val="221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'Tasa - externa'!$C$83:$C$303</c:f>
              <c:numCache>
                <c:formatCode>0%</c:formatCode>
                <c:ptCount val="221"/>
                <c:pt idx="0">
                  <c:v>0.16920846328441694</c:v>
                </c:pt>
                <c:pt idx="1">
                  <c:v>0.18038678085197277</c:v>
                </c:pt>
                <c:pt idx="2">
                  <c:v>0.13325170458240279</c:v>
                </c:pt>
                <c:pt idx="3">
                  <c:v>0.11435607773808361</c:v>
                </c:pt>
                <c:pt idx="4">
                  <c:v>0.13872391566634817</c:v>
                </c:pt>
                <c:pt idx="5">
                  <c:v>0.13914240290028554</c:v>
                </c:pt>
                <c:pt idx="6">
                  <c:v>0.14150233445849225</c:v>
                </c:pt>
                <c:pt idx="7">
                  <c:v>0.14867757438760368</c:v>
                </c:pt>
                <c:pt idx="8">
                  <c:v>0.14810186775015016</c:v>
                </c:pt>
                <c:pt idx="9">
                  <c:v>0.15445631314115671</c:v>
                </c:pt>
                <c:pt idx="10">
                  <c:v>0.160872073623644</c:v>
                </c:pt>
                <c:pt idx="11">
                  <c:v>0.17578767706613369</c:v>
                </c:pt>
                <c:pt idx="12">
                  <c:v>0.17459455034635735</c:v>
                </c:pt>
                <c:pt idx="13">
                  <c:v>0.2014530591850448</c:v>
                </c:pt>
                <c:pt idx="14">
                  <c:v>0.15870072965250029</c:v>
                </c:pt>
                <c:pt idx="15">
                  <c:v>0.1719732335974222</c:v>
                </c:pt>
                <c:pt idx="16">
                  <c:v>0.17379820295682852</c:v>
                </c:pt>
                <c:pt idx="17">
                  <c:v>0.17458713498920767</c:v>
                </c:pt>
                <c:pt idx="18">
                  <c:v>0.17574070861989657</c:v>
                </c:pt>
                <c:pt idx="19">
                  <c:v>0.17304146136938675</c:v>
                </c:pt>
                <c:pt idx="20">
                  <c:v>0.17554814076860586</c:v>
                </c:pt>
                <c:pt idx="21">
                  <c:v>0.18257998278662821</c:v>
                </c:pt>
                <c:pt idx="22">
                  <c:v>0.19136078902582909</c:v>
                </c:pt>
                <c:pt idx="23">
                  <c:v>0.197951965015152</c:v>
                </c:pt>
                <c:pt idx="24">
                  <c:v>0.19791394510023949</c:v>
                </c:pt>
                <c:pt idx="25">
                  <c:v>0.19797878668024838</c:v>
                </c:pt>
                <c:pt idx="26">
                  <c:v>0.1977555014472856</c:v>
                </c:pt>
                <c:pt idx="27">
                  <c:v>0.1968754924249532</c:v>
                </c:pt>
                <c:pt idx="28">
                  <c:v>0.20109830618510136</c:v>
                </c:pt>
                <c:pt idx="29">
                  <c:v>0.19993801721789806</c:v>
                </c:pt>
                <c:pt idx="30">
                  <c:v>0.18711017770833005</c:v>
                </c:pt>
                <c:pt idx="31">
                  <c:v>0.18710883506333179</c:v>
                </c:pt>
                <c:pt idx="32">
                  <c:v>0.18874865457368709</c:v>
                </c:pt>
                <c:pt idx="33">
                  <c:v>0.19113577880579546</c:v>
                </c:pt>
                <c:pt idx="34">
                  <c:v>0.20185847808706045</c:v>
                </c:pt>
                <c:pt idx="35">
                  <c:v>0.21191099225362334</c:v>
                </c:pt>
                <c:pt idx="36">
                  <c:v>0.20266683955099221</c:v>
                </c:pt>
                <c:pt idx="37">
                  <c:v>0.20221198187833014</c:v>
                </c:pt>
                <c:pt idx="38">
                  <c:v>0.20267668455139509</c:v>
                </c:pt>
                <c:pt idx="39">
                  <c:v>0.20212976744500633</c:v>
                </c:pt>
                <c:pt idx="40">
                  <c:v>0.20421102731236732</c:v>
                </c:pt>
                <c:pt idx="41">
                  <c:v>0.20358713350179264</c:v>
                </c:pt>
                <c:pt idx="42">
                  <c:v>0.20358713350179264</c:v>
                </c:pt>
                <c:pt idx="43">
                  <c:v>0.20326406699684593</c:v>
                </c:pt>
                <c:pt idx="44">
                  <c:v>0.19947724198767977</c:v>
                </c:pt>
                <c:pt idx="45">
                  <c:v>0.2001535389776386</c:v>
                </c:pt>
                <c:pt idx="46">
                  <c:v>0.20127037352875379</c:v>
                </c:pt>
                <c:pt idx="47">
                  <c:v>0.21661485874712597</c:v>
                </c:pt>
                <c:pt idx="48">
                  <c:v>0.213063924178926</c:v>
                </c:pt>
                <c:pt idx="49">
                  <c:v>0.21382853481505434</c:v>
                </c:pt>
                <c:pt idx="50">
                  <c:v>0.20762880625625021</c:v>
                </c:pt>
                <c:pt idx="51">
                  <c:v>0.21347971389277823</c:v>
                </c:pt>
                <c:pt idx="52">
                  <c:v>0.21576864204150589</c:v>
                </c:pt>
                <c:pt idx="53">
                  <c:v>0.21624171122676925</c:v>
                </c:pt>
                <c:pt idx="54">
                  <c:v>0.21485064824399661</c:v>
                </c:pt>
                <c:pt idx="55">
                  <c:v>0.22135742431705946</c:v>
                </c:pt>
                <c:pt idx="56">
                  <c:v>0.22380676979162856</c:v>
                </c:pt>
                <c:pt idx="57">
                  <c:v>0.22373098239672395</c:v>
                </c:pt>
                <c:pt idx="58">
                  <c:v>0.22549037095144792</c:v>
                </c:pt>
                <c:pt idx="59">
                  <c:v>0.23512884961937836</c:v>
                </c:pt>
                <c:pt idx="60">
                  <c:v>0.22510621230996927</c:v>
                </c:pt>
                <c:pt idx="61">
                  <c:v>0.22507194064826874</c:v>
                </c:pt>
                <c:pt idx="62">
                  <c:v>0.22425319238211136</c:v>
                </c:pt>
                <c:pt idx="63">
                  <c:v>0.22089214243451391</c:v>
                </c:pt>
                <c:pt idx="64">
                  <c:v>0.22310552290941912</c:v>
                </c:pt>
                <c:pt idx="65">
                  <c:v>0.22260762133511475</c:v>
                </c:pt>
                <c:pt idx="66">
                  <c:v>0.22225761631814667</c:v>
                </c:pt>
                <c:pt idx="67">
                  <c:v>0.213778594997071</c:v>
                </c:pt>
                <c:pt idx="68">
                  <c:v>0.20885111543647344</c:v>
                </c:pt>
                <c:pt idx="69">
                  <c:v>0.21497624365326137</c:v>
                </c:pt>
                <c:pt idx="70">
                  <c:v>0.21802476455205266</c:v>
                </c:pt>
                <c:pt idx="71">
                  <c:v>0.26122554724371161</c:v>
                </c:pt>
                <c:pt idx="72">
                  <c:v>0.24845458184304092</c:v>
                </c:pt>
                <c:pt idx="73">
                  <c:v>0.25363975260601507</c:v>
                </c:pt>
                <c:pt idx="74">
                  <c:v>0.24580836457770147</c:v>
                </c:pt>
                <c:pt idx="75">
                  <c:v>0.24413039222895622</c:v>
                </c:pt>
                <c:pt idx="76">
                  <c:v>0.24881539894448623</c:v>
                </c:pt>
                <c:pt idx="77">
                  <c:v>0.2470761161284411</c:v>
                </c:pt>
                <c:pt idx="78">
                  <c:v>0.25108402992662604</c:v>
                </c:pt>
                <c:pt idx="79">
                  <c:v>0.25217997776629208</c:v>
                </c:pt>
                <c:pt idx="80">
                  <c:v>0.24210659969164366</c:v>
                </c:pt>
                <c:pt idx="81">
                  <c:v>0.25924954382829929</c:v>
                </c:pt>
                <c:pt idx="82">
                  <c:v>0.259468978052664</c:v>
                </c:pt>
                <c:pt idx="83">
                  <c:v>0.28354541578382048</c:v>
                </c:pt>
                <c:pt idx="84">
                  <c:v>0.2880977653290589</c:v>
                </c:pt>
                <c:pt idx="85">
                  <c:v>0.28833695838949275</c:v>
                </c:pt>
                <c:pt idx="86">
                  <c:v>0.27699994904600428</c:v>
                </c:pt>
                <c:pt idx="87">
                  <c:v>0.27548962505520097</c:v>
                </c:pt>
                <c:pt idx="88">
                  <c:v>0.28920618262822489</c:v>
                </c:pt>
                <c:pt idx="89">
                  <c:v>0.28843699381406485</c:v>
                </c:pt>
                <c:pt idx="90">
                  <c:v>0.28930091568413713</c:v>
                </c:pt>
                <c:pt idx="91">
                  <c:v>0.28851594382668255</c:v>
                </c:pt>
                <c:pt idx="92">
                  <c:v>0.28824859670443048</c:v>
                </c:pt>
                <c:pt idx="93">
                  <c:v>0.28849003195518408</c:v>
                </c:pt>
                <c:pt idx="94">
                  <c:v>0.29960690732235434</c:v>
                </c:pt>
                <c:pt idx="95">
                  <c:v>0.31612307545179463</c:v>
                </c:pt>
                <c:pt idx="96">
                  <c:v>0.31399778960199276</c:v>
                </c:pt>
                <c:pt idx="97">
                  <c:v>0.31256400277301111</c:v>
                </c:pt>
                <c:pt idx="98">
                  <c:v>0.31244868792216679</c:v>
                </c:pt>
                <c:pt idx="99">
                  <c:v>0.31374668213931434</c:v>
                </c:pt>
                <c:pt idx="100">
                  <c:v>0.3145750548728567</c:v>
                </c:pt>
                <c:pt idx="101">
                  <c:v>0.3155978028260229</c:v>
                </c:pt>
                <c:pt idx="102">
                  <c:v>0.31501212482775304</c:v>
                </c:pt>
                <c:pt idx="103">
                  <c:v>0.31249426328153368</c:v>
                </c:pt>
                <c:pt idx="104">
                  <c:v>0.3130534797645656</c:v>
                </c:pt>
                <c:pt idx="105">
                  <c:v>0.31336978308900548</c:v>
                </c:pt>
                <c:pt idx="106">
                  <c:v>0.31456988400974689</c:v>
                </c:pt>
                <c:pt idx="107">
                  <c:v>0.31892210487106581</c:v>
                </c:pt>
                <c:pt idx="108">
                  <c:v>0.35346000489480456</c:v>
                </c:pt>
                <c:pt idx="109">
                  <c:v>0.35247609529719742</c:v>
                </c:pt>
                <c:pt idx="110">
                  <c:v>0.36120860402372573</c:v>
                </c:pt>
                <c:pt idx="111">
                  <c:v>0.35841590356917791</c:v>
                </c:pt>
                <c:pt idx="112">
                  <c:v>0.35760973187497647</c:v>
                </c:pt>
                <c:pt idx="113">
                  <c:v>0.35751874371383086</c:v>
                </c:pt>
                <c:pt idx="114">
                  <c:v>0.35700984452328555</c:v>
                </c:pt>
                <c:pt idx="115">
                  <c:v>0.3570163831623735</c:v>
                </c:pt>
                <c:pt idx="116">
                  <c:v>0.35482255759084641</c:v>
                </c:pt>
                <c:pt idx="117">
                  <c:v>0.35021321033314406</c:v>
                </c:pt>
                <c:pt idx="118">
                  <c:v>0.35292038460949138</c:v>
                </c:pt>
                <c:pt idx="119">
                  <c:v>0.3625413451603488</c:v>
                </c:pt>
                <c:pt idx="120">
                  <c:v>0.34836528906385295</c:v>
                </c:pt>
                <c:pt idx="121">
                  <c:v>0.34747952205778587</c:v>
                </c:pt>
                <c:pt idx="122">
                  <c:v>0.33057486318513718</c:v>
                </c:pt>
                <c:pt idx="123">
                  <c:v>0.33044676520756311</c:v>
                </c:pt>
                <c:pt idx="124">
                  <c:v>0.33115260253703188</c:v>
                </c:pt>
                <c:pt idx="125">
                  <c:v>0.33107313750804757</c:v>
                </c:pt>
                <c:pt idx="126">
                  <c:v>0.24010909310573333</c:v>
                </c:pt>
                <c:pt idx="127">
                  <c:v>0.23936980888231454</c:v>
                </c:pt>
                <c:pt idx="128">
                  <c:v>0.18319661301769841</c:v>
                </c:pt>
                <c:pt idx="129">
                  <c:v>0.18260403412433601</c:v>
                </c:pt>
                <c:pt idx="130">
                  <c:v>0.19585009918049717</c:v>
                </c:pt>
                <c:pt idx="131">
                  <c:v>0.20476615907029722</c:v>
                </c:pt>
                <c:pt idx="132">
                  <c:v>0.1981395143517381</c:v>
                </c:pt>
                <c:pt idx="133">
                  <c:v>9.4279318553090574E-2</c:v>
                </c:pt>
                <c:pt idx="134">
                  <c:v>3.5702009874828189E-2</c:v>
                </c:pt>
                <c:pt idx="135">
                  <c:v>4.0502372034761175E-2</c:v>
                </c:pt>
                <c:pt idx="136">
                  <c:v>3.6146812153029215E-2</c:v>
                </c:pt>
                <c:pt idx="137">
                  <c:v>3.4260790044159412E-2</c:v>
                </c:pt>
                <c:pt idx="138">
                  <c:v>5.8826450592268292E-2</c:v>
                </c:pt>
                <c:pt idx="139">
                  <c:v>3.9957185216538502E-2</c:v>
                </c:pt>
                <c:pt idx="140">
                  <c:v>1.5487408756637299E-2</c:v>
                </c:pt>
                <c:pt idx="141">
                  <c:v>1.5652264980499743E-2</c:v>
                </c:pt>
                <c:pt idx="142">
                  <c:v>1.5668408739114164E-2</c:v>
                </c:pt>
                <c:pt idx="143">
                  <c:v>0.10043131237434884</c:v>
                </c:pt>
                <c:pt idx="144">
                  <c:v>9.8308598169204148E-2</c:v>
                </c:pt>
                <c:pt idx="145">
                  <c:v>9.7780894887156966E-2</c:v>
                </c:pt>
                <c:pt idx="146">
                  <c:v>0.10221222092566344</c:v>
                </c:pt>
                <c:pt idx="147">
                  <c:v>9.0981565642664214E-2</c:v>
                </c:pt>
                <c:pt idx="148">
                  <c:v>9.1600527992311803E-2</c:v>
                </c:pt>
                <c:pt idx="149">
                  <c:v>0.10055015222761719</c:v>
                </c:pt>
                <c:pt idx="150">
                  <c:v>0.10046309229940933</c:v>
                </c:pt>
                <c:pt idx="151">
                  <c:v>0.10054559674960806</c:v>
                </c:pt>
                <c:pt idx="152">
                  <c:v>0.10102757957487708</c:v>
                </c:pt>
                <c:pt idx="153">
                  <c:v>0.10636704647058295</c:v>
                </c:pt>
                <c:pt idx="154">
                  <c:v>0.10947072985418453</c:v>
                </c:pt>
                <c:pt idx="155">
                  <c:v>0.12676531336989003</c:v>
                </c:pt>
                <c:pt idx="156">
                  <c:v>0.12676531336989003</c:v>
                </c:pt>
                <c:pt idx="157">
                  <c:v>0.12895710632316887</c:v>
                </c:pt>
                <c:pt idx="158">
                  <c:v>0.12826680580514277</c:v>
                </c:pt>
                <c:pt idx="159">
                  <c:v>0.12888967533159282</c:v>
                </c:pt>
                <c:pt idx="160">
                  <c:v>0.13792165273593013</c:v>
                </c:pt>
                <c:pt idx="161">
                  <c:v>0.14100358163723936</c:v>
                </c:pt>
                <c:pt idx="162">
                  <c:v>0.14545982332122964</c:v>
                </c:pt>
                <c:pt idx="163">
                  <c:v>0.1504858220148112</c:v>
                </c:pt>
                <c:pt idx="164">
                  <c:v>0.1496567696374515</c:v>
                </c:pt>
                <c:pt idx="165">
                  <c:v>0.15012147627546102</c:v>
                </c:pt>
                <c:pt idx="166">
                  <c:v>0.15482580473381585</c:v>
                </c:pt>
                <c:pt idx="167">
                  <c:v>0.1651200268336139</c:v>
                </c:pt>
                <c:pt idx="168">
                  <c:v>0.16557022305399893</c:v>
                </c:pt>
                <c:pt idx="169">
                  <c:v>0.16446844221252641</c:v>
                </c:pt>
                <c:pt idx="170">
                  <c:v>0.16700684314441275</c:v>
                </c:pt>
                <c:pt idx="171">
                  <c:v>0.16736432911905402</c:v>
                </c:pt>
                <c:pt idx="172">
                  <c:v>0.16691805687843003</c:v>
                </c:pt>
                <c:pt idx="173">
                  <c:v>0.16676989074962181</c:v>
                </c:pt>
                <c:pt idx="174">
                  <c:v>0.16701451051280605</c:v>
                </c:pt>
                <c:pt idx="175">
                  <c:v>0.16685188155638456</c:v>
                </c:pt>
                <c:pt idx="176">
                  <c:v>0.17471748096747328</c:v>
                </c:pt>
                <c:pt idx="177">
                  <c:v>0.17687333153113297</c:v>
                </c:pt>
                <c:pt idx="178">
                  <c:v>0.17730577103391335</c:v>
                </c:pt>
                <c:pt idx="179">
                  <c:v>0.18563892571699564</c:v>
                </c:pt>
                <c:pt idx="180">
                  <c:v>0.18693886874991519</c:v>
                </c:pt>
                <c:pt idx="181">
                  <c:v>0.18685465171609744</c:v>
                </c:pt>
                <c:pt idx="182">
                  <c:v>0.17936071496767836</c:v>
                </c:pt>
                <c:pt idx="183">
                  <c:v>0.17665167616297245</c:v>
                </c:pt>
                <c:pt idx="184">
                  <c:v>0.17450164665964912</c:v>
                </c:pt>
                <c:pt idx="185">
                  <c:v>0.17498269584996284</c:v>
                </c:pt>
                <c:pt idx="186">
                  <c:v>0.18287614771758653</c:v>
                </c:pt>
                <c:pt idx="187">
                  <c:v>0.17675423511198146</c:v>
                </c:pt>
                <c:pt idx="188">
                  <c:v>0.17726286622692686</c:v>
                </c:pt>
                <c:pt idx="189">
                  <c:v>0.17756490707613948</c:v>
                </c:pt>
                <c:pt idx="190">
                  <c:v>0.17123368851971738</c:v>
                </c:pt>
                <c:pt idx="191">
                  <c:v>0.16883802177103355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A6-4D40-95F6-42E4A2EC4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368640"/>
        <c:axId val="1"/>
      </c:areaChart>
      <c:dateAx>
        <c:axId val="713368640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2"/>
        <c:majorTimeUnit val="years"/>
      </c:dateAx>
      <c:valAx>
        <c:axId val="1"/>
        <c:scaling>
          <c:orientation val="minMax"/>
          <c:min val="0.4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133686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2921841746525859"/>
          <c:y val="0.40161872196254356"/>
          <c:w val="0.15528438015015567"/>
          <c:h val="0.24097123317752611"/>
        </c:manualLayout>
      </c:layout>
      <c:overlay val="0"/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'Tasa - total'!$B$20</c:f>
          <c:strCache>
            <c:ptCount val="1"/>
            <c:pt idx="0">
              <c:v>Composición por tasa de interés - deuda total</c:v>
            </c:pt>
          </c:strCache>
        </c:strRef>
      </c:tx>
      <c:layout>
        <c:manualLayout>
          <c:xMode val="edge"/>
          <c:yMode val="edge"/>
          <c:x val="0.10672598908053707"/>
          <c:y val="1.2186907293522616E-2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4330558680164975E-2"/>
          <c:y val="0.18888888888888888"/>
          <c:w val="0.7148784401949756"/>
          <c:h val="0.71020202020202017"/>
        </c:manualLayout>
      </c:layout>
      <c:areaChart>
        <c:grouping val="percentStacked"/>
        <c:varyColors val="0"/>
        <c:ser>
          <c:idx val="0"/>
          <c:order val="0"/>
          <c:tx>
            <c:strRef>
              <c:f>'Tasa - total'!$B$22</c:f>
              <c:strCache>
                <c:ptCount val="1"/>
                <c:pt idx="0">
                  <c:v>Tasa fija</c:v>
                </c:pt>
              </c:strCache>
            </c:strRef>
          </c:tx>
          <c:spPr>
            <a:solidFill>
              <a:srgbClr val="B48C41"/>
            </a:solidFill>
          </c:spPr>
          <c:cat>
            <c:numRef>
              <c:f>'Tasa - total'!$A$83:$A$303</c:f>
              <c:numCache>
                <c:formatCode>mmm\-yy</c:formatCode>
                <c:ptCount val="221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'Tasa - total'!$B$83:$B$303</c:f>
              <c:numCache>
                <c:formatCode>0.00%</c:formatCode>
                <c:ptCount val="221"/>
                <c:pt idx="0">
                  <c:v>0.89806584264009626</c:v>
                </c:pt>
                <c:pt idx="1">
                  <c:v>0.89491386755636726</c:v>
                </c:pt>
                <c:pt idx="2">
                  <c:v>0.91272665423084209</c:v>
                </c:pt>
                <c:pt idx="3">
                  <c:v>0.92158639586857272</c:v>
                </c:pt>
                <c:pt idx="4">
                  <c:v>0.9137595186930646</c:v>
                </c:pt>
                <c:pt idx="5">
                  <c:v>0.91563527340491901</c:v>
                </c:pt>
                <c:pt idx="6">
                  <c:v>0.9131574740761581</c:v>
                </c:pt>
                <c:pt idx="7">
                  <c:v>0.91632784606806195</c:v>
                </c:pt>
                <c:pt idx="8">
                  <c:v>0.91328424684668352</c:v>
                </c:pt>
                <c:pt idx="9">
                  <c:v>0.90202516619176698</c:v>
                </c:pt>
                <c:pt idx="10">
                  <c:v>0.91452485448474319</c:v>
                </c:pt>
                <c:pt idx="11">
                  <c:v>0.90905990292447658</c:v>
                </c:pt>
                <c:pt idx="12">
                  <c:v>0.91208327752687901</c:v>
                </c:pt>
                <c:pt idx="13">
                  <c:v>0.90559658845190616</c:v>
                </c:pt>
                <c:pt idx="14">
                  <c:v>0.91878123253673827</c:v>
                </c:pt>
                <c:pt idx="15">
                  <c:v>0.91489248517184418</c:v>
                </c:pt>
                <c:pt idx="16">
                  <c:v>0.91530645135032596</c:v>
                </c:pt>
                <c:pt idx="17">
                  <c:v>0.91656990400113469</c:v>
                </c:pt>
                <c:pt idx="18">
                  <c:v>0.91832471468731824</c:v>
                </c:pt>
                <c:pt idx="19">
                  <c:v>0.92005209730186155</c:v>
                </c:pt>
                <c:pt idx="20">
                  <c:v>0.92000590643798907</c:v>
                </c:pt>
                <c:pt idx="21">
                  <c:v>0.91807284880479745</c:v>
                </c:pt>
                <c:pt idx="22">
                  <c:v>0.91498524674495996</c:v>
                </c:pt>
                <c:pt idx="23">
                  <c:v>0.91522409398612004</c:v>
                </c:pt>
                <c:pt idx="24">
                  <c:v>0.91370059875340803</c:v>
                </c:pt>
                <c:pt idx="25">
                  <c:v>0.91472593061165186</c:v>
                </c:pt>
                <c:pt idx="26">
                  <c:v>0.91582869552094959</c:v>
                </c:pt>
                <c:pt idx="27">
                  <c:v>0.91910222001921771</c:v>
                </c:pt>
                <c:pt idx="28">
                  <c:v>0.91565385280812139</c:v>
                </c:pt>
                <c:pt idx="29">
                  <c:v>0.9343337368980652</c:v>
                </c:pt>
                <c:pt idx="30">
                  <c:v>0.93647397160859891</c:v>
                </c:pt>
                <c:pt idx="31">
                  <c:v>0.93715022219875987</c:v>
                </c:pt>
                <c:pt idx="32">
                  <c:v>0.93439313066343832</c:v>
                </c:pt>
                <c:pt idx="33">
                  <c:v>0.93511912442921608</c:v>
                </c:pt>
                <c:pt idx="34">
                  <c:v>0.93025558761644389</c:v>
                </c:pt>
                <c:pt idx="35">
                  <c:v>0.92801496628010416</c:v>
                </c:pt>
                <c:pt idx="36">
                  <c:v>0.93267961001454847</c:v>
                </c:pt>
                <c:pt idx="37">
                  <c:v>0.93464605824397085</c:v>
                </c:pt>
                <c:pt idx="38">
                  <c:v>0.93435220207817093</c:v>
                </c:pt>
                <c:pt idx="39">
                  <c:v>0.93475122308133729</c:v>
                </c:pt>
                <c:pt idx="40">
                  <c:v>0.93317477571142271</c:v>
                </c:pt>
                <c:pt idx="41">
                  <c:v>0.93387771437681666</c:v>
                </c:pt>
                <c:pt idx="42">
                  <c:v>0.93505446948072812</c:v>
                </c:pt>
                <c:pt idx="43">
                  <c:v>0.93357102423252203</c:v>
                </c:pt>
                <c:pt idx="44">
                  <c:v>0.93688814670737952</c:v>
                </c:pt>
                <c:pt idx="45">
                  <c:v>0.93600865506880015</c:v>
                </c:pt>
                <c:pt idx="46">
                  <c:v>0.93699790942609074</c:v>
                </c:pt>
                <c:pt idx="47">
                  <c:v>0.93378951757513051</c:v>
                </c:pt>
                <c:pt idx="48">
                  <c:v>0.93427665403972504</c:v>
                </c:pt>
                <c:pt idx="49">
                  <c:v>0.93588638689321013</c:v>
                </c:pt>
                <c:pt idx="50">
                  <c:v>0.94100418409418518</c:v>
                </c:pt>
                <c:pt idx="51">
                  <c:v>0.93903635571455402</c:v>
                </c:pt>
                <c:pt idx="52">
                  <c:v>0.93905790756296637</c:v>
                </c:pt>
                <c:pt idx="53">
                  <c:v>0.93856481344724552</c:v>
                </c:pt>
                <c:pt idx="54">
                  <c:v>0.94063068705904895</c:v>
                </c:pt>
                <c:pt idx="55">
                  <c:v>0.93853840447962045</c:v>
                </c:pt>
                <c:pt idx="56">
                  <c:v>0.93677967584323218</c:v>
                </c:pt>
                <c:pt idx="57">
                  <c:v>0.93825675103897865</c:v>
                </c:pt>
                <c:pt idx="58">
                  <c:v>0.93666006338918484</c:v>
                </c:pt>
                <c:pt idx="59">
                  <c:v>0.93504942558069359</c:v>
                </c:pt>
                <c:pt idx="60">
                  <c:v>0.93294847982978946</c:v>
                </c:pt>
                <c:pt idx="61">
                  <c:v>0.93289271723333222</c:v>
                </c:pt>
                <c:pt idx="62">
                  <c:v>0.93648075639020756</c:v>
                </c:pt>
                <c:pt idx="63">
                  <c:v>0.93901995006906536</c:v>
                </c:pt>
                <c:pt idx="64">
                  <c:v>0.93793072770001928</c:v>
                </c:pt>
                <c:pt idx="65">
                  <c:v>0.9399655138838704</c:v>
                </c:pt>
                <c:pt idx="66">
                  <c:v>0.94060048717691547</c:v>
                </c:pt>
                <c:pt idx="67">
                  <c:v>0.94216866906383101</c:v>
                </c:pt>
                <c:pt idx="68">
                  <c:v>0.9425805969158545</c:v>
                </c:pt>
                <c:pt idx="69">
                  <c:v>0.94031164858502025</c:v>
                </c:pt>
                <c:pt idx="70">
                  <c:v>0.93694814604318355</c:v>
                </c:pt>
                <c:pt idx="71">
                  <c:v>0.91905557557486639</c:v>
                </c:pt>
                <c:pt idx="72">
                  <c:v>0.9203378122512117</c:v>
                </c:pt>
                <c:pt idx="73">
                  <c:v>0.91729232007718897</c:v>
                </c:pt>
                <c:pt idx="74">
                  <c:v>0.91729628777959626</c:v>
                </c:pt>
                <c:pt idx="75">
                  <c:v>0.92187586745744987</c:v>
                </c:pt>
                <c:pt idx="76">
                  <c:v>0.91967836865985197</c:v>
                </c:pt>
                <c:pt idx="77">
                  <c:v>0.91883296765156153</c:v>
                </c:pt>
                <c:pt idx="78">
                  <c:v>0.91176861260476028</c:v>
                </c:pt>
                <c:pt idx="79">
                  <c:v>0.90837626839301266</c:v>
                </c:pt>
                <c:pt idx="80">
                  <c:v>0.9117102904939447</c:v>
                </c:pt>
                <c:pt idx="81">
                  <c:v>0.90629884600608235</c:v>
                </c:pt>
                <c:pt idx="82">
                  <c:v>0.90315098108503866</c:v>
                </c:pt>
                <c:pt idx="83">
                  <c:v>0.89228437359622959</c:v>
                </c:pt>
                <c:pt idx="84">
                  <c:v>0.88742431760647034</c:v>
                </c:pt>
                <c:pt idx="85">
                  <c:v>0.8870545548309412</c:v>
                </c:pt>
                <c:pt idx="86">
                  <c:v>0.89816429891553395</c:v>
                </c:pt>
                <c:pt idx="87">
                  <c:v>0.90281148725622473</c:v>
                </c:pt>
                <c:pt idx="88">
                  <c:v>0.89515816293771777</c:v>
                </c:pt>
                <c:pt idx="89">
                  <c:v>0.89865699195691484</c:v>
                </c:pt>
                <c:pt idx="90">
                  <c:v>0.89473746566763857</c:v>
                </c:pt>
                <c:pt idx="91">
                  <c:v>0.89937716902178466</c:v>
                </c:pt>
                <c:pt idx="92">
                  <c:v>0.90148610938787743</c:v>
                </c:pt>
                <c:pt idx="93">
                  <c:v>0.90048463749889929</c:v>
                </c:pt>
                <c:pt idx="94">
                  <c:v>0.89256592143210256</c:v>
                </c:pt>
                <c:pt idx="95">
                  <c:v>0.88759664118544523</c:v>
                </c:pt>
                <c:pt idx="96">
                  <c:v>0.88812154771979934</c:v>
                </c:pt>
                <c:pt idx="97">
                  <c:v>0.89118226108777798</c:v>
                </c:pt>
                <c:pt idx="98">
                  <c:v>0.8931290129737075</c:v>
                </c:pt>
                <c:pt idx="99">
                  <c:v>0.89174821792016046</c:v>
                </c:pt>
                <c:pt idx="100">
                  <c:v>0.89100071339809961</c:v>
                </c:pt>
                <c:pt idx="101">
                  <c:v>0.88735715811710014</c:v>
                </c:pt>
                <c:pt idx="102">
                  <c:v>0.88979400866173919</c:v>
                </c:pt>
                <c:pt idx="103">
                  <c:v>0.89016777659397717</c:v>
                </c:pt>
                <c:pt idx="104">
                  <c:v>0.8907528802200656</c:v>
                </c:pt>
                <c:pt idx="105">
                  <c:v>0.88957128972189714</c:v>
                </c:pt>
                <c:pt idx="106">
                  <c:v>0.8897635047933582</c:v>
                </c:pt>
                <c:pt idx="107">
                  <c:v>0.88961718870364948</c:v>
                </c:pt>
                <c:pt idx="108">
                  <c:v>0.88154802338247351</c:v>
                </c:pt>
                <c:pt idx="109">
                  <c:v>0.88322684032941123</c:v>
                </c:pt>
                <c:pt idx="110">
                  <c:v>0.88174142054304483</c:v>
                </c:pt>
                <c:pt idx="111">
                  <c:v>0.88381205830404552</c:v>
                </c:pt>
                <c:pt idx="112">
                  <c:v>0.88422794286431694</c:v>
                </c:pt>
                <c:pt idx="113">
                  <c:v>0.88336668440440524</c:v>
                </c:pt>
                <c:pt idx="114">
                  <c:v>0.8867708004398962</c:v>
                </c:pt>
                <c:pt idx="115">
                  <c:v>0.88471510367432649</c:v>
                </c:pt>
                <c:pt idx="116">
                  <c:v>0.88681278665274632</c:v>
                </c:pt>
                <c:pt idx="117">
                  <c:v>0.88137778130115207</c:v>
                </c:pt>
                <c:pt idx="118">
                  <c:v>0.87882543743755215</c:v>
                </c:pt>
                <c:pt idx="119">
                  <c:v>0.87778195272616344</c:v>
                </c:pt>
                <c:pt idx="120">
                  <c:v>0.87949184313714723</c:v>
                </c:pt>
                <c:pt idx="121">
                  <c:v>0.88372172311464969</c:v>
                </c:pt>
                <c:pt idx="122">
                  <c:v>0.88918077164553155</c:v>
                </c:pt>
                <c:pt idx="123">
                  <c:v>0.88807057338022022</c:v>
                </c:pt>
                <c:pt idx="124">
                  <c:v>0.88571429299172921</c:v>
                </c:pt>
                <c:pt idx="125">
                  <c:v>0.89100932669732469</c:v>
                </c:pt>
                <c:pt idx="126">
                  <c:v>0.92077773451010214</c:v>
                </c:pt>
                <c:pt idx="127">
                  <c:v>0.91909921129536654</c:v>
                </c:pt>
                <c:pt idx="128">
                  <c:v>0.93685565201148868</c:v>
                </c:pt>
                <c:pt idx="129">
                  <c:v>0.93813603035134008</c:v>
                </c:pt>
                <c:pt idx="130">
                  <c:v>0.93256865901011188</c:v>
                </c:pt>
                <c:pt idx="131">
                  <c:v>0.93069102393316216</c:v>
                </c:pt>
                <c:pt idx="132">
                  <c:v>0.93186859201747463</c:v>
                </c:pt>
                <c:pt idx="133">
                  <c:v>0.96763462386114585</c:v>
                </c:pt>
                <c:pt idx="134">
                  <c:v>0.98644800954650258</c:v>
                </c:pt>
                <c:pt idx="135">
                  <c:v>0.98448946898880396</c:v>
                </c:pt>
                <c:pt idx="136">
                  <c:v>0.98691334852064283</c:v>
                </c:pt>
                <c:pt idx="137">
                  <c:v>0.98713231950266633</c:v>
                </c:pt>
                <c:pt idx="138">
                  <c:v>0.9777666056313532</c:v>
                </c:pt>
                <c:pt idx="139">
                  <c:v>0.98489927479057704</c:v>
                </c:pt>
                <c:pt idx="140">
                  <c:v>0.99409288994039802</c:v>
                </c:pt>
                <c:pt idx="141">
                  <c:v>0.99410565054041156</c:v>
                </c:pt>
                <c:pt idx="142">
                  <c:v>0.99438194220185006</c:v>
                </c:pt>
                <c:pt idx="143">
                  <c:v>0.96275838412823089</c:v>
                </c:pt>
                <c:pt idx="144">
                  <c:v>0.96211855618459563</c:v>
                </c:pt>
                <c:pt idx="145">
                  <c:v>0.96254807965141598</c:v>
                </c:pt>
                <c:pt idx="146">
                  <c:v>0.96038965932384335</c:v>
                </c:pt>
                <c:pt idx="147">
                  <c:v>0.96444754263423682</c:v>
                </c:pt>
                <c:pt idx="148">
                  <c:v>0.96459482432293309</c:v>
                </c:pt>
                <c:pt idx="149">
                  <c:v>0.96092683876835472</c:v>
                </c:pt>
                <c:pt idx="150">
                  <c:v>0.96092893582786743</c:v>
                </c:pt>
                <c:pt idx="151">
                  <c:v>0.96081882973745636</c:v>
                </c:pt>
                <c:pt idx="152">
                  <c:v>0.96108474932448096</c:v>
                </c:pt>
                <c:pt idx="153">
                  <c:v>0.95890483776719393</c:v>
                </c:pt>
                <c:pt idx="154">
                  <c:v>0.95890483776719393</c:v>
                </c:pt>
                <c:pt idx="155">
                  <c:v>0.94882382690000422</c:v>
                </c:pt>
                <c:pt idx="156">
                  <c:v>0.94946597281051159</c:v>
                </c:pt>
                <c:pt idx="157">
                  <c:v>0.94971378991460242</c:v>
                </c:pt>
                <c:pt idx="158">
                  <c:v>0.95164202894638428</c:v>
                </c:pt>
                <c:pt idx="159">
                  <c:v>0.95038946561096893</c:v>
                </c:pt>
                <c:pt idx="160">
                  <c:v>0.94753159751657756</c:v>
                </c:pt>
                <c:pt idx="161">
                  <c:v>0.944250254128019</c:v>
                </c:pt>
                <c:pt idx="162">
                  <c:v>0.94191945430718227</c:v>
                </c:pt>
                <c:pt idx="163">
                  <c:v>0.93954388456748927</c:v>
                </c:pt>
                <c:pt idx="164">
                  <c:v>0.93940232618590003</c:v>
                </c:pt>
                <c:pt idx="165">
                  <c:v>0.93756653342713014</c:v>
                </c:pt>
                <c:pt idx="166">
                  <c:v>0.93552807718002584</c:v>
                </c:pt>
                <c:pt idx="167">
                  <c:v>0.93085351220393686</c:v>
                </c:pt>
                <c:pt idx="168">
                  <c:v>0.93258073911321571</c:v>
                </c:pt>
                <c:pt idx="169">
                  <c:v>0.93039677666929466</c:v>
                </c:pt>
                <c:pt idx="170">
                  <c:v>0.93223554580793322</c:v>
                </c:pt>
                <c:pt idx="171">
                  <c:v>0.93254923767281883</c:v>
                </c:pt>
                <c:pt idx="172">
                  <c:v>0.93573473910047233</c:v>
                </c:pt>
                <c:pt idx="173">
                  <c:v>0.93787778709973824</c:v>
                </c:pt>
                <c:pt idx="174">
                  <c:v>0.94056148491699831</c:v>
                </c:pt>
                <c:pt idx="175">
                  <c:v>0.9396718297774147</c:v>
                </c:pt>
                <c:pt idx="176">
                  <c:v>0.93669679713569476</c:v>
                </c:pt>
                <c:pt idx="177">
                  <c:v>0.93725663603090892</c:v>
                </c:pt>
                <c:pt idx="178">
                  <c:v>0.93650408836396437</c:v>
                </c:pt>
                <c:pt idx="179">
                  <c:v>0.93425469913254633</c:v>
                </c:pt>
                <c:pt idx="180">
                  <c:v>0.93301927918162442</c:v>
                </c:pt>
                <c:pt idx="181">
                  <c:v>0.9340918905293718</c:v>
                </c:pt>
                <c:pt idx="182">
                  <c:v>0.93800898812269062</c:v>
                </c:pt>
                <c:pt idx="183">
                  <c:v>0.93900705391777117</c:v>
                </c:pt>
                <c:pt idx="184">
                  <c:v>0.94087620406362149</c:v>
                </c:pt>
                <c:pt idx="185">
                  <c:v>0.93904228741753104</c:v>
                </c:pt>
                <c:pt idx="186">
                  <c:v>0.93650430905103821</c:v>
                </c:pt>
                <c:pt idx="187">
                  <c:v>0.93879494347017467</c:v>
                </c:pt>
                <c:pt idx="188">
                  <c:v>0.93914443056668295</c:v>
                </c:pt>
                <c:pt idx="189">
                  <c:v>0.93713653664509189</c:v>
                </c:pt>
                <c:pt idx="190">
                  <c:v>0.93862179499020482</c:v>
                </c:pt>
                <c:pt idx="191">
                  <c:v>0.94049290683192166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2-4FE8-A202-0D9B5E203C9B}"/>
            </c:ext>
          </c:extLst>
        </c:ser>
        <c:ser>
          <c:idx val="1"/>
          <c:order val="1"/>
          <c:tx>
            <c:strRef>
              <c:f>'Tasa - total'!$C$22</c:f>
              <c:strCache>
                <c:ptCount val="1"/>
                <c:pt idx="0">
                  <c:v>Tasa variable</c:v>
                </c:pt>
              </c:strCache>
            </c:strRef>
          </c:tx>
          <c:spPr>
            <a:solidFill>
              <a:srgbClr val="D9C197"/>
            </a:solidFill>
          </c:spPr>
          <c:cat>
            <c:numRef>
              <c:f>'Tasa - total'!$A$83:$A$303</c:f>
              <c:numCache>
                <c:formatCode>mmm\-yy</c:formatCode>
                <c:ptCount val="221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41334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45350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45657</c:v>
                </c:pt>
              </c:numCache>
            </c:numRef>
          </c:cat>
          <c:val>
            <c:numRef>
              <c:f>'Tasa - total'!$C$83:$C$303</c:f>
              <c:numCache>
                <c:formatCode>0.00%</c:formatCode>
                <c:ptCount val="221"/>
                <c:pt idx="0">
                  <c:v>0.10193415735990378</c:v>
                </c:pt>
                <c:pt idx="1">
                  <c:v>0.10508613244363259</c:v>
                </c:pt>
                <c:pt idx="2">
                  <c:v>8.7273345769157962E-2</c:v>
                </c:pt>
                <c:pt idx="3">
                  <c:v>7.8413604131427089E-2</c:v>
                </c:pt>
                <c:pt idx="4">
                  <c:v>8.6240481306935415E-2</c:v>
                </c:pt>
                <c:pt idx="5">
                  <c:v>8.436472659508093E-2</c:v>
                </c:pt>
                <c:pt idx="6">
                  <c:v>8.6842525923841993E-2</c:v>
                </c:pt>
                <c:pt idx="7">
                  <c:v>8.3672153931938054E-2</c:v>
                </c:pt>
                <c:pt idx="8">
                  <c:v>8.6715753153316366E-2</c:v>
                </c:pt>
                <c:pt idx="9">
                  <c:v>9.7974833808233033E-2</c:v>
                </c:pt>
                <c:pt idx="10">
                  <c:v>8.5475145515256826E-2</c:v>
                </c:pt>
                <c:pt idx="11">
                  <c:v>9.094009707552346E-2</c:v>
                </c:pt>
                <c:pt idx="12">
                  <c:v>8.7916722473121073E-2</c:v>
                </c:pt>
                <c:pt idx="13">
                  <c:v>9.4403411548093757E-2</c:v>
                </c:pt>
                <c:pt idx="14">
                  <c:v>8.1218767463261649E-2</c:v>
                </c:pt>
                <c:pt idx="15">
                  <c:v>8.5107514828155761E-2</c:v>
                </c:pt>
                <c:pt idx="16">
                  <c:v>8.4693548649674141E-2</c:v>
                </c:pt>
                <c:pt idx="17">
                  <c:v>8.3430095998865125E-2</c:v>
                </c:pt>
                <c:pt idx="18">
                  <c:v>8.1675285312681617E-2</c:v>
                </c:pt>
                <c:pt idx="19">
                  <c:v>7.9947902698138562E-2</c:v>
                </c:pt>
                <c:pt idx="20">
                  <c:v>7.9994093562010787E-2</c:v>
                </c:pt>
                <c:pt idx="21">
                  <c:v>8.1927151195202511E-2</c:v>
                </c:pt>
                <c:pt idx="22">
                  <c:v>8.5014753255039932E-2</c:v>
                </c:pt>
                <c:pt idx="23">
                  <c:v>8.4775906013880173E-2</c:v>
                </c:pt>
                <c:pt idx="24">
                  <c:v>8.6299401246592258E-2</c:v>
                </c:pt>
                <c:pt idx="25">
                  <c:v>8.5274069388348195E-2</c:v>
                </c:pt>
                <c:pt idx="26">
                  <c:v>8.4171304479050302E-2</c:v>
                </c:pt>
                <c:pt idx="27">
                  <c:v>8.0897779980782264E-2</c:v>
                </c:pt>
                <c:pt idx="28">
                  <c:v>8.4346147191878648E-2</c:v>
                </c:pt>
                <c:pt idx="29">
                  <c:v>6.5666263101934741E-2</c:v>
                </c:pt>
                <c:pt idx="30">
                  <c:v>6.3526028391401243E-2</c:v>
                </c:pt>
                <c:pt idx="31">
                  <c:v>6.2849777801240195E-2</c:v>
                </c:pt>
                <c:pt idx="32">
                  <c:v>6.5606869336561666E-2</c:v>
                </c:pt>
                <c:pt idx="33">
                  <c:v>6.4880875570783966E-2</c:v>
                </c:pt>
                <c:pt idx="34">
                  <c:v>6.9744412383556068E-2</c:v>
                </c:pt>
                <c:pt idx="35">
                  <c:v>7.1985033719895813E-2</c:v>
                </c:pt>
                <c:pt idx="36">
                  <c:v>6.7320389985451271E-2</c:v>
                </c:pt>
                <c:pt idx="37">
                  <c:v>6.5353941756028988E-2</c:v>
                </c:pt>
                <c:pt idx="38">
                  <c:v>6.5647797921829176E-2</c:v>
                </c:pt>
                <c:pt idx="39">
                  <c:v>6.5248776918662738E-2</c:v>
                </c:pt>
                <c:pt idx="40">
                  <c:v>6.6825224288577442E-2</c:v>
                </c:pt>
                <c:pt idx="41">
                  <c:v>6.6122285623183508E-2</c:v>
                </c:pt>
                <c:pt idx="42">
                  <c:v>6.4945530519271932E-2</c:v>
                </c:pt>
                <c:pt idx="43">
                  <c:v>6.6428975767477874E-2</c:v>
                </c:pt>
                <c:pt idx="44">
                  <c:v>6.3111853292620562E-2</c:v>
                </c:pt>
                <c:pt idx="45">
                  <c:v>6.3991344931199734E-2</c:v>
                </c:pt>
                <c:pt idx="46">
                  <c:v>6.3002090573909347E-2</c:v>
                </c:pt>
                <c:pt idx="47">
                  <c:v>6.6210482424869391E-2</c:v>
                </c:pt>
                <c:pt idx="48">
                  <c:v>6.5723345960274904E-2</c:v>
                </c:pt>
                <c:pt idx="49">
                  <c:v>6.4113613106789827E-2</c:v>
                </c:pt>
                <c:pt idx="50">
                  <c:v>5.8995815905814916E-2</c:v>
                </c:pt>
                <c:pt idx="51">
                  <c:v>6.0963644285446282E-2</c:v>
                </c:pt>
                <c:pt idx="52">
                  <c:v>6.0942092437033621E-2</c:v>
                </c:pt>
                <c:pt idx="53">
                  <c:v>6.1435186552754539E-2</c:v>
                </c:pt>
                <c:pt idx="54">
                  <c:v>5.9369312940951061E-2</c:v>
                </c:pt>
                <c:pt idx="55">
                  <c:v>6.1461595520379483E-2</c:v>
                </c:pt>
                <c:pt idx="56">
                  <c:v>6.3220324156767815E-2</c:v>
                </c:pt>
                <c:pt idx="57">
                  <c:v>6.1743248961021374E-2</c:v>
                </c:pt>
                <c:pt idx="58">
                  <c:v>6.3339936610815134E-2</c:v>
                </c:pt>
                <c:pt idx="59">
                  <c:v>6.4950574419306434E-2</c:v>
                </c:pt>
                <c:pt idx="60">
                  <c:v>6.7051520170210543E-2</c:v>
                </c:pt>
                <c:pt idx="61">
                  <c:v>6.7107282766667678E-2</c:v>
                </c:pt>
                <c:pt idx="62">
                  <c:v>6.3519243609792414E-2</c:v>
                </c:pt>
                <c:pt idx="63">
                  <c:v>6.098004993093481E-2</c:v>
                </c:pt>
                <c:pt idx="64">
                  <c:v>6.2069272299980632E-2</c:v>
                </c:pt>
                <c:pt idx="65">
                  <c:v>6.0034486116129812E-2</c:v>
                </c:pt>
                <c:pt idx="66">
                  <c:v>5.939951282308456E-2</c:v>
                </c:pt>
                <c:pt idx="67">
                  <c:v>5.78313309361689E-2</c:v>
                </c:pt>
                <c:pt idx="68">
                  <c:v>5.7419403084145379E-2</c:v>
                </c:pt>
                <c:pt idx="69">
                  <c:v>5.9688351414979579E-2</c:v>
                </c:pt>
                <c:pt idx="70">
                  <c:v>6.3051853956816589E-2</c:v>
                </c:pt>
                <c:pt idx="71">
                  <c:v>8.0944424425133721E-2</c:v>
                </c:pt>
                <c:pt idx="72">
                  <c:v>7.9662187748788221E-2</c:v>
                </c:pt>
                <c:pt idx="73">
                  <c:v>8.2707679922810945E-2</c:v>
                </c:pt>
                <c:pt idx="74">
                  <c:v>8.2703712220403847E-2</c:v>
                </c:pt>
                <c:pt idx="75">
                  <c:v>7.8124132542550212E-2</c:v>
                </c:pt>
                <c:pt idx="76">
                  <c:v>8.0321631340148039E-2</c:v>
                </c:pt>
                <c:pt idx="77">
                  <c:v>8.11670323484385E-2</c:v>
                </c:pt>
                <c:pt idx="78">
                  <c:v>8.8231387395239835E-2</c:v>
                </c:pt>
                <c:pt idx="79">
                  <c:v>9.1623731606987419E-2</c:v>
                </c:pt>
                <c:pt idx="80">
                  <c:v>8.8289709506055442E-2</c:v>
                </c:pt>
                <c:pt idx="81">
                  <c:v>9.3701153993917735E-2</c:v>
                </c:pt>
                <c:pt idx="82">
                  <c:v>9.6849018914961255E-2</c:v>
                </c:pt>
                <c:pt idx="83">
                  <c:v>0.10771562640377041</c:v>
                </c:pt>
                <c:pt idx="84">
                  <c:v>0.11257568239352964</c:v>
                </c:pt>
                <c:pt idx="85">
                  <c:v>0.11294544516905872</c:v>
                </c:pt>
                <c:pt idx="86">
                  <c:v>0.10183570108446607</c:v>
                </c:pt>
                <c:pt idx="87">
                  <c:v>9.718851274377531E-2</c:v>
                </c:pt>
                <c:pt idx="88">
                  <c:v>0.10484183706228223</c:v>
                </c:pt>
                <c:pt idx="89">
                  <c:v>0.1013430080430852</c:v>
                </c:pt>
                <c:pt idx="90">
                  <c:v>0.10526253433236135</c:v>
                </c:pt>
                <c:pt idx="91">
                  <c:v>0.10062283097821528</c:v>
                </c:pt>
                <c:pt idx="92">
                  <c:v>9.8513890612122429E-2</c:v>
                </c:pt>
                <c:pt idx="93">
                  <c:v>9.9515362501100782E-2</c:v>
                </c:pt>
                <c:pt idx="94">
                  <c:v>0.1074340785678974</c:v>
                </c:pt>
                <c:pt idx="95">
                  <c:v>0.11240335881455486</c:v>
                </c:pt>
                <c:pt idx="96">
                  <c:v>0.11187845228020057</c:v>
                </c:pt>
                <c:pt idx="97">
                  <c:v>0.10881773891222199</c:v>
                </c:pt>
                <c:pt idx="98">
                  <c:v>0.1068709870262925</c:v>
                </c:pt>
                <c:pt idx="99">
                  <c:v>0.10825178207983954</c:v>
                </c:pt>
                <c:pt idx="100">
                  <c:v>0.10899928660190025</c:v>
                </c:pt>
                <c:pt idx="101">
                  <c:v>0.1126428418828998</c:v>
                </c:pt>
                <c:pt idx="102">
                  <c:v>0.1102059913382608</c:v>
                </c:pt>
                <c:pt idx="103">
                  <c:v>0.10983222340602283</c:v>
                </c:pt>
                <c:pt idx="104">
                  <c:v>0.10924711977993444</c:v>
                </c:pt>
                <c:pt idx="105">
                  <c:v>0.11042871027810298</c:v>
                </c:pt>
                <c:pt idx="106">
                  <c:v>0.11023649520664182</c:v>
                </c:pt>
                <c:pt idx="107">
                  <c:v>0.11038281129635066</c:v>
                </c:pt>
                <c:pt idx="108">
                  <c:v>0.11845197661752641</c:v>
                </c:pt>
                <c:pt idx="109">
                  <c:v>0.11677315967058866</c:v>
                </c:pt>
                <c:pt idx="110">
                  <c:v>0.118258579456955</c:v>
                </c:pt>
                <c:pt idx="111">
                  <c:v>0.11618794169595464</c:v>
                </c:pt>
                <c:pt idx="112">
                  <c:v>0.11577205713568298</c:v>
                </c:pt>
                <c:pt idx="113">
                  <c:v>0.11663331559559478</c:v>
                </c:pt>
                <c:pt idx="114">
                  <c:v>0.11322919956010379</c:v>
                </c:pt>
                <c:pt idx="115">
                  <c:v>0.11528489632567342</c:v>
                </c:pt>
                <c:pt idx="116">
                  <c:v>0.1131872133472538</c:v>
                </c:pt>
                <c:pt idx="117">
                  <c:v>0.11862221869884779</c:v>
                </c:pt>
                <c:pt idx="118">
                  <c:v>0.12117456256244784</c:v>
                </c:pt>
                <c:pt idx="119">
                  <c:v>0.12221804727383652</c:v>
                </c:pt>
                <c:pt idx="120">
                  <c:v>0.12050815686285271</c:v>
                </c:pt>
                <c:pt idx="121">
                  <c:v>0.11627827688535033</c:v>
                </c:pt>
                <c:pt idx="122">
                  <c:v>0.11081922835446836</c:v>
                </c:pt>
                <c:pt idx="123">
                  <c:v>0.11192942661977982</c:v>
                </c:pt>
                <c:pt idx="124">
                  <c:v>0.11428570700827079</c:v>
                </c:pt>
                <c:pt idx="125">
                  <c:v>0.10899067330267519</c:v>
                </c:pt>
                <c:pt idx="126">
                  <c:v>7.9222265489897956E-2</c:v>
                </c:pt>
                <c:pt idx="127">
                  <c:v>8.0900788704633644E-2</c:v>
                </c:pt>
                <c:pt idx="128">
                  <c:v>6.3144347988511318E-2</c:v>
                </c:pt>
                <c:pt idx="129">
                  <c:v>6.1863969648659874E-2</c:v>
                </c:pt>
                <c:pt idx="130">
                  <c:v>6.7431340989888192E-2</c:v>
                </c:pt>
                <c:pt idx="131">
                  <c:v>6.9308976066837891E-2</c:v>
                </c:pt>
                <c:pt idx="132">
                  <c:v>6.8131407982525496E-2</c:v>
                </c:pt>
                <c:pt idx="133">
                  <c:v>3.236537613885411E-2</c:v>
                </c:pt>
                <c:pt idx="134">
                  <c:v>1.3551990453497469E-2</c:v>
                </c:pt>
                <c:pt idx="135">
                  <c:v>1.5510531011195903E-2</c:v>
                </c:pt>
                <c:pt idx="136">
                  <c:v>1.3086651479357168E-2</c:v>
                </c:pt>
                <c:pt idx="137">
                  <c:v>1.2867680497333445E-2</c:v>
                </c:pt>
                <c:pt idx="138">
                  <c:v>2.223339436864671E-2</c:v>
                </c:pt>
                <c:pt idx="139">
                  <c:v>1.5100725209422973E-2</c:v>
                </c:pt>
                <c:pt idx="140">
                  <c:v>5.9071100596020595E-3</c:v>
                </c:pt>
                <c:pt idx="141">
                  <c:v>5.8943494595884108E-3</c:v>
                </c:pt>
                <c:pt idx="142">
                  <c:v>5.6180577981498675E-3</c:v>
                </c:pt>
                <c:pt idx="143">
                  <c:v>3.7241615871769114E-2</c:v>
                </c:pt>
                <c:pt idx="144">
                  <c:v>3.7881443815404398E-2</c:v>
                </c:pt>
                <c:pt idx="145">
                  <c:v>3.745192034858405E-2</c:v>
                </c:pt>
                <c:pt idx="146">
                  <c:v>3.9610340676156645E-2</c:v>
                </c:pt>
                <c:pt idx="147">
                  <c:v>3.5552457365763249E-2</c:v>
                </c:pt>
                <c:pt idx="148">
                  <c:v>3.5405175677066955E-2</c:v>
                </c:pt>
                <c:pt idx="149">
                  <c:v>3.9073161231645379E-2</c:v>
                </c:pt>
                <c:pt idx="150">
                  <c:v>3.9071064172132491E-2</c:v>
                </c:pt>
                <c:pt idx="151">
                  <c:v>3.9181170262543585E-2</c:v>
                </c:pt>
                <c:pt idx="152">
                  <c:v>3.8915250675519132E-2</c:v>
                </c:pt>
                <c:pt idx="153">
                  <c:v>4.1095162232806071E-2</c:v>
                </c:pt>
                <c:pt idx="154">
                  <c:v>4.1095162232806071E-2</c:v>
                </c:pt>
                <c:pt idx="155">
                  <c:v>5.1176173099995712E-2</c:v>
                </c:pt>
                <c:pt idx="156">
                  <c:v>5.0534027189488455E-2</c:v>
                </c:pt>
                <c:pt idx="157">
                  <c:v>5.028621008539752E-2</c:v>
                </c:pt>
                <c:pt idx="158">
                  <c:v>4.835797105361575E-2</c:v>
                </c:pt>
                <c:pt idx="159">
                  <c:v>4.9610534389031E-2</c:v>
                </c:pt>
                <c:pt idx="160">
                  <c:v>5.2468402483422383E-2</c:v>
                </c:pt>
                <c:pt idx="161">
                  <c:v>5.5749745871981116E-2</c:v>
                </c:pt>
                <c:pt idx="162">
                  <c:v>5.8080545692817828E-2</c:v>
                </c:pt>
                <c:pt idx="163">
                  <c:v>6.0456115432510685E-2</c:v>
                </c:pt>
                <c:pt idx="164">
                  <c:v>6.0597673814100042E-2</c:v>
                </c:pt>
                <c:pt idx="165">
                  <c:v>6.2433466572869918E-2</c:v>
                </c:pt>
                <c:pt idx="166">
                  <c:v>6.4471922819974103E-2</c:v>
                </c:pt>
                <c:pt idx="167">
                  <c:v>6.9146487796063E-2</c:v>
                </c:pt>
                <c:pt idx="168">
                  <c:v>6.7419260886784266E-2</c:v>
                </c:pt>
                <c:pt idx="169">
                  <c:v>6.9603223330705372E-2</c:v>
                </c:pt>
                <c:pt idx="170">
                  <c:v>6.7764454192066836E-2</c:v>
                </c:pt>
                <c:pt idx="171">
                  <c:v>6.7450762327181238E-2</c:v>
                </c:pt>
                <c:pt idx="172">
                  <c:v>6.4265260899527665E-2</c:v>
                </c:pt>
                <c:pt idx="173">
                  <c:v>6.2122212900261653E-2</c:v>
                </c:pt>
                <c:pt idx="174">
                  <c:v>5.9438515083001651E-2</c:v>
                </c:pt>
                <c:pt idx="175">
                  <c:v>6.0328170222585333E-2</c:v>
                </c:pt>
                <c:pt idx="176">
                  <c:v>6.33032028643052E-2</c:v>
                </c:pt>
                <c:pt idx="177">
                  <c:v>6.2743363969091165E-2</c:v>
                </c:pt>
                <c:pt idx="178">
                  <c:v>6.3495911636035546E-2</c:v>
                </c:pt>
                <c:pt idx="179">
                  <c:v>6.5745300867453949E-2</c:v>
                </c:pt>
                <c:pt idx="180">
                  <c:v>6.6980720818375528E-2</c:v>
                </c:pt>
                <c:pt idx="181">
                  <c:v>6.5908109470628209E-2</c:v>
                </c:pt>
                <c:pt idx="182">
                  <c:v>6.1991011877309453E-2</c:v>
                </c:pt>
                <c:pt idx="183">
                  <c:v>6.0992946082228834E-2</c:v>
                </c:pt>
                <c:pt idx="184">
                  <c:v>5.9123795936378579E-2</c:v>
                </c:pt>
                <c:pt idx="185">
                  <c:v>6.0957712582469042E-2</c:v>
                </c:pt>
                <c:pt idx="186">
                  <c:v>6.3495690948961778E-2</c:v>
                </c:pt>
                <c:pt idx="187">
                  <c:v>6.1205056529825379E-2</c:v>
                </c:pt>
                <c:pt idx="188">
                  <c:v>6.0855569433316992E-2</c:v>
                </c:pt>
                <c:pt idx="189">
                  <c:v>6.2863463354908194E-2</c:v>
                </c:pt>
                <c:pt idx="190">
                  <c:v>6.1378205009795135E-2</c:v>
                </c:pt>
                <c:pt idx="191">
                  <c:v>5.9507093168078389E-2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52-4FE8-A202-0D9B5E203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982512"/>
        <c:axId val="1"/>
      </c:areaChart>
      <c:dateAx>
        <c:axId val="713982512"/>
        <c:scaling>
          <c:orientation val="minMax"/>
          <c:min val="42004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2"/>
        <c:majorTimeUnit val="years"/>
      </c:dateAx>
      <c:valAx>
        <c:axId val="1"/>
        <c:scaling>
          <c:orientation val="minMax"/>
          <c:min val="0.4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1398251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4496680359107534"/>
          <c:y val="0.32721612353200374"/>
          <c:w val="0.12615366574578968"/>
          <c:h val="0.5735475218882311"/>
        </c:manualLayout>
      </c:layout>
      <c:overlay val="0"/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10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11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12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13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14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15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16.xml><?xml version="1.0" encoding="utf-8"?>
<formControlPr xmlns="http://schemas.microsoft.com/office/spreadsheetml/2009/9/main" objectType="List" dx="22" fmlaLink="Title!$G$1" fmlaRange="$E$1:$E$2" noThreeD="1" sel="2" val="0"/>
</file>

<file path=xl/ctrlProps/ctrlProp2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3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4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5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6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7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8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ctrlProps/ctrlProp9.xml><?xml version="1.0" encoding="utf-8"?>
<formControlPr xmlns="http://schemas.microsoft.com/office/spreadsheetml/2009/9/main" objectType="Drop" dropLines="3" dropStyle="combo" dx="22" fmlaLink="Title!$G$1" fmlaRange="Title!$E$1:$E$2" noThreeD="1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Indice principal'!A1"/><Relationship Id="rId1" Type="http://schemas.openxmlformats.org/officeDocument/2006/relationships/chart" Target="../charts/chart10.xml"/><Relationship Id="rId4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chart" Target="../charts/chart11.xml"/><Relationship Id="rId4" Type="http://schemas.openxmlformats.org/officeDocument/2006/relationships/hyperlink" Target="#'Indice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hyperlink" Target="#'Indice principal'!A1"/><Relationship Id="rId1" Type="http://schemas.openxmlformats.org/officeDocument/2006/relationships/chart" Target="../charts/chart12.xml"/><Relationship Id="rId4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Indice principal'!A1"/><Relationship Id="rId1" Type="http://schemas.openxmlformats.org/officeDocument/2006/relationships/chart" Target="../charts/chart13.xml"/><Relationship Id="rId4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hyperlink" Target="#'Indice principal'!A1"/><Relationship Id="rId1" Type="http://schemas.openxmlformats.org/officeDocument/2006/relationships/chart" Target="../charts/chart14.xml"/><Relationship Id="rId4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Indice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Indice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Indice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4.xml"/><Relationship Id="rId4" Type="http://schemas.openxmlformats.org/officeDocument/2006/relationships/hyperlink" Target="#'Indice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4" Type="http://schemas.openxmlformats.org/officeDocument/2006/relationships/hyperlink" Target="#'Indice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Indice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chart" Target="../charts/chart7.xml"/><Relationship Id="rId4" Type="http://schemas.openxmlformats.org/officeDocument/2006/relationships/hyperlink" Target="#'Indice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Indice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Indice principal'!A1"/><Relationship Id="rId1" Type="http://schemas.openxmlformats.org/officeDocument/2006/relationships/chart" Target="../charts/chart9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173991</xdr:colOff>
      <xdr:row>20</xdr:row>
      <xdr:rowOff>132714</xdr:rowOff>
    </xdr:from>
    <xdr:to>
      <xdr:col>8</xdr:col>
      <xdr:colOff>1428</xdr:colOff>
      <xdr:row>23</xdr:row>
      <xdr:rowOff>515</xdr:rowOff>
    </xdr:to>
    <xdr:sp macro="" textlink="Indice_PrincipalCuadro_texto_fuentes">
      <xdr:nvSpPr>
        <xdr:cNvPr id="2" name="1 CuadroTexto">
          <a:extLst>
            <a:ext uri="{FF2B5EF4-FFF2-40B4-BE49-F238E27FC236}">
              <a16:creationId xmlns:a16="http://schemas.microsoft.com/office/drawing/2014/main" id="{AB59D5D6-D695-DBE7-18B2-2F787BFB5AAE}"/>
            </a:ext>
          </a:extLst>
        </xdr:cNvPr>
        <xdr:cNvSpPr txBox="1"/>
      </xdr:nvSpPr>
      <xdr:spPr>
        <a:xfrm>
          <a:off x="3695700" y="3257549"/>
          <a:ext cx="4543425" cy="4667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F243DCFC-F1C5-471C-AA91-AF2A4AC07F1B}" type="TxLink">
            <a:rPr lang="es-CO" sz="1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Estadísticas de las fuentes de la deuda GNC. Organizado por instrumento de financiamiento. 
Ejemplos: TES; Bonos de Paz; y otros.
</a:t>
          </a:fld>
          <a:endParaRPr lang="es-C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227967</xdr:colOff>
      <xdr:row>24</xdr:row>
      <xdr:rowOff>1903</xdr:rowOff>
    </xdr:from>
    <xdr:to>
      <xdr:col>8</xdr:col>
      <xdr:colOff>1415</xdr:colOff>
      <xdr:row>27</xdr:row>
      <xdr:rowOff>2311</xdr:rowOff>
    </xdr:to>
    <xdr:sp macro="" textlink="Indice_PrincipalCuadro_texto_tasas">
      <xdr:nvSpPr>
        <xdr:cNvPr id="3" name="2 CuadroTexto">
          <a:extLst>
            <a:ext uri="{FF2B5EF4-FFF2-40B4-BE49-F238E27FC236}">
              <a16:creationId xmlns:a16="http://schemas.microsoft.com/office/drawing/2014/main" id="{5B416C34-F584-2006-87DC-9B64DAC550DC}"/>
            </a:ext>
          </a:extLst>
        </xdr:cNvPr>
        <xdr:cNvSpPr txBox="1"/>
      </xdr:nvSpPr>
      <xdr:spPr>
        <a:xfrm>
          <a:off x="4486276" y="3809998"/>
          <a:ext cx="455295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fld id="{D18FF2BA-CEB1-4C74-AF26-48D416F88642}" type="TxLink">
            <a:rPr lang="es-C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pPr algn="l" rtl="0">
              <a:defRPr sz="1000"/>
            </a:pPr>
            <a:t>Estadísticas de las estructuras de las tasas de la deuda GNC. Organizado por las características del instrumento de financiamiento.
Ejemplos : Variable; Fija; COP Fija; UVR Fija; y otros.
</a:t>
          </a:fld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173991</xdr:colOff>
      <xdr:row>27</xdr:row>
      <xdr:rowOff>129540</xdr:rowOff>
    </xdr:from>
    <xdr:to>
      <xdr:col>8</xdr:col>
      <xdr:colOff>1428</xdr:colOff>
      <xdr:row>31</xdr:row>
      <xdr:rowOff>2463</xdr:rowOff>
    </xdr:to>
    <xdr:sp macro="" textlink="Indice_PrincipalCuadro_texto_moneda">
      <xdr:nvSpPr>
        <xdr:cNvPr id="4" name="3 CuadroTexto">
          <a:extLst>
            <a:ext uri="{FF2B5EF4-FFF2-40B4-BE49-F238E27FC236}">
              <a16:creationId xmlns:a16="http://schemas.microsoft.com/office/drawing/2014/main" id="{D2EDCC76-6E68-B2DF-1C4E-13174C3DB61D}"/>
            </a:ext>
          </a:extLst>
        </xdr:cNvPr>
        <xdr:cNvSpPr txBox="1"/>
      </xdr:nvSpPr>
      <xdr:spPr>
        <a:xfrm>
          <a:off x="3695700" y="4391025"/>
          <a:ext cx="4543425" cy="61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E0D9B650-1381-4F27-9050-4F1FEEDF01CC}" type="TxLink">
            <a:rPr lang="es-CO" sz="1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Estadísticas de las monedas en las cuales está denominada la deuda GNC. Organizado por las monedas del instrumento de financiamiento. 
Ejemplos : EUR; COP; USD;  y otros.
</a:t>
          </a:fld>
          <a:endParaRPr lang="es-C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450850</xdr:colOff>
      <xdr:row>31</xdr:row>
      <xdr:rowOff>0</xdr:rowOff>
    </xdr:from>
    <xdr:to>
      <xdr:col>8</xdr:col>
      <xdr:colOff>5464</xdr:colOff>
      <xdr:row>35</xdr:row>
      <xdr:rowOff>997</xdr:rowOff>
    </xdr:to>
    <xdr:sp macro="" textlink="Indice_PrincipalCuadro_texto_servicio">
      <xdr:nvSpPr>
        <xdr:cNvPr id="5" name="4 CuadroTexto">
          <a:extLst>
            <a:ext uri="{FF2B5EF4-FFF2-40B4-BE49-F238E27FC236}">
              <a16:creationId xmlns:a16="http://schemas.microsoft.com/office/drawing/2014/main" id="{A715DDD7-DAC7-0EBA-307C-60415F1EE1DA}"/>
            </a:ext>
          </a:extLst>
        </xdr:cNvPr>
        <xdr:cNvSpPr txBox="1"/>
      </xdr:nvSpPr>
      <xdr:spPr>
        <a:xfrm>
          <a:off x="3724275" y="5019674"/>
          <a:ext cx="4543425" cy="61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9413F7EB-D991-4627-B17A-F97495792A78}" type="TxLink">
            <a:rPr lang="es-CO" sz="1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Estadísticas del servicio de deuda GNC. Organizado por amortizaciones, intereses, y totales. 
</a:t>
          </a:fld>
          <a:endParaRPr lang="es-CO" sz="1000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173991</xdr:colOff>
      <xdr:row>35</xdr:row>
      <xdr:rowOff>129540</xdr:rowOff>
    </xdr:from>
    <xdr:to>
      <xdr:col>8</xdr:col>
      <xdr:colOff>1428</xdr:colOff>
      <xdr:row>38</xdr:row>
      <xdr:rowOff>77</xdr:rowOff>
    </xdr:to>
    <xdr:sp macro="" textlink="Indice_PrincipalCuadro_texto_indicadores">
      <xdr:nvSpPr>
        <xdr:cNvPr id="6" name="5 CuadroTexto">
          <a:extLst>
            <a:ext uri="{FF2B5EF4-FFF2-40B4-BE49-F238E27FC236}">
              <a16:creationId xmlns:a16="http://schemas.microsoft.com/office/drawing/2014/main" id="{930F7830-E437-99FC-89F4-5841EEA1C85A}"/>
            </a:ext>
          </a:extLst>
        </xdr:cNvPr>
        <xdr:cNvSpPr txBox="1"/>
      </xdr:nvSpPr>
      <xdr:spPr>
        <a:xfrm>
          <a:off x="3695700" y="5686425"/>
          <a:ext cx="4543425" cy="61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1331C301-07FE-401F-AFC5-3E9088103131}" type="TxLink">
            <a:rPr lang="es-CO" sz="1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Estadísticas de indicadores comunes de la deuda GNC. 
Ejemplos: Vida Media; Duración ; y Cupón Promedio.
</a:t>
          </a:fld>
          <a:endParaRPr lang="es-CO" sz="1000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173991</xdr:colOff>
      <xdr:row>17</xdr:row>
      <xdr:rowOff>2687</xdr:rowOff>
    </xdr:from>
    <xdr:to>
      <xdr:col>8</xdr:col>
      <xdr:colOff>1428</xdr:colOff>
      <xdr:row>20</xdr:row>
      <xdr:rowOff>286</xdr:rowOff>
    </xdr:to>
    <xdr:sp macro="" textlink="Indice_PrincipalCuadro_texto_saldos">
      <xdr:nvSpPr>
        <xdr:cNvPr id="7" name="6 CuadroTexto">
          <a:extLst>
            <a:ext uri="{FF2B5EF4-FFF2-40B4-BE49-F238E27FC236}">
              <a16:creationId xmlns:a16="http://schemas.microsoft.com/office/drawing/2014/main" id="{AA5B2737-A062-01D3-B761-E32C011B413C}"/>
            </a:ext>
          </a:extLst>
        </xdr:cNvPr>
        <xdr:cNvSpPr txBox="1"/>
      </xdr:nvSpPr>
      <xdr:spPr>
        <a:xfrm>
          <a:off x="3695700" y="2768112"/>
          <a:ext cx="4543425" cy="470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fld id="{8E60C2C8-67E9-43D4-AEAD-42234F4D963B}" type="TxLink">
            <a:rPr lang="es-CO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rtl="0">
              <a:defRPr sz="1000"/>
            </a:pPr>
            <a:t>Estadísticas de los saldos de la deuda GNC. Organizado por deuda interna y externa. 
Ejemplos: Saldo  deuda externa en USD; Composición en moneda extranjera como % de total.
</a:t>
          </a:fld>
          <a:endParaRPr lang="es-CO" sz="10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47626</xdr:colOff>
      <xdr:row>0</xdr:row>
      <xdr:rowOff>0</xdr:rowOff>
    </xdr:from>
    <xdr:to>
      <xdr:col>2</xdr:col>
      <xdr:colOff>1517</xdr:colOff>
      <xdr:row>3</xdr:row>
      <xdr:rowOff>3944</xdr:rowOff>
    </xdr:to>
    <xdr:sp macro="" textlink="">
      <xdr:nvSpPr>
        <xdr:cNvPr id="14" name="Rectangle 3">
          <a:extLst>
            <a:ext uri="{FF2B5EF4-FFF2-40B4-BE49-F238E27FC236}">
              <a16:creationId xmlns:a16="http://schemas.microsoft.com/office/drawing/2014/main" id="{79683FA0-BBEA-F1DC-E086-837F2D816983}"/>
            </a:ext>
          </a:extLst>
        </xdr:cNvPr>
        <xdr:cNvSpPr>
          <a:spLocks noChangeArrowheads="1"/>
        </xdr:cNvSpPr>
      </xdr:nvSpPr>
      <xdr:spPr bwMode="auto">
        <a:xfrm>
          <a:off x="9526" y="9525"/>
          <a:ext cx="1714500" cy="463363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900" b="0" i="0" u="none" strike="noStrike" baseline="0">
              <a:solidFill>
                <a:srgbClr val="FFFFFF"/>
              </a:solidFill>
              <a:latin typeface="Arial" panose="020B0604020202020204" pitchFamily="34" charset="0"/>
              <a:cs typeface="Arial" panose="020B0604020202020204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733425</xdr:colOff>
          <xdr:row>1</xdr:row>
          <xdr:rowOff>219075</xdr:rowOff>
        </xdr:from>
        <xdr:to>
          <xdr:col>1</xdr:col>
          <xdr:colOff>1485900</xdr:colOff>
          <xdr:row>2</xdr:row>
          <xdr:rowOff>390525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 editAs="oneCell">
    <xdr:from>
      <xdr:col>0</xdr:col>
      <xdr:colOff>95250</xdr:colOff>
      <xdr:row>4</xdr:row>
      <xdr:rowOff>38100</xdr:rowOff>
    </xdr:from>
    <xdr:to>
      <xdr:col>1</xdr:col>
      <xdr:colOff>333375</xdr:colOff>
      <xdr:row>7</xdr:row>
      <xdr:rowOff>85725</xdr:rowOff>
    </xdr:to>
    <xdr:pic>
      <xdr:nvPicPr>
        <xdr:cNvPr id="27481284" name="Imagen 2">
          <a:extLst>
            <a:ext uri="{FF2B5EF4-FFF2-40B4-BE49-F238E27FC236}">
              <a16:creationId xmlns:a16="http://schemas.microsoft.com/office/drawing/2014/main" id="{268C6611-649F-E893-441A-FFBB388C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85800"/>
          <a:ext cx="14192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2571750</xdr:colOff>
      <xdr:row>4</xdr:row>
      <xdr:rowOff>257175</xdr:rowOff>
    </xdr:from>
    <xdr:to>
      <xdr:col>7</xdr:col>
      <xdr:colOff>600075</xdr:colOff>
      <xdr:row>7</xdr:row>
      <xdr:rowOff>447675</xdr:rowOff>
    </xdr:to>
    <xdr:pic>
      <xdr:nvPicPr>
        <xdr:cNvPr id="27481285" name="Imagen 3">
          <a:extLst>
            <a:ext uri="{FF2B5EF4-FFF2-40B4-BE49-F238E27FC236}">
              <a16:creationId xmlns:a16="http://schemas.microsoft.com/office/drawing/2014/main" id="{8634D6E8-28BD-288F-0B11-4904E0686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7172325" y="80962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635818</xdr:colOff>
      <xdr:row>3</xdr:row>
      <xdr:rowOff>1752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2121064A-D76D-D77B-A4CD-474A38E27E1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965382" cy="472617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800100</xdr:colOff>
          <xdr:row>1</xdr:row>
          <xdr:rowOff>142875</xdr:rowOff>
        </xdr:from>
        <xdr:to>
          <xdr:col>1</xdr:col>
          <xdr:colOff>2543175</xdr:colOff>
          <xdr:row>2</xdr:row>
          <xdr:rowOff>323850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9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2</xdr:col>
      <xdr:colOff>790575</xdr:colOff>
      <xdr:row>2</xdr:row>
      <xdr:rowOff>200025</xdr:rowOff>
    </xdr:from>
    <xdr:to>
      <xdr:col>6</xdr:col>
      <xdr:colOff>6105525</xdr:colOff>
      <xdr:row>19</xdr:row>
      <xdr:rowOff>57150</xdr:rowOff>
    </xdr:to>
    <xdr:graphicFrame macro="">
      <xdr:nvGraphicFramePr>
        <xdr:cNvPr id="27498644" name="2 Gráfico">
          <a:extLst>
            <a:ext uri="{FF2B5EF4-FFF2-40B4-BE49-F238E27FC236}">
              <a16:creationId xmlns:a16="http://schemas.microsoft.com/office/drawing/2014/main" id="{76F8239A-9F3B-44C1-BC62-205865D03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2183130</xdr:colOff>
      <xdr:row>0</xdr:row>
      <xdr:rowOff>0</xdr:rowOff>
    </xdr:from>
    <xdr:to>
      <xdr:col>6</xdr:col>
      <xdr:colOff>2183130</xdr:colOff>
      <xdr:row>3</xdr:row>
      <xdr:rowOff>227</xdr:rowOff>
    </xdr:to>
    <xdr:grpSp>
      <xdr:nvGrpSpPr>
        <xdr:cNvPr id="14" name="Grup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8890F6-5D67-CF2F-D710-1F23FFC88DE0}"/>
            </a:ext>
          </a:extLst>
        </xdr:cNvPr>
        <xdr:cNvGrpSpPr>
          <a:grpSpLocks/>
        </xdr:cNvGrpSpPr>
      </xdr:nvGrpSpPr>
      <xdr:grpSpPr bwMode="auto">
        <a:xfrm>
          <a:off x="9299329" y="0"/>
          <a:ext cx="0" cy="491840"/>
          <a:chOff x="86432" y="69056"/>
          <a:chExt cx="788798" cy="419100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2" name="11 Elipse">
            <a:extLst>
              <a:ext uri="{FF2B5EF4-FFF2-40B4-BE49-F238E27FC236}">
                <a16:creationId xmlns:a16="http://schemas.microsoft.com/office/drawing/2014/main" id="{0F202BE0-2C2B-C0F8-F280-ED720E2C2109}"/>
              </a:ext>
            </a:extLst>
          </xdr:cNvPr>
          <xdr:cNvSpPr/>
        </xdr:nvSpPr>
        <xdr:spPr bwMode="auto">
          <a:xfrm>
            <a:off x="9286875" y="-8808580"/>
            <a:ext cx="0" cy="586460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3" name="12 CuadroTexto">
            <a:extLst>
              <a:ext uri="{FF2B5EF4-FFF2-40B4-BE49-F238E27FC236}">
                <a16:creationId xmlns:a16="http://schemas.microsoft.com/office/drawing/2014/main" id="{DA1C05BE-BEA3-402B-5644-B525C9638FE3}"/>
              </a:ext>
            </a:extLst>
          </xdr:cNvPr>
          <xdr:cNvSpPr txBox="1"/>
        </xdr:nvSpPr>
        <xdr:spPr bwMode="auto">
          <a:xfrm>
            <a:off x="9286875" y="-8565967"/>
            <a:ext cx="0" cy="23458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5F5500F6-EDD1-425D-901C-BE36BF100493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2</xdr:col>
      <xdr:colOff>990600</xdr:colOff>
      <xdr:row>1</xdr:row>
      <xdr:rowOff>514350</xdr:rowOff>
    </xdr:from>
    <xdr:to>
      <xdr:col>3</xdr:col>
      <xdr:colOff>19050</xdr:colOff>
      <xdr:row>4</xdr:row>
      <xdr:rowOff>95250</xdr:rowOff>
    </xdr:to>
    <xdr:pic>
      <xdr:nvPicPr>
        <xdr:cNvPr id="27498646" name="Imagen 2">
          <a:extLst>
            <a:ext uri="{FF2B5EF4-FFF2-40B4-BE49-F238E27FC236}">
              <a16:creationId xmlns:a16="http://schemas.microsoft.com/office/drawing/2014/main" id="{F13AF4E4-A5D3-23DF-9105-4697E57E4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323850"/>
          <a:ext cx="4095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1</xdr:row>
      <xdr:rowOff>447675</xdr:rowOff>
    </xdr:from>
    <xdr:to>
      <xdr:col>7</xdr:col>
      <xdr:colOff>0</xdr:colOff>
      <xdr:row>5</xdr:row>
      <xdr:rowOff>0</xdr:rowOff>
    </xdr:to>
    <xdr:pic>
      <xdr:nvPicPr>
        <xdr:cNvPr id="27498647" name="Imagen 3">
          <a:extLst>
            <a:ext uri="{FF2B5EF4-FFF2-40B4-BE49-F238E27FC236}">
              <a16:creationId xmlns:a16="http://schemas.microsoft.com/office/drawing/2014/main" id="{700F64D9-CDB5-3F70-4886-8D204B07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7258050" y="323850"/>
          <a:ext cx="2066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416563</xdr:colOff>
      <xdr:row>3</xdr:row>
      <xdr:rowOff>1752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98886676-0601-707E-E402-74FB2868413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816658" cy="472617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857250</xdr:colOff>
          <xdr:row>1</xdr:row>
          <xdr:rowOff>133350</xdr:rowOff>
        </xdr:from>
        <xdr:to>
          <xdr:col>1</xdr:col>
          <xdr:colOff>2105025</xdr:colOff>
          <xdr:row>2</xdr:row>
          <xdr:rowOff>390525</xdr:rowOff>
        </xdr:to>
        <xdr:sp macro="" textlink="">
          <xdr:nvSpPr>
            <xdr:cNvPr id="14337" name="Drop Dow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A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2</xdr:col>
      <xdr:colOff>2295525</xdr:colOff>
      <xdr:row>1</xdr:row>
      <xdr:rowOff>428625</xdr:rowOff>
    </xdr:from>
    <xdr:to>
      <xdr:col>7</xdr:col>
      <xdr:colOff>9458325</xdr:colOff>
      <xdr:row>18</xdr:row>
      <xdr:rowOff>9525</xdr:rowOff>
    </xdr:to>
    <xdr:graphicFrame macro="">
      <xdr:nvGraphicFramePr>
        <xdr:cNvPr id="27500692" name="1 Gráfico">
          <a:extLst>
            <a:ext uri="{FF2B5EF4-FFF2-40B4-BE49-F238E27FC236}">
              <a16:creationId xmlns:a16="http://schemas.microsoft.com/office/drawing/2014/main" id="{3026C411-F9FE-014A-4010-C76007551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695325</xdr:colOff>
      <xdr:row>0</xdr:row>
      <xdr:rowOff>447675</xdr:rowOff>
    </xdr:from>
    <xdr:to>
      <xdr:col>4</xdr:col>
      <xdr:colOff>0</xdr:colOff>
      <xdr:row>4</xdr:row>
      <xdr:rowOff>9525</xdr:rowOff>
    </xdr:to>
    <xdr:pic>
      <xdr:nvPicPr>
        <xdr:cNvPr id="27500693" name="Imagen 2">
          <a:extLst>
            <a:ext uri="{FF2B5EF4-FFF2-40B4-BE49-F238E27FC236}">
              <a16:creationId xmlns:a16="http://schemas.microsoft.com/office/drawing/2014/main" id="{ECE451BD-D631-08E2-9244-F74384EC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161925"/>
          <a:ext cx="942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3857625</xdr:colOff>
      <xdr:row>0</xdr:row>
      <xdr:rowOff>323850</xdr:rowOff>
    </xdr:from>
    <xdr:to>
      <xdr:col>8</xdr:col>
      <xdr:colOff>0</xdr:colOff>
      <xdr:row>4</xdr:row>
      <xdr:rowOff>9525</xdr:rowOff>
    </xdr:to>
    <xdr:pic>
      <xdr:nvPicPr>
        <xdr:cNvPr id="27500694" name="Imagen 3">
          <a:extLst>
            <a:ext uri="{FF2B5EF4-FFF2-40B4-BE49-F238E27FC236}">
              <a16:creationId xmlns:a16="http://schemas.microsoft.com/office/drawing/2014/main" id="{287F8A68-79B3-16D2-051F-0EBA968E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9953625" y="161925"/>
          <a:ext cx="1809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</xdr:row>
      <xdr:rowOff>966</xdr:rowOff>
    </xdr:from>
    <xdr:to>
      <xdr:col>8</xdr:col>
      <xdr:colOff>0</xdr:colOff>
      <xdr:row>3</xdr:row>
      <xdr:rowOff>45209</xdr:rowOff>
    </xdr:to>
    <xdr:grpSp>
      <xdr:nvGrpSpPr>
        <xdr:cNvPr id="12" name="Grupo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23A031-2F0B-EECB-1202-A3FB9BDFE4E3}"/>
            </a:ext>
          </a:extLst>
        </xdr:cNvPr>
        <xdr:cNvGrpSpPr>
          <a:grpSpLocks/>
        </xdr:cNvGrpSpPr>
      </xdr:nvGrpSpPr>
      <xdr:grpSpPr bwMode="auto">
        <a:xfrm>
          <a:off x="10142028" y="168702"/>
          <a:ext cx="0" cy="382890"/>
          <a:chOff x="86432" y="69056"/>
          <a:chExt cx="788798" cy="419100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3" name="11 Elipse">
            <a:extLst>
              <a:ext uri="{FF2B5EF4-FFF2-40B4-BE49-F238E27FC236}">
                <a16:creationId xmlns:a16="http://schemas.microsoft.com/office/drawing/2014/main" id="{7104B0C6-5627-405B-B591-5E5D20F9FB96}"/>
              </a:ext>
            </a:extLst>
          </xdr:cNvPr>
          <xdr:cNvSpPr/>
        </xdr:nvSpPr>
        <xdr:spPr bwMode="auto">
          <a:xfrm>
            <a:off x="10134600" y="587859"/>
            <a:ext cx="0" cy="510207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4" name="12 CuadroTexto">
            <a:extLst>
              <a:ext uri="{FF2B5EF4-FFF2-40B4-BE49-F238E27FC236}">
                <a16:creationId xmlns:a16="http://schemas.microsoft.com/office/drawing/2014/main" id="{231E66DC-0DB1-6C84-882B-344158CD834B}"/>
              </a:ext>
            </a:extLst>
          </xdr:cNvPr>
          <xdr:cNvSpPr txBox="1"/>
        </xdr:nvSpPr>
        <xdr:spPr bwMode="auto">
          <a:xfrm>
            <a:off x="10134600" y="705939"/>
            <a:ext cx="0" cy="293098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EDB4A56D-4981-42A7-8D34-3B589D4A28A9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2</xdr:col>
      <xdr:colOff>1422</xdr:colOff>
      <xdr:row>3</xdr:row>
      <xdr:rowOff>1797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D69C9472-C701-BB7B-E8A7-A9A1A8D984A4}"/>
            </a:ext>
          </a:extLst>
        </xdr:cNvPr>
        <xdr:cNvSpPr>
          <a:spLocks noChangeArrowheads="1"/>
        </xdr:cNvSpPr>
      </xdr:nvSpPr>
      <xdr:spPr bwMode="auto">
        <a:xfrm>
          <a:off x="1" y="0"/>
          <a:ext cx="1868709" cy="511969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619125</xdr:colOff>
          <xdr:row>1</xdr:row>
          <xdr:rowOff>257175</xdr:rowOff>
        </xdr:from>
        <xdr:to>
          <xdr:col>1</xdr:col>
          <xdr:colOff>2133600</xdr:colOff>
          <xdr:row>2</xdr:row>
          <xdr:rowOff>428625</xdr:rowOff>
        </xdr:to>
        <xdr:sp macro="" textlink="">
          <xdr:nvSpPr>
            <xdr:cNvPr id="15361" name="Drop Dow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B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2</xdr:col>
      <xdr:colOff>2362200</xdr:colOff>
      <xdr:row>1</xdr:row>
      <xdr:rowOff>371475</xdr:rowOff>
    </xdr:from>
    <xdr:to>
      <xdr:col>7</xdr:col>
      <xdr:colOff>3648075</xdr:colOff>
      <xdr:row>16</xdr:row>
      <xdr:rowOff>257175</xdr:rowOff>
    </xdr:to>
    <xdr:graphicFrame macro="">
      <xdr:nvGraphicFramePr>
        <xdr:cNvPr id="27502740" name="1 Gráfico">
          <a:extLst>
            <a:ext uri="{FF2B5EF4-FFF2-40B4-BE49-F238E27FC236}">
              <a16:creationId xmlns:a16="http://schemas.microsoft.com/office/drawing/2014/main" id="{498B44B9-F2E1-C03E-8DF2-16A072489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2477</xdr:colOff>
      <xdr:row>0</xdr:row>
      <xdr:rowOff>79972</xdr:rowOff>
    </xdr:from>
    <xdr:to>
      <xdr:col>9</xdr:col>
      <xdr:colOff>2477</xdr:colOff>
      <xdr:row>2</xdr:row>
      <xdr:rowOff>158214</xdr:rowOff>
    </xdr:to>
    <xdr:grpSp>
      <xdr:nvGrpSpPr>
        <xdr:cNvPr id="14" name="Grup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8F0153-3F12-6B95-D44E-4C38ECAB5673}"/>
            </a:ext>
          </a:extLst>
        </xdr:cNvPr>
        <xdr:cNvGrpSpPr>
          <a:grpSpLocks/>
        </xdr:cNvGrpSpPr>
      </xdr:nvGrpSpPr>
      <xdr:grpSpPr bwMode="auto">
        <a:xfrm>
          <a:off x="10378281" y="79972"/>
          <a:ext cx="0" cy="412146"/>
          <a:chOff x="86432" y="69056"/>
          <a:chExt cx="788798" cy="419100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2" name="11 Elipse">
            <a:extLst>
              <a:ext uri="{FF2B5EF4-FFF2-40B4-BE49-F238E27FC236}">
                <a16:creationId xmlns:a16="http://schemas.microsoft.com/office/drawing/2014/main" id="{BC0FD016-261F-63D5-C1D3-86293BF747E6}"/>
              </a:ext>
            </a:extLst>
          </xdr:cNvPr>
          <xdr:cNvSpPr/>
        </xdr:nvSpPr>
        <xdr:spPr bwMode="auto">
          <a:xfrm>
            <a:off x="10353675" y="155370"/>
            <a:ext cx="0" cy="384585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3" name="12 CuadroTexto">
            <a:extLst>
              <a:ext uri="{FF2B5EF4-FFF2-40B4-BE49-F238E27FC236}">
                <a16:creationId xmlns:a16="http://schemas.microsoft.com/office/drawing/2014/main" id="{AFDA121F-E911-41A9-D440-11FF90CAAF3A}"/>
              </a:ext>
            </a:extLst>
          </xdr:cNvPr>
          <xdr:cNvSpPr txBox="1"/>
        </xdr:nvSpPr>
        <xdr:spPr bwMode="auto">
          <a:xfrm>
            <a:off x="10353675" y="273368"/>
            <a:ext cx="0" cy="16764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562EFA83-0224-4804-9717-B15BCAD88DF0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2</xdr:col>
      <xdr:colOff>1228725</xdr:colOff>
      <xdr:row>0</xdr:row>
      <xdr:rowOff>200025</xdr:rowOff>
    </xdr:from>
    <xdr:to>
      <xdr:col>4</xdr:col>
      <xdr:colOff>0</xdr:colOff>
      <xdr:row>4</xdr:row>
      <xdr:rowOff>3175</xdr:rowOff>
    </xdr:to>
    <xdr:pic>
      <xdr:nvPicPr>
        <xdr:cNvPr id="27502742" name="Imagen 2">
          <a:extLst>
            <a:ext uri="{FF2B5EF4-FFF2-40B4-BE49-F238E27FC236}">
              <a16:creationId xmlns:a16="http://schemas.microsoft.com/office/drawing/2014/main" id="{6D70745D-63E1-A5FA-C4F6-92303067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161925"/>
          <a:ext cx="1152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276225</xdr:colOff>
      <xdr:row>0</xdr:row>
      <xdr:rowOff>390525</xdr:rowOff>
    </xdr:from>
    <xdr:to>
      <xdr:col>8</xdr:col>
      <xdr:colOff>857250</xdr:colOff>
      <xdr:row>4</xdr:row>
      <xdr:rowOff>3175</xdr:rowOff>
    </xdr:to>
    <xdr:pic>
      <xdr:nvPicPr>
        <xdr:cNvPr id="27502743" name="Imagen 3">
          <a:extLst>
            <a:ext uri="{FF2B5EF4-FFF2-40B4-BE49-F238E27FC236}">
              <a16:creationId xmlns:a16="http://schemas.microsoft.com/office/drawing/2014/main" id="{3A5B2ED2-A8BD-2ADD-3188-A070849D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7705725" y="161925"/>
          <a:ext cx="18002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47625</xdr:colOff>
      <xdr:row>2</xdr:row>
      <xdr:rowOff>219075</xdr:rowOff>
    </xdr:from>
    <xdr:to>
      <xdr:col>35</xdr:col>
      <xdr:colOff>2514600</xdr:colOff>
      <xdr:row>17</xdr:row>
      <xdr:rowOff>447675</xdr:rowOff>
    </xdr:to>
    <xdr:graphicFrame macro="">
      <xdr:nvGraphicFramePr>
        <xdr:cNvPr id="27504787" name="1 Gráfico">
          <a:extLst>
            <a:ext uri="{FF2B5EF4-FFF2-40B4-BE49-F238E27FC236}">
              <a16:creationId xmlns:a16="http://schemas.microsoft.com/office/drawing/2014/main" id="{53F978CA-A321-FE0F-D537-654DE0164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2842</xdr:colOff>
      <xdr:row>0</xdr:row>
      <xdr:rowOff>0</xdr:rowOff>
    </xdr:from>
    <xdr:to>
      <xdr:col>2</xdr:col>
      <xdr:colOff>30717</xdr:colOff>
      <xdr:row>2</xdr:row>
      <xdr:rowOff>160371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EF427FA-3B00-AA9F-919D-C28DC6B18D0B}"/>
            </a:ext>
          </a:extLst>
        </xdr:cNvPr>
        <xdr:cNvSpPr>
          <a:spLocks noChangeArrowheads="1"/>
        </xdr:cNvSpPr>
      </xdr:nvSpPr>
      <xdr:spPr bwMode="auto">
        <a:xfrm>
          <a:off x="981075" y="0"/>
          <a:ext cx="1714500" cy="463363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solidFill>
            <a:srgbClr val="002060"/>
          </a:solidFill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352425</xdr:colOff>
          <xdr:row>1</xdr:row>
          <xdr:rowOff>200025</xdr:rowOff>
        </xdr:from>
        <xdr:to>
          <xdr:col>1</xdr:col>
          <xdr:colOff>6115050</xdr:colOff>
          <xdr:row>2</xdr:row>
          <xdr:rowOff>371475</xdr:rowOff>
        </xdr:to>
        <xdr:sp macro="" textlink="">
          <xdr:nvSpPr>
            <xdr:cNvPr id="16385" name="Drop Dow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C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0</xdr:col>
      <xdr:colOff>506095</xdr:colOff>
      <xdr:row>0</xdr:row>
      <xdr:rowOff>38645</xdr:rowOff>
    </xdr:from>
    <xdr:to>
      <xdr:col>1</xdr:col>
      <xdr:colOff>550</xdr:colOff>
      <xdr:row>2</xdr:row>
      <xdr:rowOff>159991</xdr:rowOff>
    </xdr:to>
    <xdr:grpSp>
      <xdr:nvGrpSpPr>
        <xdr:cNvPr id="14" name="Grup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DA4E17-366B-A83A-80BD-D249CAFDF18A}"/>
            </a:ext>
          </a:extLst>
        </xdr:cNvPr>
        <xdr:cNvGrpSpPr>
          <a:grpSpLocks/>
        </xdr:cNvGrpSpPr>
      </xdr:nvGrpSpPr>
      <xdr:grpSpPr bwMode="auto">
        <a:xfrm>
          <a:off x="509270" y="38645"/>
          <a:ext cx="579851" cy="451092"/>
          <a:chOff x="86432" y="69056"/>
          <a:chExt cx="788798" cy="419100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1" name="11 Elipse">
            <a:extLst>
              <a:ext uri="{FF2B5EF4-FFF2-40B4-BE49-F238E27FC236}">
                <a16:creationId xmlns:a16="http://schemas.microsoft.com/office/drawing/2014/main" id="{76FA90FA-C17D-FD15-1278-7F6A3C4F1956}"/>
              </a:ext>
            </a:extLst>
          </xdr:cNvPr>
          <xdr:cNvSpPr/>
        </xdr:nvSpPr>
        <xdr:spPr bwMode="auto">
          <a:xfrm>
            <a:off x="393995" y="77458"/>
            <a:ext cx="786091" cy="320839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2" name="12 CuadroTexto">
            <a:extLst>
              <a:ext uri="{FF2B5EF4-FFF2-40B4-BE49-F238E27FC236}">
                <a16:creationId xmlns:a16="http://schemas.microsoft.com/office/drawing/2014/main" id="{D8419734-B8BF-5036-922B-1AF426848EEE}"/>
              </a:ext>
            </a:extLst>
          </xdr:cNvPr>
          <xdr:cNvSpPr txBox="1"/>
        </xdr:nvSpPr>
        <xdr:spPr bwMode="auto">
          <a:xfrm>
            <a:off x="484203" y="184405"/>
            <a:ext cx="618563" cy="124771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7E1C17F6-7CA9-4EBF-80F5-5D77BA882E96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22</xdr:col>
      <xdr:colOff>2781300</xdr:colOff>
      <xdr:row>0</xdr:row>
      <xdr:rowOff>0</xdr:rowOff>
    </xdr:from>
    <xdr:to>
      <xdr:col>24</xdr:col>
      <xdr:colOff>0</xdr:colOff>
      <xdr:row>3</xdr:row>
      <xdr:rowOff>161925</xdr:rowOff>
    </xdr:to>
    <xdr:pic>
      <xdr:nvPicPr>
        <xdr:cNvPr id="27504790" name="Imagen 2">
          <a:extLst>
            <a:ext uri="{FF2B5EF4-FFF2-40B4-BE49-F238E27FC236}">
              <a16:creationId xmlns:a16="http://schemas.microsoft.com/office/drawing/2014/main" id="{1748CC95-1D8B-AFA0-002A-30F0083F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7675" y="0"/>
          <a:ext cx="11620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504825</xdr:colOff>
      <xdr:row>0</xdr:row>
      <xdr:rowOff>295275</xdr:rowOff>
    </xdr:from>
    <xdr:to>
      <xdr:col>36</xdr:col>
      <xdr:colOff>0</xdr:colOff>
      <xdr:row>4</xdr:row>
      <xdr:rowOff>85725</xdr:rowOff>
    </xdr:to>
    <xdr:pic>
      <xdr:nvPicPr>
        <xdr:cNvPr id="27504791" name="Imagen 3">
          <a:extLst>
            <a:ext uri="{FF2B5EF4-FFF2-40B4-BE49-F238E27FC236}">
              <a16:creationId xmlns:a16="http://schemas.microsoft.com/office/drawing/2014/main" id="{683AAC63-78B4-1A7D-0932-D4CC904F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36061650" y="161925"/>
          <a:ext cx="17621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775</xdr:colOff>
      <xdr:row>0</xdr:row>
      <xdr:rowOff>0</xdr:rowOff>
    </xdr:from>
    <xdr:to>
      <xdr:col>2</xdr:col>
      <xdr:colOff>2238</xdr:colOff>
      <xdr:row>3</xdr:row>
      <xdr:rowOff>908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CE9263B-622A-62C1-89CC-144EF39C5905}"/>
            </a:ext>
          </a:extLst>
        </xdr:cNvPr>
        <xdr:cNvSpPr>
          <a:spLocks noChangeArrowheads="1"/>
        </xdr:cNvSpPr>
      </xdr:nvSpPr>
      <xdr:spPr bwMode="auto">
        <a:xfrm>
          <a:off x="981075" y="0"/>
          <a:ext cx="1714500" cy="463363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xdr:twoCellAnchor>
    <xdr:from>
      <xdr:col>22</xdr:col>
      <xdr:colOff>1800225</xdr:colOff>
      <xdr:row>1</xdr:row>
      <xdr:rowOff>295275</xdr:rowOff>
    </xdr:from>
    <xdr:to>
      <xdr:col>41</xdr:col>
      <xdr:colOff>742950</xdr:colOff>
      <xdr:row>17</xdr:row>
      <xdr:rowOff>304800</xdr:rowOff>
    </xdr:to>
    <xdr:graphicFrame macro="">
      <xdr:nvGraphicFramePr>
        <xdr:cNvPr id="27506836" name="1 Gráfico">
          <a:extLst>
            <a:ext uri="{FF2B5EF4-FFF2-40B4-BE49-F238E27FC236}">
              <a16:creationId xmlns:a16="http://schemas.microsoft.com/office/drawing/2014/main" id="{C0CE2B5D-3419-A64B-CA3E-0C597E96D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495300</xdr:colOff>
          <xdr:row>1</xdr:row>
          <xdr:rowOff>219075</xdr:rowOff>
        </xdr:from>
        <xdr:to>
          <xdr:col>1</xdr:col>
          <xdr:colOff>5514975</xdr:colOff>
          <xdr:row>2</xdr:row>
          <xdr:rowOff>390525</xdr:rowOff>
        </xdr:to>
        <xdr:sp macro="" textlink="">
          <xdr:nvSpPr>
            <xdr:cNvPr id="17409" name="Drop Dow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D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0</xdr:col>
      <xdr:colOff>233861</xdr:colOff>
      <xdr:row>0</xdr:row>
      <xdr:rowOff>2178</xdr:rowOff>
    </xdr:from>
    <xdr:to>
      <xdr:col>1</xdr:col>
      <xdr:colOff>1702</xdr:colOff>
      <xdr:row>3</xdr:row>
      <xdr:rowOff>2295</xdr:rowOff>
    </xdr:to>
    <xdr:grpSp>
      <xdr:nvGrpSpPr>
        <xdr:cNvPr id="14" name="Grup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7B1B44-7001-EDB6-D1B4-69E316669B95}"/>
            </a:ext>
          </a:extLst>
        </xdr:cNvPr>
        <xdr:cNvGrpSpPr>
          <a:grpSpLocks/>
        </xdr:cNvGrpSpPr>
      </xdr:nvGrpSpPr>
      <xdr:grpSpPr bwMode="auto">
        <a:xfrm>
          <a:off x="237036" y="2178"/>
          <a:ext cx="789737" cy="489974"/>
          <a:chOff x="86432" y="69056"/>
          <a:chExt cx="788798" cy="419100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1" name="11 Elipse">
            <a:extLst>
              <a:ext uri="{FF2B5EF4-FFF2-40B4-BE49-F238E27FC236}">
                <a16:creationId xmlns:a16="http://schemas.microsoft.com/office/drawing/2014/main" id="{A69A3138-3175-EB38-C9BC-B2C69D607275}"/>
              </a:ext>
            </a:extLst>
          </xdr:cNvPr>
          <xdr:cNvSpPr/>
        </xdr:nvSpPr>
        <xdr:spPr bwMode="auto">
          <a:xfrm>
            <a:off x="205059" y="34604"/>
            <a:ext cx="1048310" cy="285153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2" name="12 CuadroTexto">
            <a:extLst>
              <a:ext uri="{FF2B5EF4-FFF2-40B4-BE49-F238E27FC236}">
                <a16:creationId xmlns:a16="http://schemas.microsoft.com/office/drawing/2014/main" id="{358DA93B-75EE-380A-20A4-FB74F2F038A4}"/>
              </a:ext>
            </a:extLst>
          </xdr:cNvPr>
          <xdr:cNvSpPr txBox="1"/>
        </xdr:nvSpPr>
        <xdr:spPr bwMode="auto">
          <a:xfrm>
            <a:off x="328950" y="148665"/>
            <a:ext cx="819587" cy="14665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6492D397-70D0-4BDE-AB90-DDF68E7D9A4D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23</xdr:col>
      <xdr:colOff>1352550</xdr:colOff>
      <xdr:row>0</xdr:row>
      <xdr:rowOff>0</xdr:rowOff>
    </xdr:from>
    <xdr:to>
      <xdr:col>24</xdr:col>
      <xdr:colOff>1114425</xdr:colOff>
      <xdr:row>3</xdr:row>
      <xdr:rowOff>161925</xdr:rowOff>
    </xdr:to>
    <xdr:pic>
      <xdr:nvPicPr>
        <xdr:cNvPr id="27506838" name="Imagen 2">
          <a:extLst>
            <a:ext uri="{FF2B5EF4-FFF2-40B4-BE49-F238E27FC236}">
              <a16:creationId xmlns:a16="http://schemas.microsoft.com/office/drawing/2014/main" id="{029715AE-1E00-4610-82B8-ADF619AF5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74950" y="0"/>
          <a:ext cx="1114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2438400</xdr:colOff>
      <xdr:row>0</xdr:row>
      <xdr:rowOff>0</xdr:rowOff>
    </xdr:from>
    <xdr:to>
      <xdr:col>42</xdr:col>
      <xdr:colOff>0</xdr:colOff>
      <xdr:row>3</xdr:row>
      <xdr:rowOff>161925</xdr:rowOff>
    </xdr:to>
    <xdr:pic>
      <xdr:nvPicPr>
        <xdr:cNvPr id="27506839" name="Imagen 3">
          <a:extLst>
            <a:ext uri="{FF2B5EF4-FFF2-40B4-BE49-F238E27FC236}">
              <a16:creationId xmlns:a16="http://schemas.microsoft.com/office/drawing/2014/main" id="{A13A4864-12CE-9A3C-23C7-7ECA9460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46005750" y="0"/>
          <a:ext cx="16954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1114425</xdr:colOff>
      <xdr:row>1</xdr:row>
      <xdr:rowOff>371475</xdr:rowOff>
    </xdr:from>
    <xdr:to>
      <xdr:col>46</xdr:col>
      <xdr:colOff>1352550</xdr:colOff>
      <xdr:row>17</xdr:row>
      <xdr:rowOff>323850</xdr:rowOff>
    </xdr:to>
    <xdr:graphicFrame macro="">
      <xdr:nvGraphicFramePr>
        <xdr:cNvPr id="27508883" name="1 Gráfico">
          <a:extLst>
            <a:ext uri="{FF2B5EF4-FFF2-40B4-BE49-F238E27FC236}">
              <a16:creationId xmlns:a16="http://schemas.microsoft.com/office/drawing/2014/main" id="{F1A07672-0D50-EADC-C1DE-05E7D8677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0</xdr:row>
      <xdr:rowOff>0</xdr:rowOff>
    </xdr:from>
    <xdr:to>
      <xdr:col>2</xdr:col>
      <xdr:colOff>1510</xdr:colOff>
      <xdr:row>3</xdr:row>
      <xdr:rowOff>1415</xdr:rowOff>
    </xdr:to>
    <xdr:sp macro="" textlink="">
      <xdr:nvSpPr>
        <xdr:cNvPr id="7" name="Rectangle 3">
          <a:extLst>
            <a:ext uri="{FF2B5EF4-FFF2-40B4-BE49-F238E27FC236}">
              <a16:creationId xmlns:a16="http://schemas.microsoft.com/office/drawing/2014/main" id="{DDF5279D-6F5B-ACB1-AAE6-AE4939C5A39C}"/>
            </a:ext>
          </a:extLst>
        </xdr:cNvPr>
        <xdr:cNvSpPr>
          <a:spLocks noChangeArrowheads="1"/>
        </xdr:cNvSpPr>
      </xdr:nvSpPr>
      <xdr:spPr bwMode="auto">
        <a:xfrm>
          <a:off x="979714" y="0"/>
          <a:ext cx="1741715" cy="491272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523875</xdr:colOff>
          <xdr:row>1</xdr:row>
          <xdr:rowOff>200025</xdr:rowOff>
        </xdr:from>
        <xdr:to>
          <xdr:col>1</xdr:col>
          <xdr:colOff>5648325</xdr:colOff>
          <xdr:row>2</xdr:row>
          <xdr:rowOff>371475</xdr:rowOff>
        </xdr:to>
        <xdr:sp macro="" textlink="">
          <xdr:nvSpPr>
            <xdr:cNvPr id="19475" name="Drop Down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00000000-0008-0000-0E00-00001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0</xdr:col>
      <xdr:colOff>189230</xdr:colOff>
      <xdr:row>0</xdr:row>
      <xdr:rowOff>38646</xdr:rowOff>
    </xdr:from>
    <xdr:to>
      <xdr:col>1</xdr:col>
      <xdr:colOff>2913</xdr:colOff>
      <xdr:row>3</xdr:row>
      <xdr:rowOff>3455</xdr:rowOff>
    </xdr:to>
    <xdr:grpSp>
      <xdr:nvGrpSpPr>
        <xdr:cNvPr id="14" name="Grup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C4979-9113-2BB7-030F-5ACCEC7A13D7}"/>
            </a:ext>
          </a:extLst>
        </xdr:cNvPr>
        <xdr:cNvGrpSpPr>
          <a:grpSpLocks/>
        </xdr:cNvGrpSpPr>
      </xdr:nvGrpSpPr>
      <xdr:grpSpPr bwMode="auto">
        <a:xfrm>
          <a:off x="189230" y="38646"/>
          <a:ext cx="802469" cy="454666"/>
          <a:chOff x="86432" y="69056"/>
          <a:chExt cx="788798" cy="419100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2" name="11 Elipse">
            <a:extLst>
              <a:ext uri="{FF2B5EF4-FFF2-40B4-BE49-F238E27FC236}">
                <a16:creationId xmlns:a16="http://schemas.microsoft.com/office/drawing/2014/main" id="{1097E4CA-0AB3-BFEE-047E-49BA6F96B0F5}"/>
              </a:ext>
            </a:extLst>
          </xdr:cNvPr>
          <xdr:cNvSpPr/>
        </xdr:nvSpPr>
        <xdr:spPr bwMode="auto">
          <a:xfrm>
            <a:off x="153442" y="123534"/>
            <a:ext cx="1070912" cy="696710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3" name="12 CuadroTexto">
            <a:extLst>
              <a:ext uri="{FF2B5EF4-FFF2-40B4-BE49-F238E27FC236}">
                <a16:creationId xmlns:a16="http://schemas.microsoft.com/office/drawing/2014/main" id="{EACB0056-40C1-E0BA-4554-8635AA9E1B25}"/>
              </a:ext>
            </a:extLst>
          </xdr:cNvPr>
          <xdr:cNvSpPr txBox="1"/>
        </xdr:nvSpPr>
        <xdr:spPr bwMode="auto">
          <a:xfrm>
            <a:off x="284958" y="380216"/>
            <a:ext cx="826669" cy="311686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C0E748E9-8747-47F8-8209-DCFE6A0C81BE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23</xdr:col>
      <xdr:colOff>733425</xdr:colOff>
      <xdr:row>0</xdr:row>
      <xdr:rowOff>0</xdr:rowOff>
    </xdr:from>
    <xdr:to>
      <xdr:col>25</xdr:col>
      <xdr:colOff>0</xdr:colOff>
      <xdr:row>4</xdr:row>
      <xdr:rowOff>28575</xdr:rowOff>
    </xdr:to>
    <xdr:pic>
      <xdr:nvPicPr>
        <xdr:cNvPr id="27508886" name="Imagen 2">
          <a:extLst>
            <a:ext uri="{FF2B5EF4-FFF2-40B4-BE49-F238E27FC236}">
              <a16:creationId xmlns:a16="http://schemas.microsoft.com/office/drawing/2014/main" id="{A7B3C3E4-A3D7-D71D-318A-B672BE26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93375" y="0"/>
          <a:ext cx="1228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1457325</xdr:colOff>
      <xdr:row>0</xdr:row>
      <xdr:rowOff>295275</xdr:rowOff>
    </xdr:from>
    <xdr:to>
      <xdr:col>47</xdr:col>
      <xdr:colOff>2721</xdr:colOff>
      <xdr:row>4</xdr:row>
      <xdr:rowOff>85725</xdr:rowOff>
    </xdr:to>
    <xdr:pic>
      <xdr:nvPicPr>
        <xdr:cNvPr id="27508887" name="Imagen 3">
          <a:extLst>
            <a:ext uri="{FF2B5EF4-FFF2-40B4-BE49-F238E27FC236}">
              <a16:creationId xmlns:a16="http://schemas.microsoft.com/office/drawing/2014/main" id="{B93B92BC-9EC7-F8CF-F5F5-EDD5F1C4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42043350" y="161925"/>
          <a:ext cx="17621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1152525</xdr:colOff>
      <xdr:row>1</xdr:row>
      <xdr:rowOff>485775</xdr:rowOff>
    </xdr:from>
    <xdr:to>
      <xdr:col>8</xdr:col>
      <xdr:colOff>1228725</xdr:colOff>
      <xdr:row>18</xdr:row>
      <xdr:rowOff>390525</xdr:rowOff>
    </xdr:to>
    <xdr:graphicFrame macro="">
      <xdr:nvGraphicFramePr>
        <xdr:cNvPr id="27510952" name="4 Gráfico">
          <a:extLst>
            <a:ext uri="{FF2B5EF4-FFF2-40B4-BE49-F238E27FC236}">
              <a16:creationId xmlns:a16="http://schemas.microsoft.com/office/drawing/2014/main" id="{E696A29F-0B07-4663-D8CA-71B5C259E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49610</xdr:colOff>
      <xdr:row>3</xdr:row>
      <xdr:rowOff>33015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B5EE52D8-ED4C-A689-37C4-4881701CF9E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856229" cy="472617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solidFill>
            <a:srgbClr val="002060"/>
          </a:solidFill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xdr:twoCellAnchor>
    <xdr:from>
      <xdr:col>7</xdr:col>
      <xdr:colOff>3352800</xdr:colOff>
      <xdr:row>1</xdr:row>
      <xdr:rowOff>514350</xdr:rowOff>
    </xdr:from>
    <xdr:to>
      <xdr:col>16</xdr:col>
      <xdr:colOff>1314450</xdr:colOff>
      <xdr:row>18</xdr:row>
      <xdr:rowOff>552450</xdr:rowOff>
    </xdr:to>
    <xdr:graphicFrame macro="">
      <xdr:nvGraphicFramePr>
        <xdr:cNvPr id="27510954" name="4 Gráfico">
          <a:extLst>
            <a:ext uri="{FF2B5EF4-FFF2-40B4-BE49-F238E27FC236}">
              <a16:creationId xmlns:a16="http://schemas.microsoft.com/office/drawing/2014/main" id="{79548C5F-CEEC-7647-FB1B-F2B95934A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800100</xdr:colOff>
          <xdr:row>1</xdr:row>
          <xdr:rowOff>219075</xdr:rowOff>
        </xdr:from>
        <xdr:to>
          <xdr:col>1</xdr:col>
          <xdr:colOff>2276475</xdr:colOff>
          <xdr:row>2</xdr:row>
          <xdr:rowOff>390525</xdr:rowOff>
        </xdr:to>
        <xdr:sp macro="" textlink="">
          <xdr:nvSpPr>
            <xdr:cNvPr id="18433" name="Drop Dow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F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17</xdr:col>
      <xdr:colOff>950</xdr:colOff>
      <xdr:row>0</xdr:row>
      <xdr:rowOff>136529</xdr:rowOff>
    </xdr:from>
    <xdr:to>
      <xdr:col>18</xdr:col>
      <xdr:colOff>0</xdr:colOff>
      <xdr:row>3</xdr:row>
      <xdr:rowOff>18129</xdr:rowOff>
    </xdr:to>
    <xdr:grpSp>
      <xdr:nvGrpSpPr>
        <xdr:cNvPr id="15" name="Grup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7205EF-BCCB-2A4E-F698-513AE6D38876}"/>
            </a:ext>
          </a:extLst>
        </xdr:cNvPr>
        <xdr:cNvGrpSpPr>
          <a:grpSpLocks/>
        </xdr:cNvGrpSpPr>
      </xdr:nvGrpSpPr>
      <xdr:grpSpPr bwMode="auto">
        <a:xfrm>
          <a:off x="16352200" y="136529"/>
          <a:ext cx="761050" cy="381663"/>
          <a:chOff x="86432" y="69056"/>
          <a:chExt cx="788798" cy="419100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1" name="11 Elipse">
            <a:extLst>
              <a:ext uri="{FF2B5EF4-FFF2-40B4-BE49-F238E27FC236}">
                <a16:creationId xmlns:a16="http://schemas.microsoft.com/office/drawing/2014/main" id="{E5B05019-942B-5EA4-B609-44F6187CFA17}"/>
              </a:ext>
            </a:extLst>
          </xdr:cNvPr>
          <xdr:cNvSpPr/>
        </xdr:nvSpPr>
        <xdr:spPr bwMode="auto">
          <a:xfrm>
            <a:off x="1571225" y="128321"/>
            <a:ext cx="1204419" cy="125512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2" name="12 CuadroTexto">
            <a:extLst>
              <a:ext uri="{FF2B5EF4-FFF2-40B4-BE49-F238E27FC236}">
                <a16:creationId xmlns:a16="http://schemas.microsoft.com/office/drawing/2014/main" id="{9D4AB3C3-2AF7-0CDF-7A7B-0917543E5EF3}"/>
              </a:ext>
            </a:extLst>
          </xdr:cNvPr>
          <xdr:cNvSpPr txBox="1"/>
        </xdr:nvSpPr>
        <xdr:spPr bwMode="auto">
          <a:xfrm>
            <a:off x="1699565" y="128321"/>
            <a:ext cx="957611" cy="52296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78A3601C-E310-4745-B4CA-2F7207B37D86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2</xdr:col>
      <xdr:colOff>838200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27510956" name="Imagen 2">
          <a:extLst>
            <a:ext uri="{FF2B5EF4-FFF2-40B4-BE49-F238E27FC236}">
              <a16:creationId xmlns:a16="http://schemas.microsoft.com/office/drawing/2014/main" id="{7B9806EB-8D32-B983-76DD-DB320D3B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0"/>
          <a:ext cx="12858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2771775</xdr:colOff>
      <xdr:row>0</xdr:row>
      <xdr:rowOff>295275</xdr:rowOff>
    </xdr:from>
    <xdr:to>
      <xdr:col>15</xdr:col>
      <xdr:colOff>0</xdr:colOff>
      <xdr:row>4</xdr:row>
      <xdr:rowOff>0</xdr:rowOff>
    </xdr:to>
    <xdr:pic>
      <xdr:nvPicPr>
        <xdr:cNvPr id="27510957" name="Imagen 3">
          <a:extLst>
            <a:ext uri="{FF2B5EF4-FFF2-40B4-BE49-F238E27FC236}">
              <a16:creationId xmlns:a16="http://schemas.microsoft.com/office/drawing/2014/main" id="{BB41B1A2-4617-227B-C5E3-49B5BB4E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13287375" y="161925"/>
          <a:ext cx="15240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1152525</xdr:colOff>
          <xdr:row>3</xdr:row>
          <xdr:rowOff>600075</xdr:rowOff>
        </xdr:from>
        <xdr:to>
          <xdr:col>4</xdr:col>
          <xdr:colOff>5267325</xdr:colOff>
          <xdr:row>7</xdr:row>
          <xdr:rowOff>142875</xdr:rowOff>
        </xdr:to>
        <xdr:sp macro="" textlink="">
          <xdr:nvSpPr>
            <xdr:cNvPr id="3073" name="List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1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1484</xdr:colOff>
      <xdr:row>3</xdr:row>
      <xdr:rowOff>1576</xdr:rowOff>
    </xdr:to>
    <xdr:sp macro="" textlink="">
      <xdr:nvSpPr>
        <xdr:cNvPr id="11" name="Rectangle 3">
          <a:extLst>
            <a:ext uri="{FF2B5EF4-FFF2-40B4-BE49-F238E27FC236}">
              <a16:creationId xmlns:a16="http://schemas.microsoft.com/office/drawing/2014/main" id="{ABDFE65A-EFCA-FFCF-DAFC-7CB02E37632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832032" cy="501639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900" b="0" i="0" u="none" strike="noStrike" baseline="0">
              <a:solidFill>
                <a:srgbClr val="FFFFFF"/>
              </a:solidFill>
              <a:latin typeface="Arial" panose="020B0604020202020204" pitchFamily="34" charset="0"/>
              <a:cs typeface="Arial" panose="020B0604020202020204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450850</xdr:colOff>
          <xdr:row>2</xdr:row>
          <xdr:rowOff>747</xdr:rowOff>
        </xdr:from>
        <xdr:to>
          <xdr:col>1</xdr:col>
          <xdr:colOff>1200150</xdr:colOff>
          <xdr:row>3</xdr:row>
          <xdr:rowOff>747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3038475</xdr:colOff>
      <xdr:row>2</xdr:row>
      <xdr:rowOff>200025</xdr:rowOff>
    </xdr:from>
    <xdr:to>
      <xdr:col>8</xdr:col>
      <xdr:colOff>504825</xdr:colOff>
      <xdr:row>17</xdr:row>
      <xdr:rowOff>447675</xdr:rowOff>
    </xdr:to>
    <xdr:graphicFrame macro="">
      <xdr:nvGraphicFramePr>
        <xdr:cNvPr id="27482260" name="2 Gráfico">
          <a:extLst>
            <a:ext uri="{FF2B5EF4-FFF2-40B4-BE49-F238E27FC236}">
              <a16:creationId xmlns:a16="http://schemas.microsoft.com/office/drawing/2014/main" id="{9595144A-9E07-412F-97D4-EF41897F4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1037590</xdr:colOff>
      <xdr:row>0</xdr:row>
      <xdr:rowOff>137320</xdr:rowOff>
    </xdr:from>
    <xdr:to>
      <xdr:col>9</xdr:col>
      <xdr:colOff>761139</xdr:colOff>
      <xdr:row>3</xdr:row>
      <xdr:rowOff>16619</xdr:rowOff>
    </xdr:to>
    <xdr:grpSp>
      <xdr:nvGrpSpPr>
        <xdr:cNvPr id="13" name="Grup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3044F3-6E46-4740-D4C9-84487367AE00}"/>
            </a:ext>
          </a:extLst>
        </xdr:cNvPr>
        <xdr:cNvGrpSpPr>
          <a:grpSpLocks/>
        </xdr:cNvGrpSpPr>
      </xdr:nvGrpSpPr>
      <xdr:grpSpPr bwMode="auto">
        <a:xfrm>
          <a:off x="9303236" y="137320"/>
          <a:ext cx="766256" cy="372358"/>
          <a:chOff x="8274844" y="998379"/>
          <a:chExt cx="1004574" cy="442275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2" name="1 Elipse">
            <a:extLst>
              <a:ext uri="{FF2B5EF4-FFF2-40B4-BE49-F238E27FC236}">
                <a16:creationId xmlns:a16="http://schemas.microsoft.com/office/drawing/2014/main" id="{EDC28573-9842-BD89-D4BB-90899AA86F41}"/>
              </a:ext>
            </a:extLst>
          </xdr:cNvPr>
          <xdr:cNvSpPr/>
        </xdr:nvSpPr>
        <xdr:spPr bwMode="auto">
          <a:xfrm flipV="1">
            <a:off x="8065564" y="1089666"/>
            <a:ext cx="948356" cy="758397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4" name="3 CuadroTexto">
            <a:extLst>
              <a:ext uri="{FF2B5EF4-FFF2-40B4-BE49-F238E27FC236}">
                <a16:creationId xmlns:a16="http://schemas.microsoft.com/office/drawing/2014/main" id="{95E6FFBE-2A7F-D38B-DAF5-709A7A4CEFDF}"/>
              </a:ext>
            </a:extLst>
          </xdr:cNvPr>
          <xdr:cNvSpPr txBox="1"/>
        </xdr:nvSpPr>
        <xdr:spPr bwMode="auto">
          <a:xfrm>
            <a:off x="8164094" y="1089666"/>
            <a:ext cx="738979" cy="601903"/>
          </a:xfrm>
          <a:prstGeom prst="ellipse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9A093438-AE8B-497A-8452-8B44C081951B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1</xdr:col>
      <xdr:colOff>3629025</xdr:colOff>
      <xdr:row>1</xdr:row>
      <xdr:rowOff>0</xdr:rowOff>
    </xdr:from>
    <xdr:to>
      <xdr:col>3</xdr:col>
      <xdr:colOff>488950</xdr:colOff>
      <xdr:row>5</xdr:row>
      <xdr:rowOff>12700</xdr:rowOff>
    </xdr:to>
    <xdr:pic>
      <xdr:nvPicPr>
        <xdr:cNvPr id="27482262" name="Imagen 2">
          <a:extLst>
            <a:ext uri="{FF2B5EF4-FFF2-40B4-BE49-F238E27FC236}">
              <a16:creationId xmlns:a16="http://schemas.microsoft.com/office/drawing/2014/main" id="{05C69F1E-FA90-F9F0-7EA4-3937A27A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161925"/>
          <a:ext cx="15335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1257300</xdr:colOff>
      <xdr:row>1</xdr:row>
      <xdr:rowOff>133350</xdr:rowOff>
    </xdr:from>
    <xdr:to>
      <xdr:col>8</xdr:col>
      <xdr:colOff>0</xdr:colOff>
      <xdr:row>5</xdr:row>
      <xdr:rowOff>12700</xdr:rowOff>
    </xdr:to>
    <xdr:pic>
      <xdr:nvPicPr>
        <xdr:cNvPr id="27482263" name="Imagen 3">
          <a:extLst>
            <a:ext uri="{FF2B5EF4-FFF2-40B4-BE49-F238E27FC236}">
              <a16:creationId xmlns:a16="http://schemas.microsoft.com/office/drawing/2014/main" id="{C1923FA7-7DCE-79CA-C158-652A9025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7048500" y="295275"/>
          <a:ext cx="12001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59</xdr:row>
      <xdr:rowOff>0</xdr:rowOff>
    </xdr:from>
    <xdr:to>
      <xdr:col>12</xdr:col>
      <xdr:colOff>895350</xdr:colOff>
      <xdr:row>79</xdr:row>
      <xdr:rowOff>47625</xdr:rowOff>
    </xdr:to>
    <xdr:graphicFrame macro="">
      <xdr:nvGraphicFramePr>
        <xdr:cNvPr id="27171913" name="Gráfico 2">
          <a:extLst>
            <a:ext uri="{FF2B5EF4-FFF2-40B4-BE49-F238E27FC236}">
              <a16:creationId xmlns:a16="http://schemas.microsoft.com/office/drawing/2014/main" id="{D08F8CF3-ED52-0F8C-D7C8-4C191F273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533400</xdr:colOff>
      <xdr:row>83</xdr:row>
      <xdr:rowOff>190500</xdr:rowOff>
    </xdr:from>
    <xdr:to>
      <xdr:col>13</xdr:col>
      <xdr:colOff>333375</xdr:colOff>
      <xdr:row>99</xdr:row>
      <xdr:rowOff>190500</xdr:rowOff>
    </xdr:to>
    <xdr:graphicFrame macro="">
      <xdr:nvGraphicFramePr>
        <xdr:cNvPr id="27171914" name="Gráfico 5">
          <a:extLst>
            <a:ext uri="{FF2B5EF4-FFF2-40B4-BE49-F238E27FC236}">
              <a16:creationId xmlns:a16="http://schemas.microsoft.com/office/drawing/2014/main" id="{60D30087-E451-6C73-084B-54D6962B1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0</xdr:colOff>
      <xdr:row>3</xdr:row>
      <xdr:rowOff>1669</xdr:rowOff>
    </xdr:to>
    <xdr:sp macro="" textlink="">
      <xdr:nvSpPr>
        <xdr:cNvPr id="10" name="Rectangle 3">
          <a:extLst>
            <a:ext uri="{FF2B5EF4-FFF2-40B4-BE49-F238E27FC236}">
              <a16:creationId xmlns:a16="http://schemas.microsoft.com/office/drawing/2014/main" id="{6B8D9C12-324A-F94D-D7FE-E5FA8586AC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868647" cy="472617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685800</xdr:colOff>
          <xdr:row>1</xdr:row>
          <xdr:rowOff>142875</xdr:rowOff>
        </xdr:from>
        <xdr:to>
          <xdr:col>1</xdr:col>
          <xdr:colOff>2228850</xdr:colOff>
          <xdr:row>2</xdr:row>
          <xdr:rowOff>323850</xdr:rowOff>
        </xdr:to>
        <xdr:sp macro="" textlink="">
          <xdr:nvSpPr>
            <xdr:cNvPr id="8193" name="Drop Dow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1038225</xdr:colOff>
      <xdr:row>1</xdr:row>
      <xdr:rowOff>323850</xdr:rowOff>
    </xdr:from>
    <xdr:to>
      <xdr:col>9</xdr:col>
      <xdr:colOff>3590925</xdr:colOff>
      <xdr:row>18</xdr:row>
      <xdr:rowOff>371475</xdr:rowOff>
    </xdr:to>
    <xdr:graphicFrame macro="">
      <xdr:nvGraphicFramePr>
        <xdr:cNvPr id="27486356" name="3 Gráfico">
          <a:extLst>
            <a:ext uri="{FF2B5EF4-FFF2-40B4-BE49-F238E27FC236}">
              <a16:creationId xmlns:a16="http://schemas.microsoft.com/office/drawing/2014/main" id="{3E0853BA-33B8-ABF6-B941-320A96D11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476250</xdr:colOff>
      <xdr:row>0</xdr:row>
      <xdr:rowOff>0</xdr:rowOff>
    </xdr:from>
    <xdr:to>
      <xdr:col>5</xdr:col>
      <xdr:colOff>0</xdr:colOff>
      <xdr:row>4</xdr:row>
      <xdr:rowOff>0</xdr:rowOff>
    </xdr:to>
    <xdr:pic>
      <xdr:nvPicPr>
        <xdr:cNvPr id="27486357" name="Imagen 2">
          <a:extLst>
            <a:ext uri="{FF2B5EF4-FFF2-40B4-BE49-F238E27FC236}">
              <a16:creationId xmlns:a16="http://schemas.microsoft.com/office/drawing/2014/main" id="{EB4EB278-A5F3-DDB4-3B8D-8586637AC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1485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2295525</xdr:colOff>
      <xdr:row>0</xdr:row>
      <xdr:rowOff>323850</xdr:rowOff>
    </xdr:from>
    <xdr:to>
      <xdr:col>10</xdr:col>
      <xdr:colOff>0</xdr:colOff>
      <xdr:row>4</xdr:row>
      <xdr:rowOff>133350</xdr:rowOff>
    </xdr:to>
    <xdr:pic>
      <xdr:nvPicPr>
        <xdr:cNvPr id="27486358" name="Imagen 3">
          <a:extLst>
            <a:ext uri="{FF2B5EF4-FFF2-40B4-BE49-F238E27FC236}">
              <a16:creationId xmlns:a16="http://schemas.microsoft.com/office/drawing/2014/main" id="{ECFE840B-CB22-6E81-1EA8-C84093C7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7972425" y="161925"/>
          <a:ext cx="14668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39442</xdr:rowOff>
    </xdr:from>
    <xdr:to>
      <xdr:col>12</xdr:col>
      <xdr:colOff>0</xdr:colOff>
      <xdr:row>2</xdr:row>
      <xdr:rowOff>156733</xdr:rowOff>
    </xdr:to>
    <xdr:grpSp>
      <xdr:nvGrpSpPr>
        <xdr:cNvPr id="13" name="Grup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E1EC09-3106-915D-B446-FBF9A7D5AB50}"/>
            </a:ext>
          </a:extLst>
        </xdr:cNvPr>
        <xdr:cNvGrpSpPr>
          <a:grpSpLocks/>
        </xdr:cNvGrpSpPr>
      </xdr:nvGrpSpPr>
      <xdr:grpSpPr bwMode="auto">
        <a:xfrm>
          <a:off x="9489722" y="39442"/>
          <a:ext cx="818445" cy="441847"/>
          <a:chOff x="8274844" y="998378"/>
          <a:chExt cx="916781" cy="442275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4" name="1 Elipse">
            <a:extLst>
              <a:ext uri="{FF2B5EF4-FFF2-40B4-BE49-F238E27FC236}">
                <a16:creationId xmlns:a16="http://schemas.microsoft.com/office/drawing/2014/main" id="{F96983B0-97B4-64DF-D97B-BF725766FD0E}"/>
              </a:ext>
            </a:extLst>
          </xdr:cNvPr>
          <xdr:cNvSpPr/>
        </xdr:nvSpPr>
        <xdr:spPr bwMode="auto">
          <a:xfrm flipV="1">
            <a:off x="7853363" y="1026080"/>
            <a:ext cx="707231" cy="445692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5" name="3 CuadroTexto">
            <a:extLst>
              <a:ext uri="{FF2B5EF4-FFF2-40B4-BE49-F238E27FC236}">
                <a16:creationId xmlns:a16="http://schemas.microsoft.com/office/drawing/2014/main" id="{FFCE3C8F-F29D-B70B-04CB-BA2329C8EAE2}"/>
              </a:ext>
            </a:extLst>
          </xdr:cNvPr>
          <xdr:cNvSpPr txBox="1"/>
        </xdr:nvSpPr>
        <xdr:spPr bwMode="auto">
          <a:xfrm>
            <a:off x="7928372" y="1074525"/>
            <a:ext cx="632221" cy="339113"/>
          </a:xfrm>
          <a:prstGeom prst="ellipse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5FA1EAA5-5B6C-4430-BCCA-4C0242A973A6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81237</xdr:colOff>
      <xdr:row>3</xdr:row>
      <xdr:rowOff>1106</xdr:rowOff>
    </xdr:to>
    <xdr:sp macro="" textlink="">
      <xdr:nvSpPr>
        <xdr:cNvPr id="928770" name="Rectangle 3">
          <a:extLst>
            <a:ext uri="{FF2B5EF4-FFF2-40B4-BE49-F238E27FC236}">
              <a16:creationId xmlns:a16="http://schemas.microsoft.com/office/drawing/2014/main" id="{7532A948-2DBC-D0EF-83AE-B2DE97D466A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875876" cy="481853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1</xdr:row>
          <xdr:rowOff>257175</xdr:rowOff>
        </xdr:from>
        <xdr:to>
          <xdr:col>1</xdr:col>
          <xdr:colOff>2181225</xdr:colOff>
          <xdr:row>2</xdr:row>
          <xdr:rowOff>371475</xdr:rowOff>
        </xdr:to>
        <xdr:sp macro="" textlink="">
          <xdr:nvSpPr>
            <xdr:cNvPr id="928771" name="Drop Down 3" hidden="1">
              <a:extLst>
                <a:ext uri="{63B3BB69-23CF-44E3-9099-C40C66FF867C}">
                  <a14:compatExt spid="_x0000_s928771"/>
                </a:ext>
                <a:ext uri="{FF2B5EF4-FFF2-40B4-BE49-F238E27FC236}">
                  <a16:creationId xmlns:a16="http://schemas.microsoft.com/office/drawing/2014/main" id="{00000000-0008-0000-0400-0000032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2790825</xdr:colOff>
      <xdr:row>2</xdr:row>
      <xdr:rowOff>85725</xdr:rowOff>
    </xdr:from>
    <xdr:to>
      <xdr:col>8</xdr:col>
      <xdr:colOff>2533650</xdr:colOff>
      <xdr:row>19</xdr:row>
      <xdr:rowOff>9525</xdr:rowOff>
    </xdr:to>
    <xdr:graphicFrame macro="">
      <xdr:nvGraphicFramePr>
        <xdr:cNvPr id="27488404" name="4 Gráfico">
          <a:extLst>
            <a:ext uri="{FF2B5EF4-FFF2-40B4-BE49-F238E27FC236}">
              <a16:creationId xmlns:a16="http://schemas.microsoft.com/office/drawing/2014/main" id="{7BD17BFE-E085-D08D-EF60-7426207F6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3248025</xdr:colOff>
      <xdr:row>0</xdr:row>
      <xdr:rowOff>514350</xdr:rowOff>
    </xdr:from>
    <xdr:to>
      <xdr:col>4</xdr:col>
      <xdr:colOff>0</xdr:colOff>
      <xdr:row>5</xdr:row>
      <xdr:rowOff>0</xdr:rowOff>
    </xdr:to>
    <xdr:pic>
      <xdr:nvPicPr>
        <xdr:cNvPr id="27488405" name="Imagen 2">
          <a:extLst>
            <a:ext uri="{FF2B5EF4-FFF2-40B4-BE49-F238E27FC236}">
              <a16:creationId xmlns:a16="http://schemas.microsoft.com/office/drawing/2014/main" id="{28B1503B-19FB-9150-E105-750FED21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161925"/>
          <a:ext cx="1962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1162050</xdr:colOff>
      <xdr:row>1</xdr:row>
      <xdr:rowOff>142875</xdr:rowOff>
    </xdr:from>
    <xdr:to>
      <xdr:col>9</xdr:col>
      <xdr:colOff>0</xdr:colOff>
      <xdr:row>5</xdr:row>
      <xdr:rowOff>9525</xdr:rowOff>
    </xdr:to>
    <xdr:pic>
      <xdr:nvPicPr>
        <xdr:cNvPr id="27488406" name="Imagen 3">
          <a:extLst>
            <a:ext uri="{FF2B5EF4-FFF2-40B4-BE49-F238E27FC236}">
              <a16:creationId xmlns:a16="http://schemas.microsoft.com/office/drawing/2014/main" id="{3F4F316F-F9C9-7550-E193-116BA434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7848600" y="304800"/>
          <a:ext cx="9810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2577</xdr:colOff>
      <xdr:row>0</xdr:row>
      <xdr:rowOff>136928</xdr:rowOff>
    </xdr:from>
    <xdr:to>
      <xdr:col>10</xdr:col>
      <xdr:colOff>665734</xdr:colOff>
      <xdr:row>3</xdr:row>
      <xdr:rowOff>1315</xdr:rowOff>
    </xdr:to>
    <xdr:grpSp>
      <xdr:nvGrpSpPr>
        <xdr:cNvPr id="12" name="Grup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00F519-D53F-B884-B00D-67B05F73B1EB}"/>
            </a:ext>
          </a:extLst>
        </xdr:cNvPr>
        <xdr:cNvGrpSpPr>
          <a:grpSpLocks/>
        </xdr:cNvGrpSpPr>
      </xdr:nvGrpSpPr>
      <xdr:grpSpPr bwMode="auto">
        <a:xfrm>
          <a:off x="9375177" y="136928"/>
          <a:ext cx="663157" cy="359687"/>
          <a:chOff x="8274844" y="998378"/>
          <a:chExt cx="964406" cy="442275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4" name="1 Elipse">
            <a:extLst>
              <a:ext uri="{FF2B5EF4-FFF2-40B4-BE49-F238E27FC236}">
                <a16:creationId xmlns:a16="http://schemas.microsoft.com/office/drawing/2014/main" id="{29D47B48-24F7-BB7B-39D8-1464AEE612FA}"/>
              </a:ext>
            </a:extLst>
          </xdr:cNvPr>
          <xdr:cNvSpPr/>
        </xdr:nvSpPr>
        <xdr:spPr bwMode="auto">
          <a:xfrm flipV="1">
            <a:off x="7162946" y="1078073"/>
            <a:ext cx="983483" cy="649654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5" name="3 CuadroTexto">
            <a:extLst>
              <a:ext uri="{FF2B5EF4-FFF2-40B4-BE49-F238E27FC236}">
                <a16:creationId xmlns:a16="http://schemas.microsoft.com/office/drawing/2014/main" id="{83F1C35B-8523-8602-20D1-E1075CA5A46A}"/>
              </a:ext>
            </a:extLst>
          </xdr:cNvPr>
          <xdr:cNvSpPr txBox="1"/>
        </xdr:nvSpPr>
        <xdr:spPr bwMode="auto">
          <a:xfrm>
            <a:off x="7246058" y="1126196"/>
            <a:ext cx="831112" cy="553409"/>
          </a:xfrm>
          <a:prstGeom prst="ellipse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757CA091-97F5-4ECB-A2BF-7BBE81F10328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1131</xdr:colOff>
      <xdr:row>3</xdr:row>
      <xdr:rowOff>2376</xdr:rowOff>
    </xdr:to>
    <xdr:sp macro="" textlink="">
      <xdr:nvSpPr>
        <xdr:cNvPr id="7" name="Rectangle 3">
          <a:extLst>
            <a:ext uri="{FF2B5EF4-FFF2-40B4-BE49-F238E27FC236}">
              <a16:creationId xmlns:a16="http://schemas.microsoft.com/office/drawing/2014/main" id="{BF862A99-0EDC-5AD5-7F28-2A706ACAB31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873694" cy="467967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704850</xdr:colOff>
          <xdr:row>1</xdr:row>
          <xdr:rowOff>85725</xdr:rowOff>
        </xdr:from>
        <xdr:to>
          <xdr:col>1</xdr:col>
          <xdr:colOff>2143125</xdr:colOff>
          <xdr:row>2</xdr:row>
          <xdr:rowOff>323850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2</xdr:col>
      <xdr:colOff>28575</xdr:colOff>
      <xdr:row>1</xdr:row>
      <xdr:rowOff>152400</xdr:rowOff>
    </xdr:from>
    <xdr:to>
      <xdr:col>15</xdr:col>
      <xdr:colOff>28575</xdr:colOff>
      <xdr:row>18</xdr:row>
      <xdr:rowOff>76200</xdr:rowOff>
    </xdr:to>
    <xdr:graphicFrame macro="">
      <xdr:nvGraphicFramePr>
        <xdr:cNvPr id="27490452" name="2 Gráfico">
          <a:extLst>
            <a:ext uri="{FF2B5EF4-FFF2-40B4-BE49-F238E27FC236}">
              <a16:creationId xmlns:a16="http://schemas.microsoft.com/office/drawing/2014/main" id="{4E9D0E22-5E63-FB21-64F8-94A0E3FD5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223</xdr:colOff>
      <xdr:row>0</xdr:row>
      <xdr:rowOff>2166</xdr:rowOff>
    </xdr:from>
    <xdr:to>
      <xdr:col>16</xdr:col>
      <xdr:colOff>0</xdr:colOff>
      <xdr:row>2</xdr:row>
      <xdr:rowOff>156456</xdr:rowOff>
    </xdr:to>
    <xdr:grpSp>
      <xdr:nvGrpSpPr>
        <xdr:cNvPr id="14" name="Grup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2AE9B7-C9EA-7C96-FF3A-1028FE5039F6}"/>
            </a:ext>
          </a:extLst>
        </xdr:cNvPr>
        <xdr:cNvGrpSpPr>
          <a:grpSpLocks/>
        </xdr:cNvGrpSpPr>
      </xdr:nvGrpSpPr>
      <xdr:grpSpPr bwMode="auto">
        <a:xfrm>
          <a:off x="12368919" y="2166"/>
          <a:ext cx="761777" cy="485594"/>
          <a:chOff x="86432" y="69056"/>
          <a:chExt cx="788798" cy="419100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2" name="11 Elipse">
            <a:extLst>
              <a:ext uri="{FF2B5EF4-FFF2-40B4-BE49-F238E27FC236}">
                <a16:creationId xmlns:a16="http://schemas.microsoft.com/office/drawing/2014/main" id="{A8BE0DBE-7EC3-FA61-39C5-BA1A7E888BC3}"/>
              </a:ext>
            </a:extLst>
          </xdr:cNvPr>
          <xdr:cNvSpPr/>
        </xdr:nvSpPr>
        <xdr:spPr bwMode="auto">
          <a:xfrm>
            <a:off x="33028" y="34304"/>
            <a:ext cx="759440" cy="230180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3" name="12 CuadroTexto">
            <a:extLst>
              <a:ext uri="{FF2B5EF4-FFF2-40B4-BE49-F238E27FC236}">
                <a16:creationId xmlns:a16="http://schemas.microsoft.com/office/drawing/2014/main" id="{AA7657D0-FE00-C478-6B72-D0791D48D98B}"/>
              </a:ext>
            </a:extLst>
          </xdr:cNvPr>
          <xdr:cNvSpPr txBox="1"/>
        </xdr:nvSpPr>
        <xdr:spPr bwMode="auto">
          <a:xfrm>
            <a:off x="92205" y="100069"/>
            <a:ext cx="601635" cy="106869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7A3C0665-1333-4410-B2DC-57D8D3323040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2</xdr:col>
      <xdr:colOff>514350</xdr:colOff>
      <xdr:row>0</xdr:row>
      <xdr:rowOff>0</xdr:rowOff>
    </xdr:from>
    <xdr:to>
      <xdr:col>4</xdr:col>
      <xdr:colOff>0</xdr:colOff>
      <xdr:row>3</xdr:row>
      <xdr:rowOff>161925</xdr:rowOff>
    </xdr:to>
    <xdr:pic>
      <xdr:nvPicPr>
        <xdr:cNvPr id="27490454" name="Imagen 2">
          <a:extLst>
            <a:ext uri="{FF2B5EF4-FFF2-40B4-BE49-F238E27FC236}">
              <a16:creationId xmlns:a16="http://schemas.microsoft.com/office/drawing/2014/main" id="{D975F1AF-5519-6432-FDD7-2FBF4C78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10477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295275</xdr:colOff>
      <xdr:row>0</xdr:row>
      <xdr:rowOff>0</xdr:rowOff>
    </xdr:from>
    <xdr:to>
      <xdr:col>13</xdr:col>
      <xdr:colOff>142875</xdr:colOff>
      <xdr:row>3</xdr:row>
      <xdr:rowOff>9525</xdr:rowOff>
    </xdr:to>
    <xdr:pic>
      <xdr:nvPicPr>
        <xdr:cNvPr id="27490455" name="Imagen 3">
          <a:extLst>
            <a:ext uri="{FF2B5EF4-FFF2-40B4-BE49-F238E27FC236}">
              <a16:creationId xmlns:a16="http://schemas.microsoft.com/office/drawing/2014/main" id="{37868324-46DB-F5CE-C279-9D61C44F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3" t="19576" r="4132" b="10339"/>
        <a:stretch>
          <a:fillRect/>
        </a:stretch>
      </xdr:blipFill>
      <xdr:spPr bwMode="auto">
        <a:xfrm>
          <a:off x="9563100" y="0"/>
          <a:ext cx="1409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937982</xdr:colOff>
      <xdr:row>3</xdr:row>
      <xdr:rowOff>2672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22EC1AE6-BB78-D8E9-C260-60F5D8CD6C7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964568" cy="466893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685800</xdr:colOff>
          <xdr:row>1</xdr:row>
          <xdr:rowOff>57150</xdr:rowOff>
        </xdr:from>
        <xdr:to>
          <xdr:col>2</xdr:col>
          <xdr:colOff>57150</xdr:colOff>
          <xdr:row>2</xdr:row>
          <xdr:rowOff>323850</xdr:rowOff>
        </xdr:to>
        <xdr:sp macro="" textlink="">
          <xdr:nvSpPr>
            <xdr:cNvPr id="10241" name="Drop Dow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6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2</xdr:col>
      <xdr:colOff>1476375</xdr:colOff>
      <xdr:row>2</xdr:row>
      <xdr:rowOff>200025</xdr:rowOff>
    </xdr:from>
    <xdr:to>
      <xdr:col>9</xdr:col>
      <xdr:colOff>2143125</xdr:colOff>
      <xdr:row>18</xdr:row>
      <xdr:rowOff>9525</xdr:rowOff>
    </xdr:to>
    <xdr:graphicFrame macro="">
      <xdr:nvGraphicFramePr>
        <xdr:cNvPr id="27492500" name="2 Gráfico">
          <a:extLst>
            <a:ext uri="{FF2B5EF4-FFF2-40B4-BE49-F238E27FC236}">
              <a16:creationId xmlns:a16="http://schemas.microsoft.com/office/drawing/2014/main" id="{DA164D6C-DC17-4815-C77A-A2A1B5FAF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1790700</xdr:colOff>
      <xdr:row>1</xdr:row>
      <xdr:rowOff>200025</xdr:rowOff>
    </xdr:from>
    <xdr:to>
      <xdr:col>4</xdr:col>
      <xdr:colOff>0</xdr:colOff>
      <xdr:row>5</xdr:row>
      <xdr:rowOff>0</xdr:rowOff>
    </xdr:to>
    <xdr:pic>
      <xdr:nvPicPr>
        <xdr:cNvPr id="27492501" name="Imagen 2">
          <a:extLst>
            <a:ext uri="{FF2B5EF4-FFF2-40B4-BE49-F238E27FC236}">
              <a16:creationId xmlns:a16="http://schemas.microsoft.com/office/drawing/2014/main" id="{ECDCC33D-DCDD-F4CF-BFDC-A744BC7A9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323850"/>
          <a:ext cx="10191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1152525</xdr:colOff>
      <xdr:row>1</xdr:row>
      <xdr:rowOff>200025</xdr:rowOff>
    </xdr:from>
    <xdr:to>
      <xdr:col>10</xdr:col>
      <xdr:colOff>19050</xdr:colOff>
      <xdr:row>5</xdr:row>
      <xdr:rowOff>38100</xdr:rowOff>
    </xdr:to>
    <xdr:pic>
      <xdr:nvPicPr>
        <xdr:cNvPr id="27492502" name="Imagen 3">
          <a:extLst>
            <a:ext uri="{FF2B5EF4-FFF2-40B4-BE49-F238E27FC236}">
              <a16:creationId xmlns:a16="http://schemas.microsoft.com/office/drawing/2014/main" id="{547B9E75-F3D0-4FD7-59BB-F52E7861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9039225" y="323850"/>
          <a:ext cx="12096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189230</xdr:colOff>
      <xdr:row>0</xdr:row>
      <xdr:rowOff>41125</xdr:rowOff>
    </xdr:from>
    <xdr:to>
      <xdr:col>10</xdr:col>
      <xdr:colOff>859633</xdr:colOff>
      <xdr:row>2</xdr:row>
      <xdr:rowOff>157275</xdr:rowOff>
    </xdr:to>
    <xdr:grpSp>
      <xdr:nvGrpSpPr>
        <xdr:cNvPr id="12" name="Grupo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E964DC-E2C6-5631-B810-D1E32093DB46}"/>
            </a:ext>
          </a:extLst>
        </xdr:cNvPr>
        <xdr:cNvGrpSpPr>
          <a:grpSpLocks/>
        </xdr:cNvGrpSpPr>
      </xdr:nvGrpSpPr>
      <xdr:grpSpPr bwMode="auto">
        <a:xfrm>
          <a:off x="10455063" y="41125"/>
          <a:ext cx="670403" cy="450054"/>
          <a:chOff x="86432" y="69056"/>
          <a:chExt cx="788798" cy="419100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8" name="11 Elipse">
            <a:extLst>
              <a:ext uri="{FF2B5EF4-FFF2-40B4-BE49-F238E27FC236}">
                <a16:creationId xmlns:a16="http://schemas.microsoft.com/office/drawing/2014/main" id="{16D2D11A-8310-7A95-B48A-F24D71DDBEFC}"/>
              </a:ext>
            </a:extLst>
          </xdr:cNvPr>
          <xdr:cNvSpPr/>
        </xdr:nvSpPr>
        <xdr:spPr bwMode="auto">
          <a:xfrm>
            <a:off x="106605" y="84543"/>
            <a:ext cx="605186" cy="911336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9" name="12 CuadroTexto">
            <a:extLst>
              <a:ext uri="{FF2B5EF4-FFF2-40B4-BE49-F238E27FC236}">
                <a16:creationId xmlns:a16="http://schemas.microsoft.com/office/drawing/2014/main" id="{21399FD2-3603-F93F-CD31-6A6D0251FD27}"/>
              </a:ext>
            </a:extLst>
          </xdr:cNvPr>
          <xdr:cNvSpPr txBox="1"/>
        </xdr:nvSpPr>
        <xdr:spPr bwMode="auto">
          <a:xfrm>
            <a:off x="162641" y="222625"/>
            <a:ext cx="549150" cy="570736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1B867E9F-61B6-4D50-B3C6-41490B53974C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2288348</xdr:colOff>
      <xdr:row>3</xdr:row>
      <xdr:rowOff>1669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2F237A62-FF34-626C-CD04-1AF62F5C25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14500" cy="463092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381000</xdr:colOff>
          <xdr:row>1</xdr:row>
          <xdr:rowOff>88900</xdr:rowOff>
        </xdr:from>
        <xdr:to>
          <xdr:col>1</xdr:col>
          <xdr:colOff>1955800</xdr:colOff>
          <xdr:row>3</xdr:row>
          <xdr:rowOff>2658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7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2019300</xdr:colOff>
      <xdr:row>4</xdr:row>
      <xdr:rowOff>57150</xdr:rowOff>
    </xdr:from>
    <xdr:to>
      <xdr:col>3</xdr:col>
      <xdr:colOff>8058150</xdr:colOff>
      <xdr:row>18</xdr:row>
      <xdr:rowOff>371475</xdr:rowOff>
    </xdr:to>
    <xdr:graphicFrame macro="">
      <xdr:nvGraphicFramePr>
        <xdr:cNvPr id="27494548" name="1 Gráfico">
          <a:extLst>
            <a:ext uri="{FF2B5EF4-FFF2-40B4-BE49-F238E27FC236}">
              <a16:creationId xmlns:a16="http://schemas.microsoft.com/office/drawing/2014/main" id="{DF340462-2336-7597-74E0-CC3C81722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3554581</xdr:colOff>
      <xdr:row>0</xdr:row>
      <xdr:rowOff>0</xdr:rowOff>
    </xdr:from>
    <xdr:to>
      <xdr:col>3</xdr:col>
      <xdr:colOff>3554581</xdr:colOff>
      <xdr:row>3</xdr:row>
      <xdr:rowOff>1943</xdr:rowOff>
    </xdr:to>
    <xdr:grpSp>
      <xdr:nvGrpSpPr>
        <xdr:cNvPr id="14" name="Grup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A05AFD-E25D-17BA-FF70-1231AC8A8A55}"/>
            </a:ext>
          </a:extLst>
        </xdr:cNvPr>
        <xdr:cNvGrpSpPr>
          <a:grpSpLocks/>
        </xdr:cNvGrpSpPr>
      </xdr:nvGrpSpPr>
      <xdr:grpSpPr bwMode="auto">
        <a:xfrm>
          <a:off x="9132465" y="0"/>
          <a:ext cx="0" cy="489269"/>
          <a:chOff x="8274844" y="998378"/>
          <a:chExt cx="904875" cy="442275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2" name="1 Elipse">
            <a:extLst>
              <a:ext uri="{FF2B5EF4-FFF2-40B4-BE49-F238E27FC236}">
                <a16:creationId xmlns:a16="http://schemas.microsoft.com/office/drawing/2014/main" id="{893EE753-08B5-ABE6-4741-FF732F1846DB}"/>
              </a:ext>
            </a:extLst>
          </xdr:cNvPr>
          <xdr:cNvSpPr/>
        </xdr:nvSpPr>
        <xdr:spPr bwMode="auto">
          <a:xfrm flipV="1">
            <a:off x="9124950" y="-97637284"/>
            <a:ext cx="0" cy="402593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3" name="3 CuadroTexto">
            <a:extLst>
              <a:ext uri="{FF2B5EF4-FFF2-40B4-BE49-F238E27FC236}">
                <a16:creationId xmlns:a16="http://schemas.microsoft.com/office/drawing/2014/main" id="{F8C4E1C4-3141-4C9E-7264-7CB67986F78A}"/>
              </a:ext>
            </a:extLst>
          </xdr:cNvPr>
          <xdr:cNvSpPr txBox="1"/>
        </xdr:nvSpPr>
        <xdr:spPr bwMode="auto">
          <a:xfrm>
            <a:off x="9124950" y="-97497766"/>
            <a:ext cx="0" cy="342633"/>
          </a:xfrm>
          <a:prstGeom prst="ellipse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E0118C9A-65E0-448A-8FEB-8870A9560642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1</xdr:col>
      <xdr:colOff>942975</xdr:colOff>
      <xdr:row>3</xdr:row>
      <xdr:rowOff>9525</xdr:rowOff>
    </xdr:from>
    <xdr:to>
      <xdr:col>2</xdr:col>
      <xdr:colOff>0</xdr:colOff>
      <xdr:row>6</xdr:row>
      <xdr:rowOff>0</xdr:rowOff>
    </xdr:to>
    <xdr:pic>
      <xdr:nvPicPr>
        <xdr:cNvPr id="27494550" name="Imagen 2">
          <a:extLst>
            <a:ext uri="{FF2B5EF4-FFF2-40B4-BE49-F238E27FC236}">
              <a16:creationId xmlns:a16="http://schemas.microsoft.com/office/drawing/2014/main" id="{9152AED6-40DA-45EA-0B52-EE6EB0D4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495300"/>
          <a:ext cx="13525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5600700</xdr:colOff>
      <xdr:row>3</xdr:row>
      <xdr:rowOff>57150</xdr:rowOff>
    </xdr:from>
    <xdr:to>
      <xdr:col>4</xdr:col>
      <xdr:colOff>6792</xdr:colOff>
      <xdr:row>6</xdr:row>
      <xdr:rowOff>133350</xdr:rowOff>
    </xdr:to>
    <xdr:pic>
      <xdr:nvPicPr>
        <xdr:cNvPr id="27494551" name="Imagen 3">
          <a:extLst>
            <a:ext uri="{FF2B5EF4-FFF2-40B4-BE49-F238E27FC236}">
              <a16:creationId xmlns:a16="http://schemas.microsoft.com/office/drawing/2014/main" id="{2F65B342-60EE-9C57-71DD-755E4768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9134475" y="542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4925</xdr:colOff>
      <xdr:row>3</xdr:row>
      <xdr:rowOff>493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9882C08E-41F3-5795-4C75-1DF5A7861DB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14500" cy="472617"/>
        </a:xfrm>
        <a:prstGeom prst="rect">
          <a:avLst/>
        </a:prstGeom>
        <a:solidFill>
          <a:schemeClr val="tx1">
            <a:lumMod val="95000"/>
            <a:lumOff val="5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1050" b="0" i="0" u="none" strike="noStrike" baseline="0">
              <a:solidFill>
                <a:srgbClr val="FFFFFF"/>
              </a:solidFill>
              <a:latin typeface="Arial Narrow" pitchFamily="34" charset="0"/>
            </a:rPr>
            <a:t>Select Language/Escoge Idioma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381000</xdr:colOff>
          <xdr:row>1</xdr:row>
          <xdr:rowOff>85725</xdr:rowOff>
        </xdr:from>
        <xdr:to>
          <xdr:col>1</xdr:col>
          <xdr:colOff>2085975</xdr:colOff>
          <xdr:row>2</xdr:row>
          <xdr:rowOff>371475</xdr:rowOff>
        </xdr:to>
        <xdr:sp macro="" textlink="">
          <xdr:nvSpPr>
            <xdr:cNvPr id="12289" name="Drop Dow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8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4333875</xdr:colOff>
      <xdr:row>3</xdr:row>
      <xdr:rowOff>0</xdr:rowOff>
    </xdr:from>
    <xdr:to>
      <xdr:col>3</xdr:col>
      <xdr:colOff>14849475</xdr:colOff>
      <xdr:row>18</xdr:row>
      <xdr:rowOff>257175</xdr:rowOff>
    </xdr:to>
    <xdr:graphicFrame macro="">
      <xdr:nvGraphicFramePr>
        <xdr:cNvPr id="27496659" name="1 Gráfico">
          <a:extLst>
            <a:ext uri="{FF2B5EF4-FFF2-40B4-BE49-F238E27FC236}">
              <a16:creationId xmlns:a16="http://schemas.microsoft.com/office/drawing/2014/main" id="{C16ECD5C-EEF1-E9D2-30C7-3EAEA4010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0</xdr:row>
      <xdr:rowOff>158276</xdr:rowOff>
    </xdr:from>
    <xdr:to>
      <xdr:col>4</xdr:col>
      <xdr:colOff>0</xdr:colOff>
      <xdr:row>3</xdr:row>
      <xdr:rowOff>38849</xdr:rowOff>
    </xdr:to>
    <xdr:grpSp>
      <xdr:nvGrpSpPr>
        <xdr:cNvPr id="20" name="Grup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116A4E-44F7-8A4A-9F4F-0979C55B70D6}"/>
            </a:ext>
          </a:extLst>
        </xdr:cNvPr>
        <xdr:cNvGrpSpPr>
          <a:grpSpLocks/>
        </xdr:cNvGrpSpPr>
      </xdr:nvGrpSpPr>
      <xdr:grpSpPr bwMode="auto">
        <a:xfrm>
          <a:off x="9958294" y="161451"/>
          <a:ext cx="0" cy="370457"/>
          <a:chOff x="8274844" y="998378"/>
          <a:chExt cx="892969" cy="442275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2" name="1 Elipse">
            <a:extLst>
              <a:ext uri="{FF2B5EF4-FFF2-40B4-BE49-F238E27FC236}">
                <a16:creationId xmlns:a16="http://schemas.microsoft.com/office/drawing/2014/main" id="{E56E6B2B-EF28-DA7D-1429-43C5F12DB004}"/>
              </a:ext>
            </a:extLst>
          </xdr:cNvPr>
          <xdr:cNvSpPr/>
        </xdr:nvSpPr>
        <xdr:spPr bwMode="auto">
          <a:xfrm flipV="1">
            <a:off x="9944100" y="-3764858"/>
            <a:ext cx="0" cy="147841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3" name="3 CuadroTexto">
            <a:extLst>
              <a:ext uri="{FF2B5EF4-FFF2-40B4-BE49-F238E27FC236}">
                <a16:creationId xmlns:a16="http://schemas.microsoft.com/office/drawing/2014/main" id="{1FA3AA5F-B8FA-92B1-C8C6-024AE4C9B0BB}"/>
              </a:ext>
            </a:extLst>
          </xdr:cNvPr>
          <xdr:cNvSpPr txBox="1"/>
        </xdr:nvSpPr>
        <xdr:spPr bwMode="auto">
          <a:xfrm>
            <a:off x="9944100" y="-3753486"/>
            <a:ext cx="0" cy="125096"/>
          </a:xfrm>
          <a:prstGeom prst="ellipse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290C4572-650D-479B-AF30-1FD01CCEB439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1</xdr:col>
      <xdr:colOff>2857500</xdr:colOff>
      <xdr:row>2</xdr:row>
      <xdr:rowOff>295275</xdr:rowOff>
    </xdr:from>
    <xdr:to>
      <xdr:col>2</xdr:col>
      <xdr:colOff>0</xdr:colOff>
      <xdr:row>4</xdr:row>
      <xdr:rowOff>161925</xdr:rowOff>
    </xdr:to>
    <xdr:pic>
      <xdr:nvPicPr>
        <xdr:cNvPr id="27496661" name="Imagen 2">
          <a:extLst>
            <a:ext uri="{FF2B5EF4-FFF2-40B4-BE49-F238E27FC236}">
              <a16:creationId xmlns:a16="http://schemas.microsoft.com/office/drawing/2014/main" id="{F82581A7-59E1-B6F9-C771-217FC22D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48577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11163300</xdr:colOff>
      <xdr:row>2</xdr:row>
      <xdr:rowOff>295275</xdr:rowOff>
    </xdr:from>
    <xdr:to>
      <xdr:col>4</xdr:col>
      <xdr:colOff>0</xdr:colOff>
      <xdr:row>5</xdr:row>
      <xdr:rowOff>133350</xdr:rowOff>
    </xdr:to>
    <xdr:pic>
      <xdr:nvPicPr>
        <xdr:cNvPr id="27496662" name="Imagen 3">
          <a:extLst>
            <a:ext uri="{FF2B5EF4-FFF2-40B4-BE49-F238E27FC236}">
              <a16:creationId xmlns:a16="http://schemas.microsoft.com/office/drawing/2014/main" id="{C786E719-0764-9A04-6B53-FE5E3E65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9944100" y="4857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3</xdr:row>
      <xdr:rowOff>2179</xdr:rowOff>
    </xdr:to>
    <xdr:grpSp>
      <xdr:nvGrpSpPr>
        <xdr:cNvPr id="19" name="Grup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207D27-33CA-EDB5-6036-721A2B1C9980}"/>
            </a:ext>
          </a:extLst>
        </xdr:cNvPr>
        <xdr:cNvGrpSpPr>
          <a:grpSpLocks/>
        </xdr:cNvGrpSpPr>
      </xdr:nvGrpSpPr>
      <xdr:grpSpPr bwMode="auto">
        <a:xfrm>
          <a:off x="9958294" y="0"/>
          <a:ext cx="0" cy="495238"/>
          <a:chOff x="86432" y="69056"/>
          <a:chExt cx="788798" cy="419100"/>
        </a:xfrm>
        <a:solidFill>
          <a:schemeClr val="tx1">
            <a:lumMod val="95000"/>
            <a:lumOff val="5000"/>
          </a:schemeClr>
        </a:solidFill>
      </xdr:grpSpPr>
      <xdr:sp macro="" textlink="">
        <xdr:nvSpPr>
          <xdr:cNvPr id="11" name="11 Elipse">
            <a:extLst>
              <a:ext uri="{FF2B5EF4-FFF2-40B4-BE49-F238E27FC236}">
                <a16:creationId xmlns:a16="http://schemas.microsoft.com/office/drawing/2014/main" id="{AACEA000-AB3E-188E-8E5A-1EB93710543A}"/>
              </a:ext>
            </a:extLst>
          </xdr:cNvPr>
          <xdr:cNvSpPr/>
        </xdr:nvSpPr>
        <xdr:spPr bwMode="auto">
          <a:xfrm>
            <a:off x="9944100" y="-11723146"/>
            <a:ext cx="0" cy="243392"/>
          </a:xfrm>
          <a:prstGeom prst="ellipse">
            <a:avLst/>
          </a:prstGeom>
          <a:grpFill/>
        </xdr:spPr>
        <xdr:style>
          <a:lnRef idx="3">
            <a:schemeClr val="lt1"/>
          </a:lnRef>
          <a:fillRef idx="1">
            <a:schemeClr val="accent2"/>
          </a:fillRef>
          <a:effectRef idx="1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CO"/>
          </a:p>
        </xdr:txBody>
      </xdr:sp>
      <xdr:sp macro="" textlink="Indice_PrincipalInicio">
        <xdr:nvSpPr>
          <xdr:cNvPr id="14" name="12 CuadroTexto">
            <a:extLst>
              <a:ext uri="{FF2B5EF4-FFF2-40B4-BE49-F238E27FC236}">
                <a16:creationId xmlns:a16="http://schemas.microsoft.com/office/drawing/2014/main" id="{46CC8DA4-7606-C97E-8597-3B1AF77FBA88}"/>
              </a:ext>
            </a:extLst>
          </xdr:cNvPr>
          <xdr:cNvSpPr txBox="1"/>
        </xdr:nvSpPr>
        <xdr:spPr bwMode="auto">
          <a:xfrm>
            <a:off x="9944100" y="-11639898"/>
            <a:ext cx="0" cy="10547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F481D716-32CF-4C59-A50D-F49544B52D69}" type="TxLink">
              <a:rPr lang="en-US" sz="1000" b="1" i="0" u="none" strike="noStrike">
                <a:solidFill>
                  <a:schemeClr val="bg1"/>
                </a:solidFill>
                <a:latin typeface="Arial"/>
                <a:cs typeface="Arial"/>
              </a:rPr>
              <a:pPr/>
              <a:t>Inicio</a:t>
            </a:fld>
            <a:endParaRPr lang="es-CO" sz="1100" b="1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7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4CC1-184A-403B-BC26-204056B6F0E4}">
  <sheetPr codeName="Hoja14">
    <tabColor rgb="FFB48C41"/>
    <pageSetUpPr fitToPage="1"/>
  </sheetPr>
  <dimension ref="A1:I42"/>
  <sheetViews>
    <sheetView showGridLines="0" showWhiteSpace="0" zoomScaleNormal="100" workbookViewId="0">
      <selection activeCell="C10" sqref="C10"/>
    </sheetView>
  </sheetViews>
  <sheetFormatPr baseColWidth="10" defaultColWidth="0" defaultRowHeight="12.75" zeroHeight="1"/>
  <cols>
    <col min="1" max="1" width="17.7109375" style="3" bestFit="1" customWidth="1"/>
    <col min="2" max="2" width="35" style="3" bestFit="1" customWidth="1"/>
    <col min="3" max="9" width="13.7109375" style="3" customWidth="1"/>
    <col min="10" max="16384" width="0" style="3" hidden="1"/>
  </cols>
  <sheetData>
    <row r="1" spans="1:9" s="13" customFormat="1" ht="12.75" customHeight="1">
      <c r="A1" s="89"/>
    </row>
    <row r="2" spans="1:9" s="13" customFormat="1" ht="12.75" customHeight="1"/>
    <row r="3" spans="1:9" s="13" customFormat="1" ht="12.75" customHeight="1"/>
    <row r="4" spans="1:9" s="13" customFormat="1" ht="12.75" customHeight="1"/>
    <row r="5" spans="1:9" s="13" customFormat="1" ht="12.75" customHeight="1">
      <c r="A5" s="81"/>
    </row>
    <row r="6" spans="1:9" ht="9.75" customHeight="1"/>
    <row r="7" spans="1:9" ht="15.75" customHeight="1">
      <c r="A7" s="105" t="str">
        <f>Indice_Principal_Título</f>
        <v>Datos históricos de la deuda GNC</v>
      </c>
      <c r="B7" s="106"/>
      <c r="C7" s="107"/>
      <c r="D7" s="106"/>
      <c r="E7" s="106"/>
      <c r="F7" s="106"/>
      <c r="G7" s="106"/>
      <c r="H7" s="106"/>
    </row>
    <row r="8" spans="1:9" ht="12.75" customHeight="1">
      <c r="A8" s="80"/>
      <c r="B8" s="80"/>
      <c r="C8" s="80"/>
      <c r="D8" s="80"/>
      <c r="E8" s="80"/>
      <c r="F8" s="80"/>
      <c r="G8" s="80"/>
      <c r="H8" s="80"/>
    </row>
    <row r="9" spans="1:9" ht="12.75" customHeight="1">
      <c r="A9" s="80"/>
      <c r="B9" s="114" t="str">
        <f>Indice_PrincipalContenido_etiqueta</f>
        <v>Contenido:</v>
      </c>
      <c r="C9" s="108" t="str">
        <f>Indice_PrincipalContenido_texto</f>
        <v>Información histórica de la estructura y perfil de la deuda pública de Colombia</v>
      </c>
      <c r="D9" s="108"/>
      <c r="E9" s="80"/>
      <c r="F9" s="80"/>
      <c r="G9" s="80"/>
      <c r="H9" s="80"/>
    </row>
    <row r="10" spans="1:9" ht="12.75" customHeight="1">
      <c r="A10" s="80"/>
      <c r="B10" s="114" t="str">
        <f>Indice_PrincipalFecha_corte_etiqueta</f>
        <v>Fecha corte</v>
      </c>
      <c r="C10" s="109">
        <f>Indice_PrincipalFecha_corte_texto</f>
        <v>45657</v>
      </c>
      <c r="D10" s="108"/>
      <c r="E10" s="80"/>
      <c r="F10" s="80"/>
      <c r="G10" s="80"/>
      <c r="H10" s="80"/>
      <c r="I10" s="67"/>
    </row>
    <row r="11" spans="1:9" ht="12.75" customHeight="1">
      <c r="A11" s="80"/>
      <c r="B11" s="114" t="str">
        <f>Indice_PrincipalFrecuencia_de_publicación_etiqueta</f>
        <v>Frecuencia de producción:</v>
      </c>
      <c r="C11" s="108" t="str">
        <f>Indice_PrincipalFrecuencia_de_publicación_texto</f>
        <v>Mensualmente</v>
      </c>
      <c r="D11" s="108"/>
      <c r="E11" s="80"/>
      <c r="F11" s="80"/>
      <c r="G11" s="80"/>
      <c r="H11" s="80"/>
    </row>
    <row r="12" spans="1:9" ht="12.75" customHeight="1">
      <c r="A12" s="80"/>
      <c r="B12" s="114" t="str">
        <f>Indice_PrincipalFuentes_etiqueta</f>
        <v>Fuentes:</v>
      </c>
      <c r="C12" s="108" t="str">
        <f>Indice_PrincipalFuentes_texto</f>
        <v xml:space="preserve">Subdirección de Riesgo - Dirección General de Crédito Público y del Tesoro Nacional </v>
      </c>
      <c r="D12" s="108"/>
      <c r="E12" s="80"/>
      <c r="F12" s="80"/>
      <c r="G12" s="80"/>
      <c r="H12" s="80"/>
    </row>
    <row r="13" spans="1:9" ht="12.75" customHeight="1">
      <c r="A13" s="80"/>
      <c r="B13" s="114"/>
      <c r="C13" s="108" t="str">
        <f>Indice_PrincipalFuentes_texto_3</f>
        <v>Ministerio de Hacienda y Crédito Público, Colombia</v>
      </c>
      <c r="D13" s="108"/>
      <c r="E13" s="80"/>
      <c r="F13" s="80"/>
      <c r="G13" s="80"/>
      <c r="H13" s="80"/>
    </row>
    <row r="14" spans="1:9" ht="12.75" customHeight="1">
      <c r="A14" s="80"/>
      <c r="B14" s="114" t="str">
        <f>Indice_PrincipalUbicación_etiqueta</f>
        <v>Ubicación virtual:</v>
      </c>
      <c r="C14" s="108" t="str">
        <f>Indice_PrincipalUbicación_texto</f>
        <v>http://www.irc.gov.co, http://www.minhacienda.gov.co</v>
      </c>
      <c r="D14" s="108"/>
      <c r="E14" s="80"/>
      <c r="F14" s="80"/>
      <c r="G14" s="80"/>
      <c r="H14" s="80"/>
    </row>
    <row r="15" spans="1:9" ht="12.75" customHeight="1">
      <c r="A15" s="80"/>
      <c r="B15" s="114" t="str">
        <f>Indice_PrincipalFecha_de_revisión_etiqueta</f>
        <v>Fecha de última revisión de formato:</v>
      </c>
      <c r="C15" s="245">
        <f>Indice_PrincipalFecha_de_revision_texto</f>
        <v>43069</v>
      </c>
      <c r="D15" s="108"/>
      <c r="E15" s="80"/>
      <c r="F15" s="80"/>
      <c r="G15" s="80"/>
      <c r="H15" s="80"/>
    </row>
    <row r="16" spans="1:9" ht="12.75" customHeight="1"/>
    <row r="17" spans="1:9" ht="17.25" customHeight="1">
      <c r="A17" s="281" t="str">
        <f>Indice_PrincipalCategory_etiqueta</f>
        <v>Categoria</v>
      </c>
      <c r="B17" s="281" t="str">
        <f>Indice_PrincipalDatos_y_enlaces_etiqueta</f>
        <v>Vínculos</v>
      </c>
      <c r="C17" s="281"/>
      <c r="D17" s="282" t="str">
        <f>Indice_PrincipalDescripción_etiqueta</f>
        <v>Descripción</v>
      </c>
      <c r="E17" s="282"/>
      <c r="F17" s="282"/>
      <c r="G17" s="282"/>
      <c r="H17" s="282"/>
      <c r="I17" s="80"/>
    </row>
    <row r="18" spans="1:9" ht="12.75" customHeight="1">
      <c r="A18" s="185" t="str">
        <f>Indice_PrincipalSaldos_de_deuda_etiqueta</f>
        <v>Saldos de deuda</v>
      </c>
      <c r="B18" s="186"/>
      <c r="C18" s="187"/>
      <c r="D18" s="187"/>
      <c r="E18" s="187"/>
      <c r="F18" s="187"/>
      <c r="G18" s="187"/>
      <c r="H18" s="187"/>
      <c r="I18" s="80"/>
    </row>
    <row r="19" spans="1:9" ht="12.75" customHeight="1">
      <c r="A19" s="185"/>
      <c r="B19" s="188" t="str">
        <f>Indice_PrincipalSaldos_de_deuda_texto</f>
        <v>Saldos</v>
      </c>
      <c r="C19" s="187"/>
      <c r="D19" s="187"/>
      <c r="E19" s="187"/>
      <c r="F19" s="187"/>
      <c r="G19" s="187"/>
      <c r="H19" s="187"/>
      <c r="I19" s="80"/>
    </row>
    <row r="20" spans="1:9">
      <c r="A20" s="185"/>
      <c r="B20" s="189"/>
      <c r="C20" s="187"/>
      <c r="D20" s="187"/>
      <c r="E20" s="187"/>
      <c r="F20" s="187"/>
      <c r="G20" s="187"/>
      <c r="H20" s="187"/>
      <c r="I20" s="80"/>
    </row>
    <row r="21" spans="1:9">
      <c r="A21" s="283" t="str">
        <f>Indice_PrincipalFuentes_de_deuda__etiqueta</f>
        <v>Fuentes de deuda</v>
      </c>
      <c r="B21" s="284" t="str">
        <f>Indice_PrincipalFuentes_de_deuda_Interna_texto</f>
        <v>Interna</v>
      </c>
      <c r="C21" s="285"/>
      <c r="D21" s="285"/>
      <c r="E21" s="285"/>
      <c r="F21" s="285"/>
      <c r="G21" s="285"/>
      <c r="H21" s="285"/>
      <c r="I21" s="80"/>
    </row>
    <row r="22" spans="1:9">
      <c r="A22" s="283"/>
      <c r="B22" s="284" t="str">
        <f>Indice_PrincipalFuentes_de_deuda_externa_texto</f>
        <v>Externa</v>
      </c>
      <c r="C22" s="285"/>
      <c r="D22" s="285"/>
      <c r="E22" s="285"/>
      <c r="F22" s="285"/>
      <c r="G22" s="285"/>
      <c r="H22" s="285"/>
      <c r="I22" s="80"/>
    </row>
    <row r="23" spans="1:9">
      <c r="A23" s="283"/>
      <c r="B23" s="284" t="str">
        <f>Indice_PrincipalFuentes_de_deuda_total_texto_2</f>
        <v>Total</v>
      </c>
      <c r="C23" s="285"/>
      <c r="D23" s="285"/>
      <c r="E23" s="285"/>
      <c r="F23" s="285"/>
      <c r="G23" s="285"/>
      <c r="H23" s="285"/>
      <c r="I23" s="80"/>
    </row>
    <row r="24" spans="1:9">
      <c r="A24" s="112" t="str">
        <f>Indice_PrincipalTasas_de_deuda_etiqueta</f>
        <v>Tasas</v>
      </c>
      <c r="B24" s="188" t="str">
        <f>Indice_PrincipalTasas_de_deuda_texto</f>
        <v>Interna</v>
      </c>
      <c r="C24" s="110"/>
      <c r="D24" s="110"/>
      <c r="E24" s="110"/>
      <c r="F24" s="110"/>
      <c r="G24" s="110"/>
      <c r="H24" s="110"/>
      <c r="I24" s="80"/>
    </row>
    <row r="25" spans="1:9">
      <c r="A25" s="112"/>
      <c r="B25" s="188" t="str">
        <f>Indice_PrincipalTasas_de_deuda_texto_2</f>
        <v>Externa</v>
      </c>
      <c r="C25" s="110"/>
      <c r="D25" s="110"/>
      <c r="E25" s="110"/>
      <c r="F25" s="110"/>
      <c r="G25" s="110"/>
      <c r="H25" s="110"/>
      <c r="I25" s="80"/>
    </row>
    <row r="26" spans="1:9">
      <c r="A26" s="112"/>
      <c r="B26" s="188" t="str">
        <f>Indice_PrincipalTasas_de_deuda_texto_3</f>
        <v>Total</v>
      </c>
      <c r="C26" s="110"/>
      <c r="D26" s="110"/>
      <c r="E26" s="110"/>
      <c r="F26" s="110"/>
      <c r="G26" s="110"/>
      <c r="H26" s="110"/>
      <c r="I26" s="80"/>
    </row>
    <row r="27" spans="1:9">
      <c r="A27" s="112"/>
      <c r="B27" s="189"/>
      <c r="C27" s="110"/>
      <c r="D27" s="110"/>
      <c r="E27" s="110"/>
      <c r="F27" s="110"/>
      <c r="G27" s="110"/>
      <c r="H27" s="110"/>
      <c r="I27" s="80"/>
    </row>
    <row r="28" spans="1:9">
      <c r="A28" s="283" t="str">
        <f>Indice_PrincipalMoneda_de_deuda_etiqueta</f>
        <v>Moneda</v>
      </c>
      <c r="B28" s="284" t="str">
        <f>Indice_PrincipalMoneda_de_deuda_texto</f>
        <v>Interna</v>
      </c>
      <c r="C28" s="285"/>
      <c r="D28" s="285"/>
      <c r="E28" s="285"/>
      <c r="F28" s="285"/>
      <c r="G28" s="285"/>
      <c r="H28" s="285"/>
      <c r="I28" s="80"/>
    </row>
    <row r="29" spans="1:9">
      <c r="A29" s="283"/>
      <c r="B29" s="284" t="str">
        <f>Indice_PrincipalMoneda_de_deuda_texto_2</f>
        <v>Externa</v>
      </c>
      <c r="C29" s="285"/>
      <c r="D29" s="285"/>
      <c r="E29" s="285"/>
      <c r="F29" s="285"/>
      <c r="G29" s="285"/>
      <c r="H29" s="285"/>
      <c r="I29" s="80"/>
    </row>
    <row r="30" spans="1:9">
      <c r="A30" s="283"/>
      <c r="B30" s="286" t="str">
        <f>Indice_PrincipalMoneda_de_deuda_texto_3</f>
        <v>Total</v>
      </c>
      <c r="C30" s="285"/>
      <c r="D30" s="285"/>
      <c r="E30" s="285"/>
      <c r="F30" s="285"/>
      <c r="G30" s="285"/>
      <c r="H30" s="285"/>
      <c r="I30" s="80"/>
    </row>
    <row r="31" spans="1:9">
      <c r="A31" s="283"/>
      <c r="B31" s="284"/>
      <c r="C31" s="285"/>
      <c r="D31" s="285"/>
      <c r="E31" s="285"/>
      <c r="F31" s="285"/>
      <c r="G31" s="285"/>
      <c r="H31" s="285"/>
      <c r="I31" s="80"/>
    </row>
    <row r="32" spans="1:9">
      <c r="A32" s="112" t="s">
        <v>383</v>
      </c>
      <c r="B32" s="188" t="str">
        <f>Indice_PrincipalServicio_de_deuda_texto</f>
        <v>Interna</v>
      </c>
      <c r="C32" s="110"/>
      <c r="D32" s="110"/>
      <c r="E32" s="110"/>
      <c r="F32" s="110"/>
      <c r="G32" s="110"/>
      <c r="H32" s="110"/>
      <c r="I32" s="80"/>
    </row>
    <row r="33" spans="1:9">
      <c r="A33" s="112"/>
      <c r="B33" s="188" t="str">
        <f>Indice_PrincipalServicio_de_deuda_texto_2</f>
        <v>Externa</v>
      </c>
      <c r="C33" s="110"/>
      <c r="D33" s="110"/>
      <c r="E33" s="110"/>
      <c r="F33" s="110"/>
      <c r="G33" s="110"/>
      <c r="H33" s="110"/>
      <c r="I33" s="80"/>
    </row>
    <row r="34" spans="1:9">
      <c r="A34" s="112"/>
      <c r="B34" s="188" t="str">
        <f>Indice_PrincipalServicio_de_deuda_texto_3</f>
        <v>Total</v>
      </c>
      <c r="C34" s="110"/>
      <c r="D34" s="110"/>
      <c r="E34" s="110"/>
      <c r="F34" s="110"/>
      <c r="G34" s="110"/>
      <c r="H34" s="110"/>
      <c r="I34" s="80"/>
    </row>
    <row r="35" spans="1:9">
      <c r="A35" s="112"/>
      <c r="B35" s="189"/>
      <c r="C35" s="110"/>
      <c r="D35" s="110"/>
      <c r="E35" s="110"/>
      <c r="F35" s="110"/>
      <c r="G35" s="110"/>
      <c r="H35" s="110"/>
      <c r="I35" s="80"/>
    </row>
    <row r="36" spans="1:9">
      <c r="A36" s="283" t="str">
        <f>Indice_PrincipalIndicadores_etiqueta</f>
        <v>Indicadores</v>
      </c>
      <c r="B36" s="287"/>
      <c r="C36" s="285"/>
      <c r="D36" s="285"/>
      <c r="E36" s="285"/>
      <c r="F36" s="285"/>
      <c r="G36" s="285"/>
      <c r="H36" s="285"/>
      <c r="I36" s="80"/>
    </row>
    <row r="37" spans="1:9">
      <c r="A37" s="283"/>
      <c r="B37" s="284" t="str">
        <f>Indice_PrincipalIndicadores_texto</f>
        <v>Indicadores</v>
      </c>
      <c r="C37" s="285"/>
      <c r="D37" s="285"/>
      <c r="E37" s="285"/>
      <c r="F37" s="285"/>
      <c r="G37" s="285"/>
      <c r="H37" s="285"/>
      <c r="I37" s="80"/>
    </row>
    <row r="38" spans="1:9">
      <c r="A38" s="283"/>
      <c r="B38" s="287"/>
      <c r="C38" s="285"/>
      <c r="D38" s="285"/>
      <c r="E38" s="285"/>
      <c r="F38" s="285"/>
      <c r="G38" s="285"/>
      <c r="H38" s="285"/>
      <c r="I38" s="80"/>
    </row>
    <row r="39" spans="1:9">
      <c r="A39" s="110"/>
      <c r="B39" s="111"/>
      <c r="C39" s="110"/>
      <c r="D39" s="110"/>
      <c r="E39" s="110"/>
      <c r="F39" s="110"/>
      <c r="G39" s="110"/>
      <c r="H39" s="110"/>
      <c r="I39" s="80"/>
    </row>
    <row r="40" spans="1:9">
      <c r="C40" s="113" t="str">
        <f>Indice_PrincipalLeyenda_etiqueta</f>
        <v>Leyenda de etiquetas</v>
      </c>
      <c r="D40" s="181" t="str">
        <f>Indice_PrincipalLeyenda_texto</f>
        <v>Deuda interna</v>
      </c>
      <c r="E40" s="240" t="str">
        <f>Indice_PrincipalLeyenda_texto_2</f>
        <v>Deuda externa</v>
      </c>
      <c r="F40" s="288" t="str">
        <f>Indice_PrincipalLeyenda_texto_3</f>
        <v>Deuda total</v>
      </c>
      <c r="G40" s="288" t="str">
        <f>Indice_PrincipalLeyenda_texto_4</f>
        <v>General</v>
      </c>
    </row>
    <row r="41" spans="1:9"/>
    <row r="42" spans="1:9"/>
  </sheetData>
  <phoneticPr fontId="15" type="noConversion"/>
  <hyperlinks>
    <hyperlink ref="B19" location="Saldos!A1" display="Saldos" xr:uid="{131994FA-AE8B-4B3F-9BBA-5D414F9E1711}"/>
    <hyperlink ref="B24" location="'Tasa - interna'!A1" display="Interna" xr:uid="{0C254B10-0579-43A1-A4FC-0C0925EF3933}"/>
    <hyperlink ref="B28" location="'Moneda - interna'!A1" display="Interna" xr:uid="{FF12FA29-2B9B-41BB-A398-48851A2A87D8}"/>
    <hyperlink ref="B29" location="'Moneda - externa'!A1" display="Externa" xr:uid="{89BB008E-36EA-4AFF-BA92-96739CC0BAC4}"/>
    <hyperlink ref="B30" location="'Moneda - total'!A1" display="Total" xr:uid="{4FB2300F-09EF-456B-AEE2-8E0345880C09}"/>
    <hyperlink ref="B32" location="'Servicio - interna'!A1" display="Interna" xr:uid="{A1DC1480-B510-4F6A-B973-2B85D43CB20F}"/>
    <hyperlink ref="B33" location="'Servicio - externa'!A1" display="Externa" xr:uid="{0A216044-D44C-410E-955B-8EB3C2243D73}"/>
    <hyperlink ref="B34" location="'Servicio - total'!A1" display="Total" xr:uid="{271BB4D1-9E2A-4BD6-8402-E36CBC449368}"/>
    <hyperlink ref="B26" location="'Tasa - total'!A1" display="Total" xr:uid="{60ED1EE5-0B8D-4EFF-A4B6-56B334ADD238}"/>
    <hyperlink ref="B25" location="'Tasa - externa'!A1" display="Externa" xr:uid="{128B7512-D517-4707-9702-77FBA1E7AFFF}"/>
    <hyperlink ref="B21" location="'Fuente - interna'!A1" display="'Fuente - interna'!A1" xr:uid="{1BE55B6D-7339-4A23-85E4-9311BE34D27F}"/>
    <hyperlink ref="B23" location="'Fuente - total'!A1" display="'Fuente - total'!A1" xr:uid="{D8354DB2-208E-4962-B188-373200B023A0}"/>
    <hyperlink ref="B22" location="'Fuente - externa'!A1" display="'Fuente - externa'!A1" xr:uid="{28FB0C45-C647-42E4-9E3C-ECE86CFDADF5}"/>
    <hyperlink ref="B37" location="Indicadores!A1" display="Indicadores" xr:uid="{6A9455CA-72AE-4991-B6DB-0EEE2123D48A}"/>
  </hyperlinks>
  <pageMargins left="0.23622047244094491" right="0.23622047244094491" top="0.74803149606299213" bottom="0.74803149606299213" header="0.31496062992125984" footer="0.31496062992125984"/>
  <pageSetup scale="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Drop Down 1">
              <controlPr locked="0" defaultSize="0" print="0" autoLine="0" autoPict="0">
                <anchor>
                  <from>
                    <xdr:col>0</xdr:col>
                    <xdr:colOff>733425</xdr:colOff>
                    <xdr:row>1</xdr:row>
                    <xdr:rowOff>219075</xdr:rowOff>
                  </from>
                  <to>
                    <xdr:col>1</xdr:col>
                    <xdr:colOff>1485900</xdr:colOff>
                    <xdr:row>2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AD40-31C1-4EB1-A0AB-717170B17290}">
  <sheetPr codeName="Hoja11">
    <tabColor theme="0" tint="-0.14999847407452621"/>
    <pageSetUpPr fitToPage="1"/>
  </sheetPr>
  <dimension ref="A1:I305"/>
  <sheetViews>
    <sheetView showGridLines="0" zoomScale="124" zoomScaleNormal="124" workbookViewId="0">
      <pane ySplit="22" topLeftCell="A301" activePane="bottomLeft" state="frozen"/>
      <selection activeCell="Z846" sqref="Z846"/>
      <selection pane="bottomLeft" activeCell="E305" sqref="E305:F305"/>
    </sheetView>
  </sheetViews>
  <sheetFormatPr baseColWidth="10" defaultColWidth="0" defaultRowHeight="12.75"/>
  <cols>
    <col min="1" max="1" width="14.7109375" style="135" customWidth="1"/>
    <col min="2" max="2" width="12.28515625" style="135" customWidth="1"/>
    <col min="3" max="3" width="20.7109375" style="135" customWidth="1"/>
    <col min="4" max="4" width="13.7109375" style="135" customWidth="1"/>
    <col min="5" max="6" width="22.5703125" style="135" customWidth="1"/>
    <col min="7" max="7" width="33.28515625" style="135" customWidth="1"/>
    <col min="8" max="9" width="0" style="135" hidden="1" customWidth="1"/>
    <col min="10" max="16384" width="0" style="133" hidden="1"/>
  </cols>
  <sheetData>
    <row r="1" spans="1:1" s="130" customFormat="1" ht="12.75" customHeight="1">
      <c r="A1" s="116"/>
    </row>
    <row r="2" spans="1:1" s="130" customFormat="1" ht="12.75" customHeight="1">
      <c r="A2" s="131"/>
    </row>
    <row r="3" spans="1:1" s="130" customFormat="1" ht="12.75" customHeight="1">
      <c r="A3" s="131"/>
    </row>
    <row r="4" spans="1:1" s="130" customFormat="1" ht="12.75" customHeight="1">
      <c r="A4" s="131"/>
    </row>
    <row r="5" spans="1:1" s="130" customFormat="1" ht="12.75" customHeight="1">
      <c r="A5" s="126"/>
    </row>
    <row r="6" spans="1:1" s="133" customFormat="1" ht="12.75" customHeight="1">
      <c r="A6" s="127"/>
    </row>
    <row r="7" spans="1:1" s="133" customFormat="1" ht="12.75" customHeight="1">
      <c r="A7" s="127"/>
    </row>
    <row r="8" spans="1:1" s="133" customFormat="1" ht="12.75" customHeight="1">
      <c r="A8" s="127"/>
    </row>
    <row r="9" spans="1:1" s="133" customFormat="1" ht="12.75" customHeight="1">
      <c r="A9" s="127"/>
    </row>
    <row r="10" spans="1:1" s="133" customFormat="1" ht="12.75" customHeight="1">
      <c r="A10" s="127"/>
    </row>
    <row r="11" spans="1:1" s="133" customFormat="1" ht="12.75" customHeight="1">
      <c r="A11" s="127"/>
    </row>
    <row r="12" spans="1:1" s="133" customFormat="1" ht="12.75" customHeight="1">
      <c r="A12" s="127"/>
    </row>
    <row r="13" spans="1:1" s="133" customFormat="1" ht="12.75" customHeight="1">
      <c r="A13" s="127"/>
    </row>
    <row r="14" spans="1:1" s="133" customFormat="1" ht="12.75" customHeight="1">
      <c r="A14" s="127"/>
    </row>
    <row r="15" spans="1:1" s="133" customFormat="1" ht="12.75" customHeight="1">
      <c r="A15" s="127"/>
    </row>
    <row r="16" spans="1:1" s="133" customFormat="1" ht="12.75" customHeight="1">
      <c r="A16" s="127"/>
    </row>
    <row r="17" spans="1:9" ht="12.75" customHeight="1">
      <c r="A17" s="127"/>
      <c r="B17" s="133"/>
      <c r="C17" s="133"/>
      <c r="D17" s="133"/>
      <c r="E17" s="133"/>
      <c r="F17" s="133"/>
      <c r="G17" s="133"/>
      <c r="H17" s="133"/>
      <c r="I17" s="133"/>
    </row>
    <row r="18" spans="1:9" ht="12.75" customHeight="1">
      <c r="A18" s="127"/>
      <c r="B18" s="133"/>
      <c r="C18" s="133"/>
      <c r="D18" s="133"/>
      <c r="E18" s="133"/>
      <c r="F18" s="133"/>
      <c r="G18" s="133"/>
      <c r="H18" s="133"/>
      <c r="I18" s="133"/>
    </row>
    <row r="19" spans="1:9" ht="12.75" customHeight="1">
      <c r="A19" s="127"/>
      <c r="B19" s="133"/>
      <c r="C19" s="133"/>
      <c r="D19" s="133"/>
      <c r="E19" s="133"/>
      <c r="F19" s="133"/>
      <c r="G19" s="133"/>
      <c r="H19" s="133"/>
      <c r="I19" s="133"/>
    </row>
    <row r="20" spans="1:9" s="134" customFormat="1" ht="12.75" customHeight="1">
      <c r="A20" s="291"/>
      <c r="B20" s="290" t="str">
        <f>Moneda_internaSección_título_etiqueta</f>
        <v>Composición por moneda - deuda interna</v>
      </c>
      <c r="C20" s="289"/>
      <c r="D20" s="289"/>
      <c r="E20" s="289"/>
      <c r="F20" s="289"/>
      <c r="G20" s="145"/>
      <c r="H20" s="145"/>
      <c r="I20" s="145"/>
    </row>
    <row r="21" spans="1:9" s="134" customFormat="1" ht="12.75" customHeight="1">
      <c r="A21" s="291"/>
      <c r="B21" s="290" t="str">
        <f>Moneda_internaSección_subtítulo_etiqueta</f>
        <v>(% de deuda interna)</v>
      </c>
      <c r="C21" s="289"/>
      <c r="D21" s="289"/>
      <c r="E21" s="289"/>
      <c r="F21" s="289"/>
      <c r="G21" s="145"/>
      <c r="H21" s="145"/>
      <c r="I21" s="145"/>
    </row>
    <row r="22" spans="1:9">
      <c r="A22" s="192" t="str">
        <f>Indice_PrincipalFecha_corte_etiqueta</f>
        <v>Fecha corte</v>
      </c>
      <c r="B22" s="192" t="str">
        <f>Moneda_internaColumna_título_etiqueta</f>
        <v>COP</v>
      </c>
      <c r="C22" s="192" t="str">
        <f>Moneda_internaColumna_título_etiqueta_2</f>
        <v>UVR indexado (COP)</v>
      </c>
      <c r="D22" s="192" t="str">
        <f>Moneda_internaColumna_título_etiqueta_3</f>
        <v>USD</v>
      </c>
      <c r="E22" s="192" t="str">
        <f>Moneda_internaColumna_título_etiqueta_4</f>
        <v>% Moneda local</v>
      </c>
      <c r="F22" s="192" t="str">
        <f>Moneda_internaColumna_título_etiqueta_5</f>
        <v>% Moneda extranjera</v>
      </c>
      <c r="G22" s="133"/>
      <c r="H22" s="133"/>
      <c r="I22" s="133"/>
    </row>
    <row r="23" spans="1:9">
      <c r="A23" s="118">
        <v>37072</v>
      </c>
      <c r="B23" s="194">
        <v>0.68672874413696405</v>
      </c>
      <c r="C23" s="194">
        <v>0.2595913642477774</v>
      </c>
      <c r="D23" s="194">
        <v>5.3696242125073373E-2</v>
      </c>
      <c r="E23" s="207">
        <v>0.94632010838474134</v>
      </c>
      <c r="F23" s="200">
        <v>5.3696242125073373E-2</v>
      </c>
    </row>
    <row r="24" spans="1:9">
      <c r="A24" s="118">
        <v>37103</v>
      </c>
      <c r="B24" s="194">
        <v>0.67340713703523503</v>
      </c>
      <c r="C24" s="194">
        <v>0.25775351740251518</v>
      </c>
      <c r="D24" s="194">
        <v>6.8839345562249646E-2</v>
      </c>
      <c r="E24" s="207">
        <v>0.9311606544377502</v>
      </c>
      <c r="F24" s="200">
        <v>6.8839345562249646E-2</v>
      </c>
    </row>
    <row r="25" spans="1:9">
      <c r="A25" s="118">
        <v>37134</v>
      </c>
      <c r="B25" s="194">
        <v>0.67153260392155101</v>
      </c>
      <c r="C25" s="194">
        <v>0.25333590287251773</v>
      </c>
      <c r="D25" s="194">
        <v>7.5131493205931293E-2</v>
      </c>
      <c r="E25" s="207">
        <v>0.92486850679406873</v>
      </c>
      <c r="F25" s="200">
        <v>7.5131493205931293E-2</v>
      </c>
    </row>
    <row r="26" spans="1:9">
      <c r="A26" s="118">
        <v>37164</v>
      </c>
      <c r="B26" s="194">
        <v>0.66733554703050868</v>
      </c>
      <c r="C26" s="194">
        <v>0.25399219725198158</v>
      </c>
      <c r="D26" s="194">
        <v>7.8672255717509632E-2</v>
      </c>
      <c r="E26" s="207">
        <v>0.92132774428249031</v>
      </c>
      <c r="F26" s="200">
        <v>7.8672255717509632E-2</v>
      </c>
    </row>
    <row r="27" spans="1:9">
      <c r="A27" s="118">
        <v>37195</v>
      </c>
      <c r="B27" s="194">
        <v>0.65779679734730467</v>
      </c>
      <c r="C27" s="194">
        <v>0.25869228385842574</v>
      </c>
      <c r="D27" s="194">
        <v>8.3510918794269556E-2</v>
      </c>
      <c r="E27" s="207">
        <v>0.91648908120573047</v>
      </c>
      <c r="F27" s="200">
        <v>8.3510918794269556E-2</v>
      </c>
    </row>
    <row r="28" spans="1:9">
      <c r="A28" s="118">
        <v>37225</v>
      </c>
      <c r="B28" s="194">
        <v>0.65710971742181912</v>
      </c>
      <c r="C28" s="194">
        <v>0.25724589753817817</v>
      </c>
      <c r="D28" s="194">
        <v>8.5644385040002699E-2</v>
      </c>
      <c r="E28" s="207">
        <v>0.91435561495999729</v>
      </c>
      <c r="F28" s="200">
        <v>8.5644385040002699E-2</v>
      </c>
    </row>
    <row r="29" spans="1:9">
      <c r="A29" s="118">
        <v>37256</v>
      </c>
      <c r="B29" s="194">
        <v>0.68558714379735308</v>
      </c>
      <c r="C29" s="194">
        <v>0.23626549531092325</v>
      </c>
      <c r="D29" s="194">
        <v>7.8147360891723583E-2</v>
      </c>
      <c r="E29" s="207">
        <v>0.92185263910827631</v>
      </c>
      <c r="F29" s="200">
        <v>7.8147360891723583E-2</v>
      </c>
    </row>
    <row r="30" spans="1:9">
      <c r="A30" s="118">
        <v>37287</v>
      </c>
      <c r="B30" s="194">
        <v>0.6975660029464904</v>
      </c>
      <c r="C30" s="194">
        <v>0.23921847526760673</v>
      </c>
      <c r="D30" s="194">
        <v>6.3215521785902812E-2</v>
      </c>
      <c r="E30" s="207">
        <v>0.93678447821409716</v>
      </c>
      <c r="F30" s="200">
        <v>6.3215521785902812E-2</v>
      </c>
    </row>
    <row r="31" spans="1:9">
      <c r="A31" s="118">
        <v>37315</v>
      </c>
      <c r="B31" s="194">
        <v>0.68683518943284816</v>
      </c>
      <c r="C31" s="194">
        <v>0.25517212107904697</v>
      </c>
      <c r="D31" s="194">
        <v>5.7992689488104966E-2</v>
      </c>
      <c r="E31" s="207">
        <v>0.94200731051189512</v>
      </c>
      <c r="F31" s="200">
        <v>5.7992689488104966E-2</v>
      </c>
    </row>
    <row r="32" spans="1:9">
      <c r="A32" s="118">
        <v>37346</v>
      </c>
      <c r="B32" s="194">
        <v>0.69295489714736469</v>
      </c>
      <c r="C32" s="194">
        <v>0.25913455875546693</v>
      </c>
      <c r="D32" s="194">
        <v>4.7910544097168335E-2</v>
      </c>
      <c r="E32" s="207">
        <v>0.95208945590283167</v>
      </c>
      <c r="F32" s="200">
        <v>4.7910544097168335E-2</v>
      </c>
    </row>
    <row r="33" spans="1:6">
      <c r="A33" s="118">
        <v>37376</v>
      </c>
      <c r="B33" s="194">
        <v>0.69298106694250683</v>
      </c>
      <c r="C33" s="194">
        <v>0.25925019140468281</v>
      </c>
      <c r="D33" s="194">
        <v>4.776874165281042E-2</v>
      </c>
      <c r="E33" s="207">
        <v>0.95223125834718969</v>
      </c>
      <c r="F33" s="200">
        <v>4.776874165281042E-2</v>
      </c>
    </row>
    <row r="34" spans="1:6">
      <c r="A34" s="118">
        <v>37407</v>
      </c>
      <c r="B34" s="194">
        <v>0.68953131592495609</v>
      </c>
      <c r="C34" s="194">
        <v>0.26430008023082613</v>
      </c>
      <c r="D34" s="194">
        <v>4.6168603844217754E-2</v>
      </c>
      <c r="E34" s="207">
        <v>0.95383139615578227</v>
      </c>
      <c r="F34" s="200">
        <v>4.6168603844217754E-2</v>
      </c>
    </row>
    <row r="35" spans="1:6">
      <c r="A35" s="118">
        <v>37437</v>
      </c>
      <c r="B35" s="194">
        <v>0.69464239166095942</v>
      </c>
      <c r="C35" s="194">
        <v>0.27019563619072628</v>
      </c>
      <c r="D35" s="194">
        <v>3.5161972148314354E-2</v>
      </c>
      <c r="E35" s="207">
        <v>0.96483802785168571</v>
      </c>
      <c r="F35" s="200">
        <v>3.5161972148314354E-2</v>
      </c>
    </row>
    <row r="36" spans="1:6">
      <c r="A36" s="118">
        <v>37468</v>
      </c>
      <c r="B36" s="194">
        <v>0.68976877648574664</v>
      </c>
      <c r="C36" s="194">
        <v>0.27185627194958667</v>
      </c>
      <c r="D36" s="194">
        <v>3.8374951564666672E-2</v>
      </c>
      <c r="E36" s="207">
        <v>0.96162504843533325</v>
      </c>
      <c r="F36" s="200">
        <v>3.8374951564666672E-2</v>
      </c>
    </row>
    <row r="37" spans="1:6">
      <c r="A37" s="118">
        <v>37499</v>
      </c>
      <c r="B37" s="194">
        <v>0.68811481387326412</v>
      </c>
      <c r="C37" s="194">
        <v>0.2723532126135122</v>
      </c>
      <c r="D37" s="194">
        <v>3.9531973513223656E-2</v>
      </c>
      <c r="E37" s="207">
        <v>0.96046802648677632</v>
      </c>
      <c r="F37" s="200">
        <v>3.9531973513223656E-2</v>
      </c>
    </row>
    <row r="38" spans="1:6">
      <c r="A38" s="118">
        <v>37529</v>
      </c>
      <c r="B38" s="194">
        <v>0.68470198557618123</v>
      </c>
      <c r="C38" s="194">
        <v>0.27402361410610215</v>
      </c>
      <c r="D38" s="194">
        <v>4.1274400317716751E-2</v>
      </c>
      <c r="E38" s="207">
        <v>0.95872559968228344</v>
      </c>
      <c r="F38" s="200">
        <v>4.1274400317716751E-2</v>
      </c>
    </row>
    <row r="39" spans="1:6">
      <c r="A39" s="118">
        <v>37560</v>
      </c>
      <c r="B39" s="194">
        <v>0.68483217041684386</v>
      </c>
      <c r="C39" s="194">
        <v>0.27478252103981909</v>
      </c>
      <c r="D39" s="194">
        <v>4.0385308543336981E-2</v>
      </c>
      <c r="E39" s="207">
        <v>0.959614691456663</v>
      </c>
      <c r="F39" s="200">
        <v>4.0385308543336981E-2</v>
      </c>
    </row>
    <row r="40" spans="1:6">
      <c r="A40" s="118">
        <v>37590</v>
      </c>
      <c r="B40" s="194">
        <v>0.68481514682020683</v>
      </c>
      <c r="C40" s="194">
        <v>0.2752766605846948</v>
      </c>
      <c r="D40" s="194">
        <v>3.9908192595098382E-2</v>
      </c>
      <c r="E40" s="207">
        <v>0.96009180740490163</v>
      </c>
      <c r="F40" s="200">
        <v>3.9908192595098382E-2</v>
      </c>
    </row>
    <row r="41" spans="1:6">
      <c r="A41" s="118">
        <v>37621</v>
      </c>
      <c r="B41" s="194">
        <v>0.67945172352082783</v>
      </c>
      <c r="C41" s="194">
        <v>0.26713376127110561</v>
      </c>
      <c r="D41" s="194">
        <v>5.3414515208066608E-2</v>
      </c>
      <c r="E41" s="207">
        <v>0.9465854847919335</v>
      </c>
      <c r="F41" s="200">
        <v>5.3414515208066608E-2</v>
      </c>
    </row>
    <row r="42" spans="1:6">
      <c r="A42" s="118">
        <v>37652</v>
      </c>
      <c r="B42" s="194">
        <v>0.67846106043324572</v>
      </c>
      <c r="C42" s="194">
        <v>0.26768745141667144</v>
      </c>
      <c r="D42" s="194">
        <v>5.3851488150082824E-2</v>
      </c>
      <c r="E42" s="207">
        <v>0.94614851184991711</v>
      </c>
      <c r="F42" s="200">
        <v>5.3851488150082824E-2</v>
      </c>
    </row>
    <row r="43" spans="1:6">
      <c r="A43" s="118">
        <v>37680</v>
      </c>
      <c r="B43" s="194">
        <v>0.67259227675161215</v>
      </c>
      <c r="C43" s="194">
        <v>0.28114400408133589</v>
      </c>
      <c r="D43" s="194">
        <v>4.626371916705202E-2</v>
      </c>
      <c r="E43" s="207">
        <v>0.95373628083294804</v>
      </c>
      <c r="F43" s="200">
        <v>4.626371916705202E-2</v>
      </c>
    </row>
    <row r="44" spans="1:6">
      <c r="A44" s="118">
        <v>37711</v>
      </c>
      <c r="B44" s="194">
        <v>0.66819760998631395</v>
      </c>
      <c r="C44" s="194">
        <v>0.28563325432639103</v>
      </c>
      <c r="D44" s="194">
        <v>4.6169135687294971E-2</v>
      </c>
      <c r="E44" s="207">
        <v>0.95383086431270492</v>
      </c>
      <c r="F44" s="200">
        <v>4.6169135687294971E-2</v>
      </c>
    </row>
    <row r="45" spans="1:6">
      <c r="A45" s="118">
        <v>37741</v>
      </c>
      <c r="B45" s="194">
        <v>0.67073226687739129</v>
      </c>
      <c r="C45" s="194">
        <v>0.28484848081355973</v>
      </c>
      <c r="D45" s="194">
        <v>4.441925230904905E-2</v>
      </c>
      <c r="E45" s="207">
        <v>0.95558074769095103</v>
      </c>
      <c r="F45" s="200">
        <v>4.441925230904905E-2</v>
      </c>
    </row>
    <row r="46" spans="1:6">
      <c r="A46" s="118">
        <v>37772</v>
      </c>
      <c r="B46" s="194">
        <v>0.67255009791109122</v>
      </c>
      <c r="C46" s="194">
        <v>0.28417743470788215</v>
      </c>
      <c r="D46" s="194">
        <v>4.3272467381026546E-2</v>
      </c>
      <c r="E46" s="207">
        <v>0.95672753261897336</v>
      </c>
      <c r="F46" s="200">
        <v>4.3272467381026546E-2</v>
      </c>
    </row>
    <row r="47" spans="1:6">
      <c r="A47" s="118">
        <v>37802</v>
      </c>
      <c r="B47" s="194">
        <v>0.66726835162457876</v>
      </c>
      <c r="C47" s="194">
        <v>0.29026703626044781</v>
      </c>
      <c r="D47" s="194">
        <v>4.2464612114973516E-2</v>
      </c>
      <c r="E47" s="207">
        <v>0.95753538788502657</v>
      </c>
      <c r="F47" s="200">
        <v>4.2464612114973516E-2</v>
      </c>
    </row>
    <row r="48" spans="1:6">
      <c r="A48" s="118">
        <v>37833</v>
      </c>
      <c r="B48" s="194">
        <v>0.67202698000842043</v>
      </c>
      <c r="C48" s="194">
        <v>0.28838877582686584</v>
      </c>
      <c r="D48" s="194">
        <v>3.9584244164713782E-2</v>
      </c>
      <c r="E48" s="207">
        <v>0.96041575583528627</v>
      </c>
      <c r="F48" s="200">
        <v>3.9584244164713782E-2</v>
      </c>
    </row>
    <row r="49" spans="1:6">
      <c r="A49" s="118">
        <v>37864</v>
      </c>
      <c r="B49" s="194">
        <v>0.67829795830422857</v>
      </c>
      <c r="C49" s="194">
        <v>0.28796473544738332</v>
      </c>
      <c r="D49" s="194">
        <v>3.3737306248388263E-2</v>
      </c>
      <c r="E49" s="207">
        <v>0.96626269375161189</v>
      </c>
      <c r="F49" s="200">
        <v>3.3737306248388263E-2</v>
      </c>
    </row>
    <row r="50" spans="1:6">
      <c r="A50" s="118">
        <v>37894</v>
      </c>
      <c r="B50" s="194">
        <v>0.67870240525857783</v>
      </c>
      <c r="C50" s="194">
        <v>0.28741134836516907</v>
      </c>
      <c r="D50" s="194">
        <v>3.3886246376253051E-2</v>
      </c>
      <c r="E50" s="207">
        <v>0.96611375362374696</v>
      </c>
      <c r="F50" s="200">
        <v>3.3886246376253051E-2</v>
      </c>
    </row>
    <row r="51" spans="1:6">
      <c r="A51" s="118">
        <v>37925</v>
      </c>
      <c r="B51" s="194">
        <v>0.67895307586790021</v>
      </c>
      <c r="C51" s="194">
        <v>0.28736212065655381</v>
      </c>
      <c r="D51" s="194">
        <v>3.3684803475545873E-2</v>
      </c>
      <c r="E51" s="207">
        <v>0.96631519652445408</v>
      </c>
      <c r="F51" s="200">
        <v>3.3684803475545873E-2</v>
      </c>
    </row>
    <row r="52" spans="1:6">
      <c r="A52" s="118">
        <v>37955</v>
      </c>
      <c r="B52" s="194">
        <v>0.68285173631634766</v>
      </c>
      <c r="C52" s="194">
        <v>0.28418160821544819</v>
      </c>
      <c r="D52" s="194">
        <v>3.2966655468204167E-2</v>
      </c>
      <c r="E52" s="207">
        <v>0.96703334453179579</v>
      </c>
      <c r="F52" s="200">
        <v>3.2966655468204167E-2</v>
      </c>
    </row>
    <row r="53" spans="1:6">
      <c r="A53" s="118">
        <v>37986</v>
      </c>
      <c r="B53" s="194">
        <v>0.68540991767623549</v>
      </c>
      <c r="C53" s="194">
        <v>0.282729935444402</v>
      </c>
      <c r="D53" s="194">
        <v>3.1860146879362505E-2</v>
      </c>
      <c r="E53" s="207">
        <v>0.96813985312063755</v>
      </c>
      <c r="F53" s="200">
        <v>3.1860146879362505E-2</v>
      </c>
    </row>
    <row r="54" spans="1:6">
      <c r="A54" s="118">
        <v>38017</v>
      </c>
      <c r="B54" s="194">
        <v>0.67858558729630114</v>
      </c>
      <c r="C54" s="194">
        <v>0.29036209522463113</v>
      </c>
      <c r="D54" s="194">
        <v>3.1052317479067722E-2</v>
      </c>
      <c r="E54" s="207">
        <v>0.96894768252093222</v>
      </c>
      <c r="F54" s="200">
        <v>3.1052317479067722E-2</v>
      </c>
    </row>
    <row r="55" spans="1:6">
      <c r="A55" s="118">
        <v>38046</v>
      </c>
      <c r="B55" s="194">
        <v>0.68577718272897725</v>
      </c>
      <c r="C55" s="194">
        <v>0.28581900292323875</v>
      </c>
      <c r="D55" s="194">
        <v>2.8403814347783961E-2</v>
      </c>
      <c r="E55" s="207">
        <v>0.97159618565221595</v>
      </c>
      <c r="F55" s="200">
        <v>2.8403814347783961E-2</v>
      </c>
    </row>
    <row r="56" spans="1:6">
      <c r="A56" s="118">
        <v>38077</v>
      </c>
      <c r="B56" s="194">
        <v>0.69235990431453709</v>
      </c>
      <c r="C56" s="194">
        <v>0.28078936471996013</v>
      </c>
      <c r="D56" s="194">
        <v>2.6850730965502747E-2</v>
      </c>
      <c r="E56" s="207">
        <v>0.97314926903449717</v>
      </c>
      <c r="F56" s="200">
        <v>2.6850730965502747E-2</v>
      </c>
    </row>
    <row r="57" spans="1:6">
      <c r="A57" s="118">
        <v>38107</v>
      </c>
      <c r="B57" s="194">
        <v>0.69010995318196011</v>
      </c>
      <c r="C57" s="194">
        <v>0.28344170413516873</v>
      </c>
      <c r="D57" s="194">
        <v>2.6448342682871162E-2</v>
      </c>
      <c r="E57" s="207">
        <v>0.97355165731712878</v>
      </c>
      <c r="F57" s="200">
        <v>2.6448342682871162E-2</v>
      </c>
    </row>
    <row r="58" spans="1:6">
      <c r="A58" s="118">
        <v>38138</v>
      </c>
      <c r="B58" s="194">
        <v>0.69804271417247366</v>
      </c>
      <c r="C58" s="194">
        <v>0.27447055452714963</v>
      </c>
      <c r="D58" s="194">
        <v>2.7486731300376675E-2</v>
      </c>
      <c r="E58" s="207">
        <v>0.97251326869962329</v>
      </c>
      <c r="F58" s="200">
        <v>2.7486731300376675E-2</v>
      </c>
    </row>
    <row r="59" spans="1:6">
      <c r="A59" s="118">
        <v>38168</v>
      </c>
      <c r="B59" s="194">
        <v>0.69663086124438178</v>
      </c>
      <c r="C59" s="194">
        <v>0.27825487090792062</v>
      </c>
      <c r="D59" s="194">
        <v>2.511426784769755E-2</v>
      </c>
      <c r="E59" s="207">
        <v>0.97488573215230234</v>
      </c>
      <c r="F59" s="200">
        <v>2.511426784769755E-2</v>
      </c>
    </row>
    <row r="60" spans="1:6">
      <c r="A60" s="118">
        <v>38199</v>
      </c>
      <c r="B60" s="194">
        <v>0.70417419494772415</v>
      </c>
      <c r="C60" s="194">
        <v>0.27214238026820992</v>
      </c>
      <c r="D60" s="194">
        <v>2.3683424784066005E-2</v>
      </c>
      <c r="E60" s="207">
        <v>0.97631657521593407</v>
      </c>
      <c r="F60" s="200">
        <v>2.3683424784066005E-2</v>
      </c>
    </row>
    <row r="61" spans="1:6">
      <c r="A61" s="118">
        <v>38230</v>
      </c>
      <c r="B61" s="194">
        <v>0.70651744184218546</v>
      </c>
      <c r="C61" s="194">
        <v>0.27078486115305844</v>
      </c>
      <c r="D61" s="194">
        <v>2.2697697004756046E-2</v>
      </c>
      <c r="E61" s="207">
        <v>0.9773023029952439</v>
      </c>
      <c r="F61" s="200">
        <v>2.2697697004756046E-2</v>
      </c>
    </row>
    <row r="62" spans="1:6">
      <c r="A62" s="118">
        <v>38260</v>
      </c>
      <c r="B62" s="194">
        <v>0.70916609663116648</v>
      </c>
      <c r="C62" s="194">
        <v>0.26796045220197501</v>
      </c>
      <c r="D62" s="194">
        <v>2.287345116685852E-2</v>
      </c>
      <c r="E62" s="207">
        <v>0.97712654883314154</v>
      </c>
      <c r="F62" s="200">
        <v>2.287345116685852E-2</v>
      </c>
    </row>
    <row r="63" spans="1:6">
      <c r="A63" s="118">
        <v>38291</v>
      </c>
      <c r="B63" s="194">
        <v>0.70744214493584623</v>
      </c>
      <c r="C63" s="194">
        <v>0.2701162431796148</v>
      </c>
      <c r="D63" s="194">
        <v>2.2441611884539147E-2</v>
      </c>
      <c r="E63" s="207">
        <v>0.97755838811546103</v>
      </c>
      <c r="F63" s="200">
        <v>2.2441611884539147E-2</v>
      </c>
    </row>
    <row r="64" spans="1:6">
      <c r="A64" s="118">
        <v>38321</v>
      </c>
      <c r="B64" s="194">
        <v>0.71491090829310222</v>
      </c>
      <c r="C64" s="194">
        <v>0.27277551155826191</v>
      </c>
      <c r="D64" s="194">
        <v>1.2313580148635818E-2</v>
      </c>
      <c r="E64" s="207">
        <v>0.98768641985136418</v>
      </c>
      <c r="F64" s="200">
        <v>1.2313580148635818E-2</v>
      </c>
    </row>
    <row r="65" spans="1:6">
      <c r="A65" s="118">
        <v>38352</v>
      </c>
      <c r="B65" s="194">
        <v>0.71967916893619344</v>
      </c>
      <c r="C65" s="194">
        <v>0.26866643084576153</v>
      </c>
      <c r="D65" s="194">
        <v>1.1654400218045003E-2</v>
      </c>
      <c r="E65" s="207">
        <v>0.98834559978195502</v>
      </c>
      <c r="F65" s="200">
        <v>1.1654400218045003E-2</v>
      </c>
    </row>
    <row r="66" spans="1:6">
      <c r="A66" s="118">
        <v>38383</v>
      </c>
      <c r="B66" s="194">
        <v>0.72068678855855872</v>
      </c>
      <c r="C66" s="194">
        <v>0.26817286433119292</v>
      </c>
      <c r="D66" s="194">
        <v>1.1140347110248376E-2</v>
      </c>
      <c r="E66" s="207">
        <v>0.98885965288975164</v>
      </c>
      <c r="F66" s="200">
        <v>1.1140347110248376E-2</v>
      </c>
    </row>
    <row r="67" spans="1:6">
      <c r="A67" s="118">
        <v>38411</v>
      </c>
      <c r="B67" s="194">
        <v>0.72207311797363383</v>
      </c>
      <c r="C67" s="194">
        <v>0.26727349389134081</v>
      </c>
      <c r="D67" s="194">
        <v>1.0653388135025499E-2</v>
      </c>
      <c r="E67" s="207">
        <v>0.98934661186497463</v>
      </c>
      <c r="F67" s="200">
        <v>1.0653388135025499E-2</v>
      </c>
    </row>
    <row r="68" spans="1:6">
      <c r="A68" s="118">
        <v>38442</v>
      </c>
      <c r="B68" s="194">
        <v>0.72460722722918491</v>
      </c>
      <c r="C68" s="194">
        <v>0.26473839272051625</v>
      </c>
      <c r="D68" s="194">
        <v>1.0654380050299034E-2</v>
      </c>
      <c r="E68" s="207">
        <v>0.98934561994970116</v>
      </c>
      <c r="F68" s="200">
        <v>1.0654380050299034E-2</v>
      </c>
    </row>
    <row r="69" spans="1:6">
      <c r="A69" s="118">
        <v>38472</v>
      </c>
      <c r="B69" s="194">
        <v>0.73268195427550087</v>
      </c>
      <c r="C69" s="194">
        <v>0.25725931784074929</v>
      </c>
      <c r="D69" s="194">
        <v>1.0058727883749792E-2</v>
      </c>
      <c r="E69" s="207">
        <v>0.98994127211625016</v>
      </c>
      <c r="F69" s="200">
        <v>1.0058727883749792E-2</v>
      </c>
    </row>
    <row r="70" spans="1:6">
      <c r="A70" s="118">
        <v>38503</v>
      </c>
      <c r="B70" s="194">
        <v>0.72961054931684588</v>
      </c>
      <c r="C70" s="194">
        <v>0.26039480408403382</v>
      </c>
      <c r="D70" s="194">
        <v>9.9946465991203898E-3</v>
      </c>
      <c r="E70" s="207">
        <v>0.9900053534008797</v>
      </c>
      <c r="F70" s="200">
        <v>9.9946465991203898E-3</v>
      </c>
    </row>
    <row r="71" spans="1:6">
      <c r="A71" s="118">
        <v>38533</v>
      </c>
      <c r="B71" s="194">
        <v>0.74253367823190308</v>
      </c>
      <c r="C71" s="194">
        <v>0.24766411027789809</v>
      </c>
      <c r="D71" s="194">
        <v>9.8022114901988606E-3</v>
      </c>
      <c r="E71" s="207">
        <v>0.99019778850980122</v>
      </c>
      <c r="F71" s="200">
        <v>9.8022114901988606E-3</v>
      </c>
    </row>
    <row r="72" spans="1:6">
      <c r="A72" s="118">
        <v>38564</v>
      </c>
      <c r="B72" s="194">
        <v>0.74425120871783179</v>
      </c>
      <c r="C72" s="194">
        <v>0.24621712764454098</v>
      </c>
      <c r="D72" s="194">
        <v>9.5316636376272211E-3</v>
      </c>
      <c r="E72" s="207">
        <v>0.99046833636237275</v>
      </c>
      <c r="F72" s="200">
        <v>9.5316636376272211E-3</v>
      </c>
    </row>
    <row r="73" spans="1:6">
      <c r="A73" s="118">
        <v>38595</v>
      </c>
      <c r="B73" s="194">
        <v>0.7441841846170949</v>
      </c>
      <c r="C73" s="194">
        <v>0.24638219014231522</v>
      </c>
      <c r="D73" s="194">
        <v>9.4336252405898754E-3</v>
      </c>
      <c r="E73" s="207">
        <v>0.99056637475941012</v>
      </c>
      <c r="F73" s="200">
        <v>9.4336252405898754E-3</v>
      </c>
    </row>
    <row r="74" spans="1:6">
      <c r="A74" s="118">
        <v>38625</v>
      </c>
      <c r="B74" s="194">
        <v>0.74213571280406676</v>
      </c>
      <c r="C74" s="194">
        <v>0.24847979907155701</v>
      </c>
      <c r="D74" s="194">
        <v>9.3844881243762019E-3</v>
      </c>
      <c r="E74" s="207">
        <v>0.9906155118756238</v>
      </c>
      <c r="F74" s="200">
        <v>9.3844881243762019E-3</v>
      </c>
    </row>
    <row r="75" spans="1:6">
      <c r="A75" s="118">
        <v>38656</v>
      </c>
      <c r="B75" s="194">
        <v>0.7496916159237218</v>
      </c>
      <c r="C75" s="194">
        <v>0.24123692033996952</v>
      </c>
      <c r="D75" s="194">
        <v>9.0714637363085177E-3</v>
      </c>
      <c r="E75" s="207">
        <v>0.99092853626369126</v>
      </c>
      <c r="F75" s="200">
        <v>9.0714637363085177E-3</v>
      </c>
    </row>
    <row r="76" spans="1:6">
      <c r="A76" s="118">
        <v>38686</v>
      </c>
      <c r="B76" s="194">
        <v>0.74893052386028003</v>
      </c>
      <c r="C76" s="194">
        <v>0.24219698174863885</v>
      </c>
      <c r="D76" s="194">
        <v>8.8724943910811083E-3</v>
      </c>
      <c r="E76" s="207">
        <v>0.99112750560891882</v>
      </c>
      <c r="F76" s="200">
        <v>8.8724943910811083E-3</v>
      </c>
    </row>
    <row r="77" spans="1:6">
      <c r="A77" s="118">
        <v>38717</v>
      </c>
      <c r="B77" s="194">
        <v>0.75267751200936939</v>
      </c>
      <c r="C77" s="194">
        <v>0.2386153178532569</v>
      </c>
      <c r="D77" s="194">
        <v>8.7071701373737688E-3</v>
      </c>
      <c r="E77" s="207">
        <v>0.99129282986262623</v>
      </c>
      <c r="F77" s="200">
        <v>8.7071701373737688E-3</v>
      </c>
    </row>
    <row r="78" spans="1:6">
      <c r="A78" s="118">
        <v>38748</v>
      </c>
      <c r="B78" s="194">
        <v>0.75354810406877559</v>
      </c>
      <c r="C78" s="194">
        <v>0.23799356534752453</v>
      </c>
      <c r="D78" s="194">
        <v>8.4583305836998593E-3</v>
      </c>
      <c r="E78" s="207">
        <v>0.99154166941630018</v>
      </c>
      <c r="F78" s="200">
        <v>8.4583305836998593E-3</v>
      </c>
    </row>
    <row r="79" spans="1:6">
      <c r="A79" s="118">
        <v>38776</v>
      </c>
      <c r="B79" s="194">
        <v>0.75702253622132321</v>
      </c>
      <c r="C79" s="194">
        <v>0.23478792979077276</v>
      </c>
      <c r="D79" s="194">
        <v>8.1895339879039953E-3</v>
      </c>
      <c r="E79" s="207">
        <v>0.99181046601209599</v>
      </c>
      <c r="F79" s="200">
        <v>8.1895339879039953E-3</v>
      </c>
    </row>
    <row r="80" spans="1:6">
      <c r="A80" s="118">
        <v>38807</v>
      </c>
      <c r="B80" s="194">
        <v>0.76311150452229737</v>
      </c>
      <c r="C80" s="194">
        <v>0.23339430482255275</v>
      </c>
      <c r="D80" s="194">
        <v>3.4941906551499251E-3</v>
      </c>
      <c r="E80" s="207">
        <v>0.99650580934485011</v>
      </c>
      <c r="F80" s="200">
        <v>3.4941906551499251E-3</v>
      </c>
    </row>
    <row r="81" spans="1:6">
      <c r="A81" s="118">
        <v>38837</v>
      </c>
      <c r="B81" s="194">
        <v>0.75212959399253354</v>
      </c>
      <c r="C81" s="194">
        <v>0.24415009432586526</v>
      </c>
      <c r="D81" s="194">
        <v>3.7203116816011154E-3</v>
      </c>
      <c r="E81" s="207">
        <v>0.99627968831839886</v>
      </c>
      <c r="F81" s="200">
        <v>3.7203116816011154E-3</v>
      </c>
    </row>
    <row r="82" spans="1:6">
      <c r="A82" s="118">
        <v>38868</v>
      </c>
      <c r="B82" s="194">
        <v>0.74909808434756497</v>
      </c>
      <c r="C82" s="194">
        <v>0.24701495552906483</v>
      </c>
      <c r="D82" s="194">
        <v>3.8869601233701501E-3</v>
      </c>
      <c r="E82" s="207">
        <v>0.9961130398766298</v>
      </c>
      <c r="F82" s="200">
        <v>3.8869601233701501E-3</v>
      </c>
    </row>
    <row r="83" spans="1:6">
      <c r="A83" s="118">
        <v>38898</v>
      </c>
      <c r="B83" s="194">
        <v>0.75626715379641962</v>
      </c>
      <c r="C83" s="194">
        <v>0.23973854926018795</v>
      </c>
      <c r="D83" s="194">
        <v>3.9942969433925113E-3</v>
      </c>
      <c r="E83" s="207">
        <v>0.99600570305660763</v>
      </c>
      <c r="F83" s="200">
        <v>3.9942969433925113E-3</v>
      </c>
    </row>
    <row r="84" spans="1:6">
      <c r="A84" s="118">
        <v>38929</v>
      </c>
      <c r="B84" s="194">
        <v>0.74687357010218369</v>
      </c>
      <c r="C84" s="194">
        <v>0.24934960762821429</v>
      </c>
      <c r="D84" s="194">
        <v>3.7768222696019722E-3</v>
      </c>
      <c r="E84" s="207">
        <v>0.99622317773039804</v>
      </c>
      <c r="F84" s="200">
        <v>3.7768222696019722E-3</v>
      </c>
    </row>
    <row r="85" spans="1:6">
      <c r="A85" s="118">
        <v>38960</v>
      </c>
      <c r="B85" s="194">
        <v>0.75021031499153013</v>
      </c>
      <c r="C85" s="194">
        <v>0.24613664511121736</v>
      </c>
      <c r="D85" s="194">
        <v>3.6530398972525243E-3</v>
      </c>
      <c r="E85" s="207">
        <v>0.99634696010274748</v>
      </c>
      <c r="F85" s="200">
        <v>3.6530398972525243E-3</v>
      </c>
    </row>
    <row r="86" spans="1:6">
      <c r="A86" s="118">
        <v>38990</v>
      </c>
      <c r="B86" s="194">
        <v>0.75705281762454657</v>
      </c>
      <c r="C86" s="194">
        <v>0.23920743791077628</v>
      </c>
      <c r="D86" s="194">
        <v>3.7397444646770812E-3</v>
      </c>
      <c r="E86" s="207">
        <v>0.99626025553532283</v>
      </c>
      <c r="F86" s="200">
        <v>3.7397444646770812E-3</v>
      </c>
    </row>
    <row r="87" spans="1:6">
      <c r="A87" s="118">
        <v>39021</v>
      </c>
      <c r="B87" s="194">
        <v>0.75763661339086297</v>
      </c>
      <c r="C87" s="194">
        <v>0.23877594190034448</v>
      </c>
      <c r="D87" s="194">
        <v>3.5874447087926049E-3</v>
      </c>
      <c r="E87" s="207">
        <v>0.99641255529120742</v>
      </c>
      <c r="F87" s="200">
        <v>3.5874447087926049E-3</v>
      </c>
    </row>
    <row r="88" spans="1:6">
      <c r="A88" s="118">
        <v>39051</v>
      </c>
      <c r="B88" s="194">
        <v>0.76427277717886999</v>
      </c>
      <c r="C88" s="194">
        <v>0.23218183400756706</v>
      </c>
      <c r="D88" s="194">
        <v>3.5453888135629618E-3</v>
      </c>
      <c r="E88" s="207">
        <v>0.99645461118643708</v>
      </c>
      <c r="F88" s="200">
        <v>3.5453888135629618E-3</v>
      </c>
    </row>
    <row r="89" spans="1:6">
      <c r="A89" s="118">
        <v>39082</v>
      </c>
      <c r="B89" s="194">
        <v>0.76597085235090945</v>
      </c>
      <c r="C89" s="194">
        <v>0.23059882685474956</v>
      </c>
      <c r="D89" s="194">
        <v>3.4303207943410436E-3</v>
      </c>
      <c r="E89" s="207">
        <v>0.99656967920565898</v>
      </c>
      <c r="F89" s="200">
        <v>3.4303207943410436E-3</v>
      </c>
    </row>
    <row r="90" spans="1:6">
      <c r="A90" s="118">
        <v>39113</v>
      </c>
      <c r="B90" s="194">
        <v>0.77429736151979811</v>
      </c>
      <c r="C90" s="194">
        <v>0.2222940692061387</v>
      </c>
      <c r="D90" s="194">
        <v>3.4085692740631465E-3</v>
      </c>
      <c r="E90" s="207">
        <v>0.99659143072593681</v>
      </c>
      <c r="F90" s="200">
        <v>3.4085692740631465E-3</v>
      </c>
    </row>
    <row r="91" spans="1:6">
      <c r="A91" s="118">
        <v>39141</v>
      </c>
      <c r="B91" s="194">
        <v>0.77429760565632366</v>
      </c>
      <c r="C91" s="194">
        <v>0.22240933999640078</v>
      </c>
      <c r="D91" s="194">
        <v>3.2930543472756233E-3</v>
      </c>
      <c r="E91" s="207">
        <v>0.99670694565272444</v>
      </c>
      <c r="F91" s="200">
        <v>3.2930543472756233E-3</v>
      </c>
    </row>
    <row r="92" spans="1:6">
      <c r="A92" s="118">
        <v>39172</v>
      </c>
      <c r="B92" s="194">
        <v>0.7621880942506003</v>
      </c>
      <c r="C92" s="194">
        <v>0.23450765170768878</v>
      </c>
      <c r="D92" s="194">
        <v>3.3042540417108461E-3</v>
      </c>
      <c r="E92" s="207">
        <v>0.99669574595828903</v>
      </c>
      <c r="F92" s="200">
        <v>3.3042540417108461E-3</v>
      </c>
    </row>
    <row r="93" spans="1:6">
      <c r="A93" s="118">
        <v>39202</v>
      </c>
      <c r="B93" s="194">
        <v>0.76218003030679915</v>
      </c>
      <c r="C93" s="194">
        <v>0.23465720271971505</v>
      </c>
      <c r="D93" s="194">
        <v>3.1627669734857868E-3</v>
      </c>
      <c r="E93" s="207">
        <v>0.99683723302651417</v>
      </c>
      <c r="F93" s="200">
        <v>3.1627669734857868E-3</v>
      </c>
    </row>
    <row r="94" spans="1:6">
      <c r="A94" s="118">
        <v>39203</v>
      </c>
      <c r="B94" s="194">
        <v>0.76396757195110809</v>
      </c>
      <c r="C94" s="194">
        <v>0.2332133420175995</v>
      </c>
      <c r="D94" s="194">
        <v>2.819086031292346E-3</v>
      </c>
      <c r="E94" s="207">
        <v>0.99718091396870756</v>
      </c>
      <c r="F94" s="200">
        <v>2.819086031292346E-3</v>
      </c>
    </row>
    <row r="95" spans="1:6">
      <c r="A95" s="118">
        <v>39263</v>
      </c>
      <c r="B95" s="194">
        <v>0.76782605023689987</v>
      </c>
      <c r="C95" s="194">
        <v>0.2293610475241076</v>
      </c>
      <c r="D95" s="194">
        <v>2.8129022389924243E-3</v>
      </c>
      <c r="E95" s="207">
        <v>0.99718709776100745</v>
      </c>
      <c r="F95" s="200">
        <v>2.8129022389924243E-3</v>
      </c>
    </row>
    <row r="96" spans="1:6">
      <c r="A96" s="118">
        <v>39294</v>
      </c>
      <c r="B96" s="194">
        <v>0.778855665531479</v>
      </c>
      <c r="C96" s="194">
        <v>0.21832911701595792</v>
      </c>
      <c r="D96" s="194">
        <v>2.8152174525631598E-3</v>
      </c>
      <c r="E96" s="207">
        <v>0.99718478254743692</v>
      </c>
      <c r="F96" s="200">
        <v>2.8152174525631598E-3</v>
      </c>
    </row>
    <row r="97" spans="1:6">
      <c r="A97" s="118">
        <v>39325</v>
      </c>
      <c r="B97" s="194">
        <v>0.7805330760006628</v>
      </c>
      <c r="C97" s="194">
        <v>0.21640354834063613</v>
      </c>
      <c r="D97" s="194">
        <v>3.0633756587011007E-3</v>
      </c>
      <c r="E97" s="207">
        <v>0.99693662434129893</v>
      </c>
      <c r="F97" s="200">
        <v>3.0633756587011007E-3</v>
      </c>
    </row>
    <row r="98" spans="1:6">
      <c r="A98" s="118">
        <v>39355</v>
      </c>
      <c r="B98" s="194">
        <v>0.77950121267008587</v>
      </c>
      <c r="C98" s="194">
        <v>0.2176265119188337</v>
      </c>
      <c r="D98" s="194">
        <v>2.872275411080268E-3</v>
      </c>
      <c r="E98" s="207">
        <v>0.99712772458891963</v>
      </c>
      <c r="F98" s="200">
        <v>2.872275411080268E-3</v>
      </c>
    </row>
    <row r="99" spans="1:6">
      <c r="A99" s="118">
        <v>39386</v>
      </c>
      <c r="B99" s="194">
        <v>0.78062110324101386</v>
      </c>
      <c r="C99" s="194">
        <v>0.21654925346188969</v>
      </c>
      <c r="D99" s="194">
        <v>2.8296432970963308E-3</v>
      </c>
      <c r="E99" s="207">
        <v>0.99717035670290355</v>
      </c>
      <c r="F99" s="200">
        <v>2.8296432970963308E-3</v>
      </c>
    </row>
    <row r="100" spans="1:6">
      <c r="A100" s="118">
        <v>39416</v>
      </c>
      <c r="B100" s="194">
        <v>0.7720010101527478</v>
      </c>
      <c r="C100" s="194">
        <v>0.22496601285313128</v>
      </c>
      <c r="D100" s="194">
        <v>3.032976994120762E-3</v>
      </c>
      <c r="E100" s="207">
        <v>0.99696702300587914</v>
      </c>
      <c r="F100" s="200">
        <v>3.032976994120762E-3</v>
      </c>
    </row>
    <row r="101" spans="1:6">
      <c r="A101" s="118">
        <v>39447</v>
      </c>
      <c r="B101" s="194">
        <v>0.77356328218375991</v>
      </c>
      <c r="C101" s="194">
        <v>0.22349498253904374</v>
      </c>
      <c r="D101" s="194">
        <v>2.9417352771961532E-3</v>
      </c>
      <c r="E101" s="207">
        <v>0.99705826472280368</v>
      </c>
      <c r="F101" s="200">
        <v>2.9417352771961532E-3</v>
      </c>
    </row>
    <row r="102" spans="1:6">
      <c r="A102" s="118">
        <v>39478</v>
      </c>
      <c r="B102" s="194">
        <v>0.77791863745707956</v>
      </c>
      <c r="C102" s="194">
        <v>0.21930808431909593</v>
      </c>
      <c r="D102" s="194">
        <v>2.7732782238245779E-3</v>
      </c>
      <c r="E102" s="207">
        <v>0.99722672177617544</v>
      </c>
      <c r="F102" s="200">
        <v>2.7732782238245779E-3</v>
      </c>
    </row>
    <row r="103" spans="1:6">
      <c r="A103" s="118">
        <v>39507</v>
      </c>
      <c r="B103" s="194">
        <v>0.77819374991775581</v>
      </c>
      <c r="C103" s="194">
        <v>0.21921296993866518</v>
      </c>
      <c r="D103" s="194">
        <v>2.593280143579096E-3</v>
      </c>
      <c r="E103" s="207">
        <v>0.99740671985642093</v>
      </c>
      <c r="F103" s="200">
        <v>2.593280143579096E-3</v>
      </c>
    </row>
    <row r="104" spans="1:6">
      <c r="A104" s="118">
        <v>39538</v>
      </c>
      <c r="B104" s="194">
        <v>0.77882122744608862</v>
      </c>
      <c r="C104" s="194">
        <v>0.21867537102888218</v>
      </c>
      <c r="D104" s="194">
        <v>2.5034015250292203E-3</v>
      </c>
      <c r="E104" s="207">
        <v>0.99749659847497085</v>
      </c>
      <c r="F104" s="200">
        <v>2.5034015250292203E-3</v>
      </c>
    </row>
    <row r="105" spans="1:6">
      <c r="A105" s="118">
        <v>39568</v>
      </c>
      <c r="B105" s="194">
        <v>0.76645206328475446</v>
      </c>
      <c r="C105" s="194">
        <v>0.23106865145755046</v>
      </c>
      <c r="D105" s="194">
        <v>2.4792852576950432E-3</v>
      </c>
      <c r="E105" s="207">
        <v>0.99752071474230486</v>
      </c>
      <c r="F105" s="200">
        <v>2.4792852576950432E-3</v>
      </c>
    </row>
    <row r="106" spans="1:6">
      <c r="A106" s="118">
        <v>39599</v>
      </c>
      <c r="B106" s="194">
        <v>0.76726592010474037</v>
      </c>
      <c r="C106" s="194">
        <v>0.23034859102240432</v>
      </c>
      <c r="D106" s="194">
        <v>2.3854888728553096E-3</v>
      </c>
      <c r="E106" s="207">
        <v>0.99761451112714472</v>
      </c>
      <c r="F106" s="200">
        <v>2.3854888728553096E-3</v>
      </c>
    </row>
    <row r="107" spans="1:6">
      <c r="A107" s="118">
        <v>39629</v>
      </c>
      <c r="B107" s="194">
        <v>0.76118275568737603</v>
      </c>
      <c r="C107" s="194">
        <v>0.23632064456337737</v>
      </c>
      <c r="D107" s="194">
        <v>2.496599749246551E-3</v>
      </c>
      <c r="E107" s="207">
        <v>0.99750340025075346</v>
      </c>
      <c r="F107" s="200">
        <v>2.496599749246551E-3</v>
      </c>
    </row>
    <row r="108" spans="1:6">
      <c r="A108" s="118">
        <v>39660</v>
      </c>
      <c r="B108" s="194">
        <v>0.7620290848874377</v>
      </c>
      <c r="C108" s="194">
        <v>0.23558235149691842</v>
      </c>
      <c r="D108" s="194">
        <v>2.3885636156439787E-3</v>
      </c>
      <c r="E108" s="207">
        <v>0.99761143638435612</v>
      </c>
      <c r="F108" s="200">
        <v>2.3885636156439787E-3</v>
      </c>
    </row>
    <row r="109" spans="1:6">
      <c r="A109" s="118">
        <v>39691</v>
      </c>
      <c r="B109" s="194">
        <v>0.75021985850663586</v>
      </c>
      <c r="C109" s="194">
        <v>0.24713119066484801</v>
      </c>
      <c r="D109" s="194">
        <v>2.6489508285161669E-3</v>
      </c>
      <c r="E109" s="207">
        <v>0.99735104917148387</v>
      </c>
      <c r="F109" s="200">
        <v>2.6489508285161669E-3</v>
      </c>
    </row>
    <row r="110" spans="1:6">
      <c r="A110" s="118">
        <v>39721</v>
      </c>
      <c r="B110" s="194">
        <v>0.74828965828533422</v>
      </c>
      <c r="C110" s="194">
        <v>0.24875950805258951</v>
      </c>
      <c r="D110" s="194">
        <v>2.9508336620761191E-3</v>
      </c>
      <c r="E110" s="207">
        <v>0.99704916633792373</v>
      </c>
      <c r="F110" s="200">
        <v>2.9508336620761191E-3</v>
      </c>
    </row>
    <row r="111" spans="1:6">
      <c r="A111" s="118">
        <v>39752</v>
      </c>
      <c r="B111" s="194">
        <v>0.74803392505663713</v>
      </c>
      <c r="C111" s="194">
        <v>0.24877574214291867</v>
      </c>
      <c r="D111" s="194">
        <v>3.1903328004441564E-3</v>
      </c>
      <c r="E111" s="207">
        <v>0.99680966719955577</v>
      </c>
      <c r="F111" s="200">
        <v>3.1903328004441564E-3</v>
      </c>
    </row>
    <row r="112" spans="1:6">
      <c r="A112" s="118">
        <v>39782</v>
      </c>
      <c r="B112" s="194">
        <v>0.74862100042313873</v>
      </c>
      <c r="C112" s="194">
        <v>0.24827481175580149</v>
      </c>
      <c r="D112" s="194">
        <v>3.1041878210597822E-3</v>
      </c>
      <c r="E112" s="207">
        <v>0.99689581217894019</v>
      </c>
      <c r="F112" s="200">
        <v>3.1041878210597822E-3</v>
      </c>
    </row>
    <row r="113" spans="1:6">
      <c r="A113" s="118">
        <v>39813</v>
      </c>
      <c r="B113" s="194">
        <v>0.74854421304359808</v>
      </c>
      <c r="C113" s="194">
        <v>0.2484707748935156</v>
      </c>
      <c r="D113" s="194">
        <v>2.9850120628863333E-3</v>
      </c>
      <c r="E113" s="207">
        <v>0.99701498793711374</v>
      </c>
      <c r="F113" s="200">
        <v>2.9850120628863333E-3</v>
      </c>
    </row>
    <row r="114" spans="1:6">
      <c r="A114" s="118">
        <v>39814</v>
      </c>
      <c r="B114" s="194">
        <v>0.75101973824723223</v>
      </c>
      <c r="C114" s="194">
        <v>0.24583518628617937</v>
      </c>
      <c r="D114" s="194">
        <v>3.1450754665883862E-3</v>
      </c>
      <c r="E114" s="207">
        <v>0.99685492453341162</v>
      </c>
      <c r="F114" s="200">
        <v>3.1450754665883862E-3</v>
      </c>
    </row>
    <row r="115" spans="1:6">
      <c r="A115" s="118">
        <v>39846</v>
      </c>
      <c r="B115" s="194">
        <v>0.75149693056689204</v>
      </c>
      <c r="C115" s="194">
        <v>0.24524228745578178</v>
      </c>
      <c r="D115" s="194">
        <v>3.2607819773260659E-3</v>
      </c>
      <c r="E115" s="207">
        <v>0.99673921802267385</v>
      </c>
      <c r="F115" s="200">
        <v>3.2607819773260659E-3</v>
      </c>
    </row>
    <row r="116" spans="1:6">
      <c r="A116" s="118">
        <v>39874</v>
      </c>
      <c r="B116" s="194">
        <v>0.75879110545809014</v>
      </c>
      <c r="C116" s="194">
        <v>0.23801464124335941</v>
      </c>
      <c r="D116" s="194">
        <v>3.1942532985503843E-3</v>
      </c>
      <c r="E116" s="207">
        <v>0.9968057467014495</v>
      </c>
      <c r="F116" s="200">
        <v>3.1942532985503843E-3</v>
      </c>
    </row>
    <row r="117" spans="1:6">
      <c r="A117" s="118">
        <v>39933</v>
      </c>
      <c r="B117" s="194">
        <v>0.75971073485891161</v>
      </c>
      <c r="C117" s="194">
        <v>0.23749137184333985</v>
      </c>
      <c r="D117" s="194">
        <v>2.7978932977485277E-3</v>
      </c>
      <c r="E117" s="207">
        <v>0.9972021067022514</v>
      </c>
      <c r="F117" s="200">
        <v>2.7978932977485277E-3</v>
      </c>
    </row>
    <row r="118" spans="1:6">
      <c r="A118" s="118">
        <v>39964</v>
      </c>
      <c r="B118" s="194">
        <v>0.751070912728666</v>
      </c>
      <c r="C118" s="194">
        <v>0.24628097748105632</v>
      </c>
      <c r="D118" s="194">
        <v>2.6481097902776442E-3</v>
      </c>
      <c r="E118" s="207">
        <v>0.99735189020972226</v>
      </c>
      <c r="F118" s="200">
        <v>2.6481097902776442E-3</v>
      </c>
    </row>
    <row r="119" spans="1:6">
      <c r="A119" s="118">
        <v>39994</v>
      </c>
      <c r="B119" s="194">
        <v>0.75160016971905375</v>
      </c>
      <c r="C119" s="194">
        <v>0.24576239773612144</v>
      </c>
      <c r="D119" s="194">
        <v>2.6374325448247746E-3</v>
      </c>
      <c r="E119" s="207">
        <v>0.99736256745517515</v>
      </c>
      <c r="F119" s="200">
        <v>2.6374325448247746E-3</v>
      </c>
    </row>
    <row r="120" spans="1:6">
      <c r="A120" s="118">
        <v>40025</v>
      </c>
      <c r="B120" s="194">
        <v>0.74049513198022276</v>
      </c>
      <c r="C120" s="194">
        <v>0.25693513654569877</v>
      </c>
      <c r="D120" s="194">
        <v>2.5697314740785473E-3</v>
      </c>
      <c r="E120" s="207">
        <v>0.99743026852592154</v>
      </c>
      <c r="F120" s="200">
        <v>2.5697314740785473E-3</v>
      </c>
    </row>
    <row r="121" spans="1:6">
      <c r="A121" s="118">
        <v>40056</v>
      </c>
      <c r="B121" s="194">
        <v>0.74777175858461553</v>
      </c>
      <c r="C121" s="194">
        <v>0.25222824141538452</v>
      </c>
      <c r="D121" s="194">
        <v>0</v>
      </c>
      <c r="E121" s="207">
        <v>1</v>
      </c>
      <c r="F121" s="200">
        <v>0</v>
      </c>
    </row>
    <row r="122" spans="1:6">
      <c r="A122" s="118">
        <v>40086</v>
      </c>
      <c r="B122" s="194">
        <v>0.74507181886695961</v>
      </c>
      <c r="C122" s="194">
        <v>0.25492818113304022</v>
      </c>
      <c r="D122" s="194">
        <v>0</v>
      </c>
      <c r="E122" s="207">
        <v>1</v>
      </c>
      <c r="F122" s="200">
        <v>0</v>
      </c>
    </row>
    <row r="123" spans="1:6">
      <c r="A123" s="118">
        <v>40117</v>
      </c>
      <c r="B123" s="194">
        <v>0.75078738347015062</v>
      </c>
      <c r="C123" s="194">
        <v>0.2492126165298495</v>
      </c>
      <c r="D123" s="194">
        <v>0</v>
      </c>
      <c r="E123" s="207">
        <v>1</v>
      </c>
      <c r="F123" s="200">
        <v>0</v>
      </c>
    </row>
    <row r="124" spans="1:6">
      <c r="A124" s="118">
        <v>40147</v>
      </c>
      <c r="B124" s="194">
        <v>0.76939249378311159</v>
      </c>
      <c r="C124" s="194">
        <v>0.23060750621688847</v>
      </c>
      <c r="D124" s="194">
        <v>0</v>
      </c>
      <c r="E124" s="207">
        <v>1</v>
      </c>
      <c r="F124" s="200">
        <v>0</v>
      </c>
    </row>
    <row r="125" spans="1:6">
      <c r="A125" s="118">
        <v>40178</v>
      </c>
      <c r="B125" s="194">
        <v>0.77439170343140795</v>
      </c>
      <c r="C125" s="194">
        <v>0.22560829656859224</v>
      </c>
      <c r="D125" s="194">
        <v>0</v>
      </c>
      <c r="E125" s="207">
        <v>1</v>
      </c>
      <c r="F125" s="200">
        <v>0</v>
      </c>
    </row>
    <row r="126" spans="1:6">
      <c r="A126" s="118">
        <v>40209</v>
      </c>
      <c r="B126" s="194">
        <v>0.77669722142884923</v>
      </c>
      <c r="C126" s="194">
        <v>0.22330277857115069</v>
      </c>
      <c r="D126" s="194">
        <v>0</v>
      </c>
      <c r="E126" s="207">
        <v>1</v>
      </c>
      <c r="F126" s="200">
        <v>0</v>
      </c>
    </row>
    <row r="127" spans="1:6">
      <c r="A127" s="118">
        <v>40237</v>
      </c>
      <c r="B127" s="194">
        <v>0.77431980394147037</v>
      </c>
      <c r="C127" s="194">
        <v>0.22568019605852971</v>
      </c>
      <c r="D127" s="194">
        <v>0</v>
      </c>
      <c r="E127" s="207">
        <v>1</v>
      </c>
      <c r="F127" s="200">
        <v>0</v>
      </c>
    </row>
    <row r="128" spans="1:6">
      <c r="A128" s="118">
        <v>40268</v>
      </c>
      <c r="B128" s="194">
        <v>0.77231758607609868</v>
      </c>
      <c r="C128" s="194">
        <v>0.22768241392390121</v>
      </c>
      <c r="D128" s="194">
        <v>0</v>
      </c>
      <c r="E128" s="207">
        <v>1</v>
      </c>
      <c r="F128" s="200">
        <v>0</v>
      </c>
    </row>
    <row r="129" spans="1:6">
      <c r="A129" s="118">
        <v>40298</v>
      </c>
      <c r="B129" s="194">
        <v>0.75325737665773862</v>
      </c>
      <c r="C129" s="194">
        <v>0.2467426233422611</v>
      </c>
      <c r="D129" s="194">
        <v>0</v>
      </c>
      <c r="E129" s="207">
        <v>1</v>
      </c>
      <c r="F129" s="200">
        <v>0</v>
      </c>
    </row>
    <row r="130" spans="1:6">
      <c r="A130" s="118">
        <v>40329</v>
      </c>
      <c r="B130" s="194">
        <v>0.74911438054548418</v>
      </c>
      <c r="C130" s="194">
        <v>0.25088561945451587</v>
      </c>
      <c r="D130" s="194">
        <v>0</v>
      </c>
      <c r="E130" s="207">
        <v>1</v>
      </c>
      <c r="F130" s="200">
        <v>0</v>
      </c>
    </row>
    <row r="131" spans="1:6">
      <c r="A131" s="118">
        <v>40359</v>
      </c>
      <c r="B131" s="194">
        <v>0.74884983550744866</v>
      </c>
      <c r="C131" s="194">
        <v>0.2511501644925514</v>
      </c>
      <c r="D131" s="194">
        <v>0</v>
      </c>
      <c r="E131" s="207">
        <v>1</v>
      </c>
      <c r="F131" s="200">
        <v>0</v>
      </c>
    </row>
    <row r="132" spans="1:6">
      <c r="A132" s="118">
        <v>40390</v>
      </c>
      <c r="B132" s="194">
        <v>0.75110412653990288</v>
      </c>
      <c r="C132" s="194">
        <v>0.24889587346009709</v>
      </c>
      <c r="D132" s="194">
        <v>0</v>
      </c>
      <c r="E132" s="207">
        <v>1</v>
      </c>
      <c r="F132" s="200">
        <v>0</v>
      </c>
    </row>
    <row r="133" spans="1:6">
      <c r="A133" s="118">
        <v>40421</v>
      </c>
      <c r="B133" s="194">
        <v>0.75242896857399866</v>
      </c>
      <c r="C133" s="194">
        <v>0.24757103142600154</v>
      </c>
      <c r="D133" s="194">
        <v>0</v>
      </c>
      <c r="E133" s="207">
        <v>1</v>
      </c>
      <c r="F133" s="200">
        <v>0</v>
      </c>
    </row>
    <row r="134" spans="1:6">
      <c r="A134" s="118">
        <v>40451</v>
      </c>
      <c r="B134" s="194">
        <v>0.77458928576142827</v>
      </c>
      <c r="C134" s="194">
        <v>0.22541071423857179</v>
      </c>
      <c r="D134" s="194">
        <v>0</v>
      </c>
      <c r="E134" s="207">
        <v>1</v>
      </c>
      <c r="F134" s="200">
        <v>0</v>
      </c>
    </row>
    <row r="135" spans="1:6">
      <c r="A135" s="118">
        <v>40482</v>
      </c>
      <c r="B135" s="194">
        <v>0.77658948915452441</v>
      </c>
      <c r="C135" s="194">
        <v>0.22341051084547575</v>
      </c>
      <c r="D135" s="194">
        <v>0</v>
      </c>
      <c r="E135" s="207">
        <v>1</v>
      </c>
      <c r="F135" s="200">
        <v>0</v>
      </c>
    </row>
    <row r="136" spans="1:6">
      <c r="A136" s="118">
        <v>40512</v>
      </c>
      <c r="B136" s="194">
        <v>0.77669767318954319</v>
      </c>
      <c r="C136" s="194">
        <v>0.22330232681045672</v>
      </c>
      <c r="D136" s="194">
        <v>0</v>
      </c>
      <c r="E136" s="207">
        <v>1</v>
      </c>
      <c r="F136" s="200">
        <v>0</v>
      </c>
    </row>
    <row r="137" spans="1:6">
      <c r="A137" s="118">
        <v>40543</v>
      </c>
      <c r="B137" s="194">
        <v>0.78579753402002928</v>
      </c>
      <c r="C137" s="194">
        <v>0.21420246597997034</v>
      </c>
      <c r="D137" s="194">
        <v>0</v>
      </c>
      <c r="E137" s="207">
        <v>1</v>
      </c>
      <c r="F137" s="200">
        <v>0</v>
      </c>
    </row>
    <row r="138" spans="1:6">
      <c r="A138" s="118">
        <v>40574</v>
      </c>
      <c r="B138" s="194">
        <v>0.77012462734051812</v>
      </c>
      <c r="C138" s="194">
        <v>0.22987537265948185</v>
      </c>
      <c r="D138" s="194">
        <v>0</v>
      </c>
      <c r="E138" s="207">
        <v>1</v>
      </c>
      <c r="F138" s="200">
        <v>0</v>
      </c>
    </row>
    <row r="139" spans="1:6">
      <c r="A139" s="118">
        <v>40602</v>
      </c>
      <c r="B139" s="194">
        <v>0.76881225647165974</v>
      </c>
      <c r="C139" s="194">
        <v>0.23118774352834012</v>
      </c>
      <c r="D139" s="194">
        <v>0</v>
      </c>
      <c r="E139" s="207">
        <v>1</v>
      </c>
      <c r="F139" s="200">
        <v>0</v>
      </c>
    </row>
    <row r="140" spans="1:6">
      <c r="A140" s="118">
        <v>40633</v>
      </c>
      <c r="B140" s="194">
        <v>0.7702869099614279</v>
      </c>
      <c r="C140" s="194">
        <v>0.22971309003857179</v>
      </c>
      <c r="D140" s="194">
        <v>0</v>
      </c>
      <c r="E140" s="207">
        <v>1</v>
      </c>
      <c r="F140" s="200">
        <v>0</v>
      </c>
    </row>
    <row r="141" spans="1:6">
      <c r="A141" s="118">
        <v>40663</v>
      </c>
      <c r="B141" s="194">
        <v>0.76971962350291145</v>
      </c>
      <c r="C141" s="194">
        <v>0.23028037649708843</v>
      </c>
      <c r="D141" s="194">
        <v>0</v>
      </c>
      <c r="E141" s="207">
        <v>1</v>
      </c>
      <c r="F141" s="200">
        <v>0</v>
      </c>
    </row>
    <row r="142" spans="1:6">
      <c r="A142" s="118">
        <v>40694</v>
      </c>
      <c r="B142" s="194">
        <v>0.75503253798633807</v>
      </c>
      <c r="C142" s="194">
        <v>0.24496746201366171</v>
      </c>
      <c r="D142" s="194">
        <v>0</v>
      </c>
      <c r="E142" s="207">
        <v>1</v>
      </c>
      <c r="F142" s="200">
        <v>0</v>
      </c>
    </row>
    <row r="143" spans="1:6">
      <c r="A143" s="118">
        <v>40724</v>
      </c>
      <c r="B143" s="194">
        <v>0.74997973528763628</v>
      </c>
      <c r="C143" s="194">
        <v>0.25002026471236366</v>
      </c>
      <c r="D143" s="194">
        <v>0</v>
      </c>
      <c r="E143" s="207">
        <v>1</v>
      </c>
      <c r="F143" s="200">
        <v>0</v>
      </c>
    </row>
    <row r="144" spans="1:6">
      <c r="A144" s="118">
        <v>40755</v>
      </c>
      <c r="B144" s="194">
        <v>0.75069308584964534</v>
      </c>
      <c r="C144" s="194">
        <v>0.24930691415035472</v>
      </c>
      <c r="D144" s="194">
        <v>0</v>
      </c>
      <c r="E144" s="207">
        <v>1</v>
      </c>
      <c r="F144" s="200">
        <v>0</v>
      </c>
    </row>
    <row r="145" spans="1:6">
      <c r="A145" s="118">
        <v>40786</v>
      </c>
      <c r="B145" s="194">
        <v>0.74906593408807853</v>
      </c>
      <c r="C145" s="194">
        <v>0.25093406591192141</v>
      </c>
      <c r="D145" s="194">
        <v>0</v>
      </c>
      <c r="E145" s="207">
        <v>1</v>
      </c>
      <c r="F145" s="200">
        <v>0</v>
      </c>
    </row>
    <row r="146" spans="1:6">
      <c r="A146" s="118">
        <v>40816</v>
      </c>
      <c r="B146" s="194">
        <v>0.75351595069189492</v>
      </c>
      <c r="C146" s="194">
        <v>0.24648404930810522</v>
      </c>
      <c r="D146" s="194">
        <v>0</v>
      </c>
      <c r="E146" s="207">
        <v>1</v>
      </c>
      <c r="F146" s="200">
        <v>0</v>
      </c>
    </row>
    <row r="147" spans="1:6">
      <c r="A147" s="118">
        <v>40847</v>
      </c>
      <c r="B147" s="194">
        <v>0.75384124663432617</v>
      </c>
      <c r="C147" s="194">
        <v>0.24615875336567364</v>
      </c>
      <c r="D147" s="194">
        <v>0</v>
      </c>
      <c r="E147" s="207">
        <v>1</v>
      </c>
      <c r="F147" s="200">
        <v>0</v>
      </c>
    </row>
    <row r="148" spans="1:6">
      <c r="A148" s="118">
        <v>40877</v>
      </c>
      <c r="B148" s="194">
        <v>0.75440921893557544</v>
      </c>
      <c r="C148" s="194">
        <v>0.2455907810644247</v>
      </c>
      <c r="D148" s="194">
        <v>0</v>
      </c>
      <c r="E148" s="207">
        <v>1.0000000000000002</v>
      </c>
      <c r="F148" s="200">
        <v>0</v>
      </c>
    </row>
    <row r="149" spans="1:6">
      <c r="A149" s="118">
        <v>40878</v>
      </c>
      <c r="B149" s="194">
        <v>0.75803033115996588</v>
      </c>
      <c r="C149" s="194">
        <v>0.24196966884003415</v>
      </c>
      <c r="D149" s="194">
        <v>0</v>
      </c>
      <c r="E149" s="207">
        <v>1</v>
      </c>
      <c r="F149" s="200">
        <v>0</v>
      </c>
    </row>
    <row r="150" spans="1:6">
      <c r="A150" s="118">
        <v>40909</v>
      </c>
      <c r="B150" s="194">
        <v>0.75764998636304559</v>
      </c>
      <c r="C150" s="194">
        <v>0.24235001363695446</v>
      </c>
      <c r="D150" s="194">
        <v>0</v>
      </c>
      <c r="E150" s="207">
        <v>1</v>
      </c>
      <c r="F150" s="200">
        <v>0</v>
      </c>
    </row>
    <row r="151" spans="1:6">
      <c r="A151" s="118">
        <v>40940</v>
      </c>
      <c r="B151" s="194">
        <v>0.75804004015435078</v>
      </c>
      <c r="C151" s="194">
        <v>0.24195995984564939</v>
      </c>
      <c r="D151" s="194">
        <v>0</v>
      </c>
      <c r="E151" s="207">
        <v>1</v>
      </c>
      <c r="F151" s="200">
        <v>0</v>
      </c>
    </row>
    <row r="152" spans="1:6">
      <c r="A152" s="118">
        <v>40969</v>
      </c>
      <c r="B152" s="194">
        <v>0.75477172599262388</v>
      </c>
      <c r="C152" s="194">
        <v>0.2452282740073761</v>
      </c>
      <c r="D152" s="194">
        <v>0</v>
      </c>
      <c r="E152" s="207">
        <v>1</v>
      </c>
      <c r="F152" s="200">
        <v>0</v>
      </c>
    </row>
    <row r="153" spans="1:6">
      <c r="A153" s="118">
        <v>41000</v>
      </c>
      <c r="B153" s="194">
        <v>0.7487400320359997</v>
      </c>
      <c r="C153" s="194">
        <v>0.25125996796400035</v>
      </c>
      <c r="D153" s="194">
        <v>0</v>
      </c>
      <c r="E153" s="207">
        <v>1</v>
      </c>
      <c r="F153" s="200">
        <v>0</v>
      </c>
    </row>
    <row r="154" spans="1:6">
      <c r="A154" s="118">
        <v>41030</v>
      </c>
      <c r="B154" s="194">
        <v>0.75473530948661249</v>
      </c>
      <c r="C154" s="194">
        <v>0.24134176389793302</v>
      </c>
      <c r="D154" s="194">
        <v>0</v>
      </c>
      <c r="E154" s="207">
        <v>1</v>
      </c>
      <c r="F154" s="200">
        <v>0</v>
      </c>
    </row>
    <row r="155" spans="1:6">
      <c r="A155" s="118">
        <v>41061</v>
      </c>
      <c r="B155" s="194">
        <v>0.75644827607802301</v>
      </c>
      <c r="C155" s="194">
        <v>0.24355172392197719</v>
      </c>
      <c r="D155" s="194">
        <v>0</v>
      </c>
      <c r="E155" s="207">
        <v>1.0000000000000002</v>
      </c>
      <c r="F155" s="200">
        <v>0</v>
      </c>
    </row>
    <row r="156" spans="1:6">
      <c r="A156" s="118">
        <v>41091</v>
      </c>
      <c r="B156" s="194">
        <v>0.75317881358384575</v>
      </c>
      <c r="C156" s="194">
        <v>0.24682118641615439</v>
      </c>
      <c r="D156" s="194">
        <v>0</v>
      </c>
      <c r="E156" s="207">
        <v>1</v>
      </c>
      <c r="F156" s="200">
        <v>0</v>
      </c>
    </row>
    <row r="157" spans="1:6">
      <c r="A157" s="118">
        <v>41122</v>
      </c>
      <c r="B157" s="194">
        <v>0.74533732142687148</v>
      </c>
      <c r="C157" s="194">
        <v>0.2546626785731283</v>
      </c>
      <c r="D157" s="194">
        <v>0</v>
      </c>
      <c r="E157" s="207">
        <v>1</v>
      </c>
      <c r="F157" s="200">
        <v>0</v>
      </c>
    </row>
    <row r="158" spans="1:6">
      <c r="A158" s="118">
        <v>41182</v>
      </c>
      <c r="B158" s="194">
        <v>0.74320916622206812</v>
      </c>
      <c r="C158" s="194">
        <v>0.25679083377793216</v>
      </c>
      <c r="D158" s="194">
        <v>0</v>
      </c>
      <c r="E158" s="207">
        <v>1</v>
      </c>
      <c r="F158" s="200">
        <v>0</v>
      </c>
    </row>
    <row r="159" spans="1:6">
      <c r="A159" s="118">
        <v>41213</v>
      </c>
      <c r="B159" s="194">
        <v>0.74934590947490987</v>
      </c>
      <c r="C159" s="194">
        <v>0.25065409052509002</v>
      </c>
      <c r="D159" s="194">
        <v>0</v>
      </c>
      <c r="E159" s="207">
        <v>1</v>
      </c>
      <c r="F159" s="200">
        <v>0</v>
      </c>
    </row>
    <row r="160" spans="1:6">
      <c r="A160" s="118">
        <v>41243</v>
      </c>
      <c r="B160" s="194">
        <v>0.74615162990444739</v>
      </c>
      <c r="C160" s="194">
        <v>0.25384837009555261</v>
      </c>
      <c r="D160" s="194">
        <v>0</v>
      </c>
      <c r="E160" s="207">
        <v>1</v>
      </c>
      <c r="F160" s="200">
        <v>0</v>
      </c>
    </row>
    <row r="161" spans="1:6">
      <c r="A161" s="118">
        <v>41274</v>
      </c>
      <c r="B161" s="194">
        <v>0.74947120238422194</v>
      </c>
      <c r="C161" s="194">
        <v>0.25052879761577801</v>
      </c>
      <c r="D161" s="194">
        <v>0</v>
      </c>
      <c r="E161" s="207">
        <v>1</v>
      </c>
      <c r="F161" s="200">
        <v>0</v>
      </c>
    </row>
    <row r="162" spans="1:6">
      <c r="A162" s="118">
        <v>41305</v>
      </c>
      <c r="B162" s="194">
        <v>0.74998756030888403</v>
      </c>
      <c r="C162" s="194">
        <v>0.25001243969111597</v>
      </c>
      <c r="D162" s="194">
        <v>0</v>
      </c>
      <c r="E162" s="207">
        <v>1</v>
      </c>
      <c r="F162" s="200">
        <v>0</v>
      </c>
    </row>
    <row r="163" spans="1:6">
      <c r="A163" s="118">
        <v>41333</v>
      </c>
      <c r="B163" s="194">
        <v>0.74947099933250771</v>
      </c>
      <c r="C163" s="194">
        <v>0.25052900066749234</v>
      </c>
      <c r="D163" s="194">
        <v>0</v>
      </c>
      <c r="E163" s="207">
        <v>1</v>
      </c>
      <c r="F163" s="200">
        <v>0</v>
      </c>
    </row>
    <row r="164" spans="1:6">
      <c r="A164" s="118">
        <v>41334</v>
      </c>
      <c r="B164" s="194">
        <v>0.79022773752413844</v>
      </c>
      <c r="C164" s="194">
        <v>0.20977226247586137</v>
      </c>
      <c r="D164" s="194">
        <v>0</v>
      </c>
      <c r="E164" s="207">
        <v>1</v>
      </c>
      <c r="F164" s="200">
        <v>0</v>
      </c>
    </row>
    <row r="165" spans="1:6">
      <c r="A165" s="118">
        <v>41394</v>
      </c>
      <c r="B165" s="194">
        <v>0.78472232224768201</v>
      </c>
      <c r="C165" s="194">
        <v>0.21527767775231799</v>
      </c>
      <c r="D165" s="194">
        <v>0</v>
      </c>
      <c r="E165" s="207">
        <v>1</v>
      </c>
      <c r="F165" s="200">
        <v>0</v>
      </c>
    </row>
    <row r="166" spans="1:6">
      <c r="A166" s="118">
        <v>41425</v>
      </c>
      <c r="B166" s="194">
        <v>0.78069567123798456</v>
      </c>
      <c r="C166" s="194">
        <v>0.2193043287620155</v>
      </c>
      <c r="D166" s="194">
        <v>0</v>
      </c>
      <c r="E166" s="207">
        <v>1</v>
      </c>
      <c r="F166" s="200">
        <v>0</v>
      </c>
    </row>
    <row r="167" spans="1:6">
      <c r="A167" s="118">
        <v>41455</v>
      </c>
      <c r="B167" s="194">
        <v>0.77754322040471269</v>
      </c>
      <c r="C167" s="194">
        <v>0.22245677959528726</v>
      </c>
      <c r="D167" s="194">
        <v>0</v>
      </c>
      <c r="E167" s="207">
        <v>1</v>
      </c>
      <c r="F167" s="200">
        <v>0</v>
      </c>
    </row>
    <row r="168" spans="1:6">
      <c r="A168" s="118">
        <v>41486</v>
      </c>
      <c r="B168" s="194">
        <v>0.77848812269877277</v>
      </c>
      <c r="C168" s="194">
        <v>0.22151187730122709</v>
      </c>
      <c r="D168" s="194">
        <v>0</v>
      </c>
      <c r="E168" s="207">
        <v>1</v>
      </c>
      <c r="F168" s="200">
        <v>0</v>
      </c>
    </row>
    <row r="169" spans="1:6">
      <c r="A169" s="118">
        <v>41517</v>
      </c>
      <c r="B169" s="194">
        <v>0.78023393563489796</v>
      </c>
      <c r="C169" s="194">
        <v>0.21976606436510193</v>
      </c>
      <c r="D169" s="194">
        <v>0</v>
      </c>
      <c r="E169" s="207">
        <v>1</v>
      </c>
      <c r="F169" s="200">
        <v>0</v>
      </c>
    </row>
    <row r="170" spans="1:6">
      <c r="A170" s="118">
        <v>41547</v>
      </c>
      <c r="B170" s="194">
        <v>0.77968856962743582</v>
      </c>
      <c r="C170" s="194">
        <v>0.22031143037256404</v>
      </c>
      <c r="D170" s="194">
        <v>0</v>
      </c>
      <c r="E170" s="207">
        <v>1</v>
      </c>
      <c r="F170" s="200">
        <v>0</v>
      </c>
    </row>
    <row r="171" spans="1:6">
      <c r="A171" s="118">
        <v>41578</v>
      </c>
      <c r="B171" s="194">
        <v>0.77795031244604973</v>
      </c>
      <c r="C171" s="194">
        <v>0.22204968755394996</v>
      </c>
      <c r="D171" s="194">
        <v>0</v>
      </c>
      <c r="E171" s="207">
        <v>1</v>
      </c>
      <c r="F171" s="200">
        <v>0</v>
      </c>
    </row>
    <row r="172" spans="1:6">
      <c r="A172" s="118">
        <v>41608</v>
      </c>
      <c r="B172" s="194">
        <v>0.77558676347880395</v>
      </c>
      <c r="C172" s="194">
        <v>0.22441323652119621</v>
      </c>
      <c r="D172" s="194">
        <v>0</v>
      </c>
      <c r="E172" s="207">
        <v>1</v>
      </c>
      <c r="F172" s="200">
        <v>0</v>
      </c>
    </row>
    <row r="173" spans="1:6">
      <c r="A173" s="118">
        <v>41639</v>
      </c>
      <c r="B173" s="194">
        <v>0.78383163399509426</v>
      </c>
      <c r="C173" s="194">
        <v>0.21616836600490574</v>
      </c>
      <c r="D173" s="194">
        <v>0</v>
      </c>
      <c r="E173" s="207">
        <v>1</v>
      </c>
      <c r="F173" s="200">
        <v>0</v>
      </c>
    </row>
    <row r="174" spans="1:6">
      <c r="A174" s="118">
        <v>41670</v>
      </c>
      <c r="B174" s="194">
        <v>0.77407671785230081</v>
      </c>
      <c r="C174" s="194">
        <v>0.22592328214769894</v>
      </c>
      <c r="D174" s="194">
        <v>0</v>
      </c>
      <c r="E174" s="207">
        <v>1</v>
      </c>
      <c r="F174" s="200">
        <v>0</v>
      </c>
    </row>
    <row r="175" spans="1:6">
      <c r="A175" s="118">
        <v>41698</v>
      </c>
      <c r="B175" s="194">
        <v>0.77213082249922338</v>
      </c>
      <c r="C175" s="194">
        <v>0.22786917750077648</v>
      </c>
      <c r="D175" s="194">
        <v>0</v>
      </c>
      <c r="E175" s="207">
        <v>1</v>
      </c>
      <c r="F175" s="200">
        <v>0</v>
      </c>
    </row>
    <row r="176" spans="1:6">
      <c r="A176" s="118">
        <v>41729</v>
      </c>
      <c r="B176" s="194">
        <v>0.76494726958975134</v>
      </c>
      <c r="C176" s="194">
        <v>0.23505273041024852</v>
      </c>
      <c r="D176" s="194">
        <v>0</v>
      </c>
      <c r="E176" s="207">
        <v>1</v>
      </c>
      <c r="F176" s="200">
        <v>0</v>
      </c>
    </row>
    <row r="177" spans="1:6">
      <c r="A177" s="118">
        <v>41759</v>
      </c>
      <c r="B177" s="194">
        <v>0.75929597115284964</v>
      </c>
      <c r="C177" s="194">
        <v>0.24070402884715045</v>
      </c>
      <c r="D177" s="194">
        <v>0</v>
      </c>
      <c r="E177" s="207">
        <v>1</v>
      </c>
      <c r="F177" s="200">
        <v>0</v>
      </c>
    </row>
    <row r="178" spans="1:6">
      <c r="A178" s="118">
        <v>41790</v>
      </c>
      <c r="B178" s="194">
        <v>0.74624612073590957</v>
      </c>
      <c r="C178" s="194">
        <v>0.25375387926409038</v>
      </c>
      <c r="D178" s="194">
        <v>0</v>
      </c>
      <c r="E178" s="207">
        <v>1</v>
      </c>
      <c r="F178" s="200">
        <v>0</v>
      </c>
    </row>
    <row r="179" spans="1:6">
      <c r="A179" s="118">
        <v>41820</v>
      </c>
      <c r="B179" s="194">
        <v>0.75283596525550178</v>
      </c>
      <c r="C179" s="194">
        <v>0.24716403474449822</v>
      </c>
      <c r="D179" s="194">
        <v>0</v>
      </c>
      <c r="E179" s="207">
        <v>1</v>
      </c>
      <c r="F179" s="200">
        <v>0</v>
      </c>
    </row>
    <row r="180" spans="1:6">
      <c r="A180" s="118">
        <v>41851</v>
      </c>
      <c r="B180" s="194">
        <v>0.74729253978650179</v>
      </c>
      <c r="C180" s="194">
        <v>0.25270746021349832</v>
      </c>
      <c r="D180" s="194">
        <v>0</v>
      </c>
      <c r="E180" s="207">
        <v>1</v>
      </c>
      <c r="F180" s="200">
        <v>0</v>
      </c>
    </row>
    <row r="181" spans="1:6">
      <c r="A181" s="118">
        <v>41882</v>
      </c>
      <c r="B181" s="194">
        <v>0.74446863349443537</v>
      </c>
      <c r="C181" s="194">
        <v>0.25553136650556463</v>
      </c>
      <c r="D181" s="194">
        <v>0</v>
      </c>
      <c r="E181" s="207">
        <v>1</v>
      </c>
      <c r="F181" s="200">
        <v>0</v>
      </c>
    </row>
    <row r="182" spans="1:6">
      <c r="A182" s="118">
        <v>41912</v>
      </c>
      <c r="B182" s="194">
        <v>0.74292905791562414</v>
      </c>
      <c r="C182" s="194">
        <v>0.25707094208437614</v>
      </c>
      <c r="D182" s="194">
        <v>0</v>
      </c>
      <c r="E182" s="207">
        <v>1</v>
      </c>
      <c r="F182" s="200">
        <v>0</v>
      </c>
    </row>
    <row r="183" spans="1:6">
      <c r="A183" s="118">
        <v>41943</v>
      </c>
      <c r="B183" s="194">
        <v>0.75473934211078653</v>
      </c>
      <c r="C183" s="194">
        <v>0.24526065788921364</v>
      </c>
      <c r="D183" s="194">
        <v>0</v>
      </c>
      <c r="E183" s="207">
        <v>1</v>
      </c>
      <c r="F183" s="200">
        <v>0</v>
      </c>
    </row>
    <row r="184" spans="1:6">
      <c r="A184" s="118">
        <v>41973</v>
      </c>
      <c r="B184" s="194">
        <v>0.75011023358679407</v>
      </c>
      <c r="C184" s="194">
        <v>0.2498897664132062</v>
      </c>
      <c r="D184" s="194">
        <v>0</v>
      </c>
      <c r="E184" s="207">
        <v>1</v>
      </c>
      <c r="F184" s="200">
        <v>0</v>
      </c>
    </row>
    <row r="185" spans="1:6">
      <c r="A185" s="118">
        <v>42004</v>
      </c>
      <c r="B185" s="194">
        <v>0.75167306980520965</v>
      </c>
      <c r="C185" s="194">
        <v>0.24832693019479044</v>
      </c>
      <c r="D185" s="194">
        <v>0</v>
      </c>
      <c r="E185" s="207">
        <v>1</v>
      </c>
      <c r="F185" s="200">
        <v>0</v>
      </c>
    </row>
    <row r="186" spans="1:6">
      <c r="A186" s="118">
        <v>42035</v>
      </c>
      <c r="B186" s="194">
        <v>0.74326324352727746</v>
      </c>
      <c r="C186" s="194">
        <v>0.25673675647272276</v>
      </c>
      <c r="D186" s="194">
        <v>0</v>
      </c>
      <c r="E186" s="207">
        <v>1</v>
      </c>
      <c r="F186" s="200">
        <v>0</v>
      </c>
    </row>
    <row r="187" spans="1:6">
      <c r="A187" s="118">
        <v>42063</v>
      </c>
      <c r="B187" s="194">
        <v>0.77136394002764253</v>
      </c>
      <c r="C187" s="194">
        <v>0.22863605997235736</v>
      </c>
      <c r="D187" s="194">
        <v>0</v>
      </c>
      <c r="E187" s="207">
        <v>1</v>
      </c>
      <c r="F187" s="200">
        <v>0</v>
      </c>
    </row>
    <row r="188" spans="1:6">
      <c r="A188" s="118">
        <v>42094</v>
      </c>
      <c r="B188" s="194">
        <v>0.76718004393831352</v>
      </c>
      <c r="C188" s="194">
        <v>0.23281995606168657</v>
      </c>
      <c r="D188" s="194">
        <v>0</v>
      </c>
      <c r="E188" s="207">
        <v>1</v>
      </c>
      <c r="F188" s="200">
        <v>0</v>
      </c>
    </row>
    <row r="189" spans="1:6">
      <c r="A189" s="118">
        <v>42124</v>
      </c>
      <c r="B189" s="194">
        <v>0.7633836507883538</v>
      </c>
      <c r="C189" s="194">
        <v>0.2366163492116462</v>
      </c>
      <c r="D189" s="194">
        <v>0</v>
      </c>
      <c r="E189" s="207">
        <v>1</v>
      </c>
      <c r="F189" s="200">
        <v>0</v>
      </c>
    </row>
    <row r="190" spans="1:6">
      <c r="A190" s="118">
        <v>42155</v>
      </c>
      <c r="B190" s="194">
        <v>0.76842694052952565</v>
      </c>
      <c r="C190" s="194">
        <v>0.2315730594704743</v>
      </c>
      <c r="D190" s="194">
        <v>0</v>
      </c>
      <c r="E190" s="207">
        <v>1</v>
      </c>
      <c r="F190" s="200">
        <v>0</v>
      </c>
    </row>
    <row r="191" spans="1:6">
      <c r="A191" s="118">
        <v>42185</v>
      </c>
      <c r="B191" s="194">
        <v>0.75965880189523927</v>
      </c>
      <c r="C191" s="194">
        <v>0.24034119810476068</v>
      </c>
      <c r="D191" s="194">
        <v>0</v>
      </c>
      <c r="E191" s="207">
        <v>1</v>
      </c>
      <c r="F191" s="200">
        <v>0</v>
      </c>
    </row>
    <row r="192" spans="1:6">
      <c r="A192" s="118">
        <v>42216</v>
      </c>
      <c r="B192" s="194">
        <v>0.75190996465467219</v>
      </c>
      <c r="C192" s="194">
        <v>0.24809003534532781</v>
      </c>
      <c r="D192" s="194">
        <v>0</v>
      </c>
      <c r="E192" s="207">
        <v>1</v>
      </c>
      <c r="F192" s="200">
        <v>0</v>
      </c>
    </row>
    <row r="193" spans="1:6">
      <c r="A193" s="118">
        <v>42247</v>
      </c>
      <c r="B193" s="194">
        <v>0.74920877638048244</v>
      </c>
      <c r="C193" s="194">
        <v>0.25079122361951756</v>
      </c>
      <c r="D193" s="194">
        <v>0</v>
      </c>
      <c r="E193" s="207">
        <v>1</v>
      </c>
      <c r="F193" s="200">
        <v>0</v>
      </c>
    </row>
    <row r="194" spans="1:6">
      <c r="A194" s="118">
        <v>42277</v>
      </c>
      <c r="B194" s="194">
        <v>0.75091170448622879</v>
      </c>
      <c r="C194" s="194">
        <v>0.24908829551377126</v>
      </c>
      <c r="D194" s="194">
        <v>0</v>
      </c>
      <c r="E194" s="207">
        <v>1</v>
      </c>
      <c r="F194" s="200">
        <v>0</v>
      </c>
    </row>
    <row r="195" spans="1:6">
      <c r="A195" s="118">
        <v>42308</v>
      </c>
      <c r="B195" s="194">
        <v>0.73543453747260223</v>
      </c>
      <c r="C195" s="194">
        <v>0.26456546252739782</v>
      </c>
      <c r="D195" s="194">
        <v>0</v>
      </c>
      <c r="E195" s="207">
        <v>1</v>
      </c>
      <c r="F195" s="200">
        <v>0</v>
      </c>
    </row>
    <row r="196" spans="1:6">
      <c r="A196" s="118">
        <v>42338</v>
      </c>
      <c r="B196" s="194">
        <v>0.72554116115723943</v>
      </c>
      <c r="C196" s="194">
        <v>0.2744588388427604</v>
      </c>
      <c r="D196" s="194">
        <v>0</v>
      </c>
      <c r="E196" s="207">
        <v>1</v>
      </c>
      <c r="F196" s="200">
        <v>0</v>
      </c>
    </row>
    <row r="197" spans="1:6">
      <c r="A197" s="118">
        <v>42369</v>
      </c>
      <c r="B197" s="194">
        <v>0.72785534589423784</v>
      </c>
      <c r="C197" s="194">
        <v>0.27214465410576205</v>
      </c>
      <c r="D197" s="194">
        <v>0</v>
      </c>
      <c r="E197" s="207">
        <v>1</v>
      </c>
      <c r="F197" s="200">
        <v>0</v>
      </c>
    </row>
    <row r="198" spans="1:6">
      <c r="A198" s="118">
        <v>42400</v>
      </c>
      <c r="B198" s="194">
        <v>0.7212292605944659</v>
      </c>
      <c r="C198" s="194">
        <v>0.27877073940553398</v>
      </c>
      <c r="D198" s="194">
        <v>0</v>
      </c>
      <c r="E198" s="207">
        <v>0.99999999999999989</v>
      </c>
      <c r="F198" s="200">
        <v>0</v>
      </c>
    </row>
    <row r="199" spans="1:6">
      <c r="A199" s="118">
        <v>42429</v>
      </c>
      <c r="B199" s="194">
        <v>0.71519081302931087</v>
      </c>
      <c r="C199" s="194">
        <v>0.2848091869706893</v>
      </c>
      <c r="D199" s="194">
        <v>0</v>
      </c>
      <c r="E199" s="207">
        <v>1</v>
      </c>
      <c r="F199" s="200">
        <v>0</v>
      </c>
    </row>
    <row r="200" spans="1:6">
      <c r="A200" s="118">
        <v>42460</v>
      </c>
      <c r="B200" s="194">
        <v>0.710705092038314</v>
      </c>
      <c r="C200" s="194">
        <v>0.28929490796168578</v>
      </c>
      <c r="D200" s="194">
        <v>0</v>
      </c>
      <c r="E200" s="207">
        <v>0.99999999999999978</v>
      </c>
      <c r="F200" s="200">
        <v>0</v>
      </c>
    </row>
    <row r="201" spans="1:6">
      <c r="A201" s="118">
        <v>42490</v>
      </c>
      <c r="B201" s="194">
        <v>0.70862791777495593</v>
      </c>
      <c r="C201" s="194">
        <v>0.29137208222504402</v>
      </c>
      <c r="D201" s="194">
        <v>0</v>
      </c>
      <c r="E201" s="207">
        <v>1</v>
      </c>
      <c r="F201" s="200">
        <v>0</v>
      </c>
    </row>
    <row r="202" spans="1:6">
      <c r="A202" s="118">
        <v>42521</v>
      </c>
      <c r="B202" s="194">
        <v>0.72366128534641694</v>
      </c>
      <c r="C202" s="194">
        <v>0.27633871465358312</v>
      </c>
      <c r="D202" s="194">
        <v>0</v>
      </c>
      <c r="E202" s="207">
        <v>1</v>
      </c>
      <c r="F202" s="200">
        <v>0</v>
      </c>
    </row>
    <row r="203" spans="1:6">
      <c r="A203" s="118">
        <v>42551</v>
      </c>
      <c r="B203" s="194">
        <v>0.71635549736750281</v>
      </c>
      <c r="C203" s="194">
        <v>0.28364450263249741</v>
      </c>
      <c r="D203" s="194">
        <v>0</v>
      </c>
      <c r="E203" s="207">
        <v>1.0000000000000002</v>
      </c>
      <c r="F203" s="200">
        <v>0</v>
      </c>
    </row>
    <row r="204" spans="1:6">
      <c r="A204" s="118">
        <v>42582</v>
      </c>
      <c r="B204" s="194">
        <v>0.71116071537546821</v>
      </c>
      <c r="C204" s="194">
        <v>0.28883928462453157</v>
      </c>
      <c r="D204" s="194">
        <v>0</v>
      </c>
      <c r="E204" s="207">
        <v>0.99999999999999978</v>
      </c>
      <c r="F204" s="200">
        <v>0</v>
      </c>
    </row>
    <row r="205" spans="1:6">
      <c r="A205" s="118">
        <v>42613</v>
      </c>
      <c r="B205" s="194">
        <v>0.71026891744113319</v>
      </c>
      <c r="C205" s="194">
        <v>0.28973108255886665</v>
      </c>
      <c r="D205" s="194">
        <v>0</v>
      </c>
      <c r="E205" s="207">
        <v>0.99999999999999978</v>
      </c>
      <c r="F205" s="200">
        <v>0</v>
      </c>
    </row>
    <row r="206" spans="1:6">
      <c r="A206" s="118">
        <v>42643</v>
      </c>
      <c r="B206" s="194">
        <v>0.7081533553102094</v>
      </c>
      <c r="C206" s="194">
        <v>0.29184664468979049</v>
      </c>
      <c r="D206" s="194">
        <v>0</v>
      </c>
      <c r="E206" s="207">
        <v>0.999999999999999</v>
      </c>
      <c r="F206" s="200">
        <v>0</v>
      </c>
    </row>
    <row r="207" spans="1:6">
      <c r="A207" s="118">
        <v>42674</v>
      </c>
      <c r="B207" s="194">
        <v>0.71056269286427332</v>
      </c>
      <c r="C207" s="194">
        <v>0.28943730713572668</v>
      </c>
      <c r="D207" s="194">
        <v>0</v>
      </c>
      <c r="E207" s="207">
        <v>1</v>
      </c>
      <c r="F207" s="200">
        <v>0</v>
      </c>
    </row>
    <row r="208" spans="1:6">
      <c r="A208" s="118">
        <v>42704</v>
      </c>
      <c r="B208" s="194">
        <v>0.71249408858179897</v>
      </c>
      <c r="C208" s="194">
        <v>0.28750591141820092</v>
      </c>
      <c r="D208" s="194">
        <v>0</v>
      </c>
      <c r="E208" s="207">
        <v>1</v>
      </c>
      <c r="F208" s="200">
        <v>0</v>
      </c>
    </row>
    <row r="209" spans="1:6">
      <c r="A209" s="118">
        <v>42735</v>
      </c>
      <c r="B209" s="194">
        <v>0.70984040799307657</v>
      </c>
      <c r="C209" s="194">
        <v>0.29015959200692343</v>
      </c>
      <c r="D209" s="194">
        <v>0</v>
      </c>
      <c r="E209" s="207">
        <v>1</v>
      </c>
      <c r="F209" s="200">
        <v>0</v>
      </c>
    </row>
    <row r="210" spans="1:6">
      <c r="A210" s="118">
        <v>42766</v>
      </c>
      <c r="B210" s="194">
        <v>0.7043105567663942</v>
      </c>
      <c r="C210" s="194">
        <v>0.29568944323360563</v>
      </c>
      <c r="D210" s="194">
        <v>0</v>
      </c>
      <c r="E210" s="207">
        <v>1</v>
      </c>
      <c r="F210" s="200">
        <v>0</v>
      </c>
    </row>
    <row r="211" spans="1:6">
      <c r="A211" s="118">
        <v>42794</v>
      </c>
      <c r="B211" s="194">
        <v>0.70320163099263178</v>
      </c>
      <c r="C211" s="194">
        <v>0.29679836900736822</v>
      </c>
      <c r="D211" s="194">
        <v>0</v>
      </c>
      <c r="E211" s="207">
        <v>1</v>
      </c>
      <c r="F211" s="200">
        <v>0</v>
      </c>
    </row>
    <row r="212" spans="1:6">
      <c r="A212" s="118">
        <v>42825</v>
      </c>
      <c r="B212" s="194">
        <v>0.70214150767174932</v>
      </c>
      <c r="C212" s="194">
        <v>0.29785849232825073</v>
      </c>
      <c r="D212" s="194">
        <v>0</v>
      </c>
      <c r="E212" s="207">
        <v>1</v>
      </c>
      <c r="F212" s="200">
        <v>0</v>
      </c>
    </row>
    <row r="213" spans="1:6">
      <c r="A213" s="118">
        <v>42855</v>
      </c>
      <c r="B213" s="194">
        <v>0.69935922167522591</v>
      </c>
      <c r="C213" s="194">
        <v>0.30064077832477409</v>
      </c>
      <c r="D213" s="194">
        <v>0</v>
      </c>
      <c r="E213" s="207">
        <v>1</v>
      </c>
      <c r="F213" s="200">
        <v>0</v>
      </c>
    </row>
    <row r="214" spans="1:6">
      <c r="A214" s="118">
        <v>42886</v>
      </c>
      <c r="B214" s="194">
        <v>0.72442365547051313</v>
      </c>
      <c r="C214" s="194">
        <v>0.27557634452948676</v>
      </c>
      <c r="D214" s="194">
        <v>0</v>
      </c>
      <c r="E214" s="207">
        <v>1</v>
      </c>
      <c r="F214" s="200">
        <v>0</v>
      </c>
    </row>
    <row r="215" spans="1:6">
      <c r="A215" s="118">
        <v>42916</v>
      </c>
      <c r="B215" s="194">
        <v>0.71707443568454621</v>
      </c>
      <c r="C215" s="194">
        <v>0.28292556431545374</v>
      </c>
      <c r="D215" s="194">
        <v>0</v>
      </c>
      <c r="E215" s="207">
        <v>1</v>
      </c>
      <c r="F215" s="200">
        <v>0</v>
      </c>
    </row>
    <row r="216" spans="1:6">
      <c r="A216" s="118">
        <v>42947</v>
      </c>
      <c r="B216" s="194">
        <v>0.71742788781313815</v>
      </c>
      <c r="C216" s="194">
        <v>0.2825721121868619</v>
      </c>
      <c r="D216" s="194">
        <v>0</v>
      </c>
      <c r="E216" s="207">
        <v>1</v>
      </c>
      <c r="F216" s="200">
        <v>0</v>
      </c>
    </row>
    <row r="217" spans="1:6">
      <c r="A217" s="118">
        <v>42978</v>
      </c>
      <c r="B217" s="194">
        <v>0.71827957411913457</v>
      </c>
      <c r="C217" s="194">
        <v>0.2817204258808656</v>
      </c>
      <c r="D217" s="194">
        <v>0</v>
      </c>
      <c r="E217" s="207">
        <v>1</v>
      </c>
      <c r="F217" s="200">
        <v>0</v>
      </c>
    </row>
    <row r="218" spans="1:6">
      <c r="A218" s="118">
        <v>43008</v>
      </c>
      <c r="B218" s="194">
        <v>0.7161572964343772</v>
      </c>
      <c r="C218" s="194">
        <v>0.28384270356562286</v>
      </c>
      <c r="D218" s="194">
        <v>0</v>
      </c>
      <c r="E218" s="207">
        <v>1</v>
      </c>
      <c r="F218" s="200">
        <v>0</v>
      </c>
    </row>
    <row r="219" spans="1:6">
      <c r="A219" s="118">
        <v>43039</v>
      </c>
      <c r="B219" s="194">
        <v>0.71575393617993355</v>
      </c>
      <c r="C219" s="194">
        <v>0.28424606382006629</v>
      </c>
      <c r="D219" s="194">
        <v>0</v>
      </c>
      <c r="E219" s="207">
        <v>1</v>
      </c>
      <c r="F219" s="200">
        <v>0</v>
      </c>
    </row>
    <row r="220" spans="1:6">
      <c r="A220" s="118">
        <v>43069</v>
      </c>
      <c r="B220" s="194">
        <v>0.71552602845882751</v>
      </c>
      <c r="C220" s="194">
        <v>0.2844739715411726</v>
      </c>
      <c r="D220" s="194">
        <v>0</v>
      </c>
      <c r="E220" s="207">
        <v>1</v>
      </c>
      <c r="F220" s="200">
        <v>0</v>
      </c>
    </row>
    <row r="221" spans="1:6">
      <c r="A221" s="118">
        <v>43100</v>
      </c>
      <c r="B221" s="194">
        <v>0.71801508077648113</v>
      </c>
      <c r="C221" s="194">
        <v>0.28198491922351887</v>
      </c>
      <c r="D221" s="194">
        <v>0</v>
      </c>
      <c r="E221" s="207">
        <v>1</v>
      </c>
      <c r="F221" s="200">
        <v>0</v>
      </c>
    </row>
    <row r="222" spans="1:6">
      <c r="A222" s="118">
        <v>43131</v>
      </c>
      <c r="B222" s="194">
        <v>0.71437491611033588</v>
      </c>
      <c r="C222" s="194">
        <v>0.28562508388966412</v>
      </c>
      <c r="D222" s="194">
        <v>0</v>
      </c>
      <c r="E222" s="207">
        <v>1</v>
      </c>
      <c r="F222" s="200">
        <v>0</v>
      </c>
    </row>
    <row r="223" spans="1:6">
      <c r="A223" s="118">
        <v>43159</v>
      </c>
      <c r="B223" s="194">
        <v>0.71460092914578943</v>
      </c>
      <c r="C223" s="194">
        <v>0.2853990708542104</v>
      </c>
      <c r="D223" s="194">
        <v>0</v>
      </c>
      <c r="E223" s="207">
        <v>1</v>
      </c>
      <c r="F223" s="200">
        <v>0</v>
      </c>
    </row>
    <row r="224" spans="1:6">
      <c r="A224" s="118">
        <v>43190</v>
      </c>
      <c r="B224" s="194">
        <v>0.7106322374975248</v>
      </c>
      <c r="C224" s="194">
        <v>0.2893677625024752</v>
      </c>
      <c r="D224" s="194">
        <v>0</v>
      </c>
      <c r="E224" s="207">
        <v>1</v>
      </c>
      <c r="F224" s="200">
        <v>0</v>
      </c>
    </row>
    <row r="225" spans="1:6">
      <c r="A225" s="118">
        <v>43220</v>
      </c>
      <c r="B225" s="194">
        <v>0.70688828789484426</v>
      </c>
      <c r="C225" s="194">
        <v>0.29311171210515569</v>
      </c>
      <c r="D225" s="194">
        <v>0</v>
      </c>
      <c r="E225" s="207">
        <v>1</v>
      </c>
      <c r="F225" s="200">
        <v>0</v>
      </c>
    </row>
    <row r="226" spans="1:6">
      <c r="A226" s="118">
        <v>43251</v>
      </c>
      <c r="B226" s="194">
        <v>0.70495434882463182</v>
      </c>
      <c r="C226" s="194">
        <v>0.29504565117536796</v>
      </c>
      <c r="D226" s="194">
        <v>0</v>
      </c>
      <c r="E226" s="207">
        <v>1</v>
      </c>
      <c r="F226" s="200">
        <v>0</v>
      </c>
    </row>
    <row r="227" spans="1:6">
      <c r="A227" s="118">
        <v>43281</v>
      </c>
      <c r="B227" s="194">
        <v>0.70184928544436931</v>
      </c>
      <c r="C227" s="194">
        <v>0.2981507145556308</v>
      </c>
      <c r="D227" s="194">
        <v>0</v>
      </c>
      <c r="E227" s="207">
        <v>1</v>
      </c>
      <c r="F227" s="200">
        <v>0</v>
      </c>
    </row>
    <row r="228" spans="1:6">
      <c r="A228" s="118">
        <v>43312</v>
      </c>
      <c r="B228" s="194">
        <v>0.70260822389143052</v>
      </c>
      <c r="C228" s="194">
        <v>0.29739177610856932</v>
      </c>
      <c r="D228" s="194">
        <v>0</v>
      </c>
      <c r="E228" s="207">
        <v>0.99999999999999978</v>
      </c>
      <c r="F228" s="200">
        <v>0</v>
      </c>
    </row>
    <row r="229" spans="1:6">
      <c r="A229" s="118">
        <v>43343</v>
      </c>
      <c r="B229" s="194">
        <v>0.70130030133868637</v>
      </c>
      <c r="C229" s="194">
        <v>0.29869969866131396</v>
      </c>
      <c r="D229" s="194">
        <v>0</v>
      </c>
      <c r="E229" s="207">
        <v>1.0000000000000004</v>
      </c>
      <c r="F229" s="200">
        <v>0</v>
      </c>
    </row>
    <row r="230" spans="1:6">
      <c r="A230" s="118">
        <v>43373</v>
      </c>
      <c r="B230" s="194">
        <v>0.7013369627188738</v>
      </c>
      <c r="C230" s="194">
        <v>0.29866303728112648</v>
      </c>
      <c r="D230" s="194">
        <v>0</v>
      </c>
      <c r="E230" s="207">
        <v>1.0000000000000004</v>
      </c>
      <c r="F230" s="200">
        <v>0</v>
      </c>
    </row>
    <row r="231" spans="1:6">
      <c r="A231" s="118">
        <v>43404</v>
      </c>
      <c r="B231" s="194">
        <v>0.67976877431089433</v>
      </c>
      <c r="C231" s="194">
        <v>0.32023122568910573</v>
      </c>
      <c r="D231" s="194">
        <v>0</v>
      </c>
      <c r="E231" s="207">
        <v>1.0000000000000004</v>
      </c>
      <c r="F231" s="200">
        <v>0</v>
      </c>
    </row>
    <row r="232" spans="1:6">
      <c r="A232" s="118">
        <v>43434</v>
      </c>
      <c r="B232" s="194">
        <v>0.67619076405356671</v>
      </c>
      <c r="C232" s="194">
        <v>0.3238092359464334</v>
      </c>
      <c r="D232" s="194">
        <v>0</v>
      </c>
      <c r="E232" s="207">
        <v>1.0000000000000004</v>
      </c>
      <c r="F232" s="200">
        <v>0</v>
      </c>
    </row>
    <row r="233" spans="1:6">
      <c r="A233" s="118">
        <v>43435</v>
      </c>
      <c r="B233" s="194">
        <v>0.67695439675401647</v>
      </c>
      <c r="C233" s="194">
        <v>0.32304560324598369</v>
      </c>
      <c r="D233" s="194">
        <v>0</v>
      </c>
      <c r="E233" s="207">
        <v>1.0000000000000004</v>
      </c>
      <c r="F233" s="200">
        <v>0</v>
      </c>
    </row>
    <row r="234" spans="1:6">
      <c r="A234" s="118">
        <v>43496</v>
      </c>
      <c r="B234" s="194">
        <v>0.67660374004989421</v>
      </c>
      <c r="C234" s="194">
        <v>0.32339625995010601</v>
      </c>
      <c r="D234" s="194">
        <v>0</v>
      </c>
      <c r="E234" s="207">
        <v>1.0000000000000004</v>
      </c>
      <c r="F234" s="200">
        <v>0</v>
      </c>
    </row>
    <row r="235" spans="1:6">
      <c r="A235" s="118">
        <v>43524</v>
      </c>
      <c r="B235" s="194">
        <v>0.67782147616386268</v>
      </c>
      <c r="C235" s="194">
        <v>0.31993675903672786</v>
      </c>
      <c r="D235" s="194">
        <v>0</v>
      </c>
      <c r="E235" s="207">
        <v>1.0000000000000004</v>
      </c>
      <c r="F235" s="200">
        <v>0</v>
      </c>
    </row>
    <row r="236" spans="1:6">
      <c r="A236" s="118">
        <v>43555</v>
      </c>
      <c r="B236" s="194">
        <v>0.67516770329020026</v>
      </c>
      <c r="C236" s="194">
        <v>0.32483229670979985</v>
      </c>
      <c r="D236" s="194">
        <v>0</v>
      </c>
      <c r="E236" s="207">
        <v>1</v>
      </c>
      <c r="F236" s="200">
        <v>0</v>
      </c>
    </row>
    <row r="237" spans="1:6">
      <c r="A237" s="118">
        <v>43585</v>
      </c>
      <c r="B237" s="194">
        <v>0.69179453635676835</v>
      </c>
      <c r="C237" s="194">
        <v>0.30820546364323176</v>
      </c>
      <c r="D237" s="194">
        <v>0</v>
      </c>
      <c r="E237" s="207">
        <v>1</v>
      </c>
      <c r="F237" s="200">
        <v>0</v>
      </c>
    </row>
    <row r="238" spans="1:6">
      <c r="A238" s="118">
        <v>43616</v>
      </c>
      <c r="B238" s="194">
        <v>0.6908037556789568</v>
      </c>
      <c r="C238" s="194">
        <v>0.30919624432104342</v>
      </c>
      <c r="D238" s="194">
        <v>0</v>
      </c>
      <c r="E238" s="207">
        <v>1</v>
      </c>
      <c r="F238" s="200">
        <v>0</v>
      </c>
    </row>
    <row r="239" spans="1:6">
      <c r="A239" s="118">
        <v>43646</v>
      </c>
      <c r="B239" s="194">
        <v>0.68999206619220033</v>
      </c>
      <c r="C239" s="194">
        <v>0.31000793380779962</v>
      </c>
      <c r="D239" s="194">
        <v>0</v>
      </c>
      <c r="E239" s="207">
        <v>1</v>
      </c>
      <c r="F239" s="200">
        <v>0</v>
      </c>
    </row>
    <row r="240" spans="1:6">
      <c r="A240" s="118">
        <v>43677</v>
      </c>
      <c r="B240" s="194">
        <v>0.69435737272420095</v>
      </c>
      <c r="C240" s="194">
        <v>0.30564262727579888</v>
      </c>
      <c r="D240" s="194">
        <v>0</v>
      </c>
      <c r="E240" s="207">
        <v>1</v>
      </c>
      <c r="F240" s="200">
        <v>0</v>
      </c>
    </row>
    <row r="241" spans="1:6">
      <c r="A241" s="118">
        <v>43708</v>
      </c>
      <c r="B241" s="194">
        <v>0.69475297551632886</v>
      </c>
      <c r="C241" s="194">
        <v>0.30524702448367119</v>
      </c>
      <c r="D241" s="194">
        <v>0</v>
      </c>
      <c r="E241" s="207">
        <v>1</v>
      </c>
      <c r="F241" s="200">
        <v>0</v>
      </c>
    </row>
    <row r="242" spans="1:6">
      <c r="A242" s="118">
        <v>43738</v>
      </c>
      <c r="B242" s="194">
        <v>0.6851965845657817</v>
      </c>
      <c r="C242" s="194">
        <v>0.31480341543421825</v>
      </c>
      <c r="D242" s="194">
        <v>0</v>
      </c>
      <c r="E242" s="207">
        <v>1</v>
      </c>
      <c r="F242" s="200">
        <v>0</v>
      </c>
    </row>
    <row r="243" spans="1:6">
      <c r="A243" s="118">
        <v>43769</v>
      </c>
      <c r="B243" s="194">
        <v>0.68710797373926424</v>
      </c>
      <c r="C243" s="194">
        <v>0.31289202626073553</v>
      </c>
      <c r="D243" s="194">
        <v>0</v>
      </c>
      <c r="E243" s="207">
        <v>1</v>
      </c>
      <c r="F243" s="200">
        <v>0</v>
      </c>
    </row>
    <row r="244" spans="1:6">
      <c r="A244" s="118">
        <v>43799</v>
      </c>
      <c r="B244" s="194">
        <v>0.68925518256869178</v>
      </c>
      <c r="C244" s="194">
        <v>0.31074481743130822</v>
      </c>
      <c r="D244" s="194">
        <v>0</v>
      </c>
      <c r="E244" s="207">
        <v>1</v>
      </c>
      <c r="F244" s="200">
        <v>0</v>
      </c>
    </row>
    <row r="245" spans="1:6">
      <c r="A245" s="118">
        <v>43830</v>
      </c>
      <c r="B245" s="194">
        <v>0.68043644151104055</v>
      </c>
      <c r="C245" s="194">
        <v>0.31956355848895951</v>
      </c>
      <c r="D245" s="194">
        <v>0</v>
      </c>
      <c r="E245" s="207">
        <v>1</v>
      </c>
      <c r="F245" s="200">
        <v>0</v>
      </c>
    </row>
    <row r="246" spans="1:6">
      <c r="A246" s="118">
        <v>43861</v>
      </c>
      <c r="B246" s="194">
        <v>0.69227207895583354</v>
      </c>
      <c r="C246" s="194">
        <v>0.30772792104416619</v>
      </c>
      <c r="D246" s="194">
        <v>0</v>
      </c>
      <c r="E246" s="207">
        <v>1</v>
      </c>
      <c r="F246" s="200">
        <v>0</v>
      </c>
    </row>
    <row r="247" spans="1:6">
      <c r="A247" s="118">
        <v>43890</v>
      </c>
      <c r="B247" s="194">
        <v>0.69342640903484098</v>
      </c>
      <c r="C247" s="194">
        <v>0.30657359096515913</v>
      </c>
      <c r="D247" s="194">
        <v>0</v>
      </c>
      <c r="E247" s="207">
        <v>1</v>
      </c>
      <c r="F247" s="200">
        <v>0</v>
      </c>
    </row>
    <row r="248" spans="1:6">
      <c r="A248" s="118">
        <v>43921</v>
      </c>
      <c r="B248" s="194">
        <v>0.68950412589715016</v>
      </c>
      <c r="C248" s="194">
        <v>0.31049587410284984</v>
      </c>
      <c r="D248" s="194">
        <v>0</v>
      </c>
      <c r="E248" s="207">
        <v>1</v>
      </c>
      <c r="F248" s="200">
        <v>0</v>
      </c>
    </row>
    <row r="249" spans="1:6">
      <c r="A249" s="118">
        <v>43951</v>
      </c>
      <c r="B249" s="194">
        <v>0.68332082260708471</v>
      </c>
      <c r="C249" s="194">
        <v>0.31667917739291529</v>
      </c>
      <c r="D249" s="194">
        <v>0</v>
      </c>
      <c r="E249" s="207">
        <v>1</v>
      </c>
      <c r="F249" s="200">
        <v>0</v>
      </c>
    </row>
    <row r="250" spans="1:6">
      <c r="A250" s="118">
        <v>43982</v>
      </c>
      <c r="B250" s="194">
        <v>0.69260750444119468</v>
      </c>
      <c r="C250" s="194">
        <v>0.30739249555880538</v>
      </c>
      <c r="D250" s="194">
        <v>0</v>
      </c>
      <c r="E250" s="207">
        <v>1</v>
      </c>
      <c r="F250" s="200">
        <v>0</v>
      </c>
    </row>
    <row r="251" spans="1:6">
      <c r="A251" s="118">
        <v>44012</v>
      </c>
      <c r="B251" s="194">
        <v>0.69686309895566212</v>
      </c>
      <c r="C251" s="194">
        <v>0.30313690104433788</v>
      </c>
      <c r="D251" s="194">
        <v>0</v>
      </c>
      <c r="E251" s="207">
        <v>1</v>
      </c>
      <c r="F251" s="200">
        <v>0</v>
      </c>
    </row>
    <row r="252" spans="1:6">
      <c r="A252" s="118">
        <v>44043</v>
      </c>
      <c r="B252" s="194">
        <v>0.709520888283936</v>
      </c>
      <c r="C252" s="194">
        <v>0.29047911171606383</v>
      </c>
      <c r="D252" s="194">
        <v>0</v>
      </c>
      <c r="E252" s="207">
        <v>0.99999999999999978</v>
      </c>
      <c r="F252" s="200">
        <v>0</v>
      </c>
    </row>
    <row r="253" spans="1:6">
      <c r="A253" s="118">
        <v>44074</v>
      </c>
      <c r="B253" s="194">
        <v>0.71081553240853823</v>
      </c>
      <c r="C253" s="194">
        <v>0.28918446759146155</v>
      </c>
      <c r="D253" s="194">
        <v>0</v>
      </c>
      <c r="E253" s="207">
        <v>0.99999999999999978</v>
      </c>
      <c r="F253" s="200">
        <v>0</v>
      </c>
    </row>
    <row r="254" spans="1:6">
      <c r="A254" s="118">
        <v>44104</v>
      </c>
      <c r="B254" s="194">
        <v>0.7130519736887897</v>
      </c>
      <c r="C254" s="194">
        <v>0.28694802631121041</v>
      </c>
      <c r="D254" s="194">
        <v>0</v>
      </c>
      <c r="E254" s="207">
        <v>0.99999999999999978</v>
      </c>
      <c r="F254" s="200">
        <v>0</v>
      </c>
    </row>
    <row r="255" spans="1:6">
      <c r="A255" s="118">
        <v>44135</v>
      </c>
      <c r="B255" s="194">
        <v>0.71413637524129814</v>
      </c>
      <c r="C255" s="194">
        <v>0.28586362475870192</v>
      </c>
      <c r="D255" s="194">
        <v>0</v>
      </c>
      <c r="E255" s="207">
        <v>0.99999999999999978</v>
      </c>
      <c r="F255" s="200">
        <v>0</v>
      </c>
    </row>
    <row r="256" spans="1:6">
      <c r="A256" s="118">
        <v>44165</v>
      </c>
      <c r="B256" s="194">
        <v>0.71498256330465859</v>
      </c>
      <c r="C256" s="194">
        <v>0.28501743669534157</v>
      </c>
      <c r="D256" s="194">
        <v>0</v>
      </c>
      <c r="E256" s="207">
        <v>0.99999999999999978</v>
      </c>
      <c r="F256" s="200">
        <v>0</v>
      </c>
    </row>
    <row r="257" spans="1:6">
      <c r="A257" s="118">
        <v>44196</v>
      </c>
      <c r="B257" s="194">
        <v>0.71478905108374124</v>
      </c>
      <c r="C257" s="194">
        <v>0.28520859158005718</v>
      </c>
      <c r="D257" s="194">
        <v>0</v>
      </c>
      <c r="E257" s="207">
        <v>1</v>
      </c>
      <c r="F257" s="200">
        <v>0</v>
      </c>
    </row>
    <row r="258" spans="1:6">
      <c r="A258" s="118">
        <v>44227</v>
      </c>
      <c r="B258" s="194">
        <v>0.70997345844718829</v>
      </c>
      <c r="C258" s="194">
        <v>0.29002654155281182</v>
      </c>
      <c r="D258" s="194">
        <v>0</v>
      </c>
      <c r="E258" s="207">
        <v>1</v>
      </c>
      <c r="F258" s="200">
        <v>0</v>
      </c>
    </row>
    <row r="259" spans="1:6">
      <c r="A259" s="118">
        <v>44255</v>
      </c>
      <c r="B259" s="194">
        <v>0.71107750678950321</v>
      </c>
      <c r="C259" s="194">
        <v>0.28892249321049679</v>
      </c>
      <c r="D259" s="194">
        <v>0</v>
      </c>
      <c r="E259" s="207">
        <v>1</v>
      </c>
      <c r="F259" s="200">
        <v>0</v>
      </c>
    </row>
    <row r="260" spans="1:6">
      <c r="A260" s="118">
        <v>44286</v>
      </c>
      <c r="B260" s="194">
        <v>0.72127263574574152</v>
      </c>
      <c r="C260" s="194">
        <v>0.2787273642542587</v>
      </c>
      <c r="D260" s="194">
        <v>0</v>
      </c>
      <c r="E260" s="207">
        <v>1</v>
      </c>
      <c r="F260" s="200">
        <v>0</v>
      </c>
    </row>
    <row r="261" spans="1:6">
      <c r="A261" s="118">
        <v>44316</v>
      </c>
      <c r="B261" s="194">
        <v>0.72152634389506065</v>
      </c>
      <c r="C261" s="194">
        <v>0.27847365610493929</v>
      </c>
      <c r="D261" s="194">
        <v>0</v>
      </c>
      <c r="E261" s="207">
        <v>1</v>
      </c>
      <c r="F261" s="200">
        <v>0</v>
      </c>
    </row>
    <row r="262" spans="1:6">
      <c r="A262" s="118">
        <v>44347</v>
      </c>
      <c r="B262" s="194">
        <v>0.72012392178479967</v>
      </c>
      <c r="C262" s="194">
        <v>0.27987607821520027</v>
      </c>
      <c r="D262" s="194">
        <v>0</v>
      </c>
      <c r="E262" s="207">
        <v>1</v>
      </c>
      <c r="F262" s="200">
        <v>0</v>
      </c>
    </row>
    <row r="263" spans="1:6">
      <c r="A263" s="118">
        <v>44377</v>
      </c>
      <c r="B263" s="194">
        <v>0.71626580528867145</v>
      </c>
      <c r="C263" s="194">
        <v>0.28373419471132838</v>
      </c>
      <c r="D263" s="194">
        <v>0</v>
      </c>
      <c r="E263" s="207">
        <v>1</v>
      </c>
      <c r="F263" s="200">
        <v>0</v>
      </c>
    </row>
    <row r="264" spans="1:6">
      <c r="A264" s="118">
        <v>44408</v>
      </c>
      <c r="B264" s="194">
        <v>0.71686354463895208</v>
      </c>
      <c r="C264" s="194">
        <v>0.28313645536104781</v>
      </c>
      <c r="D264" s="194">
        <v>0</v>
      </c>
      <c r="E264" s="207">
        <v>1</v>
      </c>
      <c r="F264" s="200">
        <v>0</v>
      </c>
    </row>
    <row r="265" spans="1:6">
      <c r="A265" s="118">
        <v>44439</v>
      </c>
      <c r="B265" s="194">
        <v>0.71272960085355586</v>
      </c>
      <c r="C265" s="194">
        <v>0.28727039914644414</v>
      </c>
      <c r="D265" s="194">
        <v>0</v>
      </c>
      <c r="E265" s="207">
        <v>1</v>
      </c>
      <c r="F265" s="200">
        <v>0</v>
      </c>
    </row>
    <row r="266" spans="1:6">
      <c r="A266" s="118">
        <v>44469</v>
      </c>
      <c r="B266" s="194">
        <v>0.70898034045159941</v>
      </c>
      <c r="C266" s="194">
        <v>0.29101965954840064</v>
      </c>
      <c r="D266" s="194">
        <v>0</v>
      </c>
      <c r="E266" s="207">
        <v>1</v>
      </c>
      <c r="F266" s="200">
        <v>0</v>
      </c>
    </row>
    <row r="267" spans="1:6">
      <c r="A267" s="118">
        <v>44500</v>
      </c>
      <c r="B267" s="194">
        <v>0.70847127911817354</v>
      </c>
      <c r="C267" s="194">
        <v>0.29152872088182646</v>
      </c>
      <c r="D267" s="194">
        <v>0</v>
      </c>
      <c r="E267" s="207">
        <v>1</v>
      </c>
      <c r="F267" s="200">
        <v>0</v>
      </c>
    </row>
    <row r="268" spans="1:6">
      <c r="A268" s="118">
        <v>44530</v>
      </c>
      <c r="B268" s="194">
        <v>0.70125043984530977</v>
      </c>
      <c r="C268" s="194">
        <v>0.29874956015469006</v>
      </c>
      <c r="D268" s="194">
        <v>0</v>
      </c>
      <c r="E268" s="207">
        <v>0.99999999999999978</v>
      </c>
      <c r="F268" s="200">
        <v>0</v>
      </c>
    </row>
    <row r="269" spans="1:6">
      <c r="A269" s="118">
        <v>44561</v>
      </c>
      <c r="B269" s="194">
        <v>0.69677909292655438</v>
      </c>
      <c r="C269" s="194">
        <v>0.30322090707344562</v>
      </c>
      <c r="D269" s="194">
        <v>0</v>
      </c>
      <c r="E269" s="207">
        <v>0.99999999999999978</v>
      </c>
      <c r="F269" s="200">
        <v>0</v>
      </c>
    </row>
    <row r="270" spans="1:6">
      <c r="A270" s="118">
        <v>44592</v>
      </c>
      <c r="B270" s="194">
        <v>0.70031408848434618</v>
      </c>
      <c r="C270" s="194">
        <v>0.29968591151565382</v>
      </c>
      <c r="D270" s="194">
        <v>0</v>
      </c>
      <c r="E270" s="207">
        <v>1</v>
      </c>
      <c r="F270" s="200">
        <v>0</v>
      </c>
    </row>
    <row r="271" spans="1:6">
      <c r="A271" s="118">
        <v>44620</v>
      </c>
      <c r="B271" s="194">
        <v>0.69825846124723656</v>
      </c>
      <c r="C271" s="194">
        <v>0.30174153875276344</v>
      </c>
      <c r="D271" s="194">
        <v>0</v>
      </c>
      <c r="E271" s="207">
        <v>1</v>
      </c>
      <c r="F271" s="200">
        <v>0</v>
      </c>
    </row>
    <row r="272" spans="1:6">
      <c r="A272" s="118">
        <v>44651</v>
      </c>
      <c r="B272" s="194">
        <v>0.6936758560703814</v>
      </c>
      <c r="C272" s="194">
        <v>0.3063241439296186</v>
      </c>
      <c r="D272" s="194">
        <v>0</v>
      </c>
      <c r="E272" s="207">
        <v>1</v>
      </c>
      <c r="F272" s="200">
        <v>0</v>
      </c>
    </row>
    <row r="273" spans="1:6">
      <c r="A273" s="118">
        <v>44681</v>
      </c>
      <c r="B273" s="194">
        <v>0.69447010671566989</v>
      </c>
      <c r="C273" s="194">
        <v>0.30552989328432995</v>
      </c>
      <c r="D273" s="194">
        <v>0</v>
      </c>
      <c r="E273" s="207">
        <v>1</v>
      </c>
      <c r="F273" s="200">
        <v>0</v>
      </c>
    </row>
    <row r="274" spans="1:6">
      <c r="A274" s="118">
        <v>44712</v>
      </c>
      <c r="B274" s="194">
        <v>0.6973381713255693</v>
      </c>
      <c r="C274" s="194">
        <v>0.30266182867443042</v>
      </c>
      <c r="D274" s="194">
        <v>0</v>
      </c>
      <c r="E274" s="207">
        <v>0.99999999999999978</v>
      </c>
      <c r="F274" s="200">
        <v>0</v>
      </c>
    </row>
    <row r="275" spans="1:6">
      <c r="A275" s="118">
        <v>44742</v>
      </c>
      <c r="B275" s="194">
        <v>0.69020924894369318</v>
      </c>
      <c r="C275" s="194">
        <v>0.3097907510563066</v>
      </c>
      <c r="D275" s="194">
        <v>0</v>
      </c>
      <c r="E275" s="207">
        <v>0.99999999999999978</v>
      </c>
      <c r="F275" s="200">
        <v>0</v>
      </c>
    </row>
    <row r="276" spans="1:6">
      <c r="A276" s="118">
        <v>44773</v>
      </c>
      <c r="B276" s="194">
        <v>0.69168920557286295</v>
      </c>
      <c r="C276" s="194">
        <v>0.3083107944271371</v>
      </c>
      <c r="D276" s="194">
        <v>0</v>
      </c>
      <c r="E276" s="207">
        <v>1</v>
      </c>
      <c r="F276" s="200">
        <v>0</v>
      </c>
    </row>
    <row r="277" spans="1:6">
      <c r="A277" s="118">
        <v>44804</v>
      </c>
      <c r="B277" s="194">
        <v>0.69143094011811113</v>
      </c>
      <c r="C277" s="194">
        <v>0.30856905988188882</v>
      </c>
      <c r="D277" s="194">
        <v>0</v>
      </c>
      <c r="E277" s="207">
        <v>1</v>
      </c>
      <c r="F277" s="200">
        <v>0</v>
      </c>
    </row>
    <row r="278" spans="1:6">
      <c r="A278" s="118">
        <v>44834</v>
      </c>
      <c r="B278" s="194">
        <v>0.68979919354623143</v>
      </c>
      <c r="C278" s="194">
        <v>0.31020080645376863</v>
      </c>
      <c r="D278" s="194">
        <v>0</v>
      </c>
      <c r="E278" s="207">
        <v>1</v>
      </c>
      <c r="F278" s="200">
        <v>0</v>
      </c>
    </row>
    <row r="279" spans="1:6">
      <c r="A279" s="118">
        <v>44865</v>
      </c>
      <c r="B279" s="194">
        <v>0.68989207292525956</v>
      </c>
      <c r="C279" s="194">
        <v>0.31010792707474039</v>
      </c>
      <c r="D279" s="194">
        <v>0</v>
      </c>
      <c r="E279" s="207">
        <v>1</v>
      </c>
      <c r="F279" s="200">
        <v>0</v>
      </c>
    </row>
    <row r="280" spans="1:6">
      <c r="A280" s="118">
        <v>44895</v>
      </c>
      <c r="B280" s="194">
        <v>0.68822970803792827</v>
      </c>
      <c r="C280" s="194">
        <v>0.31177029196207157</v>
      </c>
      <c r="D280" s="194">
        <v>0</v>
      </c>
      <c r="E280" s="207">
        <v>0.99999999999999978</v>
      </c>
      <c r="F280" s="200">
        <v>0</v>
      </c>
    </row>
    <row r="281" spans="1:6">
      <c r="A281" s="118">
        <v>44926</v>
      </c>
      <c r="B281" s="194">
        <v>0.69364188568056695</v>
      </c>
      <c r="C281" s="194">
        <v>0.30635811431943288</v>
      </c>
      <c r="D281" s="194">
        <v>0</v>
      </c>
      <c r="E281" s="207">
        <v>0.99999999999999978</v>
      </c>
      <c r="F281" s="200">
        <v>0</v>
      </c>
    </row>
    <row r="282" spans="1:6">
      <c r="A282" s="118">
        <v>44957</v>
      </c>
      <c r="B282" s="194">
        <v>0.69140541653062193</v>
      </c>
      <c r="C282" s="194">
        <v>0.3085945834693779</v>
      </c>
      <c r="D282" s="194">
        <v>0</v>
      </c>
      <c r="E282" s="207">
        <v>0.99999999999999978</v>
      </c>
      <c r="F282" s="200">
        <v>0</v>
      </c>
    </row>
    <row r="283" spans="1:6">
      <c r="A283" s="118">
        <v>44985</v>
      </c>
      <c r="B283" s="194">
        <v>0.70831409008408197</v>
      </c>
      <c r="C283" s="194">
        <v>0.29168590991591792</v>
      </c>
      <c r="D283" s="194">
        <v>0</v>
      </c>
      <c r="E283" s="207">
        <v>0.99999999999999989</v>
      </c>
      <c r="F283" s="200">
        <v>0</v>
      </c>
    </row>
    <row r="284" spans="1:6">
      <c r="A284" s="118">
        <v>45016</v>
      </c>
      <c r="B284" s="194">
        <v>0.70609182309571994</v>
      </c>
      <c r="C284" s="194">
        <v>0.29390817690427995</v>
      </c>
      <c r="D284" s="194">
        <v>0</v>
      </c>
      <c r="E284" s="207">
        <v>0.99999999999999989</v>
      </c>
      <c r="F284" s="200">
        <v>0</v>
      </c>
    </row>
    <row r="285" spans="1:6">
      <c r="A285" s="118">
        <v>45046</v>
      </c>
      <c r="B285" s="194">
        <v>0.70670007915036315</v>
      </c>
      <c r="C285" s="194">
        <v>0.29329992084963685</v>
      </c>
      <c r="D285" s="194">
        <v>0</v>
      </c>
      <c r="E285" s="207">
        <v>1</v>
      </c>
      <c r="F285" s="200">
        <v>0</v>
      </c>
    </row>
    <row r="286" spans="1:6">
      <c r="A286" s="118">
        <v>45077</v>
      </c>
      <c r="B286" s="194">
        <v>0.70518996110771215</v>
      </c>
      <c r="C286" s="194">
        <v>0.29481003889228785</v>
      </c>
      <c r="D286" s="194">
        <v>0</v>
      </c>
      <c r="E286" s="207">
        <v>1</v>
      </c>
      <c r="F286" s="200">
        <v>0</v>
      </c>
    </row>
    <row r="287" spans="1:6">
      <c r="A287" s="118">
        <v>45107</v>
      </c>
      <c r="B287" s="194">
        <v>0.7019734449067353</v>
      </c>
      <c r="C287" s="194">
        <v>0.29802655509326464</v>
      </c>
      <c r="D287" s="194">
        <v>0</v>
      </c>
      <c r="E287" s="207">
        <v>1</v>
      </c>
      <c r="F287" s="200">
        <v>0</v>
      </c>
    </row>
    <row r="288" spans="1:6">
      <c r="A288" s="118">
        <v>45138</v>
      </c>
      <c r="B288" s="194">
        <v>0.70139007606669368</v>
      </c>
      <c r="C288" s="194">
        <v>0.29860992393330632</v>
      </c>
      <c r="D288" s="194">
        <v>0</v>
      </c>
      <c r="E288" s="207">
        <v>1</v>
      </c>
      <c r="F288" s="200">
        <v>0</v>
      </c>
    </row>
    <row r="289" spans="1:6">
      <c r="A289" s="118">
        <v>45169</v>
      </c>
      <c r="B289" s="194">
        <v>0.70044197897318272</v>
      </c>
      <c r="C289" s="194">
        <v>0.29955802102681717</v>
      </c>
      <c r="D289" s="194">
        <v>0</v>
      </c>
      <c r="E289" s="207">
        <v>0.99999999999999989</v>
      </c>
      <c r="F289" s="200">
        <v>0</v>
      </c>
    </row>
    <row r="290" spans="1:6">
      <c r="A290" s="118">
        <v>45199</v>
      </c>
      <c r="B290" s="194">
        <v>0.69580380042977308</v>
      </c>
      <c r="C290" s="194">
        <v>0.30419619957022681</v>
      </c>
      <c r="D290" s="194">
        <v>0</v>
      </c>
      <c r="E290" s="207">
        <v>0.99999999999999989</v>
      </c>
      <c r="F290" s="200">
        <v>0</v>
      </c>
    </row>
    <row r="291" spans="1:6">
      <c r="A291" s="118">
        <v>45230</v>
      </c>
      <c r="B291" s="194">
        <v>0.69982599961064595</v>
      </c>
      <c r="C291" s="194">
        <v>0.3001740003893541</v>
      </c>
      <c r="D291" s="194">
        <v>0</v>
      </c>
      <c r="E291" s="207">
        <v>1</v>
      </c>
      <c r="F291" s="200">
        <v>0</v>
      </c>
    </row>
    <row r="292" spans="1:6">
      <c r="A292" s="118">
        <v>45260</v>
      </c>
      <c r="B292" s="194">
        <v>0.69975850565848419</v>
      </c>
      <c r="C292" s="194">
        <v>0.30024149434151581</v>
      </c>
      <c r="D292" s="194">
        <v>0</v>
      </c>
      <c r="E292" s="207">
        <v>1</v>
      </c>
      <c r="F292" s="200">
        <v>0</v>
      </c>
    </row>
    <row r="293" spans="1:6">
      <c r="A293" s="118">
        <v>45291</v>
      </c>
      <c r="B293" s="194">
        <v>0.6948159578456784</v>
      </c>
      <c r="C293" s="194">
        <v>0.30518404215432166</v>
      </c>
      <c r="D293" s="194">
        <v>0</v>
      </c>
      <c r="E293" s="207">
        <v>1</v>
      </c>
      <c r="F293" s="200">
        <v>0</v>
      </c>
    </row>
    <row r="294" spans="1:6">
      <c r="A294" s="118">
        <v>45322</v>
      </c>
      <c r="B294" s="194">
        <v>0.69137378978802055</v>
      </c>
      <c r="C294" s="194">
        <v>0.308603778238562</v>
      </c>
      <c r="D294" s="194">
        <v>0</v>
      </c>
      <c r="E294" s="207">
        <v>0.99997756802658255</v>
      </c>
      <c r="F294" s="200">
        <v>0</v>
      </c>
    </row>
    <row r="295" spans="1:6">
      <c r="A295" s="118">
        <v>45350</v>
      </c>
      <c r="B295" s="194">
        <v>0.72023536055692428</v>
      </c>
      <c r="C295" s="194">
        <v>0.27976463944307567</v>
      </c>
      <c r="D295" s="194">
        <v>0</v>
      </c>
      <c r="E295" s="207">
        <v>1</v>
      </c>
      <c r="F295" s="200">
        <v>0</v>
      </c>
    </row>
    <row r="296" spans="1:6">
      <c r="A296" s="118">
        <v>45382</v>
      </c>
      <c r="B296" s="194">
        <v>0.69131957712539449</v>
      </c>
      <c r="C296" s="194">
        <v>0.30868042287460556</v>
      </c>
      <c r="D296" s="194">
        <v>0</v>
      </c>
      <c r="E296" s="207">
        <v>1</v>
      </c>
      <c r="F296" s="200">
        <v>0</v>
      </c>
    </row>
    <row r="297" spans="1:6">
      <c r="A297" s="118">
        <v>45412</v>
      </c>
      <c r="B297" s="194">
        <v>0.69287334487695384</v>
      </c>
      <c r="C297" s="194">
        <v>0.30712665512304616</v>
      </c>
      <c r="D297" s="194">
        <v>0</v>
      </c>
      <c r="E297" s="207">
        <v>1</v>
      </c>
      <c r="F297" s="200">
        <v>0</v>
      </c>
    </row>
    <row r="298" spans="1:6">
      <c r="A298" s="118">
        <v>45443</v>
      </c>
      <c r="B298" s="194">
        <v>0.6924051777218676</v>
      </c>
      <c r="C298" s="194">
        <v>0.30759482227813245</v>
      </c>
      <c r="D298" s="194">
        <v>0</v>
      </c>
      <c r="E298" s="207">
        <v>1</v>
      </c>
      <c r="F298" s="200">
        <v>0</v>
      </c>
    </row>
    <row r="299" spans="1:6">
      <c r="A299" s="118">
        <v>45473</v>
      </c>
      <c r="B299" s="194">
        <v>0.69482932813043741</v>
      </c>
      <c r="C299" s="194">
        <v>0.30517067186956232</v>
      </c>
      <c r="D299" s="194">
        <v>0</v>
      </c>
      <c r="E299" s="207">
        <v>0.99999999999999978</v>
      </c>
      <c r="F299" s="200">
        <v>0</v>
      </c>
    </row>
    <row r="300" spans="1:6">
      <c r="A300" s="118">
        <v>45504</v>
      </c>
      <c r="B300" s="194">
        <v>0.69125883956202228</v>
      </c>
      <c r="C300" s="194">
        <v>0.30874116043797795</v>
      </c>
      <c r="D300" s="194">
        <v>0</v>
      </c>
      <c r="E300" s="207">
        <v>1.0000000000000002</v>
      </c>
      <c r="F300" s="200">
        <v>0</v>
      </c>
    </row>
    <row r="301" spans="1:6">
      <c r="A301" s="118">
        <v>45535</v>
      </c>
      <c r="B301" s="194">
        <v>0.69125883956202228</v>
      </c>
      <c r="C301" s="194">
        <v>0.30874116043797795</v>
      </c>
      <c r="D301" s="194">
        <v>0</v>
      </c>
      <c r="E301" s="207">
        <v>1.0000000000000002</v>
      </c>
      <c r="F301" s="200">
        <v>0</v>
      </c>
    </row>
    <row r="302" spans="1:6">
      <c r="A302" s="118">
        <v>45565</v>
      </c>
      <c r="B302" s="194">
        <v>0.70072851625172361</v>
      </c>
      <c r="C302" s="194">
        <v>0.29927148374827639</v>
      </c>
      <c r="D302" s="194">
        <v>0</v>
      </c>
      <c r="E302" s="207">
        <v>1</v>
      </c>
      <c r="F302" s="200">
        <v>0</v>
      </c>
    </row>
    <row r="303" spans="1:6">
      <c r="A303" s="118">
        <v>45596</v>
      </c>
      <c r="B303" s="194">
        <v>0.70170086167092083</v>
      </c>
      <c r="C303" s="194">
        <v>0.29829913832907895</v>
      </c>
      <c r="D303" s="194">
        <v>0</v>
      </c>
      <c r="E303" s="207">
        <v>0.99999999999999978</v>
      </c>
      <c r="F303" s="200">
        <v>0</v>
      </c>
    </row>
    <row r="304" spans="1:6">
      <c r="A304" s="118">
        <v>45626</v>
      </c>
      <c r="B304" s="194">
        <v>0.70973251738087895</v>
      </c>
      <c r="C304" s="194">
        <v>0.29026748261912111</v>
      </c>
      <c r="D304" s="194">
        <v>0</v>
      </c>
      <c r="E304" s="207">
        <v>1</v>
      </c>
      <c r="F304" s="200">
        <v>0</v>
      </c>
    </row>
    <row r="305" spans="1:6">
      <c r="A305" s="118">
        <v>45657</v>
      </c>
      <c r="B305" s="194">
        <v>0.71407798061079297</v>
      </c>
      <c r="C305" s="194">
        <v>0.28592201938920703</v>
      </c>
      <c r="D305" s="194">
        <v>0</v>
      </c>
      <c r="E305" s="207">
        <v>1</v>
      </c>
      <c r="F305" s="200">
        <v>0</v>
      </c>
    </row>
  </sheetData>
  <phoneticPr fontId="15" type="noConversion"/>
  <pageMargins left="0.23622047244094491" right="0.23622047244094491" top="0.74803149606299213" bottom="0.74803149606299213" header="0.31496062992125984" footer="0.31496062992125984"/>
  <pageSetup fitToHeight="9999" orientation="landscape"/>
  <headerFooter alignWithMargins="0"/>
  <ignoredErrors>
    <ignoredError sqref="E17:F22" unlocked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Drop Down 1">
              <controlPr defaultSize="0" print="0" autoLine="0" autoPict="0">
                <anchor>
                  <from>
                    <xdr:col>0</xdr:col>
                    <xdr:colOff>800100</xdr:colOff>
                    <xdr:row>1</xdr:row>
                    <xdr:rowOff>142875</xdr:rowOff>
                  </from>
                  <to>
                    <xdr:col>1</xdr:col>
                    <xdr:colOff>2543175</xdr:colOff>
                    <xdr:row>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8D2B-B0BD-43AA-98C4-6FF9DC0E6154}">
  <sheetPr codeName="Hoja7">
    <tabColor theme="0" tint="-0.249977111117893"/>
    <pageSetUpPr fitToPage="1"/>
  </sheetPr>
  <dimension ref="A1:L305"/>
  <sheetViews>
    <sheetView showGridLines="0" zoomScale="106" zoomScaleNormal="106" workbookViewId="0">
      <pane ySplit="22" topLeftCell="A292" activePane="bottomLeft" state="frozen"/>
      <selection activeCell="Z846" sqref="Z846"/>
      <selection pane="bottomLeft" activeCell="B305" sqref="B305:G305"/>
    </sheetView>
  </sheetViews>
  <sheetFormatPr baseColWidth="10" defaultColWidth="0" defaultRowHeight="12.75"/>
  <cols>
    <col min="1" max="1" width="14.7109375" style="91" customWidth="1"/>
    <col min="2" max="2" width="10.7109375" style="91" customWidth="1"/>
    <col min="3" max="4" width="12.28515625" style="91" customWidth="1"/>
    <col min="5" max="5" width="12.5703125" style="91" customWidth="1"/>
    <col min="6" max="6" width="12.28515625" style="91" customWidth="1"/>
    <col min="7" max="7" width="16.5703125" style="91" customWidth="1"/>
    <col min="8" max="8" width="60.5703125" style="91" customWidth="1"/>
    <col min="9" max="11" width="0" style="91" hidden="1" customWidth="1"/>
    <col min="12" max="16384" width="0" style="80" hidden="1"/>
  </cols>
  <sheetData>
    <row r="1" spans="1:1" s="110" customFormat="1" ht="12.75" customHeight="1">
      <c r="A1" s="116"/>
    </row>
    <row r="2" spans="1:1" s="110" customFormat="1" ht="12.75" customHeight="1">
      <c r="A2" s="151"/>
    </row>
    <row r="3" spans="1:1" s="110" customFormat="1" ht="12.75" customHeight="1">
      <c r="A3" s="125"/>
    </row>
    <row r="4" spans="1:1" s="110" customFormat="1" ht="12.75" customHeight="1">
      <c r="A4" s="125"/>
    </row>
    <row r="5" spans="1:1" s="110" customFormat="1" ht="12.75" customHeight="1">
      <c r="A5" s="149"/>
    </row>
    <row r="6" spans="1:1" s="80" customFormat="1" ht="12.75" customHeight="1">
      <c r="A6" s="150"/>
    </row>
    <row r="7" spans="1:1" s="80" customFormat="1" ht="12.75" customHeight="1">
      <c r="A7" s="150"/>
    </row>
    <row r="8" spans="1:1" s="80" customFormat="1" ht="12.75" customHeight="1">
      <c r="A8" s="150"/>
    </row>
    <row r="9" spans="1:1" s="80" customFormat="1" ht="12.75" customHeight="1">
      <c r="A9" s="150"/>
    </row>
    <row r="10" spans="1:1" s="80" customFormat="1" ht="12.75" customHeight="1">
      <c r="A10" s="150"/>
    </row>
    <row r="11" spans="1:1" s="80" customFormat="1" ht="12.75" customHeight="1">
      <c r="A11" s="150"/>
    </row>
    <row r="12" spans="1:1" s="80" customFormat="1" ht="12.75" customHeight="1">
      <c r="A12" s="150"/>
    </row>
    <row r="13" spans="1:1" s="80" customFormat="1" ht="12.75" customHeight="1">
      <c r="A13" s="150"/>
    </row>
    <row r="14" spans="1:1" s="80" customFormat="1" ht="12.75" customHeight="1">
      <c r="A14" s="150"/>
    </row>
    <row r="15" spans="1:1" s="80" customFormat="1" ht="12.75" customHeight="1">
      <c r="A15" s="150"/>
    </row>
    <row r="16" spans="1:1" s="80" customFormat="1" ht="12.75" customHeight="1">
      <c r="A16" s="150"/>
    </row>
    <row r="17" spans="1:11" ht="12.75" customHeight="1">
      <c r="A17" s="150"/>
      <c r="B17" s="80"/>
      <c r="C17" s="80"/>
      <c r="D17" s="80"/>
      <c r="E17" s="80"/>
      <c r="F17" s="80"/>
      <c r="G17" s="80"/>
      <c r="H17" s="80"/>
      <c r="I17" s="80"/>
      <c r="J17" s="80"/>
      <c r="K17" s="80"/>
    </row>
    <row r="18" spans="1:11" ht="12.75" customHeight="1">
      <c r="A18" s="150"/>
      <c r="B18" s="80"/>
      <c r="C18" s="80"/>
      <c r="D18" s="80"/>
      <c r="E18" s="80"/>
      <c r="F18" s="80"/>
      <c r="G18" s="80"/>
      <c r="H18" s="80"/>
      <c r="I18" s="80"/>
      <c r="J18" s="80"/>
      <c r="K18" s="80"/>
    </row>
    <row r="19" spans="1:11" ht="12.75" customHeight="1">
      <c r="A19" s="150"/>
      <c r="B19" s="80"/>
      <c r="C19" s="80"/>
      <c r="D19" s="80"/>
      <c r="E19" s="80"/>
      <c r="F19" s="80"/>
      <c r="G19" s="80"/>
      <c r="H19" s="80"/>
      <c r="I19" s="80"/>
      <c r="J19" s="80"/>
      <c r="K19" s="80"/>
    </row>
    <row r="20" spans="1:11" ht="12.75" customHeight="1">
      <c r="A20" s="291"/>
      <c r="B20" s="290" t="str">
        <f>Moneda_externaSección_título_etiqueta</f>
        <v xml:space="preserve">Composición por moneda - deuda externa </v>
      </c>
      <c r="C20" s="289"/>
      <c r="D20" s="289"/>
      <c r="E20" s="289"/>
      <c r="F20" s="289"/>
      <c r="G20" s="291"/>
      <c r="H20" s="140"/>
      <c r="I20" s="140"/>
      <c r="J20" s="140"/>
      <c r="K20" s="140"/>
    </row>
    <row r="21" spans="1:11" ht="12.75" customHeight="1">
      <c r="A21" s="291"/>
      <c r="B21" s="290" t="str">
        <f>Moneda_externaSección_subtítulo_etiqueta</f>
        <v xml:space="preserve">(% de deuda externa) </v>
      </c>
      <c r="C21" s="289"/>
      <c r="D21" s="289"/>
      <c r="E21" s="289"/>
      <c r="F21" s="289"/>
      <c r="G21" s="291"/>
      <c r="H21" s="140"/>
      <c r="I21" s="140"/>
      <c r="J21" s="140"/>
      <c r="K21" s="140"/>
    </row>
    <row r="22" spans="1:11" s="148" customFormat="1" ht="33" customHeight="1">
      <c r="A22" s="193" t="str">
        <f>Indice_PrincipalFecha_corte_etiqueta</f>
        <v>Fecha corte</v>
      </c>
      <c r="B22" s="193" t="str">
        <f>Moneda_externaColumna_título_etiqueta</f>
        <v>USD</v>
      </c>
      <c r="C22" s="193" t="str">
        <f>Moneda_externaColumna_título_etiqueta_2</f>
        <v>EUR</v>
      </c>
      <c r="D22" s="193" t="str">
        <f>Moneda_externaColumna_título_etiqueta_3</f>
        <v>JPY</v>
      </c>
      <c r="E22" s="193" t="str">
        <f>Moneda_externaColumna_título_etiqueta_4</f>
        <v>GBP</v>
      </c>
      <c r="F22" s="193" t="str">
        <f>Moneda_externaColumna_título_etiqueta_5</f>
        <v>COP</v>
      </c>
      <c r="G22" s="193" t="str">
        <f>Moneda_externaColumna_título_etiqueta_6</f>
        <v>% Moneda extranjera</v>
      </c>
    </row>
    <row r="23" spans="1:11">
      <c r="A23" s="118">
        <v>37072</v>
      </c>
      <c r="B23" s="204">
        <v>0.77378405721348376</v>
      </c>
      <c r="C23" s="204">
        <v>0.17429192431260543</v>
      </c>
      <c r="D23" s="204">
        <v>5.1924018473910843E-2</v>
      </c>
      <c r="E23" s="204">
        <v>0</v>
      </c>
      <c r="F23" s="204">
        <v>0</v>
      </c>
      <c r="G23" s="205">
        <v>1</v>
      </c>
    </row>
    <row r="24" spans="1:11">
      <c r="A24" s="118">
        <v>37103</v>
      </c>
      <c r="B24" s="204">
        <v>0.7961103448610205</v>
      </c>
      <c r="C24" s="204">
        <v>0.15298587056379578</v>
      </c>
      <c r="D24" s="204">
        <v>5.0903784575183672E-2</v>
      </c>
      <c r="E24" s="204">
        <v>0</v>
      </c>
      <c r="F24" s="204">
        <v>0</v>
      </c>
      <c r="G24" s="205">
        <v>1</v>
      </c>
    </row>
    <row r="25" spans="1:11">
      <c r="A25" s="118">
        <v>37134</v>
      </c>
      <c r="B25" s="204">
        <v>0.79581335516313878</v>
      </c>
      <c r="C25" s="204">
        <v>0.15319845632089815</v>
      </c>
      <c r="D25" s="204">
        <v>5.0988188515963047E-2</v>
      </c>
      <c r="E25" s="204">
        <v>0</v>
      </c>
      <c r="F25" s="204">
        <v>0</v>
      </c>
      <c r="G25" s="205">
        <v>1</v>
      </c>
    </row>
    <row r="26" spans="1:11">
      <c r="A26" s="118">
        <v>37164</v>
      </c>
      <c r="B26" s="204">
        <v>0.79596942026194017</v>
      </c>
      <c r="C26" s="204">
        <v>0.15276535589302048</v>
      </c>
      <c r="D26" s="204">
        <v>5.1265223845039433E-2</v>
      </c>
      <c r="E26" s="204">
        <v>0</v>
      </c>
      <c r="F26" s="204">
        <v>0</v>
      </c>
      <c r="G26" s="205">
        <v>1</v>
      </c>
    </row>
    <row r="27" spans="1:11">
      <c r="A27" s="118">
        <v>37195</v>
      </c>
      <c r="B27" s="204">
        <v>0.798086809883371</v>
      </c>
      <c r="C27" s="204">
        <v>0.15182653791413023</v>
      </c>
      <c r="D27" s="204">
        <v>5.0086652202498742E-2</v>
      </c>
      <c r="E27" s="204">
        <v>0</v>
      </c>
      <c r="F27" s="204">
        <v>0</v>
      </c>
      <c r="G27" s="205">
        <v>1</v>
      </c>
    </row>
    <row r="28" spans="1:11">
      <c r="A28" s="118">
        <v>37225</v>
      </c>
      <c r="B28" s="204">
        <v>0.80257166458802509</v>
      </c>
      <c r="C28" s="204">
        <v>0.14836658394084123</v>
      </c>
      <c r="D28" s="204">
        <v>4.9061751471133667E-2</v>
      </c>
      <c r="E28" s="204">
        <v>0</v>
      </c>
      <c r="F28" s="204">
        <v>0</v>
      </c>
      <c r="G28" s="205">
        <v>1</v>
      </c>
    </row>
    <row r="29" spans="1:11">
      <c r="A29" s="118">
        <v>37256</v>
      </c>
      <c r="B29" s="204">
        <v>0.81327150288348482</v>
      </c>
      <c r="C29" s="204">
        <v>0.14285497569889199</v>
      </c>
      <c r="D29" s="204">
        <v>4.3873521417623185E-2</v>
      </c>
      <c r="E29" s="204">
        <v>0</v>
      </c>
      <c r="F29" s="204">
        <v>0</v>
      </c>
      <c r="G29" s="205">
        <v>1</v>
      </c>
    </row>
    <row r="30" spans="1:11">
      <c r="A30" s="118">
        <v>37287</v>
      </c>
      <c r="B30" s="204">
        <v>0.81902231080108512</v>
      </c>
      <c r="C30" s="204">
        <v>0.13757404639317944</v>
      </c>
      <c r="D30" s="204">
        <v>4.3403642805735485E-2</v>
      </c>
      <c r="E30" s="204">
        <v>0</v>
      </c>
      <c r="F30" s="204">
        <v>0</v>
      </c>
      <c r="G30" s="205">
        <v>1</v>
      </c>
    </row>
    <row r="31" spans="1:11">
      <c r="A31" s="118">
        <v>37315</v>
      </c>
      <c r="B31" s="204">
        <v>0.82743107868820254</v>
      </c>
      <c r="C31" s="204">
        <v>0.13143693027578782</v>
      </c>
      <c r="D31" s="204">
        <v>4.1131991036009695E-2</v>
      </c>
      <c r="E31" s="204">
        <v>0</v>
      </c>
      <c r="F31" s="204">
        <v>0</v>
      </c>
      <c r="G31" s="205">
        <v>1</v>
      </c>
    </row>
    <row r="32" spans="1:11">
      <c r="A32" s="118">
        <v>37346</v>
      </c>
      <c r="B32" s="204">
        <v>0.83489987104269558</v>
      </c>
      <c r="C32" s="204">
        <v>0.12330497772777474</v>
      </c>
      <c r="D32" s="204">
        <v>4.179515122952962E-2</v>
      </c>
      <c r="E32" s="204">
        <v>0</v>
      </c>
      <c r="F32" s="204">
        <v>0</v>
      </c>
      <c r="G32" s="205">
        <v>1</v>
      </c>
    </row>
    <row r="33" spans="1:7">
      <c r="A33" s="118">
        <v>37376</v>
      </c>
      <c r="B33" s="204">
        <v>0.83068442809047371</v>
      </c>
      <c r="C33" s="204">
        <v>0.12644344177015773</v>
      </c>
      <c r="D33" s="204">
        <v>4.2872130139368615E-2</v>
      </c>
      <c r="E33" s="204">
        <v>0</v>
      </c>
      <c r="F33" s="204">
        <v>0</v>
      </c>
      <c r="G33" s="205">
        <v>1</v>
      </c>
    </row>
    <row r="34" spans="1:7">
      <c r="A34" s="118">
        <v>37407</v>
      </c>
      <c r="B34" s="204">
        <v>0.82665649327144342</v>
      </c>
      <c r="C34" s="204">
        <v>0.12955289398128586</v>
      </c>
      <c r="D34" s="204">
        <v>4.3790612747270641E-2</v>
      </c>
      <c r="E34" s="204">
        <v>0</v>
      </c>
      <c r="F34" s="204">
        <v>0</v>
      </c>
      <c r="G34" s="205">
        <v>1</v>
      </c>
    </row>
    <row r="35" spans="1:7">
      <c r="A35" s="118">
        <v>37437</v>
      </c>
      <c r="B35" s="204">
        <v>0.81709497220910099</v>
      </c>
      <c r="C35" s="204">
        <v>0.13691462021523623</v>
      </c>
      <c r="D35" s="204">
        <v>4.5990407575662903E-2</v>
      </c>
      <c r="E35" s="204">
        <v>0</v>
      </c>
      <c r="F35" s="204">
        <v>0</v>
      </c>
      <c r="G35" s="205">
        <v>1</v>
      </c>
    </row>
    <row r="36" spans="1:7">
      <c r="A36" s="118">
        <v>37468</v>
      </c>
      <c r="B36" s="204">
        <v>0.82236367452923553</v>
      </c>
      <c r="C36" s="204">
        <v>0.13381471256423133</v>
      </c>
      <c r="D36" s="204">
        <v>4.3821612906533011E-2</v>
      </c>
      <c r="E36" s="204">
        <v>0</v>
      </c>
      <c r="F36" s="204">
        <v>0</v>
      </c>
      <c r="G36" s="205">
        <v>1</v>
      </c>
    </row>
    <row r="37" spans="1:7">
      <c r="A37" s="118">
        <v>37499</v>
      </c>
      <c r="B37" s="204">
        <v>0.82209212313931157</v>
      </c>
      <c r="C37" s="204">
        <v>0.13396000308588693</v>
      </c>
      <c r="D37" s="204">
        <v>4.394787377480152E-2</v>
      </c>
      <c r="E37" s="204">
        <v>0</v>
      </c>
      <c r="F37" s="204">
        <v>0</v>
      </c>
      <c r="G37" s="205">
        <v>1</v>
      </c>
    </row>
    <row r="38" spans="1:7">
      <c r="A38" s="118">
        <v>37529</v>
      </c>
      <c r="B38" s="204">
        <v>0.82401822614719422</v>
      </c>
      <c r="C38" s="204">
        <v>0.13368833645052286</v>
      </c>
      <c r="D38" s="204">
        <v>4.2293437402283134E-2</v>
      </c>
      <c r="E38" s="204">
        <v>0</v>
      </c>
      <c r="F38" s="204">
        <v>0</v>
      </c>
      <c r="G38" s="205">
        <v>1</v>
      </c>
    </row>
    <row r="39" spans="1:7">
      <c r="A39" s="118">
        <v>37560</v>
      </c>
      <c r="B39" s="204">
        <v>0.82273861231864942</v>
      </c>
      <c r="C39" s="204">
        <v>0.12610515711168216</v>
      </c>
      <c r="D39" s="204">
        <v>5.1156230569668247E-2</v>
      </c>
      <c r="E39" s="204">
        <v>0</v>
      </c>
      <c r="F39" s="204">
        <v>0</v>
      </c>
      <c r="G39" s="205">
        <v>1</v>
      </c>
    </row>
    <row r="40" spans="1:7">
      <c r="A40" s="118">
        <v>37590</v>
      </c>
      <c r="B40" s="204">
        <v>0.82320199862055277</v>
      </c>
      <c r="C40" s="204">
        <v>0.13468307062403831</v>
      </c>
      <c r="D40" s="204">
        <v>4.2114930755409015E-2</v>
      </c>
      <c r="E40" s="204">
        <v>0</v>
      </c>
      <c r="F40" s="204">
        <v>0</v>
      </c>
      <c r="G40" s="205">
        <v>1</v>
      </c>
    </row>
    <row r="41" spans="1:7">
      <c r="A41" s="118">
        <v>37621</v>
      </c>
      <c r="B41" s="204">
        <v>0.81788426791474034</v>
      </c>
      <c r="C41" s="204">
        <v>0.13959920738134929</v>
      </c>
      <c r="D41" s="204">
        <v>4.2516524703910527E-2</v>
      </c>
      <c r="E41" s="204">
        <v>0</v>
      </c>
      <c r="F41" s="204">
        <v>0</v>
      </c>
      <c r="G41" s="205">
        <v>1</v>
      </c>
    </row>
    <row r="42" spans="1:7">
      <c r="A42" s="118">
        <v>37652</v>
      </c>
      <c r="B42" s="204">
        <v>0.82447639377449711</v>
      </c>
      <c r="C42" s="204">
        <v>0.1355768823252623</v>
      </c>
      <c r="D42" s="204">
        <v>3.9946723900240615E-2</v>
      </c>
      <c r="E42" s="204">
        <v>0</v>
      </c>
      <c r="F42" s="204">
        <v>0</v>
      </c>
      <c r="G42" s="205">
        <v>1</v>
      </c>
    </row>
    <row r="43" spans="1:7">
      <c r="A43" s="118">
        <v>37680</v>
      </c>
      <c r="B43" s="204">
        <v>0.8233703484870265</v>
      </c>
      <c r="C43" s="204">
        <v>0.13611094128307713</v>
      </c>
      <c r="D43" s="204">
        <v>4.0518710229896532E-2</v>
      </c>
      <c r="E43" s="204">
        <v>0</v>
      </c>
      <c r="F43" s="204">
        <v>0</v>
      </c>
      <c r="G43" s="205">
        <v>1</v>
      </c>
    </row>
    <row r="44" spans="1:7">
      <c r="A44" s="118">
        <v>37711</v>
      </c>
      <c r="B44" s="204">
        <v>0.82340441025063049</v>
      </c>
      <c r="C44" s="204">
        <v>0.13691602540991338</v>
      </c>
      <c r="D44" s="204">
        <v>3.9679564339456103E-2</v>
      </c>
      <c r="E44" s="204">
        <v>0</v>
      </c>
      <c r="F44" s="204">
        <v>0</v>
      </c>
      <c r="G44" s="205">
        <v>1</v>
      </c>
    </row>
    <row r="45" spans="1:7">
      <c r="A45" s="118">
        <v>37741</v>
      </c>
      <c r="B45" s="204">
        <v>0.83014018748585217</v>
      </c>
      <c r="C45" s="204">
        <v>0.13253806683303862</v>
      </c>
      <c r="D45" s="204">
        <v>3.7321745681109117E-2</v>
      </c>
      <c r="E45" s="204">
        <v>0</v>
      </c>
      <c r="F45" s="204">
        <v>0</v>
      </c>
      <c r="G45" s="205">
        <v>1</v>
      </c>
    </row>
    <row r="46" spans="1:7">
      <c r="A46" s="118">
        <v>37772</v>
      </c>
      <c r="B46" s="204">
        <v>0.82342343686959008</v>
      </c>
      <c r="C46" s="204">
        <v>0.13899716244694274</v>
      </c>
      <c r="D46" s="204">
        <v>3.7579400683467171E-2</v>
      </c>
      <c r="E46" s="204">
        <v>0</v>
      </c>
      <c r="F46" s="204">
        <v>0</v>
      </c>
      <c r="G46" s="205">
        <v>1</v>
      </c>
    </row>
    <row r="47" spans="1:7">
      <c r="A47" s="118">
        <v>37802</v>
      </c>
      <c r="B47" s="204">
        <v>0.82122073553474784</v>
      </c>
      <c r="C47" s="204">
        <v>0.13996713125464869</v>
      </c>
      <c r="D47" s="204">
        <v>3.8812133210603533E-2</v>
      </c>
      <c r="E47" s="204">
        <v>0</v>
      </c>
      <c r="F47" s="204">
        <v>0</v>
      </c>
      <c r="G47" s="205">
        <v>1</v>
      </c>
    </row>
    <row r="48" spans="1:7">
      <c r="A48" s="118">
        <v>37833</v>
      </c>
      <c r="B48" s="204">
        <v>0.82973725175221469</v>
      </c>
      <c r="C48" s="204">
        <v>0.13714392068685247</v>
      </c>
      <c r="D48" s="204">
        <v>3.3118827560932922E-2</v>
      </c>
      <c r="E48" s="204">
        <v>0</v>
      </c>
      <c r="F48" s="204">
        <v>0</v>
      </c>
      <c r="G48" s="205">
        <v>1</v>
      </c>
    </row>
    <row r="49" spans="1:7">
      <c r="A49" s="118">
        <v>37864</v>
      </c>
      <c r="B49" s="204">
        <v>0.83461435105441995</v>
      </c>
      <c r="C49" s="204">
        <v>0.13188286630243495</v>
      </c>
      <c r="D49" s="204">
        <v>3.3502782643145192E-2</v>
      </c>
      <c r="E49" s="204">
        <v>0</v>
      </c>
      <c r="F49" s="204">
        <v>0</v>
      </c>
      <c r="G49" s="205">
        <v>1</v>
      </c>
    </row>
    <row r="50" spans="1:7">
      <c r="A50" s="118">
        <v>37894</v>
      </c>
      <c r="B50" s="204">
        <v>0.83080376607262263</v>
      </c>
      <c r="C50" s="204">
        <v>0.13536676280411297</v>
      </c>
      <c r="D50" s="204">
        <v>3.382947112326444E-2</v>
      </c>
      <c r="E50" s="204">
        <v>0</v>
      </c>
      <c r="F50" s="204">
        <v>0</v>
      </c>
      <c r="G50" s="205">
        <v>1</v>
      </c>
    </row>
    <row r="51" spans="1:7">
      <c r="A51" s="118">
        <v>37925</v>
      </c>
      <c r="B51" s="204">
        <v>0.83209228668290791</v>
      </c>
      <c r="C51" s="204">
        <v>0.13365257949886858</v>
      </c>
      <c r="D51" s="204">
        <v>3.4255133818223454E-2</v>
      </c>
      <c r="E51" s="204">
        <v>0</v>
      </c>
      <c r="F51" s="204">
        <v>0</v>
      </c>
      <c r="G51" s="205">
        <v>1</v>
      </c>
    </row>
    <row r="52" spans="1:7">
      <c r="A52" s="118">
        <v>37955</v>
      </c>
      <c r="B52" s="204">
        <v>0.83105861573664919</v>
      </c>
      <c r="C52" s="204">
        <v>0.13508995538759236</v>
      </c>
      <c r="D52" s="204">
        <v>3.3851428875758482E-2</v>
      </c>
      <c r="E52" s="204">
        <v>0</v>
      </c>
      <c r="F52" s="204">
        <v>0</v>
      </c>
      <c r="G52" s="205">
        <v>1</v>
      </c>
    </row>
    <row r="53" spans="1:7">
      <c r="A53" s="118">
        <v>37986</v>
      </c>
      <c r="B53" s="204">
        <v>0.82665348933095228</v>
      </c>
      <c r="C53" s="204">
        <v>0.13939425443511316</v>
      </c>
      <c r="D53" s="204">
        <v>3.3952256233934351E-2</v>
      </c>
      <c r="E53" s="204">
        <v>0</v>
      </c>
      <c r="F53" s="204">
        <v>0</v>
      </c>
      <c r="G53" s="205">
        <v>1</v>
      </c>
    </row>
    <row r="54" spans="1:7">
      <c r="A54" s="118">
        <v>38017</v>
      </c>
      <c r="B54" s="204">
        <v>0.83150648812439432</v>
      </c>
      <c r="C54" s="204">
        <v>0.1264605102868098</v>
      </c>
      <c r="D54" s="204">
        <v>3.3284131475784344E-2</v>
      </c>
      <c r="E54" s="204">
        <v>8.7488701130115226E-3</v>
      </c>
      <c r="F54" s="204">
        <v>0</v>
      </c>
      <c r="G54" s="206">
        <v>1</v>
      </c>
    </row>
    <row r="55" spans="1:7">
      <c r="A55" s="118">
        <v>38046</v>
      </c>
      <c r="B55" s="204">
        <v>0.83200544132595844</v>
      </c>
      <c r="C55" s="204">
        <v>0.12665379908961408</v>
      </c>
      <c r="D55" s="204">
        <v>3.2359470994056165E-2</v>
      </c>
      <c r="E55" s="204">
        <v>8.9812885903712593E-3</v>
      </c>
      <c r="F55" s="204">
        <v>0</v>
      </c>
      <c r="G55" s="205">
        <v>1</v>
      </c>
    </row>
    <row r="56" spans="1:7">
      <c r="A56" s="118">
        <v>38077</v>
      </c>
      <c r="B56" s="204">
        <v>0.82363627856113741</v>
      </c>
      <c r="C56" s="204">
        <v>0.13393369067632738</v>
      </c>
      <c r="D56" s="204">
        <v>3.3474248642394816E-2</v>
      </c>
      <c r="E56" s="204">
        <v>8.9557821201403983E-3</v>
      </c>
      <c r="F56" s="204">
        <v>0</v>
      </c>
      <c r="G56" s="205">
        <v>1</v>
      </c>
    </row>
    <row r="57" spans="1:7">
      <c r="A57" s="118">
        <v>38107</v>
      </c>
      <c r="B57" s="204">
        <v>0.82875171779764101</v>
      </c>
      <c r="C57" s="204">
        <v>0.1306169922378097</v>
      </c>
      <c r="D57" s="204">
        <v>3.1978969363350859E-2</v>
      </c>
      <c r="E57" s="204">
        <v>8.6523206011984884E-3</v>
      </c>
      <c r="F57" s="204">
        <v>0</v>
      </c>
      <c r="G57" s="205">
        <v>1</v>
      </c>
    </row>
    <row r="58" spans="1:7">
      <c r="A58" s="118">
        <v>38138</v>
      </c>
      <c r="B58" s="204">
        <v>0.82674216366209596</v>
      </c>
      <c r="C58" s="204">
        <v>0.13252138643010999</v>
      </c>
      <c r="D58" s="204">
        <v>3.1840463571906202E-2</v>
      </c>
      <c r="E58" s="204">
        <v>8.8959863358880065E-3</v>
      </c>
      <c r="F58" s="204">
        <v>0</v>
      </c>
      <c r="G58" s="205">
        <v>1</v>
      </c>
    </row>
    <row r="59" spans="1:7">
      <c r="A59" s="118">
        <v>38168</v>
      </c>
      <c r="B59" s="204">
        <v>0.82888958048498296</v>
      </c>
      <c r="C59" s="204">
        <v>0.13075840982260928</v>
      </c>
      <c r="D59" s="204">
        <v>3.1632037420460724E-2</v>
      </c>
      <c r="E59" s="204">
        <v>8.7199722719470164E-3</v>
      </c>
      <c r="F59" s="204">
        <v>0</v>
      </c>
      <c r="G59" s="205">
        <v>1</v>
      </c>
    </row>
    <row r="60" spans="1:7">
      <c r="A60" s="118">
        <v>38199</v>
      </c>
      <c r="B60" s="204">
        <v>0.84412610027557355</v>
      </c>
      <c r="C60" s="204">
        <v>0.12942448482013227</v>
      </c>
      <c r="D60" s="204">
        <v>1.7642989052270238E-2</v>
      </c>
      <c r="E60" s="204">
        <v>8.8064258520239112E-3</v>
      </c>
      <c r="F60" s="204">
        <v>0</v>
      </c>
      <c r="G60" s="205">
        <v>1</v>
      </c>
    </row>
    <row r="61" spans="1:7">
      <c r="A61" s="118">
        <v>38230</v>
      </c>
      <c r="B61" s="204">
        <v>0.84357185127149359</v>
      </c>
      <c r="C61" s="204">
        <v>0.13016308618634728</v>
      </c>
      <c r="D61" s="204">
        <v>1.7585023845782574E-2</v>
      </c>
      <c r="E61" s="204">
        <v>8.6800386963767125E-3</v>
      </c>
      <c r="F61" s="204">
        <v>0</v>
      </c>
      <c r="G61" s="205">
        <v>1</v>
      </c>
    </row>
    <row r="62" spans="1:7">
      <c r="A62" s="118">
        <v>38260</v>
      </c>
      <c r="B62" s="204">
        <v>0.84528690290779729</v>
      </c>
      <c r="C62" s="204">
        <v>0.12954666136870574</v>
      </c>
      <c r="D62" s="204">
        <v>1.6637779742756952E-2</v>
      </c>
      <c r="E62" s="204">
        <v>8.5286559807399558E-3</v>
      </c>
      <c r="F62" s="204">
        <v>0</v>
      </c>
      <c r="G62" s="205">
        <v>1</v>
      </c>
    </row>
    <row r="63" spans="1:7">
      <c r="A63" s="118">
        <v>38291</v>
      </c>
      <c r="B63" s="204">
        <v>0.85068451968238334</v>
      </c>
      <c r="C63" s="204">
        <v>0.12506895115708791</v>
      </c>
      <c r="D63" s="204">
        <v>1.6142189247132597E-2</v>
      </c>
      <c r="E63" s="204">
        <v>8.104339913396123E-3</v>
      </c>
      <c r="F63" s="204">
        <v>0</v>
      </c>
      <c r="G63" s="205">
        <v>1</v>
      </c>
    </row>
    <row r="64" spans="1:7">
      <c r="A64" s="118">
        <v>38321</v>
      </c>
      <c r="B64" s="204">
        <v>0.82397390511192103</v>
      </c>
      <c r="C64" s="204">
        <v>0.13280396032387629</v>
      </c>
      <c r="D64" s="204">
        <v>1.7129038725122295E-2</v>
      </c>
      <c r="E64" s="204">
        <v>8.6415467922688251E-3</v>
      </c>
      <c r="F64" s="204">
        <v>1.7451549046811791E-2</v>
      </c>
      <c r="G64" s="205">
        <v>0.98254845095318843</v>
      </c>
    </row>
    <row r="65" spans="1:7">
      <c r="A65" s="118">
        <v>38352</v>
      </c>
      <c r="B65" s="204">
        <v>0.82264929376645202</v>
      </c>
      <c r="C65" s="204">
        <v>0.13402870626388141</v>
      </c>
      <c r="D65" s="204">
        <v>1.6834503540872667E-2</v>
      </c>
      <c r="E65" s="204">
        <v>8.6090726549893516E-3</v>
      </c>
      <c r="F65" s="204">
        <v>1.7878423773804792E-2</v>
      </c>
      <c r="G65" s="205">
        <v>0.98212157622619545</v>
      </c>
    </row>
    <row r="66" spans="1:7">
      <c r="A66" s="118">
        <v>38383</v>
      </c>
      <c r="B66" s="204">
        <v>0.82268998058702747</v>
      </c>
      <c r="C66" s="204">
        <v>0.1289024436520769</v>
      </c>
      <c r="D66" s="204">
        <v>1.62753799898766E-2</v>
      </c>
      <c r="E66" s="204">
        <v>8.4541309924032939E-3</v>
      </c>
      <c r="F66" s="204">
        <v>2.3678064778615955E-2</v>
      </c>
      <c r="G66" s="205">
        <v>0.97632193522138433</v>
      </c>
    </row>
    <row r="67" spans="1:7">
      <c r="A67" s="118">
        <v>38411</v>
      </c>
      <c r="B67" s="204">
        <v>0.80875769703436728</v>
      </c>
      <c r="C67" s="204">
        <v>0.12884677067685918</v>
      </c>
      <c r="D67" s="204">
        <v>1.5703678238356659E-2</v>
      </c>
      <c r="E67" s="204">
        <v>8.5097539933415341E-3</v>
      </c>
      <c r="F67" s="204">
        <v>3.8182100057075563E-2</v>
      </c>
      <c r="G67" s="205">
        <v>0.96181789994292466</v>
      </c>
    </row>
    <row r="68" spans="1:7">
      <c r="A68" s="118">
        <v>38442</v>
      </c>
      <c r="B68" s="204">
        <v>0.81176621311690789</v>
      </c>
      <c r="C68" s="204">
        <v>0.1268605606330156</v>
      </c>
      <c r="D68" s="204">
        <v>1.5286130366414147E-2</v>
      </c>
      <c r="E68" s="204">
        <v>8.4315028827272667E-3</v>
      </c>
      <c r="F68" s="204">
        <v>3.765559300093501E-2</v>
      </c>
      <c r="G68" s="205">
        <v>0.96234440699906487</v>
      </c>
    </row>
    <row r="69" spans="1:7">
      <c r="A69" s="118">
        <v>38472</v>
      </c>
      <c r="B69" s="204">
        <v>0.79995046941422154</v>
      </c>
      <c r="C69" s="204">
        <v>0.13418647957607305</v>
      </c>
      <c r="D69" s="204">
        <v>1.6298625273507176E-2</v>
      </c>
      <c r="E69" s="204">
        <v>9.0612452954536328E-3</v>
      </c>
      <c r="F69" s="204">
        <v>4.0503180440744697E-2</v>
      </c>
      <c r="G69" s="205">
        <v>0.95949681955925548</v>
      </c>
    </row>
    <row r="70" spans="1:7">
      <c r="A70" s="118">
        <v>38503</v>
      </c>
      <c r="B70" s="204">
        <v>0.80727530110881007</v>
      </c>
      <c r="C70" s="204">
        <v>0.12730556520008582</v>
      </c>
      <c r="D70" s="204">
        <v>1.6061114476116158E-2</v>
      </c>
      <c r="E70" s="204">
        <v>8.6343915359978415E-3</v>
      </c>
      <c r="F70" s="204">
        <v>4.0723627678990029E-2</v>
      </c>
      <c r="G70" s="205">
        <v>0.95927637232100993</v>
      </c>
    </row>
    <row r="71" spans="1:7">
      <c r="A71" s="118">
        <v>38533</v>
      </c>
      <c r="B71" s="204">
        <v>0.81905669857601904</v>
      </c>
      <c r="C71" s="204">
        <v>0.1138317102715713</v>
      </c>
      <c r="D71" s="204">
        <v>1.6235050136491246E-2</v>
      </c>
      <c r="E71" s="204">
        <v>8.773745085081058E-3</v>
      </c>
      <c r="F71" s="204">
        <v>4.2102795930837419E-2</v>
      </c>
      <c r="G71" s="205">
        <v>0.95789720406916279</v>
      </c>
    </row>
    <row r="72" spans="1:7">
      <c r="A72" s="118">
        <v>38564</v>
      </c>
      <c r="B72" s="204">
        <v>0.82047103831550872</v>
      </c>
      <c r="C72" s="204">
        <v>0.11446058162212261</v>
      </c>
      <c r="D72" s="204">
        <v>1.513881160611729E-2</v>
      </c>
      <c r="E72" s="204">
        <v>8.4047235702436225E-3</v>
      </c>
      <c r="F72" s="204">
        <v>4.1524844886007578E-2</v>
      </c>
      <c r="G72" s="205">
        <v>0.95847515511399217</v>
      </c>
    </row>
    <row r="73" spans="1:7">
      <c r="A73" s="118">
        <v>38595</v>
      </c>
      <c r="B73" s="204">
        <v>0.8133332359408374</v>
      </c>
      <c r="C73" s="204">
        <v>0.12232933178315061</v>
      </c>
      <c r="D73" s="204">
        <v>1.4872400217576501E-2</v>
      </c>
      <c r="E73" s="204">
        <v>8.4956707561735911E-3</v>
      </c>
      <c r="F73" s="204">
        <v>4.096936130226176E-2</v>
      </c>
      <c r="G73" s="205">
        <v>0.95903063869773819</v>
      </c>
    </row>
    <row r="74" spans="1:7">
      <c r="A74" s="118">
        <v>38625</v>
      </c>
      <c r="B74" s="204">
        <v>0.82686501995007067</v>
      </c>
      <c r="C74" s="204">
        <v>0.10682074307214399</v>
      </c>
      <c r="D74" s="204">
        <v>1.494351532442224E-2</v>
      </c>
      <c r="E74" s="204">
        <v>8.6318988660898186E-3</v>
      </c>
      <c r="F74" s="204">
        <v>4.2738822787273124E-2</v>
      </c>
      <c r="G74" s="205">
        <v>0.95726117721272674</v>
      </c>
    </row>
    <row r="75" spans="1:7">
      <c r="A75" s="118">
        <v>38656</v>
      </c>
      <c r="B75" s="204">
        <v>0.84701250425610708</v>
      </c>
      <c r="C75" s="204">
        <v>8.6126638168717767E-2</v>
      </c>
      <c r="D75" s="204">
        <v>1.4752109416837288E-2</v>
      </c>
      <c r="E75" s="204">
        <v>8.7590773603401107E-3</v>
      </c>
      <c r="F75" s="204">
        <v>4.3349670797997862E-2</v>
      </c>
      <c r="G75" s="205">
        <v>0.95665032920200221</v>
      </c>
    </row>
    <row r="76" spans="1:7">
      <c r="A76" s="118">
        <v>38686</v>
      </c>
      <c r="B76" s="204">
        <v>0.84652789019438779</v>
      </c>
      <c r="C76" s="204">
        <v>8.4175297039033259E-2</v>
      </c>
      <c r="D76" s="204">
        <v>1.4486596692167003E-2</v>
      </c>
      <c r="E76" s="204">
        <v>8.5782415727666903E-3</v>
      </c>
      <c r="F76" s="204">
        <v>4.6231974501645345E-2</v>
      </c>
      <c r="G76" s="205">
        <v>0.95376802549835471</v>
      </c>
    </row>
    <row r="77" spans="1:7">
      <c r="A77" s="118">
        <v>38717</v>
      </c>
      <c r="B77" s="204">
        <v>0.82631056070813147</v>
      </c>
      <c r="C77" s="204">
        <v>8.1159281120957188E-2</v>
      </c>
      <c r="D77" s="204">
        <v>2.3060067153521761E-2</v>
      </c>
      <c r="E77" s="204">
        <v>8.2480148252721559E-3</v>
      </c>
      <c r="F77" s="204">
        <v>6.1222076192117413E-2</v>
      </c>
      <c r="G77" s="205">
        <v>0.9387779238078825</v>
      </c>
    </row>
    <row r="78" spans="1:7">
      <c r="A78" s="118">
        <v>38748</v>
      </c>
      <c r="B78" s="204">
        <v>0.81432068909359701</v>
      </c>
      <c r="C78" s="204">
        <v>8.2850907022134768E-2</v>
      </c>
      <c r="D78" s="204">
        <v>2.2780634972924537E-2</v>
      </c>
      <c r="E78" s="204">
        <v>8.529366455707562E-3</v>
      </c>
      <c r="F78" s="204">
        <v>7.1518402455636162E-2</v>
      </c>
      <c r="G78" s="205">
        <v>0.92848159754436388</v>
      </c>
    </row>
    <row r="79" spans="1:7">
      <c r="A79" s="118">
        <v>38776</v>
      </c>
      <c r="B79" s="204">
        <v>0.81551288886561735</v>
      </c>
      <c r="C79" s="204">
        <v>8.1331670591843264E-2</v>
      </c>
      <c r="D79" s="204">
        <v>2.2678376200759499E-2</v>
      </c>
      <c r="E79" s="204">
        <v>8.416130429115886E-3</v>
      </c>
      <c r="F79" s="204">
        <v>7.2060933912664063E-2</v>
      </c>
      <c r="G79" s="205">
        <v>0.92793906608733601</v>
      </c>
    </row>
    <row r="80" spans="1:7">
      <c r="A80" s="118">
        <v>38807</v>
      </c>
      <c r="B80" s="204">
        <v>0.80571143746814988</v>
      </c>
      <c r="C80" s="204">
        <v>7.7487007204779593E-2</v>
      </c>
      <c r="D80" s="204">
        <v>2.3088253649063133E-2</v>
      </c>
      <c r="E80" s="204">
        <v>8.6518711496178409E-3</v>
      </c>
      <c r="F80" s="204">
        <v>8.5061430528389603E-2</v>
      </c>
      <c r="G80" s="205">
        <v>0.91493856947161045</v>
      </c>
    </row>
    <row r="81" spans="1:7">
      <c r="A81" s="118">
        <v>38837</v>
      </c>
      <c r="B81" s="204">
        <v>0.80499417181527799</v>
      </c>
      <c r="C81" s="204">
        <v>8.0314515152337534E-2</v>
      </c>
      <c r="D81" s="204">
        <v>2.3640289866461245E-2</v>
      </c>
      <c r="E81" s="204">
        <v>9.0589446253136734E-3</v>
      </c>
      <c r="F81" s="204">
        <v>8.1992078540609595E-2</v>
      </c>
      <c r="G81" s="205">
        <v>0.91800792145939047</v>
      </c>
    </row>
    <row r="82" spans="1:7">
      <c r="A82" s="118">
        <v>38868</v>
      </c>
      <c r="B82" s="204">
        <v>0.80734294980386268</v>
      </c>
      <c r="C82" s="204">
        <v>8.0821640930218527E-2</v>
      </c>
      <c r="D82" s="204">
        <v>2.3944219041637148E-2</v>
      </c>
      <c r="E82" s="204">
        <v>9.3366443672680821E-3</v>
      </c>
      <c r="F82" s="204">
        <v>7.85545458570137E-2</v>
      </c>
      <c r="G82" s="205">
        <v>0.9214454541429864</v>
      </c>
    </row>
    <row r="83" spans="1:7">
      <c r="A83" s="118">
        <v>38898</v>
      </c>
      <c r="B83" s="204">
        <v>0.80905506669834304</v>
      </c>
      <c r="C83" s="204">
        <v>8.1827100676997111E-2</v>
      </c>
      <c r="D83" s="204">
        <v>2.3692970480079827E-2</v>
      </c>
      <c r="E83" s="204">
        <v>9.4449528728038721E-3</v>
      </c>
      <c r="F83" s="204">
        <v>7.59799092717761E-2</v>
      </c>
      <c r="G83" s="205">
        <v>0.92402009072822389</v>
      </c>
    </row>
    <row r="84" spans="1:7">
      <c r="A84" s="118">
        <v>38929</v>
      </c>
      <c r="B84" s="204">
        <v>0.81371270877898139</v>
      </c>
      <c r="C84" s="204">
        <v>7.7021519920485046E-2</v>
      </c>
      <c r="D84" s="204">
        <v>2.2012957045108576E-2</v>
      </c>
      <c r="E84" s="204">
        <v>9.0571068971385185E-3</v>
      </c>
      <c r="F84" s="204">
        <v>7.8195707358286459E-2</v>
      </c>
      <c r="G84" s="205">
        <v>0.92180429264171349</v>
      </c>
    </row>
    <row r="85" spans="1:7">
      <c r="A85" s="118">
        <v>38960</v>
      </c>
      <c r="B85" s="204">
        <v>0.80225470036006841</v>
      </c>
      <c r="C85" s="204">
        <v>7.5660118311399682E-2</v>
      </c>
      <c r="D85" s="204">
        <v>2.15020648732882E-2</v>
      </c>
      <c r="E85" s="204">
        <v>9.0176647108650889E-3</v>
      </c>
      <c r="F85" s="204">
        <v>9.1565451744378579E-2</v>
      </c>
      <c r="G85" s="205">
        <v>0.90843454825562131</v>
      </c>
    </row>
    <row r="86" spans="1:7">
      <c r="A86" s="118">
        <v>38990</v>
      </c>
      <c r="B86" s="204">
        <v>0.8057701032374418</v>
      </c>
      <c r="C86" s="204">
        <v>7.2542217244101301E-2</v>
      </c>
      <c r="D86" s="204">
        <v>2.0285446756582622E-2</v>
      </c>
      <c r="E86" s="204">
        <v>8.5510856112569443E-3</v>
      </c>
      <c r="F86" s="204">
        <v>9.2851147150617361E-2</v>
      </c>
      <c r="G86" s="205">
        <v>0.90714885284938263</v>
      </c>
    </row>
    <row r="87" spans="1:7">
      <c r="A87" s="118">
        <v>39021</v>
      </c>
      <c r="B87" s="204">
        <v>0.80466096557400091</v>
      </c>
      <c r="C87" s="204">
        <v>7.1949152286762186E-2</v>
      </c>
      <c r="D87" s="204">
        <v>2.0077426449321721E-2</v>
      </c>
      <c r="E87" s="204">
        <v>8.5986525733581076E-3</v>
      </c>
      <c r="F87" s="204">
        <v>9.4713803116556958E-2</v>
      </c>
      <c r="G87" s="205">
        <v>0.90528619688344292</v>
      </c>
    </row>
    <row r="88" spans="1:7">
      <c r="A88" s="118">
        <v>39051</v>
      </c>
      <c r="B88" s="204">
        <v>0.80531637119805088</v>
      </c>
      <c r="C88" s="204">
        <v>7.1542143529045907E-2</v>
      </c>
      <c r="D88" s="204">
        <v>1.9731130298822862E-2</v>
      </c>
      <c r="E88" s="204">
        <v>8.6193757677004088E-3</v>
      </c>
      <c r="F88" s="204">
        <v>9.4790979206379911E-2</v>
      </c>
      <c r="G88" s="205">
        <v>0.90520902079362009</v>
      </c>
    </row>
    <row r="89" spans="1:7">
      <c r="A89" s="118">
        <v>39082</v>
      </c>
      <c r="B89" s="204">
        <v>0.80928794915954094</v>
      </c>
      <c r="C89" s="204">
        <v>6.8938684842831652E-2</v>
      </c>
      <c r="D89" s="204">
        <v>1.875981824394804E-2</v>
      </c>
      <c r="E89" s="204">
        <v>8.3495593644094587E-3</v>
      </c>
      <c r="F89" s="204">
        <v>9.4663988389269899E-2</v>
      </c>
      <c r="G89" s="205">
        <v>0.90533601161073007</v>
      </c>
    </row>
    <row r="90" spans="1:7">
      <c r="A90" s="118">
        <v>39113</v>
      </c>
      <c r="B90" s="204">
        <v>0.81115224436369815</v>
      </c>
      <c r="C90" s="204">
        <v>6.7983148792385623E-2</v>
      </c>
      <c r="D90" s="204">
        <v>1.8146452707496104E-2</v>
      </c>
      <c r="E90" s="204">
        <v>8.3931587134961506E-3</v>
      </c>
      <c r="F90" s="204">
        <v>9.4324995422923885E-2</v>
      </c>
      <c r="G90" s="205">
        <v>0.90567500457707606</v>
      </c>
    </row>
    <row r="91" spans="1:7">
      <c r="A91" s="118">
        <v>39141</v>
      </c>
      <c r="B91" s="204">
        <v>0.80560977746426699</v>
      </c>
      <c r="C91" s="204">
        <v>6.9991284299438059E-2</v>
      </c>
      <c r="D91" s="204">
        <v>1.849196373923755E-2</v>
      </c>
      <c r="E91" s="204">
        <v>8.5215676315591685E-3</v>
      </c>
      <c r="F91" s="204">
        <v>9.7385406865498222E-2</v>
      </c>
      <c r="G91" s="205">
        <v>0.90261459313450176</v>
      </c>
    </row>
    <row r="92" spans="1:7">
      <c r="A92" s="118">
        <v>39172</v>
      </c>
      <c r="B92" s="204">
        <v>0.80368271643985623</v>
      </c>
      <c r="C92" s="204">
        <v>7.042924950654017E-2</v>
      </c>
      <c r="D92" s="204">
        <v>1.834089942522751E-2</v>
      </c>
      <c r="E92" s="204">
        <v>8.5740682822745481E-3</v>
      </c>
      <c r="F92" s="204">
        <v>9.897306634610159E-2</v>
      </c>
      <c r="G92" s="205">
        <v>0.90102693365389852</v>
      </c>
    </row>
    <row r="93" spans="1:7">
      <c r="A93" s="118">
        <v>39202</v>
      </c>
      <c r="B93" s="204">
        <v>0.79929864709569587</v>
      </c>
      <c r="C93" s="204">
        <v>7.1513873900136443E-2</v>
      </c>
      <c r="D93" s="204">
        <v>1.8208002217787265E-2</v>
      </c>
      <c r="E93" s="204">
        <v>8.6744715474651769E-3</v>
      </c>
      <c r="F93" s="204">
        <v>0.10230500523891521</v>
      </c>
      <c r="G93" s="205">
        <v>0.89769499476108472</v>
      </c>
    </row>
    <row r="94" spans="1:7">
      <c r="A94" s="118">
        <v>39233</v>
      </c>
      <c r="B94" s="204">
        <v>0.79360017057854526</v>
      </c>
      <c r="C94" s="204">
        <v>6.9116210318532365E-2</v>
      </c>
      <c r="D94" s="204">
        <v>1.7799061042092119E-2</v>
      </c>
      <c r="E94" s="204">
        <v>8.5129685631717116E-3</v>
      </c>
      <c r="F94" s="204">
        <v>0.11097158949765856</v>
      </c>
      <c r="G94" s="205">
        <v>0.88902841050234149</v>
      </c>
    </row>
    <row r="95" spans="1:7">
      <c r="A95" s="118">
        <v>39263</v>
      </c>
      <c r="B95" s="204">
        <v>0.75969422064014647</v>
      </c>
      <c r="C95" s="204">
        <v>6.8668414134974223E-2</v>
      </c>
      <c r="D95" s="204">
        <v>1.7203084661558728E-2</v>
      </c>
      <c r="E95" s="204">
        <v>8.5316013296887552E-3</v>
      </c>
      <c r="F95" s="204">
        <v>0.14590267923363198</v>
      </c>
      <c r="G95" s="205">
        <v>0.85409732076636824</v>
      </c>
    </row>
    <row r="96" spans="1:7">
      <c r="A96" s="118">
        <v>39294</v>
      </c>
      <c r="B96" s="204">
        <v>0.75788921431354894</v>
      </c>
      <c r="C96" s="204">
        <v>6.9639137956410788E-2</v>
      </c>
      <c r="D96" s="204">
        <v>1.7204059081419601E-2</v>
      </c>
      <c r="E96" s="204">
        <v>8.7512425413036141E-3</v>
      </c>
      <c r="F96" s="204">
        <v>0.14651634610731712</v>
      </c>
      <c r="G96" s="205">
        <v>0.85348365389268299</v>
      </c>
    </row>
    <row r="97" spans="1:7">
      <c r="A97" s="118">
        <v>39325</v>
      </c>
      <c r="B97" s="204">
        <v>0.76786419386038673</v>
      </c>
      <c r="C97" s="204">
        <v>7.0529239235755797E-2</v>
      </c>
      <c r="D97" s="204">
        <v>1.7966465361072232E-2</v>
      </c>
      <c r="E97" s="204">
        <v>8.787413325570757E-3</v>
      </c>
      <c r="F97" s="204">
        <v>0.13485268821721441</v>
      </c>
      <c r="G97" s="205">
        <v>0.86514731178278559</v>
      </c>
    </row>
    <row r="98" spans="1:7">
      <c r="A98" s="118">
        <v>39355</v>
      </c>
      <c r="B98" s="204">
        <v>0.75924097274449209</v>
      </c>
      <c r="C98" s="204">
        <v>7.1767438078948476E-2</v>
      </c>
      <c r="D98" s="204">
        <v>1.7624073693970593E-2</v>
      </c>
      <c r="E98" s="204">
        <v>8.7461900596469723E-3</v>
      </c>
      <c r="F98" s="204">
        <v>0.14262132542294192</v>
      </c>
      <c r="G98" s="205">
        <v>0.85737867457705808</v>
      </c>
    </row>
    <row r="99" spans="1:7">
      <c r="A99" s="118">
        <v>39386</v>
      </c>
      <c r="B99" s="204">
        <v>0.75582773174729379</v>
      </c>
      <c r="C99" s="204">
        <v>7.2956228179064248E-2</v>
      </c>
      <c r="D99" s="204">
        <v>1.7675431912548844E-2</v>
      </c>
      <c r="E99" s="204">
        <v>8.9312135345425529E-3</v>
      </c>
      <c r="F99" s="204">
        <v>0.14460939462655059</v>
      </c>
      <c r="G99" s="205">
        <v>0.85539060537344935</v>
      </c>
    </row>
    <row r="100" spans="1:7">
      <c r="A100" s="118">
        <v>39416</v>
      </c>
      <c r="B100" s="204">
        <v>0.75894160456109272</v>
      </c>
      <c r="C100" s="204">
        <v>7.344730680535938E-2</v>
      </c>
      <c r="D100" s="204">
        <v>1.8183904298946386E-2</v>
      </c>
      <c r="E100" s="204">
        <v>8.8500842681791727E-3</v>
      </c>
      <c r="F100" s="204">
        <v>0.14057710006642199</v>
      </c>
      <c r="G100" s="205">
        <v>0.85942289993357757</v>
      </c>
    </row>
    <row r="101" spans="1:7">
      <c r="A101" s="118">
        <v>39447</v>
      </c>
      <c r="B101" s="204">
        <v>0.76101370631879806</v>
      </c>
      <c r="C101" s="204">
        <v>7.1778040537603088E-2</v>
      </c>
      <c r="D101" s="204">
        <v>1.7565615713610341E-2</v>
      </c>
      <c r="E101" s="204">
        <v>8.4832685700163436E-3</v>
      </c>
      <c r="F101" s="204">
        <v>0.14115936885997205</v>
      </c>
      <c r="G101" s="205">
        <v>0.85884063114002784</v>
      </c>
    </row>
    <row r="102" spans="1:7">
      <c r="A102" s="118">
        <v>39478</v>
      </c>
      <c r="B102" s="204">
        <v>0.78872172936394425</v>
      </c>
      <c r="C102" s="204">
        <v>4.1357060308128663E-2</v>
      </c>
      <c r="D102" s="204">
        <v>1.7468544844342432E-2</v>
      </c>
      <c r="E102" s="204">
        <v>8.2629224280348582E-3</v>
      </c>
      <c r="F102" s="204">
        <v>0.1441897430555498</v>
      </c>
      <c r="G102" s="205">
        <v>0.85581025694445023</v>
      </c>
    </row>
    <row r="103" spans="1:7">
      <c r="A103" s="118">
        <v>39507</v>
      </c>
      <c r="B103" s="204">
        <v>0.78754518023752274</v>
      </c>
      <c r="C103" s="204">
        <v>4.2263039297191309E-2</v>
      </c>
      <c r="D103" s="204">
        <v>1.8397061657852754E-2</v>
      </c>
      <c r="E103" s="204">
        <v>0</v>
      </c>
      <c r="F103" s="204">
        <v>0.15179471880743323</v>
      </c>
      <c r="G103" s="205">
        <v>0.84820528119256677</v>
      </c>
    </row>
    <row r="104" spans="1:7">
      <c r="A104" s="118">
        <v>39538</v>
      </c>
      <c r="B104" s="204">
        <v>0.7855277759789574</v>
      </c>
      <c r="C104" s="204">
        <v>4.321034240281782E-2</v>
      </c>
      <c r="D104" s="204">
        <v>1.8599787066443867E-2</v>
      </c>
      <c r="E104" s="204">
        <v>0</v>
      </c>
      <c r="F104" s="204">
        <v>0.15266209455178092</v>
      </c>
      <c r="G104" s="205">
        <v>0.84733790544821908</v>
      </c>
    </row>
    <row r="105" spans="1:7">
      <c r="A105" s="118">
        <v>39568</v>
      </c>
      <c r="B105" s="204">
        <v>0.78356113321992216</v>
      </c>
      <c r="C105" s="204">
        <v>4.2541916318460327E-2</v>
      </c>
      <c r="D105" s="204">
        <v>1.8087067740269643E-2</v>
      </c>
      <c r="E105" s="204">
        <v>0</v>
      </c>
      <c r="F105" s="204">
        <v>0.16</v>
      </c>
      <c r="G105" s="205">
        <v>0.84419011727865223</v>
      </c>
    </row>
    <row r="106" spans="1:7">
      <c r="A106" s="118">
        <v>39599</v>
      </c>
      <c r="B106" s="204">
        <v>0.77381022463268356</v>
      </c>
      <c r="C106" s="204">
        <v>4.1476201109958866E-2</v>
      </c>
      <c r="D106" s="204">
        <v>1.7891166333456613E-2</v>
      </c>
      <c r="E106" s="204">
        <v>0</v>
      </c>
      <c r="F106" s="204">
        <v>0.16682240792390099</v>
      </c>
      <c r="G106" s="205">
        <v>0.83317759207609909</v>
      </c>
    </row>
    <row r="107" spans="1:7">
      <c r="A107" s="118">
        <v>39629</v>
      </c>
      <c r="B107" s="204">
        <v>0.77478242094889482</v>
      </c>
      <c r="C107" s="204">
        <v>4.1996374046400796E-2</v>
      </c>
      <c r="D107" s="204">
        <v>1.7675684756879133E-2</v>
      </c>
      <c r="E107" s="204">
        <v>0</v>
      </c>
      <c r="F107" s="204">
        <v>0.16554552024782535</v>
      </c>
      <c r="G107" s="205">
        <v>0.83445447975217468</v>
      </c>
    </row>
    <row r="108" spans="1:7">
      <c r="A108" s="118">
        <v>39660</v>
      </c>
      <c r="B108" s="204">
        <v>0.76794175824484834</v>
      </c>
      <c r="C108" s="204">
        <v>4.0663968048007752E-2</v>
      </c>
      <c r="D108" s="204">
        <v>1.6981391939907664E-2</v>
      </c>
      <c r="E108" s="204">
        <v>0</v>
      </c>
      <c r="F108" s="204">
        <v>0.17441288176723627</v>
      </c>
      <c r="G108" s="205">
        <v>0.82558711823276376</v>
      </c>
    </row>
    <row r="109" spans="1:7">
      <c r="A109" s="118">
        <v>39691</v>
      </c>
      <c r="B109" s="204">
        <v>0.77982667428308372</v>
      </c>
      <c r="C109" s="204">
        <v>3.8915660032483056E-2</v>
      </c>
      <c r="D109" s="204">
        <v>1.6745306091009257E-2</v>
      </c>
      <c r="E109" s="204">
        <v>0</v>
      </c>
      <c r="F109" s="204">
        <v>0.16451235959342397</v>
      </c>
      <c r="G109" s="205">
        <v>0.83548764040657597</v>
      </c>
    </row>
    <row r="110" spans="1:7">
      <c r="A110" s="118">
        <v>39721</v>
      </c>
      <c r="B110" s="204">
        <v>0.79558583781471615</v>
      </c>
      <c r="C110" s="204">
        <v>3.8369484734538127E-2</v>
      </c>
      <c r="D110" s="204">
        <v>1.7299159310479241E-2</v>
      </c>
      <c r="E110" s="204">
        <v>0</v>
      </c>
      <c r="F110" s="204">
        <v>0.14874551814026651</v>
      </c>
      <c r="G110" s="205">
        <v>0.85125448185973351</v>
      </c>
    </row>
    <row r="111" spans="1:7">
      <c r="A111" s="118">
        <v>39752</v>
      </c>
      <c r="B111" s="204">
        <v>0.8114362086894118</v>
      </c>
      <c r="C111" s="204">
        <v>3.512446280082028E-2</v>
      </c>
      <c r="D111" s="204">
        <v>1.7793995468572348E-2</v>
      </c>
      <c r="E111" s="204">
        <v>0</v>
      </c>
      <c r="F111" s="204">
        <v>0.13564533304119547</v>
      </c>
      <c r="G111" s="205">
        <v>0.86435466695880436</v>
      </c>
    </row>
    <row r="112" spans="1:7">
      <c r="A112" s="118">
        <v>39782</v>
      </c>
      <c r="B112" s="204">
        <v>0.81025839364824892</v>
      </c>
      <c r="C112" s="204">
        <v>3.4075647623553258E-2</v>
      </c>
      <c r="D112" s="204">
        <v>1.783863462360686E-2</v>
      </c>
      <c r="E112" s="204">
        <v>0</v>
      </c>
      <c r="F112" s="204">
        <v>0.13782732410459089</v>
      </c>
      <c r="G112" s="205">
        <v>0.86217267589540914</v>
      </c>
    </row>
    <row r="113" spans="1:7">
      <c r="A113" s="118">
        <v>39813</v>
      </c>
      <c r="B113" s="204">
        <v>0.80637799695078938</v>
      </c>
      <c r="C113" s="204">
        <v>3.5966226619006288E-2</v>
      </c>
      <c r="D113" s="204">
        <v>1.8239893508684896E-2</v>
      </c>
      <c r="E113" s="204">
        <v>0</v>
      </c>
      <c r="F113" s="204">
        <v>0.13941588292151949</v>
      </c>
      <c r="G113" s="205">
        <v>0.86058411707848059</v>
      </c>
    </row>
    <row r="114" spans="1:7">
      <c r="A114" s="118">
        <v>39844</v>
      </c>
      <c r="B114" s="204">
        <v>0.82348659776313904</v>
      </c>
      <c r="C114" s="204">
        <v>3.2927633893571485E-2</v>
      </c>
      <c r="D114" s="204">
        <v>1.7775864095447111E-2</v>
      </c>
      <c r="E114" s="204">
        <v>0</v>
      </c>
      <c r="F114" s="204">
        <v>0.12580990424784241</v>
      </c>
      <c r="G114" s="205">
        <v>0.87419009575215756</v>
      </c>
    </row>
    <row r="115" spans="1:7">
      <c r="A115" s="118">
        <v>39872</v>
      </c>
      <c r="B115" s="204">
        <v>0.83020381072239413</v>
      </c>
      <c r="C115" s="204">
        <v>3.274113031590551E-2</v>
      </c>
      <c r="D115" s="204">
        <v>1.6912263665546774E-2</v>
      </c>
      <c r="E115" s="204">
        <v>0</v>
      </c>
      <c r="F115" s="204">
        <v>0.1201427952961536</v>
      </c>
      <c r="G115" s="205">
        <v>0.87985720470384643</v>
      </c>
    </row>
    <row r="116" spans="1:7">
      <c r="A116" s="118">
        <v>39903</v>
      </c>
      <c r="B116" s="204">
        <v>0.83321568184255401</v>
      </c>
      <c r="C116" s="204">
        <v>3.3040612149220036E-2</v>
      </c>
      <c r="D116" s="204">
        <v>1.6424545172733899E-2</v>
      </c>
      <c r="E116" s="204">
        <v>0</v>
      </c>
      <c r="F116" s="204">
        <v>0.117319160835492</v>
      </c>
      <c r="G116" s="205">
        <v>0.88268083916450801</v>
      </c>
    </row>
    <row r="117" spans="1:7">
      <c r="A117" s="118">
        <v>39933</v>
      </c>
      <c r="B117" s="204">
        <v>0.82453736402032007</v>
      </c>
      <c r="C117" s="204">
        <v>3.2046047869491695E-2</v>
      </c>
      <c r="D117" s="204">
        <v>1.5992854006635488E-2</v>
      </c>
      <c r="E117" s="204">
        <v>0</v>
      </c>
      <c r="F117" s="204">
        <v>0.12742373410355265</v>
      </c>
      <c r="G117" s="205">
        <v>0.87257626589644732</v>
      </c>
    </row>
    <row r="118" spans="1:7">
      <c r="A118" s="118">
        <v>39964</v>
      </c>
      <c r="B118" s="204">
        <v>0.8166159046678918</v>
      </c>
      <c r="C118" s="204">
        <v>3.2293445640649336E-2</v>
      </c>
      <c r="D118" s="204">
        <v>1.5686809281028277E-2</v>
      </c>
      <c r="E118" s="204">
        <v>0</v>
      </c>
      <c r="F118" s="204">
        <v>0.13540384041043046</v>
      </c>
      <c r="G118" s="205">
        <v>0.86459615958956937</v>
      </c>
    </row>
    <row r="119" spans="1:7">
      <c r="A119" s="118">
        <v>39994</v>
      </c>
      <c r="B119" s="204">
        <v>0.81803017616122342</v>
      </c>
      <c r="C119" s="204">
        <v>3.1929236595938652E-2</v>
      </c>
      <c r="D119" s="204">
        <v>1.552575909234818E-2</v>
      </c>
      <c r="E119" s="204">
        <v>0</v>
      </c>
      <c r="F119" s="204">
        <v>0.13451482815048973</v>
      </c>
      <c r="G119" s="205">
        <v>0.86548517184951024</v>
      </c>
    </row>
    <row r="120" spans="1:7">
      <c r="A120" s="118">
        <v>40025</v>
      </c>
      <c r="B120" s="204">
        <v>0.81220607565190595</v>
      </c>
      <c r="C120" s="204">
        <v>3.1785427444248678E-2</v>
      </c>
      <c r="D120" s="204">
        <v>1.544041305828161E-2</v>
      </c>
      <c r="E120" s="204">
        <v>0</v>
      </c>
      <c r="F120" s="204">
        <v>0.1405680838455636</v>
      </c>
      <c r="G120" s="205">
        <v>0.85943191615443626</v>
      </c>
    </row>
    <row r="121" spans="1:7">
      <c r="A121" s="118">
        <v>40056</v>
      </c>
      <c r="B121" s="204">
        <v>0.81280474448150153</v>
      </c>
      <c r="C121" s="204">
        <v>3.1818762493885544E-2</v>
      </c>
      <c r="D121" s="204">
        <v>1.5551818339520938E-2</v>
      </c>
      <c r="E121" s="204">
        <v>0</v>
      </c>
      <c r="F121" s="204">
        <v>0.13982467468509205</v>
      </c>
      <c r="G121" s="205">
        <v>0.86017532531490803</v>
      </c>
    </row>
    <row r="122" spans="1:7">
      <c r="A122" s="118">
        <v>40086</v>
      </c>
      <c r="B122" s="204">
        <v>0.80546981341836532</v>
      </c>
      <c r="C122" s="204">
        <v>3.2038814796538403E-2</v>
      </c>
      <c r="D122" s="204">
        <v>1.5791996789000423E-2</v>
      </c>
      <c r="E122" s="204">
        <v>0</v>
      </c>
      <c r="F122" s="204">
        <v>0.146699374996096</v>
      </c>
      <c r="G122" s="205">
        <v>0.85330062500390413</v>
      </c>
    </row>
    <row r="123" spans="1:7">
      <c r="A123" s="118">
        <v>40117</v>
      </c>
      <c r="B123" s="204">
        <v>0.81866607481755083</v>
      </c>
      <c r="C123" s="204">
        <v>3.0931611272830492E-2</v>
      </c>
      <c r="D123" s="204">
        <v>1.5057378730474026E-2</v>
      </c>
      <c r="E123" s="204">
        <v>0</v>
      </c>
      <c r="F123" s="204">
        <v>0.13534493517914473</v>
      </c>
      <c r="G123" s="205">
        <v>0.86465506482085541</v>
      </c>
    </row>
    <row r="124" spans="1:7">
      <c r="A124" s="118">
        <v>40147</v>
      </c>
      <c r="B124" s="204">
        <v>0.80586628030483387</v>
      </c>
      <c r="C124" s="204">
        <v>2.9469723460357804E-2</v>
      </c>
      <c r="D124" s="204">
        <v>3.2742956105797312E-2</v>
      </c>
      <c r="E124" s="204">
        <v>0</v>
      </c>
      <c r="F124" s="204">
        <v>0.13192104012901101</v>
      </c>
      <c r="G124" s="205">
        <v>0.86807895987098904</v>
      </c>
    </row>
    <row r="125" spans="1:7">
      <c r="A125" s="118">
        <v>40178</v>
      </c>
      <c r="B125" s="204">
        <v>0.81460008295995068</v>
      </c>
      <c r="C125" s="204">
        <v>2.7768868421443403E-2</v>
      </c>
      <c r="D125" s="204">
        <v>3.0129362017289843E-2</v>
      </c>
      <c r="E125" s="204">
        <v>0</v>
      </c>
      <c r="F125" s="204">
        <v>0.12750168660131592</v>
      </c>
      <c r="G125" s="205">
        <v>0.872498313398684</v>
      </c>
    </row>
    <row r="126" spans="1:7">
      <c r="A126" s="118">
        <v>40209</v>
      </c>
      <c r="B126" s="204">
        <v>0.81</v>
      </c>
      <c r="C126" s="204">
        <v>0.03</v>
      </c>
      <c r="D126" s="204">
        <v>0.03</v>
      </c>
      <c r="E126" s="204">
        <v>0</v>
      </c>
      <c r="F126" s="204">
        <v>0.13</v>
      </c>
      <c r="G126" s="205">
        <v>0.87</v>
      </c>
    </row>
    <row r="127" spans="1:7">
      <c r="A127" s="118">
        <v>40237</v>
      </c>
      <c r="B127" s="204">
        <v>0.83232263182291433</v>
      </c>
      <c r="C127" s="204">
        <v>2.2500995536002735E-2</v>
      </c>
      <c r="D127" s="204">
        <v>2.7437159391661282E-2</v>
      </c>
      <c r="E127" s="204">
        <v>0</v>
      </c>
      <c r="F127" s="204">
        <v>0.11773921324942165</v>
      </c>
      <c r="G127" s="205">
        <v>0.88226078675057829</v>
      </c>
    </row>
    <row r="128" spans="1:7">
      <c r="A128" s="118">
        <v>40268</v>
      </c>
      <c r="B128" s="204">
        <v>0.8316893927281086</v>
      </c>
      <c r="C128" s="204">
        <v>2.2246962365529428E-2</v>
      </c>
      <c r="D128" s="204">
        <v>2.6957463563041583E-2</v>
      </c>
      <c r="E128" s="204">
        <v>0</v>
      </c>
      <c r="F128" s="204">
        <v>0.11910618134332041</v>
      </c>
      <c r="G128" s="205">
        <v>0.88089381865667971</v>
      </c>
    </row>
    <row r="129" spans="1:12">
      <c r="A129" s="118">
        <v>40298</v>
      </c>
      <c r="B129" s="204">
        <v>0.81758256965716292</v>
      </c>
      <c r="C129" s="204">
        <v>2.0980733880355356E-2</v>
      </c>
      <c r="D129" s="204">
        <v>2.4871023514969323E-2</v>
      </c>
      <c r="E129" s="204">
        <v>0</v>
      </c>
      <c r="F129" s="204">
        <v>0.1365656729475124</v>
      </c>
      <c r="G129" s="205">
        <v>0.86343432705248757</v>
      </c>
    </row>
    <row r="130" spans="1:12">
      <c r="A130" s="118">
        <v>40329</v>
      </c>
      <c r="B130" s="204">
        <v>0.81765022117333142</v>
      </c>
      <c r="C130" s="204">
        <v>1.9026409209313429E-2</v>
      </c>
      <c r="D130" s="204">
        <v>2.5824475364647159E-2</v>
      </c>
      <c r="E130" s="204">
        <v>0</v>
      </c>
      <c r="F130" s="204">
        <v>0.13749889425270795</v>
      </c>
      <c r="G130" s="205">
        <v>0.862501105747292</v>
      </c>
    </row>
    <row r="131" spans="1:12">
      <c r="A131" s="118">
        <v>40359</v>
      </c>
      <c r="B131" s="204">
        <v>0.81425750904988647</v>
      </c>
      <c r="C131" s="204">
        <v>1.8733351554070975E-2</v>
      </c>
      <c r="D131" s="204">
        <v>2.6302505042056751E-2</v>
      </c>
      <c r="E131" s="204">
        <v>0</v>
      </c>
      <c r="F131" s="204">
        <v>0.14070663435398575</v>
      </c>
      <c r="G131" s="205">
        <v>0.85929336564601422</v>
      </c>
    </row>
    <row r="132" spans="1:12">
      <c r="A132" s="118">
        <v>40390</v>
      </c>
      <c r="B132" s="204">
        <v>0.80681279823038665</v>
      </c>
      <c r="C132" s="204">
        <v>1.9881255284498665E-2</v>
      </c>
      <c r="D132" s="204">
        <v>2.6859167790528247E-2</v>
      </c>
      <c r="E132" s="204">
        <v>0</v>
      </c>
      <c r="F132" s="204">
        <v>0.14644677869458661</v>
      </c>
      <c r="G132" s="205">
        <v>0.85355322130541356</v>
      </c>
    </row>
    <row r="133" spans="1:12">
      <c r="A133" s="118">
        <v>40421</v>
      </c>
      <c r="B133" s="204">
        <v>0.79172210972011048</v>
      </c>
      <c r="C133" s="204">
        <v>1.9061361056067556E-2</v>
      </c>
      <c r="D133" s="204">
        <v>2.7173846922291023E-2</v>
      </c>
      <c r="E133" s="204">
        <v>0</v>
      </c>
      <c r="F133" s="204">
        <v>0.16204268230153104</v>
      </c>
      <c r="G133" s="205">
        <v>0.83795731769846904</v>
      </c>
    </row>
    <row r="134" spans="1:12">
      <c r="A134" s="118">
        <v>40451</v>
      </c>
      <c r="B134" s="204">
        <v>0.78960559381018458</v>
      </c>
      <c r="C134" s="204">
        <v>2.021025791565206E-2</v>
      </c>
      <c r="D134" s="204">
        <v>2.7093467235201365E-2</v>
      </c>
      <c r="E134" s="204">
        <v>0</v>
      </c>
      <c r="F134" s="204">
        <v>0.1630906810389621</v>
      </c>
      <c r="G134" s="205">
        <v>0.83690931896103793</v>
      </c>
    </row>
    <row r="135" spans="1:12">
      <c r="A135" s="118">
        <v>40482</v>
      </c>
      <c r="B135" s="204">
        <v>0.79232792970115695</v>
      </c>
      <c r="C135" s="204">
        <v>2.0448454505317491E-2</v>
      </c>
      <c r="D135" s="204">
        <v>2.7927098641361441E-2</v>
      </c>
      <c r="E135" s="204">
        <v>0</v>
      </c>
      <c r="F135" s="204">
        <v>0.1592965171521637</v>
      </c>
      <c r="G135" s="205">
        <v>0.84070348284783636</v>
      </c>
    </row>
    <row r="136" spans="1:12">
      <c r="A136" s="118">
        <v>40512</v>
      </c>
      <c r="B136" s="204">
        <v>0.79999904866855365</v>
      </c>
      <c r="C136" s="204">
        <v>1.88777079301207E-2</v>
      </c>
      <c r="D136" s="204">
        <v>2.7180870659047028E-2</v>
      </c>
      <c r="E136" s="204">
        <v>0</v>
      </c>
      <c r="F136" s="204">
        <v>0.15394237274227862</v>
      </c>
      <c r="G136" s="205">
        <v>0.84605762725772138</v>
      </c>
    </row>
    <row r="137" spans="1:12">
      <c r="A137" s="118">
        <v>40543</v>
      </c>
      <c r="B137" s="204">
        <v>0.80158625099748537</v>
      </c>
      <c r="C137" s="204">
        <v>1.8963952891747609E-2</v>
      </c>
      <c r="D137" s="204">
        <v>2.7539649424638341E-2</v>
      </c>
      <c r="E137" s="204">
        <v>0</v>
      </c>
      <c r="F137" s="204">
        <v>0.15191014668612871</v>
      </c>
      <c r="G137" s="205">
        <v>0.84808985331387132</v>
      </c>
    </row>
    <row r="138" spans="1:12">
      <c r="A138" s="118">
        <v>40574</v>
      </c>
      <c r="B138" s="204">
        <v>0.79791456982808362</v>
      </c>
      <c r="C138" s="204">
        <v>1.9252192381096149E-2</v>
      </c>
      <c r="D138" s="204">
        <v>2.7144377112539895E-2</v>
      </c>
      <c r="E138" s="204">
        <v>0</v>
      </c>
      <c r="F138" s="204">
        <v>0.15568886067828033</v>
      </c>
      <c r="G138" s="205">
        <v>0.84431113932171964</v>
      </c>
      <c r="L138" s="91"/>
    </row>
    <row r="139" spans="1:12">
      <c r="A139" s="118">
        <v>40602</v>
      </c>
      <c r="B139" s="204">
        <v>0.80012001867251126</v>
      </c>
      <c r="C139" s="204">
        <v>1.9457731223810042E-2</v>
      </c>
      <c r="D139" s="204">
        <v>2.7242208905236039E-2</v>
      </c>
      <c r="E139" s="204">
        <v>0</v>
      </c>
      <c r="F139" s="204">
        <v>0.15318004119844267</v>
      </c>
      <c r="G139" s="205">
        <v>0.84681995880155725</v>
      </c>
      <c r="L139" s="91"/>
    </row>
    <row r="140" spans="1:12">
      <c r="A140" s="118">
        <v>40633</v>
      </c>
      <c r="B140" s="204">
        <v>0.79887838819519752</v>
      </c>
      <c r="C140" s="204">
        <v>1.9897701700687116E-2</v>
      </c>
      <c r="D140" s="204">
        <v>2.6883659212194433E-2</v>
      </c>
      <c r="E140" s="204">
        <v>0</v>
      </c>
      <c r="F140" s="204">
        <v>0.15434025089192099</v>
      </c>
      <c r="G140" s="205">
        <v>0.84565974910807906</v>
      </c>
      <c r="L140" s="91"/>
    </row>
    <row r="141" spans="1:12">
      <c r="A141" s="118">
        <v>40663</v>
      </c>
      <c r="B141" s="204">
        <v>0.7900482456455804</v>
      </c>
      <c r="C141" s="204">
        <v>2.0552983336186825E-2</v>
      </c>
      <c r="D141" s="204">
        <v>2.7150392134612379E-2</v>
      </c>
      <c r="E141" s="204">
        <v>0</v>
      </c>
      <c r="F141" s="204">
        <v>0.16224837888362037</v>
      </c>
      <c r="G141" s="205">
        <v>0.83775162111637957</v>
      </c>
      <c r="L141" s="91"/>
    </row>
    <row r="142" spans="1:12">
      <c r="A142" s="118">
        <v>40694</v>
      </c>
      <c r="B142" s="204">
        <v>0.80202287670731254</v>
      </c>
      <c r="C142" s="204">
        <v>8.8287302127801771E-3</v>
      </c>
      <c r="D142" s="204">
        <v>2.7722865597171728E-2</v>
      </c>
      <c r="E142" s="204">
        <v>0</v>
      </c>
      <c r="F142" s="204">
        <v>0.16142552748273561</v>
      </c>
      <c r="G142" s="205">
        <v>0.83857447251726447</v>
      </c>
    </row>
    <row r="143" spans="1:12">
      <c r="A143" s="118">
        <v>40724</v>
      </c>
      <c r="B143" s="204">
        <v>0.79902573554653467</v>
      </c>
      <c r="C143" s="204">
        <v>8.7103442326025363E-3</v>
      </c>
      <c r="D143" s="204">
        <v>2.777267803966427E-2</v>
      </c>
      <c r="E143" s="204">
        <v>0</v>
      </c>
      <c r="F143" s="204">
        <v>0.16449124218119851</v>
      </c>
      <c r="G143" s="205">
        <v>0.83550875781880152</v>
      </c>
    </row>
    <row r="144" spans="1:12">
      <c r="A144" s="118">
        <v>40755</v>
      </c>
      <c r="B144" s="204">
        <v>0.81005367871469558</v>
      </c>
      <c r="C144" s="204">
        <v>8.1270879384267893E-3</v>
      </c>
      <c r="D144" s="204">
        <v>2.7238683619310911E-2</v>
      </c>
      <c r="E144" s="204">
        <v>0</v>
      </c>
      <c r="F144" s="204">
        <v>0.15458054972756677</v>
      </c>
      <c r="G144" s="205">
        <v>0.84541945027243326</v>
      </c>
    </row>
    <row r="145" spans="1:7">
      <c r="A145" s="118">
        <v>40786</v>
      </c>
      <c r="B145" s="204">
        <v>0.81022681266045227</v>
      </c>
      <c r="C145" s="204">
        <v>8.0946404453900757E-3</v>
      </c>
      <c r="D145" s="204">
        <v>2.7464866667937401E-2</v>
      </c>
      <c r="E145" s="204">
        <v>0</v>
      </c>
      <c r="F145" s="204">
        <v>0.15421368022622023</v>
      </c>
      <c r="G145" s="205">
        <v>0.84578631977377972</v>
      </c>
    </row>
    <row r="146" spans="1:7">
      <c r="A146" s="118">
        <v>40816</v>
      </c>
      <c r="B146" s="204">
        <v>0.81943620493641656</v>
      </c>
      <c r="C146" s="204">
        <v>7.6550219101451464E-3</v>
      </c>
      <c r="D146" s="204">
        <v>2.7584885135807057E-2</v>
      </c>
      <c r="E146" s="204">
        <v>0</v>
      </c>
      <c r="F146" s="204">
        <v>0.14532388801763119</v>
      </c>
      <c r="G146" s="205">
        <v>0.8546761119823687</v>
      </c>
    </row>
    <row r="147" spans="1:7">
      <c r="A147" s="118">
        <v>40847</v>
      </c>
      <c r="B147" s="204">
        <v>0.81683187336264595</v>
      </c>
      <c r="C147" s="204">
        <v>7.858570027711325E-3</v>
      </c>
      <c r="D147" s="204">
        <v>2.7052213806923155E-2</v>
      </c>
      <c r="E147" s="204">
        <v>0</v>
      </c>
      <c r="F147" s="204">
        <v>0.14825734280271952</v>
      </c>
      <c r="G147" s="205">
        <v>0.85174265719728037</v>
      </c>
    </row>
    <row r="148" spans="1:7">
      <c r="A148" s="118">
        <v>40877</v>
      </c>
      <c r="B148" s="204">
        <v>0.82464200920869069</v>
      </c>
      <c r="C148" s="204">
        <v>7.0910207981790983E-3</v>
      </c>
      <c r="D148" s="204">
        <v>2.7263098098139635E-2</v>
      </c>
      <c r="E148" s="204">
        <v>0</v>
      </c>
      <c r="F148" s="204">
        <v>0.14100387189499056</v>
      </c>
      <c r="G148" s="205">
        <v>0.85899612810500947</v>
      </c>
    </row>
    <row r="149" spans="1:7">
      <c r="A149" s="118">
        <v>40878</v>
      </c>
      <c r="B149" s="204">
        <v>0.825531831246621</v>
      </c>
      <c r="C149" s="204">
        <v>6.6021822778885254E-3</v>
      </c>
      <c r="D149" s="204">
        <v>2.7054007429666543E-2</v>
      </c>
      <c r="E149" s="204">
        <v>0</v>
      </c>
      <c r="F149" s="204">
        <v>0.14081197904582393</v>
      </c>
      <c r="G149" s="205">
        <v>0.85918802095417612</v>
      </c>
    </row>
    <row r="150" spans="1:7">
      <c r="A150" s="118">
        <v>40909</v>
      </c>
      <c r="B150" s="204">
        <v>0.81711741918492209</v>
      </c>
      <c r="C150" s="204">
        <v>6.5898788750146046E-3</v>
      </c>
      <c r="D150" s="204">
        <v>2.7036199299534186E-2</v>
      </c>
      <c r="E150" s="204">
        <v>0</v>
      </c>
      <c r="F150" s="204">
        <v>0.14925650264052928</v>
      </c>
      <c r="G150" s="205">
        <f>B150+C150+D150</f>
        <v>0.85074349735947086</v>
      </c>
    </row>
    <row r="151" spans="1:7">
      <c r="A151" s="118">
        <v>40940</v>
      </c>
      <c r="B151" s="204">
        <v>0.81492528686617183</v>
      </c>
      <c r="C151" s="204">
        <v>6.6976627237862957E-3</v>
      </c>
      <c r="D151" s="204">
        <v>2.5431928308005274E-2</v>
      </c>
      <c r="E151" s="204">
        <v>0</v>
      </c>
      <c r="F151" s="204">
        <v>0.15294512210203662</v>
      </c>
      <c r="G151" s="205">
        <v>0.8470548778979633</v>
      </c>
    </row>
    <row r="152" spans="1:7">
      <c r="A152" s="118">
        <v>40969</v>
      </c>
      <c r="B152" s="204">
        <v>0.81696830752612137</v>
      </c>
      <c r="C152" s="204">
        <v>6.6481792574184699E-3</v>
      </c>
      <c r="D152" s="204">
        <v>2.5046205991056933E-2</v>
      </c>
      <c r="E152" s="204">
        <v>0</v>
      </c>
      <c r="F152" s="204">
        <v>0.15133730722540326</v>
      </c>
      <c r="G152" s="205">
        <v>0.84866269277459672</v>
      </c>
    </row>
    <row r="153" spans="1:7">
      <c r="A153" s="118">
        <v>41000</v>
      </c>
      <c r="B153" s="204">
        <v>0.81424299045433446</v>
      </c>
      <c r="C153" s="204">
        <v>6.5522980464230492E-3</v>
      </c>
      <c r="D153" s="204">
        <v>2.5717991492350344E-2</v>
      </c>
      <c r="E153" s="204">
        <v>0</v>
      </c>
      <c r="F153" s="204">
        <v>0.15348672000689226</v>
      </c>
      <c r="G153" s="205">
        <v>0.84651327999310777</v>
      </c>
    </row>
    <row r="154" spans="1:7">
      <c r="A154" s="118">
        <v>41030</v>
      </c>
      <c r="B154" s="204">
        <v>0.81814413905851313</v>
      </c>
      <c r="C154" s="204">
        <v>5.7621009380811371E-3</v>
      </c>
      <c r="D154" s="204">
        <v>2.6489074368142549E-2</v>
      </c>
      <c r="E154" s="204">
        <v>0</v>
      </c>
      <c r="F154" s="204">
        <v>0.14960468563526313</v>
      </c>
      <c r="G154" s="205">
        <v>0.85039531436473692</v>
      </c>
    </row>
    <row r="155" spans="1:7">
      <c r="A155" s="118">
        <v>41061</v>
      </c>
      <c r="B155" s="204">
        <v>0.81530326156499233</v>
      </c>
      <c r="C155" s="204">
        <v>5.7425543121087897E-3</v>
      </c>
      <c r="D155" s="204">
        <v>2.5930975896712581E-2</v>
      </c>
      <c r="E155" s="204">
        <v>0</v>
      </c>
      <c r="F155" s="204">
        <v>0.15302320822618626</v>
      </c>
      <c r="G155" s="205">
        <v>0.8469767917738138</v>
      </c>
    </row>
    <row r="156" spans="1:7">
      <c r="A156" s="118">
        <v>41091</v>
      </c>
      <c r="B156" s="204">
        <v>0.81506348361867742</v>
      </c>
      <c r="C156" s="204">
        <v>5.5850979798201337E-3</v>
      </c>
      <c r="D156" s="204">
        <v>2.6508851994750671E-2</v>
      </c>
      <c r="E156" s="204">
        <v>0</v>
      </c>
      <c r="F156" s="204">
        <v>0.15284256640675176</v>
      </c>
      <c r="G156" s="205">
        <v>0.84715743359324824</v>
      </c>
    </row>
    <row r="157" spans="1:7">
      <c r="A157" s="118">
        <v>41122</v>
      </c>
      <c r="B157" s="204">
        <v>0.81778074512831866</v>
      </c>
      <c r="C157" s="204">
        <v>5.734063763962201E-3</v>
      </c>
      <c r="D157" s="204">
        <v>2.645894842746346E-2</v>
      </c>
      <c r="E157" s="204">
        <v>0</v>
      </c>
      <c r="F157" s="204">
        <v>0.15002624268025569</v>
      </c>
      <c r="G157" s="205">
        <v>0.84997375731974434</v>
      </c>
    </row>
    <row r="158" spans="1:7">
      <c r="A158" s="118">
        <v>41182</v>
      </c>
      <c r="B158" s="204">
        <v>0.80189769027040614</v>
      </c>
      <c r="C158" s="204">
        <v>5.673404636388049E-3</v>
      </c>
      <c r="D158" s="204">
        <v>2.6181588612937262E-2</v>
      </c>
      <c r="E158" s="204">
        <v>0</v>
      </c>
      <c r="F158" s="204">
        <v>0.16624731648026869</v>
      </c>
      <c r="G158" s="205">
        <v>0.83375268351973131</v>
      </c>
    </row>
    <row r="159" spans="1:7">
      <c r="A159" s="118">
        <v>41213</v>
      </c>
      <c r="B159" s="204">
        <v>0.80455252721133186</v>
      </c>
      <c r="C159" s="204">
        <v>5.7858813961155211E-3</v>
      </c>
      <c r="D159" s="204">
        <v>2.5583954454521617E-2</v>
      </c>
      <c r="E159" s="204">
        <v>0</v>
      </c>
      <c r="F159" s="204">
        <v>0.16407763693803112</v>
      </c>
      <c r="G159" s="205">
        <v>0.83592236306196899</v>
      </c>
    </row>
    <row r="160" spans="1:7">
      <c r="A160" s="118">
        <v>41243</v>
      </c>
      <c r="B160" s="204">
        <v>0.80366651759483265</v>
      </c>
      <c r="C160" s="204">
        <v>5.3280890499040829E-3</v>
      </c>
      <c r="D160" s="204">
        <v>2.4947768960250572E-2</v>
      </c>
      <c r="E160" s="204">
        <v>0</v>
      </c>
      <c r="F160" s="204">
        <v>0.16605762439501268</v>
      </c>
      <c r="G160" s="205">
        <v>0.83394237560498696</v>
      </c>
    </row>
    <row r="161" spans="1:7">
      <c r="A161" s="118">
        <v>41274</v>
      </c>
      <c r="B161" s="204">
        <v>0.81101393856776638</v>
      </c>
      <c r="C161" s="204">
        <v>5.1723801745097182E-3</v>
      </c>
      <c r="D161" s="204">
        <v>1.5646169431587635E-2</v>
      </c>
      <c r="E161" s="204">
        <v>0</v>
      </c>
      <c r="F161" s="204">
        <v>0.16816751182613632</v>
      </c>
      <c r="G161" s="205">
        <v>0.83183248817386368</v>
      </c>
    </row>
    <row r="162" spans="1:7">
      <c r="A162" s="118">
        <v>41305</v>
      </c>
      <c r="B162" s="204">
        <v>0.81435161020536617</v>
      </c>
      <c r="C162" s="204">
        <v>5.2456776046448869E-3</v>
      </c>
      <c r="D162" s="204">
        <v>1.4649016520960546E-2</v>
      </c>
      <c r="E162" s="204">
        <v>0</v>
      </c>
      <c r="F162" s="204">
        <v>0.16575369566902839</v>
      </c>
      <c r="G162" s="205">
        <v>0.83424630433097158</v>
      </c>
    </row>
    <row r="163" spans="1:7">
      <c r="A163" s="118">
        <v>41333</v>
      </c>
      <c r="B163" s="204">
        <v>0.81879251415939447</v>
      </c>
      <c r="C163" s="204">
        <v>5.0893954086435288E-3</v>
      </c>
      <c r="D163" s="204">
        <v>1.4580082645108555E-2</v>
      </c>
      <c r="E163" s="204">
        <v>0</v>
      </c>
      <c r="F163" s="204">
        <v>0.16153800778685365</v>
      </c>
      <c r="G163" s="205">
        <v>0.83846199221314655</v>
      </c>
    </row>
    <row r="164" spans="1:7">
      <c r="A164" s="118">
        <v>41334</v>
      </c>
      <c r="B164" s="204">
        <v>0.82003709601900487</v>
      </c>
      <c r="C164" s="204">
        <v>4.9973736682754717E-3</v>
      </c>
      <c r="D164" s="204">
        <v>1.4353360924032324E-2</v>
      </c>
      <c r="E164" s="204">
        <v>0</v>
      </c>
      <c r="F164" s="204">
        <v>0.16061216938868739</v>
      </c>
      <c r="G164" s="205">
        <v>0.83938783061131261</v>
      </c>
    </row>
    <row r="165" spans="1:7">
      <c r="A165" s="118">
        <v>41394</v>
      </c>
      <c r="B165" s="204">
        <v>0.82001924172898433</v>
      </c>
      <c r="C165" s="204">
        <v>5.1931119384069947E-3</v>
      </c>
      <c r="D165" s="204">
        <v>1.3847826774668602E-2</v>
      </c>
      <c r="E165" s="204">
        <v>0</v>
      </c>
      <c r="F165" s="204">
        <v>0.16093981955794004</v>
      </c>
      <c r="G165" s="205">
        <v>0.83906018044205988</v>
      </c>
    </row>
    <row r="166" spans="1:7">
      <c r="A166" s="118">
        <v>41425</v>
      </c>
      <c r="B166" s="204">
        <v>0.82436635333003383</v>
      </c>
      <c r="C166" s="204">
        <v>4.6646218973818085E-3</v>
      </c>
      <c r="D166" s="204">
        <v>1.3512543782050027E-2</v>
      </c>
      <c r="E166" s="204">
        <v>0</v>
      </c>
      <c r="F166" s="204">
        <v>0.1574564809905343</v>
      </c>
      <c r="G166" s="205">
        <v>0.84254351900946567</v>
      </c>
    </row>
    <row r="167" spans="1:7">
      <c r="A167" s="118">
        <v>41455</v>
      </c>
      <c r="B167" s="204">
        <v>0.82650453915309396</v>
      </c>
      <c r="C167" s="204">
        <v>4.5704462609308313E-3</v>
      </c>
      <c r="D167" s="204">
        <v>1.3743093819494834E-2</v>
      </c>
      <c r="E167" s="204">
        <v>0</v>
      </c>
      <c r="F167" s="204">
        <v>0.15518192076648046</v>
      </c>
      <c r="G167" s="205">
        <v>0.84481807923351959</v>
      </c>
    </row>
    <row r="168" spans="1:7">
      <c r="A168" s="118">
        <v>41486</v>
      </c>
      <c r="B168" s="204">
        <v>0.82345094869524926</v>
      </c>
      <c r="C168" s="204">
        <v>4.657990903521818E-3</v>
      </c>
      <c r="D168" s="204">
        <v>1.3851415621730929E-2</v>
      </c>
      <c r="E168" s="204">
        <v>0</v>
      </c>
      <c r="F168" s="204">
        <v>0.15803964477949789</v>
      </c>
      <c r="G168" s="205">
        <v>0.84196035522050205</v>
      </c>
    </row>
    <row r="169" spans="1:7">
      <c r="A169" s="118">
        <v>41517</v>
      </c>
      <c r="B169" s="204">
        <v>0.82867117564758552</v>
      </c>
      <c r="C169" s="204">
        <v>0</v>
      </c>
      <c r="D169" s="204">
        <v>1.3854870351741733E-2</v>
      </c>
      <c r="E169" s="204">
        <v>0</v>
      </c>
      <c r="F169" s="204">
        <v>0.15285546518671908</v>
      </c>
      <c r="G169" s="205">
        <v>0.84252604599932723</v>
      </c>
    </row>
    <row r="170" spans="1:7">
      <c r="A170" s="118">
        <v>41547</v>
      </c>
      <c r="B170" s="204">
        <v>0.83851039287529039</v>
      </c>
      <c r="C170" s="204">
        <v>4.4287508544441643E-3</v>
      </c>
      <c r="D170" s="204">
        <v>1.2997809262265054E-2</v>
      </c>
      <c r="E170" s="204">
        <v>0</v>
      </c>
      <c r="F170" s="204">
        <v>0.14406304700800038</v>
      </c>
      <c r="G170" s="205">
        <v>0.85593695299199957</v>
      </c>
    </row>
    <row r="171" spans="1:7">
      <c r="A171" s="118">
        <v>41578</v>
      </c>
      <c r="B171" s="204">
        <v>0.83657398319165965</v>
      </c>
      <c r="C171" s="204">
        <v>4.4234226873599647E-3</v>
      </c>
      <c r="D171" s="204">
        <v>1.2954863794806655E-2</v>
      </c>
      <c r="E171" s="204">
        <v>0</v>
      </c>
      <c r="F171" s="204">
        <v>0.14604773032617374</v>
      </c>
      <c r="G171" s="205">
        <v>0.85395226967382631</v>
      </c>
    </row>
    <row r="172" spans="1:7">
      <c r="A172" s="118">
        <v>41608</v>
      </c>
      <c r="B172" s="204">
        <v>0.83962837708937832</v>
      </c>
      <c r="C172" s="204">
        <v>3.9745331455106657E-3</v>
      </c>
      <c r="D172" s="204">
        <v>1.2547524255578342E-2</v>
      </c>
      <c r="E172" s="204">
        <v>0</v>
      </c>
      <c r="F172" s="204">
        <v>0.14384956550953265</v>
      </c>
      <c r="G172" s="205">
        <v>0.85615043449046735</v>
      </c>
    </row>
    <row r="173" spans="1:7">
      <c r="A173" s="118">
        <v>41639</v>
      </c>
      <c r="B173" s="204">
        <v>0.84171042725777534</v>
      </c>
      <c r="C173" s="204">
        <v>3.9238147896859133E-3</v>
      </c>
      <c r="D173" s="204">
        <v>1.2077021026089509E-2</v>
      </c>
      <c r="E173" s="204">
        <v>0</v>
      </c>
      <c r="F173" s="204">
        <v>0.14228873692644925</v>
      </c>
      <c r="G173" s="205">
        <v>0.85771126307355083</v>
      </c>
    </row>
    <row r="174" spans="1:7">
      <c r="A174" s="118">
        <v>41670</v>
      </c>
      <c r="B174" s="204">
        <v>0.85455902761540814</v>
      </c>
      <c r="C174" s="204">
        <v>3.5891877089471893E-3</v>
      </c>
      <c r="D174" s="204">
        <v>1.1792217995030774E-2</v>
      </c>
      <c r="E174" s="204">
        <v>0</v>
      </c>
      <c r="F174" s="204">
        <v>0.13005956668061383</v>
      </c>
      <c r="G174" s="205">
        <v>0.86994043331938609</v>
      </c>
    </row>
    <row r="175" spans="1:7">
      <c r="A175" s="118">
        <v>41698</v>
      </c>
      <c r="B175" s="204">
        <v>0.8564188315867477</v>
      </c>
      <c r="C175" s="204">
        <v>3.6670097551041634E-3</v>
      </c>
      <c r="D175" s="204">
        <v>1.1806244440740989E-2</v>
      </c>
      <c r="E175" s="204">
        <v>0</v>
      </c>
      <c r="F175" s="204">
        <v>0.12810791421740708</v>
      </c>
      <c r="G175" s="205">
        <v>0.87189208578259281</v>
      </c>
    </row>
    <row r="176" spans="1:7">
      <c r="A176" s="118">
        <v>41729</v>
      </c>
      <c r="B176" s="204">
        <v>0.85270121846512092</v>
      </c>
      <c r="C176" s="204">
        <v>3.6493081833918182E-3</v>
      </c>
      <c r="D176" s="204">
        <v>1.1664022907405562E-2</v>
      </c>
      <c r="E176" s="204">
        <v>0</v>
      </c>
      <c r="F176" s="204">
        <v>0.13198545044408166</v>
      </c>
      <c r="G176" s="205">
        <v>0.86801454955591828</v>
      </c>
    </row>
    <row r="177" spans="1:7">
      <c r="A177" s="118">
        <v>41759</v>
      </c>
      <c r="B177" s="204">
        <v>0.85078763653372935</v>
      </c>
      <c r="C177" s="204">
        <v>3.6648251233608571E-3</v>
      </c>
      <c r="D177" s="204">
        <v>1.1739437546837686E-2</v>
      </c>
      <c r="E177" s="204">
        <v>0</v>
      </c>
      <c r="F177" s="204">
        <v>0.13380810079607208</v>
      </c>
      <c r="G177" s="205">
        <v>0.86619189920392792</v>
      </c>
    </row>
    <row r="178" spans="1:7">
      <c r="A178" s="118">
        <v>41790</v>
      </c>
      <c r="B178" s="204">
        <v>0.8522953756568169</v>
      </c>
      <c r="C178" s="204">
        <v>3.2041083402946321E-3</v>
      </c>
      <c r="D178" s="204">
        <v>1.1891424067951184E-2</v>
      </c>
      <c r="E178" s="204">
        <v>0</v>
      </c>
      <c r="F178" s="204">
        <v>0.13260909193493731</v>
      </c>
      <c r="G178" s="205">
        <v>0.86739090806506269</v>
      </c>
    </row>
    <row r="179" spans="1:7">
      <c r="A179" s="118">
        <v>41820</v>
      </c>
      <c r="B179" s="204">
        <v>0.85086598329778096</v>
      </c>
      <c r="C179" s="204">
        <v>3.1820560980322845E-3</v>
      </c>
      <c r="D179" s="204">
        <v>1.1955767509415093E-2</v>
      </c>
      <c r="E179" s="204">
        <v>0</v>
      </c>
      <c r="F179" s="204">
        <v>0.13399619309477151</v>
      </c>
      <c r="G179" s="205">
        <v>0.86600380690522827</v>
      </c>
    </row>
    <row r="180" spans="1:7">
      <c r="A180" s="118">
        <v>41851</v>
      </c>
      <c r="B180" s="204">
        <v>0.85042571951773738</v>
      </c>
      <c r="C180" s="204">
        <v>3.1107052767807676E-3</v>
      </c>
      <c r="D180" s="204">
        <v>1.1790554236470316E-2</v>
      </c>
      <c r="E180" s="204">
        <v>0</v>
      </c>
      <c r="F180" s="204">
        <v>0.13467302096901149</v>
      </c>
      <c r="G180" s="205">
        <v>0.86532697903098854</v>
      </c>
    </row>
    <row r="181" spans="1:7">
      <c r="A181" s="118">
        <v>41882</v>
      </c>
      <c r="B181" s="204">
        <v>0.85322374297928572</v>
      </c>
      <c r="C181" s="204">
        <v>3.0752093231808859E-3</v>
      </c>
      <c r="D181" s="204">
        <v>1.1718374219052896E-2</v>
      </c>
      <c r="E181" s="204">
        <v>0</v>
      </c>
      <c r="F181" s="204">
        <v>0.1319826734784805</v>
      </c>
      <c r="G181" s="205">
        <v>0.86801732652151942</v>
      </c>
    </row>
    <row r="182" spans="1:7">
      <c r="A182" s="118">
        <v>41912</v>
      </c>
      <c r="B182" s="204">
        <v>0.86121876389048069</v>
      </c>
      <c r="C182" s="204">
        <v>2.9646890974023457E-3</v>
      </c>
      <c r="D182" s="204">
        <v>1.1213293319703757E-2</v>
      </c>
      <c r="E182" s="204">
        <v>0</v>
      </c>
      <c r="F182" s="204">
        <v>0.12460325369241305</v>
      </c>
      <c r="G182" s="205">
        <v>0.87539674630758679</v>
      </c>
    </row>
    <row r="183" spans="1:7">
      <c r="A183" s="118">
        <v>41943</v>
      </c>
      <c r="B183" s="204">
        <v>0.86725814416145752</v>
      </c>
      <c r="C183" s="204">
        <v>2.8453319761532416E-3</v>
      </c>
      <c r="D183" s="204">
        <v>1.0613210755776941E-2</v>
      </c>
      <c r="E183" s="204">
        <v>0</v>
      </c>
      <c r="F183" s="204">
        <v>0.11928331310661223</v>
      </c>
      <c r="G183" s="205">
        <v>0.88071668689338767</v>
      </c>
    </row>
    <row r="184" spans="1:7">
      <c r="A184" s="118">
        <v>41973</v>
      </c>
      <c r="B184" s="204">
        <v>0.87479821673174218</v>
      </c>
      <c r="C184" s="204">
        <v>2.4493408774341921E-3</v>
      </c>
      <c r="D184" s="204">
        <v>1.0184150180939683E-2</v>
      </c>
      <c r="E184" s="204">
        <v>0</v>
      </c>
      <c r="F184" s="204">
        <v>0.112568292209884</v>
      </c>
      <c r="G184" s="205">
        <v>0.88743170779011604</v>
      </c>
    </row>
    <row r="185" spans="1:7">
      <c r="A185" s="118">
        <v>42004</v>
      </c>
      <c r="B185" s="204">
        <v>0.88473773106901055</v>
      </c>
      <c r="C185" s="204">
        <v>2.3347400125925608E-3</v>
      </c>
      <c r="D185" s="204">
        <v>1.0002427589269197E-2</v>
      </c>
      <c r="E185" s="204">
        <v>0</v>
      </c>
      <c r="F185" s="204">
        <v>0.10292510132912762</v>
      </c>
      <c r="G185" s="205">
        <v>0.89707489867087231</v>
      </c>
    </row>
    <row r="186" spans="1:7">
      <c r="A186" s="118">
        <v>42035</v>
      </c>
      <c r="B186" s="204">
        <v>0.89084222410898073</v>
      </c>
      <c r="C186" s="204">
        <v>2.0847755842346651E-3</v>
      </c>
      <c r="D186" s="204">
        <v>9.8380886473779048E-3</v>
      </c>
      <c r="E186" s="204">
        <v>0</v>
      </c>
      <c r="F186" s="204">
        <v>9.72349116594068E-2</v>
      </c>
      <c r="G186" s="205">
        <v>0.90276508834059332</v>
      </c>
    </row>
    <row r="187" spans="1:7">
      <c r="A187" s="118">
        <v>42063</v>
      </c>
      <c r="B187" s="204">
        <v>0.89329876595301017</v>
      </c>
      <c r="C187" s="204">
        <v>2.070163189958384E-3</v>
      </c>
      <c r="D187" s="204">
        <v>9.6666614635761879E-3</v>
      </c>
      <c r="E187" s="204">
        <v>0</v>
      </c>
      <c r="F187" s="204">
        <v>9.496440939345531E-2</v>
      </c>
      <c r="G187" s="205">
        <v>0.9050355906065447</v>
      </c>
    </row>
    <row r="188" spans="1:7">
      <c r="A188" s="118">
        <v>42094</v>
      </c>
      <c r="B188" s="204">
        <v>0.89961370884910508</v>
      </c>
      <c r="C188" s="204">
        <v>1.9299235636870936E-3</v>
      </c>
      <c r="D188" s="204">
        <v>9.4368043696546489E-3</v>
      </c>
      <c r="E188" s="204">
        <v>0</v>
      </c>
      <c r="F188" s="204">
        <v>8.9019563217553097E-2</v>
      </c>
      <c r="G188" s="205">
        <v>0.91098043678244678</v>
      </c>
    </row>
    <row r="189" spans="1:7">
      <c r="A189" s="118">
        <v>42124</v>
      </c>
      <c r="B189" s="204">
        <v>0.89322911528228943</v>
      </c>
      <c r="C189" s="204">
        <v>2.008686548596528E-3</v>
      </c>
      <c r="D189" s="204">
        <v>9.3944664341153623E-3</v>
      </c>
      <c r="E189" s="204">
        <v>0</v>
      </c>
      <c r="F189" s="204">
        <v>9.5367731734998809E-2</v>
      </c>
      <c r="G189" s="205">
        <v>0.90463226826500132</v>
      </c>
    </row>
    <row r="190" spans="1:7">
      <c r="A190" s="118">
        <v>42155</v>
      </c>
      <c r="B190" s="204">
        <v>0.8982375200629571</v>
      </c>
      <c r="C190" s="204">
        <v>1.6305178195095589E-3</v>
      </c>
      <c r="D190" s="204">
        <v>9.1664578357431529E-3</v>
      </c>
      <c r="E190" s="204">
        <v>0</v>
      </c>
      <c r="F190" s="204">
        <v>9.0965504281790163E-2</v>
      </c>
      <c r="G190" s="205">
        <v>0.90903449571820971</v>
      </c>
    </row>
    <row r="191" spans="1:7">
      <c r="A191" s="118">
        <v>42185</v>
      </c>
      <c r="B191" s="204">
        <v>0.8996122209391888</v>
      </c>
      <c r="C191" s="204">
        <v>1.6368904744046796E-3</v>
      </c>
      <c r="D191" s="204">
        <v>9.3303967909584232E-3</v>
      </c>
      <c r="E191" s="204">
        <v>0</v>
      </c>
      <c r="F191" s="204">
        <v>8.9420491795447934E-2</v>
      </c>
      <c r="G191" s="205">
        <v>0.9105795082045518</v>
      </c>
    </row>
    <row r="192" spans="1:7">
      <c r="A192" s="118">
        <v>42216</v>
      </c>
      <c r="B192" s="204">
        <v>0.90765772815867951</v>
      </c>
      <c r="C192" s="204">
        <v>1.638262405824219E-3</v>
      </c>
      <c r="D192" s="204">
        <v>9.3015492056813583E-3</v>
      </c>
      <c r="E192" s="204">
        <v>0</v>
      </c>
      <c r="F192" s="204">
        <v>8.1402460229814844E-2</v>
      </c>
      <c r="G192" s="205">
        <v>0.9185975397701851</v>
      </c>
    </row>
    <row r="193" spans="1:8">
      <c r="A193" s="118">
        <v>42247</v>
      </c>
      <c r="B193" s="204">
        <v>0.91233043829007121</v>
      </c>
      <c r="C193" s="204">
        <v>1.6854564703424983E-3</v>
      </c>
      <c r="D193" s="204">
        <v>9.6484811970461663E-3</v>
      </c>
      <c r="E193" s="204">
        <v>0</v>
      </c>
      <c r="F193" s="204">
        <v>7.6335624042540226E-2</v>
      </c>
      <c r="G193" s="205">
        <v>0.92366437595745987</v>
      </c>
    </row>
    <row r="194" spans="1:8">
      <c r="A194" s="118">
        <v>42277</v>
      </c>
      <c r="B194" s="204">
        <v>0.91731262778976175</v>
      </c>
      <c r="C194" s="204">
        <v>1.5965197704141611E-3</v>
      </c>
      <c r="D194" s="204">
        <v>9.3553499644008133E-3</v>
      </c>
      <c r="E194" s="204">
        <v>0</v>
      </c>
      <c r="F194" s="204">
        <v>7.173550247542318E-2</v>
      </c>
      <c r="G194" s="205">
        <v>0.92826449752457674</v>
      </c>
    </row>
    <row r="195" spans="1:8">
      <c r="A195" s="118">
        <v>42308</v>
      </c>
      <c r="B195" s="204">
        <v>0.92667125563638308</v>
      </c>
      <c r="C195" s="204">
        <v>9.1148956789744388E-3</v>
      </c>
      <c r="D195" s="204">
        <v>9.2606907681768331E-3</v>
      </c>
      <c r="E195" s="204">
        <v>0</v>
      </c>
      <c r="F195" s="204">
        <v>5.4953157916465413E-2</v>
      </c>
      <c r="G195" s="205">
        <v>0.94504684208353429</v>
      </c>
    </row>
    <row r="196" spans="1:8">
      <c r="A196" s="118">
        <v>42338</v>
      </c>
      <c r="B196" s="204">
        <v>0.930272240050666</v>
      </c>
      <c r="C196" s="204">
        <v>8.4923034250071732E-3</v>
      </c>
      <c r="D196" s="204">
        <v>9.1832977269353851E-3</v>
      </c>
      <c r="E196" s="204">
        <v>0</v>
      </c>
      <c r="F196" s="204">
        <v>5.205215879739148E-2</v>
      </c>
      <c r="G196" s="205">
        <v>0.94794784120260855</v>
      </c>
    </row>
    <row r="197" spans="1:8">
      <c r="A197" s="118">
        <v>42369</v>
      </c>
      <c r="B197" s="204">
        <v>0.91613724124376206</v>
      </c>
      <c r="C197" s="204">
        <v>2.5372148538557401E-2</v>
      </c>
      <c r="D197" s="204">
        <v>9.0772655040812084E-3</v>
      </c>
      <c r="E197" s="204">
        <v>0</v>
      </c>
      <c r="F197" s="204">
        <v>4.9413344713599337E-2</v>
      </c>
      <c r="G197" s="205">
        <v>0.95058665528640063</v>
      </c>
    </row>
    <row r="198" spans="1:8">
      <c r="A198" s="118">
        <v>42400</v>
      </c>
      <c r="B198" s="204">
        <v>0.91828473731316951</v>
      </c>
      <c r="C198" s="204">
        <v>2.5346306985275718E-2</v>
      </c>
      <c r="D198" s="204">
        <v>9.1881629357719631E-3</v>
      </c>
      <c r="E198" s="204">
        <v>0</v>
      </c>
      <c r="F198" s="204">
        <v>4.7180792765782832E-2</v>
      </c>
      <c r="G198" s="205">
        <v>0.9528192072342172</v>
      </c>
    </row>
    <row r="199" spans="1:8">
      <c r="A199" s="118">
        <v>42429</v>
      </c>
      <c r="B199" s="204">
        <v>0.91836010821696079</v>
      </c>
      <c r="C199" s="204">
        <v>2.5262532156923808E-2</v>
      </c>
      <c r="D199" s="204">
        <v>9.69045959422251E-3</v>
      </c>
      <c r="E199" s="204">
        <v>0</v>
      </c>
      <c r="F199" s="204">
        <v>4.6686900031892971E-2</v>
      </c>
      <c r="G199" s="205">
        <v>0.95331309996810709</v>
      </c>
    </row>
    <row r="200" spans="1:8">
      <c r="A200" s="118">
        <v>42460</v>
      </c>
      <c r="B200" s="204">
        <v>0.85415412314264261</v>
      </c>
      <c r="C200" s="204">
        <v>6.027046844526468E-2</v>
      </c>
      <c r="D200" s="204">
        <v>1.5688548716412377E-2</v>
      </c>
      <c r="E200" s="204">
        <v>0</v>
      </c>
      <c r="F200" s="204">
        <v>6.9886859695680328E-2</v>
      </c>
      <c r="G200" s="205">
        <v>0.93011314030431957</v>
      </c>
    </row>
    <row r="201" spans="1:8">
      <c r="A201" s="118">
        <v>42490</v>
      </c>
      <c r="B201" s="204">
        <v>0.87770808015205337</v>
      </c>
      <c r="C201" s="204">
        <v>6.1531591056821787E-2</v>
      </c>
      <c r="D201" s="204">
        <v>9.7929446448431108E-3</v>
      </c>
      <c r="E201" s="204">
        <v>0</v>
      </c>
      <c r="F201" s="204">
        <v>5.096738414628163E-2</v>
      </c>
      <c r="G201" s="205">
        <v>0.94903261585371834</v>
      </c>
    </row>
    <row r="202" spans="1:8">
      <c r="A202" s="118">
        <v>42521</v>
      </c>
      <c r="B202" s="204">
        <v>0.86837375715021259</v>
      </c>
      <c r="C202" s="204">
        <v>7.5190124604017153E-2</v>
      </c>
      <c r="D202" s="204">
        <v>9.3961517425979642E-3</v>
      </c>
      <c r="E202" s="204">
        <v>0</v>
      </c>
      <c r="F202" s="204">
        <v>4.7039966503172298E-2</v>
      </c>
      <c r="G202" s="205">
        <v>0.95296003349682779</v>
      </c>
    </row>
    <row r="203" spans="1:8">
      <c r="A203" s="118">
        <v>42551</v>
      </c>
      <c r="B203" s="204">
        <v>0.85199769211805321</v>
      </c>
      <c r="C203" s="204">
        <v>5.8609679030501856E-2</v>
      </c>
      <c r="D203" s="204">
        <v>1.7143502551447309E-2</v>
      </c>
      <c r="E203" s="204">
        <v>0</v>
      </c>
      <c r="F203" s="204">
        <v>7.224912629999751E-2</v>
      </c>
      <c r="G203" s="205">
        <v>0.92775087370000242</v>
      </c>
      <c r="H203" s="144"/>
    </row>
    <row r="204" spans="1:8">
      <c r="A204" s="118">
        <v>42582</v>
      </c>
      <c r="B204" s="204">
        <v>0.86739194656793495</v>
      </c>
      <c r="C204" s="204">
        <v>7.5605160715321987E-2</v>
      </c>
      <c r="D204" s="204">
        <v>1.0180138968545676E-2</v>
      </c>
      <c r="E204" s="204">
        <v>0</v>
      </c>
      <c r="F204" s="204">
        <v>4.6822753748197318E-2</v>
      </c>
      <c r="G204" s="205">
        <v>0.95317724625180256</v>
      </c>
    </row>
    <row r="205" spans="1:8">
      <c r="A205" s="118">
        <v>42613</v>
      </c>
      <c r="B205" s="204">
        <v>0.85236260001782205</v>
      </c>
      <c r="C205" s="204">
        <v>5.8782542496539143E-2</v>
      </c>
      <c r="D205" s="204">
        <v>1.7010120176489615E-2</v>
      </c>
      <c r="E205" s="204">
        <v>0</v>
      </c>
      <c r="F205" s="204">
        <v>7.1844737309149226E-2</v>
      </c>
      <c r="G205" s="205">
        <v>0.9281552626908508</v>
      </c>
    </row>
    <row r="206" spans="1:8">
      <c r="A206" s="118">
        <v>42643</v>
      </c>
      <c r="B206" s="204">
        <v>0.86448666643178396</v>
      </c>
      <c r="C206" s="204">
        <v>7.5996345743418389E-2</v>
      </c>
      <c r="D206" s="204">
        <v>1.0309509267817187E-2</v>
      </c>
      <c r="E206" s="204">
        <v>0</v>
      </c>
      <c r="F206" s="204">
        <v>4.9207478556980488E-2</v>
      </c>
      <c r="G206" s="205">
        <v>0.95079252144301951</v>
      </c>
    </row>
    <row r="207" spans="1:8">
      <c r="A207" s="118">
        <v>42674</v>
      </c>
      <c r="B207" s="204">
        <v>0.86758781062661661</v>
      </c>
      <c r="C207" s="204">
        <v>7.4469781495018858E-2</v>
      </c>
      <c r="D207" s="204">
        <v>9.9778415428695699E-3</v>
      </c>
      <c r="E207" s="204">
        <v>0</v>
      </c>
      <c r="F207" s="204">
        <v>4.7964566335494882E-2</v>
      </c>
      <c r="G207" s="205">
        <v>0.95203543366450494</v>
      </c>
    </row>
    <row r="208" spans="1:8">
      <c r="A208" s="118">
        <v>42704</v>
      </c>
      <c r="B208" s="204">
        <v>0.87312855138742385</v>
      </c>
      <c r="C208" s="204">
        <v>7.3085436603438483E-2</v>
      </c>
      <c r="D208" s="204">
        <v>9.1361931072360437E-3</v>
      </c>
      <c r="E208" s="204">
        <v>0</v>
      </c>
      <c r="F208" s="204">
        <v>4.4649818901901672E-2</v>
      </c>
      <c r="G208" s="205">
        <v>0.95535018109809833</v>
      </c>
    </row>
    <row r="209" spans="1:7">
      <c r="A209" s="118">
        <v>42735</v>
      </c>
      <c r="B209" s="204">
        <v>0.85313131541296405</v>
      </c>
      <c r="C209" s="204">
        <v>9.2737712935892197E-2</v>
      </c>
      <c r="D209" s="204">
        <v>8.6315032928850829E-3</v>
      </c>
      <c r="E209" s="204">
        <v>0</v>
      </c>
      <c r="F209" s="204">
        <v>4.549946835825857E-2</v>
      </c>
      <c r="G209" s="205">
        <v>0.95450053164174131</v>
      </c>
    </row>
    <row r="210" spans="1:7">
      <c r="A210" s="118">
        <v>42766</v>
      </c>
      <c r="B210" s="204">
        <v>0.85363829690653481</v>
      </c>
      <c r="C210" s="204">
        <v>9.2433616413905434E-2</v>
      </c>
      <c r="D210" s="204">
        <v>8.7005186117420849E-3</v>
      </c>
      <c r="E210" s="204">
        <v>0</v>
      </c>
      <c r="F210" s="204">
        <v>4.5227568067817782E-2</v>
      </c>
      <c r="G210" s="205">
        <v>0.95477243193218231</v>
      </c>
    </row>
    <row r="211" spans="1:7">
      <c r="A211" s="118">
        <v>42794</v>
      </c>
      <c r="B211" s="204">
        <v>0.85447417647714263</v>
      </c>
      <c r="C211" s="204">
        <v>9.1149902258908622E-2</v>
      </c>
      <c r="D211" s="204">
        <v>8.7847743651783307E-3</v>
      </c>
      <c r="E211" s="204">
        <v>0</v>
      </c>
      <c r="F211" s="204">
        <v>4.5591146898770321E-2</v>
      </c>
      <c r="G211" s="205">
        <v>0.95440885310122958</v>
      </c>
    </row>
    <row r="212" spans="1:7">
      <c r="A212" s="118">
        <v>42825</v>
      </c>
      <c r="B212" s="204">
        <v>0.85365890728630989</v>
      </c>
      <c r="C212" s="204">
        <v>9.184182907123363E-2</v>
      </c>
      <c r="D212" s="204">
        <v>8.8338848691711883E-3</v>
      </c>
      <c r="E212" s="204">
        <v>0</v>
      </c>
      <c r="F212" s="204">
        <v>4.5665378773285345E-2</v>
      </c>
      <c r="G212" s="205">
        <v>0.95433462122671464</v>
      </c>
    </row>
    <row r="213" spans="1:7">
      <c r="A213" s="118">
        <v>42855</v>
      </c>
      <c r="B213" s="204">
        <v>0.85305888553427323</v>
      </c>
      <c r="C213" s="204">
        <v>9.3502104220720209E-2</v>
      </c>
      <c r="D213" s="204">
        <v>8.8235416340816525E-3</v>
      </c>
      <c r="E213" s="204">
        <v>0</v>
      </c>
      <c r="F213" s="204">
        <v>4.4615468610924976E-2</v>
      </c>
      <c r="G213" s="205">
        <v>0.95538453138907509</v>
      </c>
    </row>
    <row r="214" spans="1:7">
      <c r="A214" s="118">
        <v>42886</v>
      </c>
      <c r="B214" s="204">
        <v>0.84810880808807831</v>
      </c>
      <c r="C214" s="204">
        <v>9.8117865769794574E-2</v>
      </c>
      <c r="D214" s="204">
        <v>8.8670719293680329E-3</v>
      </c>
      <c r="E214" s="204">
        <v>0</v>
      </c>
      <c r="F214" s="204">
        <v>4.4906254212758887E-2</v>
      </c>
      <c r="G214" s="205">
        <v>0.95509374578724093</v>
      </c>
    </row>
    <row r="215" spans="1:7">
      <c r="A215" s="118">
        <v>42916</v>
      </c>
      <c r="B215" s="204">
        <v>0.84832299386379251</v>
      </c>
      <c r="C215" s="204">
        <v>9.974081386792609E-2</v>
      </c>
      <c r="D215" s="204">
        <v>8.7505785176166095E-3</v>
      </c>
      <c r="E215" s="204">
        <v>0</v>
      </c>
      <c r="F215" s="204">
        <v>4.3185613750664813E-2</v>
      </c>
      <c r="G215" s="205">
        <v>0.95681438624933524</v>
      </c>
    </row>
    <row r="216" spans="1:7">
      <c r="A216" s="118">
        <v>42947</v>
      </c>
      <c r="B216" s="204">
        <v>0.84474376453637112</v>
      </c>
      <c r="C216" s="204">
        <v>0.1027369467462789</v>
      </c>
      <c r="D216" s="204">
        <v>8.8668607437009713E-3</v>
      </c>
      <c r="E216" s="204">
        <v>0</v>
      </c>
      <c r="F216" s="204">
        <v>4.3652427973649023E-2</v>
      </c>
      <c r="G216" s="205">
        <v>0.95634757202635101</v>
      </c>
    </row>
    <row r="217" spans="1:7">
      <c r="A217" s="118">
        <v>42978</v>
      </c>
      <c r="B217" s="204">
        <v>0.84947156471249952</v>
      </c>
      <c r="C217" s="204">
        <v>9.9564422432677838E-2</v>
      </c>
      <c r="D217" s="204">
        <v>8.559271706978254E-3</v>
      </c>
      <c r="E217" s="204">
        <v>0</v>
      </c>
      <c r="F217" s="204">
        <v>4.2404741147844371E-2</v>
      </c>
      <c r="G217" s="205">
        <v>0.95759525885215557</v>
      </c>
    </row>
    <row r="218" spans="1:7">
      <c r="A218" s="118">
        <v>43008</v>
      </c>
      <c r="B218" s="204">
        <v>0.85002452281218144</v>
      </c>
      <c r="C218" s="204">
        <v>9.9246370521859861E-2</v>
      </c>
      <c r="D218" s="204">
        <v>8.3829892329611543E-3</v>
      </c>
      <c r="E218" s="204">
        <v>0</v>
      </c>
      <c r="F218" s="204">
        <v>4.2346117432997599E-2</v>
      </c>
      <c r="G218" s="205">
        <v>0.95765388256700246</v>
      </c>
    </row>
    <row r="219" spans="1:7">
      <c r="A219" s="118">
        <v>43039</v>
      </c>
      <c r="B219" s="204">
        <v>0.8521836757238167</v>
      </c>
      <c r="C219" s="204">
        <v>9.807563422344269E-2</v>
      </c>
      <c r="D219" s="204">
        <v>8.3306635289140032E-3</v>
      </c>
      <c r="E219" s="204">
        <v>0</v>
      </c>
      <c r="F219" s="204">
        <v>4.1410026523826596E-2</v>
      </c>
      <c r="G219" s="205">
        <v>0.95858997347617336</v>
      </c>
    </row>
    <row r="220" spans="1:7">
      <c r="A220" s="118">
        <v>43069</v>
      </c>
      <c r="B220" s="204">
        <v>0.84965993591437816</v>
      </c>
      <c r="C220" s="204">
        <v>0.10039960105647444</v>
      </c>
      <c r="D220" s="204">
        <v>8.4621024458976443E-3</v>
      </c>
      <c r="E220" s="204">
        <v>0</v>
      </c>
      <c r="F220" s="204">
        <v>4.1478360583249704E-2</v>
      </c>
      <c r="G220" s="205">
        <v>0.95852163941675028</v>
      </c>
    </row>
    <row r="221" spans="1:7">
      <c r="A221" s="118">
        <v>43100</v>
      </c>
      <c r="B221" s="204">
        <v>0.86263595199078591</v>
      </c>
      <c r="C221" s="204">
        <v>0.10054696040311778</v>
      </c>
      <c r="D221" s="204">
        <v>8.3647045222477977E-3</v>
      </c>
      <c r="E221" s="204">
        <v>0</v>
      </c>
      <c r="F221" s="204">
        <v>4.1503642075029677E-2</v>
      </c>
      <c r="G221" s="205">
        <v>0.97154761691615155</v>
      </c>
    </row>
    <row r="222" spans="1:7">
      <c r="A222" s="118">
        <v>43131</v>
      </c>
      <c r="B222" s="204">
        <v>0.84574389629083202</v>
      </c>
      <c r="C222" s="204">
        <v>0.10284482863996022</v>
      </c>
      <c r="D222" s="204">
        <v>8.5024759944202673E-3</v>
      </c>
      <c r="E222" s="204">
        <v>0</v>
      </c>
      <c r="F222" s="204">
        <v>4.2908799074787597E-2</v>
      </c>
      <c r="G222" s="205">
        <v>0.95709120092521238</v>
      </c>
    </row>
    <row r="223" spans="1:7">
      <c r="A223" s="118">
        <v>43159</v>
      </c>
      <c r="B223" s="204">
        <v>0.84566440326778691</v>
      </c>
      <c r="C223" s="204">
        <v>0.10334431157990151</v>
      </c>
      <c r="D223" s="204">
        <v>8.7100316707763442E-3</v>
      </c>
      <c r="E223" s="204">
        <v>0</v>
      </c>
      <c r="F223" s="204">
        <v>4.2281253481535178E-2</v>
      </c>
      <c r="G223" s="205">
        <v>0.95771874651846478</v>
      </c>
    </row>
    <row r="224" spans="1:7">
      <c r="A224" s="118">
        <v>43190</v>
      </c>
      <c r="B224" s="204">
        <v>0.83164897193741927</v>
      </c>
      <c r="C224" s="204">
        <v>0.11694014737327818</v>
      </c>
      <c r="D224" s="204">
        <v>8.6113262912596144E-3</v>
      </c>
      <c r="E224" s="204">
        <v>0</v>
      </c>
      <c r="F224" s="204">
        <v>4.2799554398043047E-2</v>
      </c>
      <c r="G224" s="205">
        <v>0.95720044560195694</v>
      </c>
    </row>
    <row r="225" spans="1:8">
      <c r="A225" s="118">
        <v>43220</v>
      </c>
      <c r="B225" s="204">
        <v>0.82962867507650218</v>
      </c>
      <c r="C225" s="204">
        <v>0.11965401454340351</v>
      </c>
      <c r="D225" s="204">
        <v>8.3629589234490813E-3</v>
      </c>
      <c r="E225" s="204">
        <v>0</v>
      </c>
      <c r="F225" s="204">
        <v>4.2354351456645158E-2</v>
      </c>
      <c r="G225" s="205">
        <v>0.95764564854335488</v>
      </c>
    </row>
    <row r="226" spans="1:8">
      <c r="A226" s="118">
        <v>43251</v>
      </c>
      <c r="B226" s="204">
        <v>0.83351980151603433</v>
      </c>
      <c r="C226" s="204">
        <v>0.11642161414094079</v>
      </c>
      <c r="D226" s="204">
        <v>8.4866213706289335E-3</v>
      </c>
      <c r="E226" s="204">
        <v>0</v>
      </c>
      <c r="F226" s="204">
        <v>4.1571962972395946E-2</v>
      </c>
      <c r="G226" s="205">
        <v>0.95842803702760404</v>
      </c>
    </row>
    <row r="227" spans="1:8">
      <c r="A227" s="118">
        <v>43281</v>
      </c>
      <c r="B227" s="204">
        <v>0.83404104106103349</v>
      </c>
      <c r="C227" s="204">
        <v>0.1167438145521742</v>
      </c>
      <c r="D227" s="204">
        <v>8.3431758373532679E-3</v>
      </c>
      <c r="E227" s="204">
        <v>0</v>
      </c>
      <c r="F227" s="204">
        <v>4.0871968549439128E-2</v>
      </c>
      <c r="G227" s="205">
        <v>0.95912803145056091</v>
      </c>
    </row>
    <row r="228" spans="1:8">
      <c r="A228" s="118">
        <v>43312</v>
      </c>
      <c r="B228" s="204">
        <v>0.8331568295841596</v>
      </c>
      <c r="C228" s="204">
        <v>0.11695437842473162</v>
      </c>
      <c r="D228" s="204">
        <v>8.2480046527310114E-3</v>
      </c>
      <c r="E228" s="204">
        <v>0</v>
      </c>
      <c r="F228" s="204">
        <v>4.1640787338377797E-2</v>
      </c>
      <c r="G228" s="205">
        <v>0.95835921266162227</v>
      </c>
    </row>
    <row r="229" spans="1:8">
      <c r="A229" s="118">
        <v>43343</v>
      </c>
      <c r="B229" s="204">
        <v>0.83561879142738538</v>
      </c>
      <c r="C229" s="204">
        <v>0.1167752737247804</v>
      </c>
      <c r="D229" s="204">
        <v>8.3663741305296073E-3</v>
      </c>
      <c r="E229" s="204">
        <v>0</v>
      </c>
      <c r="F229" s="204">
        <v>3.9239560717304708E-2</v>
      </c>
      <c r="G229" s="205">
        <v>0.96076043928269539</v>
      </c>
    </row>
    <row r="230" spans="1:8">
      <c r="A230" s="118">
        <v>43373</v>
      </c>
      <c r="B230" s="204">
        <v>0.82948922150718818</v>
      </c>
      <c r="C230" s="204">
        <v>0.12262666160568622</v>
      </c>
      <c r="D230" s="204">
        <v>8.1281478493988122E-3</v>
      </c>
      <c r="E230" s="204">
        <v>0</v>
      </c>
      <c r="F230" s="204">
        <v>3.9755969037726852E-2</v>
      </c>
      <c r="G230" s="205">
        <v>0.96024403096227329</v>
      </c>
    </row>
    <row r="231" spans="1:8">
      <c r="A231" s="118">
        <v>43404</v>
      </c>
      <c r="B231" s="204">
        <v>0.83821081538393938</v>
      </c>
      <c r="C231" s="204">
        <v>0.11751410000267612</v>
      </c>
      <c r="D231" s="204">
        <v>8.0297961364435826E-3</v>
      </c>
      <c r="E231" s="204">
        <v>0</v>
      </c>
      <c r="F231" s="204">
        <v>3.6245288476941022E-2</v>
      </c>
      <c r="G231" s="205">
        <v>0.96375471152305914</v>
      </c>
    </row>
    <row r="232" spans="1:8">
      <c r="A232" s="118">
        <v>43434</v>
      </c>
      <c r="B232" s="204">
        <v>0.83932223035506115</v>
      </c>
      <c r="C232" s="204">
        <v>0.11695082828080436</v>
      </c>
      <c r="D232" s="204">
        <v>7.9694579053942033E-3</v>
      </c>
      <c r="E232" s="204">
        <v>0</v>
      </c>
      <c r="F232" s="204">
        <v>3.5757483458740358E-2</v>
      </c>
      <c r="G232" s="205">
        <v>0.9642425165412597</v>
      </c>
    </row>
    <row r="233" spans="1:8">
      <c r="A233" s="118">
        <v>43465</v>
      </c>
      <c r="B233" s="204">
        <v>0.84047934454128814</v>
      </c>
      <c r="C233" s="204">
        <v>0.11627878497404273</v>
      </c>
      <c r="D233" s="204">
        <v>8.1189092787113861E-3</v>
      </c>
      <c r="E233" s="204">
        <v>0</v>
      </c>
      <c r="F233" s="204">
        <v>3.5122961205957724E-2</v>
      </c>
      <c r="G233" s="205">
        <v>0.9648770387940423</v>
      </c>
    </row>
    <row r="234" spans="1:8">
      <c r="A234" s="118">
        <v>43496</v>
      </c>
      <c r="B234" s="204">
        <v>0.84530365101658389</v>
      </c>
      <c r="C234" s="204">
        <v>0.11216323230199603</v>
      </c>
      <c r="D234" s="204">
        <v>7.8686557399192999E-3</v>
      </c>
      <c r="E234" s="204">
        <v>0</v>
      </c>
      <c r="F234" s="204">
        <v>3.4664460941500642E-2</v>
      </c>
      <c r="G234" s="205">
        <v>0.96533553905849934</v>
      </c>
    </row>
    <row r="235" spans="1:8">
      <c r="A235" s="118">
        <v>43524</v>
      </c>
      <c r="B235" s="204">
        <v>0.84545088105554467</v>
      </c>
      <c r="C235" s="204">
        <v>0.11152043838309462</v>
      </c>
      <c r="D235" s="204">
        <v>7.7035795758762775E-3</v>
      </c>
      <c r="E235" s="204">
        <v>0</v>
      </c>
      <c r="F235" s="204">
        <v>3.5325100985484414E-2</v>
      </c>
      <c r="G235" s="205">
        <v>0.96467489901451564</v>
      </c>
    </row>
    <row r="236" spans="1:8">
      <c r="A236" s="118">
        <v>43555</v>
      </c>
      <c r="B236" s="204">
        <v>0.84481821588554085</v>
      </c>
      <c r="C236" s="204">
        <v>0.11242704334886718</v>
      </c>
      <c r="D236" s="204">
        <v>7.9206965911514816E-3</v>
      </c>
      <c r="E236" s="204">
        <v>0</v>
      </c>
      <c r="F236" s="204">
        <v>3.4834044174440422E-2</v>
      </c>
      <c r="G236" s="205">
        <v>0.96516595582555953</v>
      </c>
    </row>
    <row r="237" spans="1:8">
      <c r="A237" s="118">
        <v>43585</v>
      </c>
      <c r="B237" s="204">
        <v>0.84555250494089751</v>
      </c>
      <c r="C237" s="204">
        <v>0.11226955642161338</v>
      </c>
      <c r="D237" s="204">
        <v>7.8695229355765298E-3</v>
      </c>
      <c r="E237" s="204">
        <v>0</v>
      </c>
      <c r="F237" s="204">
        <v>3.4308415701912745E-2</v>
      </c>
      <c r="G237" s="205">
        <v>0.96569158429808744</v>
      </c>
    </row>
    <row r="238" spans="1:8">
      <c r="A238" s="118">
        <v>43616</v>
      </c>
      <c r="B238" s="204">
        <v>0.84593900128777388</v>
      </c>
      <c r="C238" s="204">
        <v>0.11259249892326074</v>
      </c>
      <c r="D238" s="204">
        <v>8.1715782859462672E-3</v>
      </c>
      <c r="E238" s="204">
        <v>0</v>
      </c>
      <c r="F238" s="204">
        <v>3.3296921503019217E-2</v>
      </c>
      <c r="G238" s="205">
        <v>0.96670307849698089</v>
      </c>
    </row>
    <row r="239" spans="1:8">
      <c r="A239" s="118">
        <v>43646</v>
      </c>
      <c r="B239" s="204">
        <v>0.84210716470293345</v>
      </c>
      <c r="C239" s="204">
        <v>0.11481227078191389</v>
      </c>
      <c r="D239" s="204">
        <v>8.213484897183973E-3</v>
      </c>
      <c r="E239" s="204">
        <v>0</v>
      </c>
      <c r="F239" s="204">
        <v>3.4867079617968706E-2</v>
      </c>
      <c r="G239" s="205">
        <v>0.96513292038203136</v>
      </c>
      <c r="H239" s="144"/>
    </row>
    <row r="240" spans="1:8">
      <c r="A240" s="118">
        <v>43677</v>
      </c>
      <c r="B240" s="204">
        <v>0.84587667913279596</v>
      </c>
      <c r="C240" s="204">
        <v>0.11197777167948993</v>
      </c>
      <c r="D240" s="204">
        <v>8.1667452811523857E-3</v>
      </c>
      <c r="E240" s="204">
        <v>0</v>
      </c>
      <c r="F240" s="204">
        <v>3.3978803906561814E-2</v>
      </c>
      <c r="G240" s="205">
        <v>0.96602119609343828</v>
      </c>
    </row>
    <row r="241" spans="1:7">
      <c r="A241" s="118">
        <v>43708</v>
      </c>
      <c r="B241" s="204">
        <v>0.84864909280023448</v>
      </c>
      <c r="C241" s="204">
        <v>0.11090510596857413</v>
      </c>
      <c r="D241" s="204">
        <v>8.3346185834656042E-3</v>
      </c>
      <c r="E241" s="204">
        <v>0</v>
      </c>
      <c r="F241" s="204">
        <v>3.2111182647725764E-2</v>
      </c>
      <c r="G241" s="205">
        <v>0.96788881735227428</v>
      </c>
    </row>
    <row r="242" spans="1:7">
      <c r="A242" s="118">
        <v>43738</v>
      </c>
      <c r="B242" s="204">
        <v>0.84945889722327261</v>
      </c>
      <c r="C242" s="204">
        <v>0.11038400558088567</v>
      </c>
      <c r="D242" s="204">
        <v>8.2258134177398221E-3</v>
      </c>
      <c r="E242" s="204">
        <v>0</v>
      </c>
      <c r="F242" s="204">
        <v>3.1931283778102046E-2</v>
      </c>
      <c r="G242" s="205">
        <v>0.96806871622189816</v>
      </c>
    </row>
    <row r="243" spans="1:7">
      <c r="A243" s="118">
        <v>43769</v>
      </c>
      <c r="B243" s="204">
        <v>0.8473186856122662</v>
      </c>
      <c r="C243" s="204">
        <v>0.11196217025045684</v>
      </c>
      <c r="D243" s="204">
        <v>8.1473046538633916E-3</v>
      </c>
      <c r="E243" s="204">
        <v>0</v>
      </c>
      <c r="F243" s="204">
        <v>3.2571839483413634E-2</v>
      </c>
      <c r="G243" s="205">
        <v>0.96742816051658642</v>
      </c>
    </row>
    <row r="244" spans="1:7">
      <c r="A244" s="118">
        <v>43799</v>
      </c>
      <c r="B244" s="204">
        <v>0.85746248786365076</v>
      </c>
      <c r="C244" s="204">
        <v>0.11105054039498134</v>
      </c>
      <c r="D244" s="204">
        <v>0</v>
      </c>
      <c r="E244" s="204">
        <v>0</v>
      </c>
      <c r="F244" s="204">
        <v>3.148697174136799E-2</v>
      </c>
      <c r="G244" s="205">
        <v>0.96851302825863206</v>
      </c>
    </row>
    <row r="245" spans="1:7">
      <c r="A245" s="118">
        <v>43830</v>
      </c>
      <c r="B245" s="204">
        <v>0.85572923989127159</v>
      </c>
      <c r="C245" s="204">
        <v>0.11110622135045072</v>
      </c>
      <c r="D245" s="204">
        <v>0</v>
      </c>
      <c r="E245" s="204">
        <v>0</v>
      </c>
      <c r="F245" s="204">
        <v>3.3164538758277712E-2</v>
      </c>
      <c r="G245" s="205">
        <v>0.96683546124172226</v>
      </c>
    </row>
    <row r="246" spans="1:7">
      <c r="A246" s="118">
        <v>43861</v>
      </c>
      <c r="B246" s="204">
        <v>0.86270397131618881</v>
      </c>
      <c r="C246" s="204">
        <v>0.10643861640773362</v>
      </c>
      <c r="D246" s="204">
        <v>0</v>
      </c>
      <c r="E246" s="204">
        <v>0</v>
      </c>
      <c r="F246" s="204">
        <v>3.0857412276077495E-2</v>
      </c>
      <c r="G246" s="205">
        <v>0.96914258772392248</v>
      </c>
    </row>
    <row r="247" spans="1:7">
      <c r="A247" s="118">
        <v>43890</v>
      </c>
      <c r="B247" s="204">
        <v>0.86172327960865625</v>
      </c>
      <c r="C247" s="204">
        <v>0.10795896562087622</v>
      </c>
      <c r="D247" s="204">
        <v>0</v>
      </c>
      <c r="E247" s="204">
        <v>0</v>
      </c>
      <c r="F247" s="204">
        <v>3.0317754770467494E-2</v>
      </c>
      <c r="G247" s="205">
        <v>0.9696822452295325</v>
      </c>
    </row>
    <row r="248" spans="1:7">
      <c r="A248" s="118">
        <v>43921</v>
      </c>
      <c r="B248" s="204">
        <v>0.86782361095097671</v>
      </c>
      <c r="C248" s="204">
        <v>0.10628924306054346</v>
      </c>
      <c r="D248" s="204">
        <v>0</v>
      </c>
      <c r="E248" s="204">
        <v>0</v>
      </c>
      <c r="F248" s="204">
        <v>2.5887145988479871E-2</v>
      </c>
      <c r="G248" s="205">
        <v>0.97411285401152015</v>
      </c>
    </row>
    <row r="249" spans="1:7">
      <c r="A249" s="118">
        <v>43951</v>
      </c>
      <c r="B249" s="204">
        <v>0.87292932774669352</v>
      </c>
      <c r="C249" s="204">
        <v>0.1014239506590191</v>
      </c>
      <c r="D249" s="204">
        <v>0</v>
      </c>
      <c r="E249" s="204">
        <v>0</v>
      </c>
      <c r="F249" s="204">
        <v>2.5646721594287467E-2</v>
      </c>
      <c r="G249" s="205">
        <v>0.97435327840571262</v>
      </c>
    </row>
    <row r="250" spans="1:7">
      <c r="A250" s="118">
        <v>43982</v>
      </c>
      <c r="B250" s="204">
        <v>0.87212686158933184</v>
      </c>
      <c r="C250" s="204">
        <v>0.10112153285664111</v>
      </c>
      <c r="D250" s="204">
        <v>0</v>
      </c>
      <c r="E250" s="204">
        <v>0</v>
      </c>
      <c r="F250" s="204">
        <v>2.6751605554027048E-2</v>
      </c>
      <c r="G250" s="205">
        <v>0.97324839444597289</v>
      </c>
    </row>
    <row r="251" spans="1:7">
      <c r="A251" s="118">
        <v>44012</v>
      </c>
      <c r="B251" s="204">
        <v>0.90785404570140515</v>
      </c>
      <c r="C251" s="204">
        <v>4.7348335633264467E-2</v>
      </c>
      <c r="D251" s="204">
        <v>0</v>
      </c>
      <c r="E251" s="204">
        <v>0</v>
      </c>
      <c r="F251" s="204">
        <v>4.4797618665330281E-2</v>
      </c>
      <c r="G251" s="205">
        <v>0.95520238133466961</v>
      </c>
    </row>
    <row r="252" spans="1:7">
      <c r="A252" s="118">
        <v>44043</v>
      </c>
      <c r="B252" s="204">
        <v>0.90563196243123223</v>
      </c>
      <c r="C252" s="204">
        <v>4.9447991993767607E-2</v>
      </c>
      <c r="D252" s="204">
        <v>0</v>
      </c>
      <c r="E252" s="204">
        <v>0</v>
      </c>
      <c r="F252" s="204">
        <v>4.4920045575000116E-2</v>
      </c>
      <c r="G252" s="205">
        <v>0.95507995442499982</v>
      </c>
    </row>
    <row r="253" spans="1:7">
      <c r="A253" s="118">
        <v>44074</v>
      </c>
      <c r="B253" s="204">
        <v>0.90541561352828881</v>
      </c>
      <c r="C253" s="204">
        <v>4.9924556218497819E-2</v>
      </c>
      <c r="D253" s="204">
        <v>0</v>
      </c>
      <c r="E253" s="204">
        <v>0</v>
      </c>
      <c r="F253" s="204">
        <v>4.4659830253213371E-2</v>
      </c>
      <c r="G253" s="205">
        <v>0.95534016974678659</v>
      </c>
    </row>
    <row r="254" spans="1:7">
      <c r="A254" s="118">
        <v>44104</v>
      </c>
      <c r="B254" s="204">
        <v>0.87941492654327968</v>
      </c>
      <c r="C254" s="204">
        <v>9.702747625748262E-2</v>
      </c>
      <c r="D254" s="204">
        <v>0</v>
      </c>
      <c r="E254" s="204">
        <v>0</v>
      </c>
      <c r="F254" s="204">
        <v>2.3557597199237716E-2</v>
      </c>
      <c r="G254" s="205">
        <v>0.97644240280076233</v>
      </c>
    </row>
    <row r="255" spans="1:7">
      <c r="A255" s="118">
        <v>44135</v>
      </c>
      <c r="B255" s="204">
        <v>0.87806484182505296</v>
      </c>
      <c r="C255" s="204">
        <v>9.8205149129929226E-2</v>
      </c>
      <c r="D255" s="204">
        <v>0</v>
      </c>
      <c r="E255" s="204">
        <v>0</v>
      </c>
      <c r="F255" s="204">
        <v>2.3730009045017892E-2</v>
      </c>
      <c r="G255" s="205">
        <v>0.97626999095498213</v>
      </c>
    </row>
    <row r="256" spans="1:7">
      <c r="A256" s="118">
        <v>44165</v>
      </c>
      <c r="B256" s="204">
        <v>0.87521993614784077</v>
      </c>
      <c r="C256" s="204">
        <v>9.9512576339373729E-2</v>
      </c>
      <c r="D256" s="204">
        <v>0</v>
      </c>
      <c r="E256" s="204">
        <v>0</v>
      </c>
      <c r="F256" s="204">
        <v>2.5267487512785469E-2</v>
      </c>
      <c r="G256" s="205">
        <v>0.97473251248721449</v>
      </c>
    </row>
    <row r="257" spans="1:11">
      <c r="A257" s="118">
        <v>44196</v>
      </c>
      <c r="B257" s="204">
        <v>0.87486217522320042</v>
      </c>
      <c r="C257" s="204">
        <v>0.10105306187437509</v>
      </c>
      <c r="D257" s="204">
        <v>0</v>
      </c>
      <c r="E257" s="204">
        <v>0</v>
      </c>
      <c r="F257" s="204">
        <v>2.4084762902424589E-2</v>
      </c>
      <c r="G257" s="205">
        <v>0.97591523709757555</v>
      </c>
    </row>
    <row r="258" spans="1:11">
      <c r="A258" s="118">
        <v>44227</v>
      </c>
      <c r="B258" s="204">
        <v>0.90668275354428252</v>
      </c>
      <c r="C258" s="204">
        <v>4.8551948912947653E-2</v>
      </c>
      <c r="D258" s="204">
        <v>0</v>
      </c>
      <c r="E258" s="204">
        <v>0</v>
      </c>
      <c r="F258" s="204">
        <v>4.476529754276979E-2</v>
      </c>
      <c r="G258" s="205">
        <v>0.95523470245723019</v>
      </c>
    </row>
    <row r="259" spans="1:11">
      <c r="A259" s="118">
        <v>44255</v>
      </c>
      <c r="B259" s="204">
        <v>0.87815331489565041</v>
      </c>
      <c r="C259" s="204">
        <v>9.9433385486958709E-2</v>
      </c>
      <c r="D259" s="204">
        <v>0</v>
      </c>
      <c r="E259" s="204">
        <v>0</v>
      </c>
      <c r="F259" s="204">
        <v>2.2413299617390817E-2</v>
      </c>
      <c r="G259" s="205">
        <v>0.97758670038260909</v>
      </c>
    </row>
    <row r="260" spans="1:11">
      <c r="A260" s="118">
        <v>44286</v>
      </c>
      <c r="B260" s="204">
        <v>0.88297938868249592</v>
      </c>
      <c r="C260" s="204">
        <v>9.5040601154669405E-2</v>
      </c>
      <c r="D260" s="204">
        <v>0</v>
      </c>
      <c r="E260" s="204">
        <v>0</v>
      </c>
      <c r="F260" s="204">
        <v>2.1980010162834702E-2</v>
      </c>
      <c r="G260" s="205">
        <v>0.97801998983716532</v>
      </c>
    </row>
    <row r="261" spans="1:11">
      <c r="A261" s="118">
        <v>44316</v>
      </c>
      <c r="B261" s="204">
        <v>0.89196446481877467</v>
      </c>
      <c r="C261" s="204">
        <v>9.6311425789523328E-2</v>
      </c>
      <c r="D261" s="204">
        <v>0</v>
      </c>
      <c r="E261" s="204">
        <v>0</v>
      </c>
      <c r="F261" s="204">
        <v>1.1724109391702148E-2</v>
      </c>
      <c r="G261" s="205">
        <v>0.98827589060829801</v>
      </c>
      <c r="H261" s="144"/>
    </row>
    <row r="262" spans="1:11">
      <c r="A262" s="118">
        <v>44347</v>
      </c>
      <c r="B262" s="204">
        <v>0.8915835382965821</v>
      </c>
      <c r="C262" s="204">
        <v>9.6687526202234114E-2</v>
      </c>
      <c r="D262" s="204">
        <v>0</v>
      </c>
      <c r="E262" s="204">
        <v>0</v>
      </c>
      <c r="F262" s="204">
        <v>1.1728935501183596E-2</v>
      </c>
      <c r="G262" s="205">
        <v>0.98827106449881619</v>
      </c>
    </row>
    <row r="263" spans="1:11">
      <c r="A263" s="118">
        <v>44377</v>
      </c>
      <c r="B263" s="204">
        <v>0.89521053350364221</v>
      </c>
      <c r="C263" s="204">
        <v>9.325698412027153E-2</v>
      </c>
      <c r="D263" s="204">
        <v>0</v>
      </c>
      <c r="E263" s="204">
        <v>0</v>
      </c>
      <c r="F263" s="204">
        <v>1.1532482376086423E-2</v>
      </c>
      <c r="G263" s="205">
        <v>0.98846751762391372</v>
      </c>
    </row>
    <row r="264" spans="1:11">
      <c r="A264" s="118">
        <v>44408</v>
      </c>
      <c r="B264" s="204">
        <v>0.89456153528116022</v>
      </c>
      <c r="C264" s="204">
        <v>9.4145656799063476E-2</v>
      </c>
      <c r="D264" s="204">
        <v>0</v>
      </c>
      <c r="E264" s="204">
        <v>0</v>
      </c>
      <c r="F264" s="204">
        <v>1.1292807919776215E-2</v>
      </c>
      <c r="G264" s="205">
        <v>0.98870719208022373</v>
      </c>
      <c r="J264" s="80"/>
      <c r="K264" s="80"/>
    </row>
    <row r="265" spans="1:11">
      <c r="A265" s="118">
        <v>44439</v>
      </c>
      <c r="B265" s="204">
        <v>0.89658611576179548</v>
      </c>
      <c r="C265" s="204">
        <v>9.2124965197416628E-2</v>
      </c>
      <c r="D265" s="204">
        <v>0</v>
      </c>
      <c r="E265" s="204">
        <v>0</v>
      </c>
      <c r="F265" s="204">
        <v>1.128891904078784E-2</v>
      </c>
      <c r="G265" s="205">
        <v>0.98871108095921212</v>
      </c>
      <c r="I265" s="80"/>
      <c r="J265" s="80"/>
      <c r="K265" s="80"/>
    </row>
    <row r="266" spans="1:11">
      <c r="A266" s="118">
        <v>44469</v>
      </c>
      <c r="B266" s="204">
        <v>0.89193134879628477</v>
      </c>
      <c r="C266" s="204">
        <v>9.3542902104665926E-2</v>
      </c>
      <c r="D266" s="204">
        <v>0</v>
      </c>
      <c r="E266" s="204">
        <v>0</v>
      </c>
      <c r="F266" s="204">
        <v>1.4525749099049188E-2</v>
      </c>
      <c r="G266" s="205">
        <v>0.98547425090095064</v>
      </c>
      <c r="I266" s="80"/>
      <c r="J266" s="80"/>
      <c r="K266" s="80"/>
    </row>
    <row r="267" spans="1:11">
      <c r="A267" s="118">
        <v>44500</v>
      </c>
      <c r="B267" s="204">
        <v>0.89345242008079639</v>
      </c>
      <c r="C267" s="204">
        <v>9.2068573442865856E-2</v>
      </c>
      <c r="D267" s="204">
        <v>0</v>
      </c>
      <c r="E267" s="204">
        <v>0</v>
      </c>
      <c r="F267" s="204">
        <v>1.4479006476337803E-2</v>
      </c>
      <c r="G267" s="205">
        <v>0.98552099352366229</v>
      </c>
    </row>
    <row r="268" spans="1:11">
      <c r="A268" s="118">
        <v>44530</v>
      </c>
      <c r="B268" s="204">
        <v>0.89748643138008644</v>
      </c>
      <c r="C268" s="204">
        <v>8.8999894955189368E-2</v>
      </c>
      <c r="D268" s="204">
        <v>0</v>
      </c>
      <c r="E268" s="204">
        <v>0</v>
      </c>
      <c r="F268" s="204">
        <v>1.351367366472407E-2</v>
      </c>
      <c r="G268" s="205">
        <v>0.98648632633527578</v>
      </c>
    </row>
    <row r="269" spans="1:11">
      <c r="A269" s="118">
        <v>44561</v>
      </c>
      <c r="B269" s="204">
        <v>0.89440734371415376</v>
      </c>
      <c r="C269" s="204">
        <v>9.228619590711816E-2</v>
      </c>
      <c r="D269" s="204">
        <v>0</v>
      </c>
      <c r="E269" s="204">
        <v>0</v>
      </c>
      <c r="F269" s="204">
        <v>1.351367366472407E-2</v>
      </c>
      <c r="G269" s="205">
        <v>0.98669353962127193</v>
      </c>
    </row>
    <row r="270" spans="1:11">
      <c r="A270" s="118">
        <v>44592</v>
      </c>
      <c r="B270" s="204">
        <v>0.89802635363655103</v>
      </c>
      <c r="C270" s="204">
        <v>8.8610339060626306E-2</v>
      </c>
      <c r="D270" s="204">
        <v>0</v>
      </c>
      <c r="E270" s="204">
        <v>0</v>
      </c>
      <c r="F270" s="204">
        <v>1.3363307302822649E-2</v>
      </c>
      <c r="G270" s="205">
        <v>0.98663669269717735</v>
      </c>
    </row>
    <row r="271" spans="1:11">
      <c r="A271" s="118">
        <v>44620</v>
      </c>
      <c r="B271" s="204">
        <v>0.89187871131640684</v>
      </c>
      <c r="C271" s="204">
        <v>9.1816160227689195E-2</v>
      </c>
      <c r="D271" s="204">
        <v>0</v>
      </c>
      <c r="E271" s="204">
        <v>0</v>
      </c>
      <c r="F271" s="204">
        <v>1.6305128455904025E-2</v>
      </c>
      <c r="G271" s="205">
        <v>0.98369487154409607</v>
      </c>
    </row>
    <row r="272" spans="1:11">
      <c r="A272" s="118">
        <v>44651</v>
      </c>
      <c r="B272" s="204">
        <v>0.88374757316438635</v>
      </c>
      <c r="C272" s="204">
        <v>9.0840625009051351E-2</v>
      </c>
      <c r="D272" s="204">
        <v>0</v>
      </c>
      <c r="E272" s="204">
        <v>0</v>
      </c>
      <c r="F272" s="204">
        <v>2.5411801826562424E-2</v>
      </c>
      <c r="G272" s="205">
        <v>0.97458819817343767</v>
      </c>
    </row>
    <row r="273" spans="1:7">
      <c r="A273" s="118">
        <v>44681</v>
      </c>
      <c r="B273" s="204">
        <v>0.88771512185809909</v>
      </c>
      <c r="C273" s="204">
        <v>8.6980741285326207E-2</v>
      </c>
      <c r="D273" s="204">
        <v>0</v>
      </c>
      <c r="E273" s="204">
        <v>0</v>
      </c>
      <c r="F273" s="204">
        <v>2.5304136856574708E-2</v>
      </c>
      <c r="G273" s="205">
        <v>0.97469586314342527</v>
      </c>
    </row>
    <row r="274" spans="1:7">
      <c r="A274" s="118">
        <v>44712</v>
      </c>
      <c r="B274" s="204">
        <v>0.88765136758754826</v>
      </c>
      <c r="C274" s="204">
        <v>8.6937830013024353E-2</v>
      </c>
      <c r="D274" s="204">
        <v>0</v>
      </c>
      <c r="E274" s="204">
        <v>0</v>
      </c>
      <c r="F274" s="204">
        <v>2.5410802399427258E-2</v>
      </c>
      <c r="G274" s="205">
        <v>0.97458919760057261</v>
      </c>
    </row>
    <row r="275" spans="1:7">
      <c r="A275" s="118">
        <v>44742</v>
      </c>
      <c r="B275" s="204">
        <v>0.89114529408753829</v>
      </c>
      <c r="C275" s="204">
        <v>8.4811571199613231E-2</v>
      </c>
      <c r="D275" s="204">
        <v>0</v>
      </c>
      <c r="E275" s="204">
        <v>0</v>
      </c>
      <c r="F275" s="204">
        <v>2.4043134712848517E-2</v>
      </c>
      <c r="G275" s="205">
        <v>0.97595686528715153</v>
      </c>
    </row>
    <row r="276" spans="1:7">
      <c r="A276" s="118">
        <v>44773</v>
      </c>
      <c r="B276" s="204">
        <v>0.89456551682257335</v>
      </c>
      <c r="C276" s="204">
        <v>8.2380191689230942E-2</v>
      </c>
      <c r="D276" s="204">
        <v>0</v>
      </c>
      <c r="E276" s="204">
        <v>0</v>
      </c>
      <c r="F276" s="204">
        <v>2.3054291488195738E-2</v>
      </c>
      <c r="G276" s="205">
        <v>0.97694570851180429</v>
      </c>
    </row>
    <row r="277" spans="1:7">
      <c r="A277" s="118">
        <v>44804</v>
      </c>
      <c r="B277" s="204">
        <v>0.89679139092917459</v>
      </c>
      <c r="C277" s="204">
        <v>8.0969438344196981E-2</v>
      </c>
      <c r="D277" s="204">
        <v>0</v>
      </c>
      <c r="E277" s="204">
        <v>0</v>
      </c>
      <c r="F277" s="204">
        <v>2.2239170726628458E-2</v>
      </c>
      <c r="G277" s="205">
        <v>0.9777608292733716</v>
      </c>
    </row>
    <row r="278" spans="1:7">
      <c r="A278" s="118">
        <v>44834</v>
      </c>
      <c r="B278" s="204">
        <v>0.89685467342191405</v>
      </c>
      <c r="C278" s="204">
        <v>8.1613932246786147E-2</v>
      </c>
      <c r="D278" s="204">
        <v>0</v>
      </c>
      <c r="E278" s="204">
        <v>0</v>
      </c>
      <c r="F278" s="204">
        <v>2.1531394331299806E-2</v>
      </c>
      <c r="G278" s="205">
        <v>0.9784686056687002</v>
      </c>
    </row>
    <row r="279" spans="1:7">
      <c r="A279" s="118">
        <v>44865</v>
      </c>
      <c r="B279" s="204">
        <v>0.89740018090270113</v>
      </c>
      <c r="C279" s="204">
        <v>8.240116897957156E-2</v>
      </c>
      <c r="D279" s="204">
        <v>0</v>
      </c>
      <c r="E279" s="204">
        <v>0</v>
      </c>
      <c r="F279" s="204">
        <v>2.019865011772725E-2</v>
      </c>
      <c r="G279" s="205">
        <v>0.97980134988227263</v>
      </c>
    </row>
    <row r="280" spans="1:7">
      <c r="A280" s="118">
        <v>44895</v>
      </c>
      <c r="B280" s="204">
        <v>0.89460621450688771</v>
      </c>
      <c r="C280" s="204">
        <v>8.5312192658220945E-2</v>
      </c>
      <c r="D280" s="204">
        <v>0</v>
      </c>
      <c r="E280" s="204">
        <v>0</v>
      </c>
      <c r="F280" s="204">
        <v>2.0081592834891283E-2</v>
      </c>
      <c r="G280" s="205">
        <v>0.9799184071651087</v>
      </c>
    </row>
    <row r="281" spans="1:7">
      <c r="A281" s="118">
        <v>44926</v>
      </c>
      <c r="B281" s="204">
        <v>0.89257627757551694</v>
      </c>
      <c r="C281" s="204">
        <v>8.7899041346126416E-2</v>
      </c>
      <c r="D281" s="204">
        <v>0</v>
      </c>
      <c r="E281" s="204">
        <v>0</v>
      </c>
      <c r="F281" s="204">
        <v>1.9524681078356681E-2</v>
      </c>
      <c r="G281" s="205">
        <v>0.9804753189216433</v>
      </c>
    </row>
    <row r="282" spans="1:7">
      <c r="A282" s="118">
        <v>44957</v>
      </c>
      <c r="B282" s="204">
        <v>0.89060301482753457</v>
      </c>
      <c r="C282" s="204">
        <v>8.9183637627565621E-2</v>
      </c>
      <c r="D282" s="204">
        <v>0</v>
      </c>
      <c r="E282" s="204">
        <v>0</v>
      </c>
      <c r="F282" s="204">
        <v>2.0213347544899809E-2</v>
      </c>
      <c r="G282" s="205">
        <v>0.97978665245510022</v>
      </c>
    </row>
    <row r="283" spans="1:7">
      <c r="A283" s="118">
        <v>44985</v>
      </c>
      <c r="B283" s="204">
        <v>0.89601305448464419</v>
      </c>
      <c r="C283" s="204">
        <v>8.5093948922188523E-2</v>
      </c>
      <c r="D283" s="204">
        <v>0</v>
      </c>
      <c r="E283" s="204">
        <v>0</v>
      </c>
      <c r="F283" s="204">
        <v>1.8892996593167274E-2</v>
      </c>
      <c r="G283" s="205">
        <v>0.98110700340683277</v>
      </c>
    </row>
    <row r="284" spans="1:7">
      <c r="A284" s="118">
        <v>45016</v>
      </c>
      <c r="B284" s="204">
        <v>0.89516611885438679</v>
      </c>
      <c r="C284" s="204">
        <v>8.7910989341822551E-2</v>
      </c>
      <c r="D284" s="204">
        <v>0</v>
      </c>
      <c r="E284" s="204">
        <v>0</v>
      </c>
      <c r="F284" s="204">
        <v>1.6922891803790557E-2</v>
      </c>
      <c r="G284" s="205">
        <v>0.9830771081962093</v>
      </c>
    </row>
    <row r="285" spans="1:7">
      <c r="A285" s="118">
        <v>45046</v>
      </c>
      <c r="B285" s="204">
        <v>0.89412024440763249</v>
      </c>
      <c r="C285" s="204">
        <v>8.9166089371129173E-2</v>
      </c>
      <c r="D285" s="204">
        <v>0</v>
      </c>
      <c r="E285" s="204">
        <v>0</v>
      </c>
      <c r="F285" s="204">
        <v>1.6713666221238366E-2</v>
      </c>
      <c r="G285" s="205">
        <v>0.98328633377876162</v>
      </c>
    </row>
    <row r="286" spans="1:7">
      <c r="A286" s="118">
        <v>45077</v>
      </c>
      <c r="B286" s="204">
        <v>0.89564166303303949</v>
      </c>
      <c r="C286" s="204">
        <v>8.6567706073852127E-2</v>
      </c>
      <c r="D286" s="204">
        <v>0</v>
      </c>
      <c r="E286" s="204">
        <v>0</v>
      </c>
      <c r="F286" s="204">
        <v>1.7790630893108381E-2</v>
      </c>
      <c r="G286" s="205">
        <v>0.98220936910689161</v>
      </c>
    </row>
    <row r="287" spans="1:7">
      <c r="A287" s="118">
        <v>45107</v>
      </c>
      <c r="B287" s="204">
        <v>0.89356433447060424</v>
      </c>
      <c r="C287" s="204">
        <v>8.7712724543975815E-2</v>
      </c>
      <c r="D287" s="204">
        <v>0</v>
      </c>
      <c r="E287" s="204">
        <v>0</v>
      </c>
      <c r="F287" s="204">
        <v>1.8722940985419795E-2</v>
      </c>
      <c r="G287" s="205">
        <v>0.98127705901458007</v>
      </c>
    </row>
    <row r="288" spans="1:7">
      <c r="A288" s="118">
        <v>45138</v>
      </c>
      <c r="B288" s="204">
        <v>0.89135566183751525</v>
      </c>
      <c r="C288" s="204">
        <v>8.8705268146637886E-2</v>
      </c>
      <c r="D288" s="204">
        <v>0</v>
      </c>
      <c r="E288" s="204">
        <v>0</v>
      </c>
      <c r="F288" s="204">
        <v>1.9939070015846848E-2</v>
      </c>
      <c r="G288" s="205">
        <v>0.98006092998415317</v>
      </c>
    </row>
    <row r="289" spans="1:7">
      <c r="A289" s="118">
        <v>45169</v>
      </c>
      <c r="B289" s="204">
        <v>0.89319126943708793</v>
      </c>
      <c r="C289" s="204">
        <v>8.7811954743283654E-2</v>
      </c>
      <c r="D289" s="204">
        <v>0</v>
      </c>
      <c r="E289" s="204">
        <v>0</v>
      </c>
      <c r="F289" s="204">
        <v>1.8996775819628307E-2</v>
      </c>
      <c r="G289" s="205">
        <v>0.98100322418037156</v>
      </c>
    </row>
    <row r="290" spans="1:7">
      <c r="A290" s="118">
        <v>45199</v>
      </c>
      <c r="B290" s="204">
        <v>0.89402611726943348</v>
      </c>
      <c r="C290" s="204">
        <v>8.4924573485601632E-2</v>
      </c>
      <c r="D290" s="204">
        <v>0</v>
      </c>
      <c r="E290" s="204">
        <v>0</v>
      </c>
      <c r="F290" s="204">
        <v>2.1049309244965057E-2</v>
      </c>
      <c r="G290" s="205">
        <v>0.97895069075503516</v>
      </c>
    </row>
    <row r="291" spans="1:7">
      <c r="A291" s="118">
        <v>45230</v>
      </c>
      <c r="B291" s="204">
        <v>0.89287499471608156</v>
      </c>
      <c r="C291" s="204">
        <v>8.6074704937511792E-2</v>
      </c>
      <c r="D291" s="204">
        <v>0</v>
      </c>
      <c r="E291" s="204">
        <v>0</v>
      </c>
      <c r="F291" s="204">
        <v>2.105030034640671E-2</v>
      </c>
      <c r="G291" s="205">
        <v>0.97894969965359335</v>
      </c>
    </row>
    <row r="292" spans="1:7">
      <c r="A292" s="118">
        <v>45260</v>
      </c>
      <c r="B292" s="204">
        <v>0.89494901647068681</v>
      </c>
      <c r="C292" s="204">
        <v>8.4322975021130953E-2</v>
      </c>
      <c r="D292" s="204">
        <v>0</v>
      </c>
      <c r="E292" s="204">
        <v>0</v>
      </c>
      <c r="F292" s="204">
        <v>2.0728008508182336E-2</v>
      </c>
      <c r="G292" s="205">
        <v>0.97927199149181776</v>
      </c>
    </row>
    <row r="293" spans="1:7">
      <c r="A293" s="118">
        <v>45291</v>
      </c>
      <c r="B293" s="204">
        <v>0.89461551991627897</v>
      </c>
      <c r="C293" s="204">
        <v>8.4094479773407088E-2</v>
      </c>
      <c r="D293" s="204">
        <v>0</v>
      </c>
      <c r="E293" s="204">
        <v>0</v>
      </c>
      <c r="F293" s="204">
        <v>2.1290000310313934E-2</v>
      </c>
      <c r="G293" s="205">
        <v>0.97870999968968608</v>
      </c>
    </row>
    <row r="294" spans="1:7">
      <c r="A294" s="118">
        <v>45322</v>
      </c>
      <c r="B294" s="204">
        <v>0.89655177498557947</v>
      </c>
      <c r="C294" s="204">
        <v>8.2690729680938657E-2</v>
      </c>
      <c r="D294" s="204">
        <v>0</v>
      </c>
      <c r="E294" s="204">
        <v>0</v>
      </c>
      <c r="F294" s="204">
        <v>2.0757495333481906E-2</v>
      </c>
      <c r="G294" s="205">
        <v>0.97924250466651808</v>
      </c>
    </row>
    <row r="295" spans="1:7">
      <c r="A295" s="118">
        <v>45350</v>
      </c>
      <c r="B295" s="204">
        <v>0.89693626588963127</v>
      </c>
      <c r="C295" s="204">
        <v>8.2492188073416448E-2</v>
      </c>
      <c r="D295" s="204">
        <v>0</v>
      </c>
      <c r="E295" s="204">
        <v>0</v>
      </c>
      <c r="F295" s="204">
        <v>2.0571546036952236E-2</v>
      </c>
      <c r="G295" s="205">
        <v>0.97942845396304767</v>
      </c>
    </row>
    <row r="296" spans="1:7">
      <c r="A296" s="118">
        <v>45382</v>
      </c>
      <c r="B296" s="204">
        <v>0.89066222667484518</v>
      </c>
      <c r="C296" s="204">
        <v>8.8464532734942883E-2</v>
      </c>
      <c r="D296" s="204">
        <v>0</v>
      </c>
      <c r="E296" s="204">
        <v>0</v>
      </c>
      <c r="F296" s="204">
        <v>2.0873240590211853E-2</v>
      </c>
      <c r="G296" s="205">
        <v>0.97912675940978811</v>
      </c>
    </row>
    <row r="297" spans="1:7">
      <c r="A297" s="118">
        <v>45412</v>
      </c>
      <c r="B297" s="204">
        <v>0.89329960588987656</v>
      </c>
      <c r="C297" s="204">
        <v>8.6371313067869479E-2</v>
      </c>
      <c r="D297" s="204">
        <v>0</v>
      </c>
      <c r="E297" s="204">
        <v>0</v>
      </c>
      <c r="F297" s="204">
        <v>2.0329081042253921E-2</v>
      </c>
      <c r="G297" s="205">
        <v>0.97967091895774605</v>
      </c>
    </row>
    <row r="298" spans="1:7">
      <c r="A298" s="118">
        <v>45443</v>
      </c>
      <c r="B298" s="204">
        <v>0.89128751262077777</v>
      </c>
      <c r="C298" s="204">
        <v>8.8114112202289832E-2</v>
      </c>
      <c r="D298" s="204">
        <v>0</v>
      </c>
      <c r="E298" s="204">
        <v>0</v>
      </c>
      <c r="F298" s="204">
        <v>2.0598375176932283E-2</v>
      </c>
      <c r="G298" s="205">
        <v>0.97940162482306758</v>
      </c>
    </row>
    <row r="299" spans="1:7">
      <c r="A299" s="118">
        <v>45473</v>
      </c>
      <c r="B299" s="204">
        <v>0.89365570827970453</v>
      </c>
      <c r="C299" s="204">
        <v>8.7094028561048142E-2</v>
      </c>
      <c r="D299" s="204">
        <v>0</v>
      </c>
      <c r="E299" s="204">
        <v>0</v>
      </c>
      <c r="F299" s="204">
        <v>1.9250263159247195E-2</v>
      </c>
      <c r="G299" s="205">
        <v>0.98074973684075273</v>
      </c>
    </row>
    <row r="300" spans="1:7">
      <c r="A300" s="118">
        <v>45504</v>
      </c>
      <c r="B300" s="204">
        <v>0.8937435344941147</v>
      </c>
      <c r="C300" s="204">
        <v>8.6928196393058807E-2</v>
      </c>
      <c r="D300" s="204">
        <v>0</v>
      </c>
      <c r="E300" s="204">
        <v>0</v>
      </c>
      <c r="F300" s="204">
        <v>1.9328269112826306E-2</v>
      </c>
      <c r="G300" s="205">
        <v>0.98067173088717352</v>
      </c>
    </row>
    <row r="301" spans="1:7">
      <c r="A301" s="118">
        <v>45535</v>
      </c>
      <c r="B301" s="204">
        <v>0.89168003584659483</v>
      </c>
      <c r="C301" s="204">
        <v>8.9360856592740456E-2</v>
      </c>
      <c r="D301" s="204">
        <v>0</v>
      </c>
      <c r="E301" s="204">
        <v>0</v>
      </c>
      <c r="F301" s="204">
        <v>1.895910756066467E-2</v>
      </c>
      <c r="G301" s="205">
        <v>0.98104089243933523</v>
      </c>
    </row>
    <row r="302" spans="1:7">
      <c r="A302" s="118">
        <v>45565</v>
      </c>
      <c r="B302" s="204">
        <v>0.89124183787872213</v>
      </c>
      <c r="C302" s="204">
        <v>9.0046710415696257E-2</v>
      </c>
      <c r="D302" s="204">
        <v>0</v>
      </c>
      <c r="E302" s="204">
        <v>0</v>
      </c>
      <c r="F302" s="204">
        <v>1.8711451705581715E-2</v>
      </c>
      <c r="G302" s="205">
        <v>0.98128854829441836</v>
      </c>
    </row>
    <row r="303" spans="1:7">
      <c r="A303" s="118">
        <v>45596</v>
      </c>
      <c r="B303" s="204">
        <v>0.894311852806709</v>
      </c>
      <c r="C303" s="204">
        <v>8.8025675348553614E-2</v>
      </c>
      <c r="D303" s="204">
        <v>0</v>
      </c>
      <c r="E303" s="204">
        <v>0</v>
      </c>
      <c r="F303" s="204">
        <v>1.7662471844737435E-2</v>
      </c>
      <c r="G303" s="205">
        <v>0.98233752815526265</v>
      </c>
    </row>
    <row r="304" spans="1:7">
      <c r="A304" s="118">
        <v>45626</v>
      </c>
      <c r="B304" s="204">
        <v>0.90074570473847737</v>
      </c>
      <c r="C304" s="204">
        <v>8.2048435142747844E-2</v>
      </c>
      <c r="D304" s="204">
        <v>0</v>
      </c>
      <c r="E304" s="204">
        <v>0</v>
      </c>
      <c r="F304" s="204">
        <v>1.7205860118774837E-2</v>
      </c>
      <c r="G304" s="205">
        <v>0.98279413988122521</v>
      </c>
    </row>
    <row r="305" spans="1:7">
      <c r="A305" s="118">
        <v>45657</v>
      </c>
      <c r="B305" s="204">
        <v>0.90198751661345056</v>
      </c>
      <c r="C305" s="204">
        <v>8.0716850211217231E-2</v>
      </c>
      <c r="D305" s="204">
        <v>0</v>
      </c>
      <c r="E305" s="204">
        <v>0</v>
      </c>
      <c r="F305" s="204">
        <v>1.7295633175332146E-2</v>
      </c>
      <c r="G305" s="205">
        <v>0.98270436682466777</v>
      </c>
    </row>
  </sheetData>
  <phoneticPr fontId="15" type="noConversion"/>
  <pageMargins left="0.23622047244094491" right="0.23622047244094491" top="0.74803149606299213" bottom="0.74803149606299213" header="0.31496062992125984" footer="0.31496062992125984"/>
  <pageSetup fitToHeight="9999" orientation="landscape"/>
  <headerFooter alignWithMargins="0"/>
  <ignoredErrors>
    <ignoredError sqref="G14:G22" unlocked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Drop Down 1">
              <controlPr defaultSize="0" print="0" autoLine="0" autoPict="0">
                <anchor>
                  <from>
                    <xdr:col>0</xdr:col>
                    <xdr:colOff>857250</xdr:colOff>
                    <xdr:row>1</xdr:row>
                    <xdr:rowOff>133350</xdr:rowOff>
                  </from>
                  <to>
                    <xdr:col>1</xdr:col>
                    <xdr:colOff>2105025</xdr:colOff>
                    <xdr:row>2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8A82-D520-4CCB-BED8-20B787E2556E}">
  <sheetPr codeName="Hoja4">
    <tabColor rgb="FFB48C41"/>
    <pageSetUpPr fitToPage="1"/>
  </sheetPr>
  <dimension ref="A1:J303"/>
  <sheetViews>
    <sheetView showGridLines="0" zoomScale="96" zoomScaleNormal="96" workbookViewId="0">
      <pane ySplit="20" topLeftCell="A294" activePane="bottomLeft" state="frozen"/>
      <selection activeCell="Z846" sqref="Z846"/>
      <selection pane="bottomLeft" activeCell="B303" sqref="B303:H303"/>
    </sheetView>
  </sheetViews>
  <sheetFormatPr baseColWidth="10" defaultColWidth="0" defaultRowHeight="12.75"/>
  <cols>
    <col min="1" max="3" width="14.7109375" style="91" customWidth="1"/>
    <col min="4" max="4" width="17.28515625" style="91" customWidth="1"/>
    <col min="5" max="5" width="18" style="91" customWidth="1"/>
    <col min="6" max="6" width="17.28515625" style="91" customWidth="1"/>
    <col min="7" max="7" width="14.7109375" style="91" customWidth="1"/>
    <col min="8" max="8" width="18.28515625" style="91" customWidth="1"/>
    <col min="9" max="9" width="25.5703125" style="80" customWidth="1"/>
    <col min="10" max="16384" width="0" style="80" hidden="1"/>
  </cols>
  <sheetData>
    <row r="1" spans="1:1" s="110" customFormat="1" ht="12.75" customHeight="1">
      <c r="A1" s="154"/>
    </row>
    <row r="2" spans="1:1" s="110" customFormat="1" ht="12.75" customHeight="1">
      <c r="A2" s="155"/>
    </row>
    <row r="3" spans="1:1" s="110" customFormat="1" ht="12.75" customHeight="1">
      <c r="A3" s="155"/>
    </row>
    <row r="4" spans="1:1" s="110" customFormat="1" ht="12.75" customHeight="1">
      <c r="A4" s="155"/>
    </row>
    <row r="5" spans="1:1" s="110" customFormat="1" ht="12.75" customHeight="1">
      <c r="A5" s="156"/>
    </row>
    <row r="6" spans="1:1" s="80" customFormat="1" ht="12.75" customHeight="1">
      <c r="A6" s="157"/>
    </row>
    <row r="7" spans="1:1" s="80" customFormat="1" ht="12.75" customHeight="1">
      <c r="A7" s="127"/>
    </row>
    <row r="8" spans="1:1" s="80" customFormat="1" ht="12.75" customHeight="1">
      <c r="A8" s="127"/>
    </row>
    <row r="9" spans="1:1" s="80" customFormat="1" ht="12.75" customHeight="1">
      <c r="A9" s="127"/>
    </row>
    <row r="10" spans="1:1" s="80" customFormat="1" ht="12.75" customHeight="1">
      <c r="A10" s="127"/>
    </row>
    <row r="11" spans="1:1" s="80" customFormat="1" ht="12.75" customHeight="1">
      <c r="A11" s="127"/>
    </row>
    <row r="12" spans="1:1" s="80" customFormat="1" ht="12.75" customHeight="1">
      <c r="A12" s="127"/>
    </row>
    <row r="13" spans="1:1" s="80" customFormat="1" ht="12.75" customHeight="1">
      <c r="A13" s="127"/>
    </row>
    <row r="14" spans="1:1" s="80" customFormat="1" ht="12.75" customHeight="1">
      <c r="A14" s="127"/>
    </row>
    <row r="15" spans="1:1" s="80" customFormat="1" ht="12.75" customHeight="1">
      <c r="A15" s="127"/>
    </row>
    <row r="16" spans="1:1" s="80" customFormat="1" ht="12.75" customHeight="1">
      <c r="A16" s="127"/>
    </row>
    <row r="17" spans="1:9" ht="12.75" customHeight="1">
      <c r="A17" s="127"/>
      <c r="B17" s="80"/>
      <c r="C17" s="80"/>
      <c r="D17" s="80"/>
      <c r="E17" s="80"/>
      <c r="F17" s="80"/>
      <c r="G17" s="80"/>
      <c r="H17" s="80"/>
    </row>
    <row r="18" spans="1:9" s="1" customFormat="1" ht="12.75" customHeight="1">
      <c r="A18" s="291"/>
      <c r="B18" s="290" t="str">
        <f>Moneda_totalSección_título_etiqueta</f>
        <v>Composición por moneda - deuda total</v>
      </c>
      <c r="C18" s="289"/>
      <c r="D18" s="289"/>
      <c r="E18" s="289"/>
      <c r="F18" s="289"/>
      <c r="G18" s="289"/>
      <c r="H18" s="289"/>
    </row>
    <row r="19" spans="1:9" s="1" customFormat="1" ht="12.75" customHeight="1">
      <c r="A19" s="291"/>
      <c r="B19" s="290" t="str">
        <f>Moneda_totalSección_subtítulo_etiqueta</f>
        <v>(% de deuda total)</v>
      </c>
      <c r="C19" s="289"/>
      <c r="D19" s="289"/>
      <c r="E19" s="289"/>
      <c r="F19" s="289"/>
      <c r="G19" s="289"/>
      <c r="H19" s="289"/>
    </row>
    <row r="20" spans="1:9" ht="51" customHeight="1">
      <c r="A20" s="190" t="str">
        <f>Indice_PrincipalFecha_corte_etiqueta</f>
        <v>Fecha corte</v>
      </c>
      <c r="B20" s="191" t="str">
        <f>Moneda_totalColumna_título_etiqueta</f>
        <v>USD</v>
      </c>
      <c r="C20" s="191" t="str">
        <f>Moneda_totalColumna_título_etiqueta_2</f>
        <v>EUR</v>
      </c>
      <c r="D20" s="191" t="str">
        <f>Moneda_totalColumna_título_etiqueta_3</f>
        <v>JPY</v>
      </c>
      <c r="E20" s="191" t="str">
        <f>Moneda_totalColumna_título_etiqueta_4</f>
        <v>UVR (COP)</v>
      </c>
      <c r="F20" s="191" t="str">
        <f>Moneda_totalColumna_título_etiqueta_5</f>
        <v>COP</v>
      </c>
      <c r="G20" s="191" t="str">
        <f>Moneda_totalColumna_título_etiqueta_6</f>
        <v>% Moneda local</v>
      </c>
      <c r="H20" s="191" t="str">
        <f>Moneda_totalColumna_título_etiqueta_7</f>
        <v>% Moneda extranjera</v>
      </c>
    </row>
    <row r="21" spans="1:9">
      <c r="A21" s="118">
        <v>37072</v>
      </c>
      <c r="B21" s="234">
        <v>0.42330779144602404</v>
      </c>
      <c r="C21" s="234">
        <v>8.9461843427825413E-2</v>
      </c>
      <c r="D21" s="234">
        <v>2.6651942877886779E-2</v>
      </c>
      <c r="E21" s="234">
        <v>0.12634433096702807</v>
      </c>
      <c r="F21" s="234">
        <v>0.33423409128123599</v>
      </c>
      <c r="G21" s="233">
        <v>0.46057842224826401</v>
      </c>
      <c r="H21" s="233">
        <v>0.53942157775173616</v>
      </c>
      <c r="I21" s="128"/>
    </row>
    <row r="22" spans="1:9">
      <c r="A22" s="118">
        <v>37103</v>
      </c>
      <c r="B22" s="234">
        <v>0.44205648375473972</v>
      </c>
      <c r="C22" s="234">
        <v>7.850849112746007E-2</v>
      </c>
      <c r="D22" s="234">
        <v>2.6122538669402406E-2</v>
      </c>
      <c r="E22" s="234">
        <v>0.12548091170702025</v>
      </c>
      <c r="F22" s="234">
        <v>0.32783157474137747</v>
      </c>
      <c r="G22" s="233">
        <v>0.45331248644839772</v>
      </c>
      <c r="H22" s="233">
        <v>0.54668751355160217</v>
      </c>
      <c r="I22" s="128"/>
    </row>
    <row r="23" spans="1:9">
      <c r="A23" s="118">
        <v>37134</v>
      </c>
      <c r="B23" s="234">
        <v>0.44527432120756538</v>
      </c>
      <c r="C23" s="234">
        <v>7.8682859239810804E-2</v>
      </c>
      <c r="D23" s="234">
        <v>2.6187577579051522E-2</v>
      </c>
      <c r="E23" s="234">
        <v>0.12322236114482524</v>
      </c>
      <c r="F23" s="234">
        <v>0.3266328808287472</v>
      </c>
      <c r="G23" s="233">
        <v>0.44985524197357241</v>
      </c>
      <c r="H23" s="233">
        <v>0.5501447580264277</v>
      </c>
      <c r="I23" s="128"/>
    </row>
    <row r="24" spans="1:9">
      <c r="A24" s="118">
        <v>37164</v>
      </c>
      <c r="B24" s="234">
        <v>0.44800123672432357</v>
      </c>
      <c r="C24" s="234">
        <v>7.8657320862193E-2</v>
      </c>
      <c r="D24" s="234">
        <v>2.6395939953003746E-2</v>
      </c>
      <c r="E24" s="234">
        <v>0.12321421006401501</v>
      </c>
      <c r="F24" s="234">
        <v>0.32373129239646425</v>
      </c>
      <c r="G24" s="233">
        <v>0.44694550246047926</v>
      </c>
      <c r="H24" s="233">
        <v>0.5530544975395203</v>
      </c>
      <c r="I24" s="128"/>
    </row>
    <row r="25" spans="1:9">
      <c r="A25" s="118">
        <v>37195</v>
      </c>
      <c r="B25" s="234">
        <v>0.44314761220924848</v>
      </c>
      <c r="C25" s="234">
        <v>7.6412309383767432E-2</v>
      </c>
      <c r="D25" s="234">
        <v>2.5207956505331711E-2</v>
      </c>
      <c r="E25" s="234">
        <v>0.12849584322982269</v>
      </c>
      <c r="F25" s="234">
        <v>0.32673627867182986</v>
      </c>
      <c r="G25" s="233">
        <v>0.45523212190165252</v>
      </c>
      <c r="H25" s="233">
        <v>0.54476787809834759</v>
      </c>
      <c r="I25" s="128"/>
    </row>
    <row r="26" spans="1:9">
      <c r="A26" s="118">
        <v>37225</v>
      </c>
      <c r="B26" s="234">
        <v>0.44342713914840004</v>
      </c>
      <c r="C26" s="234">
        <v>7.4042384122242358E-2</v>
      </c>
      <c r="D26" s="234">
        <v>2.4484280433282251E-2</v>
      </c>
      <c r="E26" s="234">
        <v>0.12886726231269163</v>
      </c>
      <c r="F26" s="234">
        <v>0.32917893398338366</v>
      </c>
      <c r="G26" s="233">
        <v>0.45804619629607529</v>
      </c>
      <c r="H26" s="233">
        <v>0.54195380370392465</v>
      </c>
      <c r="I26" s="128"/>
    </row>
    <row r="27" spans="1:9">
      <c r="A27" s="118">
        <v>37256</v>
      </c>
      <c r="B27" s="234">
        <v>0.43504934716918159</v>
      </c>
      <c r="C27" s="234">
        <v>6.9355938220736546E-2</v>
      </c>
      <c r="D27" s="234">
        <v>2.1300547818373511E-2</v>
      </c>
      <c r="E27" s="234">
        <v>0.12155884952341353</v>
      </c>
      <c r="F27" s="234">
        <v>0.35273531726829477</v>
      </c>
      <c r="G27" s="233">
        <v>0.47429416679170833</v>
      </c>
      <c r="H27" s="233">
        <v>0.52570583320829167</v>
      </c>
      <c r="I27" s="128"/>
    </row>
    <row r="28" spans="1:9">
      <c r="A28" s="118">
        <v>37287</v>
      </c>
      <c r="B28" s="234">
        <v>0.42418641413008457</v>
      </c>
      <c r="C28" s="234">
        <v>6.5708189388103327E-2</v>
      </c>
      <c r="D28" s="234">
        <v>2.0730471018218514E-2</v>
      </c>
      <c r="E28" s="234">
        <v>0.12489492634432334</v>
      </c>
      <c r="F28" s="234">
        <v>0.3644799991192702</v>
      </c>
      <c r="G28" s="233">
        <v>0.48937492546359351</v>
      </c>
      <c r="H28" s="233">
        <v>0.51062507453640649</v>
      </c>
      <c r="I28" s="128"/>
    </row>
    <row r="29" spans="1:9">
      <c r="A29" s="118">
        <v>37315</v>
      </c>
      <c r="B29" s="234">
        <v>0.41903706916508981</v>
      </c>
      <c r="C29" s="234">
        <v>6.167529235847722E-2</v>
      </c>
      <c r="D29" s="234">
        <v>1.9300721396256427E-2</v>
      </c>
      <c r="E29" s="234">
        <v>0.13540962477622284</v>
      </c>
      <c r="F29" s="234">
        <v>0.36457729230395358</v>
      </c>
      <c r="G29" s="233">
        <v>0.4999869170801764</v>
      </c>
      <c r="H29" s="233">
        <v>0.50001308291982349</v>
      </c>
      <c r="I29" s="128"/>
    </row>
    <row r="30" spans="1:9">
      <c r="A30" s="118">
        <v>37346</v>
      </c>
      <c r="B30" s="234">
        <v>0.41124419394616185</v>
      </c>
      <c r="C30" s="234">
        <v>5.692688079552851E-2</v>
      </c>
      <c r="D30" s="234">
        <v>1.9295795155385556E-2</v>
      </c>
      <c r="E30" s="234">
        <v>0.13949849532871453</v>
      </c>
      <c r="F30" s="234">
        <v>0.37303463477420945</v>
      </c>
      <c r="G30" s="233">
        <v>0.51253313010292401</v>
      </c>
      <c r="H30" s="233">
        <v>0.48746686989707588</v>
      </c>
      <c r="I30" s="128"/>
    </row>
    <row r="31" spans="1:9">
      <c r="A31" s="118">
        <v>37376</v>
      </c>
      <c r="B31" s="234">
        <v>0.40944290879265172</v>
      </c>
      <c r="C31" s="234">
        <v>5.8411559871278676E-2</v>
      </c>
      <c r="D31" s="234">
        <v>1.9805123629875843E-2</v>
      </c>
      <c r="E31" s="234">
        <v>0.13948749066768748</v>
      </c>
      <c r="F31" s="234">
        <v>0.37285291703850615</v>
      </c>
      <c r="G31" s="233">
        <v>0.5123404077061936</v>
      </c>
      <c r="H31" s="233">
        <v>0.48765959229380623</v>
      </c>
      <c r="I31" s="128"/>
    </row>
    <row r="32" spans="1:9">
      <c r="A32" s="118">
        <v>37407</v>
      </c>
      <c r="B32" s="234">
        <v>0.39570584629143685</v>
      </c>
      <c r="C32" s="234">
        <v>5.8019556647455096E-2</v>
      </c>
      <c r="D32" s="234">
        <v>1.9611386969742631E-2</v>
      </c>
      <c r="E32" s="234">
        <v>0.14593473148690347</v>
      </c>
      <c r="F32" s="234">
        <v>0.38072847860446202</v>
      </c>
      <c r="G32" s="233">
        <v>0.52666321009136552</v>
      </c>
      <c r="H32" s="233">
        <v>0.47333678990863459</v>
      </c>
      <c r="I32" s="128"/>
    </row>
    <row r="33" spans="1:9">
      <c r="A33" s="118">
        <v>37437</v>
      </c>
      <c r="B33" s="234">
        <v>0.38756310944684969</v>
      </c>
      <c r="C33" s="234">
        <v>6.1704606242344889E-2</v>
      </c>
      <c r="D33" s="234">
        <v>2.0726931761707028E-2</v>
      </c>
      <c r="E33" s="234">
        <v>0.1484240144797726</v>
      </c>
      <c r="F33" s="234">
        <v>0.38158133806932593</v>
      </c>
      <c r="G33" s="233">
        <v>0.53000535254909853</v>
      </c>
      <c r="H33" s="233">
        <v>0.46999464745090158</v>
      </c>
      <c r="I33" s="128"/>
    </row>
    <row r="34" spans="1:9">
      <c r="A34" s="118">
        <v>37468</v>
      </c>
      <c r="B34" s="234">
        <v>0.41267852153965523</v>
      </c>
      <c r="C34" s="234">
        <v>6.3887812618743961E-2</v>
      </c>
      <c r="D34" s="234">
        <v>2.0921966952474429E-2</v>
      </c>
      <c r="E34" s="234">
        <v>0.142062602563579</v>
      </c>
      <c r="F34" s="234">
        <v>0.36044909632554734</v>
      </c>
      <c r="G34" s="233">
        <v>0.50251169888912628</v>
      </c>
      <c r="H34" s="233">
        <v>0.49748830111087367</v>
      </c>
      <c r="I34" s="128"/>
    </row>
    <row r="35" spans="1:9">
      <c r="A35" s="118">
        <v>37499</v>
      </c>
      <c r="B35" s="234">
        <v>0.41901317525232668</v>
      </c>
      <c r="C35" s="234">
        <v>6.4960249995218572E-2</v>
      </c>
      <c r="D35" s="234">
        <v>2.131132279340911E-2</v>
      </c>
      <c r="E35" s="234">
        <v>0.14028295006632821</v>
      </c>
      <c r="F35" s="234">
        <v>0.35443230189271752</v>
      </c>
      <c r="G35" s="233">
        <v>0.49471525195904575</v>
      </c>
      <c r="H35" s="233">
        <v>0.50528474804095436</v>
      </c>
      <c r="I35" s="128"/>
    </row>
    <row r="36" spans="1:9">
      <c r="A36" s="118">
        <v>37529</v>
      </c>
      <c r="B36" s="234">
        <v>0.4302217140898556</v>
      </c>
      <c r="C36" s="234">
        <v>6.6430060039112476E-2</v>
      </c>
      <c r="D36" s="234">
        <v>2.1015712069496137E-2</v>
      </c>
      <c r="E36" s="234">
        <v>0.13786061275153061</v>
      </c>
      <c r="F36" s="234">
        <v>0.34447190105000508</v>
      </c>
      <c r="G36" s="233">
        <v>0.48233251380153569</v>
      </c>
      <c r="H36" s="233">
        <v>0.51766748619846426</v>
      </c>
      <c r="I36" s="128"/>
    </row>
    <row r="37" spans="1:9">
      <c r="A37" s="118">
        <v>37560</v>
      </c>
      <c r="B37" s="234">
        <v>0.42287508267157436</v>
      </c>
      <c r="C37" s="234">
        <v>6.1652367066511067E-2</v>
      </c>
      <c r="D37" s="234">
        <v>2.5010100911472474E-2</v>
      </c>
      <c r="E37" s="234">
        <v>0.14044231451198594</v>
      </c>
      <c r="F37" s="234">
        <v>0.35002013483845595</v>
      </c>
      <c r="G37" s="233">
        <v>0.49046244935044192</v>
      </c>
      <c r="H37" s="233">
        <v>0.50953755064955786</v>
      </c>
      <c r="I37" s="128"/>
    </row>
    <row r="38" spans="1:9">
      <c r="A38" s="118">
        <v>37590</v>
      </c>
      <c r="B38" s="234">
        <v>0.42144066165979321</v>
      </c>
      <c r="C38" s="234">
        <v>6.5602413910488835E-2</v>
      </c>
      <c r="D38" s="234">
        <v>2.0513648125385146E-2</v>
      </c>
      <c r="E38" s="234">
        <v>0.14119289382840622</v>
      </c>
      <c r="F38" s="234">
        <v>0.35125038247592666</v>
      </c>
      <c r="G38" s="233">
        <v>0.49244327630433288</v>
      </c>
      <c r="H38" s="233">
        <v>0.50755672369566718</v>
      </c>
      <c r="I38" s="128"/>
    </row>
    <row r="39" spans="1:9">
      <c r="A39" s="118">
        <v>37621</v>
      </c>
      <c r="B39" s="234">
        <v>0.42900805850676782</v>
      </c>
      <c r="C39" s="234">
        <v>6.8586835197087928E-2</v>
      </c>
      <c r="D39" s="234">
        <v>2.0888899928020805E-2</v>
      </c>
      <c r="E39" s="234">
        <v>0.1358876059127237</v>
      </c>
      <c r="F39" s="234">
        <v>0.34562860045539995</v>
      </c>
      <c r="G39" s="233">
        <v>0.48151620636812364</v>
      </c>
      <c r="H39" s="233">
        <v>0.51848379363187658</v>
      </c>
      <c r="I39" s="128"/>
    </row>
    <row r="40" spans="1:9">
      <c r="A40" s="118">
        <v>37652</v>
      </c>
      <c r="B40" s="234">
        <v>0.44349611341986001</v>
      </c>
      <c r="C40" s="234">
        <v>6.8550605000324422E-2</v>
      </c>
      <c r="D40" s="234">
        <v>2.0197927878093474E-2</v>
      </c>
      <c r="E40" s="234">
        <v>0.13233888438306765</v>
      </c>
      <c r="F40" s="234">
        <v>0.33541646931865443</v>
      </c>
      <c r="G40" s="233">
        <v>0.46775535370172205</v>
      </c>
      <c r="H40" s="233">
        <v>0.53224464629827795</v>
      </c>
      <c r="I40" s="128"/>
    </row>
    <row r="41" spans="1:9">
      <c r="A41" s="118">
        <v>37680</v>
      </c>
      <c r="B41" s="234">
        <v>0.44326815133737257</v>
      </c>
      <c r="C41" s="234">
        <v>6.9535691650889561E-2</v>
      </c>
      <c r="D41" s="234">
        <v>2.0700000412003126E-2</v>
      </c>
      <c r="E41" s="234">
        <v>0.13751453099850716</v>
      </c>
      <c r="F41" s="234">
        <v>0.32898162560122768</v>
      </c>
      <c r="G41" s="233">
        <v>0.46649615659973487</v>
      </c>
      <c r="H41" s="233">
        <v>0.53350384340026524</v>
      </c>
      <c r="I41" s="128"/>
    </row>
    <row r="42" spans="1:9">
      <c r="A42" s="118">
        <v>37711</v>
      </c>
      <c r="B42" s="234">
        <v>0.43481783756489467</v>
      </c>
      <c r="C42" s="234">
        <v>6.8463484974609343E-2</v>
      </c>
      <c r="D42" s="234">
        <v>1.9841368085438908E-2</v>
      </c>
      <c r="E42" s="234">
        <v>0.14280521095253093</v>
      </c>
      <c r="F42" s="234">
        <v>0.33407209842252611</v>
      </c>
      <c r="G42" s="233">
        <v>0.47687730937505701</v>
      </c>
      <c r="H42" s="233">
        <v>0.52312269062494288</v>
      </c>
      <c r="I42" s="128"/>
    </row>
    <row r="43" spans="1:9">
      <c r="A43" s="118">
        <v>37741</v>
      </c>
      <c r="B43" s="234">
        <v>0.44002778819248239</v>
      </c>
      <c r="C43" s="234">
        <v>6.6732586878114064E-2</v>
      </c>
      <c r="D43" s="234">
        <v>1.8791406088976174E-2</v>
      </c>
      <c r="E43" s="234">
        <v>0.14142797946480098</v>
      </c>
      <c r="F43" s="234">
        <v>0.33302023937562614</v>
      </c>
      <c r="G43" s="233">
        <v>0.47444821884042709</v>
      </c>
      <c r="H43" s="233">
        <v>0.52555178115957268</v>
      </c>
      <c r="I43" s="128"/>
    </row>
    <row r="44" spans="1:9">
      <c r="A44" s="118">
        <v>37772</v>
      </c>
      <c r="B44" s="234">
        <v>0.43119411907572852</v>
      </c>
      <c r="C44" s="234">
        <v>6.9114839237644846E-2</v>
      </c>
      <c r="D44" s="234">
        <v>1.8685951505494215E-2</v>
      </c>
      <c r="E44" s="234">
        <v>0.14287327159376967</v>
      </c>
      <c r="F44" s="234">
        <v>0.33813181858736274</v>
      </c>
      <c r="G44" s="233">
        <v>0.48100509018113241</v>
      </c>
      <c r="H44" s="233">
        <v>0.51899490981886764</v>
      </c>
      <c r="I44" s="128"/>
    </row>
    <row r="45" spans="1:9">
      <c r="A45" s="118">
        <v>37802</v>
      </c>
      <c r="B45" s="234">
        <v>0.41874938818673935</v>
      </c>
      <c r="C45" s="234">
        <v>6.763028765704289E-2</v>
      </c>
      <c r="D45" s="234">
        <v>1.8753515272389387E-2</v>
      </c>
      <c r="E45" s="234">
        <v>0.15001379977783327</v>
      </c>
      <c r="F45" s="234">
        <v>0.34485300910599509</v>
      </c>
      <c r="G45" s="233">
        <v>0.49486680888382839</v>
      </c>
      <c r="H45" s="233">
        <v>0.50513319111617161</v>
      </c>
      <c r="I45" s="128"/>
    </row>
    <row r="46" spans="1:9">
      <c r="A46" s="118">
        <v>37833</v>
      </c>
      <c r="B46" s="234">
        <v>0.42319908582039845</v>
      </c>
      <c r="C46" s="234">
        <v>6.6584069436357307E-2</v>
      </c>
      <c r="D46" s="234">
        <v>1.6079358843788003E-2</v>
      </c>
      <c r="E46" s="234">
        <v>0.14831297645061969</v>
      </c>
      <c r="F46" s="234">
        <v>0.34582450944883664</v>
      </c>
      <c r="G46" s="233">
        <v>0.49413748589945633</v>
      </c>
      <c r="H46" s="233">
        <v>0.50586251410054373</v>
      </c>
      <c r="I46" s="128"/>
    </row>
    <row r="47" spans="1:9">
      <c r="A47" s="118">
        <v>37864</v>
      </c>
      <c r="B47" s="234">
        <v>0.4218930575065003</v>
      </c>
      <c r="C47" s="234">
        <v>6.3918791754223658E-2</v>
      </c>
      <c r="D47" s="234">
        <v>1.623757086112617E-2</v>
      </c>
      <c r="E47" s="234">
        <v>0.14839878216114083</v>
      </c>
      <c r="F47" s="234">
        <v>0.34955179771700917</v>
      </c>
      <c r="G47" s="233">
        <v>0.49795057987815</v>
      </c>
      <c r="H47" s="233">
        <v>0.50204942012185017</v>
      </c>
      <c r="I47" s="128"/>
    </row>
    <row r="48" spans="1:9">
      <c r="A48" s="118">
        <v>37894</v>
      </c>
      <c r="B48" s="234">
        <v>0.42671495656699332</v>
      </c>
      <c r="C48" s="234">
        <v>6.6727044544454162E-2</v>
      </c>
      <c r="D48" s="234">
        <v>1.6675737675901674E-2</v>
      </c>
      <c r="E48" s="234">
        <v>0.14573617310300671</v>
      </c>
      <c r="F48" s="234">
        <v>0.34414608810964414</v>
      </c>
      <c r="G48" s="233">
        <v>0.48988226121265088</v>
      </c>
      <c r="H48" s="233">
        <v>0.51011773878734912</v>
      </c>
      <c r="I48" s="128"/>
    </row>
    <row r="49" spans="1:9">
      <c r="A49" s="118">
        <v>37925</v>
      </c>
      <c r="B49" s="234">
        <v>0.42754828086759461</v>
      </c>
      <c r="C49" s="234">
        <v>6.5932335093319444E-2</v>
      </c>
      <c r="D49" s="234">
        <v>1.6898446479955351E-2</v>
      </c>
      <c r="E49" s="234">
        <v>0.14560312353659785</v>
      </c>
      <c r="F49" s="234">
        <v>0.34401781402253279</v>
      </c>
      <c r="G49" s="233">
        <v>0.48962093755913061</v>
      </c>
      <c r="H49" s="233">
        <v>0.51037906244086939</v>
      </c>
      <c r="I49" s="128"/>
    </row>
    <row r="50" spans="1:9">
      <c r="A50" s="118">
        <v>37955</v>
      </c>
      <c r="B50" s="234">
        <v>0.42303765807653909</v>
      </c>
      <c r="C50" s="234">
        <v>6.602581777998251E-2</v>
      </c>
      <c r="D50" s="234">
        <v>1.6545036735930056E-2</v>
      </c>
      <c r="E50" s="234">
        <v>0.14528658062719477</v>
      </c>
      <c r="F50" s="234">
        <v>0.34910490678035355</v>
      </c>
      <c r="G50" s="233">
        <v>0.49439148740754835</v>
      </c>
      <c r="H50" s="233">
        <v>0.50560851259245165</v>
      </c>
      <c r="I50" s="128"/>
    </row>
    <row r="51" spans="1:9">
      <c r="A51" s="118">
        <v>37986</v>
      </c>
      <c r="B51" s="234">
        <v>0.41528962458035518</v>
      </c>
      <c r="C51" s="234">
        <v>6.7247501102250584E-2</v>
      </c>
      <c r="D51" s="234">
        <v>1.6379472724811675E-2</v>
      </c>
      <c r="E51" s="234">
        <v>0.14633348408071262</v>
      </c>
      <c r="F51" s="234">
        <v>0.35474991751186996</v>
      </c>
      <c r="G51" s="233">
        <v>0.50108340159258258</v>
      </c>
      <c r="H51" s="233">
        <v>0.49891659840741742</v>
      </c>
      <c r="I51" s="128"/>
    </row>
    <row r="52" spans="1:9">
      <c r="A52" s="118">
        <v>38017</v>
      </c>
      <c r="B52" s="234">
        <v>0.41612496523077713</v>
      </c>
      <c r="C52" s="234">
        <v>6.5044865803437685E-2</v>
      </c>
      <c r="D52" s="234">
        <v>1.6011920613972653E-2</v>
      </c>
      <c r="E52" s="234">
        <v>0.15067826957257535</v>
      </c>
      <c r="F52" s="234">
        <v>0.35213997877923714</v>
      </c>
      <c r="G52" s="233">
        <v>0.50281824835181244</v>
      </c>
      <c r="H52" s="233">
        <v>0.49718175164818751</v>
      </c>
      <c r="I52" s="128"/>
    </row>
    <row r="53" spans="1:9">
      <c r="A53" s="118">
        <v>38046</v>
      </c>
      <c r="B53" s="234">
        <v>0.40558853187170363</v>
      </c>
      <c r="C53" s="234">
        <v>6.3662740984341992E-2</v>
      </c>
      <c r="D53" s="234">
        <v>1.5188493298618025E-2</v>
      </c>
      <c r="E53" s="234">
        <v>0.15166476995340158</v>
      </c>
      <c r="F53" s="234">
        <v>0.36389546389193461</v>
      </c>
      <c r="G53" s="233">
        <v>0.51556023384533622</v>
      </c>
      <c r="H53" s="233">
        <v>0.48443976615466366</v>
      </c>
      <c r="I53" s="128"/>
    </row>
    <row r="54" spans="1:9">
      <c r="A54" s="118">
        <v>38077</v>
      </c>
      <c r="B54" s="234">
        <v>0.39174431828929945</v>
      </c>
      <c r="C54" s="234">
        <v>6.5437246542490932E-2</v>
      </c>
      <c r="D54" s="234">
        <v>1.532976935506742E-2</v>
      </c>
      <c r="E54" s="234">
        <v>0.15219988555054967</v>
      </c>
      <c r="F54" s="234">
        <v>0.3752887802625926</v>
      </c>
      <c r="G54" s="233">
        <v>0.52748866581314224</v>
      </c>
      <c r="H54" s="233">
        <v>0.47251133418685781</v>
      </c>
      <c r="I54" s="128"/>
    </row>
    <row r="55" spans="1:9">
      <c r="A55" s="118">
        <v>38107</v>
      </c>
      <c r="B55" s="234">
        <v>0.39068331671406087</v>
      </c>
      <c r="C55" s="234">
        <v>6.3226400534587432E-2</v>
      </c>
      <c r="D55" s="234">
        <v>1.4518023277588832E-2</v>
      </c>
      <c r="E55" s="234">
        <v>0.15476297119295604</v>
      </c>
      <c r="F55" s="234">
        <v>0.37680928828080673</v>
      </c>
      <c r="G55" s="233">
        <v>0.53157225947376274</v>
      </c>
      <c r="H55" s="233">
        <v>0.46842774052623715</v>
      </c>
      <c r="I55" s="128"/>
    </row>
    <row r="56" spans="1:9">
      <c r="A56" s="118">
        <v>38138</v>
      </c>
      <c r="B56" s="234">
        <v>0.39848548545905405</v>
      </c>
      <c r="C56" s="234">
        <v>6.5643181126148573E-2</v>
      </c>
      <c r="D56" s="234">
        <v>1.4779721023736304E-2</v>
      </c>
      <c r="E56" s="234">
        <v>0.14706668630204209</v>
      </c>
      <c r="F56" s="234">
        <v>0.37402492608901905</v>
      </c>
      <c r="G56" s="233">
        <v>0.52109161239106117</v>
      </c>
      <c r="H56" s="233">
        <v>0.47890838760893895</v>
      </c>
      <c r="I56" s="128"/>
    </row>
    <row r="57" spans="1:9">
      <c r="A57" s="118">
        <v>38168</v>
      </c>
      <c r="B57" s="234">
        <v>0.40065818227320127</v>
      </c>
      <c r="C57" s="234">
        <v>6.5167786029232122E-2</v>
      </c>
      <c r="D57" s="234">
        <v>1.4779278446804565E-2</v>
      </c>
      <c r="E57" s="234">
        <v>0.1482472409325031</v>
      </c>
      <c r="F57" s="234">
        <v>0.37114751231825893</v>
      </c>
      <c r="G57" s="233">
        <v>0.51939475325076201</v>
      </c>
      <c r="H57" s="233">
        <v>0.48060524674923794</v>
      </c>
      <c r="I57" s="128"/>
    </row>
    <row r="58" spans="1:9">
      <c r="A58" s="118">
        <v>38199</v>
      </c>
      <c r="B58" s="234">
        <v>0.39434634936656576</v>
      </c>
      <c r="C58" s="234">
        <v>6.245052231924525E-2</v>
      </c>
      <c r="D58" s="234">
        <v>7.9708212600883947E-3</v>
      </c>
      <c r="E58" s="234">
        <v>0.14919279026470747</v>
      </c>
      <c r="F58" s="234">
        <v>0.38603951678939313</v>
      </c>
      <c r="G58" s="233">
        <v>0.53523230705410063</v>
      </c>
      <c r="H58" s="233">
        <v>0.46476769294589942</v>
      </c>
      <c r="I58" s="128"/>
    </row>
    <row r="59" spans="1:9">
      <c r="A59" s="118">
        <v>38230</v>
      </c>
      <c r="B59" s="234">
        <v>0.38547571391575464</v>
      </c>
      <c r="C59" s="234">
        <v>6.1360481682693577E-2</v>
      </c>
      <c r="D59" s="234">
        <v>7.7715445722666291E-3</v>
      </c>
      <c r="E59" s="234">
        <v>0.15111390498027352</v>
      </c>
      <c r="F59" s="234">
        <v>0.39427835484901175</v>
      </c>
      <c r="G59" s="233">
        <v>0.5453922598292853</v>
      </c>
      <c r="H59" s="233">
        <v>0.45460774017071487</v>
      </c>
      <c r="I59" s="128"/>
    </row>
    <row r="60" spans="1:9">
      <c r="A60" s="118">
        <v>38260</v>
      </c>
      <c r="B60" s="234">
        <v>0.39237229092051784</v>
      </c>
      <c r="C60" s="234">
        <v>6.203530529715779E-2</v>
      </c>
      <c r="D60" s="234">
        <v>7.4751213006206312E-3</v>
      </c>
      <c r="E60" s="234">
        <v>0.14756957583814306</v>
      </c>
      <c r="F60" s="234">
        <v>0.39054770664356081</v>
      </c>
      <c r="G60" s="233">
        <v>0.53811728248170387</v>
      </c>
      <c r="H60" s="233">
        <v>0.46188271751829624</v>
      </c>
      <c r="I60" s="128"/>
    </row>
    <row r="61" spans="1:9">
      <c r="A61" s="118">
        <v>38291</v>
      </c>
      <c r="B61" s="234">
        <v>0.38826574367628264</v>
      </c>
      <c r="C61" s="234">
        <v>6.3207754504124206E-2</v>
      </c>
      <c r="D61" s="234">
        <v>7.6615327810127852E-3</v>
      </c>
      <c r="E61" s="234">
        <v>0.14945031957201554</v>
      </c>
      <c r="F61" s="234">
        <v>0.39141464946656496</v>
      </c>
      <c r="G61" s="233">
        <v>0.5408649690385805</v>
      </c>
      <c r="H61" s="233">
        <v>0.45913503096141961</v>
      </c>
      <c r="I61" s="128"/>
    </row>
    <row r="62" spans="1:9">
      <c r="A62" s="118">
        <v>38321</v>
      </c>
      <c r="B62" s="234">
        <v>0.3744284344682417</v>
      </c>
      <c r="C62" s="234">
        <v>6.3104565968889484E-2</v>
      </c>
      <c r="D62" s="234">
        <v>7.6419575018778539E-3</v>
      </c>
      <c r="E62" s="234">
        <v>0.15108662596802799</v>
      </c>
      <c r="F62" s="234">
        <v>0.4037384160929629</v>
      </c>
      <c r="G62" s="233">
        <v>0.55482504206099093</v>
      </c>
      <c r="H62" s="233">
        <v>0.44517495793900902</v>
      </c>
      <c r="I62" s="128"/>
    </row>
    <row r="63" spans="1:9">
      <c r="A63" s="118">
        <v>38352</v>
      </c>
      <c r="B63" s="234">
        <v>0.36618201308030951</v>
      </c>
      <c r="C63" s="234">
        <v>6.2659268687975042E-2</v>
      </c>
      <c r="D63" s="234">
        <v>7.3240142206300873E-3</v>
      </c>
      <c r="E63" s="234">
        <v>0.15227436775178282</v>
      </c>
      <c r="F63" s="234">
        <v>0.41156033625930249</v>
      </c>
      <c r="G63" s="233">
        <v>0.56383470401108537</v>
      </c>
      <c r="H63" s="233">
        <v>0.43616529598891463</v>
      </c>
      <c r="I63" s="128"/>
    </row>
    <row r="64" spans="1:9">
      <c r="A64" s="118">
        <v>38383</v>
      </c>
      <c r="B64" s="234">
        <v>0.35479547573910564</v>
      </c>
      <c r="C64" s="234">
        <v>5.8233852903932841E-2</v>
      </c>
      <c r="D64" s="234">
        <v>6.9001290017548737E-3</v>
      </c>
      <c r="E64" s="234">
        <v>0.15458928241315245</v>
      </c>
      <c r="F64" s="234">
        <v>0.42548125994205421</v>
      </c>
      <c r="G64" s="233">
        <v>0.58007054235520661</v>
      </c>
      <c r="H64" s="233">
        <v>0.41992945764479334</v>
      </c>
      <c r="I64" s="128"/>
    </row>
    <row r="65" spans="1:9">
      <c r="A65" s="118">
        <v>38411</v>
      </c>
      <c r="B65" s="234">
        <v>0.34315380415186703</v>
      </c>
      <c r="C65" s="234">
        <v>5.7224476908856549E-2</v>
      </c>
      <c r="D65" s="234">
        <v>6.5423522828101308E-3</v>
      </c>
      <c r="E65" s="234">
        <v>0.15592395358914221</v>
      </c>
      <c r="F65" s="234">
        <v>0.43715541306732408</v>
      </c>
      <c r="G65" s="233">
        <v>0.59307936665646632</v>
      </c>
      <c r="H65" s="233">
        <v>0.40692063334353373</v>
      </c>
      <c r="I65" s="128"/>
    </row>
    <row r="66" spans="1:9">
      <c r="A66" s="118">
        <v>38442</v>
      </c>
      <c r="B66" s="234">
        <v>0.34276344338121151</v>
      </c>
      <c r="C66" s="234">
        <v>5.6086701800825624E-2</v>
      </c>
      <c r="D66" s="234">
        <v>6.3370209106896561E-3</v>
      </c>
      <c r="E66" s="234">
        <v>0.15498839776964699</v>
      </c>
      <c r="F66" s="234">
        <v>0.43982443613762617</v>
      </c>
      <c r="G66" s="233">
        <v>0.59481283390727313</v>
      </c>
      <c r="H66" s="233">
        <v>0.40518716609272681</v>
      </c>
      <c r="I66" s="128"/>
    </row>
    <row r="67" spans="1:9">
      <c r="A67" s="118">
        <v>38472</v>
      </c>
      <c r="B67" s="234">
        <v>0.31478388724176931</v>
      </c>
      <c r="C67" s="234">
        <v>5.5262238474062794E-2</v>
      </c>
      <c r="D67" s="234">
        <v>6.2876985827994263E-3</v>
      </c>
      <c r="E67" s="234">
        <v>0.15801358262966209</v>
      </c>
      <c r="F67" s="234">
        <v>0.46565259307170626</v>
      </c>
      <c r="G67" s="233">
        <v>0.6236661757013684</v>
      </c>
      <c r="H67" s="233">
        <v>0.37633382429863155</v>
      </c>
      <c r="I67" s="128"/>
    </row>
    <row r="68" spans="1:9">
      <c r="A68" s="118">
        <v>38503</v>
      </c>
      <c r="B68" s="234">
        <v>0.31689056297436852</v>
      </c>
      <c r="C68" s="234">
        <v>5.2319834602990702E-2</v>
      </c>
      <c r="D68" s="234">
        <v>6.1815147886320121E-3</v>
      </c>
      <c r="E68" s="234">
        <v>0.16016418989511683</v>
      </c>
      <c r="F68" s="234">
        <v>0.464443897738892</v>
      </c>
      <c r="G68" s="233">
        <v>0.62460808763400877</v>
      </c>
      <c r="H68" s="233">
        <v>0.37539191236599123</v>
      </c>
      <c r="I68" s="128"/>
    </row>
    <row r="69" spans="1:9">
      <c r="A69" s="118">
        <v>38533</v>
      </c>
      <c r="B69" s="234">
        <v>0.31131406537061374</v>
      </c>
      <c r="C69" s="234">
        <v>4.5680312843932862E-2</v>
      </c>
      <c r="D69" s="234">
        <v>6.0488513102008234E-3</v>
      </c>
      <c r="E69" s="234">
        <v>0.15538947205075962</v>
      </c>
      <c r="F69" s="234">
        <v>0.48156729842449297</v>
      </c>
      <c r="G69" s="233">
        <v>0.63695677047525256</v>
      </c>
      <c r="H69" s="233">
        <v>0.36304322952474744</v>
      </c>
      <c r="I69" s="128"/>
    </row>
    <row r="70" spans="1:9">
      <c r="A70" s="118">
        <v>38564</v>
      </c>
      <c r="B70" s="234">
        <v>0.31113259782026453</v>
      </c>
      <c r="C70" s="234">
        <v>4.5695513107094916E-2</v>
      </c>
      <c r="D70" s="234">
        <v>5.6303588965988596E-3</v>
      </c>
      <c r="E70" s="234">
        <v>0.15464515811370375</v>
      </c>
      <c r="F70" s="234">
        <v>0.4828963720623381</v>
      </c>
      <c r="G70" s="233">
        <v>0.63754153017604187</v>
      </c>
      <c r="H70" s="233">
        <v>0.3624584698239583</v>
      </c>
      <c r="I70" s="128"/>
    </row>
    <row r="71" spans="1:9">
      <c r="A71" s="118">
        <v>38595</v>
      </c>
      <c r="B71" s="234">
        <v>0.30910634148751953</v>
      </c>
      <c r="C71" s="234">
        <v>4.8768133908935453E-2</v>
      </c>
      <c r="D71" s="234">
        <v>5.5440412098599927E-3</v>
      </c>
      <c r="E71" s="234">
        <v>0.15453736378333618</v>
      </c>
      <c r="F71" s="234">
        <v>0.48204411961034888</v>
      </c>
      <c r="G71" s="233">
        <v>0.63658148339368503</v>
      </c>
      <c r="H71" s="233">
        <v>0.36341851660631502</v>
      </c>
      <c r="I71" s="128"/>
    </row>
    <row r="72" spans="1:9">
      <c r="A72" s="118">
        <v>38625</v>
      </c>
      <c r="B72" s="234">
        <v>0.306304093285162</v>
      </c>
      <c r="C72" s="234">
        <v>4.1933907321941313E-2</v>
      </c>
      <c r="D72" s="234">
        <v>5.4276799227650331E-3</v>
      </c>
      <c r="E72" s="234">
        <v>0.15822869099197112</v>
      </c>
      <c r="F72" s="234">
        <v>0.48810562847816047</v>
      </c>
      <c r="G72" s="233">
        <v>0.64633431947013165</v>
      </c>
      <c r="H72" s="233">
        <v>0.35366568052986835</v>
      </c>
      <c r="I72" s="128"/>
    </row>
    <row r="73" spans="1:9">
      <c r="A73" s="118">
        <v>38656</v>
      </c>
      <c r="B73" s="234">
        <v>0.30416349308031537</v>
      </c>
      <c r="C73" s="234">
        <v>3.3415260737030654E-2</v>
      </c>
      <c r="D73" s="234">
        <v>5.1951506065616715E-3</v>
      </c>
      <c r="E73" s="234">
        <v>0.15628214556051637</v>
      </c>
      <c r="F73" s="234">
        <v>0.5009439500155759</v>
      </c>
      <c r="G73" s="233">
        <v>0.65722609557609224</v>
      </c>
      <c r="H73" s="233">
        <v>0.3427739044239077</v>
      </c>
      <c r="I73" s="128"/>
    </row>
    <row r="74" spans="1:9">
      <c r="A74" s="118">
        <v>38686</v>
      </c>
      <c r="B74" s="234">
        <v>0.29921639864428512</v>
      </c>
      <c r="C74" s="234">
        <v>3.214976548682548E-2</v>
      </c>
      <c r="D74" s="234">
        <v>5.021271353372824E-3</v>
      </c>
      <c r="E74" s="234">
        <v>0.15824788092322731</v>
      </c>
      <c r="F74" s="234">
        <v>0.50536468359228937</v>
      </c>
      <c r="G74" s="233">
        <v>0.66361256451551665</v>
      </c>
      <c r="H74" s="233">
        <v>0.33638743548448341</v>
      </c>
      <c r="I74" s="128"/>
    </row>
    <row r="75" spans="1:9">
      <c r="A75" s="118">
        <v>38717</v>
      </c>
      <c r="B75" s="234">
        <v>0.2948515819554699</v>
      </c>
      <c r="C75" s="234">
        <v>3.1290719199342967E-2</v>
      </c>
      <c r="D75" s="234">
        <v>8.0705503771504091E-3</v>
      </c>
      <c r="E75" s="234">
        <v>0.15510485230804433</v>
      </c>
      <c r="F75" s="234">
        <v>0.5106822961599925</v>
      </c>
      <c r="G75" s="233">
        <v>0.66578714846803688</v>
      </c>
      <c r="H75" s="233">
        <v>0.33421285153196328</v>
      </c>
      <c r="I75" s="128"/>
    </row>
    <row r="76" spans="1:9">
      <c r="A76" s="118">
        <v>38748</v>
      </c>
      <c r="B76" s="234">
        <v>0.28589438530953776</v>
      </c>
      <c r="C76" s="234">
        <v>3.1456927867419403E-2</v>
      </c>
      <c r="D76" s="234">
        <v>7.8420512857302893E-3</v>
      </c>
      <c r="E76" s="234">
        <v>0.15675236027942954</v>
      </c>
      <c r="F76" s="234">
        <v>0.51805427525788317</v>
      </c>
      <c r="G76" s="233">
        <v>0.67480663553731268</v>
      </c>
      <c r="H76" s="233">
        <v>0.32519336446268743</v>
      </c>
      <c r="I76" s="128"/>
    </row>
    <row r="77" spans="1:9">
      <c r="A77" s="118">
        <v>38776</v>
      </c>
      <c r="B77" s="234">
        <v>0.27955974490087931</v>
      </c>
      <c r="C77" s="234">
        <v>3.0167441019617845E-2</v>
      </c>
      <c r="D77" s="234">
        <v>7.6230121370588835E-3</v>
      </c>
      <c r="E77" s="234">
        <v>0.15586732178136645</v>
      </c>
      <c r="F77" s="234">
        <v>0.52678248016107754</v>
      </c>
      <c r="G77" s="233">
        <v>0.68264980194244396</v>
      </c>
      <c r="H77" s="233">
        <v>0.31735019805755604</v>
      </c>
      <c r="I77" s="128"/>
    </row>
    <row r="78" spans="1:9">
      <c r="A78" s="118">
        <v>38807</v>
      </c>
      <c r="B78" s="234">
        <v>0.26562280235326047</v>
      </c>
      <c r="C78" s="234">
        <v>2.8146321568095118E-2</v>
      </c>
      <c r="D78" s="234">
        <v>7.5442056370716767E-3</v>
      </c>
      <c r="E78" s="234">
        <v>0.15713151522979479</v>
      </c>
      <c r="F78" s="234">
        <v>0.54155515521177799</v>
      </c>
      <c r="G78" s="233">
        <v>0.69868667044157284</v>
      </c>
      <c r="H78" s="233">
        <v>0.30131332955842727</v>
      </c>
      <c r="I78" s="128"/>
    </row>
    <row r="79" spans="1:9">
      <c r="A79" s="118">
        <v>38837</v>
      </c>
      <c r="B79" s="234">
        <v>0.27676257193482828</v>
      </c>
      <c r="C79" s="234">
        <v>3.0454920194538302E-2</v>
      </c>
      <c r="D79" s="234">
        <v>8.0556704758884615E-3</v>
      </c>
      <c r="E79" s="234">
        <v>0.16095345343625556</v>
      </c>
      <c r="F79" s="234">
        <v>0.52377338395848938</v>
      </c>
      <c r="G79" s="233">
        <v>0.68472683739474494</v>
      </c>
      <c r="H79" s="233">
        <v>0.31527316260525506</v>
      </c>
      <c r="I79" s="128"/>
    </row>
    <row r="80" spans="1:9">
      <c r="A80" s="118">
        <v>38868</v>
      </c>
      <c r="B80" s="234">
        <v>0.28454887821795027</v>
      </c>
      <c r="C80" s="234">
        <v>3.1495216284699694E-2</v>
      </c>
      <c r="D80" s="234">
        <v>8.3644931244672861E-3</v>
      </c>
      <c r="E80" s="234">
        <v>0.16000361204555</v>
      </c>
      <c r="F80" s="234">
        <v>0.51558780032733276</v>
      </c>
      <c r="G80" s="233">
        <v>0.67559141237288278</v>
      </c>
      <c r="H80" s="233">
        <v>0.32440858762711727</v>
      </c>
      <c r="I80" s="128"/>
    </row>
    <row r="81" spans="1:9">
      <c r="A81" s="118">
        <v>38898</v>
      </c>
      <c r="B81" s="234">
        <v>0.28634925439305459</v>
      </c>
      <c r="C81" s="234">
        <v>3.2011393132771473E-2</v>
      </c>
      <c r="D81" s="234">
        <v>8.3097176301303709E-3</v>
      </c>
      <c r="E81" s="234">
        <v>0.15565624091965302</v>
      </c>
      <c r="F81" s="234">
        <v>0.51767339392439038</v>
      </c>
      <c r="G81" s="233">
        <v>0.6733296348440434</v>
      </c>
      <c r="H81" s="233">
        <v>0.32667036515595643</v>
      </c>
      <c r="I81" s="128"/>
    </row>
    <row r="82" spans="1:9">
      <c r="A82" s="118">
        <v>38929</v>
      </c>
      <c r="B82" s="234">
        <v>0.28732452507254641</v>
      </c>
      <c r="C82" s="234">
        <v>3.0134974015979022E-2</v>
      </c>
      <c r="D82" s="234">
        <v>7.7064413443151542E-3</v>
      </c>
      <c r="E82" s="234">
        <v>0.1620556506429203</v>
      </c>
      <c r="F82" s="234">
        <v>0.5127784089242392</v>
      </c>
      <c r="G82" s="233">
        <v>0.67483405956715947</v>
      </c>
      <c r="H82" s="233">
        <v>0.32516594043284058</v>
      </c>
      <c r="I82" s="128"/>
    </row>
    <row r="83" spans="1:9">
      <c r="A83" s="118">
        <v>38960</v>
      </c>
      <c r="B83" s="234">
        <v>0.28126043394653777</v>
      </c>
      <c r="C83" s="234">
        <v>2.9435424245247057E-2</v>
      </c>
      <c r="D83" s="234">
        <v>7.4744800714450091E-3</v>
      </c>
      <c r="E83" s="234">
        <v>0.1605753997341921</v>
      </c>
      <c r="F83" s="234">
        <v>0.52125426200257807</v>
      </c>
      <c r="G83" s="233">
        <v>0.68182966173677018</v>
      </c>
      <c r="H83" s="233">
        <v>0.31817033826322982</v>
      </c>
      <c r="I83" s="128"/>
    </row>
    <row r="84" spans="1:9">
      <c r="A84" s="118">
        <v>38990</v>
      </c>
      <c r="B84" s="234">
        <v>0.29383117433322309</v>
      </c>
      <c r="C84" s="234">
        <v>2.9331149277279402E-2</v>
      </c>
      <c r="D84" s="234">
        <v>7.3371714558832244E-3</v>
      </c>
      <c r="E84" s="234">
        <v>0.15268698773117279</v>
      </c>
      <c r="F84" s="234">
        <v>0.51681351720244162</v>
      </c>
      <c r="G84" s="233">
        <v>0.66950050493361446</v>
      </c>
      <c r="H84" s="233">
        <v>0.33049949506638576</v>
      </c>
      <c r="I84" s="128"/>
    </row>
    <row r="85" spans="1:9">
      <c r="A85" s="118">
        <v>39021</v>
      </c>
      <c r="B85" s="234">
        <v>0.28797832462197287</v>
      </c>
      <c r="C85" s="234">
        <v>2.8595454103268476E-2</v>
      </c>
      <c r="D85" s="234">
        <v>7.1277315072751255E-3</v>
      </c>
      <c r="E85" s="234">
        <v>0.15400756739984287</v>
      </c>
      <c r="F85" s="234">
        <v>0.52229092236764074</v>
      </c>
      <c r="G85" s="233">
        <v>0.67629848976748363</v>
      </c>
      <c r="H85" s="233">
        <v>0.32370151023251648</v>
      </c>
      <c r="I85" s="128"/>
    </row>
    <row r="86" spans="1:9">
      <c r="A86" s="118">
        <v>39051</v>
      </c>
      <c r="B86" s="234">
        <v>0.29131501384522807</v>
      </c>
      <c r="C86" s="234">
        <v>2.8771370948582207E-2</v>
      </c>
      <c r="D86" s="234">
        <v>7.0818476750762428E-3</v>
      </c>
      <c r="E86" s="234">
        <v>0.14884771394149446</v>
      </c>
      <c r="F86" s="234">
        <v>0.52398405358961897</v>
      </c>
      <c r="G86" s="233">
        <v>0.6728317675311134</v>
      </c>
      <c r="H86" s="233">
        <v>0.32716823246888654</v>
      </c>
      <c r="I86" s="128"/>
    </row>
    <row r="87" spans="1:9">
      <c r="A87" s="118">
        <v>39082</v>
      </c>
      <c r="B87" s="234">
        <v>0.29183333822607982</v>
      </c>
      <c r="C87" s="234">
        <v>2.7660174771303329E-2</v>
      </c>
      <c r="D87" s="234">
        <v>6.7138263603725643E-3</v>
      </c>
      <c r="E87" s="234">
        <v>0.1480713491214373</v>
      </c>
      <c r="F87" s="234">
        <v>0.52572131152080692</v>
      </c>
      <c r="G87" s="233">
        <v>0.67379266064224419</v>
      </c>
      <c r="H87" s="233">
        <v>0.3262073393577557</v>
      </c>
      <c r="I87" s="128"/>
    </row>
    <row r="88" spans="1:9">
      <c r="A88" s="118">
        <v>39113</v>
      </c>
      <c r="B88" s="234">
        <v>0.29024830075217373</v>
      </c>
      <c r="C88" s="234">
        <v>2.71221678508911E-2</v>
      </c>
      <c r="D88" s="234">
        <v>6.4440289443563935E-3</v>
      </c>
      <c r="E88" s="234">
        <v>0.14335470627867333</v>
      </c>
      <c r="F88" s="234">
        <v>0.53283079617390539</v>
      </c>
      <c r="G88" s="233">
        <v>0.67618550245257869</v>
      </c>
      <c r="H88" s="233">
        <v>0.32381449754742125</v>
      </c>
      <c r="I88" s="128"/>
    </row>
    <row r="89" spans="1:9">
      <c r="A89" s="118">
        <v>39141</v>
      </c>
      <c r="B89" s="234">
        <v>0.27899123733184811</v>
      </c>
      <c r="C89" s="234">
        <v>2.6979184148398196E-2</v>
      </c>
      <c r="D89" s="234">
        <v>6.3543494181673554E-3</v>
      </c>
      <c r="E89" s="234">
        <v>0.14598334867767748</v>
      </c>
      <c r="F89" s="234">
        <v>0.54169188042390903</v>
      </c>
      <c r="G89" s="233">
        <v>0.68767522910158652</v>
      </c>
      <c r="H89" s="233">
        <v>0.31232477089841365</v>
      </c>
      <c r="I89" s="128"/>
    </row>
    <row r="90" spans="1:9">
      <c r="A90" s="118">
        <v>39172</v>
      </c>
      <c r="B90" s="234">
        <v>0.27879631241796521</v>
      </c>
      <c r="C90" s="234">
        <v>2.719311882903604E-2</v>
      </c>
      <c r="D90" s="234">
        <v>6.3129786376164426E-3</v>
      </c>
      <c r="E90" s="234">
        <v>0.15378959305283785</v>
      </c>
      <c r="F90" s="234">
        <v>0.53390799706254455</v>
      </c>
      <c r="G90" s="233">
        <v>0.68769759011538234</v>
      </c>
      <c r="H90" s="233">
        <v>0.31230240988461766</v>
      </c>
      <c r="I90" s="128"/>
    </row>
    <row r="91" spans="1:9">
      <c r="A91" s="118">
        <v>39202</v>
      </c>
      <c r="B91" s="234">
        <v>0.27007977907304559</v>
      </c>
      <c r="C91" s="234">
        <v>2.6884397634227484E-2</v>
      </c>
      <c r="D91" s="234">
        <v>6.1045176704357315E-3</v>
      </c>
      <c r="E91" s="234">
        <v>0.15598470348758339</v>
      </c>
      <c r="F91" s="234">
        <v>0.5409466021347078</v>
      </c>
      <c r="G91" s="233">
        <v>0.69693130562229122</v>
      </c>
      <c r="H91" s="233">
        <v>0.30306869437770884</v>
      </c>
      <c r="I91" s="128"/>
    </row>
    <row r="92" spans="1:9">
      <c r="A92" s="119">
        <v>39203</v>
      </c>
      <c r="B92" s="234">
        <v>0.24939429457028611</v>
      </c>
      <c r="C92" s="234">
        <v>2.4205726901555955E-2</v>
      </c>
      <c r="D92" s="234">
        <v>5.5499648057020408E-3</v>
      </c>
      <c r="E92" s="234">
        <v>0.16049457121519914</v>
      </c>
      <c r="F92" s="234">
        <v>0.56035544250725677</v>
      </c>
      <c r="G92" s="233">
        <v>0.72085001372245594</v>
      </c>
      <c r="H92" s="233">
        <v>0.27914998627754412</v>
      </c>
      <c r="I92" s="128"/>
    </row>
    <row r="93" spans="1:9">
      <c r="A93" s="118">
        <v>39234</v>
      </c>
      <c r="B93" s="234">
        <v>0.24032570279463489</v>
      </c>
      <c r="C93" s="234">
        <v>2.4225716014082896E-2</v>
      </c>
      <c r="D93" s="234">
        <v>5.3984062188162478E-3</v>
      </c>
      <c r="E93" s="234">
        <v>0.15738650751180711</v>
      </c>
      <c r="F93" s="234">
        <v>0.57266366746065878</v>
      </c>
      <c r="G93" s="233">
        <v>0.73005017497246594</v>
      </c>
      <c r="H93" s="233">
        <v>0.26994982502753406</v>
      </c>
      <c r="I93" s="128"/>
    </row>
    <row r="94" spans="1:9">
      <c r="A94" s="118">
        <v>39264</v>
      </c>
      <c r="B94" s="234">
        <v>0.2382893757795046</v>
      </c>
      <c r="C94" s="234">
        <v>2.4446489940543398E-2</v>
      </c>
      <c r="D94" s="234">
        <v>5.365184536675404E-3</v>
      </c>
      <c r="E94" s="234">
        <v>0.15024192916241821</v>
      </c>
      <c r="F94" s="234">
        <v>0.58165702058085844</v>
      </c>
      <c r="G94" s="233">
        <v>0.73189894974327663</v>
      </c>
      <c r="H94" s="233">
        <v>0.26810105025672337</v>
      </c>
      <c r="I94" s="128"/>
    </row>
    <row r="95" spans="1:9">
      <c r="A95" s="118">
        <v>39325</v>
      </c>
      <c r="B95" s="234">
        <v>0.25324064368319804</v>
      </c>
      <c r="C95" s="234">
        <v>2.5945609594533726E-2</v>
      </c>
      <c r="D95" s="234">
        <v>5.8770873580635792E-3</v>
      </c>
      <c r="E95" s="234">
        <v>0.14561485770878269</v>
      </c>
      <c r="F95" s="234">
        <v>0.5693218016554219</v>
      </c>
      <c r="G95" s="233">
        <v>0.71493665936420459</v>
      </c>
      <c r="H95" s="233">
        <v>0.28506334063579536</v>
      </c>
      <c r="I95" s="128"/>
    </row>
    <row r="96" spans="1:9">
      <c r="A96" s="118">
        <v>39355</v>
      </c>
      <c r="B96" s="234">
        <v>0.24221813188547564</v>
      </c>
      <c r="C96" s="234">
        <v>2.5477790596876736E-2</v>
      </c>
      <c r="D96" s="234">
        <v>5.5769745994549303E-3</v>
      </c>
      <c r="E96" s="234">
        <v>0.14876062142074009</v>
      </c>
      <c r="F96" s="234">
        <v>0.57796648149745267</v>
      </c>
      <c r="G96" s="233">
        <v>0.72672710291819276</v>
      </c>
      <c r="H96" s="233">
        <v>0.2732728970818073</v>
      </c>
      <c r="I96" s="128"/>
    </row>
    <row r="97" spans="1:10">
      <c r="A97" s="118">
        <v>39386</v>
      </c>
      <c r="B97" s="234">
        <v>0.23835047133261034</v>
      </c>
      <c r="C97" s="234">
        <v>2.5612545866873247E-2</v>
      </c>
      <c r="D97" s="234">
        <v>5.5284766638609931E-3</v>
      </c>
      <c r="E97" s="234">
        <v>0.1488175284175573</v>
      </c>
      <c r="F97" s="234">
        <v>0.58169097771909806</v>
      </c>
      <c r="G97" s="233">
        <v>0.73050850613665541</v>
      </c>
      <c r="H97" s="233">
        <v>0.26949149386334453</v>
      </c>
      <c r="I97" s="128"/>
    </row>
    <row r="98" spans="1:10">
      <c r="A98" s="118">
        <v>39416</v>
      </c>
      <c r="B98" s="234">
        <v>0.25058960431319571</v>
      </c>
      <c r="C98" s="234">
        <v>2.695202016267385E-2</v>
      </c>
      <c r="D98" s="234">
        <v>5.9551457088524466E-3</v>
      </c>
      <c r="E98" s="234">
        <v>0.15129066986545434</v>
      </c>
      <c r="F98" s="234">
        <v>0.56521255994982378</v>
      </c>
      <c r="G98" s="233">
        <v>0.71650322981527814</v>
      </c>
      <c r="H98" s="233">
        <v>0.28349677018472202</v>
      </c>
      <c r="I98" s="128"/>
    </row>
    <row r="99" spans="1:10">
      <c r="A99" s="118">
        <v>39447</v>
      </c>
      <c r="B99" s="234">
        <v>0.24916282819872604</v>
      </c>
      <c r="C99" s="234">
        <v>2.6068800856253113E-2</v>
      </c>
      <c r="D99" s="234">
        <v>5.7052961513694919E-3</v>
      </c>
      <c r="E99" s="234">
        <v>0.15090401365302797</v>
      </c>
      <c r="F99" s="234">
        <v>0.5681590611406232</v>
      </c>
      <c r="G99" s="233">
        <v>0.71906307479365117</v>
      </c>
      <c r="H99" s="233">
        <v>0.28093692520634866</v>
      </c>
      <c r="I99" s="128"/>
    </row>
    <row r="100" spans="1:10">
      <c r="A100" s="118">
        <v>39478</v>
      </c>
      <c r="B100" s="234">
        <v>0.25083078423489302</v>
      </c>
      <c r="C100" s="234">
        <v>1.5660835195984886E-2</v>
      </c>
      <c r="D100" s="234">
        <v>5.5133433515190721E-3</v>
      </c>
      <c r="E100" s="234">
        <v>0.15009105568910841</v>
      </c>
      <c r="F100" s="234">
        <v>0.57790398152849487</v>
      </c>
      <c r="G100" s="233">
        <v>0.72799503721760328</v>
      </c>
      <c r="H100" s="233">
        <v>0.272004962782397</v>
      </c>
      <c r="I100" s="128"/>
    </row>
    <row r="101" spans="1:10">
      <c r="A101" s="118">
        <v>39507</v>
      </c>
      <c r="B101" s="234">
        <v>0.23899705441312141</v>
      </c>
      <c r="C101" s="234">
        <v>1.2728349343140977E-2</v>
      </c>
      <c r="D101" s="234">
        <v>5.5406386185769679E-3</v>
      </c>
      <c r="E101" s="234">
        <v>0.1531926526986738</v>
      </c>
      <c r="F101" s="234">
        <v>0.58954130492648682</v>
      </c>
      <c r="G101" s="233">
        <v>0.74273395762516059</v>
      </c>
      <c r="H101" s="233">
        <v>0.25726604237483935</v>
      </c>
      <c r="I101" s="128"/>
    </row>
    <row r="102" spans="1:10">
      <c r="A102" s="118">
        <v>39538</v>
      </c>
      <c r="B102" s="234">
        <v>0.23357982797153543</v>
      </c>
      <c r="C102" s="234">
        <v>1.2751699479261323E-2</v>
      </c>
      <c r="D102" s="234">
        <v>5.4889381074211749E-3</v>
      </c>
      <c r="E102" s="234">
        <v>0.1541426119759377</v>
      </c>
      <c r="F102" s="234">
        <v>0.59403692246584461</v>
      </c>
      <c r="G102" s="233">
        <v>0.74817953444178231</v>
      </c>
      <c r="H102" s="233">
        <v>0.25182046555821791</v>
      </c>
      <c r="I102" s="128"/>
    </row>
    <row r="103" spans="1:10">
      <c r="A103" s="118">
        <v>39568</v>
      </c>
      <c r="B103" s="234">
        <v>0.23182958805023057</v>
      </c>
      <c r="C103" s="234">
        <v>1.2491650413421757E-2</v>
      </c>
      <c r="D103" s="234">
        <v>5.3109344093482929E-3</v>
      </c>
      <c r="E103" s="234">
        <v>0.16321959656539922</v>
      </c>
      <c r="F103" s="234">
        <v>0.58714823056160015</v>
      </c>
      <c r="G103" s="233">
        <v>0.75036782712699934</v>
      </c>
      <c r="H103" s="233">
        <v>0.24963217287300063</v>
      </c>
      <c r="I103" s="128"/>
    </row>
    <row r="104" spans="1:10">
      <c r="A104" s="118">
        <v>39599</v>
      </c>
      <c r="B104" s="234">
        <v>0.22340782260382572</v>
      </c>
      <c r="C104" s="234">
        <v>1.1883423409529137E-2</v>
      </c>
      <c r="D104" s="234">
        <v>5.1260312936357248E-3</v>
      </c>
      <c r="E104" s="234">
        <v>0.16435098840564893</v>
      </c>
      <c r="F104" s="234">
        <v>0.59523173428736043</v>
      </c>
      <c r="G104" s="233">
        <v>0.75958272269300942</v>
      </c>
      <c r="H104" s="233">
        <v>0.24041727730699058</v>
      </c>
      <c r="I104" s="128"/>
    </row>
    <row r="105" spans="1:10">
      <c r="A105" s="118">
        <v>39629</v>
      </c>
      <c r="B105" s="234">
        <v>0.22809997302208115</v>
      </c>
      <c r="C105" s="234">
        <v>1.226815693104176E-2</v>
      </c>
      <c r="D105" s="234">
        <v>5.1634951679739218E-3</v>
      </c>
      <c r="E105" s="234">
        <v>0.16728566667825864</v>
      </c>
      <c r="F105" s="234">
        <v>0.58718270820064455</v>
      </c>
      <c r="G105" s="233">
        <v>0.75446837487890317</v>
      </c>
      <c r="H105" s="233">
        <v>0.24553162512109683</v>
      </c>
      <c r="I105" s="128"/>
    </row>
    <row r="106" spans="1:10">
      <c r="A106" s="118">
        <v>39660</v>
      </c>
      <c r="B106" s="234">
        <v>0.22193373267344738</v>
      </c>
      <c r="C106" s="234">
        <v>1.1661603402994155E-2</v>
      </c>
      <c r="D106" s="234">
        <v>4.869919674346853E-3</v>
      </c>
      <c r="E106" s="234">
        <v>0.16802209892495068</v>
      </c>
      <c r="F106" s="234">
        <v>0.59351264532426096</v>
      </c>
      <c r="G106" s="233">
        <v>0.76153474424921164</v>
      </c>
      <c r="H106" s="233">
        <v>0.23846525575078839</v>
      </c>
      <c r="I106" s="128"/>
    </row>
    <row r="107" spans="1:10">
      <c r="A107" s="118">
        <v>39691</v>
      </c>
      <c r="B107" s="234">
        <v>0.23956338300442201</v>
      </c>
      <c r="C107" s="234">
        <v>1.1863028521153016E-2</v>
      </c>
      <c r="D107" s="234">
        <v>5.1046299507002107E-3</v>
      </c>
      <c r="E107" s="234">
        <v>0.17179585365973302</v>
      </c>
      <c r="F107" s="234">
        <v>0.57167310486399214</v>
      </c>
      <c r="G107" s="233">
        <v>0.74346895852372519</v>
      </c>
      <c r="H107" s="233">
        <v>0.25653104147627526</v>
      </c>
      <c r="I107" s="128"/>
    </row>
    <row r="108" spans="1:10">
      <c r="A108" s="118">
        <v>39721</v>
      </c>
      <c r="B108" s="234">
        <v>0.2600372421730312</v>
      </c>
      <c r="C108" s="234">
        <v>1.2444912191789516E-2</v>
      </c>
      <c r="D108" s="234">
        <v>5.6108785432008416E-3</v>
      </c>
      <c r="E108" s="234">
        <v>0.16807585394553892</v>
      </c>
      <c r="F108" s="234">
        <v>0.55383111314643951</v>
      </c>
      <c r="G108" s="233">
        <v>0.72190696709197844</v>
      </c>
      <c r="H108" s="233">
        <v>0.27809303290802156</v>
      </c>
      <c r="I108" s="128"/>
    </row>
    <row r="109" spans="1:10">
      <c r="A109" s="118">
        <v>39752</v>
      </c>
      <c r="B109" s="234">
        <v>0.28127548045866446</v>
      </c>
      <c r="C109" s="234">
        <v>1.2084925782811654E-2</v>
      </c>
      <c r="D109" s="234">
        <v>6.1222036572289376E-3</v>
      </c>
      <c r="E109" s="234">
        <v>0.16318193826299571</v>
      </c>
      <c r="F109" s="234">
        <v>0.53733545183829923</v>
      </c>
      <c r="G109" s="233">
        <v>0.70051739010129488</v>
      </c>
      <c r="H109" s="233">
        <v>0.29948260989870507</v>
      </c>
      <c r="I109" s="128"/>
    </row>
    <row r="110" spans="1:10">
      <c r="A110" s="118">
        <v>39782</v>
      </c>
      <c r="B110" s="234">
        <v>0.27617325144803606</v>
      </c>
      <c r="C110" s="234">
        <v>1.1528162923354301E-2</v>
      </c>
      <c r="D110" s="234">
        <v>6.0350044859891344E-3</v>
      </c>
      <c r="E110" s="234">
        <v>0.1642807374155191</v>
      </c>
      <c r="F110" s="234">
        <v>0.54198284372710137</v>
      </c>
      <c r="G110" s="233">
        <v>0.70626358114262044</v>
      </c>
      <c r="H110" s="233">
        <v>0.2937364188573795</v>
      </c>
      <c r="I110" s="128"/>
    </row>
    <row r="111" spans="1:10">
      <c r="A111" s="118">
        <v>39813</v>
      </c>
      <c r="B111" s="234">
        <v>0.27155734867804798</v>
      </c>
      <c r="C111" s="234">
        <v>1.20234227880951E-2</v>
      </c>
      <c r="D111" s="234">
        <v>6.09755239513665E-3</v>
      </c>
      <c r="E111" s="234">
        <v>0.16540759429698301</v>
      </c>
      <c r="F111" s="234">
        <v>0.54491408184173695</v>
      </c>
      <c r="G111" s="233">
        <v>0.71032167613871999</v>
      </c>
      <c r="H111" s="233">
        <v>0.28967832386127973</v>
      </c>
      <c r="I111" s="128"/>
      <c r="J111" s="153"/>
    </row>
    <row r="112" spans="1:10">
      <c r="A112" s="118">
        <v>39844</v>
      </c>
      <c r="B112" s="234">
        <v>0.29201272403961398</v>
      </c>
      <c r="C112" s="234">
        <v>1.1594839365538054E-2</v>
      </c>
      <c r="D112" s="234">
        <v>6.2594321060701385E-3</v>
      </c>
      <c r="E112" s="234">
        <v>0.15926900589804449</v>
      </c>
      <c r="F112" s="234">
        <v>0.5308639985907333</v>
      </c>
      <c r="G112" s="233">
        <v>0.69013300448877779</v>
      </c>
      <c r="H112" s="233">
        <v>0.30986699551122221</v>
      </c>
      <c r="I112" s="128"/>
    </row>
    <row r="113" spans="1:9">
      <c r="A113" s="118">
        <v>39872</v>
      </c>
      <c r="B113" s="234">
        <v>0.29969889288269724</v>
      </c>
      <c r="C113" s="234">
        <v>1.1736865155611235E-2</v>
      </c>
      <c r="D113" s="234">
        <v>6.0626177594802471E-3</v>
      </c>
      <c r="E113" s="234">
        <v>0.15732914485655222</v>
      </c>
      <c r="F113" s="234">
        <v>0.52517247934565892</v>
      </c>
      <c r="G113" s="233">
        <v>0.68250162420221117</v>
      </c>
      <c r="H113" s="233">
        <v>0.31749837579778872</v>
      </c>
      <c r="I113" s="128"/>
    </row>
    <row r="114" spans="1:9">
      <c r="A114" s="118">
        <v>39903</v>
      </c>
      <c r="B114" s="234">
        <v>0.30094397621610897</v>
      </c>
      <c r="C114" s="234">
        <v>1.1852504976544991E-2</v>
      </c>
      <c r="D114" s="234">
        <v>5.8919006257549629E-3</v>
      </c>
      <c r="E114" s="234">
        <v>0.15263275706134732</v>
      </c>
      <c r="F114" s="234">
        <v>0.52867886112024376</v>
      </c>
      <c r="G114" s="233">
        <v>0.68131161818159103</v>
      </c>
      <c r="H114" s="233">
        <v>0.31868838181840892</v>
      </c>
      <c r="I114" s="128"/>
    </row>
    <row r="115" spans="1:9">
      <c r="A115" s="118">
        <v>39933</v>
      </c>
      <c r="B115" s="234">
        <v>0.27839100510973269</v>
      </c>
      <c r="C115" s="234">
        <v>1.0747530535271915E-2</v>
      </c>
      <c r="D115" s="234">
        <v>5.3636469458718024E-3</v>
      </c>
      <c r="E115" s="234">
        <v>0.15784205654727557</v>
      </c>
      <c r="F115" s="234">
        <v>0.54765576086184786</v>
      </c>
      <c r="G115" s="233">
        <v>0.70549781740912343</v>
      </c>
      <c r="H115" s="233">
        <v>0.2945021825908764</v>
      </c>
      <c r="I115" s="128"/>
    </row>
    <row r="116" spans="1:9">
      <c r="A116" s="118">
        <v>39964</v>
      </c>
      <c r="B116" s="234">
        <v>0.26691687254653812</v>
      </c>
      <c r="C116" s="234">
        <v>1.048462712630217E-2</v>
      </c>
      <c r="D116" s="234">
        <v>5.0929946572802641E-3</v>
      </c>
      <c r="E116" s="234">
        <v>0.1663218825318504</v>
      </c>
      <c r="F116" s="234">
        <v>0.55118362313802904</v>
      </c>
      <c r="G116" s="233">
        <v>0.71750550566987947</v>
      </c>
      <c r="H116" s="233">
        <v>0.28249449433012053</v>
      </c>
      <c r="I116" s="128"/>
    </row>
    <row r="117" spans="1:9">
      <c r="A117" s="118">
        <v>39994</v>
      </c>
      <c r="B117" s="234">
        <v>0.26632710281330441</v>
      </c>
      <c r="C117" s="234">
        <v>1.0325588418368664E-2</v>
      </c>
      <c r="D117" s="234">
        <v>5.020871632449987E-3</v>
      </c>
      <c r="E117" s="234">
        <v>0.16628535292455232</v>
      </c>
      <c r="F117" s="234">
        <v>0.55204108421132458</v>
      </c>
      <c r="G117" s="233">
        <v>0.71832643713587685</v>
      </c>
      <c r="H117" s="233">
        <v>0.28167356286412304</v>
      </c>
      <c r="I117" s="128"/>
    </row>
    <row r="118" spans="1:9">
      <c r="A118" s="118">
        <v>40025</v>
      </c>
      <c r="B118" s="234">
        <v>0.26172464593518741</v>
      </c>
      <c r="C118" s="234">
        <v>1.0174135325889976E-2</v>
      </c>
      <c r="D118" s="234">
        <v>4.9422916277635431E-3</v>
      </c>
      <c r="E118" s="234">
        <v>0.17469327103116222</v>
      </c>
      <c r="F118" s="234">
        <v>0.54846565607999676</v>
      </c>
      <c r="G118" s="233">
        <v>0.72315892711115892</v>
      </c>
      <c r="H118" s="233">
        <v>0.27684107288884091</v>
      </c>
      <c r="I118" s="128"/>
    </row>
    <row r="119" spans="1:9">
      <c r="A119" s="118">
        <v>40056</v>
      </c>
      <c r="B119" s="234">
        <v>0.25636119372472421</v>
      </c>
      <c r="C119" s="234">
        <v>1.0035738584399498E-2</v>
      </c>
      <c r="D119" s="234">
        <v>4.9050928174058936E-3</v>
      </c>
      <c r="E119" s="234">
        <v>0.17267465428470866</v>
      </c>
      <c r="F119" s="234">
        <v>0.55602332058876192</v>
      </c>
      <c r="G119" s="233">
        <v>0.72869797487347054</v>
      </c>
      <c r="H119" s="233">
        <v>0.27130202512652962</v>
      </c>
      <c r="I119" s="128"/>
    </row>
    <row r="120" spans="1:9">
      <c r="A120" s="118">
        <v>40086</v>
      </c>
      <c r="B120" s="234">
        <v>0.24560923713788471</v>
      </c>
      <c r="C120" s="234">
        <v>9.769489470479455E-3</v>
      </c>
      <c r="D120" s="234">
        <v>4.8154011728503135E-3</v>
      </c>
      <c r="E120" s="234">
        <v>0.17719377687608873</v>
      </c>
      <c r="F120" s="234">
        <v>0.56261209534269674</v>
      </c>
      <c r="G120" s="233">
        <v>0.73980587221878547</v>
      </c>
      <c r="H120" s="233">
        <v>0.26019412778121448</v>
      </c>
      <c r="I120" s="128"/>
    </row>
    <row r="121" spans="1:9">
      <c r="A121" s="118">
        <v>40117</v>
      </c>
      <c r="B121" s="234">
        <v>0.26011945459875668</v>
      </c>
      <c r="C121" s="234">
        <v>9.8280777738866797E-3</v>
      </c>
      <c r="D121" s="234">
        <v>4.7842670699780841E-3</v>
      </c>
      <c r="E121" s="234">
        <v>0.17002886642108803</v>
      </c>
      <c r="F121" s="234">
        <v>0.55523933413629056</v>
      </c>
      <c r="G121" s="233">
        <v>0.72526820055737862</v>
      </c>
      <c r="H121" s="233">
        <v>0.27473179944262144</v>
      </c>
      <c r="I121" s="128"/>
    </row>
    <row r="122" spans="1:9">
      <c r="A122" s="118">
        <v>40147</v>
      </c>
      <c r="B122" s="234">
        <v>0.25436467397948215</v>
      </c>
      <c r="C122" s="234">
        <v>9.3018615910122043E-3</v>
      </c>
      <c r="D122" s="234">
        <v>1.033502897257987E-2</v>
      </c>
      <c r="E122" s="234">
        <v>0.15781825498541663</v>
      </c>
      <c r="F122" s="234">
        <v>0.56818018047150909</v>
      </c>
      <c r="G122" s="233">
        <v>0.72599843545692577</v>
      </c>
      <c r="H122" s="233">
        <v>0.27400156454307423</v>
      </c>
      <c r="I122" s="128"/>
    </row>
    <row r="123" spans="1:9">
      <c r="A123" s="118">
        <v>40178</v>
      </c>
      <c r="B123" s="234">
        <v>0.26237515390850691</v>
      </c>
      <c r="C123" s="234">
        <v>8.9440957328008209E-3</v>
      </c>
      <c r="D123" s="234">
        <v>9.7043888919419591E-3</v>
      </c>
      <c r="E123" s="234">
        <v>0.15294195050079945</v>
      </c>
      <c r="F123" s="234">
        <v>0.56603441096595075</v>
      </c>
      <c r="G123" s="233">
        <v>0.71897636146675015</v>
      </c>
      <c r="H123" s="233">
        <v>0.28102363853324969</v>
      </c>
      <c r="I123" s="128"/>
    </row>
    <row r="124" spans="1:9">
      <c r="A124" s="118">
        <v>40209</v>
      </c>
      <c r="B124" s="234">
        <v>0.25340608604334364</v>
      </c>
      <c r="C124" s="234">
        <v>8.4171984418221196E-3</v>
      </c>
      <c r="D124" s="234">
        <v>9.5835335846742482E-3</v>
      </c>
      <c r="E124" s="234">
        <v>0.15354727954573069</v>
      </c>
      <c r="F124" s="234">
        <v>0.57504590238442932</v>
      </c>
      <c r="G124" s="233">
        <v>0.72859318193015998</v>
      </c>
      <c r="H124" s="233">
        <v>0.27140681806983996</v>
      </c>
      <c r="I124" s="128"/>
    </row>
    <row r="125" spans="1:9">
      <c r="A125" s="118">
        <v>40237</v>
      </c>
      <c r="B125" s="234">
        <v>0.25110355772191123</v>
      </c>
      <c r="C125" s="234">
        <v>6.7883292071496204E-3</v>
      </c>
      <c r="D125" s="234">
        <v>8.2775213284061316E-3</v>
      </c>
      <c r="E125" s="234">
        <v>0.1575946989556079</v>
      </c>
      <c r="F125" s="234">
        <v>0.57623589278692489</v>
      </c>
      <c r="G125" s="233">
        <v>0.73383059174253273</v>
      </c>
      <c r="H125" s="233">
        <v>0.26616940825746699</v>
      </c>
      <c r="I125" s="128"/>
    </row>
    <row r="126" spans="1:9">
      <c r="A126" s="118">
        <v>40268</v>
      </c>
      <c r="B126" s="234">
        <v>0.25004547337652905</v>
      </c>
      <c r="C126" s="234">
        <v>6.6884972737618845E-3</v>
      </c>
      <c r="D126" s="234">
        <v>8.1046984566446947E-3</v>
      </c>
      <c r="E126" s="234">
        <v>0.15923022796735353</v>
      </c>
      <c r="F126" s="234">
        <v>0.57593110292571081</v>
      </c>
      <c r="G126" s="233">
        <v>0.73516133089306435</v>
      </c>
      <c r="H126" s="233">
        <v>0.2648386691069356</v>
      </c>
      <c r="I126" s="128"/>
    </row>
    <row r="127" spans="1:9">
      <c r="A127" s="118">
        <v>40298</v>
      </c>
      <c r="B127" s="234">
        <v>0.2561954846085302</v>
      </c>
      <c r="C127" s="234">
        <v>6.5744665840591727E-3</v>
      </c>
      <c r="D127" s="234">
        <v>7.7935173260844119E-3</v>
      </c>
      <c r="E127" s="234">
        <v>0.16942401564829049</v>
      </c>
      <c r="F127" s="234">
        <v>0.56001251583303568</v>
      </c>
      <c r="G127" s="233">
        <v>0.72943653148132614</v>
      </c>
      <c r="H127" s="233">
        <v>0.2705634685186738</v>
      </c>
      <c r="I127" s="128"/>
    </row>
    <row r="128" spans="1:9">
      <c r="A128" s="118">
        <v>40329</v>
      </c>
      <c r="B128" s="234">
        <v>0.25513419826677752</v>
      </c>
      <c r="C128" s="234">
        <v>5.9368756147927066E-3</v>
      </c>
      <c r="D128" s="234">
        <v>8.0580994748152574E-3</v>
      </c>
      <c r="E128" s="234">
        <v>0.17260092054703213</v>
      </c>
      <c r="F128" s="234">
        <v>0.55826990609658245</v>
      </c>
      <c r="G128" s="233">
        <v>0.73087082664361458</v>
      </c>
      <c r="H128" s="233">
        <v>0.26912917335638553</v>
      </c>
      <c r="I128" s="128"/>
    </row>
    <row r="129" spans="1:9">
      <c r="A129" s="118">
        <v>40359</v>
      </c>
      <c r="B129" s="234">
        <v>0.2475052284440811</v>
      </c>
      <c r="C129" s="234">
        <v>5.694270429662752E-3</v>
      </c>
      <c r="D129" s="234">
        <v>7.9950230077485331E-3</v>
      </c>
      <c r="E129" s="234">
        <v>0.17480947601793137</v>
      </c>
      <c r="F129" s="234">
        <v>0.56399600210057621</v>
      </c>
      <c r="G129" s="233">
        <v>0.73880547811850761</v>
      </c>
      <c r="H129" s="233">
        <v>0.26119452188149239</v>
      </c>
      <c r="I129" s="128"/>
    </row>
    <row r="130" spans="1:9">
      <c r="A130" s="118">
        <v>40390</v>
      </c>
      <c r="B130" s="234">
        <v>0.23554204234809248</v>
      </c>
      <c r="C130" s="234">
        <v>5.8041611194390354E-3</v>
      </c>
      <c r="D130" s="234">
        <v>7.841302531426373E-3</v>
      </c>
      <c r="E130" s="234">
        <v>0.17623286849117606</v>
      </c>
      <c r="F130" s="234">
        <v>0.57457962550986597</v>
      </c>
      <c r="G130" s="233">
        <v>0.750812494001042</v>
      </c>
      <c r="H130" s="233">
        <v>0.24918750599895789</v>
      </c>
      <c r="I130" s="128"/>
    </row>
    <row r="131" spans="1:9">
      <c r="A131" s="118">
        <v>40421</v>
      </c>
      <c r="B131" s="234">
        <v>0.22930484999576561</v>
      </c>
      <c r="C131" s="234">
        <v>5.5207028880649633E-3</v>
      </c>
      <c r="D131" s="234">
        <v>7.8703055223841821E-3</v>
      </c>
      <c r="E131" s="234">
        <v>0.17586754161881987</v>
      </c>
      <c r="F131" s="234">
        <v>0.58143659997496544</v>
      </c>
      <c r="G131" s="233">
        <v>0.75730414159378534</v>
      </c>
      <c r="H131" s="233">
        <v>0.24269585840621477</v>
      </c>
      <c r="I131" s="128"/>
    </row>
    <row r="132" spans="1:9">
      <c r="A132" s="118">
        <v>40451</v>
      </c>
      <c r="B132" s="234">
        <v>0.23014946197707312</v>
      </c>
      <c r="C132" s="234">
        <v>5.8907637207334202E-3</v>
      </c>
      <c r="D132" s="234">
        <v>7.8970399350717264E-3</v>
      </c>
      <c r="E132" s="234">
        <v>0.15970936281381704</v>
      </c>
      <c r="F132" s="234">
        <v>0.5963533715533047</v>
      </c>
      <c r="G132" s="233">
        <v>0.75606273436712179</v>
      </c>
      <c r="H132" s="233">
        <v>0.24393726563287826</v>
      </c>
      <c r="I132" s="128"/>
    </row>
    <row r="133" spans="1:9">
      <c r="A133" s="118">
        <v>40482</v>
      </c>
      <c r="B133" s="234">
        <v>0.23292451870610054</v>
      </c>
      <c r="C133" s="234">
        <v>6.0113322342822267E-3</v>
      </c>
      <c r="D133" s="234">
        <v>8.2098658472766015E-3</v>
      </c>
      <c r="E133" s="234">
        <v>0.15773342972554902</v>
      </c>
      <c r="F133" s="234">
        <v>0.59512085348679156</v>
      </c>
      <c r="G133" s="233">
        <v>0.7528542832123406</v>
      </c>
      <c r="H133" s="233">
        <v>0.24714571678765937</v>
      </c>
      <c r="I133" s="128"/>
    </row>
    <row r="134" spans="1:9">
      <c r="A134" s="118">
        <v>40512</v>
      </c>
      <c r="B134" s="234">
        <v>0.23895310774290943</v>
      </c>
      <c r="C134" s="234">
        <v>5.6386154264468445E-3</v>
      </c>
      <c r="D134" s="234">
        <v>8.1187015483917963E-3</v>
      </c>
      <c r="E134" s="234">
        <v>0.15660376629793241</v>
      </c>
      <c r="F134" s="234">
        <v>0.59068580898431966</v>
      </c>
      <c r="G134" s="233">
        <v>0.74728957528225204</v>
      </c>
      <c r="H134" s="233">
        <v>0.25271042471774807</v>
      </c>
      <c r="I134" s="128"/>
    </row>
    <row r="135" spans="1:9">
      <c r="A135" s="118">
        <v>40543</v>
      </c>
      <c r="B135" s="234">
        <v>0.23436625509423112</v>
      </c>
      <c r="C135" s="234">
        <v>5.5446442793792936E-3</v>
      </c>
      <c r="D135" s="234">
        <v>8.0519900313019872E-3</v>
      </c>
      <c r="E135" s="234">
        <v>0.15157435862258437</v>
      </c>
      <c r="F135" s="234">
        <v>0.60046275197250332</v>
      </c>
      <c r="G135" s="233">
        <v>0.75203711059508771</v>
      </c>
      <c r="H135" s="233">
        <v>0.2479628894049124</v>
      </c>
      <c r="I135" s="128"/>
    </row>
    <row r="136" spans="1:9">
      <c r="A136" s="118">
        <v>40574</v>
      </c>
      <c r="B136" s="234">
        <v>0.23542715608602768</v>
      </c>
      <c r="C136" s="234">
        <v>5.6804187717478492E-3</v>
      </c>
      <c r="D136" s="234">
        <v>8.009032230992863E-3</v>
      </c>
      <c r="E136" s="234">
        <v>0.16204993459147174</v>
      </c>
      <c r="F136" s="234">
        <v>0.58883345831975975</v>
      </c>
      <c r="G136" s="233">
        <v>0.75088339291123152</v>
      </c>
      <c r="H136" s="233">
        <v>0.2491166070887684</v>
      </c>
      <c r="I136" s="128"/>
    </row>
    <row r="137" spans="1:9">
      <c r="A137" s="118">
        <v>40602</v>
      </c>
      <c r="B137" s="234">
        <v>0.23634921980179224</v>
      </c>
      <c r="C137" s="234">
        <v>5.7476622088401593E-3</v>
      </c>
      <c r="D137" s="234">
        <v>8.0471362672720707E-3</v>
      </c>
      <c r="E137" s="234">
        <v>0.16289668526771117</v>
      </c>
      <c r="F137" s="234">
        <v>0.58695929645438438</v>
      </c>
      <c r="G137" s="233">
        <v>0.74985598172209555</v>
      </c>
      <c r="H137" s="233">
        <v>0.25014401827790445</v>
      </c>
      <c r="I137" s="128"/>
    </row>
    <row r="138" spans="1:9">
      <c r="A138" s="118">
        <v>40633</v>
      </c>
      <c r="B138" s="234">
        <v>0.23282294868537373</v>
      </c>
      <c r="C138" s="234">
        <v>5.798932165985711E-3</v>
      </c>
      <c r="D138" s="234">
        <v>7.8349006578789394E-3</v>
      </c>
      <c r="E138" s="234">
        <v>0.16276613069569229</v>
      </c>
      <c r="F138" s="234">
        <v>0.59077708779506932</v>
      </c>
      <c r="G138" s="233">
        <v>0.75354321849076156</v>
      </c>
      <c r="H138" s="233">
        <v>0.24645678150923839</v>
      </c>
      <c r="I138" s="128"/>
    </row>
    <row r="139" spans="1:9">
      <c r="A139" s="118">
        <v>40663</v>
      </c>
      <c r="B139" s="234">
        <v>0.21842517464137795</v>
      </c>
      <c r="C139" s="234">
        <v>5.6822972512767991E-3</v>
      </c>
      <c r="D139" s="234">
        <v>7.5062873391215394E-3</v>
      </c>
      <c r="E139" s="234">
        <v>0.16661460452672297</v>
      </c>
      <c r="F139" s="234">
        <v>0.60177163624150065</v>
      </c>
      <c r="G139" s="233">
        <v>0.76838624076822359</v>
      </c>
      <c r="H139" s="233">
        <v>0.23161375923177629</v>
      </c>
      <c r="I139" s="128"/>
    </row>
    <row r="140" spans="1:9">
      <c r="A140" s="118">
        <v>40694</v>
      </c>
      <c r="B140" s="234">
        <v>0.2283522425077544</v>
      </c>
      <c r="C140" s="234">
        <v>2.5137192480858012E-3</v>
      </c>
      <c r="D140" s="234">
        <v>7.8932642842374917E-3</v>
      </c>
      <c r="E140" s="234">
        <v>0.17522023794206343</v>
      </c>
      <c r="F140" s="234">
        <v>0.58602053601785886</v>
      </c>
      <c r="G140" s="233">
        <v>0.76124077395992229</v>
      </c>
      <c r="H140" s="233">
        <v>0.23875922604007771</v>
      </c>
      <c r="I140" s="128"/>
    </row>
    <row r="141" spans="1:9">
      <c r="A141" s="118">
        <v>40724</v>
      </c>
      <c r="B141" s="234">
        <v>0.22385704469768986</v>
      </c>
      <c r="C141" s="234">
        <v>2.440311784045674E-3</v>
      </c>
      <c r="D141" s="234">
        <v>7.7808628091899481E-3</v>
      </c>
      <c r="E141" s="234">
        <v>0.17997396321900677</v>
      </c>
      <c r="F141" s="234">
        <v>0.58594781749006775</v>
      </c>
      <c r="G141" s="233">
        <v>0.76592178070907457</v>
      </c>
      <c r="H141" s="233">
        <v>0.23407821929092545</v>
      </c>
      <c r="I141" s="128"/>
    </row>
    <row r="142" spans="1:9">
      <c r="A142" s="118">
        <v>40755</v>
      </c>
      <c r="B142" s="234">
        <v>0.23433506662261921</v>
      </c>
      <c r="C142" s="234">
        <v>2.351031473026476E-3</v>
      </c>
      <c r="D142" s="234">
        <v>7.8796984797001104E-3</v>
      </c>
      <c r="E142" s="234">
        <v>0.1771865672251984</v>
      </c>
      <c r="F142" s="234">
        <v>0.57824763619945596</v>
      </c>
      <c r="G142" s="233">
        <v>0.75543420342465439</v>
      </c>
      <c r="H142" s="233">
        <v>0.2445657965753458</v>
      </c>
      <c r="I142" s="128"/>
    </row>
    <row r="143" spans="1:9">
      <c r="A143" s="118">
        <v>40786</v>
      </c>
      <c r="B143" s="234">
        <v>0.23211579246129324</v>
      </c>
      <c r="C143" s="234">
        <v>2.3189727275272922E-3</v>
      </c>
      <c r="D143" s="234">
        <v>7.8682033127724683E-3</v>
      </c>
      <c r="E143" s="234">
        <v>0.17904585059425643</v>
      </c>
      <c r="F143" s="234">
        <v>0.57865118090415057</v>
      </c>
      <c r="G143" s="233">
        <v>0.75769703149840706</v>
      </c>
      <c r="H143" s="233">
        <v>0.242302968501593</v>
      </c>
      <c r="I143" s="128"/>
    </row>
    <row r="144" spans="1:9">
      <c r="A144" s="118">
        <v>40816</v>
      </c>
      <c r="B144" s="234">
        <v>0.24555761577119681</v>
      </c>
      <c r="C144" s="234">
        <v>2.2939539620138853E-3</v>
      </c>
      <c r="D144" s="234">
        <v>8.2662672023342005E-3</v>
      </c>
      <c r="E144" s="234">
        <v>0.17262102603782523</v>
      </c>
      <c r="F144" s="234">
        <v>0.57126113702662984</v>
      </c>
      <c r="G144" s="233">
        <v>0.74388216306445509</v>
      </c>
      <c r="H144" s="233">
        <v>0.25611783693554491</v>
      </c>
      <c r="I144" s="128"/>
    </row>
    <row r="145" spans="1:9">
      <c r="A145" s="118">
        <v>40847</v>
      </c>
      <c r="B145" s="234">
        <v>0.23857658533093526</v>
      </c>
      <c r="C145" s="234">
        <v>2.2952958423097937E-3</v>
      </c>
      <c r="D145" s="234">
        <v>7.9012891222386677E-3</v>
      </c>
      <c r="E145" s="234">
        <v>0.17426181013604883</v>
      </c>
      <c r="F145" s="234">
        <v>0.57696501956846757</v>
      </c>
      <c r="G145" s="233">
        <v>0.75122682970451637</v>
      </c>
      <c r="H145" s="233">
        <v>0.24877317029548371</v>
      </c>
      <c r="I145" s="128"/>
    </row>
    <row r="146" spans="1:9">
      <c r="A146" s="118">
        <v>40877</v>
      </c>
      <c r="B146" s="234">
        <v>0.24862161047993206</v>
      </c>
      <c r="C146" s="234">
        <v>2.1378743637881126E-3</v>
      </c>
      <c r="D146" s="234">
        <v>8.2195610703074216E-3</v>
      </c>
      <c r="E146" s="234">
        <v>0.17154752978032772</v>
      </c>
      <c r="F146" s="234">
        <v>0.56947342430564474</v>
      </c>
      <c r="G146" s="233">
        <v>0.74102095408597246</v>
      </c>
      <c r="H146" s="233">
        <v>0.25897904591402759</v>
      </c>
      <c r="I146" s="128"/>
    </row>
    <row r="147" spans="1:9">
      <c r="A147" s="118">
        <v>40878</v>
      </c>
      <c r="B147" s="234">
        <v>0.24601464758444197</v>
      </c>
      <c r="C147" s="234">
        <v>1.9674995983259272E-3</v>
      </c>
      <c r="D147" s="234">
        <v>8.0622961485393736E-3</v>
      </c>
      <c r="E147" s="234">
        <v>0.16986090143380003</v>
      </c>
      <c r="F147" s="234">
        <v>0.57409465523489267</v>
      </c>
      <c r="G147" s="233">
        <v>0.74395555666869273</v>
      </c>
      <c r="H147" s="233">
        <v>0.25604444333130727</v>
      </c>
      <c r="I147" s="128"/>
    </row>
    <row r="148" spans="1:9">
      <c r="A148" s="118">
        <v>40909</v>
      </c>
      <c r="B148" s="234">
        <v>0.2352344134132261</v>
      </c>
      <c r="C148" s="234">
        <v>1.8971157085043763E-3</v>
      </c>
      <c r="D148" s="234">
        <v>7.7832687614137128E-3</v>
      </c>
      <c r="E148" s="234">
        <v>0.17258150551306312</v>
      </c>
      <c r="F148" s="234">
        <v>0.58250369660379253</v>
      </c>
      <c r="G148" s="233">
        <v>0.7550852021168557</v>
      </c>
      <c r="H148" s="233">
        <v>0.24491479788314419</v>
      </c>
      <c r="I148" s="128"/>
    </row>
    <row r="149" spans="1:9">
      <c r="A149" s="118">
        <v>40940</v>
      </c>
      <c r="B149" s="234">
        <v>0.22746083785952492</v>
      </c>
      <c r="C149" s="234">
        <v>1.8694425113637723E-3</v>
      </c>
      <c r="D149" s="234">
        <v>7.098525244648878E-3</v>
      </c>
      <c r="E149" s="234">
        <v>0.17442442489299964</v>
      </c>
      <c r="F149" s="234">
        <v>0.58914676949146272</v>
      </c>
      <c r="G149" s="233">
        <v>0.7635711943844623</v>
      </c>
      <c r="H149" s="233">
        <v>0.23642880561553759</v>
      </c>
      <c r="I149" s="128"/>
    </row>
    <row r="150" spans="1:9">
      <c r="A150" s="118">
        <v>40969</v>
      </c>
      <c r="B150" s="234">
        <v>0.2288120680958419</v>
      </c>
      <c r="C150" s="234">
        <v>1.8619861149426053E-3</v>
      </c>
      <c r="D150" s="234">
        <v>7.0148060065169243E-3</v>
      </c>
      <c r="E150" s="234">
        <v>0.17654606441088275</v>
      </c>
      <c r="F150" s="234">
        <v>0.58576507537181588</v>
      </c>
      <c r="G150" s="233">
        <v>0.7623111397826986</v>
      </c>
      <c r="H150" s="233">
        <v>0.2376888602173014</v>
      </c>
      <c r="I150" s="128"/>
    </row>
    <row r="151" spans="1:9">
      <c r="A151" s="118">
        <v>41000</v>
      </c>
      <c r="B151" s="234">
        <v>0.22691259550761614</v>
      </c>
      <c r="C151" s="234">
        <v>1.8259892608025118E-3</v>
      </c>
      <c r="D151" s="234">
        <v>7.1670696207231212E-3</v>
      </c>
      <c r="E151" s="234">
        <v>0.18123903791453333</v>
      </c>
      <c r="F151" s="234">
        <v>0.58285530769632499</v>
      </c>
      <c r="G151" s="233">
        <v>0.76409434561085832</v>
      </c>
      <c r="H151" s="233">
        <v>0.23590565438914177</v>
      </c>
      <c r="I151" s="128"/>
    </row>
    <row r="152" spans="1:9">
      <c r="A152" s="118">
        <v>41030</v>
      </c>
      <c r="B152" s="234">
        <v>0.23224807904728789</v>
      </c>
      <c r="C152" s="234">
        <v>1.6356981737788994E-3</v>
      </c>
      <c r="D152" s="234">
        <v>7.5195021806565418E-3</v>
      </c>
      <c r="E152" s="234">
        <v>0.17304061784460409</v>
      </c>
      <c r="F152" s="234">
        <v>0.58555610275367265</v>
      </c>
      <c r="G152" s="233">
        <v>0.75859672059827676</v>
      </c>
      <c r="H152" s="233">
        <v>0.24140327940172332</v>
      </c>
      <c r="I152" s="128"/>
    </row>
    <row r="153" spans="1:9">
      <c r="A153" s="118">
        <v>41061</v>
      </c>
      <c r="B153" s="234">
        <v>0.22930308355283524</v>
      </c>
      <c r="C153" s="234">
        <v>1.6150866472784346E-3</v>
      </c>
      <c r="D153" s="234">
        <v>7.2930564772142126E-3</v>
      </c>
      <c r="E153" s="234">
        <v>0.17505308797549712</v>
      </c>
      <c r="F153" s="234">
        <v>0.58673568534717502</v>
      </c>
      <c r="G153" s="233">
        <v>0.76178877332267214</v>
      </c>
      <c r="H153" s="233">
        <v>0.23821122667732789</v>
      </c>
      <c r="I153" s="128"/>
    </row>
    <row r="154" spans="1:9">
      <c r="A154" s="118">
        <v>41091</v>
      </c>
      <c r="B154" s="234">
        <v>0.22556692714995302</v>
      </c>
      <c r="C154" s="234">
        <v>1.5456629016750724E-3</v>
      </c>
      <c r="D154" s="234">
        <v>7.3362632566744872E-3</v>
      </c>
      <c r="E154" s="234">
        <v>0.17851399600171455</v>
      </c>
      <c r="F154" s="234">
        <v>0.58703715068998308</v>
      </c>
      <c r="G154" s="233">
        <v>0.76555114669169766</v>
      </c>
      <c r="H154" s="233">
        <v>0.23444885330830259</v>
      </c>
      <c r="I154" s="128"/>
    </row>
    <row r="155" spans="1:9">
      <c r="A155" s="118">
        <v>41122</v>
      </c>
      <c r="B155" s="234">
        <v>0.23166070344633227</v>
      </c>
      <c r="C155" s="234">
        <v>1.6243439981668602E-3</v>
      </c>
      <c r="D155" s="234">
        <v>7.4952835973102145E-3</v>
      </c>
      <c r="E155" s="234">
        <v>0.18252190537539167</v>
      </c>
      <c r="F155" s="234">
        <v>0.57669776358279889</v>
      </c>
      <c r="G155" s="233">
        <v>0.7592196689581906</v>
      </c>
      <c r="H155" s="233">
        <v>0.24078033104180935</v>
      </c>
      <c r="I155" s="128"/>
    </row>
    <row r="156" spans="1:9">
      <c r="A156" s="118">
        <v>41182</v>
      </c>
      <c r="B156" s="234">
        <v>0.22667413171470488</v>
      </c>
      <c r="C156" s="234">
        <v>1.6037133981341037E-3</v>
      </c>
      <c r="D156" s="234">
        <v>7.4008055363620449E-3</v>
      </c>
      <c r="E156" s="234">
        <v>0.18420322068818776</v>
      </c>
      <c r="F156" s="234">
        <v>0.58011812866261137</v>
      </c>
      <c r="G156" s="233">
        <v>0.7643213493507991</v>
      </c>
      <c r="H156" s="233">
        <v>0.23567865064920104</v>
      </c>
      <c r="I156" s="128"/>
    </row>
    <row r="157" spans="1:9">
      <c r="A157" s="118">
        <v>41213</v>
      </c>
      <c r="B157" s="234">
        <v>0.23026460909251209</v>
      </c>
      <c r="C157" s="234">
        <v>1.6559313069962275E-3</v>
      </c>
      <c r="D157" s="234">
        <v>7.3221810537718243E-3</v>
      </c>
      <c r="E157" s="234">
        <v>0.17891636772872804</v>
      </c>
      <c r="F157" s="234">
        <v>0.58184091081799172</v>
      </c>
      <c r="G157" s="233">
        <v>0.76075727854671982</v>
      </c>
      <c r="H157" s="233">
        <v>0.23924272145328015</v>
      </c>
      <c r="I157" s="128"/>
    </row>
    <row r="158" spans="1:9">
      <c r="A158" s="118">
        <v>41243</v>
      </c>
      <c r="B158" s="234">
        <v>0.22506069568415452</v>
      </c>
      <c r="C158" s="234">
        <v>1.4920908137709492E-3</v>
      </c>
      <c r="D158" s="234">
        <v>6.9864329482894096E-3</v>
      </c>
      <c r="E158" s="234">
        <v>0.18276006478332804</v>
      </c>
      <c r="F158" s="234">
        <v>0.58370071577045723</v>
      </c>
      <c r="G158" s="233">
        <v>0.7664607805537853</v>
      </c>
      <c r="H158" s="233">
        <v>0.23353921944621486</v>
      </c>
      <c r="I158" s="128"/>
    </row>
    <row r="159" spans="1:9">
      <c r="A159" s="118">
        <v>41274</v>
      </c>
      <c r="B159" s="234">
        <v>0.22317740033611555</v>
      </c>
      <c r="C159" s="234">
        <v>1.4233520609223007E-3</v>
      </c>
      <c r="D159" s="234">
        <v>4.3055627689046862E-3</v>
      </c>
      <c r="E159" s="234">
        <v>0.18158763182182733</v>
      </c>
      <c r="F159" s="234">
        <v>0.58950605301223025</v>
      </c>
      <c r="G159" s="233">
        <v>0.7710936848340576</v>
      </c>
      <c r="H159" s="233">
        <v>0.22890631516594254</v>
      </c>
      <c r="I159" s="128"/>
    </row>
    <row r="160" spans="1:9">
      <c r="A160" s="118">
        <v>41305</v>
      </c>
      <c r="B160" s="234">
        <v>0.226119943175001</v>
      </c>
      <c r="C160" s="234">
        <v>1.4565604181436399E-3</v>
      </c>
      <c r="D160" s="234">
        <v>4.0675731978400704E-3</v>
      </c>
      <c r="E160" s="234">
        <v>0.180591813578838</v>
      </c>
      <c r="F160" s="234">
        <v>0.587764109630177</v>
      </c>
      <c r="G160" s="233">
        <v>0.76835592320901502</v>
      </c>
      <c r="H160" s="233">
        <v>0.231644076790985</v>
      </c>
      <c r="I160" s="128"/>
    </row>
    <row r="161" spans="1:9">
      <c r="A161" s="118">
        <v>41333</v>
      </c>
      <c r="B161" s="234">
        <v>0.22662635983491097</v>
      </c>
      <c r="C161" s="234">
        <v>1.4086488765783483E-3</v>
      </c>
      <c r="D161" s="234">
        <v>4.0354925073360854E-3</v>
      </c>
      <c r="E161" s="234">
        <v>0.17699659522766495</v>
      </c>
      <c r="F161" s="234">
        <v>0.59093290355350969</v>
      </c>
      <c r="G161" s="233">
        <v>0.76792949878117467</v>
      </c>
      <c r="H161" s="233">
        <v>0.23207050121882541</v>
      </c>
      <c r="I161" s="128"/>
    </row>
    <row r="162" spans="1:9">
      <c r="A162" s="118">
        <v>41334</v>
      </c>
      <c r="B162" s="234">
        <v>0.22541503934857501</v>
      </c>
      <c r="C162" s="234">
        <v>1.3736978333572134E-3</v>
      </c>
      <c r="D162" s="234">
        <v>3.9455086034303763E-3</v>
      </c>
      <c r="E162" s="234">
        <v>0.15210923353510722</v>
      </c>
      <c r="F162" s="234">
        <v>0.61715652067953031</v>
      </c>
      <c r="G162" s="233">
        <v>0.7692657542146375</v>
      </c>
      <c r="H162" s="233">
        <v>0.23073424578536261</v>
      </c>
      <c r="I162" s="128"/>
    </row>
    <row r="163" spans="1:9">
      <c r="A163" s="118">
        <v>41394</v>
      </c>
      <c r="B163" s="234">
        <v>0.22675026891179556</v>
      </c>
      <c r="C163" s="234">
        <v>1.4359901190123753E-3</v>
      </c>
      <c r="D163" s="234">
        <v>3.8291765427107319E-3</v>
      </c>
      <c r="E163" s="234">
        <v>0.1557494754407214</v>
      </c>
      <c r="F163" s="234">
        <v>0.61223508898575996</v>
      </c>
      <c r="G163" s="233">
        <v>0.76798456442648133</v>
      </c>
      <c r="H163" s="233">
        <v>0.23201543557351867</v>
      </c>
      <c r="I163" s="128"/>
    </row>
    <row r="164" spans="1:9">
      <c r="A164" s="118">
        <v>41425</v>
      </c>
      <c r="B164" s="234">
        <v>0.2319790168608683</v>
      </c>
      <c r="C164" s="234">
        <v>1.3126377579715399E-3</v>
      </c>
      <c r="D164" s="234">
        <v>3.8024679308987534E-3</v>
      </c>
      <c r="E164" s="234">
        <v>0.15759147212486732</v>
      </c>
      <c r="F164" s="234">
        <v>0.60531440532539393</v>
      </c>
      <c r="G164" s="233">
        <v>0.76290587745026128</v>
      </c>
      <c r="H164" s="233">
        <v>0.23709412254973861</v>
      </c>
      <c r="I164" s="128"/>
    </row>
    <row r="165" spans="1:9">
      <c r="A165" s="118">
        <v>41455</v>
      </c>
      <c r="B165" s="234">
        <v>0.23397747632086166</v>
      </c>
      <c r="C165" s="234">
        <v>1.2938603856773642E-3</v>
      </c>
      <c r="D165" s="234">
        <v>3.8905707789834779E-3</v>
      </c>
      <c r="E165" s="234">
        <v>0.15948086910179363</v>
      </c>
      <c r="F165" s="234">
        <v>0.60135722341268394</v>
      </c>
      <c r="G165" s="233">
        <v>0.76083809251447754</v>
      </c>
      <c r="H165" s="233">
        <v>0.23916190748552249</v>
      </c>
      <c r="I165" s="128"/>
    </row>
    <row r="166" spans="1:9">
      <c r="A166" s="118">
        <v>41486</v>
      </c>
      <c r="B166" s="234">
        <v>0.22672334694710289</v>
      </c>
      <c r="C166" s="234">
        <v>1.2824993272142905E-3</v>
      </c>
      <c r="D166" s="234">
        <v>3.8137539518173134E-3</v>
      </c>
      <c r="E166" s="234">
        <v>0.16052231345428958</v>
      </c>
      <c r="F166" s="234">
        <v>0.60765808631957585</v>
      </c>
      <c r="G166" s="233">
        <v>0.76818039977386543</v>
      </c>
      <c r="H166" s="233">
        <v>0.23181960022613451</v>
      </c>
      <c r="I166" s="128"/>
    </row>
    <row r="167" spans="1:9">
      <c r="A167" s="118">
        <v>41517</v>
      </c>
      <c r="B167" s="234">
        <v>0.22934819401968487</v>
      </c>
      <c r="C167" s="234">
        <v>1.2782417196454336E-3</v>
      </c>
      <c r="D167" s="234">
        <v>3.8345601813235958E-3</v>
      </c>
      <c r="E167" s="234">
        <v>0.15894224009058033</v>
      </c>
      <c r="F167" s="234">
        <v>0.60659676398876561</v>
      </c>
      <c r="G167" s="233">
        <v>0.76553900407934594</v>
      </c>
      <c r="H167" s="233">
        <v>0.23446099592065389</v>
      </c>
      <c r="I167" s="128"/>
    </row>
    <row r="168" spans="1:9">
      <c r="A168" s="118">
        <v>41547</v>
      </c>
      <c r="B168" s="234">
        <v>0.23615473231915235</v>
      </c>
      <c r="C168" s="234">
        <v>1.2472957776386543E-3</v>
      </c>
      <c r="D168" s="234">
        <v>3.6606513087335357E-3</v>
      </c>
      <c r="E168" s="234">
        <v>0.1582637952942707</v>
      </c>
      <c r="F168" s="234">
        <v>0.60067352530020479</v>
      </c>
      <c r="G168" s="233">
        <v>0.7589373205944755</v>
      </c>
      <c r="H168" s="233">
        <v>0.24106267940552453</v>
      </c>
      <c r="I168" s="128"/>
    </row>
    <row r="169" spans="1:9">
      <c r="A169" s="118">
        <v>41578</v>
      </c>
      <c r="B169" s="234">
        <v>0.2301836045187611</v>
      </c>
      <c r="C169" s="234">
        <v>1.2171061961573234E-3</v>
      </c>
      <c r="D169" s="234">
        <v>3.564535001389129E-3</v>
      </c>
      <c r="E169" s="234">
        <v>0.16095264355022437</v>
      </c>
      <c r="F169" s="234">
        <v>0.60408211073346818</v>
      </c>
      <c r="G169" s="233">
        <v>0.76503475428369261</v>
      </c>
      <c r="H169" s="233">
        <v>0.23496524571630756</v>
      </c>
      <c r="I169" s="128"/>
    </row>
    <row r="170" spans="1:9">
      <c r="A170" s="118">
        <v>41608</v>
      </c>
      <c r="B170" s="234">
        <v>0.23521849160002578</v>
      </c>
      <c r="C170" s="234">
        <v>1.1134493745222792E-3</v>
      </c>
      <c r="D170" s="234">
        <v>3.5151381364016202E-3</v>
      </c>
      <c r="E170" s="234">
        <v>0.16154477658111902</v>
      </c>
      <c r="F170" s="234">
        <v>0.59860814430793119</v>
      </c>
      <c r="G170" s="233">
        <v>0.76015292088905018</v>
      </c>
      <c r="H170" s="233">
        <v>0.23984707911094982</v>
      </c>
      <c r="I170" s="128"/>
    </row>
    <row r="171" spans="1:9">
      <c r="A171" s="118">
        <v>41639</v>
      </c>
      <c r="B171" s="234">
        <v>0.23196092434652044</v>
      </c>
      <c r="C171" s="234">
        <v>1.0813359037803035E-3</v>
      </c>
      <c r="D171" s="234">
        <v>3.3282193850096529E-3</v>
      </c>
      <c r="E171" s="234">
        <v>0.15659608037178666</v>
      </c>
      <c r="F171" s="234">
        <v>0.60703343999290293</v>
      </c>
      <c r="G171" s="233">
        <v>0.76362952036468956</v>
      </c>
      <c r="H171" s="233">
        <v>0.23637047963531044</v>
      </c>
      <c r="I171" s="128"/>
    </row>
    <row r="172" spans="1:9">
      <c r="A172" s="118">
        <v>41670</v>
      </c>
      <c r="B172" s="234">
        <v>0.25419363727290789</v>
      </c>
      <c r="C172" s="234">
        <v>1.0676251131982672E-3</v>
      </c>
      <c r="D172" s="234">
        <v>3.5076649907218919E-3</v>
      </c>
      <c r="E172" s="234">
        <v>0.15872106559162694</v>
      </c>
      <c r="F172" s="234">
        <v>0.58251000703154499</v>
      </c>
      <c r="G172" s="233">
        <v>0.74123107262317189</v>
      </c>
      <c r="H172" s="233">
        <v>0.25876892737682805</v>
      </c>
      <c r="I172" s="128"/>
    </row>
    <row r="173" spans="1:9">
      <c r="A173" s="118">
        <v>41698</v>
      </c>
      <c r="B173" s="234">
        <v>0.25501165855938407</v>
      </c>
      <c r="C173" s="234">
        <v>1.091907610053333E-3</v>
      </c>
      <c r="D173" s="234">
        <v>3.5154878257553906E-3</v>
      </c>
      <c r="E173" s="234">
        <v>0.16001768387893203</v>
      </c>
      <c r="F173" s="234">
        <v>0.58036326212587508</v>
      </c>
      <c r="G173" s="233">
        <v>0.74038094600480708</v>
      </c>
      <c r="H173" s="233">
        <v>0.25961905399519281</v>
      </c>
      <c r="I173" s="128"/>
    </row>
    <row r="174" spans="1:9">
      <c r="A174" s="118">
        <v>41729</v>
      </c>
      <c r="B174" s="234">
        <v>0.24120108426659898</v>
      </c>
      <c r="C174" s="234">
        <v>1.0322690663459909E-3</v>
      </c>
      <c r="D174" s="234">
        <v>3.2993678339533752E-3</v>
      </c>
      <c r="E174" s="234">
        <v>0.16856405629198168</v>
      </c>
      <c r="F174" s="234">
        <v>0.58590322254111993</v>
      </c>
      <c r="G174" s="233">
        <v>0.75446727883310161</v>
      </c>
      <c r="H174" s="233">
        <v>0.24553272116689839</v>
      </c>
      <c r="I174" s="128"/>
    </row>
    <row r="175" spans="1:9">
      <c r="A175" s="118">
        <v>41759</v>
      </c>
      <c r="B175" s="234">
        <v>0.23455421559441272</v>
      </c>
      <c r="C175" s="234">
        <v>1.0103581025257694E-3</v>
      </c>
      <c r="D175" s="234">
        <v>3.236453431007218E-3</v>
      </c>
      <c r="E175" s="234">
        <v>0.1743441732823946</v>
      </c>
      <c r="F175" s="234">
        <v>0.5868547995896598</v>
      </c>
      <c r="G175" s="233">
        <v>0.7611989728720544</v>
      </c>
      <c r="H175" s="233">
        <v>0.23880102712794574</v>
      </c>
      <c r="I175" s="128"/>
    </row>
    <row r="176" spans="1:9">
      <c r="A176" s="118">
        <v>41790</v>
      </c>
      <c r="B176" s="234">
        <v>0.23679373784085178</v>
      </c>
      <c r="C176" s="234">
        <v>8.9019935108848364E-4</v>
      </c>
      <c r="D176" s="234">
        <v>3.3038015149745889E-3</v>
      </c>
      <c r="E176" s="234">
        <v>0.18325328606744867</v>
      </c>
      <c r="F176" s="234">
        <v>0.57575897522563646</v>
      </c>
      <c r="G176" s="233">
        <v>0.75901226129308519</v>
      </c>
      <c r="H176" s="233">
        <v>0.24098773870691484</v>
      </c>
      <c r="I176" s="128"/>
    </row>
    <row r="177" spans="1:9">
      <c r="A177" s="118">
        <v>41820</v>
      </c>
      <c r="B177" s="234">
        <v>0.22915710429226666</v>
      </c>
      <c r="C177" s="234">
        <v>8.5699837040662311E-4</v>
      </c>
      <c r="D177" s="234">
        <v>3.2199536893347471E-3</v>
      </c>
      <c r="E177" s="234">
        <v>0.18059727147148574</v>
      </c>
      <c r="F177" s="234">
        <v>0.58616867217650637</v>
      </c>
      <c r="G177" s="233">
        <v>0.76676594364799211</v>
      </c>
      <c r="H177" s="233">
        <v>0.23323405635200803</v>
      </c>
      <c r="I177" s="128"/>
    </row>
    <row r="178" spans="1:9">
      <c r="A178" s="118">
        <v>41851</v>
      </c>
      <c r="B178" s="234">
        <v>0.22698210753775899</v>
      </c>
      <c r="C178" s="234">
        <v>8.3025997855865638E-4</v>
      </c>
      <c r="D178" s="234">
        <v>3.1469472150371229E-3</v>
      </c>
      <c r="E178" s="234">
        <v>0.18525880409535758</v>
      </c>
      <c r="F178" s="234">
        <v>0.58378188117328755</v>
      </c>
      <c r="G178" s="233">
        <v>0.76904068526864511</v>
      </c>
      <c r="H178" s="233">
        <v>0.23095931473135478</v>
      </c>
      <c r="I178" s="128"/>
    </row>
    <row r="179" spans="1:9">
      <c r="A179" s="118">
        <v>41882</v>
      </c>
      <c r="B179" s="234">
        <v>0.22950823480982133</v>
      </c>
      <c r="C179" s="234">
        <v>8.2719904273817816E-4</v>
      </c>
      <c r="D179" s="234">
        <v>3.1521197153570567E-3</v>
      </c>
      <c r="E179" s="234">
        <v>0.18679610995907933</v>
      </c>
      <c r="F179" s="234">
        <v>0.57971633647300413</v>
      </c>
      <c r="G179" s="233">
        <v>0.76651244643208349</v>
      </c>
      <c r="H179" s="233">
        <v>0.23348755356791656</v>
      </c>
      <c r="I179" s="128"/>
    </row>
    <row r="180" spans="1:9">
      <c r="A180" s="118">
        <v>41912</v>
      </c>
      <c r="B180" s="234">
        <v>0.23655401105389717</v>
      </c>
      <c r="C180" s="234">
        <v>8.1432166474192937E-4</v>
      </c>
      <c r="D180" s="234">
        <v>3.0799950292735526E-3</v>
      </c>
      <c r="E180" s="234">
        <v>0.18646035505913042</v>
      </c>
      <c r="F180" s="234">
        <v>0.57309131719295681</v>
      </c>
      <c r="G180" s="233">
        <v>0.7595516722520872</v>
      </c>
      <c r="H180" s="233">
        <v>0.2404483277479128</v>
      </c>
      <c r="I180" s="128"/>
    </row>
    <row r="181" spans="1:9">
      <c r="A181" s="118">
        <v>41943</v>
      </c>
      <c r="B181" s="234">
        <v>0.24059122168196848</v>
      </c>
      <c r="C181" s="234">
        <v>7.8934040670828568E-4</v>
      </c>
      <c r="D181" s="234">
        <v>2.9442736962354854E-3</v>
      </c>
      <c r="E181" s="234">
        <v>0.17722144521725533</v>
      </c>
      <c r="F181" s="234">
        <v>0.57845371899783227</v>
      </c>
      <c r="G181" s="233">
        <v>0.75567516421508762</v>
      </c>
      <c r="H181" s="233">
        <v>0.24432483578491224</v>
      </c>
      <c r="I181" s="128"/>
    </row>
    <row r="182" spans="1:9">
      <c r="A182" s="118">
        <v>41973</v>
      </c>
      <c r="B182" s="234">
        <v>0.25279050502741135</v>
      </c>
      <c r="C182" s="234">
        <v>7.0778621349286701E-4</v>
      </c>
      <c r="D182" s="234">
        <v>2.9429146267958214E-3</v>
      </c>
      <c r="E182" s="234">
        <v>0.1776791022342378</v>
      </c>
      <c r="F182" s="234">
        <v>0.5658796918980622</v>
      </c>
      <c r="G182" s="233">
        <v>0.74355879413229997</v>
      </c>
      <c r="H182" s="233">
        <v>0.25644120586770003</v>
      </c>
      <c r="I182" s="128"/>
    </row>
    <row r="183" spans="1:9">
      <c r="A183" s="118">
        <v>42004</v>
      </c>
      <c r="B183" s="234">
        <v>0.27399031437656568</v>
      </c>
      <c r="C183" s="234">
        <v>7.2303477920496368E-4</v>
      </c>
      <c r="D183" s="234">
        <v>3.0976052941715602E-3</v>
      </c>
      <c r="E183" s="234">
        <v>0.17142371777043983</v>
      </c>
      <c r="F183" s="234">
        <v>0.55076532777961795</v>
      </c>
      <c r="G183" s="233">
        <v>0.72218904555005781</v>
      </c>
      <c r="H183" s="233">
        <v>0.27781095444994219</v>
      </c>
      <c r="I183" s="128"/>
    </row>
    <row r="184" spans="1:9">
      <c r="A184" s="118">
        <v>42035</v>
      </c>
      <c r="B184" s="234">
        <v>0.28546799786856353</v>
      </c>
      <c r="C184" s="234">
        <v>6.680607361555966E-4</v>
      </c>
      <c r="D184" s="234">
        <v>3.1525890814497843E-3</v>
      </c>
      <c r="E184" s="234">
        <v>0.17446615246891967</v>
      </c>
      <c r="F184" s="234">
        <v>0.53624519984491148</v>
      </c>
      <c r="G184" s="233">
        <v>0.71071135231383109</v>
      </c>
      <c r="H184" s="233">
        <v>0.28928864768616891</v>
      </c>
      <c r="I184" s="128"/>
    </row>
    <row r="185" spans="1:9">
      <c r="A185" s="118">
        <v>42063</v>
      </c>
      <c r="B185" s="234">
        <v>0.29113615499023077</v>
      </c>
      <c r="C185" s="234">
        <v>6.7468955997471755E-4</v>
      </c>
      <c r="D185" s="234">
        <v>3.1504741273154836E-3</v>
      </c>
      <c r="E185" s="234">
        <v>0.1541209862596401</v>
      </c>
      <c r="F185" s="234">
        <v>0.55091769506283894</v>
      </c>
      <c r="G185" s="233">
        <v>0.70503868132247904</v>
      </c>
      <c r="H185" s="233">
        <v>0.29496131867752101</v>
      </c>
      <c r="I185" s="128"/>
    </row>
    <row r="186" spans="1:9">
      <c r="A186" s="118">
        <v>42094</v>
      </c>
      <c r="B186" s="234">
        <v>0.30253905297620692</v>
      </c>
      <c r="C186" s="234">
        <v>6.4903106914780814E-4</v>
      </c>
      <c r="D186" s="234">
        <v>3.1735864283010018E-3</v>
      </c>
      <c r="E186" s="234">
        <v>0.15452287329382114</v>
      </c>
      <c r="F186" s="234">
        <v>0.5391154562325231</v>
      </c>
      <c r="G186" s="233">
        <v>0.69363832952634419</v>
      </c>
      <c r="H186" s="233">
        <v>0.30636167047365576</v>
      </c>
      <c r="I186" s="128"/>
    </row>
    <row r="187" spans="1:9">
      <c r="A187" s="118">
        <v>42124</v>
      </c>
      <c r="B187" s="234">
        <v>0.28570212489629143</v>
      </c>
      <c r="C187" s="234">
        <v>6.424846720354153E-4</v>
      </c>
      <c r="D187" s="234">
        <v>3.0048494575161803E-3</v>
      </c>
      <c r="E187" s="234">
        <v>0.1609338702167627</v>
      </c>
      <c r="F187" s="234">
        <v>0.54971667075739439</v>
      </c>
      <c r="G187" s="233">
        <v>0.71065054097415703</v>
      </c>
      <c r="H187" s="233">
        <v>0.28934945902584303</v>
      </c>
      <c r="I187" s="128"/>
    </row>
    <row r="188" spans="1:9">
      <c r="A188" s="118">
        <v>42155</v>
      </c>
      <c r="B188" s="234">
        <v>0.28983826777409682</v>
      </c>
      <c r="C188" s="234">
        <v>5.2612638620164144E-4</v>
      </c>
      <c r="D188" s="234">
        <v>2.957781434636441E-3</v>
      </c>
      <c r="E188" s="234">
        <v>0.15685035760052141</v>
      </c>
      <c r="F188" s="234">
        <v>0.54982746680454353</v>
      </c>
      <c r="G188" s="233">
        <v>0.70667782440506488</v>
      </c>
      <c r="H188" s="233">
        <v>0.2933221755949349</v>
      </c>
      <c r="I188" s="128"/>
    </row>
    <row r="189" spans="1:9">
      <c r="A189" s="118">
        <v>42185</v>
      </c>
      <c r="B189" s="234">
        <v>0.29542986418331479</v>
      </c>
      <c r="C189" s="234">
        <v>5.3754975675127613E-4</v>
      </c>
      <c r="D189" s="234">
        <v>3.0640733780289689E-3</v>
      </c>
      <c r="E189" s="234">
        <v>0.1614138938051182</v>
      </c>
      <c r="F189" s="234">
        <v>0.5395546188767868</v>
      </c>
      <c r="G189" s="233">
        <v>0.70096851268190496</v>
      </c>
      <c r="H189" s="233">
        <v>0.29903148731809504</v>
      </c>
      <c r="I189" s="128"/>
    </row>
    <row r="190" spans="1:9">
      <c r="A190" s="118">
        <v>42216</v>
      </c>
      <c r="B190" s="234">
        <v>0.31885574491519736</v>
      </c>
      <c r="C190" s="234">
        <v>5.7551361440545397E-4</v>
      </c>
      <c r="D190" s="234">
        <v>3.2675889917883143E-3</v>
      </c>
      <c r="E190" s="234">
        <v>0.16093721267664587</v>
      </c>
      <c r="F190" s="234">
        <v>0.51636393980196316</v>
      </c>
      <c r="G190" s="233">
        <v>0.677301152478609</v>
      </c>
      <c r="H190" s="233">
        <v>0.32269884752139111</v>
      </c>
      <c r="I190" s="128"/>
    </row>
    <row r="191" spans="1:9">
      <c r="A191" s="118">
        <v>42247</v>
      </c>
      <c r="B191" s="234">
        <v>0.33138118177436376</v>
      </c>
      <c r="C191" s="234">
        <v>6.1219984945165605E-4</v>
      </c>
      <c r="D191" s="234">
        <v>3.5045691420725264E-3</v>
      </c>
      <c r="E191" s="234">
        <v>0.15969759287599214</v>
      </c>
      <c r="F191" s="234">
        <v>0.50480445635811999</v>
      </c>
      <c r="G191" s="233">
        <v>0.66450204923411216</v>
      </c>
      <c r="H191" s="233">
        <v>0.33549795076588795</v>
      </c>
      <c r="I191" s="128"/>
    </row>
    <row r="192" spans="1:9">
      <c r="A192" s="118">
        <v>42277</v>
      </c>
      <c r="B192" s="234">
        <v>0.33442752857410868</v>
      </c>
      <c r="C192" s="234">
        <v>5.8204819705336066E-4</v>
      </c>
      <c r="D192" s="234">
        <v>3.4107091440340465E-3</v>
      </c>
      <c r="E192" s="234">
        <v>0.15827739796173224</v>
      </c>
      <c r="F192" s="234">
        <v>0.50330231612307164</v>
      </c>
      <c r="G192" s="233">
        <v>0.66157971408480387</v>
      </c>
      <c r="H192" s="233">
        <v>0.33842028591519613</v>
      </c>
      <c r="I192" s="128"/>
    </row>
    <row r="193" spans="1:9">
      <c r="A193" s="118">
        <v>42308</v>
      </c>
      <c r="B193" s="234">
        <v>0.33483927698826121</v>
      </c>
      <c r="C193" s="234">
        <v>3.2935359334905416E-3</v>
      </c>
      <c r="D193" s="234">
        <v>3.3462168836765312E-3</v>
      </c>
      <c r="E193" s="234">
        <v>0.16896855299781222</v>
      </c>
      <c r="F193" s="234">
        <v>0.48955241719675946</v>
      </c>
      <c r="G193" s="233">
        <v>0.65852097019457168</v>
      </c>
      <c r="H193" s="233">
        <v>0.34147902980542827</v>
      </c>
      <c r="I193" s="128"/>
    </row>
    <row r="194" spans="1:9">
      <c r="A194" s="118">
        <v>42338</v>
      </c>
      <c r="B194" s="234">
        <v>0.34714494100360538</v>
      </c>
      <c r="C194" s="234">
        <v>3.1690294996852418E-3</v>
      </c>
      <c r="D194" s="234">
        <v>3.4268843144904565E-3</v>
      </c>
      <c r="E194" s="234">
        <v>0.17204043558824755</v>
      </c>
      <c r="F194" s="234">
        <v>0.47421870959397139</v>
      </c>
      <c r="G194" s="233">
        <v>0.64625914518221894</v>
      </c>
      <c r="H194" s="233">
        <v>0.35374085481778106</v>
      </c>
      <c r="I194" s="128"/>
    </row>
    <row r="195" spans="1:9">
      <c r="A195" s="118">
        <v>42369</v>
      </c>
      <c r="B195" s="234">
        <v>0.34795645544624221</v>
      </c>
      <c r="C195" s="234">
        <v>9.6365505898946026E-3</v>
      </c>
      <c r="D195" s="234">
        <v>3.4476200592571979E-3</v>
      </c>
      <c r="E195" s="234">
        <v>0.16878187727690411</v>
      </c>
      <c r="F195" s="234">
        <v>0.47017749662770186</v>
      </c>
      <c r="G195" s="233">
        <v>0.638959373904606</v>
      </c>
      <c r="H195" s="233">
        <v>0.361040626095394</v>
      </c>
      <c r="I195" s="128"/>
    </row>
    <row r="196" spans="1:9">
      <c r="A196" s="118">
        <v>42400</v>
      </c>
      <c r="B196" s="234">
        <v>0.35875452083126175</v>
      </c>
      <c r="C196" s="234">
        <v>9.9022687058377655E-3</v>
      </c>
      <c r="D196" s="234">
        <v>3.5896218867659015E-3</v>
      </c>
      <c r="E196" s="234">
        <v>0.16986087847304021</v>
      </c>
      <c r="F196" s="234">
        <v>0.4578927101030944</v>
      </c>
      <c r="G196" s="233">
        <v>0.62775358857613461</v>
      </c>
      <c r="H196" s="233">
        <v>0.37224641142386544</v>
      </c>
      <c r="I196" s="128"/>
    </row>
    <row r="197" spans="1:9">
      <c r="A197" s="118">
        <v>42429</v>
      </c>
      <c r="B197" s="234">
        <v>0.35227814596950585</v>
      </c>
      <c r="C197" s="234">
        <v>9.6905755281714231E-3</v>
      </c>
      <c r="D197" s="234">
        <v>3.7172097403850072E-3</v>
      </c>
      <c r="E197" s="234">
        <v>0.17555786884024899</v>
      </c>
      <c r="F197" s="234">
        <v>0.45875619992168876</v>
      </c>
      <c r="G197" s="233">
        <v>0.63431406876193774</v>
      </c>
      <c r="H197" s="233">
        <v>0.36568593123806226</v>
      </c>
      <c r="I197" s="128"/>
    </row>
    <row r="198" spans="1:9">
      <c r="A198" s="118">
        <v>42460</v>
      </c>
      <c r="B198" s="234">
        <v>0.32384668140064221</v>
      </c>
      <c r="C198" s="234">
        <v>2.2562138477126195E-2</v>
      </c>
      <c r="D198" s="234">
        <v>3.4381857541248193E-3</v>
      </c>
      <c r="E198" s="234">
        <v>0.18296111637322732</v>
      </c>
      <c r="F198" s="234">
        <v>0.46719187799487949</v>
      </c>
      <c r="G198" s="233">
        <v>0.65015299436810681</v>
      </c>
      <c r="H198" s="233">
        <v>0.34984700563189319</v>
      </c>
      <c r="I198" s="128"/>
    </row>
    <row r="199" spans="1:9">
      <c r="A199" s="118">
        <v>42490</v>
      </c>
      <c r="B199" s="234">
        <v>0.30957558486596581</v>
      </c>
      <c r="C199" s="234">
        <v>2.1702749148497142E-2</v>
      </c>
      <c r="D199" s="234">
        <v>3.4540602217791277E-3</v>
      </c>
      <c r="E199" s="234">
        <v>0.18860251132989422</v>
      </c>
      <c r="F199" s="234">
        <v>0.47666509443386373</v>
      </c>
      <c r="G199" s="233">
        <v>0.66526760576375799</v>
      </c>
      <c r="H199" s="233">
        <v>0.33473239423624207</v>
      </c>
      <c r="I199" s="128"/>
    </row>
    <row r="200" spans="1:9">
      <c r="A200" s="118">
        <v>42521</v>
      </c>
      <c r="B200" s="234">
        <v>0.31474018403172849</v>
      </c>
      <c r="C200" s="234">
        <v>2.7252497510865344E-2</v>
      </c>
      <c r="D200" s="234">
        <v>3.405614810793693E-3</v>
      </c>
      <c r="E200" s="234">
        <v>0.17618034714304232</v>
      </c>
      <c r="F200" s="234">
        <v>0.47842135650357004</v>
      </c>
      <c r="G200" s="233">
        <v>0.6546017036466123</v>
      </c>
      <c r="H200" s="233">
        <v>0.34539829635338753</v>
      </c>
      <c r="I200" s="128"/>
    </row>
    <row r="201" spans="1:9">
      <c r="A201" s="118">
        <v>42551</v>
      </c>
      <c r="B201" s="234">
        <v>0.30406234505029373</v>
      </c>
      <c r="C201" s="234">
        <v>2.6319490077364314E-2</v>
      </c>
      <c r="D201" s="234">
        <v>3.5635146235626818E-3</v>
      </c>
      <c r="E201" s="234">
        <v>0.18400473564260231</v>
      </c>
      <c r="F201" s="234">
        <v>0.48204991460617702</v>
      </c>
      <c r="G201" s="233">
        <v>0.6660546502487793</v>
      </c>
      <c r="H201" s="233">
        <v>0.33394534975122075</v>
      </c>
      <c r="I201" s="128"/>
    </row>
    <row r="202" spans="1:9">
      <c r="A202" s="118">
        <v>42582</v>
      </c>
      <c r="B202" s="234">
        <v>0.31554517869134341</v>
      </c>
      <c r="C202" s="234">
        <v>2.7504110503100598E-2</v>
      </c>
      <c r="D202" s="234">
        <v>3.7033935842299913E-3</v>
      </c>
      <c r="E202" s="234">
        <v>0.18376355266673053</v>
      </c>
      <c r="F202" s="234">
        <v>0.4694837645545954</v>
      </c>
      <c r="G202" s="233">
        <v>0.6532473172213259</v>
      </c>
      <c r="H202" s="233">
        <v>0.34675268277867399</v>
      </c>
      <c r="I202" s="128"/>
    </row>
    <row r="203" spans="1:9">
      <c r="A203" s="118">
        <v>42613</v>
      </c>
      <c r="B203" s="234">
        <v>0.30191968122934021</v>
      </c>
      <c r="C203" s="234">
        <v>2.6255525478545545E-2</v>
      </c>
      <c r="D203" s="234">
        <v>3.5168236492219957E-3</v>
      </c>
      <c r="E203" s="234">
        <v>0.18870336148496111</v>
      </c>
      <c r="F203" s="234">
        <v>0.47960460815793116</v>
      </c>
      <c r="G203" s="233">
        <v>0.6683079696428923</v>
      </c>
      <c r="H203" s="233">
        <v>0.33169203035710776</v>
      </c>
      <c r="I203" s="128"/>
    </row>
    <row r="204" spans="1:9">
      <c r="A204" s="118">
        <v>42643</v>
      </c>
      <c r="B204" s="234">
        <v>0.2953984992031557</v>
      </c>
      <c r="C204" s="234">
        <v>2.5968250696323924E-2</v>
      </c>
      <c r="D204" s="234">
        <v>3.5227999268101296E-3</v>
      </c>
      <c r="E204" s="234">
        <v>0.19212149659157676</v>
      </c>
      <c r="F204" s="234">
        <v>0.48298895358213334</v>
      </c>
      <c r="G204" s="233">
        <v>0.67511045017371007</v>
      </c>
      <c r="H204" s="233">
        <v>0.32488954982628993</v>
      </c>
      <c r="I204" s="128"/>
    </row>
    <row r="205" spans="1:9">
      <c r="A205" s="118">
        <v>42674</v>
      </c>
      <c r="B205" s="234">
        <v>0.29924956283705356</v>
      </c>
      <c r="C205" s="234">
        <v>2.5686217906703741E-2</v>
      </c>
      <c r="D205" s="234">
        <v>3.4415706205053352E-3</v>
      </c>
      <c r="E205" s="234">
        <v>0.18960419909961548</v>
      </c>
      <c r="F205" s="234">
        <v>0.48201844953612194</v>
      </c>
      <c r="G205" s="233">
        <v>0.6716226486357374</v>
      </c>
      <c r="H205" s="233">
        <v>0.3283773513642626</v>
      </c>
      <c r="I205" s="128"/>
    </row>
    <row r="206" spans="1:9">
      <c r="A206" s="118">
        <v>42704</v>
      </c>
      <c r="B206" s="234">
        <v>0.31306490299095907</v>
      </c>
      <c r="C206" s="234">
        <v>2.6205173435171342E-2</v>
      </c>
      <c r="D206" s="234">
        <v>3.2758308089668522E-3</v>
      </c>
      <c r="E206" s="234">
        <v>0.18441913212958266</v>
      </c>
      <c r="F206" s="234">
        <v>0.47303496063532002</v>
      </c>
      <c r="G206" s="233">
        <v>0.65745409276490263</v>
      </c>
      <c r="H206" s="233">
        <v>0.34254590723509737</v>
      </c>
      <c r="I206" s="128"/>
    </row>
    <row r="207" spans="1:9">
      <c r="A207" s="118">
        <v>42735</v>
      </c>
      <c r="B207" s="234">
        <v>0.30332421871309784</v>
      </c>
      <c r="C207" s="234">
        <v>3.2972174169814322E-2</v>
      </c>
      <c r="D207" s="234">
        <v>3.0688640134685112E-3</v>
      </c>
      <c r="E207" s="234">
        <v>0.18699560076952729</v>
      </c>
      <c r="F207" s="234">
        <v>0.47363914233409216</v>
      </c>
      <c r="G207" s="233">
        <v>0.66063474310361947</v>
      </c>
      <c r="H207" s="233">
        <v>0.33936525689638053</v>
      </c>
      <c r="I207" s="128"/>
    </row>
    <row r="208" spans="1:9">
      <c r="A208" s="118">
        <v>42766</v>
      </c>
      <c r="B208" s="234">
        <v>0.30413109003241773</v>
      </c>
      <c r="C208" s="234">
        <v>3.2931906426261738E-2</v>
      </c>
      <c r="D208" s="234">
        <v>3.0997885390399494E-3</v>
      </c>
      <c r="E208" s="234">
        <v>0.19034230380979716</v>
      </c>
      <c r="F208" s="234">
        <v>0.46949491119248349</v>
      </c>
      <c r="G208" s="233">
        <v>0.65983721500228065</v>
      </c>
      <c r="H208" s="233">
        <v>0.34016278499771946</v>
      </c>
      <c r="I208" s="128"/>
    </row>
    <row r="209" spans="1:9">
      <c r="A209" s="118">
        <v>42794</v>
      </c>
      <c r="B209" s="234">
        <v>0.29745922913820771</v>
      </c>
      <c r="C209" s="234">
        <v>3.1731069713238108E-2</v>
      </c>
      <c r="D209" s="234">
        <v>3.0581523500130443E-3</v>
      </c>
      <c r="E209" s="234">
        <v>0.19347703234814301</v>
      </c>
      <c r="F209" s="234">
        <v>0.47427451645039809</v>
      </c>
      <c r="G209" s="233">
        <v>0.66775154879854104</v>
      </c>
      <c r="H209" s="233">
        <v>0.33224845120145885</v>
      </c>
      <c r="I209" s="128"/>
    </row>
    <row r="210" spans="1:9">
      <c r="A210" s="118">
        <v>42825</v>
      </c>
      <c r="B210" s="234">
        <v>0.29196727394994731</v>
      </c>
      <c r="C210" s="234">
        <v>3.1411619136906224E-2</v>
      </c>
      <c r="D210" s="234">
        <v>3.0213534488131985E-3</v>
      </c>
      <c r="E210" s="234">
        <v>0.19598533047678843</v>
      </c>
      <c r="F210" s="234">
        <v>0.47761442298754481</v>
      </c>
      <c r="G210" s="233">
        <v>0.67359975346433321</v>
      </c>
      <c r="H210" s="233">
        <v>0.32640024653566674</v>
      </c>
      <c r="I210" s="128"/>
    </row>
    <row r="211" spans="1:9">
      <c r="A211" s="118">
        <v>42855</v>
      </c>
      <c r="B211" s="234">
        <v>0.29431076208070367</v>
      </c>
      <c r="C211" s="234">
        <v>3.2258822944109561E-2</v>
      </c>
      <c r="D211" s="234">
        <v>3.0441781999034755E-3</v>
      </c>
      <c r="E211" s="234">
        <v>0.19691779028522774</v>
      </c>
      <c r="F211" s="234">
        <v>0.47346844649005554</v>
      </c>
      <c r="G211" s="233">
        <v>0.67038623677528331</v>
      </c>
      <c r="H211" s="233">
        <v>0.32961376322471675</v>
      </c>
      <c r="I211" s="128"/>
    </row>
    <row r="212" spans="1:9">
      <c r="A212" s="118">
        <v>42886</v>
      </c>
      <c r="B212" s="234">
        <v>0.2938482945454382</v>
      </c>
      <c r="C212" s="234">
        <v>3.3995363856541991E-2</v>
      </c>
      <c r="D212" s="234">
        <v>3.0722166061809475E-3</v>
      </c>
      <c r="E212" s="234">
        <v>0.18009609708387123</v>
      </c>
      <c r="F212" s="234">
        <v>0.48898802790796758</v>
      </c>
      <c r="G212" s="233">
        <v>0.66908412499183878</v>
      </c>
      <c r="H212" s="233">
        <v>0.33091587500816116</v>
      </c>
      <c r="I212" s="128"/>
    </row>
    <row r="213" spans="1:9">
      <c r="A213" s="118">
        <v>42916</v>
      </c>
      <c r="B213" s="234">
        <v>0.30276470083175794</v>
      </c>
      <c r="C213" s="234">
        <v>3.5597287695690247E-2</v>
      </c>
      <c r="D213" s="234">
        <v>3.1230631565509416E-3</v>
      </c>
      <c r="E213" s="234">
        <v>0.18195002262056686</v>
      </c>
      <c r="F213" s="234">
        <v>0.47656492569543402</v>
      </c>
      <c r="G213" s="233">
        <v>0.65851494831600088</v>
      </c>
      <c r="H213" s="233">
        <v>0.34148505168399912</v>
      </c>
      <c r="I213" s="128"/>
    </row>
    <row r="214" spans="1:9">
      <c r="A214" s="118">
        <v>42947</v>
      </c>
      <c r="B214" s="234">
        <v>0.29551386417191922</v>
      </c>
      <c r="C214" s="234">
        <v>3.5940119833711273E-2</v>
      </c>
      <c r="D214" s="234">
        <v>3.1018640106606587E-3</v>
      </c>
      <c r="E214" s="234">
        <v>0.18372086251188985</v>
      </c>
      <c r="F214" s="234">
        <v>0.48172328947181903</v>
      </c>
      <c r="G214" s="233">
        <v>0.66544415198370888</v>
      </c>
      <c r="H214" s="233">
        <v>0.33455584801629112</v>
      </c>
      <c r="I214" s="128"/>
    </row>
    <row r="215" spans="1:9">
      <c r="A215" s="118">
        <v>42978</v>
      </c>
      <c r="B215" s="234">
        <v>0.29785829704248656</v>
      </c>
      <c r="C215" s="234">
        <v>3.4857929700418476E-2</v>
      </c>
      <c r="D215" s="234">
        <v>2.9966375956267804E-3</v>
      </c>
      <c r="E215" s="234">
        <v>0.1829608104874994</v>
      </c>
      <c r="F215" s="234">
        <v>0.48132632517396884</v>
      </c>
      <c r="G215" s="233">
        <v>0.66428713566146824</v>
      </c>
      <c r="H215" s="233">
        <v>0.33571286433853181</v>
      </c>
      <c r="I215" s="128"/>
    </row>
    <row r="216" spans="1:9">
      <c r="A216" s="118">
        <v>43008</v>
      </c>
      <c r="B216" s="234">
        <v>0.29661964531152007</v>
      </c>
      <c r="C216" s="234">
        <v>3.4632439926858896E-2</v>
      </c>
      <c r="D216" s="234">
        <v>2.9252794786494068E-3</v>
      </c>
      <c r="E216" s="234">
        <v>0.18479459401537515</v>
      </c>
      <c r="F216" s="234">
        <v>0.48102804126759657</v>
      </c>
      <c r="G216" s="233">
        <v>0.6658226352829717</v>
      </c>
      <c r="H216" s="233">
        <v>0.33417736471702836</v>
      </c>
      <c r="I216" s="128"/>
    </row>
    <row r="217" spans="1:9">
      <c r="A217" s="118">
        <v>43039</v>
      </c>
      <c r="B217" s="234">
        <v>0.30028705083792512</v>
      </c>
      <c r="C217" s="234">
        <v>3.4559266739065508E-2</v>
      </c>
      <c r="D217" s="234">
        <v>2.9355061049437252E-3</v>
      </c>
      <c r="E217" s="234">
        <v>0.18408524796740605</v>
      </c>
      <c r="F217" s="234">
        <v>0.47813292835065968</v>
      </c>
      <c r="G217" s="233">
        <v>0.66221817631806568</v>
      </c>
      <c r="H217" s="233">
        <v>0.33778182368193438</v>
      </c>
      <c r="I217" s="128"/>
    </row>
    <row r="218" spans="1:9">
      <c r="A218" s="118">
        <v>43069</v>
      </c>
      <c r="B218" s="234">
        <v>0.2977368624387805</v>
      </c>
      <c r="C218" s="234">
        <v>3.5181913310400353E-2</v>
      </c>
      <c r="D218" s="234">
        <v>2.9652802555244738E-3</v>
      </c>
      <c r="E218" s="234">
        <v>0.184788927970161</v>
      </c>
      <c r="F218" s="234">
        <v>0.47932701602513356</v>
      </c>
      <c r="G218" s="233">
        <v>0.66411594399529461</v>
      </c>
      <c r="H218" s="233">
        <v>0.33588405600470528</v>
      </c>
      <c r="I218" s="128"/>
    </row>
    <row r="219" spans="1:9">
      <c r="A219" s="118">
        <v>43100</v>
      </c>
      <c r="B219" s="234">
        <v>0.29403798303224832</v>
      </c>
      <c r="C219" s="234">
        <v>3.479891490579131E-2</v>
      </c>
      <c r="D219" s="234">
        <v>2.8949919491824136E-3</v>
      </c>
      <c r="E219" s="234">
        <v>0.18439102708163976</v>
      </c>
      <c r="F219" s="234">
        <v>0.4838770830311383</v>
      </c>
      <c r="G219" s="233">
        <v>0.66826811011277809</v>
      </c>
      <c r="H219" s="233">
        <v>0.33173188988722202</v>
      </c>
      <c r="I219" s="128"/>
    </row>
    <row r="220" spans="1:9">
      <c r="A220" s="118">
        <v>43131</v>
      </c>
      <c r="B220" s="234">
        <v>0.28341499129805409</v>
      </c>
      <c r="C220" s="234">
        <v>3.446405743142477E-2</v>
      </c>
      <c r="D220" s="234">
        <v>2.8492421530191955E-3</v>
      </c>
      <c r="E220" s="234">
        <v>0.18991002047611968</v>
      </c>
      <c r="F220" s="234">
        <v>0.48936168864138219</v>
      </c>
      <c r="G220" s="233">
        <v>0.6792717091175019</v>
      </c>
      <c r="H220" s="233">
        <v>0.32072829088249805</v>
      </c>
      <c r="I220" s="128"/>
    </row>
    <row r="221" spans="1:9">
      <c r="A221" s="118">
        <v>43159</v>
      </c>
      <c r="B221" s="234">
        <v>0.28015213956902979</v>
      </c>
      <c r="C221" s="234">
        <v>3.4235956828172098E-2</v>
      </c>
      <c r="D221" s="234">
        <v>2.8854637830951894E-3</v>
      </c>
      <c r="E221" s="234">
        <v>0.19085191949977212</v>
      </c>
      <c r="F221" s="234">
        <v>0.49187452031993062</v>
      </c>
      <c r="G221" s="233">
        <v>0.68272643981970271</v>
      </c>
      <c r="H221" s="233">
        <v>0.31727356018029707</v>
      </c>
      <c r="I221" s="128"/>
    </row>
    <row r="222" spans="1:9">
      <c r="A222" s="118">
        <v>43190</v>
      </c>
      <c r="B222" s="234">
        <v>0.27226893107300554</v>
      </c>
      <c r="C222" s="234">
        <v>3.8284384396783756E-2</v>
      </c>
      <c r="D222" s="234">
        <v>2.8192142160413237E-3</v>
      </c>
      <c r="E222" s="234">
        <v>0.19463326027613828</v>
      </c>
      <c r="F222" s="234">
        <v>0.49199421003803112</v>
      </c>
      <c r="G222" s="233">
        <v>0.68662747031416937</v>
      </c>
      <c r="H222" s="233">
        <v>0.31337252968583063</v>
      </c>
      <c r="I222" s="128"/>
    </row>
    <row r="223" spans="1:9">
      <c r="A223" s="118">
        <v>43220</v>
      </c>
      <c r="B223" s="234">
        <v>0.26893124521229828</v>
      </c>
      <c r="C223" s="234">
        <v>3.8786874287874237E-2</v>
      </c>
      <c r="D223" s="234">
        <v>2.7109248083006187E-3</v>
      </c>
      <c r="E223" s="234">
        <v>0.1980970385640328</v>
      </c>
      <c r="F223" s="234">
        <v>0.49147391712749411</v>
      </c>
      <c r="G223" s="233">
        <v>0.68957095569152693</v>
      </c>
      <c r="H223" s="233">
        <v>0.31042904430847312</v>
      </c>
      <c r="I223" s="128"/>
    </row>
    <row r="224" spans="1:9">
      <c r="A224" s="118">
        <v>43251</v>
      </c>
      <c r="B224" s="234">
        <v>0.26983293906533656</v>
      </c>
      <c r="C224" s="234">
        <v>3.7688830256033569E-2</v>
      </c>
      <c r="D224" s="234">
        <v>2.747349232743391E-3</v>
      </c>
      <c r="E224" s="234">
        <v>0.19953138136402973</v>
      </c>
      <c r="F224" s="234">
        <v>0.49019950008185664</v>
      </c>
      <c r="G224" s="233">
        <v>0.68973088144588635</v>
      </c>
      <c r="H224" s="233">
        <v>0.31026911855411354</v>
      </c>
      <c r="I224" s="128"/>
    </row>
    <row r="225" spans="1:9">
      <c r="A225" s="118">
        <v>43281</v>
      </c>
      <c r="B225" s="234">
        <v>0.27208144286655522</v>
      </c>
      <c r="C225" s="234">
        <v>3.8084247591332478E-2</v>
      </c>
      <c r="D225" s="234">
        <v>2.7217165680823389E-3</v>
      </c>
      <c r="E225" s="234">
        <v>0.20088778309989422</v>
      </c>
      <c r="F225" s="234">
        <v>0.48622480987413574</v>
      </c>
      <c r="G225" s="233">
        <v>0.68711259297402993</v>
      </c>
      <c r="H225" s="233">
        <v>0.31288740702597007</v>
      </c>
      <c r="I225" s="128"/>
    </row>
    <row r="226" spans="1:9">
      <c r="A226" s="118">
        <v>43312</v>
      </c>
      <c r="B226" s="234">
        <v>0.26423658308831971</v>
      </c>
      <c r="C226" s="234">
        <v>3.7092206694859381E-2</v>
      </c>
      <c r="D226" s="234">
        <v>2.615863531745863E-3</v>
      </c>
      <c r="E226" s="234">
        <v>0.20307365499718597</v>
      </c>
      <c r="F226" s="234">
        <v>0.49298169168788897</v>
      </c>
      <c r="G226" s="233">
        <v>0.69605534668507496</v>
      </c>
      <c r="H226" s="233">
        <v>0.30394465331492498</v>
      </c>
      <c r="I226" s="128"/>
    </row>
    <row r="227" spans="1:9">
      <c r="A227" s="118">
        <v>43343</v>
      </c>
      <c r="B227" s="234">
        <v>0.26982438854633423</v>
      </c>
      <c r="C227" s="234">
        <v>3.7707166417711858E-2</v>
      </c>
      <c r="D227" s="234">
        <v>2.7015330522472949E-3</v>
      </c>
      <c r="E227" s="234">
        <v>0.20224846470499011</v>
      </c>
      <c r="F227" s="234">
        <v>0.48751844727871674</v>
      </c>
      <c r="G227" s="233">
        <v>0.68976691198370688</v>
      </c>
      <c r="H227" s="233">
        <v>0.3102330880162934</v>
      </c>
      <c r="I227" s="128"/>
    </row>
    <row r="228" spans="1:9">
      <c r="A228" s="118">
        <v>43373</v>
      </c>
      <c r="B228" s="234">
        <v>0.26459818219235681</v>
      </c>
      <c r="C228" s="234">
        <v>3.9116592365390571E-2</v>
      </c>
      <c r="D228" s="234">
        <v>2.5927921542293394E-3</v>
      </c>
      <c r="E228" s="234">
        <v>0.20339272549932433</v>
      </c>
      <c r="F228" s="234">
        <v>0.49029970778869914</v>
      </c>
      <c r="G228" s="233">
        <v>0.69369243328802344</v>
      </c>
      <c r="H228" s="233">
        <v>0.30630756671197673</v>
      </c>
      <c r="I228" s="128"/>
    </row>
    <row r="229" spans="1:9">
      <c r="A229" s="118">
        <v>43404</v>
      </c>
      <c r="B229" s="234">
        <v>0.2839079334228311</v>
      </c>
      <c r="C229" s="234">
        <v>3.9802857070654486E-2</v>
      </c>
      <c r="D229" s="234">
        <v>2.7197487613663312E-3</v>
      </c>
      <c r="E229" s="234">
        <v>0.21176664394637262</v>
      </c>
      <c r="F229" s="234">
        <v>0.46180281679877544</v>
      </c>
      <c r="G229" s="233">
        <v>0.67356946074514812</v>
      </c>
      <c r="H229" s="233">
        <v>0.32643053925485194</v>
      </c>
      <c r="I229" s="128"/>
    </row>
    <row r="230" spans="1:9">
      <c r="A230" s="118">
        <v>43434</v>
      </c>
      <c r="B230" s="234">
        <v>0.28817376411998535</v>
      </c>
      <c r="C230" s="234">
        <v>4.0154018544668227E-2</v>
      </c>
      <c r="D230" s="234">
        <v>2.7362419337108325E-3</v>
      </c>
      <c r="E230" s="234">
        <v>0.21263223740556841</v>
      </c>
      <c r="F230" s="234">
        <v>0.45630373799606727</v>
      </c>
      <c r="G230" s="233">
        <v>0.66893597540163574</v>
      </c>
      <c r="H230" s="233">
        <v>0.33106402459836443</v>
      </c>
      <c r="I230" s="128"/>
    </row>
    <row r="231" spans="1:9">
      <c r="A231" s="118">
        <v>43465</v>
      </c>
      <c r="B231" s="234">
        <v>0.28333239614950778</v>
      </c>
      <c r="C231" s="234">
        <v>3.9198520441962474E-2</v>
      </c>
      <c r="D231" s="234">
        <v>2.7369500928226148E-3</v>
      </c>
      <c r="E231" s="234">
        <v>0.20569384858924797</v>
      </c>
      <c r="F231" s="234">
        <v>0.46903828472645931</v>
      </c>
      <c r="G231" s="233">
        <v>0.67473213331570725</v>
      </c>
      <c r="H231" s="233">
        <v>0.32526786668429286</v>
      </c>
      <c r="I231" s="128"/>
    </row>
    <row r="232" spans="1:9">
      <c r="A232" s="118">
        <v>43496</v>
      </c>
      <c r="B232" s="234">
        <v>0.29240545531305107</v>
      </c>
      <c r="C232" s="234">
        <v>3.8799242108094503E-2</v>
      </c>
      <c r="D232" s="234">
        <v>2.721906928434189E-3</v>
      </c>
      <c r="E232" s="234">
        <v>0.21152778461165817</v>
      </c>
      <c r="F232" s="234">
        <v>0.45454561103876195</v>
      </c>
      <c r="G232" s="233">
        <v>0.66607339565042012</v>
      </c>
      <c r="H232" s="233">
        <v>0.33392660434957977</v>
      </c>
      <c r="I232" s="128"/>
    </row>
    <row r="233" spans="1:9">
      <c r="A233" s="118">
        <v>43524</v>
      </c>
      <c r="B233" s="234">
        <v>0.28291020058760141</v>
      </c>
      <c r="C233" s="234">
        <v>3.7317684917647802E-2</v>
      </c>
      <c r="D233" s="234">
        <v>2.577821245313154E-3</v>
      </c>
      <c r="E233" s="234">
        <v>0.21436907819489426</v>
      </c>
      <c r="F233" s="234">
        <v>0.46282521505454338</v>
      </c>
      <c r="G233" s="233">
        <v>0.6771942932494377</v>
      </c>
      <c r="H233" s="233">
        <v>0.32280570675056236</v>
      </c>
      <c r="I233" s="128"/>
    </row>
    <row r="234" spans="1:9">
      <c r="A234" s="118">
        <v>43555</v>
      </c>
      <c r="B234" s="234">
        <v>0.28320419329008334</v>
      </c>
      <c r="C234" s="234">
        <v>3.7688356520852923E-2</v>
      </c>
      <c r="D234" s="234">
        <v>2.6552155791779021E-3</v>
      </c>
      <c r="E234" s="234">
        <v>0.21594038740380117</v>
      </c>
      <c r="F234" s="234">
        <v>0.46051184720608446</v>
      </c>
      <c r="G234" s="233">
        <v>0.67645223460988557</v>
      </c>
      <c r="H234" s="233">
        <v>0.32354776539011421</v>
      </c>
      <c r="I234" s="128"/>
    </row>
    <row r="235" spans="1:9">
      <c r="A235" s="118">
        <v>43585</v>
      </c>
      <c r="B235" s="234">
        <v>0.28640116676055677</v>
      </c>
      <c r="C235" s="234">
        <v>3.8027362893434676E-2</v>
      </c>
      <c r="D235" s="234">
        <v>2.6655240655405767E-3</v>
      </c>
      <c r="E235" s="234">
        <v>0.20381170468255091</v>
      </c>
      <c r="F235" s="234">
        <v>0.46909424159791713</v>
      </c>
      <c r="G235" s="233">
        <v>0.67290594628046807</v>
      </c>
      <c r="H235" s="233">
        <v>0.32709405371953204</v>
      </c>
      <c r="I235" s="128"/>
    </row>
    <row r="236" spans="1:9">
      <c r="A236" s="118">
        <v>43616</v>
      </c>
      <c r="B236" s="234">
        <v>0.29194066598116974</v>
      </c>
      <c r="C236" s="234">
        <v>3.8856618586094668E-2</v>
      </c>
      <c r="D236" s="234">
        <v>2.8200804115719844E-3</v>
      </c>
      <c r="E236" s="234">
        <v>0.20249001922851498</v>
      </c>
      <c r="F236" s="234">
        <v>0.46389261579264873</v>
      </c>
      <c r="G236" s="233">
        <v>0.66638263502116368</v>
      </c>
      <c r="H236" s="233">
        <v>0.33361736497883643</v>
      </c>
      <c r="I236" s="128"/>
    </row>
    <row r="237" spans="1:9">
      <c r="A237" s="118">
        <v>43646</v>
      </c>
      <c r="B237" s="234">
        <v>0.2772198317794286</v>
      </c>
      <c r="C237" s="234">
        <v>3.7795947744494358E-2</v>
      </c>
      <c r="D237" s="234">
        <v>2.7038612150075284E-3</v>
      </c>
      <c r="E237" s="234">
        <v>0.2079540018823976</v>
      </c>
      <c r="F237" s="234">
        <v>0.47432635737867174</v>
      </c>
      <c r="G237" s="233">
        <v>0.68228035926106934</v>
      </c>
      <c r="H237" s="233">
        <v>0.3177196407389305</v>
      </c>
      <c r="I237" s="128"/>
    </row>
    <row r="238" spans="1:9">
      <c r="A238" s="118">
        <v>43677</v>
      </c>
      <c r="B238" s="234">
        <v>0.27908372403425707</v>
      </c>
      <c r="C238" s="234">
        <v>3.6945306922764362E-2</v>
      </c>
      <c r="D238" s="234">
        <v>2.6944893298629252E-3</v>
      </c>
      <c r="E238" s="234">
        <v>0.20480064315679603</v>
      </c>
      <c r="F238" s="234">
        <v>0.47647583655631975</v>
      </c>
      <c r="G238" s="233">
        <v>0.68127647971311578</v>
      </c>
      <c r="H238" s="233">
        <v>0.31872352028688433</v>
      </c>
      <c r="I238" s="128"/>
    </row>
    <row r="239" spans="1:9">
      <c r="A239" s="118">
        <v>43708</v>
      </c>
      <c r="B239" s="234">
        <v>0.2868144733335542</v>
      </c>
      <c r="C239" s="234">
        <v>3.7482146423346553E-2</v>
      </c>
      <c r="D239" s="234">
        <v>2.8168170563465668E-3</v>
      </c>
      <c r="E239" s="234">
        <v>0.20208393233325384</v>
      </c>
      <c r="F239" s="234">
        <v>0.47080263085349888</v>
      </c>
      <c r="G239" s="233">
        <v>0.67288656318675266</v>
      </c>
      <c r="H239" s="233">
        <v>0.32711343681324734</v>
      </c>
      <c r="I239" s="128"/>
    </row>
    <row r="240" spans="1:9">
      <c r="A240" s="118">
        <v>43738</v>
      </c>
      <c r="B240" s="234">
        <v>0.29278306887369709</v>
      </c>
      <c r="C240" s="234">
        <v>3.8046064399568438E-2</v>
      </c>
      <c r="D240" s="234">
        <v>2.835191795978422E-3</v>
      </c>
      <c r="E240" s="234">
        <v>0.20630009601048163</v>
      </c>
      <c r="F240" s="234">
        <v>0.46003557892027436</v>
      </c>
      <c r="G240" s="233">
        <v>0.66633567493075596</v>
      </c>
      <c r="H240" s="233">
        <v>0.33366432506924393</v>
      </c>
      <c r="I240" s="128"/>
    </row>
    <row r="241" spans="1:9">
      <c r="A241" s="118">
        <v>43769</v>
      </c>
      <c r="B241" s="234">
        <v>0.28705200506882667</v>
      </c>
      <c r="C241" s="234">
        <v>3.7930197938485913E-2</v>
      </c>
      <c r="D241" s="234">
        <v>2.76011868557831E-3</v>
      </c>
      <c r="E241" s="234">
        <v>0.20689143282015596</v>
      </c>
      <c r="F241" s="234">
        <v>0.46536624548695316</v>
      </c>
      <c r="G241" s="233">
        <v>0.67225767830710914</v>
      </c>
      <c r="H241" s="233">
        <v>0.32774232169289086</v>
      </c>
      <c r="I241" s="128"/>
    </row>
    <row r="242" spans="1:9">
      <c r="A242" s="118">
        <v>43799</v>
      </c>
      <c r="B242" s="234">
        <v>0.29521678175612326</v>
      </c>
      <c r="C242" s="234">
        <v>3.8233722887826088E-2</v>
      </c>
      <c r="D242" s="234">
        <v>0</v>
      </c>
      <c r="E242" s="234">
        <v>0.20375811393361254</v>
      </c>
      <c r="F242" s="234">
        <v>0.4627913814224382</v>
      </c>
      <c r="G242" s="233">
        <v>0.66654949535605068</v>
      </c>
      <c r="H242" s="233">
        <v>0.33345050464394932</v>
      </c>
      <c r="I242" s="128"/>
    </row>
    <row r="243" spans="1:9">
      <c r="A243" s="118">
        <v>43830</v>
      </c>
      <c r="B243" s="234">
        <v>0.28963801690671975</v>
      </c>
      <c r="C243" s="234">
        <v>3.7606037187688526E-2</v>
      </c>
      <c r="D243" s="234">
        <v>0</v>
      </c>
      <c r="E243" s="234">
        <v>0.21140112691404089</v>
      </c>
      <c r="F243" s="234">
        <v>0.46135481899155084</v>
      </c>
      <c r="G243" s="233">
        <v>0.67275594590559173</v>
      </c>
      <c r="H243" s="233">
        <v>0.32724405409440827</v>
      </c>
      <c r="I243" s="128"/>
    </row>
    <row r="244" spans="1:9">
      <c r="A244" s="118">
        <v>43861</v>
      </c>
      <c r="B244" s="234">
        <v>0.29663792216803153</v>
      </c>
      <c r="C244" s="234">
        <v>3.6598568059747802E-2</v>
      </c>
      <c r="D244" s="234">
        <v>0</v>
      </c>
      <c r="E244" s="234">
        <v>0.20191668784402003</v>
      </c>
      <c r="F244" s="234">
        <v>0.46484682192820065</v>
      </c>
      <c r="G244" s="233">
        <v>0.66676350977222065</v>
      </c>
      <c r="H244" s="233">
        <v>0.33323649022777935</v>
      </c>
      <c r="I244" s="128"/>
    </row>
    <row r="245" spans="1:9">
      <c r="A245" s="118">
        <v>43890</v>
      </c>
      <c r="B245" s="234">
        <v>0.29580732500943563</v>
      </c>
      <c r="C245" s="234">
        <v>3.705952199132885E-2</v>
      </c>
      <c r="D245" s="234">
        <v>0</v>
      </c>
      <c r="E245" s="234">
        <v>0.20133480258854106</v>
      </c>
      <c r="F245" s="234">
        <v>0.46579835041069428</v>
      </c>
      <c r="G245" s="233">
        <v>0.66713315299923537</v>
      </c>
      <c r="H245" s="233">
        <v>0.33286684700076447</v>
      </c>
      <c r="I245" s="128"/>
    </row>
    <row r="246" spans="1:9">
      <c r="A246" s="118">
        <v>43921</v>
      </c>
      <c r="B246" s="234">
        <v>0.32933510939234978</v>
      </c>
      <c r="C246" s="234">
        <v>4.0336283835623314E-2</v>
      </c>
      <c r="D246" s="234">
        <v>0</v>
      </c>
      <c r="E246" s="234">
        <v>0.19266410348361068</v>
      </c>
      <c r="F246" s="234">
        <v>0.43766450328841622</v>
      </c>
      <c r="G246" s="233">
        <v>0.63032860677202684</v>
      </c>
      <c r="H246" s="233">
        <v>0.3696713932279731</v>
      </c>
      <c r="I246" s="128"/>
    </row>
    <row r="247" spans="1:9">
      <c r="A247" s="118">
        <v>43951</v>
      </c>
      <c r="B247" s="234">
        <v>0.33425797547737574</v>
      </c>
      <c r="C247" s="234">
        <v>3.8836780177511215E-2</v>
      </c>
      <c r="D247" s="234">
        <v>0</v>
      </c>
      <c r="E247" s="234">
        <v>0.19541788240992336</v>
      </c>
      <c r="F247" s="234">
        <v>0.43148736193518961</v>
      </c>
      <c r="G247" s="233">
        <v>0.62690524434511297</v>
      </c>
      <c r="H247" s="233">
        <v>0.37309475565488692</v>
      </c>
      <c r="I247" s="128"/>
    </row>
    <row r="248" spans="1:9">
      <c r="A248" s="118">
        <v>43982</v>
      </c>
      <c r="B248" s="234">
        <v>0.31571056464860225</v>
      </c>
      <c r="C248" s="234">
        <v>3.660606918828662E-2</v>
      </c>
      <c r="D248" s="234">
        <v>0</v>
      </c>
      <c r="E248" s="234">
        <v>0.19109345658620716</v>
      </c>
      <c r="F248" s="234">
        <v>0.45658990957690399</v>
      </c>
      <c r="G248" s="233">
        <v>0.64768336616311117</v>
      </c>
      <c r="H248" s="233">
        <v>0.35231663383688888</v>
      </c>
      <c r="I248" s="128"/>
    </row>
    <row r="249" spans="1:9">
      <c r="A249" s="118">
        <v>44012</v>
      </c>
      <c r="B249" s="234">
        <v>0.32935605761510672</v>
      </c>
      <c r="C249" s="234">
        <v>3.6650261248696005E-2</v>
      </c>
      <c r="D249" s="234">
        <v>0</v>
      </c>
      <c r="E249" s="234">
        <v>0.18929721892883392</v>
      </c>
      <c r="F249" s="234">
        <v>0.4446964622073632</v>
      </c>
      <c r="G249" s="233">
        <v>0.63399368113619714</v>
      </c>
      <c r="H249" s="233">
        <v>0.36600631886380275</v>
      </c>
      <c r="I249" s="128"/>
    </row>
    <row r="250" spans="1:9">
      <c r="A250" s="118">
        <v>44043</v>
      </c>
      <c r="B250" s="234">
        <v>0.33111737562568438</v>
      </c>
      <c r="C250" s="234">
        <v>3.7455508755173443E-2</v>
      </c>
      <c r="D250" s="234">
        <v>0</v>
      </c>
      <c r="E250" s="234">
        <v>0.18069930457642744</v>
      </c>
      <c r="F250" s="234">
        <v>0.45072781104271459</v>
      </c>
      <c r="G250" s="233">
        <v>0.631427115619142</v>
      </c>
      <c r="H250" s="233">
        <v>0.36857288438085783</v>
      </c>
      <c r="I250" s="128"/>
    </row>
    <row r="251" spans="1:9">
      <c r="A251" s="118">
        <v>44074</v>
      </c>
      <c r="B251" s="234">
        <v>0.33123879952649699</v>
      </c>
      <c r="C251" s="234">
        <v>3.7494013213395939E-2</v>
      </c>
      <c r="D251" s="234">
        <v>0</v>
      </c>
      <c r="E251" s="234">
        <v>0.17990777014878309</v>
      </c>
      <c r="F251" s="234">
        <v>0.45135941711132399</v>
      </c>
      <c r="G251" s="233">
        <v>0.63126718726010711</v>
      </c>
      <c r="H251" s="233">
        <v>0.36873281273989295</v>
      </c>
      <c r="I251" s="128"/>
    </row>
    <row r="252" spans="1:9">
      <c r="A252" s="118">
        <v>44104</v>
      </c>
      <c r="B252" s="234">
        <v>0.33533867049315658</v>
      </c>
      <c r="C252" s="234">
        <v>3.6998536080555429E-2</v>
      </c>
      <c r="D252" s="234">
        <v>0</v>
      </c>
      <c r="E252" s="234">
        <v>0.17752894921859411</v>
      </c>
      <c r="F252" s="234">
        <v>0.45013384420769398</v>
      </c>
      <c r="G252" s="233">
        <v>0.62766279342628806</v>
      </c>
      <c r="H252" s="233">
        <v>0.372337206573712</v>
      </c>
      <c r="I252" s="128"/>
    </row>
    <row r="253" spans="1:9">
      <c r="A253" s="118">
        <v>44135</v>
      </c>
      <c r="B253" s="234">
        <v>0.33057881575724801</v>
      </c>
      <c r="C253" s="234">
        <v>3.6972829743596808E-2</v>
      </c>
      <c r="D253" s="234">
        <v>0</v>
      </c>
      <c r="E253" s="234">
        <v>0.17824049891368143</v>
      </c>
      <c r="F253" s="234">
        <v>0.45420785558547383</v>
      </c>
      <c r="G253" s="233">
        <v>0.63244835449915526</v>
      </c>
      <c r="H253" s="233">
        <v>0.36755164550084485</v>
      </c>
      <c r="I253" s="128"/>
    </row>
    <row r="254" spans="1:9">
      <c r="A254" s="118">
        <v>44165</v>
      </c>
      <c r="B254" s="234">
        <v>0.31364950349752391</v>
      </c>
      <c r="C254" s="234">
        <v>3.5661973489748887E-2</v>
      </c>
      <c r="D254" s="234">
        <v>0</v>
      </c>
      <c r="E254" s="234">
        <v>0.18287673603775248</v>
      </c>
      <c r="F254" s="234">
        <v>0.46781178697497472</v>
      </c>
      <c r="G254" s="233">
        <v>0.65068852301272717</v>
      </c>
      <c r="H254" s="233">
        <v>0.34931147698727277</v>
      </c>
      <c r="I254" s="128"/>
    </row>
    <row r="255" spans="1:9">
      <c r="A255" s="118">
        <v>44196</v>
      </c>
      <c r="B255" s="234">
        <v>0.32440065431080961</v>
      </c>
      <c r="C255" s="234">
        <v>3.7470678605798148E-2</v>
      </c>
      <c r="D255" s="234">
        <v>0</v>
      </c>
      <c r="E255" s="234">
        <v>0.17945267214048349</v>
      </c>
      <c r="F255" s="234">
        <v>0.45867599494290889</v>
      </c>
      <c r="G255" s="233">
        <v>0.63812866708339233</v>
      </c>
      <c r="H255" s="233">
        <v>0.36187133291660778</v>
      </c>
      <c r="I255" s="128"/>
    </row>
    <row r="256" spans="1:9">
      <c r="A256" s="118">
        <v>44227</v>
      </c>
      <c r="B256" s="234">
        <v>0.33860354942069876</v>
      </c>
      <c r="C256" s="234">
        <v>3.7960998623425904E-2</v>
      </c>
      <c r="D256" s="234">
        <v>0</v>
      </c>
      <c r="E256" s="234">
        <v>0.17827428382458238</v>
      </c>
      <c r="F256" s="234">
        <v>0.44516116813129297</v>
      </c>
      <c r="G256" s="233">
        <v>0.62343545195587535</v>
      </c>
      <c r="H256" s="233">
        <v>0.37656454804412465</v>
      </c>
      <c r="I256" s="128"/>
    </row>
    <row r="257" spans="1:9">
      <c r="A257" s="118">
        <v>44255</v>
      </c>
      <c r="B257" s="234">
        <v>0.3363370191259889</v>
      </c>
      <c r="C257" s="234">
        <v>3.8083473476682207E-2</v>
      </c>
      <c r="D257" s="234">
        <v>0</v>
      </c>
      <c r="E257" s="234">
        <v>0.17826376371926389</v>
      </c>
      <c r="F257" s="234">
        <v>0.44731574367806504</v>
      </c>
      <c r="G257" s="233">
        <v>0.62557950739732893</v>
      </c>
      <c r="H257" s="233">
        <v>0.37442049260267113</v>
      </c>
      <c r="I257" s="128"/>
    </row>
    <row r="258" spans="1:9">
      <c r="A258" s="118">
        <v>44286</v>
      </c>
      <c r="B258" s="234">
        <v>0.34216971103923799</v>
      </c>
      <c r="C258" s="234">
        <v>3.6829868795252629E-2</v>
      </c>
      <c r="D258" s="234">
        <v>0</v>
      </c>
      <c r="E258" s="234">
        <v>0.17071571312397132</v>
      </c>
      <c r="F258" s="234">
        <v>0.45028470704153806</v>
      </c>
      <c r="G258" s="233">
        <v>0.62100042016550938</v>
      </c>
      <c r="H258" s="233">
        <v>0.37899957983449062</v>
      </c>
      <c r="I258" s="128"/>
    </row>
    <row r="259" spans="1:9">
      <c r="A259" s="118">
        <v>44316</v>
      </c>
      <c r="B259" s="234">
        <v>0.34853641136449426</v>
      </c>
      <c r="C259" s="234">
        <v>3.7633829644657946E-2</v>
      </c>
      <c r="D259" s="234">
        <v>0</v>
      </c>
      <c r="E259" s="234">
        <v>0.16965967013736413</v>
      </c>
      <c r="F259" s="234">
        <v>0.44417008885348364</v>
      </c>
      <c r="G259" s="233">
        <v>0.6138297589908478</v>
      </c>
      <c r="H259" s="233">
        <v>0.3861702410091522</v>
      </c>
      <c r="I259" s="128"/>
    </row>
    <row r="260" spans="1:9">
      <c r="A260" s="118">
        <v>44347</v>
      </c>
      <c r="B260" s="234">
        <v>0.34460002242144494</v>
      </c>
      <c r="C260" s="234">
        <v>3.7370052570531685E-2</v>
      </c>
      <c r="D260" s="234">
        <v>0</v>
      </c>
      <c r="E260" s="234">
        <v>0.17170303700758899</v>
      </c>
      <c r="F260" s="234">
        <v>0.44632688800043402</v>
      </c>
      <c r="G260" s="233">
        <v>0.61802992500802345</v>
      </c>
      <c r="H260" s="233">
        <v>0.3819700749919766</v>
      </c>
      <c r="I260" s="128"/>
    </row>
    <row r="261" spans="1:9">
      <c r="A261" s="118">
        <v>44377</v>
      </c>
      <c r="B261" s="234">
        <v>0.34786208998628343</v>
      </c>
      <c r="C261" s="234">
        <v>3.6237921905286997E-2</v>
      </c>
      <c r="D261" s="234">
        <v>0</v>
      </c>
      <c r="E261" s="234">
        <v>0.17348038705496865</v>
      </c>
      <c r="F261" s="234">
        <v>0.44241960105346095</v>
      </c>
      <c r="G261" s="233">
        <v>0.61589998810842961</v>
      </c>
      <c r="H261" s="233">
        <v>0.38410001189157045</v>
      </c>
      <c r="I261" s="128"/>
    </row>
    <row r="262" spans="1:9">
      <c r="A262" s="118">
        <v>44408</v>
      </c>
      <c r="B262" s="234">
        <v>0.34789269334095674</v>
      </c>
      <c r="C262" s="234">
        <v>3.6613005163345674E-2</v>
      </c>
      <c r="D262" s="234">
        <v>0</v>
      </c>
      <c r="E262" s="234">
        <v>0.17302541195741247</v>
      </c>
      <c r="F262" s="234">
        <v>0.44246888953828506</v>
      </c>
      <c r="G262" s="233">
        <v>0.6154943014956975</v>
      </c>
      <c r="H262" s="233">
        <v>0.38450569850430238</v>
      </c>
      <c r="I262" s="128"/>
    </row>
    <row r="263" spans="1:9">
      <c r="A263" s="118">
        <v>44439</v>
      </c>
      <c r="B263" s="234">
        <v>0.34937562424317936</v>
      </c>
      <c r="C263" s="234">
        <v>3.5898634451729375E-2</v>
      </c>
      <c r="D263" s="234">
        <v>0</v>
      </c>
      <c r="E263" s="234">
        <v>0.17532880952780536</v>
      </c>
      <c r="F263" s="234">
        <v>0.43939693177728573</v>
      </c>
      <c r="G263" s="233">
        <v>0.61472574130509106</v>
      </c>
      <c r="H263" s="233">
        <v>0.38527425869490872</v>
      </c>
      <c r="I263" s="128"/>
    </row>
    <row r="264" spans="1:9">
      <c r="A264" s="118">
        <v>44469</v>
      </c>
      <c r="B264" s="234">
        <v>0.34355629046440128</v>
      </c>
      <c r="C264" s="234">
        <v>3.6031082986067067E-2</v>
      </c>
      <c r="D264" s="234">
        <v>0</v>
      </c>
      <c r="E264" s="234">
        <v>0.17892399790180336</v>
      </c>
      <c r="F264" s="234">
        <v>0.44148862864772842</v>
      </c>
      <c r="G264" s="233">
        <v>0.62041262654953178</v>
      </c>
      <c r="H264" s="233">
        <v>0.37958737345046834</v>
      </c>
      <c r="I264" s="128"/>
    </row>
    <row r="265" spans="1:9">
      <c r="A265" s="118">
        <v>44500</v>
      </c>
      <c r="B265" s="234">
        <v>0.3451774062377686</v>
      </c>
      <c r="C265" s="234">
        <v>3.5569875533098927E-2</v>
      </c>
      <c r="D265" s="234">
        <v>0</v>
      </c>
      <c r="E265" s="234">
        <v>0.17889918912824612</v>
      </c>
      <c r="F265" s="234">
        <v>0.44035352910088643</v>
      </c>
      <c r="G265" s="233">
        <v>0.61925271822913253</v>
      </c>
      <c r="H265" s="233">
        <v>0.38074728177086753</v>
      </c>
      <c r="I265" s="128"/>
    </row>
    <row r="266" spans="1:9">
      <c r="A266" s="118">
        <v>44530</v>
      </c>
      <c r="B266" s="234">
        <v>0.35816402639089023</v>
      </c>
      <c r="C266" s="234">
        <v>3.5517596267722461E-2</v>
      </c>
      <c r="D266" s="234">
        <v>0</v>
      </c>
      <c r="E266" s="234">
        <v>0.17952620300267977</v>
      </c>
      <c r="F266" s="234">
        <v>0.42679217433870753</v>
      </c>
      <c r="G266" s="233">
        <v>0.61925271822913253</v>
      </c>
      <c r="H266" s="233">
        <v>0.38074728177086753</v>
      </c>
      <c r="I266" s="128"/>
    </row>
    <row r="267" spans="1:9">
      <c r="A267" s="118">
        <v>44561</v>
      </c>
      <c r="B267" s="234">
        <v>0.36107139841376301</v>
      </c>
      <c r="C267" s="234">
        <v>3.7255849971105696E-2</v>
      </c>
      <c r="D267" s="234">
        <v>0</v>
      </c>
      <c r="E267" s="234">
        <v>0.18081091378040168</v>
      </c>
      <c r="F267" s="234">
        <v>0.42086183783472925</v>
      </c>
      <c r="G267" s="233">
        <v>0.6016727516151309</v>
      </c>
      <c r="H267" s="233">
        <v>0.39832724838486905</v>
      </c>
      <c r="I267" s="128"/>
    </row>
    <row r="268" spans="1:9">
      <c r="A268" s="118">
        <v>44592</v>
      </c>
      <c r="B268" s="234">
        <v>0.35752528028876168</v>
      </c>
      <c r="C268" s="234">
        <v>3.527784700398038E-2</v>
      </c>
      <c r="D268" s="234">
        <v>0</v>
      </c>
      <c r="E268" s="234">
        <v>0.18037394580402058</v>
      </c>
      <c r="F268" s="234">
        <v>0.42682292690323725</v>
      </c>
      <c r="G268" s="233">
        <v>0.60719687270725786</v>
      </c>
      <c r="H268" s="233">
        <v>0.39280312729274208</v>
      </c>
      <c r="I268" s="128"/>
    </row>
    <row r="269" spans="1:9">
      <c r="A269" s="118">
        <v>44620</v>
      </c>
      <c r="B269" s="234">
        <v>0.34777622094047234</v>
      </c>
      <c r="C269" s="234">
        <v>3.5802488410245838E-2</v>
      </c>
      <c r="D269" s="234">
        <v>0</v>
      </c>
      <c r="E269" s="234">
        <v>0.18408144583126004</v>
      </c>
      <c r="F269" s="234">
        <v>0.43233984481802179</v>
      </c>
      <c r="G269" s="233">
        <v>0.61642129064928186</v>
      </c>
      <c r="H269" s="233">
        <v>0.38357870935071819</v>
      </c>
      <c r="I269" s="128"/>
    </row>
    <row r="270" spans="1:9">
      <c r="A270" s="118">
        <v>44651</v>
      </c>
      <c r="B270" s="234">
        <v>0.33317469056721472</v>
      </c>
      <c r="C270" s="234">
        <v>3.4247106354082527E-2</v>
      </c>
      <c r="D270" s="234">
        <v>0</v>
      </c>
      <c r="E270" s="234">
        <v>0.19083929852112827</v>
      </c>
      <c r="F270" s="234">
        <v>0.44173890455757442</v>
      </c>
      <c r="G270" s="233">
        <v>0.63257820307870272</v>
      </c>
      <c r="H270" s="233">
        <v>0.36742179692129723</v>
      </c>
      <c r="I270" s="128"/>
    </row>
    <row r="271" spans="1:9">
      <c r="A271" s="118">
        <v>44681</v>
      </c>
      <c r="B271" s="234">
        <v>0.34168042880098004</v>
      </c>
      <c r="C271" s="234">
        <v>3.3478777423088704E-2</v>
      </c>
      <c r="D271" s="234">
        <v>0</v>
      </c>
      <c r="E271" s="234">
        <v>0.18793182338731315</v>
      </c>
      <c r="F271" s="234">
        <v>0.43690897038861798</v>
      </c>
      <c r="G271" s="233">
        <v>0.62484079377593116</v>
      </c>
      <c r="H271" s="233">
        <v>0.37515920622406873</v>
      </c>
      <c r="I271" s="128"/>
    </row>
    <row r="272" spans="1:9">
      <c r="A272" s="118">
        <v>44712</v>
      </c>
      <c r="B272" s="234">
        <v>0.33767522239409181</v>
      </c>
      <c r="C272" s="234">
        <v>3.3072388728350964E-2</v>
      </c>
      <c r="D272" s="234">
        <v>0</v>
      </c>
      <c r="E272" s="234">
        <v>0.18752495845746348</v>
      </c>
      <c r="F272" s="234">
        <v>0.44172743042009377</v>
      </c>
      <c r="G272" s="233">
        <v>0.62925238887755719</v>
      </c>
      <c r="H272" s="233">
        <v>0.37074761112244276</v>
      </c>
      <c r="I272" s="128"/>
    </row>
    <row r="273" spans="1:9">
      <c r="A273" s="118">
        <v>44742</v>
      </c>
      <c r="B273" s="234">
        <v>0.35233296548279386</v>
      </c>
      <c r="C273" s="234">
        <v>3.3532031854145113E-2</v>
      </c>
      <c r="D273" s="234">
        <v>0</v>
      </c>
      <c r="E273" s="234">
        <v>0.18730848612938378</v>
      </c>
      <c r="F273" s="234">
        <v>0.42682651653367731</v>
      </c>
      <c r="G273" s="233">
        <v>0.61413500266306109</v>
      </c>
      <c r="H273" s="233">
        <v>0.38586499733693896</v>
      </c>
      <c r="I273" s="128"/>
    </row>
    <row r="274" spans="1:9">
      <c r="A274" s="118">
        <v>44773</v>
      </c>
      <c r="B274" s="234">
        <v>0.35718430747525876</v>
      </c>
      <c r="C274" s="234">
        <v>3.2892964422228124E-2</v>
      </c>
      <c r="D274" s="234">
        <v>0</v>
      </c>
      <c r="E274" s="234">
        <v>0.18520770636517506</v>
      </c>
      <c r="F274" s="234">
        <v>0.42471502173733805</v>
      </c>
      <c r="G274" s="233">
        <v>0.60992272810251313</v>
      </c>
      <c r="H274" s="233">
        <v>0.39007727189748687</v>
      </c>
      <c r="I274" s="128"/>
    </row>
    <row r="275" spans="1:9">
      <c r="A275" s="118">
        <v>44804</v>
      </c>
      <c r="B275" s="234">
        <v>0.36027091035585335</v>
      </c>
      <c r="C275" s="234">
        <v>3.2528114741424641E-2</v>
      </c>
      <c r="D275" s="234">
        <v>0</v>
      </c>
      <c r="E275" s="234">
        <v>0.18460661194166589</v>
      </c>
      <c r="F275" s="234">
        <v>0.42259436296105607</v>
      </c>
      <c r="G275" s="233">
        <v>0.60720097490272196</v>
      </c>
      <c r="H275" s="233">
        <v>0.39279902509727799</v>
      </c>
      <c r="I275" s="128"/>
    </row>
    <row r="276" spans="1:9">
      <c r="A276" s="118">
        <v>44834</v>
      </c>
      <c r="B276" s="234">
        <v>0.36314069980699182</v>
      </c>
      <c r="C276" s="234">
        <v>3.3045867238465983E-2</v>
      </c>
      <c r="D276" s="234">
        <v>0</v>
      </c>
      <c r="E276" s="234">
        <v>0.18459903252698928</v>
      </c>
      <c r="F276" s="234">
        <v>0.41921440042755292</v>
      </c>
      <c r="G276" s="233">
        <v>0.60381343295454215</v>
      </c>
      <c r="H276" s="233">
        <v>0.39618656704545779</v>
      </c>
      <c r="I276" s="128"/>
    </row>
    <row r="277" spans="1:9">
      <c r="A277" s="118">
        <v>44865</v>
      </c>
      <c r="B277" s="234">
        <v>0.37321101391732003</v>
      </c>
      <c r="C277" s="234">
        <v>3.4269018969779609E-2</v>
      </c>
      <c r="D277" s="234">
        <v>0</v>
      </c>
      <c r="E277" s="234">
        <v>0.18114016402955932</v>
      </c>
      <c r="F277" s="234">
        <v>0.4113798030833411</v>
      </c>
      <c r="G277" s="233">
        <v>0.59251996711290045</v>
      </c>
      <c r="H277" s="233">
        <v>0.40748003288709966</v>
      </c>
      <c r="I277" s="128"/>
    </row>
    <row r="278" spans="1:9">
      <c r="A278" s="118">
        <v>44895</v>
      </c>
      <c r="B278" s="234">
        <v>0.37252299972205716</v>
      </c>
      <c r="C278" s="234">
        <v>3.5524852618449856E-2</v>
      </c>
      <c r="D278" s="234">
        <v>0</v>
      </c>
      <c r="E278" s="234">
        <v>0.18194601564631802</v>
      </c>
      <c r="F278" s="234">
        <v>0.41000613201317476</v>
      </c>
      <c r="G278" s="233">
        <v>0.59195214765949278</v>
      </c>
      <c r="H278" s="233">
        <v>0.408047852340507</v>
      </c>
      <c r="I278" s="128"/>
    </row>
    <row r="279" spans="1:9">
      <c r="A279" s="118">
        <v>44926</v>
      </c>
      <c r="B279" s="234">
        <v>0.37377494862019961</v>
      </c>
      <c r="C279" s="234">
        <v>3.6808573662919841E-2</v>
      </c>
      <c r="D279" s="234">
        <v>0</v>
      </c>
      <c r="E279" s="234">
        <v>0.17806769106264952</v>
      </c>
      <c r="F279" s="234">
        <v>0.41134878665423108</v>
      </c>
      <c r="G279" s="233">
        <v>0.58941647771688066</v>
      </c>
      <c r="H279" s="233">
        <v>0.41058352228311945</v>
      </c>
      <c r="I279" s="128"/>
    </row>
    <row r="280" spans="1:9">
      <c r="A280" s="118">
        <v>44957</v>
      </c>
      <c r="B280" s="234">
        <v>0.36264384289531176</v>
      </c>
      <c r="C280" s="234">
        <v>3.6314605423726679E-2</v>
      </c>
      <c r="D280" s="234">
        <v>0</v>
      </c>
      <c r="E280" s="234">
        <v>0.18293823178087099</v>
      </c>
      <c r="F280" s="234">
        <v>0.41810331990009059</v>
      </c>
      <c r="G280" s="233">
        <v>0.60104155168096152</v>
      </c>
      <c r="H280" s="233">
        <v>0.39895844831903843</v>
      </c>
      <c r="I280" s="128"/>
    </row>
    <row r="281" spans="1:9">
      <c r="A281" s="118">
        <v>44985</v>
      </c>
      <c r="B281" s="234">
        <v>0.37918904474846632</v>
      </c>
      <c r="C281" s="234">
        <v>3.6011409704558538E-2</v>
      </c>
      <c r="D281" s="234">
        <v>0</v>
      </c>
      <c r="E281" s="234">
        <v>0.16824563078826643</v>
      </c>
      <c r="F281" s="234">
        <v>0.41655391475870873</v>
      </c>
      <c r="G281" s="233">
        <v>0.58479954554697522</v>
      </c>
      <c r="H281" s="233">
        <v>0.41520045445302484</v>
      </c>
      <c r="I281" s="128"/>
    </row>
    <row r="282" spans="1:9">
      <c r="A282" s="118">
        <v>45016</v>
      </c>
      <c r="B282" s="234">
        <v>0.36321669971028053</v>
      </c>
      <c r="C282" s="234">
        <v>3.5670183158704294E-2</v>
      </c>
      <c r="D282" s="234">
        <v>0</v>
      </c>
      <c r="E282" s="234">
        <v>0.17465393371458335</v>
      </c>
      <c r="F282" s="234">
        <v>0.42645918341643174</v>
      </c>
      <c r="G282" s="233">
        <v>0.60111311713101512</v>
      </c>
      <c r="H282" s="233">
        <v>0.39888688286898483</v>
      </c>
      <c r="I282" s="128"/>
    </row>
    <row r="283" spans="1:9">
      <c r="A283" s="118">
        <v>45046</v>
      </c>
      <c r="B283" s="234">
        <v>0.3603416294522363</v>
      </c>
      <c r="C283" s="234">
        <v>3.5935048039498506E-2</v>
      </c>
      <c r="D283" s="234">
        <v>0</v>
      </c>
      <c r="E283" s="234">
        <v>0.17509638831784635</v>
      </c>
      <c r="F283" s="234">
        <v>0.42862693419041886</v>
      </c>
      <c r="G283" s="233">
        <v>0.60372332250826521</v>
      </c>
      <c r="H283" s="233">
        <v>0.39627667749173479</v>
      </c>
      <c r="I283" s="128"/>
    </row>
    <row r="284" spans="1:9">
      <c r="A284" s="118">
        <v>45077</v>
      </c>
      <c r="B284" s="234">
        <v>0.34482712810383809</v>
      </c>
      <c r="C284" s="234">
        <v>3.3329058600171921E-2</v>
      </c>
      <c r="D284" s="234">
        <v>0</v>
      </c>
      <c r="E284" s="234">
        <v>0.18130649920304684</v>
      </c>
      <c r="F284" s="234">
        <v>0.44053731409294311</v>
      </c>
      <c r="G284" s="233">
        <v>0.62184381329598992</v>
      </c>
      <c r="H284" s="233">
        <v>0.37815618670401002</v>
      </c>
      <c r="I284" s="128"/>
    </row>
    <row r="285" spans="1:9">
      <c r="A285" s="118">
        <v>45107</v>
      </c>
      <c r="B285" s="234">
        <v>0.33285032481965554</v>
      </c>
      <c r="C285" s="234">
        <v>3.2672755311542442E-2</v>
      </c>
      <c r="D285" s="234">
        <v>0</v>
      </c>
      <c r="E285" s="234">
        <v>0.1870124603706429</v>
      </c>
      <c r="F285" s="234">
        <v>0.447464459498159</v>
      </c>
      <c r="G285" s="233">
        <v>0.63447691986880184</v>
      </c>
      <c r="H285" s="233">
        <v>0.365523080131198</v>
      </c>
    </row>
    <row r="286" spans="1:9">
      <c r="A286" s="118">
        <v>45138</v>
      </c>
      <c r="B286" s="234">
        <v>0.31721832787113435</v>
      </c>
      <c r="C286" s="234">
        <v>3.1568697030351617E-2</v>
      </c>
      <c r="D286" s="234">
        <v>0</v>
      </c>
      <c r="E286" s="234">
        <v>0.19233972808289015</v>
      </c>
      <c r="F286" s="234">
        <v>0.45887324701562382</v>
      </c>
      <c r="G286" s="233">
        <v>0.65121297509851395</v>
      </c>
      <c r="H286" s="233">
        <v>0.34878702490148594</v>
      </c>
    </row>
    <row r="287" spans="1:9">
      <c r="A287" s="118">
        <v>45169</v>
      </c>
      <c r="B287" s="234">
        <v>0.32294401309336301</v>
      </c>
      <c r="C287" s="234">
        <v>3.1749465128830645E-2</v>
      </c>
      <c r="D287" s="234">
        <v>0</v>
      </c>
      <c r="E287" s="234">
        <v>0.19124922673500253</v>
      </c>
      <c r="F287" s="234">
        <v>0.45405729504280379</v>
      </c>
      <c r="G287" s="233">
        <v>0.64530652177780634</v>
      </c>
      <c r="H287" s="233">
        <v>0.35469347822219366</v>
      </c>
    </row>
    <row r="288" spans="1:9">
      <c r="A288" s="118">
        <v>45199</v>
      </c>
      <c r="B288" s="234">
        <v>0.3239168007777245</v>
      </c>
      <c r="C288" s="234">
        <v>3.0769231031959422E-2</v>
      </c>
      <c r="D288" s="234">
        <v>0</v>
      </c>
      <c r="E288" s="234">
        <v>0.19398212654686045</v>
      </c>
      <c r="F288" s="234">
        <v>0.45133184164345574</v>
      </c>
      <c r="G288" s="233">
        <v>0.64531396819031617</v>
      </c>
      <c r="H288" s="233">
        <v>0.35468603180968394</v>
      </c>
    </row>
    <row r="289" spans="1:8">
      <c r="A289" s="118">
        <v>45230</v>
      </c>
      <c r="B289" s="234">
        <v>0.31673063062789331</v>
      </c>
      <c r="C289" s="234">
        <v>3.0533384558089169E-2</v>
      </c>
      <c r="D289" s="234">
        <v>0</v>
      </c>
      <c r="E289" s="234">
        <v>0.19369291288656257</v>
      </c>
      <c r="F289" s="234">
        <v>0.45904307192745497</v>
      </c>
      <c r="G289" s="233">
        <v>0.65273598481401751</v>
      </c>
      <c r="H289" s="233">
        <v>0.34726401518598249</v>
      </c>
    </row>
    <row r="290" spans="1:8">
      <c r="A290" s="118">
        <v>45260</v>
      </c>
      <c r="B290" s="234">
        <v>0.32049059194183738</v>
      </c>
      <c r="C290" s="234">
        <v>3.0196938240564224E-2</v>
      </c>
      <c r="D290" s="234">
        <v>0</v>
      </c>
      <c r="E290" s="234">
        <v>0.19272187872532726</v>
      </c>
      <c r="F290" s="234">
        <v>0.45659059109227107</v>
      </c>
      <c r="G290" s="233">
        <v>0.64931246981759827</v>
      </c>
      <c r="H290" s="233">
        <v>0.35068753018240162</v>
      </c>
    </row>
    <row r="291" spans="1:8">
      <c r="A291" s="118">
        <v>45291</v>
      </c>
      <c r="B291" s="234">
        <v>0.31707728887925618</v>
      </c>
      <c r="C291" s="234">
        <v>2.9805485219794436E-2</v>
      </c>
      <c r="D291" s="234">
        <v>0</v>
      </c>
      <c r="E291" s="234">
        <v>0.19710240832907597</v>
      </c>
      <c r="F291" s="234">
        <v>0.45628518343079344</v>
      </c>
      <c r="G291" s="233">
        <v>0.65311722590094945</v>
      </c>
      <c r="H291" s="233">
        <v>0.34688277409905061</v>
      </c>
    </row>
    <row r="292" spans="1:8">
      <c r="A292" s="118">
        <v>45322</v>
      </c>
      <c r="B292" s="234">
        <v>0.32123301110779939</v>
      </c>
      <c r="C292" s="234">
        <v>2.962795103108937E-2</v>
      </c>
      <c r="D292" s="234">
        <v>0</v>
      </c>
      <c r="E292" s="234">
        <v>0.19700660247067303</v>
      </c>
      <c r="F292" s="234">
        <v>0.45213243539043818</v>
      </c>
      <c r="G292" s="233">
        <v>0.64913903786111127</v>
      </c>
      <c r="H292" s="233">
        <v>0.35086096213888879</v>
      </c>
    </row>
    <row r="293" spans="1:8">
      <c r="A293" s="118">
        <v>45350</v>
      </c>
      <c r="B293" s="234">
        <v>0.31636695355065098</v>
      </c>
      <c r="C293" s="234">
        <v>2.9096607222843036E-2</v>
      </c>
      <c r="D293" s="234">
        <v>0</v>
      </c>
      <c r="E293" s="234">
        <v>0.19651503834501707</v>
      </c>
      <c r="F293" s="234">
        <v>0.45802140088148902</v>
      </c>
      <c r="G293" s="233">
        <v>0.65453643922650606</v>
      </c>
      <c r="H293" s="233">
        <v>0.34546356077349399</v>
      </c>
    </row>
    <row r="294" spans="1:8">
      <c r="A294" s="118">
        <v>45382</v>
      </c>
      <c r="B294" s="234">
        <v>0.30782837327902279</v>
      </c>
      <c r="C294" s="234">
        <v>3.057488281090863E-2</v>
      </c>
      <c r="D294" s="234">
        <v>0</v>
      </c>
      <c r="E294" s="234">
        <v>0.20199509414868005</v>
      </c>
      <c r="F294" s="234">
        <v>0.45960164976138862</v>
      </c>
      <c r="G294" s="233">
        <v>0.66159674391006873</v>
      </c>
      <c r="H294" s="233">
        <v>0.33840325608993144</v>
      </c>
    </row>
    <row r="295" spans="1:8">
      <c r="A295" s="118">
        <v>45412</v>
      </c>
      <c r="B295" s="234">
        <v>0.30842744644769121</v>
      </c>
      <c r="C295" s="234">
        <v>2.9821219386129982E-2</v>
      </c>
      <c r="D295" s="234">
        <v>0</v>
      </c>
      <c r="E295" s="234">
        <v>0.20108575825311054</v>
      </c>
      <c r="F295" s="234">
        <v>0.46066557591306839</v>
      </c>
      <c r="G295" s="233">
        <v>0.66175133416617893</v>
      </c>
      <c r="H295" s="233">
        <v>0.33824866583382118</v>
      </c>
    </row>
    <row r="296" spans="1:8">
      <c r="A296" s="118">
        <v>45443</v>
      </c>
      <c r="B296" s="234">
        <v>0.30197742813715955</v>
      </c>
      <c r="C296" s="234">
        <v>2.9853972605535517E-2</v>
      </c>
      <c r="D296" s="234">
        <v>0</v>
      </c>
      <c r="E296" s="234">
        <v>0.20337851494232193</v>
      </c>
      <c r="F296" s="234">
        <v>0.46479008431498309</v>
      </c>
      <c r="G296" s="233">
        <v>0.66816859925730498</v>
      </c>
      <c r="H296" s="233">
        <v>0.33183140074269507</v>
      </c>
    </row>
    <row r="297" spans="1:8">
      <c r="A297" s="118">
        <v>45473</v>
      </c>
      <c r="B297" s="234">
        <v>0.31131358562419281</v>
      </c>
      <c r="C297" s="234">
        <v>3.0340044903858554E-2</v>
      </c>
      <c r="D297" s="234">
        <v>0</v>
      </c>
      <c r="E297" s="234">
        <v>0.19886152483805003</v>
      </c>
      <c r="F297" s="234">
        <v>0.4594848446338986</v>
      </c>
      <c r="G297" s="233">
        <v>0.65834636947194869</v>
      </c>
      <c r="H297" s="233">
        <v>0.34165363052805137</v>
      </c>
    </row>
    <row r="298" spans="1:8">
      <c r="A298" s="118">
        <v>45504</v>
      </c>
      <c r="B298" s="234">
        <v>0.31030918199358509</v>
      </c>
      <c r="C298" s="234">
        <v>3.018160856422444E-2</v>
      </c>
      <c r="D298" s="234">
        <v>0</v>
      </c>
      <c r="E298" s="234">
        <v>0.20154573664396103</v>
      </c>
      <c r="F298" s="234">
        <v>0.4579634727982293</v>
      </c>
      <c r="G298" s="233">
        <v>0.65950920944219038</v>
      </c>
      <c r="H298" s="233">
        <v>0.34049079055780951</v>
      </c>
    </row>
    <row r="299" spans="1:8">
      <c r="A299" s="118">
        <v>45535</v>
      </c>
      <c r="B299" s="234">
        <v>0.30875991521909696</v>
      </c>
      <c r="C299" s="234">
        <v>3.0942770272168799E-2</v>
      </c>
      <c r="D299" s="234">
        <v>0</v>
      </c>
      <c r="E299" s="234">
        <v>0.19911910069581834</v>
      </c>
      <c r="F299" s="234">
        <v>0.46117821381291602</v>
      </c>
      <c r="G299" s="233">
        <v>0.6602973145087343</v>
      </c>
      <c r="H299" s="233">
        <v>0.33970268549126575</v>
      </c>
    </row>
    <row r="300" spans="1:8">
      <c r="A300" s="118">
        <v>45565</v>
      </c>
      <c r="B300" s="234">
        <v>0.30596557764869292</v>
      </c>
      <c r="C300" s="234">
        <v>3.0913263490051929E-2</v>
      </c>
      <c r="D300" s="234">
        <v>0</v>
      </c>
      <c r="E300" s="234">
        <v>0.19653082626661655</v>
      </c>
      <c r="F300" s="234">
        <v>0.46659033259463856</v>
      </c>
      <c r="G300" s="233">
        <v>0.66312115886125511</v>
      </c>
      <c r="H300" s="233">
        <v>0.33687884113874483</v>
      </c>
    </row>
    <row r="301" spans="1:8">
      <c r="A301" s="118">
        <v>45596</v>
      </c>
      <c r="B301" s="234">
        <v>0.31661019121031297</v>
      </c>
      <c r="C301" s="234">
        <v>3.1163431208091237E-2</v>
      </c>
      <c r="D301" s="234">
        <v>0</v>
      </c>
      <c r="E301" s="234">
        <v>0.19269330639490925</v>
      </c>
      <c r="F301" s="234">
        <v>0.45953307118668663</v>
      </c>
      <c r="G301" s="233">
        <v>0.65222637758159585</v>
      </c>
      <c r="H301" s="233">
        <v>0.3477736224184042</v>
      </c>
    </row>
    <row r="302" spans="1:8">
      <c r="A302" s="118">
        <v>45626</v>
      </c>
      <c r="B302" s="234">
        <v>0.32286568825213285</v>
      </c>
      <c r="C302" s="234">
        <v>2.9409659511021542E-2</v>
      </c>
      <c r="D302" s="234">
        <v>0</v>
      </c>
      <c r="E302" s="234">
        <v>0.18622323343755387</v>
      </c>
      <c r="F302" s="234">
        <v>0.46150141879929174</v>
      </c>
      <c r="G302" s="233">
        <v>0.64772465223684561</v>
      </c>
      <c r="H302" s="233">
        <v>0.35227534776315439</v>
      </c>
    </row>
    <row r="303" spans="1:8">
      <c r="A303" s="118">
        <v>45657</v>
      </c>
      <c r="B303" s="234">
        <v>0.31790240488256249</v>
      </c>
      <c r="C303" s="234">
        <v>2.8448376861171389E-2</v>
      </c>
      <c r="D303" s="234">
        <v>0</v>
      </c>
      <c r="E303" s="234">
        <v>0.18514978485321509</v>
      </c>
      <c r="F303" s="234">
        <v>0.46849943340305111</v>
      </c>
      <c r="G303" s="233">
        <v>0.65364921825626621</v>
      </c>
      <c r="H303" s="233">
        <v>0.3463507817437339</v>
      </c>
    </row>
  </sheetData>
  <phoneticPr fontId="4" type="noConversion"/>
  <pageMargins left="0.23622047244094491" right="0.23622047244094491" top="0.74803149606299213" bottom="0.74803149606299213" header="0.31496062992125984" footer="0.31496062992125984"/>
  <pageSetup fitToHeight="99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Drop Down 1">
              <controlPr defaultSize="0" print="0" autoLine="0" autoPict="0">
                <anchor>
                  <from>
                    <xdr:col>0</xdr:col>
                    <xdr:colOff>619125</xdr:colOff>
                    <xdr:row>1</xdr:row>
                    <xdr:rowOff>257175</xdr:rowOff>
                  </from>
                  <to>
                    <xdr:col>1</xdr:col>
                    <xdr:colOff>2133600</xdr:colOff>
                    <xdr:row>2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8A54-B826-4CFF-9541-E2C10FCA0A3C}">
  <sheetPr codeName="Hoja9">
    <tabColor theme="0" tint="-0.14999847407452621"/>
    <pageSetUpPr fitToPage="1"/>
  </sheetPr>
  <dimension ref="A1:BL65520"/>
  <sheetViews>
    <sheetView showGridLines="0" zoomScale="70" zoomScaleNormal="70" workbookViewId="0">
      <pane xSplit="2" ySplit="21" topLeftCell="AM848" activePane="bottomRight" state="frozen"/>
      <selection activeCell="Z846" sqref="Z846"/>
      <selection pane="topRight" activeCell="Z846" sqref="Z846"/>
      <selection pane="bottomLeft" activeCell="Z846" sqref="Z846"/>
      <selection pane="bottomRight" activeCell="AA870" sqref="AA870:BK870"/>
    </sheetView>
  </sheetViews>
  <sheetFormatPr baseColWidth="10" defaultColWidth="11.42578125" defaultRowHeight="15"/>
  <cols>
    <col min="1" max="1" width="16.28515625" style="165" customWidth="1"/>
    <col min="2" max="2" width="25" style="159" customWidth="1"/>
    <col min="3" max="3" width="13.7109375" style="159" customWidth="1"/>
    <col min="4" max="10" width="14.28515625" style="159" bestFit="1" customWidth="1"/>
    <col min="11" max="11" width="13.7109375" style="159" customWidth="1"/>
    <col min="12" max="20" width="14.28515625" style="159" bestFit="1" customWidth="1"/>
    <col min="21" max="26" width="17.42578125" style="159" bestFit="1" customWidth="1"/>
    <col min="27" max="35" width="16.42578125" style="159" bestFit="1" customWidth="1"/>
    <col min="36" max="36" width="17.5703125" style="159" bestFit="1" customWidth="1"/>
    <col min="37" max="37" width="16.42578125" style="159" bestFit="1" customWidth="1"/>
    <col min="38" max="45" width="14.7109375" style="159" bestFit="1" customWidth="1"/>
    <col min="46" max="46" width="14.42578125" style="159" customWidth="1"/>
    <col min="47" max="47" width="14.7109375" style="159" customWidth="1"/>
    <col min="48" max="50" width="13.7109375" style="159" bestFit="1" customWidth="1"/>
    <col min="51" max="51" width="15.7109375" style="159" customWidth="1"/>
    <col min="52" max="52" width="15.42578125" style="159" customWidth="1"/>
    <col min="53" max="71" width="12.28515625" style="159" bestFit="1" customWidth="1"/>
    <col min="72" max="72" width="11.28515625" style="159" bestFit="1" customWidth="1"/>
    <col min="73" max="73" width="7.7109375" style="159" bestFit="1" customWidth="1"/>
    <col min="74" max="74" width="9.28515625" style="159" bestFit="1" customWidth="1"/>
    <col min="75" max="75" width="6.7109375" style="159" bestFit="1" customWidth="1"/>
    <col min="76" max="16384" width="11.42578125" style="159"/>
  </cols>
  <sheetData>
    <row r="1" spans="1:1" s="158" customFormat="1" ht="12.75" customHeight="1">
      <c r="A1" s="152"/>
    </row>
    <row r="2" spans="1:1" s="158" customFormat="1" ht="12.75" customHeight="1">
      <c r="A2" s="160"/>
    </row>
    <row r="3" spans="1:1" s="158" customFormat="1" ht="12.75" customHeight="1">
      <c r="A3" s="160"/>
    </row>
    <row r="4" spans="1:1" s="158" customFormat="1" ht="12.75" customHeight="1">
      <c r="A4" s="160"/>
    </row>
    <row r="5" spans="1:1" s="158" customFormat="1" ht="12.75" customHeight="1">
      <c r="A5" s="126"/>
    </row>
    <row r="6" spans="1:1" ht="12.75" customHeight="1">
      <c r="A6" s="127"/>
    </row>
    <row r="7" spans="1:1" ht="12.75" customHeight="1">
      <c r="A7" s="127"/>
    </row>
    <row r="8" spans="1:1" ht="12.75" customHeight="1">
      <c r="A8" s="127"/>
    </row>
    <row r="9" spans="1:1" ht="12.75" customHeight="1">
      <c r="A9" s="127"/>
    </row>
    <row r="10" spans="1:1" ht="12.75" customHeight="1">
      <c r="A10" s="127"/>
    </row>
    <row r="11" spans="1:1" ht="12.75" customHeight="1">
      <c r="A11" s="127"/>
    </row>
    <row r="12" spans="1:1" ht="12.75" customHeight="1">
      <c r="A12" s="127"/>
    </row>
    <row r="13" spans="1:1" ht="12.75" customHeight="1">
      <c r="A13" s="127"/>
    </row>
    <row r="14" spans="1:1" ht="12.75" customHeight="1">
      <c r="A14" s="127"/>
    </row>
    <row r="15" spans="1:1" ht="12.75" customHeight="1">
      <c r="A15" s="127"/>
    </row>
    <row r="16" spans="1:1" ht="12.75" customHeight="1">
      <c r="A16" s="127"/>
    </row>
    <row r="17" spans="1:63" ht="12.75" customHeight="1">
      <c r="A17" s="127"/>
    </row>
    <row r="18" spans="1:63" ht="12.75" customHeight="1">
      <c r="A18" s="127"/>
    </row>
    <row r="19" spans="1:63" s="133" customFormat="1" ht="12.75">
      <c r="A19" s="304"/>
      <c r="B19" s="305"/>
      <c r="C19" s="306" t="str">
        <f>Servicio_internaSección_título_etiqueta</f>
        <v>Perfil de Vencimientos - deuda interna</v>
      </c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302"/>
      <c r="AO19" s="302"/>
      <c r="AP19" s="302"/>
      <c r="AQ19" s="302"/>
      <c r="AR19" s="302"/>
      <c r="AS19" s="302"/>
      <c r="AT19" s="302"/>
      <c r="AU19" s="302"/>
      <c r="AV19" s="302"/>
      <c r="AW19" s="302"/>
      <c r="AX19" s="302"/>
      <c r="AY19" s="302"/>
      <c r="AZ19" s="302"/>
      <c r="BA19" s="302"/>
      <c r="BB19" s="302"/>
      <c r="BC19" s="302"/>
      <c r="BD19" s="302"/>
      <c r="BE19" s="302"/>
      <c r="BF19" s="302"/>
      <c r="BG19" s="302"/>
      <c r="BH19" s="302"/>
      <c r="BI19" s="302"/>
      <c r="BJ19" s="302"/>
      <c r="BK19" s="302"/>
    </row>
    <row r="20" spans="1:63" s="133" customFormat="1" ht="12.75">
      <c r="A20" s="304"/>
      <c r="B20" s="305"/>
      <c r="C20" s="306" t="str">
        <f>Servicio_internaSección_subtítulo_etiqueta</f>
        <v>(COP millones)</v>
      </c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  <c r="AH20" s="302"/>
      <c r="AI20" s="302"/>
      <c r="AJ20" s="302"/>
      <c r="AK20" s="302"/>
      <c r="AL20" s="302"/>
      <c r="AM20" s="302"/>
      <c r="AN20" s="302"/>
      <c r="AO20" s="302"/>
      <c r="AP20" s="302"/>
      <c r="AQ20" s="302"/>
      <c r="AR20" s="302"/>
      <c r="AS20" s="302"/>
      <c r="AT20" s="302"/>
      <c r="AU20" s="302"/>
      <c r="AV20" s="302"/>
      <c r="AW20" s="302"/>
      <c r="AX20" s="302"/>
      <c r="AY20" s="302"/>
      <c r="AZ20" s="302"/>
      <c r="BA20" s="302"/>
      <c r="BB20" s="302"/>
      <c r="BC20" s="302"/>
      <c r="BD20" s="302"/>
      <c r="BE20" s="302"/>
      <c r="BF20" s="302"/>
      <c r="BG20" s="302"/>
      <c r="BH20" s="302"/>
      <c r="BI20" s="302"/>
      <c r="BJ20" s="302"/>
      <c r="BK20" s="302"/>
    </row>
    <row r="21" spans="1:63" s="80" customFormat="1" ht="12.75">
      <c r="A21" s="192" t="str">
        <f>Indice_PrincipalFecha_corte_etiqueta</f>
        <v>Fecha corte</v>
      </c>
      <c r="B21" s="208" t="str">
        <f>Servicio_internaFechas_etiqueta</f>
        <v>Período de servicio</v>
      </c>
      <c r="C21" s="192">
        <v>2001</v>
      </c>
      <c r="D21" s="192">
        <v>2002</v>
      </c>
      <c r="E21" s="192">
        <v>2003</v>
      </c>
      <c r="F21" s="209">
        <v>2004</v>
      </c>
      <c r="G21" s="209">
        <v>2005</v>
      </c>
      <c r="H21" s="209">
        <v>2006</v>
      </c>
      <c r="I21" s="209">
        <v>2007</v>
      </c>
      <c r="J21" s="209">
        <v>2008</v>
      </c>
      <c r="K21" s="209">
        <v>2009</v>
      </c>
      <c r="L21" s="209">
        <v>2010</v>
      </c>
      <c r="M21" s="209">
        <v>2011</v>
      </c>
      <c r="N21" s="209">
        <v>2012</v>
      </c>
      <c r="O21" s="209">
        <v>2013</v>
      </c>
      <c r="P21" s="209">
        <v>2014</v>
      </c>
      <c r="Q21" s="209">
        <v>2015</v>
      </c>
      <c r="R21" s="209">
        <v>2016</v>
      </c>
      <c r="S21" s="209">
        <v>2017</v>
      </c>
      <c r="T21" s="209">
        <v>2018</v>
      </c>
      <c r="U21" s="209">
        <v>2019</v>
      </c>
      <c r="V21" s="209">
        <v>2020</v>
      </c>
      <c r="W21" s="209">
        <v>2021</v>
      </c>
      <c r="X21" s="209">
        <v>2022</v>
      </c>
      <c r="Y21" s="209">
        <v>2023</v>
      </c>
      <c r="Z21" s="209">
        <v>2024</v>
      </c>
      <c r="AA21" s="209">
        <v>2025</v>
      </c>
      <c r="AB21" s="209">
        <v>2026</v>
      </c>
      <c r="AC21" s="209">
        <v>2027</v>
      </c>
      <c r="AD21" s="209">
        <v>2028</v>
      </c>
      <c r="AE21" s="209">
        <v>2029</v>
      </c>
      <c r="AF21" s="209">
        <v>2030</v>
      </c>
      <c r="AG21" s="209">
        <v>2031</v>
      </c>
      <c r="AH21" s="209">
        <v>2032</v>
      </c>
      <c r="AI21" s="209">
        <v>2033</v>
      </c>
      <c r="AJ21" s="209">
        <v>2034</v>
      </c>
      <c r="AK21" s="209">
        <v>2035</v>
      </c>
      <c r="AL21" s="209">
        <v>2036</v>
      </c>
      <c r="AM21" s="209">
        <v>2037</v>
      </c>
      <c r="AN21" s="209">
        <v>2038</v>
      </c>
      <c r="AO21" s="209">
        <v>2039</v>
      </c>
      <c r="AP21" s="209">
        <v>2040</v>
      </c>
      <c r="AQ21" s="209">
        <v>2041</v>
      </c>
      <c r="AR21" s="209">
        <v>2042</v>
      </c>
      <c r="AS21" s="209">
        <v>2043</v>
      </c>
      <c r="AT21" s="209">
        <v>2044</v>
      </c>
      <c r="AU21" s="209">
        <v>2045</v>
      </c>
      <c r="AV21" s="209">
        <v>2046</v>
      </c>
      <c r="AW21" s="209">
        <v>2047</v>
      </c>
      <c r="AX21" s="209">
        <v>2048</v>
      </c>
      <c r="AY21" s="209">
        <v>2049</v>
      </c>
      <c r="AZ21" s="209">
        <v>2050</v>
      </c>
      <c r="BA21" s="209">
        <v>2051</v>
      </c>
      <c r="BB21" s="209">
        <v>2052</v>
      </c>
      <c r="BC21" s="209">
        <v>2053</v>
      </c>
      <c r="BD21" s="209">
        <v>2054</v>
      </c>
      <c r="BE21" s="209">
        <v>2055</v>
      </c>
      <c r="BF21" s="209">
        <v>2056</v>
      </c>
      <c r="BG21" s="209">
        <v>2057</v>
      </c>
      <c r="BH21" s="209">
        <v>2058</v>
      </c>
      <c r="BI21" s="209">
        <v>2059</v>
      </c>
      <c r="BJ21" s="209">
        <v>2060</v>
      </c>
      <c r="BK21" s="209">
        <v>2061</v>
      </c>
    </row>
    <row r="22" spans="1:63" s="80" customFormat="1" ht="12.75">
      <c r="A22" s="167"/>
      <c r="B22" s="210" t="str">
        <f>Servicio_internaColumna_título_amortizaciones</f>
        <v>Amortizaciones</v>
      </c>
      <c r="C22" s="254">
        <v>2748174.736280588</v>
      </c>
      <c r="D22" s="255">
        <v>6197975.097804063</v>
      </c>
      <c r="E22" s="255">
        <v>2441504.2517832862</v>
      </c>
      <c r="F22" s="255">
        <v>3732266.9121997417</v>
      </c>
      <c r="G22" s="255">
        <v>2871763.2840647278</v>
      </c>
      <c r="H22" s="255">
        <v>3347844.1626535174</v>
      </c>
      <c r="I22" s="255">
        <v>3242427.196211461</v>
      </c>
      <c r="J22" s="255">
        <v>2647607.0979814911</v>
      </c>
      <c r="K22" s="255">
        <v>482446.98431647301</v>
      </c>
      <c r="L22" s="255">
        <v>607638.02948737866</v>
      </c>
      <c r="M22" s="255">
        <v>3793025.2664000001</v>
      </c>
      <c r="N22" s="255">
        <v>0</v>
      </c>
      <c r="O22" s="255">
        <v>2135938.3307213401</v>
      </c>
      <c r="P22" s="255">
        <v>0</v>
      </c>
      <c r="Q22" s="255">
        <v>505948</v>
      </c>
      <c r="R22" s="255">
        <v>0</v>
      </c>
      <c r="S22" s="255">
        <v>0</v>
      </c>
      <c r="T22" s="255">
        <v>0</v>
      </c>
      <c r="U22" s="255">
        <v>0</v>
      </c>
      <c r="V22" s="255">
        <v>0</v>
      </c>
      <c r="W22" s="255">
        <v>0</v>
      </c>
      <c r="X22" s="255">
        <v>0</v>
      </c>
      <c r="Y22" s="255">
        <v>0</v>
      </c>
      <c r="Z22" s="255">
        <v>0</v>
      </c>
      <c r="AA22" s="255">
        <v>0</v>
      </c>
      <c r="AB22" s="255">
        <v>0</v>
      </c>
      <c r="AC22" s="255">
        <v>0</v>
      </c>
      <c r="AD22" s="255">
        <v>0</v>
      </c>
      <c r="AE22" s="255">
        <v>0</v>
      </c>
      <c r="AF22" s="255">
        <v>0</v>
      </c>
      <c r="AG22" s="255">
        <v>0</v>
      </c>
      <c r="AH22" s="255">
        <v>0</v>
      </c>
      <c r="AI22" s="255">
        <v>0</v>
      </c>
      <c r="AJ22" s="255">
        <v>0</v>
      </c>
      <c r="AK22" s="255">
        <v>0</v>
      </c>
      <c r="AL22" s="255">
        <v>0</v>
      </c>
      <c r="AM22" s="255">
        <v>0</v>
      </c>
      <c r="AN22" s="255">
        <v>0</v>
      </c>
      <c r="AO22" s="255">
        <v>0</v>
      </c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  <c r="BJ22" s="255"/>
      <c r="BK22" s="255"/>
    </row>
    <row r="23" spans="1:63" s="133" customFormat="1" ht="12.75">
      <c r="A23" s="168">
        <v>37072</v>
      </c>
      <c r="B23" s="213" t="str">
        <f>Servicio_internaColumna_título_intereses</f>
        <v>Intereses</v>
      </c>
      <c r="C23" s="256">
        <v>0</v>
      </c>
      <c r="D23" s="257">
        <v>0</v>
      </c>
      <c r="E23" s="257">
        <v>0</v>
      </c>
      <c r="F23" s="257">
        <v>0</v>
      </c>
      <c r="G23" s="257">
        <v>0</v>
      </c>
      <c r="H23" s="257">
        <v>0</v>
      </c>
      <c r="I23" s="257">
        <v>0</v>
      </c>
      <c r="J23" s="257">
        <v>0</v>
      </c>
      <c r="K23" s="257">
        <v>0</v>
      </c>
      <c r="L23" s="257">
        <v>0</v>
      </c>
      <c r="M23" s="257">
        <v>0</v>
      </c>
      <c r="N23" s="257">
        <v>0</v>
      </c>
      <c r="O23" s="257">
        <v>0</v>
      </c>
      <c r="P23" s="257">
        <v>0</v>
      </c>
      <c r="Q23" s="257">
        <v>0</v>
      </c>
      <c r="R23" s="257">
        <v>0</v>
      </c>
      <c r="S23" s="257">
        <v>0</v>
      </c>
      <c r="T23" s="257">
        <v>0</v>
      </c>
      <c r="U23" s="258">
        <v>0</v>
      </c>
      <c r="V23" s="258">
        <v>0</v>
      </c>
      <c r="W23" s="258">
        <v>0</v>
      </c>
      <c r="X23" s="258">
        <v>0</v>
      </c>
      <c r="Y23" s="258">
        <v>0</v>
      </c>
      <c r="Z23" s="258">
        <v>0</v>
      </c>
      <c r="AA23" s="258">
        <v>0</v>
      </c>
      <c r="AB23" s="258">
        <v>0</v>
      </c>
      <c r="AC23" s="258">
        <v>0</v>
      </c>
      <c r="AD23" s="259">
        <v>0</v>
      </c>
      <c r="AE23" s="259">
        <v>0</v>
      </c>
      <c r="AF23" s="259">
        <v>0</v>
      </c>
      <c r="AG23" s="259">
        <v>0</v>
      </c>
      <c r="AH23" s="259">
        <v>0</v>
      </c>
      <c r="AI23" s="259">
        <v>0</v>
      </c>
      <c r="AJ23" s="259">
        <v>0</v>
      </c>
      <c r="AK23" s="259">
        <v>0</v>
      </c>
      <c r="AL23" s="259">
        <v>0</v>
      </c>
      <c r="AM23" s="259">
        <v>0</v>
      </c>
      <c r="AN23" s="259">
        <v>0</v>
      </c>
      <c r="AO23" s="259">
        <v>0</v>
      </c>
      <c r="AP23" s="259"/>
      <c r="AQ23" s="259"/>
      <c r="AR23" s="259"/>
      <c r="AS23" s="259"/>
      <c r="AT23" s="259"/>
      <c r="AU23" s="259"/>
      <c r="AV23" s="259"/>
      <c r="AW23" s="259"/>
      <c r="AX23" s="259"/>
      <c r="AY23" s="259"/>
      <c r="AZ23" s="259"/>
      <c r="BA23" s="259"/>
      <c r="BB23" s="259"/>
      <c r="BC23" s="259"/>
      <c r="BD23" s="259"/>
      <c r="BE23" s="259"/>
      <c r="BF23" s="259"/>
      <c r="BG23" s="259"/>
      <c r="BH23" s="259"/>
      <c r="BI23" s="259"/>
      <c r="BJ23" s="259"/>
      <c r="BK23" s="259"/>
    </row>
    <row r="24" spans="1:63" s="133" customFormat="1" ht="12.75">
      <c r="A24" s="169"/>
      <c r="B24" s="307" t="str">
        <f>Servicio_internaColumna_título_total</f>
        <v>Total</v>
      </c>
      <c r="C24" s="308">
        <v>2748174.736280588</v>
      </c>
      <c r="D24" s="309">
        <v>6197975.097804063</v>
      </c>
      <c r="E24" s="309">
        <v>2441504.2517832862</v>
      </c>
      <c r="F24" s="309">
        <v>3732266.9121997417</v>
      </c>
      <c r="G24" s="309">
        <v>2871763.2840647278</v>
      </c>
      <c r="H24" s="309">
        <v>3347844.1626535174</v>
      </c>
      <c r="I24" s="309">
        <v>3242427.196211461</v>
      </c>
      <c r="J24" s="309">
        <v>2647607.0979814911</v>
      </c>
      <c r="K24" s="309">
        <v>482446.98431647301</v>
      </c>
      <c r="L24" s="309">
        <v>607638.02948737866</v>
      </c>
      <c r="M24" s="309">
        <v>3793025.2664000001</v>
      </c>
      <c r="N24" s="309">
        <v>0</v>
      </c>
      <c r="O24" s="309">
        <v>2135938.3307213401</v>
      </c>
      <c r="P24" s="309">
        <v>0</v>
      </c>
      <c r="Q24" s="309">
        <v>505948</v>
      </c>
      <c r="R24" s="309">
        <v>0</v>
      </c>
      <c r="S24" s="309">
        <v>0</v>
      </c>
      <c r="T24" s="309">
        <v>0</v>
      </c>
      <c r="U24" s="309">
        <v>0</v>
      </c>
      <c r="V24" s="309">
        <v>0</v>
      </c>
      <c r="W24" s="309">
        <v>0</v>
      </c>
      <c r="X24" s="309">
        <v>0</v>
      </c>
      <c r="Y24" s="309">
        <v>0</v>
      </c>
      <c r="Z24" s="309">
        <v>0</v>
      </c>
      <c r="AA24" s="309">
        <v>0</v>
      </c>
      <c r="AB24" s="309">
        <v>0</v>
      </c>
      <c r="AC24" s="309">
        <v>0</v>
      </c>
      <c r="AD24" s="309">
        <v>0</v>
      </c>
      <c r="AE24" s="309">
        <v>0</v>
      </c>
      <c r="AF24" s="309">
        <v>0</v>
      </c>
      <c r="AG24" s="309">
        <v>0</v>
      </c>
      <c r="AH24" s="309">
        <v>0</v>
      </c>
      <c r="AI24" s="309">
        <v>0</v>
      </c>
      <c r="AJ24" s="309">
        <v>0</v>
      </c>
      <c r="AK24" s="309">
        <v>0</v>
      </c>
      <c r="AL24" s="309">
        <v>0</v>
      </c>
      <c r="AM24" s="309">
        <v>0</v>
      </c>
      <c r="AN24" s="309">
        <v>0</v>
      </c>
      <c r="AO24" s="309">
        <v>0</v>
      </c>
      <c r="AP24" s="309"/>
      <c r="AQ24" s="309"/>
      <c r="AR24" s="309"/>
      <c r="AS24" s="309"/>
      <c r="AT24" s="309"/>
      <c r="AU24" s="309"/>
      <c r="AV24" s="309"/>
      <c r="AW24" s="309"/>
      <c r="AX24" s="309"/>
      <c r="AY24" s="309"/>
      <c r="AZ24" s="309"/>
      <c r="BA24" s="309"/>
      <c r="BB24" s="309"/>
      <c r="BC24" s="309"/>
      <c r="BD24" s="309"/>
      <c r="BE24" s="309"/>
      <c r="BF24" s="309"/>
      <c r="BG24" s="309"/>
      <c r="BH24" s="309"/>
      <c r="BI24" s="309"/>
      <c r="BJ24" s="309"/>
      <c r="BK24" s="309"/>
    </row>
    <row r="25" spans="1:63" s="80" customFormat="1" ht="12.75">
      <c r="A25" s="167"/>
      <c r="B25" s="210" t="str">
        <f>Servicio_internaColumna_título_amortizaciones</f>
        <v>Amortizaciones</v>
      </c>
      <c r="C25" s="254">
        <v>1606380.0480400666</v>
      </c>
      <c r="D25" s="255">
        <v>6467161.600030832</v>
      </c>
      <c r="E25" s="255">
        <v>2696488.3350875275</v>
      </c>
      <c r="F25" s="255">
        <v>3734956.5703433412</v>
      </c>
      <c r="G25" s="255">
        <v>3173791.0923862252</v>
      </c>
      <c r="H25" s="255">
        <v>3974972.0137606976</v>
      </c>
      <c r="I25" s="255">
        <v>3248342.9807715351</v>
      </c>
      <c r="J25" s="255">
        <v>2679548.6147527699</v>
      </c>
      <c r="K25" s="255">
        <v>483177.07066117215</v>
      </c>
      <c r="L25" s="255">
        <v>608287.83461985015</v>
      </c>
      <c r="M25" s="255">
        <v>3828867.45</v>
      </c>
      <c r="N25" s="255">
        <v>0</v>
      </c>
      <c r="O25" s="255">
        <v>2135938.3307213401</v>
      </c>
      <c r="P25" s="255">
        <v>0</v>
      </c>
      <c r="Q25" s="255">
        <v>521579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55">
        <v>0</v>
      </c>
      <c r="Y25" s="255">
        <v>0</v>
      </c>
      <c r="Z25" s="255">
        <v>0</v>
      </c>
      <c r="AA25" s="255">
        <v>0</v>
      </c>
      <c r="AB25" s="255">
        <v>0</v>
      </c>
      <c r="AC25" s="255">
        <v>0</v>
      </c>
      <c r="AD25" s="255">
        <v>0</v>
      </c>
      <c r="AE25" s="255">
        <v>0</v>
      </c>
      <c r="AF25" s="255">
        <v>0</v>
      </c>
      <c r="AG25" s="255">
        <v>0</v>
      </c>
      <c r="AH25" s="255">
        <v>0</v>
      </c>
      <c r="AI25" s="255">
        <v>0</v>
      </c>
      <c r="AJ25" s="255">
        <v>0</v>
      </c>
      <c r="AK25" s="255">
        <v>0</v>
      </c>
      <c r="AL25" s="255">
        <v>0</v>
      </c>
      <c r="AM25" s="255">
        <v>0</v>
      </c>
      <c r="AN25" s="255">
        <v>0</v>
      </c>
      <c r="AO25" s="255">
        <v>0</v>
      </c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</row>
    <row r="26" spans="1:63" s="133" customFormat="1" ht="12.75">
      <c r="A26" s="168">
        <v>37103</v>
      </c>
      <c r="B26" s="213" t="str">
        <f>Servicio_internaColumna_título_intereses</f>
        <v>Intereses</v>
      </c>
      <c r="C26" s="256">
        <v>0</v>
      </c>
      <c r="D26" s="257">
        <v>0</v>
      </c>
      <c r="E26" s="257">
        <v>0</v>
      </c>
      <c r="F26" s="257">
        <v>0</v>
      </c>
      <c r="G26" s="257">
        <v>0</v>
      </c>
      <c r="H26" s="257">
        <v>0</v>
      </c>
      <c r="I26" s="257">
        <v>0</v>
      </c>
      <c r="J26" s="257">
        <v>0</v>
      </c>
      <c r="K26" s="257">
        <v>0</v>
      </c>
      <c r="L26" s="257">
        <v>0</v>
      </c>
      <c r="M26" s="257">
        <v>0</v>
      </c>
      <c r="N26" s="257">
        <v>0</v>
      </c>
      <c r="O26" s="257">
        <v>0</v>
      </c>
      <c r="P26" s="257">
        <v>0</v>
      </c>
      <c r="Q26" s="257">
        <v>0</v>
      </c>
      <c r="R26" s="257">
        <v>0</v>
      </c>
      <c r="S26" s="257">
        <v>0</v>
      </c>
      <c r="T26" s="257">
        <v>0</v>
      </c>
      <c r="U26" s="258">
        <v>0</v>
      </c>
      <c r="V26" s="258">
        <v>0</v>
      </c>
      <c r="W26" s="258">
        <v>0</v>
      </c>
      <c r="X26" s="258">
        <v>0</v>
      </c>
      <c r="Y26" s="258">
        <v>0</v>
      </c>
      <c r="Z26" s="258">
        <v>0</v>
      </c>
      <c r="AA26" s="258">
        <v>0</v>
      </c>
      <c r="AB26" s="258">
        <v>0</v>
      </c>
      <c r="AC26" s="258">
        <v>0</v>
      </c>
      <c r="AD26" s="259">
        <v>0</v>
      </c>
      <c r="AE26" s="259">
        <v>0</v>
      </c>
      <c r="AF26" s="259">
        <v>0</v>
      </c>
      <c r="AG26" s="259">
        <v>0</v>
      </c>
      <c r="AH26" s="259">
        <v>0</v>
      </c>
      <c r="AI26" s="259">
        <v>0</v>
      </c>
      <c r="AJ26" s="259">
        <v>0</v>
      </c>
      <c r="AK26" s="259">
        <v>0</v>
      </c>
      <c r="AL26" s="259">
        <v>0</v>
      </c>
      <c r="AM26" s="259">
        <v>0</v>
      </c>
      <c r="AN26" s="259">
        <v>0</v>
      </c>
      <c r="AO26" s="259">
        <v>0</v>
      </c>
      <c r="AP26" s="259"/>
      <c r="AQ26" s="259"/>
      <c r="AR26" s="259"/>
      <c r="AS26" s="259"/>
      <c r="AT26" s="259"/>
      <c r="AU26" s="259"/>
      <c r="AV26" s="259"/>
      <c r="AW26" s="259"/>
      <c r="AX26" s="259"/>
      <c r="AY26" s="259"/>
      <c r="AZ26" s="259"/>
      <c r="BA26" s="259"/>
      <c r="BB26" s="259"/>
      <c r="BC26" s="259"/>
      <c r="BD26" s="259"/>
      <c r="BE26" s="259"/>
      <c r="BF26" s="259"/>
      <c r="BG26" s="259"/>
      <c r="BH26" s="259"/>
      <c r="BI26" s="259"/>
      <c r="BJ26" s="259"/>
      <c r="BK26" s="259"/>
    </row>
    <row r="27" spans="1:63" s="133" customFormat="1" ht="12.75">
      <c r="A27" s="169"/>
      <c r="B27" s="307" t="str">
        <f>Servicio_internaColumna_título_total</f>
        <v>Total</v>
      </c>
      <c r="C27" s="308">
        <v>1606380.0480400666</v>
      </c>
      <c r="D27" s="309">
        <v>6467161.600030832</v>
      </c>
      <c r="E27" s="309">
        <v>2696488.3350875275</v>
      </c>
      <c r="F27" s="309">
        <v>3734956.5703433412</v>
      </c>
      <c r="G27" s="309">
        <v>3173791.0923862252</v>
      </c>
      <c r="H27" s="309">
        <v>3974972.0137606976</v>
      </c>
      <c r="I27" s="309">
        <v>3248342.9807715351</v>
      </c>
      <c r="J27" s="309">
        <v>2679548.6147527699</v>
      </c>
      <c r="K27" s="309">
        <v>483177.07066117215</v>
      </c>
      <c r="L27" s="309">
        <v>608287.83461985015</v>
      </c>
      <c r="M27" s="309">
        <v>3828867.45</v>
      </c>
      <c r="N27" s="309">
        <v>0</v>
      </c>
      <c r="O27" s="309">
        <v>2135938.3307213401</v>
      </c>
      <c r="P27" s="309">
        <v>0</v>
      </c>
      <c r="Q27" s="309">
        <v>521579</v>
      </c>
      <c r="R27" s="309">
        <v>0</v>
      </c>
      <c r="S27" s="309">
        <v>0</v>
      </c>
      <c r="T27" s="309">
        <v>0</v>
      </c>
      <c r="U27" s="309">
        <v>0</v>
      </c>
      <c r="V27" s="309">
        <v>0</v>
      </c>
      <c r="W27" s="309">
        <v>0</v>
      </c>
      <c r="X27" s="309">
        <v>0</v>
      </c>
      <c r="Y27" s="309">
        <v>0</v>
      </c>
      <c r="Z27" s="309">
        <v>0</v>
      </c>
      <c r="AA27" s="309">
        <v>0</v>
      </c>
      <c r="AB27" s="309">
        <v>0</v>
      </c>
      <c r="AC27" s="309">
        <v>0</v>
      </c>
      <c r="AD27" s="309">
        <v>0</v>
      </c>
      <c r="AE27" s="309">
        <v>0</v>
      </c>
      <c r="AF27" s="309">
        <v>0</v>
      </c>
      <c r="AG27" s="309">
        <v>0</v>
      </c>
      <c r="AH27" s="309">
        <v>0</v>
      </c>
      <c r="AI27" s="309">
        <v>0</v>
      </c>
      <c r="AJ27" s="309">
        <v>0</v>
      </c>
      <c r="AK27" s="309">
        <v>0</v>
      </c>
      <c r="AL27" s="309">
        <v>0</v>
      </c>
      <c r="AM27" s="309">
        <v>0</v>
      </c>
      <c r="AN27" s="309">
        <v>0</v>
      </c>
      <c r="AO27" s="309">
        <v>0</v>
      </c>
      <c r="AP27" s="309"/>
      <c r="AQ27" s="309"/>
      <c r="AR27" s="309"/>
      <c r="AS27" s="309"/>
      <c r="AT27" s="309"/>
      <c r="AU27" s="309"/>
      <c r="AV27" s="309"/>
      <c r="AW27" s="309"/>
      <c r="AX27" s="309"/>
      <c r="AY27" s="309"/>
      <c r="AZ27" s="309"/>
      <c r="BA27" s="309"/>
      <c r="BB27" s="309"/>
      <c r="BC27" s="309"/>
      <c r="BD27" s="309"/>
      <c r="BE27" s="309"/>
      <c r="BF27" s="309"/>
      <c r="BG27" s="309"/>
      <c r="BH27" s="309"/>
      <c r="BI27" s="309"/>
      <c r="BJ27" s="309"/>
      <c r="BK27" s="309"/>
    </row>
    <row r="28" spans="1:63" s="80" customFormat="1" ht="12.75">
      <c r="A28" s="167"/>
      <c r="B28" s="210" t="str">
        <f>Servicio_internaColumna_título_amortizaciones</f>
        <v>Amortizaciones</v>
      </c>
      <c r="C28" s="254">
        <v>1030630.0304838868</v>
      </c>
      <c r="D28" s="255">
        <v>6993654.220913806</v>
      </c>
      <c r="E28" s="255">
        <v>3119578.0948690651</v>
      </c>
      <c r="F28" s="255">
        <v>4147883.4304340137</v>
      </c>
      <c r="G28" s="255">
        <v>2874847.1001207661</v>
      </c>
      <c r="H28" s="255">
        <v>4148184.5524377697</v>
      </c>
      <c r="I28" s="255">
        <v>3250281.3282825854</v>
      </c>
      <c r="J28" s="255">
        <v>3273243.4807155351</v>
      </c>
      <c r="K28" s="255">
        <v>483417.22201896913</v>
      </c>
      <c r="L28" s="255">
        <v>608637.5713496469</v>
      </c>
      <c r="M28" s="255">
        <v>3864785.7305999999</v>
      </c>
      <c r="N28" s="255">
        <v>0</v>
      </c>
      <c r="O28" s="255">
        <v>2135938.3307213401</v>
      </c>
      <c r="P28" s="255">
        <v>0</v>
      </c>
      <c r="Q28" s="255">
        <v>521579</v>
      </c>
      <c r="R28" s="255">
        <v>0</v>
      </c>
      <c r="S28" s="255">
        <v>0</v>
      </c>
      <c r="T28" s="255">
        <v>0</v>
      </c>
      <c r="U28" s="255">
        <v>0</v>
      </c>
      <c r="V28" s="255">
        <v>0</v>
      </c>
      <c r="W28" s="255">
        <v>0</v>
      </c>
      <c r="X28" s="255">
        <v>0</v>
      </c>
      <c r="Y28" s="255">
        <v>0</v>
      </c>
      <c r="Z28" s="255">
        <v>0</v>
      </c>
      <c r="AA28" s="255">
        <v>0</v>
      </c>
      <c r="AB28" s="255">
        <v>0</v>
      </c>
      <c r="AC28" s="255">
        <v>0</v>
      </c>
      <c r="AD28" s="255">
        <v>0</v>
      </c>
      <c r="AE28" s="255">
        <v>0</v>
      </c>
      <c r="AF28" s="255">
        <v>0</v>
      </c>
      <c r="AG28" s="255">
        <v>0</v>
      </c>
      <c r="AH28" s="255">
        <v>0</v>
      </c>
      <c r="AI28" s="255">
        <v>0</v>
      </c>
      <c r="AJ28" s="255">
        <v>0</v>
      </c>
      <c r="AK28" s="255">
        <v>0</v>
      </c>
      <c r="AL28" s="255">
        <v>0</v>
      </c>
      <c r="AM28" s="255">
        <v>0</v>
      </c>
      <c r="AN28" s="255">
        <v>0</v>
      </c>
      <c r="AO28" s="255">
        <v>0</v>
      </c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  <c r="BJ28" s="255"/>
      <c r="BK28" s="255"/>
    </row>
    <row r="29" spans="1:63" s="133" customFormat="1" ht="12.75">
      <c r="A29" s="168">
        <v>37134</v>
      </c>
      <c r="B29" s="213" t="str">
        <f>Servicio_internaColumna_título_intereses</f>
        <v>Intereses</v>
      </c>
      <c r="C29" s="256">
        <v>0</v>
      </c>
      <c r="D29" s="257">
        <v>0</v>
      </c>
      <c r="E29" s="257">
        <v>0</v>
      </c>
      <c r="F29" s="257">
        <v>0</v>
      </c>
      <c r="G29" s="257">
        <v>0</v>
      </c>
      <c r="H29" s="257">
        <v>0</v>
      </c>
      <c r="I29" s="257">
        <v>0</v>
      </c>
      <c r="J29" s="257">
        <v>0</v>
      </c>
      <c r="K29" s="257">
        <v>0</v>
      </c>
      <c r="L29" s="257">
        <v>0</v>
      </c>
      <c r="M29" s="257">
        <v>0</v>
      </c>
      <c r="N29" s="257">
        <v>0</v>
      </c>
      <c r="O29" s="257">
        <v>0</v>
      </c>
      <c r="P29" s="257">
        <v>0</v>
      </c>
      <c r="Q29" s="257">
        <v>0</v>
      </c>
      <c r="R29" s="257">
        <v>0</v>
      </c>
      <c r="S29" s="257">
        <v>0</v>
      </c>
      <c r="T29" s="257">
        <v>0</v>
      </c>
      <c r="U29" s="258">
        <v>0</v>
      </c>
      <c r="V29" s="258">
        <v>0</v>
      </c>
      <c r="W29" s="258">
        <v>0</v>
      </c>
      <c r="X29" s="258">
        <v>0</v>
      </c>
      <c r="Y29" s="258">
        <v>0</v>
      </c>
      <c r="Z29" s="258">
        <v>0</v>
      </c>
      <c r="AA29" s="258">
        <v>0</v>
      </c>
      <c r="AB29" s="258">
        <v>0</v>
      </c>
      <c r="AC29" s="258">
        <v>0</v>
      </c>
      <c r="AD29" s="259">
        <v>0</v>
      </c>
      <c r="AE29" s="259">
        <v>0</v>
      </c>
      <c r="AF29" s="259">
        <v>0</v>
      </c>
      <c r="AG29" s="259">
        <v>0</v>
      </c>
      <c r="AH29" s="259">
        <v>0</v>
      </c>
      <c r="AI29" s="259">
        <v>0</v>
      </c>
      <c r="AJ29" s="259">
        <v>0</v>
      </c>
      <c r="AK29" s="259">
        <v>0</v>
      </c>
      <c r="AL29" s="259">
        <v>0</v>
      </c>
      <c r="AM29" s="259">
        <v>0</v>
      </c>
      <c r="AN29" s="259">
        <v>0</v>
      </c>
      <c r="AO29" s="259">
        <v>0</v>
      </c>
      <c r="AP29" s="259"/>
      <c r="AQ29" s="259"/>
      <c r="AR29" s="259"/>
      <c r="AS29" s="259"/>
      <c r="AT29" s="259"/>
      <c r="AU29" s="259"/>
      <c r="AV29" s="259"/>
      <c r="AW29" s="259"/>
      <c r="AX29" s="259"/>
      <c r="AY29" s="259"/>
      <c r="AZ29" s="259"/>
      <c r="BA29" s="259"/>
      <c r="BB29" s="259"/>
      <c r="BC29" s="259"/>
      <c r="BD29" s="259"/>
      <c r="BE29" s="259"/>
      <c r="BF29" s="259"/>
      <c r="BG29" s="259"/>
      <c r="BH29" s="259"/>
      <c r="BI29" s="259"/>
      <c r="BJ29" s="259"/>
      <c r="BK29" s="259"/>
    </row>
    <row r="30" spans="1:63" s="133" customFormat="1" ht="12.75">
      <c r="A30" s="169"/>
      <c r="B30" s="307" t="str">
        <f>Servicio_internaColumna_título_total</f>
        <v>Total</v>
      </c>
      <c r="C30" s="308">
        <v>1030630.0304838868</v>
      </c>
      <c r="D30" s="309">
        <v>6993654.220913806</v>
      </c>
      <c r="E30" s="309">
        <v>3119578.0948690651</v>
      </c>
      <c r="F30" s="309">
        <v>4147883.4304340137</v>
      </c>
      <c r="G30" s="309">
        <v>2874847.1001207661</v>
      </c>
      <c r="H30" s="309">
        <v>4148184.5524377697</v>
      </c>
      <c r="I30" s="309">
        <v>3250281.3282825854</v>
      </c>
      <c r="J30" s="309">
        <v>3273243.4807155351</v>
      </c>
      <c r="K30" s="309">
        <v>483417.22201896913</v>
      </c>
      <c r="L30" s="309">
        <v>608637.5713496469</v>
      </c>
      <c r="M30" s="309">
        <v>3864785.7305999999</v>
      </c>
      <c r="N30" s="309">
        <v>0</v>
      </c>
      <c r="O30" s="309">
        <v>2135938.3307213401</v>
      </c>
      <c r="P30" s="309">
        <v>0</v>
      </c>
      <c r="Q30" s="309">
        <v>521579</v>
      </c>
      <c r="R30" s="309">
        <v>0</v>
      </c>
      <c r="S30" s="309">
        <v>0</v>
      </c>
      <c r="T30" s="309">
        <v>0</v>
      </c>
      <c r="U30" s="309">
        <v>0</v>
      </c>
      <c r="V30" s="309">
        <v>0</v>
      </c>
      <c r="W30" s="309">
        <v>0</v>
      </c>
      <c r="X30" s="309">
        <v>0</v>
      </c>
      <c r="Y30" s="309">
        <v>0</v>
      </c>
      <c r="Z30" s="309">
        <v>0</v>
      </c>
      <c r="AA30" s="309">
        <v>0</v>
      </c>
      <c r="AB30" s="309">
        <v>0</v>
      </c>
      <c r="AC30" s="309">
        <v>0</v>
      </c>
      <c r="AD30" s="309">
        <v>0</v>
      </c>
      <c r="AE30" s="309">
        <v>0</v>
      </c>
      <c r="AF30" s="309">
        <v>0</v>
      </c>
      <c r="AG30" s="309">
        <v>0</v>
      </c>
      <c r="AH30" s="309">
        <v>0</v>
      </c>
      <c r="AI30" s="309">
        <v>0</v>
      </c>
      <c r="AJ30" s="309">
        <v>0</v>
      </c>
      <c r="AK30" s="309">
        <v>0</v>
      </c>
      <c r="AL30" s="309">
        <v>0</v>
      </c>
      <c r="AM30" s="309">
        <v>0</v>
      </c>
      <c r="AN30" s="309">
        <v>0</v>
      </c>
      <c r="AO30" s="309">
        <v>0</v>
      </c>
      <c r="AP30" s="309"/>
      <c r="AQ30" s="309"/>
      <c r="AR30" s="309"/>
      <c r="AS30" s="309"/>
      <c r="AT30" s="309"/>
      <c r="AU30" s="309"/>
      <c r="AV30" s="309"/>
      <c r="AW30" s="309"/>
      <c r="AX30" s="309"/>
      <c r="AY30" s="309"/>
      <c r="AZ30" s="309"/>
      <c r="BA30" s="309"/>
      <c r="BB30" s="309"/>
      <c r="BC30" s="309"/>
      <c r="BD30" s="309"/>
      <c r="BE30" s="309"/>
      <c r="BF30" s="309"/>
      <c r="BG30" s="309"/>
      <c r="BH30" s="309"/>
      <c r="BI30" s="309"/>
      <c r="BJ30" s="309"/>
      <c r="BK30" s="309"/>
    </row>
    <row r="31" spans="1:63" s="80" customFormat="1" ht="12.75">
      <c r="A31" s="167"/>
      <c r="B31" s="210" t="str">
        <f>Servicio_internaColumna_título_amortizaciones</f>
        <v>Amortizaciones</v>
      </c>
      <c r="C31" s="254">
        <v>903847.44694011845</v>
      </c>
      <c r="D31" s="255">
        <v>7083714.8145507202</v>
      </c>
      <c r="E31" s="255">
        <v>3196314.2825160101</v>
      </c>
      <c r="F31" s="255">
        <v>4213524.8705886407</v>
      </c>
      <c r="G31" s="255">
        <v>2876648.9208306689</v>
      </c>
      <c r="H31" s="255">
        <v>4461086.8901277697</v>
      </c>
      <c r="I31" s="255">
        <v>3254986.6214355836</v>
      </c>
      <c r="J31" s="255">
        <v>3300764.3870888059</v>
      </c>
      <c r="K31" s="255">
        <v>483988.27325164981</v>
      </c>
      <c r="L31" s="255">
        <v>609478.38588225213</v>
      </c>
      <c r="M31" s="255">
        <v>3900988.1668000002</v>
      </c>
      <c r="N31" s="255">
        <v>0</v>
      </c>
      <c r="O31" s="255">
        <v>2135938.3307213401</v>
      </c>
      <c r="P31" s="255">
        <v>0</v>
      </c>
      <c r="Q31" s="255">
        <v>521579</v>
      </c>
      <c r="R31" s="255">
        <v>0</v>
      </c>
      <c r="S31" s="255">
        <v>0</v>
      </c>
      <c r="T31" s="255">
        <v>0</v>
      </c>
      <c r="U31" s="255">
        <v>0</v>
      </c>
      <c r="V31" s="255">
        <v>0</v>
      </c>
      <c r="W31" s="255">
        <v>0</v>
      </c>
      <c r="X31" s="255">
        <v>0</v>
      </c>
      <c r="Y31" s="255">
        <v>0</v>
      </c>
      <c r="Z31" s="255">
        <v>0</v>
      </c>
      <c r="AA31" s="255">
        <v>0</v>
      </c>
      <c r="AB31" s="255">
        <v>0</v>
      </c>
      <c r="AC31" s="255">
        <v>0</v>
      </c>
      <c r="AD31" s="255">
        <v>0</v>
      </c>
      <c r="AE31" s="255">
        <v>0</v>
      </c>
      <c r="AF31" s="255">
        <v>0</v>
      </c>
      <c r="AG31" s="255">
        <v>0</v>
      </c>
      <c r="AH31" s="255">
        <v>0</v>
      </c>
      <c r="AI31" s="255">
        <v>0</v>
      </c>
      <c r="AJ31" s="255">
        <v>0</v>
      </c>
      <c r="AK31" s="255">
        <v>0</v>
      </c>
      <c r="AL31" s="255">
        <v>0</v>
      </c>
      <c r="AM31" s="255">
        <v>0</v>
      </c>
      <c r="AN31" s="255">
        <v>0</v>
      </c>
      <c r="AO31" s="255">
        <v>0</v>
      </c>
      <c r="AP31" s="255"/>
      <c r="AQ31" s="255"/>
      <c r="AR31" s="255"/>
      <c r="AS31" s="255"/>
      <c r="AT31" s="255"/>
      <c r="AU31" s="255"/>
      <c r="AV31" s="255"/>
      <c r="AW31" s="255"/>
      <c r="AX31" s="255"/>
      <c r="AY31" s="255"/>
      <c r="AZ31" s="255"/>
      <c r="BA31" s="255"/>
      <c r="BB31" s="255"/>
      <c r="BC31" s="255"/>
      <c r="BD31" s="255"/>
      <c r="BE31" s="255"/>
      <c r="BF31" s="255"/>
      <c r="BG31" s="255"/>
      <c r="BH31" s="255"/>
      <c r="BI31" s="255"/>
      <c r="BJ31" s="255"/>
      <c r="BK31" s="255"/>
    </row>
    <row r="32" spans="1:63" s="133" customFormat="1" ht="12.75">
      <c r="A32" s="168">
        <v>37164</v>
      </c>
      <c r="B32" s="213" t="str">
        <f>Servicio_internaColumna_título_intereses</f>
        <v>Intereses</v>
      </c>
      <c r="C32" s="256">
        <v>0</v>
      </c>
      <c r="D32" s="257">
        <v>0</v>
      </c>
      <c r="E32" s="257">
        <v>0</v>
      </c>
      <c r="F32" s="257">
        <v>0</v>
      </c>
      <c r="G32" s="257">
        <v>0</v>
      </c>
      <c r="H32" s="257">
        <v>0</v>
      </c>
      <c r="I32" s="257">
        <v>0</v>
      </c>
      <c r="J32" s="257">
        <v>0</v>
      </c>
      <c r="K32" s="257">
        <v>0</v>
      </c>
      <c r="L32" s="257">
        <v>0</v>
      </c>
      <c r="M32" s="257">
        <v>0</v>
      </c>
      <c r="N32" s="257">
        <v>0</v>
      </c>
      <c r="O32" s="257">
        <v>0</v>
      </c>
      <c r="P32" s="257">
        <v>0</v>
      </c>
      <c r="Q32" s="257">
        <v>0</v>
      </c>
      <c r="R32" s="257">
        <v>0</v>
      </c>
      <c r="S32" s="257">
        <v>0</v>
      </c>
      <c r="T32" s="257">
        <v>0</v>
      </c>
      <c r="U32" s="258">
        <v>0</v>
      </c>
      <c r="V32" s="258">
        <v>0</v>
      </c>
      <c r="W32" s="258">
        <v>0</v>
      </c>
      <c r="X32" s="258">
        <v>0</v>
      </c>
      <c r="Y32" s="258">
        <v>0</v>
      </c>
      <c r="Z32" s="258">
        <v>0</v>
      </c>
      <c r="AA32" s="258">
        <v>0</v>
      </c>
      <c r="AB32" s="258">
        <v>0</v>
      </c>
      <c r="AC32" s="258">
        <v>0</v>
      </c>
      <c r="AD32" s="259">
        <v>0</v>
      </c>
      <c r="AE32" s="259">
        <v>0</v>
      </c>
      <c r="AF32" s="259">
        <v>0</v>
      </c>
      <c r="AG32" s="259">
        <v>0</v>
      </c>
      <c r="AH32" s="259">
        <v>0</v>
      </c>
      <c r="AI32" s="259">
        <v>0</v>
      </c>
      <c r="AJ32" s="259">
        <v>0</v>
      </c>
      <c r="AK32" s="259">
        <v>0</v>
      </c>
      <c r="AL32" s="259">
        <v>0</v>
      </c>
      <c r="AM32" s="259">
        <v>0</v>
      </c>
      <c r="AN32" s="259">
        <v>0</v>
      </c>
      <c r="AO32" s="259">
        <v>0</v>
      </c>
      <c r="AP32" s="259"/>
      <c r="AQ32" s="259"/>
      <c r="AR32" s="259"/>
      <c r="AS32" s="259"/>
      <c r="AT32" s="259"/>
      <c r="AU32" s="259"/>
      <c r="AV32" s="259"/>
      <c r="AW32" s="259"/>
      <c r="AX32" s="259"/>
      <c r="AY32" s="259"/>
      <c r="AZ32" s="259"/>
      <c r="BA32" s="259"/>
      <c r="BB32" s="259"/>
      <c r="BC32" s="259"/>
      <c r="BD32" s="259"/>
      <c r="BE32" s="259"/>
      <c r="BF32" s="259"/>
      <c r="BG32" s="259"/>
      <c r="BH32" s="259"/>
      <c r="BI32" s="259"/>
      <c r="BJ32" s="259"/>
      <c r="BK32" s="259"/>
    </row>
    <row r="33" spans="1:63" s="133" customFormat="1" ht="12.75">
      <c r="A33" s="169"/>
      <c r="B33" s="307" t="str">
        <f>Servicio_internaColumna_título_total</f>
        <v>Total</v>
      </c>
      <c r="C33" s="308">
        <v>903847.44694011845</v>
      </c>
      <c r="D33" s="309">
        <v>7083714.8145507202</v>
      </c>
      <c r="E33" s="309">
        <v>3196314.2825160101</v>
      </c>
      <c r="F33" s="309">
        <v>4213524.8705886407</v>
      </c>
      <c r="G33" s="309">
        <v>2876648.9208306689</v>
      </c>
      <c r="H33" s="309">
        <v>4461086.8901277697</v>
      </c>
      <c r="I33" s="309">
        <v>3254986.6214355836</v>
      </c>
      <c r="J33" s="309">
        <v>3300764.3870888059</v>
      </c>
      <c r="K33" s="309">
        <v>483988.27325164981</v>
      </c>
      <c r="L33" s="309">
        <v>609478.38588225213</v>
      </c>
      <c r="M33" s="309">
        <v>3900988.1668000002</v>
      </c>
      <c r="N33" s="309">
        <v>0</v>
      </c>
      <c r="O33" s="309">
        <v>2135938.3307213401</v>
      </c>
      <c r="P33" s="309">
        <v>0</v>
      </c>
      <c r="Q33" s="309">
        <v>521579</v>
      </c>
      <c r="R33" s="309">
        <v>0</v>
      </c>
      <c r="S33" s="309">
        <v>0</v>
      </c>
      <c r="T33" s="309">
        <v>0</v>
      </c>
      <c r="U33" s="309">
        <v>0</v>
      </c>
      <c r="V33" s="309">
        <v>0</v>
      </c>
      <c r="W33" s="309">
        <v>0</v>
      </c>
      <c r="X33" s="309">
        <v>0</v>
      </c>
      <c r="Y33" s="309">
        <v>0</v>
      </c>
      <c r="Z33" s="309">
        <v>0</v>
      </c>
      <c r="AA33" s="309">
        <v>0</v>
      </c>
      <c r="AB33" s="309">
        <v>0</v>
      </c>
      <c r="AC33" s="309">
        <v>0</v>
      </c>
      <c r="AD33" s="309">
        <v>0</v>
      </c>
      <c r="AE33" s="309">
        <v>0</v>
      </c>
      <c r="AF33" s="309">
        <v>0</v>
      </c>
      <c r="AG33" s="309">
        <v>0</v>
      </c>
      <c r="AH33" s="309">
        <v>0</v>
      </c>
      <c r="AI33" s="309">
        <v>0</v>
      </c>
      <c r="AJ33" s="309">
        <v>0</v>
      </c>
      <c r="AK33" s="309">
        <v>0</v>
      </c>
      <c r="AL33" s="309">
        <v>0</v>
      </c>
      <c r="AM33" s="309">
        <v>0</v>
      </c>
      <c r="AN33" s="309">
        <v>0</v>
      </c>
      <c r="AO33" s="309">
        <v>0</v>
      </c>
      <c r="AP33" s="309"/>
      <c r="AQ33" s="309"/>
      <c r="AR33" s="309"/>
      <c r="AS33" s="309"/>
      <c r="AT33" s="309"/>
      <c r="AU33" s="309"/>
      <c r="AV33" s="309"/>
      <c r="AW33" s="309"/>
      <c r="AX33" s="309"/>
      <c r="AY33" s="309"/>
      <c r="AZ33" s="309"/>
      <c r="BA33" s="309"/>
      <c r="BB33" s="309"/>
      <c r="BC33" s="309"/>
      <c r="BD33" s="309"/>
      <c r="BE33" s="309"/>
      <c r="BF33" s="309"/>
      <c r="BG33" s="309"/>
      <c r="BH33" s="309"/>
      <c r="BI33" s="309"/>
      <c r="BJ33" s="309"/>
      <c r="BK33" s="309"/>
    </row>
    <row r="34" spans="1:63" s="80" customFormat="1" ht="12.75">
      <c r="A34" s="167"/>
      <c r="B34" s="210" t="str">
        <f>Servicio_internaColumna_título_amortizaciones</f>
        <v>Amortizaciones</v>
      </c>
      <c r="C34" s="254">
        <v>688988.91362430307</v>
      </c>
      <c r="D34" s="255">
        <v>7358041.8313574055</v>
      </c>
      <c r="E34" s="255">
        <v>3330870.854652063</v>
      </c>
      <c r="F34" s="255">
        <v>4332175.0721088266</v>
      </c>
      <c r="G34" s="255">
        <v>2881842.0364389191</v>
      </c>
      <c r="H34" s="255">
        <v>4585694.536155385</v>
      </c>
      <c r="I34" s="255">
        <v>3265507.0022221841</v>
      </c>
      <c r="J34" s="255">
        <v>3396392.3221689388</v>
      </c>
      <c r="K34" s="255">
        <v>736294.268038471</v>
      </c>
      <c r="L34" s="255">
        <v>611386.95386332064</v>
      </c>
      <c r="M34" s="255">
        <v>4534049.2724000001</v>
      </c>
      <c r="N34" s="255">
        <v>0</v>
      </c>
      <c r="O34" s="255">
        <v>2135938.3307213401</v>
      </c>
      <c r="P34" s="255">
        <v>0</v>
      </c>
      <c r="Q34" s="255">
        <v>521579</v>
      </c>
      <c r="R34" s="255">
        <v>0</v>
      </c>
      <c r="S34" s="255">
        <v>0</v>
      </c>
      <c r="T34" s="255">
        <v>0</v>
      </c>
      <c r="U34" s="255">
        <v>0</v>
      </c>
      <c r="V34" s="255">
        <v>0</v>
      </c>
      <c r="W34" s="255">
        <v>0</v>
      </c>
      <c r="X34" s="255">
        <v>0</v>
      </c>
      <c r="Y34" s="255">
        <v>0</v>
      </c>
      <c r="Z34" s="255">
        <v>0</v>
      </c>
      <c r="AA34" s="255">
        <v>0</v>
      </c>
      <c r="AB34" s="255">
        <v>0</v>
      </c>
      <c r="AC34" s="255">
        <v>0</v>
      </c>
      <c r="AD34" s="255">
        <v>0</v>
      </c>
      <c r="AE34" s="255">
        <v>0</v>
      </c>
      <c r="AF34" s="255">
        <v>0</v>
      </c>
      <c r="AG34" s="255">
        <v>0</v>
      </c>
      <c r="AH34" s="255">
        <v>0</v>
      </c>
      <c r="AI34" s="255">
        <v>0</v>
      </c>
      <c r="AJ34" s="255">
        <v>0</v>
      </c>
      <c r="AK34" s="255">
        <v>0</v>
      </c>
      <c r="AL34" s="255">
        <v>0</v>
      </c>
      <c r="AM34" s="255">
        <v>0</v>
      </c>
      <c r="AN34" s="255">
        <v>0</v>
      </c>
      <c r="AO34" s="255">
        <v>0</v>
      </c>
      <c r="AP34" s="255"/>
      <c r="AQ34" s="255"/>
      <c r="AR34" s="255"/>
      <c r="AS34" s="255"/>
      <c r="AT34" s="255"/>
      <c r="AU34" s="255"/>
      <c r="AV34" s="255"/>
      <c r="AW34" s="255"/>
      <c r="AX34" s="255"/>
      <c r="AY34" s="255"/>
      <c r="AZ34" s="255"/>
      <c r="BA34" s="255"/>
      <c r="BB34" s="255"/>
      <c r="BC34" s="255"/>
      <c r="BD34" s="255"/>
      <c r="BE34" s="255"/>
      <c r="BF34" s="255"/>
      <c r="BG34" s="255"/>
      <c r="BH34" s="255"/>
      <c r="BI34" s="255"/>
      <c r="BJ34" s="255"/>
      <c r="BK34" s="255"/>
    </row>
    <row r="35" spans="1:63" s="133" customFormat="1" ht="12.75">
      <c r="A35" s="168">
        <v>37195</v>
      </c>
      <c r="B35" s="213" t="str">
        <f>Servicio_internaColumna_título_intereses</f>
        <v>Intereses</v>
      </c>
      <c r="C35" s="256">
        <v>0</v>
      </c>
      <c r="D35" s="257">
        <v>0</v>
      </c>
      <c r="E35" s="257">
        <v>0</v>
      </c>
      <c r="F35" s="257">
        <v>0</v>
      </c>
      <c r="G35" s="257">
        <v>0</v>
      </c>
      <c r="H35" s="257">
        <v>0</v>
      </c>
      <c r="I35" s="257">
        <v>0</v>
      </c>
      <c r="J35" s="257">
        <v>0</v>
      </c>
      <c r="K35" s="257">
        <v>0</v>
      </c>
      <c r="L35" s="257">
        <v>0</v>
      </c>
      <c r="M35" s="257">
        <v>0</v>
      </c>
      <c r="N35" s="257">
        <v>0</v>
      </c>
      <c r="O35" s="257">
        <v>0</v>
      </c>
      <c r="P35" s="257">
        <v>0</v>
      </c>
      <c r="Q35" s="257">
        <v>0</v>
      </c>
      <c r="R35" s="257">
        <v>0</v>
      </c>
      <c r="S35" s="257">
        <v>0</v>
      </c>
      <c r="T35" s="257">
        <v>0</v>
      </c>
      <c r="U35" s="258">
        <v>0</v>
      </c>
      <c r="V35" s="258">
        <v>0</v>
      </c>
      <c r="W35" s="258">
        <v>0</v>
      </c>
      <c r="X35" s="258">
        <v>0</v>
      </c>
      <c r="Y35" s="258">
        <v>0</v>
      </c>
      <c r="Z35" s="258">
        <v>0</v>
      </c>
      <c r="AA35" s="258">
        <v>0</v>
      </c>
      <c r="AB35" s="258">
        <v>0</v>
      </c>
      <c r="AC35" s="258">
        <v>0</v>
      </c>
      <c r="AD35" s="259">
        <v>0</v>
      </c>
      <c r="AE35" s="259">
        <v>0</v>
      </c>
      <c r="AF35" s="259">
        <v>0</v>
      </c>
      <c r="AG35" s="259">
        <v>0</v>
      </c>
      <c r="AH35" s="259">
        <v>0</v>
      </c>
      <c r="AI35" s="259">
        <v>0</v>
      </c>
      <c r="AJ35" s="259">
        <v>0</v>
      </c>
      <c r="AK35" s="259">
        <v>0</v>
      </c>
      <c r="AL35" s="259">
        <v>0</v>
      </c>
      <c r="AM35" s="259">
        <v>0</v>
      </c>
      <c r="AN35" s="259">
        <v>0</v>
      </c>
      <c r="AO35" s="259">
        <v>0</v>
      </c>
      <c r="AP35" s="259"/>
      <c r="AQ35" s="259"/>
      <c r="AR35" s="259"/>
      <c r="AS35" s="259"/>
      <c r="AT35" s="259"/>
      <c r="AU35" s="259"/>
      <c r="AV35" s="259"/>
      <c r="AW35" s="259"/>
      <c r="AX35" s="259"/>
      <c r="AY35" s="259"/>
      <c r="AZ35" s="259"/>
      <c r="BA35" s="259"/>
      <c r="BB35" s="259"/>
      <c r="BC35" s="259"/>
      <c r="BD35" s="259"/>
      <c r="BE35" s="259"/>
      <c r="BF35" s="259"/>
      <c r="BG35" s="259"/>
      <c r="BH35" s="259"/>
      <c r="BI35" s="259"/>
      <c r="BJ35" s="259"/>
      <c r="BK35" s="259"/>
    </row>
    <row r="36" spans="1:63" s="133" customFormat="1" ht="12.75">
      <c r="A36" s="169"/>
      <c r="B36" s="307" t="str">
        <f>Servicio_internaColumna_título_total</f>
        <v>Total</v>
      </c>
      <c r="C36" s="308">
        <v>688988.91362430307</v>
      </c>
      <c r="D36" s="309">
        <v>7358041.8313574055</v>
      </c>
      <c r="E36" s="309">
        <v>3330870.854652063</v>
      </c>
      <c r="F36" s="309">
        <v>4332175.0721088266</v>
      </c>
      <c r="G36" s="309">
        <v>2881842.0364389191</v>
      </c>
      <c r="H36" s="309">
        <v>4585694.536155385</v>
      </c>
      <c r="I36" s="309">
        <v>3265507.0022221841</v>
      </c>
      <c r="J36" s="309">
        <v>3396392.3221689388</v>
      </c>
      <c r="K36" s="309">
        <v>736294.268038471</v>
      </c>
      <c r="L36" s="309">
        <v>611386.95386332064</v>
      </c>
      <c r="M36" s="309">
        <v>4534049.2724000001</v>
      </c>
      <c r="N36" s="309">
        <v>0</v>
      </c>
      <c r="O36" s="309">
        <v>2135938.3307213401</v>
      </c>
      <c r="P36" s="309">
        <v>0</v>
      </c>
      <c r="Q36" s="309">
        <v>521579</v>
      </c>
      <c r="R36" s="309">
        <v>0</v>
      </c>
      <c r="S36" s="309">
        <v>0</v>
      </c>
      <c r="T36" s="309">
        <v>0</v>
      </c>
      <c r="U36" s="309">
        <v>0</v>
      </c>
      <c r="V36" s="309">
        <v>0</v>
      </c>
      <c r="W36" s="309">
        <v>0</v>
      </c>
      <c r="X36" s="309">
        <v>0</v>
      </c>
      <c r="Y36" s="309">
        <v>0</v>
      </c>
      <c r="Z36" s="309">
        <v>0</v>
      </c>
      <c r="AA36" s="309">
        <v>0</v>
      </c>
      <c r="AB36" s="309">
        <v>0</v>
      </c>
      <c r="AC36" s="309">
        <v>0</v>
      </c>
      <c r="AD36" s="309">
        <v>0</v>
      </c>
      <c r="AE36" s="309">
        <v>0</v>
      </c>
      <c r="AF36" s="309">
        <v>0</v>
      </c>
      <c r="AG36" s="309">
        <v>0</v>
      </c>
      <c r="AH36" s="309">
        <v>0</v>
      </c>
      <c r="AI36" s="309">
        <v>0</v>
      </c>
      <c r="AJ36" s="309">
        <v>0</v>
      </c>
      <c r="AK36" s="309">
        <v>0</v>
      </c>
      <c r="AL36" s="309">
        <v>0</v>
      </c>
      <c r="AM36" s="309">
        <v>0</v>
      </c>
      <c r="AN36" s="309">
        <v>0</v>
      </c>
      <c r="AO36" s="309">
        <v>0</v>
      </c>
      <c r="AP36" s="309"/>
      <c r="AQ36" s="309"/>
      <c r="AR36" s="309"/>
      <c r="AS36" s="309"/>
      <c r="AT36" s="309"/>
      <c r="AU36" s="309"/>
      <c r="AV36" s="309"/>
      <c r="AW36" s="309"/>
      <c r="AX36" s="309"/>
      <c r="AY36" s="309"/>
      <c r="AZ36" s="309"/>
      <c r="BA36" s="309"/>
      <c r="BB36" s="309"/>
      <c r="BC36" s="309"/>
      <c r="BD36" s="309"/>
      <c r="BE36" s="309"/>
      <c r="BF36" s="309"/>
      <c r="BG36" s="309"/>
      <c r="BH36" s="309"/>
      <c r="BI36" s="309"/>
      <c r="BJ36" s="309"/>
      <c r="BK36" s="309"/>
    </row>
    <row r="37" spans="1:63" s="80" customFormat="1" ht="12.75">
      <c r="A37" s="167"/>
      <c r="B37" s="210" t="str">
        <f>Servicio_internaColumna_título_amortizaciones</f>
        <v>Amortizaciones</v>
      </c>
      <c r="C37" s="254">
        <v>460784.74618292868</v>
      </c>
      <c r="D37" s="255">
        <v>6950809.4630682552</v>
      </c>
      <c r="E37" s="255">
        <v>3442363.8518370097</v>
      </c>
      <c r="F37" s="255">
        <v>5101639.9757502945</v>
      </c>
      <c r="G37" s="255">
        <v>2882539.849900004</v>
      </c>
      <c r="H37" s="255">
        <v>4749140.3552590376</v>
      </c>
      <c r="I37" s="255">
        <v>3270342.6099394821</v>
      </c>
      <c r="J37" s="255">
        <v>3872883.2242093687</v>
      </c>
      <c r="K37" s="255">
        <v>831003.49944664375</v>
      </c>
      <c r="L37" s="255">
        <v>612222.69154519239</v>
      </c>
      <c r="M37" s="255">
        <v>4817072.6453800006</v>
      </c>
      <c r="N37" s="255">
        <v>0</v>
      </c>
      <c r="O37" s="255">
        <v>2135938.3307213401</v>
      </c>
      <c r="P37" s="255">
        <v>0</v>
      </c>
      <c r="Q37" s="255">
        <v>521579</v>
      </c>
      <c r="R37" s="255">
        <v>0</v>
      </c>
      <c r="S37" s="255">
        <v>0</v>
      </c>
      <c r="T37" s="255">
        <v>0</v>
      </c>
      <c r="U37" s="255">
        <v>0</v>
      </c>
      <c r="V37" s="255">
        <v>0</v>
      </c>
      <c r="W37" s="255">
        <v>0</v>
      </c>
      <c r="X37" s="255">
        <v>0</v>
      </c>
      <c r="Y37" s="255">
        <v>0</v>
      </c>
      <c r="Z37" s="255">
        <v>0</v>
      </c>
      <c r="AA37" s="255">
        <v>0</v>
      </c>
      <c r="AB37" s="255">
        <v>0</v>
      </c>
      <c r="AC37" s="255">
        <v>0</v>
      </c>
      <c r="AD37" s="255">
        <v>0</v>
      </c>
      <c r="AE37" s="255">
        <v>0</v>
      </c>
      <c r="AF37" s="255">
        <v>0</v>
      </c>
      <c r="AG37" s="255">
        <v>0</v>
      </c>
      <c r="AH37" s="255">
        <v>0</v>
      </c>
      <c r="AI37" s="255">
        <v>0</v>
      </c>
      <c r="AJ37" s="255">
        <v>0</v>
      </c>
      <c r="AK37" s="255">
        <v>0</v>
      </c>
      <c r="AL37" s="255">
        <v>0</v>
      </c>
      <c r="AM37" s="255">
        <v>0</v>
      </c>
      <c r="AN37" s="255">
        <v>0</v>
      </c>
      <c r="AO37" s="255">
        <v>0</v>
      </c>
      <c r="AP37" s="255"/>
      <c r="AQ37" s="255"/>
      <c r="AR37" s="255"/>
      <c r="AS37" s="255"/>
      <c r="AT37" s="255"/>
      <c r="AU37" s="255"/>
      <c r="AV37" s="255"/>
      <c r="AW37" s="255"/>
      <c r="AX37" s="255"/>
      <c r="AY37" s="255"/>
      <c r="AZ37" s="255"/>
      <c r="BA37" s="255"/>
      <c r="BB37" s="255"/>
      <c r="BC37" s="255"/>
      <c r="BD37" s="255"/>
      <c r="BE37" s="255"/>
      <c r="BF37" s="255"/>
      <c r="BG37" s="255"/>
      <c r="BH37" s="255"/>
      <c r="BI37" s="255"/>
      <c r="BJ37" s="255"/>
      <c r="BK37" s="255"/>
    </row>
    <row r="38" spans="1:63" s="133" customFormat="1" ht="12.75">
      <c r="A38" s="168">
        <v>37196</v>
      </c>
      <c r="B38" s="213" t="str">
        <f>Servicio_internaColumna_título_intereses</f>
        <v>Intereses</v>
      </c>
      <c r="C38" s="256">
        <v>0</v>
      </c>
      <c r="D38" s="257">
        <v>0</v>
      </c>
      <c r="E38" s="257">
        <v>0</v>
      </c>
      <c r="F38" s="257">
        <v>0</v>
      </c>
      <c r="G38" s="257">
        <v>0</v>
      </c>
      <c r="H38" s="257">
        <v>0</v>
      </c>
      <c r="I38" s="257">
        <v>0</v>
      </c>
      <c r="J38" s="257">
        <v>0</v>
      </c>
      <c r="K38" s="257">
        <v>0</v>
      </c>
      <c r="L38" s="257">
        <v>0</v>
      </c>
      <c r="M38" s="257">
        <v>0</v>
      </c>
      <c r="N38" s="257">
        <v>0</v>
      </c>
      <c r="O38" s="257">
        <v>0</v>
      </c>
      <c r="P38" s="257">
        <v>0</v>
      </c>
      <c r="Q38" s="257">
        <v>0</v>
      </c>
      <c r="R38" s="257">
        <v>0</v>
      </c>
      <c r="S38" s="257">
        <v>0</v>
      </c>
      <c r="T38" s="257">
        <v>0</v>
      </c>
      <c r="U38" s="258">
        <v>0</v>
      </c>
      <c r="V38" s="258">
        <v>0</v>
      </c>
      <c r="W38" s="258">
        <v>0</v>
      </c>
      <c r="X38" s="258">
        <v>0</v>
      </c>
      <c r="Y38" s="258">
        <v>0</v>
      </c>
      <c r="Z38" s="258">
        <v>0</v>
      </c>
      <c r="AA38" s="258">
        <v>0</v>
      </c>
      <c r="AB38" s="258">
        <v>0</v>
      </c>
      <c r="AC38" s="258">
        <v>0</v>
      </c>
      <c r="AD38" s="259">
        <v>0</v>
      </c>
      <c r="AE38" s="259">
        <v>0</v>
      </c>
      <c r="AF38" s="259">
        <v>0</v>
      </c>
      <c r="AG38" s="259">
        <v>0</v>
      </c>
      <c r="AH38" s="259">
        <v>0</v>
      </c>
      <c r="AI38" s="259">
        <v>0</v>
      </c>
      <c r="AJ38" s="259">
        <v>0</v>
      </c>
      <c r="AK38" s="259">
        <v>0</v>
      </c>
      <c r="AL38" s="259">
        <v>0</v>
      </c>
      <c r="AM38" s="259">
        <v>0</v>
      </c>
      <c r="AN38" s="259">
        <v>0</v>
      </c>
      <c r="AO38" s="259">
        <v>0</v>
      </c>
      <c r="AP38" s="259"/>
      <c r="AQ38" s="259"/>
      <c r="AR38" s="259"/>
      <c r="AS38" s="259"/>
      <c r="AT38" s="259"/>
      <c r="AU38" s="259"/>
      <c r="AV38" s="259"/>
      <c r="AW38" s="259"/>
      <c r="AX38" s="259"/>
      <c r="AY38" s="259"/>
      <c r="AZ38" s="259"/>
      <c r="BA38" s="259"/>
      <c r="BB38" s="259"/>
      <c r="BC38" s="259"/>
      <c r="BD38" s="259"/>
      <c r="BE38" s="259"/>
      <c r="BF38" s="259"/>
      <c r="BG38" s="259"/>
      <c r="BH38" s="259"/>
      <c r="BI38" s="259"/>
      <c r="BJ38" s="259"/>
      <c r="BK38" s="259"/>
    </row>
    <row r="39" spans="1:63" s="133" customFormat="1" ht="12.75">
      <c r="A39" s="169"/>
      <c r="B39" s="307" t="str">
        <f>Servicio_internaColumna_título_total</f>
        <v>Total</v>
      </c>
      <c r="C39" s="308">
        <v>460784.74618292868</v>
      </c>
      <c r="D39" s="309">
        <v>6950809.4630682552</v>
      </c>
      <c r="E39" s="309">
        <v>3442363.8518370097</v>
      </c>
      <c r="F39" s="309">
        <v>5101639.9757502945</v>
      </c>
      <c r="G39" s="309">
        <v>2882539.849900004</v>
      </c>
      <c r="H39" s="309">
        <v>4749140.3552590376</v>
      </c>
      <c r="I39" s="309">
        <v>3270342.6099394821</v>
      </c>
      <c r="J39" s="309">
        <v>3872883.2242093687</v>
      </c>
      <c r="K39" s="309">
        <v>831003.49944664375</v>
      </c>
      <c r="L39" s="309">
        <v>612222.69154519239</v>
      </c>
      <c r="M39" s="309">
        <v>4817072.6453800006</v>
      </c>
      <c r="N39" s="309">
        <v>0</v>
      </c>
      <c r="O39" s="309">
        <v>2135938.3307213401</v>
      </c>
      <c r="P39" s="309">
        <v>0</v>
      </c>
      <c r="Q39" s="309">
        <v>521579</v>
      </c>
      <c r="R39" s="309">
        <v>0</v>
      </c>
      <c r="S39" s="309">
        <v>0</v>
      </c>
      <c r="T39" s="309">
        <v>0</v>
      </c>
      <c r="U39" s="309">
        <v>0</v>
      </c>
      <c r="V39" s="309">
        <v>0</v>
      </c>
      <c r="W39" s="309">
        <v>0</v>
      </c>
      <c r="X39" s="309">
        <v>0</v>
      </c>
      <c r="Y39" s="309">
        <v>0</v>
      </c>
      <c r="Z39" s="309">
        <v>0</v>
      </c>
      <c r="AA39" s="309">
        <v>0</v>
      </c>
      <c r="AB39" s="309">
        <v>0</v>
      </c>
      <c r="AC39" s="309">
        <v>0</v>
      </c>
      <c r="AD39" s="309">
        <v>0</v>
      </c>
      <c r="AE39" s="309">
        <v>0</v>
      </c>
      <c r="AF39" s="309">
        <v>0</v>
      </c>
      <c r="AG39" s="309">
        <v>0</v>
      </c>
      <c r="AH39" s="309">
        <v>0</v>
      </c>
      <c r="AI39" s="309">
        <v>0</v>
      </c>
      <c r="AJ39" s="309">
        <v>0</v>
      </c>
      <c r="AK39" s="309">
        <v>0</v>
      </c>
      <c r="AL39" s="309">
        <v>0</v>
      </c>
      <c r="AM39" s="309">
        <v>0</v>
      </c>
      <c r="AN39" s="309">
        <v>0</v>
      </c>
      <c r="AO39" s="309">
        <v>0</v>
      </c>
      <c r="AP39" s="309"/>
      <c r="AQ39" s="309"/>
      <c r="AR39" s="309"/>
      <c r="AS39" s="309"/>
      <c r="AT39" s="309"/>
      <c r="AU39" s="309"/>
      <c r="AV39" s="309"/>
      <c r="AW39" s="309"/>
      <c r="AX39" s="309"/>
      <c r="AY39" s="309"/>
      <c r="AZ39" s="309"/>
      <c r="BA39" s="309"/>
      <c r="BB39" s="309"/>
      <c r="BC39" s="309"/>
      <c r="BD39" s="309"/>
      <c r="BE39" s="309"/>
      <c r="BF39" s="309"/>
      <c r="BG39" s="309"/>
      <c r="BH39" s="309"/>
      <c r="BI39" s="309"/>
      <c r="BJ39" s="309"/>
      <c r="BK39" s="309"/>
    </row>
    <row r="40" spans="1:63" s="80" customFormat="1" ht="12.75">
      <c r="A40" s="167"/>
      <c r="B40" s="210" t="str">
        <f>Servicio_internaColumna_título_amortizaciones</f>
        <v>Amortizaciones</v>
      </c>
      <c r="C40" s="254">
        <v>0</v>
      </c>
      <c r="D40" s="255">
        <v>7049068.0984627157</v>
      </c>
      <c r="E40" s="255">
        <v>4434494.925978167</v>
      </c>
      <c r="F40" s="255">
        <v>5189286.7185598658</v>
      </c>
      <c r="G40" s="255">
        <v>3814093.8219778324</v>
      </c>
      <c r="H40" s="255">
        <v>4861678.4332649149</v>
      </c>
      <c r="I40" s="255">
        <v>4204403.1596988309</v>
      </c>
      <c r="J40" s="255">
        <v>4234903.4224661365</v>
      </c>
      <c r="K40" s="255">
        <v>1776166.023939454</v>
      </c>
      <c r="L40" s="255">
        <v>842948.2699116997</v>
      </c>
      <c r="M40" s="255">
        <v>4862483.3769200006</v>
      </c>
      <c r="N40" s="255">
        <v>0</v>
      </c>
      <c r="O40" s="255">
        <v>2135938.3307213401</v>
      </c>
      <c r="P40" s="255">
        <v>0</v>
      </c>
      <c r="Q40" s="255">
        <v>0</v>
      </c>
      <c r="R40" s="255">
        <v>0</v>
      </c>
      <c r="S40" s="255">
        <v>0</v>
      </c>
      <c r="T40" s="255">
        <v>0</v>
      </c>
      <c r="U40" s="255">
        <v>0</v>
      </c>
      <c r="V40" s="255">
        <v>0</v>
      </c>
      <c r="W40" s="255">
        <v>0</v>
      </c>
      <c r="X40" s="255">
        <v>0</v>
      </c>
      <c r="Y40" s="255">
        <v>0</v>
      </c>
      <c r="Z40" s="255">
        <v>0</v>
      </c>
      <c r="AA40" s="255">
        <v>0</v>
      </c>
      <c r="AB40" s="255">
        <v>0</v>
      </c>
      <c r="AC40" s="255">
        <v>0</v>
      </c>
      <c r="AD40" s="255">
        <v>0</v>
      </c>
      <c r="AE40" s="255">
        <v>0</v>
      </c>
      <c r="AF40" s="255">
        <v>0</v>
      </c>
      <c r="AG40" s="255">
        <v>0</v>
      </c>
      <c r="AH40" s="255">
        <v>0</v>
      </c>
      <c r="AI40" s="255">
        <v>0</v>
      </c>
      <c r="AJ40" s="255">
        <v>0</v>
      </c>
      <c r="AK40" s="255">
        <v>0</v>
      </c>
      <c r="AL40" s="255">
        <v>0</v>
      </c>
      <c r="AM40" s="255">
        <v>0</v>
      </c>
      <c r="AN40" s="255">
        <v>0</v>
      </c>
      <c r="AO40" s="255">
        <v>0</v>
      </c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  <c r="BA40" s="255"/>
      <c r="BB40" s="255"/>
      <c r="BC40" s="255"/>
      <c r="BD40" s="255"/>
      <c r="BE40" s="255"/>
      <c r="BF40" s="255"/>
      <c r="BG40" s="255"/>
      <c r="BH40" s="255"/>
      <c r="BI40" s="255"/>
      <c r="BJ40" s="255"/>
      <c r="BK40" s="255"/>
    </row>
    <row r="41" spans="1:63" s="133" customFormat="1" ht="12.75">
      <c r="A41" s="168">
        <v>37256</v>
      </c>
      <c r="B41" s="213" t="str">
        <f>Servicio_internaColumna_título_intereses</f>
        <v>Intereses</v>
      </c>
      <c r="C41" s="256">
        <v>0</v>
      </c>
      <c r="D41" s="257">
        <v>0</v>
      </c>
      <c r="E41" s="257">
        <v>0</v>
      </c>
      <c r="F41" s="257">
        <v>0</v>
      </c>
      <c r="G41" s="257">
        <v>0</v>
      </c>
      <c r="H41" s="257">
        <v>0</v>
      </c>
      <c r="I41" s="257">
        <v>0</v>
      </c>
      <c r="J41" s="257">
        <v>0</v>
      </c>
      <c r="K41" s="257">
        <v>0</v>
      </c>
      <c r="L41" s="257">
        <v>0</v>
      </c>
      <c r="M41" s="257">
        <v>0</v>
      </c>
      <c r="N41" s="257">
        <v>0</v>
      </c>
      <c r="O41" s="257">
        <v>0</v>
      </c>
      <c r="P41" s="257">
        <v>0</v>
      </c>
      <c r="Q41" s="257">
        <v>0</v>
      </c>
      <c r="R41" s="257">
        <v>0</v>
      </c>
      <c r="S41" s="257">
        <v>0</v>
      </c>
      <c r="T41" s="257">
        <v>0</v>
      </c>
      <c r="U41" s="258">
        <v>0</v>
      </c>
      <c r="V41" s="258">
        <v>0</v>
      </c>
      <c r="W41" s="258">
        <v>0</v>
      </c>
      <c r="X41" s="258">
        <v>0</v>
      </c>
      <c r="Y41" s="258">
        <v>0</v>
      </c>
      <c r="Z41" s="258">
        <v>0</v>
      </c>
      <c r="AA41" s="258">
        <v>0</v>
      </c>
      <c r="AB41" s="258">
        <v>0</v>
      </c>
      <c r="AC41" s="258">
        <v>0</v>
      </c>
      <c r="AD41" s="259">
        <v>0</v>
      </c>
      <c r="AE41" s="259">
        <v>0</v>
      </c>
      <c r="AF41" s="259">
        <v>0</v>
      </c>
      <c r="AG41" s="259">
        <v>0</v>
      </c>
      <c r="AH41" s="259">
        <v>0</v>
      </c>
      <c r="AI41" s="259">
        <v>0</v>
      </c>
      <c r="AJ41" s="259">
        <v>0</v>
      </c>
      <c r="AK41" s="259">
        <v>0</v>
      </c>
      <c r="AL41" s="259">
        <v>0</v>
      </c>
      <c r="AM41" s="259">
        <v>0</v>
      </c>
      <c r="AN41" s="259">
        <v>0</v>
      </c>
      <c r="AO41" s="259">
        <v>0</v>
      </c>
      <c r="AP41" s="259"/>
      <c r="AQ41" s="259"/>
      <c r="AR41" s="259"/>
      <c r="AS41" s="259"/>
      <c r="AT41" s="259"/>
      <c r="AU41" s="259"/>
      <c r="AV41" s="259"/>
      <c r="AW41" s="259"/>
      <c r="AX41" s="259"/>
      <c r="AY41" s="259"/>
      <c r="AZ41" s="259"/>
      <c r="BA41" s="259"/>
      <c r="BB41" s="259"/>
      <c r="BC41" s="259"/>
      <c r="BD41" s="259"/>
      <c r="BE41" s="259"/>
      <c r="BF41" s="259"/>
      <c r="BG41" s="259"/>
      <c r="BH41" s="259"/>
      <c r="BI41" s="259"/>
      <c r="BJ41" s="259"/>
      <c r="BK41" s="259"/>
    </row>
    <row r="42" spans="1:63" s="133" customFormat="1" ht="12.75">
      <c r="A42" s="169"/>
      <c r="B42" s="307" t="str">
        <f>Servicio_internaColumna_título_total</f>
        <v>Total</v>
      </c>
      <c r="C42" s="308">
        <v>0</v>
      </c>
      <c r="D42" s="309">
        <v>7049068.0984627157</v>
      </c>
      <c r="E42" s="309">
        <v>4434494.925978167</v>
      </c>
      <c r="F42" s="309">
        <v>5189286.7185598658</v>
      </c>
      <c r="G42" s="309">
        <v>3814093.8219778324</v>
      </c>
      <c r="H42" s="309">
        <v>4861678.4332649149</v>
      </c>
      <c r="I42" s="309">
        <v>4204403.1596988309</v>
      </c>
      <c r="J42" s="309">
        <v>4234903.4224661365</v>
      </c>
      <c r="K42" s="309">
        <v>1776166.023939454</v>
      </c>
      <c r="L42" s="309">
        <v>842948.2699116997</v>
      </c>
      <c r="M42" s="309">
        <v>4862483.3769200006</v>
      </c>
      <c r="N42" s="309">
        <v>0</v>
      </c>
      <c r="O42" s="309">
        <v>2135938.3307213401</v>
      </c>
      <c r="P42" s="309">
        <v>0</v>
      </c>
      <c r="Q42" s="309">
        <v>0</v>
      </c>
      <c r="R42" s="309">
        <v>0</v>
      </c>
      <c r="S42" s="309">
        <v>0</v>
      </c>
      <c r="T42" s="309">
        <v>0</v>
      </c>
      <c r="U42" s="309">
        <v>0</v>
      </c>
      <c r="V42" s="309">
        <v>0</v>
      </c>
      <c r="W42" s="309">
        <v>0</v>
      </c>
      <c r="X42" s="309">
        <v>0</v>
      </c>
      <c r="Y42" s="309">
        <v>0</v>
      </c>
      <c r="Z42" s="309">
        <v>0</v>
      </c>
      <c r="AA42" s="309">
        <v>0</v>
      </c>
      <c r="AB42" s="309">
        <v>0</v>
      </c>
      <c r="AC42" s="309">
        <v>0</v>
      </c>
      <c r="AD42" s="309">
        <v>0</v>
      </c>
      <c r="AE42" s="309">
        <v>0</v>
      </c>
      <c r="AF42" s="309">
        <v>0</v>
      </c>
      <c r="AG42" s="309">
        <v>0</v>
      </c>
      <c r="AH42" s="309">
        <v>0</v>
      </c>
      <c r="AI42" s="309">
        <v>0</v>
      </c>
      <c r="AJ42" s="309">
        <v>0</v>
      </c>
      <c r="AK42" s="309">
        <v>0</v>
      </c>
      <c r="AL42" s="309">
        <v>0</v>
      </c>
      <c r="AM42" s="309">
        <v>0</v>
      </c>
      <c r="AN42" s="309">
        <v>0</v>
      </c>
      <c r="AO42" s="309">
        <v>0</v>
      </c>
      <c r="AP42" s="309"/>
      <c r="AQ42" s="309"/>
      <c r="AR42" s="309"/>
      <c r="AS42" s="309"/>
      <c r="AT42" s="309"/>
      <c r="AU42" s="309"/>
      <c r="AV42" s="309"/>
      <c r="AW42" s="309"/>
      <c r="AX42" s="309"/>
      <c r="AY42" s="309"/>
      <c r="AZ42" s="309"/>
      <c r="BA42" s="309"/>
      <c r="BB42" s="309"/>
      <c r="BC42" s="309"/>
      <c r="BD42" s="309"/>
      <c r="BE42" s="309"/>
      <c r="BF42" s="309"/>
      <c r="BG42" s="309"/>
      <c r="BH42" s="309"/>
      <c r="BI42" s="309"/>
      <c r="BJ42" s="309"/>
      <c r="BK42" s="309"/>
    </row>
    <row r="43" spans="1:63" s="80" customFormat="1" ht="12.75">
      <c r="A43" s="167"/>
      <c r="B43" s="210" t="str">
        <f>Servicio_internaColumna_título_amortizaciones</f>
        <v>Amortizaciones</v>
      </c>
      <c r="C43" s="254">
        <v>0</v>
      </c>
      <c r="D43" s="255">
        <v>6781551.6432059491</v>
      </c>
      <c r="E43" s="255">
        <v>4572593.2896402152</v>
      </c>
      <c r="F43" s="255">
        <v>5179240.7651138445</v>
      </c>
      <c r="G43" s="255">
        <v>3766866.2837536749</v>
      </c>
      <c r="H43" s="255">
        <v>4842834.4180923412</v>
      </c>
      <c r="I43" s="255">
        <v>4114774.0263271406</v>
      </c>
      <c r="J43" s="255">
        <v>4325896.9093888458</v>
      </c>
      <c r="K43" s="255">
        <v>1663835.4013290631</v>
      </c>
      <c r="L43" s="255">
        <v>844032.32251866348</v>
      </c>
      <c r="M43" s="255">
        <v>4865484.1960699996</v>
      </c>
      <c r="N43" s="255">
        <v>829101.20063800004</v>
      </c>
      <c r="O43" s="255">
        <v>2135938.3307213401</v>
      </c>
      <c r="P43" s="255">
        <v>0</v>
      </c>
      <c r="Q43" s="255">
        <v>0</v>
      </c>
      <c r="R43" s="255">
        <v>0</v>
      </c>
      <c r="S43" s="255">
        <v>0</v>
      </c>
      <c r="T43" s="255">
        <v>0</v>
      </c>
      <c r="U43" s="255">
        <v>0</v>
      </c>
      <c r="V43" s="255">
        <v>0</v>
      </c>
      <c r="W43" s="255">
        <v>0</v>
      </c>
      <c r="X43" s="255">
        <v>0</v>
      </c>
      <c r="Y43" s="255">
        <v>0</v>
      </c>
      <c r="Z43" s="255">
        <v>0</v>
      </c>
      <c r="AA43" s="255">
        <v>0</v>
      </c>
      <c r="AB43" s="255">
        <v>0</v>
      </c>
      <c r="AC43" s="255">
        <v>0</v>
      </c>
      <c r="AD43" s="255">
        <v>0</v>
      </c>
      <c r="AE43" s="255">
        <v>0</v>
      </c>
      <c r="AF43" s="255">
        <v>0</v>
      </c>
      <c r="AG43" s="255">
        <v>0</v>
      </c>
      <c r="AH43" s="255">
        <v>0</v>
      </c>
      <c r="AI43" s="255">
        <v>0</v>
      </c>
      <c r="AJ43" s="255">
        <v>0</v>
      </c>
      <c r="AK43" s="255">
        <v>0</v>
      </c>
      <c r="AL43" s="255">
        <v>0</v>
      </c>
      <c r="AM43" s="255">
        <v>0</v>
      </c>
      <c r="AN43" s="255">
        <v>0</v>
      </c>
      <c r="AO43" s="255">
        <v>0</v>
      </c>
      <c r="AP43" s="255"/>
      <c r="AQ43" s="255"/>
      <c r="AR43" s="255"/>
      <c r="AS43" s="255"/>
      <c r="AT43" s="255"/>
      <c r="AU43" s="255"/>
      <c r="AV43" s="255"/>
      <c r="AW43" s="255"/>
      <c r="AX43" s="255"/>
      <c r="AY43" s="255"/>
      <c r="AZ43" s="255"/>
      <c r="BA43" s="255"/>
      <c r="BB43" s="255"/>
      <c r="BC43" s="255"/>
      <c r="BD43" s="255"/>
      <c r="BE43" s="255"/>
      <c r="BF43" s="255"/>
      <c r="BG43" s="255"/>
      <c r="BH43" s="255"/>
      <c r="BI43" s="255"/>
      <c r="BJ43" s="255"/>
      <c r="BK43" s="255"/>
    </row>
    <row r="44" spans="1:63" s="133" customFormat="1" ht="12.75">
      <c r="A44" s="168">
        <v>37287</v>
      </c>
      <c r="B44" s="213" t="str">
        <f>Servicio_internaColumna_título_intereses</f>
        <v>Intereses</v>
      </c>
      <c r="C44" s="256">
        <v>0</v>
      </c>
      <c r="D44" s="257">
        <v>0</v>
      </c>
      <c r="E44" s="257">
        <v>0</v>
      </c>
      <c r="F44" s="257">
        <v>0</v>
      </c>
      <c r="G44" s="257">
        <v>0</v>
      </c>
      <c r="H44" s="257">
        <v>0</v>
      </c>
      <c r="I44" s="257">
        <v>0</v>
      </c>
      <c r="J44" s="257">
        <v>0</v>
      </c>
      <c r="K44" s="257">
        <v>0</v>
      </c>
      <c r="L44" s="257">
        <v>0</v>
      </c>
      <c r="M44" s="257">
        <v>0</v>
      </c>
      <c r="N44" s="257">
        <v>0</v>
      </c>
      <c r="O44" s="257">
        <v>0</v>
      </c>
      <c r="P44" s="257">
        <v>0</v>
      </c>
      <c r="Q44" s="257">
        <v>0</v>
      </c>
      <c r="R44" s="257">
        <v>0</v>
      </c>
      <c r="S44" s="257">
        <v>0</v>
      </c>
      <c r="T44" s="257">
        <v>0</v>
      </c>
      <c r="U44" s="258">
        <v>0</v>
      </c>
      <c r="V44" s="258">
        <v>0</v>
      </c>
      <c r="W44" s="258">
        <v>0</v>
      </c>
      <c r="X44" s="258">
        <v>0</v>
      </c>
      <c r="Y44" s="258">
        <v>0</v>
      </c>
      <c r="Z44" s="258">
        <v>0</v>
      </c>
      <c r="AA44" s="258">
        <v>0</v>
      </c>
      <c r="AB44" s="258">
        <v>0</v>
      </c>
      <c r="AC44" s="258">
        <v>0</v>
      </c>
      <c r="AD44" s="259">
        <v>0</v>
      </c>
      <c r="AE44" s="259">
        <v>0</v>
      </c>
      <c r="AF44" s="259">
        <v>0</v>
      </c>
      <c r="AG44" s="259">
        <v>0</v>
      </c>
      <c r="AH44" s="259">
        <v>0</v>
      </c>
      <c r="AI44" s="259">
        <v>0</v>
      </c>
      <c r="AJ44" s="259">
        <v>0</v>
      </c>
      <c r="AK44" s="259">
        <v>0</v>
      </c>
      <c r="AL44" s="259">
        <v>0</v>
      </c>
      <c r="AM44" s="259">
        <v>0</v>
      </c>
      <c r="AN44" s="259">
        <v>0</v>
      </c>
      <c r="AO44" s="259">
        <v>0</v>
      </c>
      <c r="AP44" s="259"/>
      <c r="AQ44" s="259"/>
      <c r="AR44" s="259"/>
      <c r="AS44" s="259"/>
      <c r="AT44" s="259"/>
      <c r="AU44" s="259"/>
      <c r="AV44" s="259"/>
      <c r="AW44" s="259"/>
      <c r="AX44" s="259"/>
      <c r="AY44" s="259"/>
      <c r="AZ44" s="259"/>
      <c r="BA44" s="259"/>
      <c r="BB44" s="259"/>
      <c r="BC44" s="259"/>
      <c r="BD44" s="259"/>
      <c r="BE44" s="259"/>
      <c r="BF44" s="259"/>
      <c r="BG44" s="259"/>
      <c r="BH44" s="259"/>
      <c r="BI44" s="259"/>
      <c r="BJ44" s="259"/>
      <c r="BK44" s="259"/>
    </row>
    <row r="45" spans="1:63" s="133" customFormat="1" ht="12.75">
      <c r="A45" s="169"/>
      <c r="B45" s="307" t="str">
        <f>Servicio_internaColumna_título_total</f>
        <v>Total</v>
      </c>
      <c r="C45" s="308">
        <v>0</v>
      </c>
      <c r="D45" s="309">
        <v>6781551.6432059491</v>
      </c>
      <c r="E45" s="309">
        <v>4572593.2896402152</v>
      </c>
      <c r="F45" s="309">
        <v>5179240.7651138445</v>
      </c>
      <c r="G45" s="309">
        <v>3766866.2837536749</v>
      </c>
      <c r="H45" s="309">
        <v>4842834.4180923412</v>
      </c>
      <c r="I45" s="309">
        <v>4114774.0263271406</v>
      </c>
      <c r="J45" s="309">
        <v>4325896.9093888458</v>
      </c>
      <c r="K45" s="309">
        <v>1663835.4013290631</v>
      </c>
      <c r="L45" s="309">
        <v>844032.32251866348</v>
      </c>
      <c r="M45" s="309">
        <v>4865484.1960699996</v>
      </c>
      <c r="N45" s="309">
        <v>829101.20063800004</v>
      </c>
      <c r="O45" s="309">
        <v>2135938.3307213401</v>
      </c>
      <c r="P45" s="309">
        <v>0</v>
      </c>
      <c r="Q45" s="309">
        <v>0</v>
      </c>
      <c r="R45" s="309">
        <v>0</v>
      </c>
      <c r="S45" s="309">
        <v>0</v>
      </c>
      <c r="T45" s="309">
        <v>0</v>
      </c>
      <c r="U45" s="309">
        <v>0</v>
      </c>
      <c r="V45" s="309">
        <v>0</v>
      </c>
      <c r="W45" s="309">
        <v>0</v>
      </c>
      <c r="X45" s="309">
        <v>0</v>
      </c>
      <c r="Y45" s="309">
        <v>0</v>
      </c>
      <c r="Z45" s="309">
        <v>0</v>
      </c>
      <c r="AA45" s="309">
        <v>0</v>
      </c>
      <c r="AB45" s="309">
        <v>0</v>
      </c>
      <c r="AC45" s="309">
        <v>0</v>
      </c>
      <c r="AD45" s="309">
        <v>0</v>
      </c>
      <c r="AE45" s="309">
        <v>0</v>
      </c>
      <c r="AF45" s="309">
        <v>0</v>
      </c>
      <c r="AG45" s="309">
        <v>0</v>
      </c>
      <c r="AH45" s="309">
        <v>0</v>
      </c>
      <c r="AI45" s="309">
        <v>0</v>
      </c>
      <c r="AJ45" s="309">
        <v>0</v>
      </c>
      <c r="AK45" s="309">
        <v>0</v>
      </c>
      <c r="AL45" s="309">
        <v>0</v>
      </c>
      <c r="AM45" s="309">
        <v>0</v>
      </c>
      <c r="AN45" s="309">
        <v>0</v>
      </c>
      <c r="AO45" s="309">
        <v>0</v>
      </c>
      <c r="AP45" s="309"/>
      <c r="AQ45" s="309"/>
      <c r="AR45" s="309"/>
      <c r="AS45" s="309"/>
      <c r="AT45" s="309"/>
      <c r="AU45" s="309"/>
      <c r="AV45" s="309"/>
      <c r="AW45" s="309"/>
      <c r="AX45" s="309"/>
      <c r="AY45" s="309"/>
      <c r="AZ45" s="309"/>
      <c r="BA45" s="309"/>
      <c r="BB45" s="309"/>
      <c r="BC45" s="309"/>
      <c r="BD45" s="309"/>
      <c r="BE45" s="309"/>
      <c r="BF45" s="309"/>
      <c r="BG45" s="309"/>
      <c r="BH45" s="309"/>
      <c r="BI45" s="309"/>
      <c r="BJ45" s="309"/>
      <c r="BK45" s="309"/>
    </row>
    <row r="46" spans="1:63" s="80" customFormat="1" ht="12.75">
      <c r="A46" s="167"/>
      <c r="B46" s="210" t="str">
        <f>Servicio_internaColumna_título_amortizaciones</f>
        <v>Amortizaciones</v>
      </c>
      <c r="C46" s="254">
        <v>0</v>
      </c>
      <c r="D46" s="255">
        <v>6772600.9893043162</v>
      </c>
      <c r="E46" s="255">
        <v>4873191.8021837231</v>
      </c>
      <c r="F46" s="255">
        <v>5043696.2662065458</v>
      </c>
      <c r="G46" s="255">
        <v>3772209.2327739834</v>
      </c>
      <c r="H46" s="255">
        <v>4943441.6295571784</v>
      </c>
      <c r="I46" s="255">
        <v>3954354.1682527149</v>
      </c>
      <c r="J46" s="255">
        <v>4414570.6401925199</v>
      </c>
      <c r="K46" s="255">
        <v>1766414.8273482192</v>
      </c>
      <c r="L46" s="255">
        <v>846522.57223663793</v>
      </c>
      <c r="M46" s="255">
        <v>4872383.43389</v>
      </c>
      <c r="N46" s="255">
        <v>2923923.2167870002</v>
      </c>
      <c r="O46" s="255">
        <v>2135938.3307213401</v>
      </c>
      <c r="P46" s="255">
        <v>0</v>
      </c>
      <c r="Q46" s="255">
        <v>0</v>
      </c>
      <c r="R46" s="255">
        <v>0</v>
      </c>
      <c r="S46" s="255">
        <v>0</v>
      </c>
      <c r="T46" s="255">
        <v>0</v>
      </c>
      <c r="U46" s="255">
        <v>0</v>
      </c>
      <c r="V46" s="255">
        <v>0</v>
      </c>
      <c r="W46" s="255">
        <v>0</v>
      </c>
      <c r="X46" s="255">
        <v>0</v>
      </c>
      <c r="Y46" s="255">
        <v>0</v>
      </c>
      <c r="Z46" s="255">
        <v>0</v>
      </c>
      <c r="AA46" s="255">
        <v>0</v>
      </c>
      <c r="AB46" s="255">
        <v>0</v>
      </c>
      <c r="AC46" s="255">
        <v>0</v>
      </c>
      <c r="AD46" s="255">
        <v>0</v>
      </c>
      <c r="AE46" s="255">
        <v>0</v>
      </c>
      <c r="AF46" s="255">
        <v>0</v>
      </c>
      <c r="AG46" s="255">
        <v>0</v>
      </c>
      <c r="AH46" s="255">
        <v>0</v>
      </c>
      <c r="AI46" s="255">
        <v>0</v>
      </c>
      <c r="AJ46" s="255">
        <v>0</v>
      </c>
      <c r="AK46" s="255">
        <v>0</v>
      </c>
      <c r="AL46" s="255">
        <v>0</v>
      </c>
      <c r="AM46" s="255">
        <v>0</v>
      </c>
      <c r="AN46" s="255">
        <v>0</v>
      </c>
      <c r="AO46" s="255">
        <v>0</v>
      </c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5"/>
      <c r="BD46" s="255"/>
      <c r="BE46" s="255"/>
      <c r="BF46" s="255"/>
      <c r="BG46" s="255"/>
      <c r="BH46" s="255"/>
      <c r="BI46" s="255"/>
      <c r="BJ46" s="255"/>
      <c r="BK46" s="255"/>
    </row>
    <row r="47" spans="1:63" s="133" customFormat="1" ht="12.75">
      <c r="A47" s="168">
        <v>37315</v>
      </c>
      <c r="B47" s="213" t="str">
        <f>Servicio_internaColumna_título_intereses</f>
        <v>Intereses</v>
      </c>
      <c r="C47" s="256">
        <v>0</v>
      </c>
      <c r="D47" s="257">
        <v>0</v>
      </c>
      <c r="E47" s="257">
        <v>0</v>
      </c>
      <c r="F47" s="257">
        <v>0</v>
      </c>
      <c r="G47" s="257">
        <v>0</v>
      </c>
      <c r="H47" s="257">
        <v>0</v>
      </c>
      <c r="I47" s="257">
        <v>0</v>
      </c>
      <c r="J47" s="257">
        <v>0</v>
      </c>
      <c r="K47" s="257">
        <v>0</v>
      </c>
      <c r="L47" s="257">
        <v>0</v>
      </c>
      <c r="M47" s="257">
        <v>0</v>
      </c>
      <c r="N47" s="257">
        <v>0</v>
      </c>
      <c r="O47" s="257">
        <v>0</v>
      </c>
      <c r="P47" s="257">
        <v>0</v>
      </c>
      <c r="Q47" s="257">
        <v>0</v>
      </c>
      <c r="R47" s="257">
        <v>0</v>
      </c>
      <c r="S47" s="257">
        <v>0</v>
      </c>
      <c r="T47" s="257">
        <v>0</v>
      </c>
      <c r="U47" s="258">
        <v>0</v>
      </c>
      <c r="V47" s="258">
        <v>0</v>
      </c>
      <c r="W47" s="258">
        <v>0</v>
      </c>
      <c r="X47" s="258">
        <v>0</v>
      </c>
      <c r="Y47" s="258">
        <v>0</v>
      </c>
      <c r="Z47" s="258">
        <v>0</v>
      </c>
      <c r="AA47" s="258">
        <v>0</v>
      </c>
      <c r="AB47" s="258">
        <v>0</v>
      </c>
      <c r="AC47" s="258">
        <v>0</v>
      </c>
      <c r="AD47" s="259">
        <v>0</v>
      </c>
      <c r="AE47" s="259">
        <v>0</v>
      </c>
      <c r="AF47" s="259">
        <v>0</v>
      </c>
      <c r="AG47" s="259">
        <v>0</v>
      </c>
      <c r="AH47" s="259">
        <v>0</v>
      </c>
      <c r="AI47" s="259">
        <v>0</v>
      </c>
      <c r="AJ47" s="259">
        <v>0</v>
      </c>
      <c r="AK47" s="259">
        <v>0</v>
      </c>
      <c r="AL47" s="259">
        <v>0</v>
      </c>
      <c r="AM47" s="259">
        <v>0</v>
      </c>
      <c r="AN47" s="259">
        <v>0</v>
      </c>
      <c r="AO47" s="259">
        <v>0</v>
      </c>
      <c r="AP47" s="259"/>
      <c r="AQ47" s="259"/>
      <c r="AR47" s="259"/>
      <c r="AS47" s="259"/>
      <c r="AT47" s="259"/>
      <c r="AU47" s="259"/>
      <c r="AV47" s="259"/>
      <c r="AW47" s="259"/>
      <c r="AX47" s="259"/>
      <c r="AY47" s="259"/>
      <c r="AZ47" s="259"/>
      <c r="BA47" s="259"/>
      <c r="BB47" s="259"/>
      <c r="BC47" s="259"/>
      <c r="BD47" s="259"/>
      <c r="BE47" s="259"/>
      <c r="BF47" s="259"/>
      <c r="BG47" s="259"/>
      <c r="BH47" s="259"/>
      <c r="BI47" s="259"/>
      <c r="BJ47" s="259"/>
      <c r="BK47" s="259"/>
    </row>
    <row r="48" spans="1:63" s="133" customFormat="1" ht="12.75">
      <c r="A48" s="169"/>
      <c r="B48" s="307" t="str">
        <f>Servicio_internaColumna_título_total</f>
        <v>Total</v>
      </c>
      <c r="C48" s="308">
        <v>0</v>
      </c>
      <c r="D48" s="309">
        <v>6772600.9893043162</v>
      </c>
      <c r="E48" s="309">
        <v>4873191.8021837231</v>
      </c>
      <c r="F48" s="309">
        <v>5043696.2662065458</v>
      </c>
      <c r="G48" s="309">
        <v>3772209.2327739834</v>
      </c>
      <c r="H48" s="309">
        <v>4943441.6295571784</v>
      </c>
      <c r="I48" s="309">
        <v>3954354.1682527149</v>
      </c>
      <c r="J48" s="309">
        <v>4414570.6401925199</v>
      </c>
      <c r="K48" s="309">
        <v>1766414.8273482192</v>
      </c>
      <c r="L48" s="309">
        <v>846522.57223663793</v>
      </c>
      <c r="M48" s="309">
        <v>4872383.43389</v>
      </c>
      <c r="N48" s="309">
        <v>2923923.2167870002</v>
      </c>
      <c r="O48" s="309">
        <v>2135938.3307213401</v>
      </c>
      <c r="P48" s="309">
        <v>0</v>
      </c>
      <c r="Q48" s="309">
        <v>0</v>
      </c>
      <c r="R48" s="309">
        <v>0</v>
      </c>
      <c r="S48" s="309">
        <v>0</v>
      </c>
      <c r="T48" s="309">
        <v>0</v>
      </c>
      <c r="U48" s="309">
        <v>0</v>
      </c>
      <c r="V48" s="309">
        <v>0</v>
      </c>
      <c r="W48" s="309">
        <v>0</v>
      </c>
      <c r="X48" s="309">
        <v>0</v>
      </c>
      <c r="Y48" s="309">
        <v>0</v>
      </c>
      <c r="Z48" s="309">
        <v>0</v>
      </c>
      <c r="AA48" s="309">
        <v>0</v>
      </c>
      <c r="AB48" s="309">
        <v>0</v>
      </c>
      <c r="AC48" s="309">
        <v>0</v>
      </c>
      <c r="AD48" s="309">
        <v>0</v>
      </c>
      <c r="AE48" s="309">
        <v>0</v>
      </c>
      <c r="AF48" s="309">
        <v>0</v>
      </c>
      <c r="AG48" s="309">
        <v>0</v>
      </c>
      <c r="AH48" s="309">
        <v>0</v>
      </c>
      <c r="AI48" s="309">
        <v>0</v>
      </c>
      <c r="AJ48" s="309">
        <v>0</v>
      </c>
      <c r="AK48" s="309">
        <v>0</v>
      </c>
      <c r="AL48" s="309">
        <v>0</v>
      </c>
      <c r="AM48" s="309">
        <v>0</v>
      </c>
      <c r="AN48" s="309">
        <v>0</v>
      </c>
      <c r="AO48" s="309">
        <v>0</v>
      </c>
      <c r="AP48" s="309"/>
      <c r="AQ48" s="309"/>
      <c r="AR48" s="309"/>
      <c r="AS48" s="309"/>
      <c r="AT48" s="309"/>
      <c r="AU48" s="309"/>
      <c r="AV48" s="309"/>
      <c r="AW48" s="309"/>
      <c r="AX48" s="309"/>
      <c r="AY48" s="309"/>
      <c r="AZ48" s="309"/>
      <c r="BA48" s="309"/>
      <c r="BB48" s="309"/>
      <c r="BC48" s="309"/>
      <c r="BD48" s="309"/>
      <c r="BE48" s="309"/>
      <c r="BF48" s="309"/>
      <c r="BG48" s="309"/>
      <c r="BH48" s="309"/>
      <c r="BI48" s="309"/>
      <c r="BJ48" s="309"/>
      <c r="BK48" s="309"/>
    </row>
    <row r="49" spans="1:63" s="80" customFormat="1" ht="12.75">
      <c r="A49" s="167"/>
      <c r="B49" s="210" t="str">
        <f>Servicio_internaColumna_título_amortizaciones</f>
        <v>Amortizaciones</v>
      </c>
      <c r="C49" s="254">
        <v>0</v>
      </c>
      <c r="D49" s="255">
        <v>5568977.9201792162</v>
      </c>
      <c r="E49" s="255">
        <v>5350338.6930311779</v>
      </c>
      <c r="F49" s="255">
        <v>5132507.4638246112</v>
      </c>
      <c r="G49" s="255">
        <v>3785235.1427760418</v>
      </c>
      <c r="H49" s="255">
        <v>4902475.4319981495</v>
      </c>
      <c r="I49" s="255">
        <v>3983199.6149079404</v>
      </c>
      <c r="J49" s="255">
        <v>4428369.6470937831</v>
      </c>
      <c r="K49" s="255">
        <v>1831986.1123010512</v>
      </c>
      <c r="L49" s="255">
        <v>852035.50896386721</v>
      </c>
      <c r="M49" s="255">
        <v>4886355.50189</v>
      </c>
      <c r="N49" s="255">
        <v>3448268.1384799997</v>
      </c>
      <c r="O49" s="255">
        <v>2135938.3307213401</v>
      </c>
      <c r="P49" s="255">
        <v>0</v>
      </c>
      <c r="Q49" s="255">
        <v>0</v>
      </c>
      <c r="R49" s="255">
        <v>0</v>
      </c>
      <c r="S49" s="255">
        <v>0</v>
      </c>
      <c r="T49" s="255">
        <v>0</v>
      </c>
      <c r="U49" s="255">
        <v>0</v>
      </c>
      <c r="V49" s="255">
        <v>0</v>
      </c>
      <c r="W49" s="255">
        <v>0</v>
      </c>
      <c r="X49" s="255">
        <v>0</v>
      </c>
      <c r="Y49" s="255">
        <v>0</v>
      </c>
      <c r="Z49" s="255">
        <v>0</v>
      </c>
      <c r="AA49" s="255">
        <v>0</v>
      </c>
      <c r="AB49" s="255">
        <v>0</v>
      </c>
      <c r="AC49" s="255">
        <v>0</v>
      </c>
      <c r="AD49" s="255">
        <v>0</v>
      </c>
      <c r="AE49" s="255">
        <v>0</v>
      </c>
      <c r="AF49" s="255">
        <v>0</v>
      </c>
      <c r="AG49" s="255">
        <v>0</v>
      </c>
      <c r="AH49" s="255">
        <v>0</v>
      </c>
      <c r="AI49" s="255">
        <v>0</v>
      </c>
      <c r="AJ49" s="255">
        <v>0</v>
      </c>
      <c r="AK49" s="255">
        <v>0</v>
      </c>
      <c r="AL49" s="255">
        <v>0</v>
      </c>
      <c r="AM49" s="255">
        <v>0</v>
      </c>
      <c r="AN49" s="255">
        <v>0</v>
      </c>
      <c r="AO49" s="255">
        <v>0</v>
      </c>
      <c r="AP49" s="255"/>
      <c r="AQ49" s="255"/>
      <c r="AR49" s="255"/>
      <c r="AS49" s="255"/>
      <c r="AT49" s="255"/>
      <c r="AU49" s="255"/>
      <c r="AV49" s="255"/>
      <c r="AW49" s="255"/>
      <c r="AX49" s="255"/>
      <c r="AY49" s="255"/>
      <c r="AZ49" s="255"/>
      <c r="BA49" s="255"/>
      <c r="BB49" s="255"/>
      <c r="BC49" s="255"/>
      <c r="BD49" s="255"/>
      <c r="BE49" s="255"/>
      <c r="BF49" s="255"/>
      <c r="BG49" s="255"/>
      <c r="BH49" s="255"/>
      <c r="BI49" s="255"/>
      <c r="BJ49" s="255"/>
      <c r="BK49" s="255"/>
    </row>
    <row r="50" spans="1:63" s="133" customFormat="1" ht="12.75">
      <c r="A50" s="168">
        <v>37346</v>
      </c>
      <c r="B50" s="213" t="str">
        <f>Servicio_internaColumna_título_intereses</f>
        <v>Intereses</v>
      </c>
      <c r="C50" s="256">
        <v>0</v>
      </c>
      <c r="D50" s="257">
        <v>0</v>
      </c>
      <c r="E50" s="257">
        <v>0</v>
      </c>
      <c r="F50" s="257">
        <v>0</v>
      </c>
      <c r="G50" s="257">
        <v>0</v>
      </c>
      <c r="H50" s="257">
        <v>0</v>
      </c>
      <c r="I50" s="257">
        <v>0</v>
      </c>
      <c r="J50" s="257">
        <v>0</v>
      </c>
      <c r="K50" s="257">
        <v>0</v>
      </c>
      <c r="L50" s="257">
        <v>0</v>
      </c>
      <c r="M50" s="257">
        <v>0</v>
      </c>
      <c r="N50" s="257">
        <v>0</v>
      </c>
      <c r="O50" s="257">
        <v>0</v>
      </c>
      <c r="P50" s="257">
        <v>0</v>
      </c>
      <c r="Q50" s="257">
        <v>0</v>
      </c>
      <c r="R50" s="257">
        <v>0</v>
      </c>
      <c r="S50" s="257">
        <v>0</v>
      </c>
      <c r="T50" s="257">
        <v>0</v>
      </c>
      <c r="U50" s="258">
        <v>0</v>
      </c>
      <c r="V50" s="258">
        <v>0</v>
      </c>
      <c r="W50" s="258">
        <v>0</v>
      </c>
      <c r="X50" s="258">
        <v>0</v>
      </c>
      <c r="Y50" s="258">
        <v>0</v>
      </c>
      <c r="Z50" s="258">
        <v>0</v>
      </c>
      <c r="AA50" s="258">
        <v>0</v>
      </c>
      <c r="AB50" s="258">
        <v>0</v>
      </c>
      <c r="AC50" s="258">
        <v>0</v>
      </c>
      <c r="AD50" s="259">
        <v>0</v>
      </c>
      <c r="AE50" s="259">
        <v>0</v>
      </c>
      <c r="AF50" s="259">
        <v>0</v>
      </c>
      <c r="AG50" s="259">
        <v>0</v>
      </c>
      <c r="AH50" s="259">
        <v>0</v>
      </c>
      <c r="AI50" s="259">
        <v>0</v>
      </c>
      <c r="AJ50" s="259">
        <v>0</v>
      </c>
      <c r="AK50" s="259">
        <v>0</v>
      </c>
      <c r="AL50" s="259">
        <v>0</v>
      </c>
      <c r="AM50" s="259">
        <v>0</v>
      </c>
      <c r="AN50" s="259">
        <v>0</v>
      </c>
      <c r="AO50" s="259">
        <v>0</v>
      </c>
      <c r="AP50" s="259"/>
      <c r="AQ50" s="259"/>
      <c r="AR50" s="259"/>
      <c r="AS50" s="259"/>
      <c r="AT50" s="259"/>
      <c r="AU50" s="259"/>
      <c r="AV50" s="259"/>
      <c r="AW50" s="259"/>
      <c r="AX50" s="259"/>
      <c r="AY50" s="259"/>
      <c r="AZ50" s="259"/>
      <c r="BA50" s="259"/>
      <c r="BB50" s="259"/>
      <c r="BC50" s="259"/>
      <c r="BD50" s="259"/>
      <c r="BE50" s="259"/>
      <c r="BF50" s="259"/>
      <c r="BG50" s="259"/>
      <c r="BH50" s="259"/>
      <c r="BI50" s="259"/>
      <c r="BJ50" s="259"/>
      <c r="BK50" s="259"/>
    </row>
    <row r="51" spans="1:63" s="133" customFormat="1" ht="12.75">
      <c r="A51" s="169"/>
      <c r="B51" s="307" t="str">
        <f>Servicio_internaColumna_título_total</f>
        <v>Total</v>
      </c>
      <c r="C51" s="308">
        <v>0</v>
      </c>
      <c r="D51" s="309">
        <v>5568977.9201792162</v>
      </c>
      <c r="E51" s="309">
        <v>5350338.6930311779</v>
      </c>
      <c r="F51" s="309">
        <v>5132507.4638246112</v>
      </c>
      <c r="G51" s="309">
        <v>3785235.1427760418</v>
      </c>
      <c r="H51" s="309">
        <v>4902475.4319981495</v>
      </c>
      <c r="I51" s="309">
        <v>3983199.6149079404</v>
      </c>
      <c r="J51" s="309">
        <v>4428369.6470937831</v>
      </c>
      <c r="K51" s="309">
        <v>1831986.1123010512</v>
      </c>
      <c r="L51" s="309">
        <v>852035.50896386721</v>
      </c>
      <c r="M51" s="309">
        <v>4886355.50189</v>
      </c>
      <c r="N51" s="309">
        <v>3448268.1384799997</v>
      </c>
      <c r="O51" s="309">
        <v>2135938.3307213401</v>
      </c>
      <c r="P51" s="309">
        <v>0</v>
      </c>
      <c r="Q51" s="309">
        <v>0</v>
      </c>
      <c r="R51" s="309">
        <v>0</v>
      </c>
      <c r="S51" s="309">
        <v>0</v>
      </c>
      <c r="T51" s="309">
        <v>0</v>
      </c>
      <c r="U51" s="309">
        <v>0</v>
      </c>
      <c r="V51" s="309">
        <v>0</v>
      </c>
      <c r="W51" s="309">
        <v>0</v>
      </c>
      <c r="X51" s="309">
        <v>0</v>
      </c>
      <c r="Y51" s="309">
        <v>0</v>
      </c>
      <c r="Z51" s="309">
        <v>0</v>
      </c>
      <c r="AA51" s="309">
        <v>0</v>
      </c>
      <c r="AB51" s="309">
        <v>0</v>
      </c>
      <c r="AC51" s="309">
        <v>0</v>
      </c>
      <c r="AD51" s="309">
        <v>0</v>
      </c>
      <c r="AE51" s="309">
        <v>0</v>
      </c>
      <c r="AF51" s="309">
        <v>0</v>
      </c>
      <c r="AG51" s="309">
        <v>0</v>
      </c>
      <c r="AH51" s="309">
        <v>0</v>
      </c>
      <c r="AI51" s="309">
        <v>0</v>
      </c>
      <c r="AJ51" s="309">
        <v>0</v>
      </c>
      <c r="AK51" s="309">
        <v>0</v>
      </c>
      <c r="AL51" s="309">
        <v>0</v>
      </c>
      <c r="AM51" s="309">
        <v>0</v>
      </c>
      <c r="AN51" s="309">
        <v>0</v>
      </c>
      <c r="AO51" s="309">
        <v>0</v>
      </c>
      <c r="AP51" s="309"/>
      <c r="AQ51" s="309"/>
      <c r="AR51" s="309"/>
      <c r="AS51" s="309"/>
      <c r="AT51" s="309"/>
      <c r="AU51" s="309"/>
      <c r="AV51" s="309"/>
      <c r="AW51" s="309"/>
      <c r="AX51" s="309"/>
      <c r="AY51" s="309"/>
      <c r="AZ51" s="309"/>
      <c r="BA51" s="309"/>
      <c r="BB51" s="309"/>
      <c r="BC51" s="309"/>
      <c r="BD51" s="309"/>
      <c r="BE51" s="309"/>
      <c r="BF51" s="309"/>
      <c r="BG51" s="309"/>
      <c r="BH51" s="309"/>
      <c r="BI51" s="309"/>
      <c r="BJ51" s="309"/>
      <c r="BK51" s="309"/>
    </row>
    <row r="52" spans="1:63" s="80" customFormat="1" ht="12.75">
      <c r="A52" s="167"/>
      <c r="B52" s="210" t="str">
        <f>Servicio_internaColumna_título_amortizaciones</f>
        <v>Amortizaciones</v>
      </c>
      <c r="C52" s="254">
        <v>0</v>
      </c>
      <c r="D52" s="255">
        <v>4292683.2168520475</v>
      </c>
      <c r="E52" s="255">
        <v>6072217.3910120577</v>
      </c>
      <c r="F52" s="255">
        <v>5447713.1175244385</v>
      </c>
      <c r="G52" s="255">
        <v>3940340.3654656098</v>
      </c>
      <c r="H52" s="255">
        <v>5103546.4475198435</v>
      </c>
      <c r="I52" s="255">
        <v>4071868.2147395778</v>
      </c>
      <c r="J52" s="255">
        <v>4496651.3911902606</v>
      </c>
      <c r="K52" s="255">
        <v>1894190.9797208351</v>
      </c>
      <c r="L52" s="255">
        <v>977673.63139116694</v>
      </c>
      <c r="M52" s="255">
        <v>4898977.9951400002</v>
      </c>
      <c r="N52" s="255">
        <v>3524627.4110799995</v>
      </c>
      <c r="O52" s="255">
        <v>2135938.3307213401</v>
      </c>
      <c r="P52" s="255">
        <v>0</v>
      </c>
      <c r="Q52" s="255">
        <v>0</v>
      </c>
      <c r="R52" s="255">
        <v>0</v>
      </c>
      <c r="S52" s="255">
        <v>0</v>
      </c>
      <c r="T52" s="255">
        <v>0</v>
      </c>
      <c r="U52" s="255">
        <v>0</v>
      </c>
      <c r="V52" s="255">
        <v>0</v>
      </c>
      <c r="W52" s="255">
        <v>0</v>
      </c>
      <c r="X52" s="255">
        <v>0</v>
      </c>
      <c r="Y52" s="255">
        <v>0</v>
      </c>
      <c r="Z52" s="255">
        <v>0</v>
      </c>
      <c r="AA52" s="255">
        <v>0</v>
      </c>
      <c r="AB52" s="255">
        <v>0</v>
      </c>
      <c r="AC52" s="255">
        <v>0</v>
      </c>
      <c r="AD52" s="255">
        <v>0</v>
      </c>
      <c r="AE52" s="255">
        <v>0</v>
      </c>
      <c r="AF52" s="255">
        <v>0</v>
      </c>
      <c r="AG52" s="255">
        <v>0</v>
      </c>
      <c r="AH52" s="255">
        <v>0</v>
      </c>
      <c r="AI52" s="255">
        <v>0</v>
      </c>
      <c r="AJ52" s="255">
        <v>0</v>
      </c>
      <c r="AK52" s="255">
        <v>0</v>
      </c>
      <c r="AL52" s="255">
        <v>0</v>
      </c>
      <c r="AM52" s="255">
        <v>0</v>
      </c>
      <c r="AN52" s="255">
        <v>0</v>
      </c>
      <c r="AO52" s="255">
        <v>0</v>
      </c>
      <c r="AP52" s="255"/>
      <c r="AQ52" s="255"/>
      <c r="AR52" s="255"/>
      <c r="AS52" s="255"/>
      <c r="AT52" s="255"/>
      <c r="AU52" s="255"/>
      <c r="AV52" s="255"/>
      <c r="AW52" s="255"/>
      <c r="AX52" s="255"/>
      <c r="AY52" s="255"/>
      <c r="AZ52" s="255"/>
      <c r="BA52" s="255"/>
      <c r="BB52" s="255"/>
      <c r="BC52" s="255"/>
      <c r="BD52" s="255"/>
      <c r="BE52" s="255"/>
      <c r="BF52" s="255"/>
      <c r="BG52" s="255"/>
      <c r="BH52" s="255"/>
      <c r="BI52" s="255"/>
      <c r="BJ52" s="255"/>
      <c r="BK52" s="255"/>
    </row>
    <row r="53" spans="1:63" s="133" customFormat="1" ht="12.75">
      <c r="A53" s="168">
        <v>37376</v>
      </c>
      <c r="B53" s="213" t="str">
        <f>Servicio_internaColumna_título_intereses</f>
        <v>Intereses</v>
      </c>
      <c r="C53" s="256">
        <v>0</v>
      </c>
      <c r="D53" s="257">
        <v>0</v>
      </c>
      <c r="E53" s="257">
        <v>0</v>
      </c>
      <c r="F53" s="257">
        <v>0</v>
      </c>
      <c r="G53" s="257">
        <v>0</v>
      </c>
      <c r="H53" s="257">
        <v>0</v>
      </c>
      <c r="I53" s="257">
        <v>0</v>
      </c>
      <c r="J53" s="257">
        <v>0</v>
      </c>
      <c r="K53" s="257">
        <v>0</v>
      </c>
      <c r="L53" s="257">
        <v>0</v>
      </c>
      <c r="M53" s="257">
        <v>0</v>
      </c>
      <c r="N53" s="257">
        <v>0</v>
      </c>
      <c r="O53" s="257">
        <v>0</v>
      </c>
      <c r="P53" s="257">
        <v>0</v>
      </c>
      <c r="Q53" s="257">
        <v>0</v>
      </c>
      <c r="R53" s="257">
        <v>0</v>
      </c>
      <c r="S53" s="257">
        <v>0</v>
      </c>
      <c r="T53" s="257">
        <v>0</v>
      </c>
      <c r="U53" s="258">
        <v>0</v>
      </c>
      <c r="V53" s="258">
        <v>0</v>
      </c>
      <c r="W53" s="258">
        <v>0</v>
      </c>
      <c r="X53" s="258">
        <v>0</v>
      </c>
      <c r="Y53" s="258">
        <v>0</v>
      </c>
      <c r="Z53" s="258">
        <v>0</v>
      </c>
      <c r="AA53" s="258">
        <v>0</v>
      </c>
      <c r="AB53" s="258">
        <v>0</v>
      </c>
      <c r="AC53" s="258">
        <v>0</v>
      </c>
      <c r="AD53" s="259">
        <v>0</v>
      </c>
      <c r="AE53" s="259">
        <v>0</v>
      </c>
      <c r="AF53" s="259">
        <v>0</v>
      </c>
      <c r="AG53" s="259">
        <v>0</v>
      </c>
      <c r="AH53" s="259">
        <v>0</v>
      </c>
      <c r="AI53" s="259">
        <v>0</v>
      </c>
      <c r="AJ53" s="259">
        <v>0</v>
      </c>
      <c r="AK53" s="259">
        <v>0</v>
      </c>
      <c r="AL53" s="259">
        <v>0</v>
      </c>
      <c r="AM53" s="259">
        <v>0</v>
      </c>
      <c r="AN53" s="259">
        <v>0</v>
      </c>
      <c r="AO53" s="259">
        <v>0</v>
      </c>
      <c r="AP53" s="259"/>
      <c r="AQ53" s="259"/>
      <c r="AR53" s="259"/>
      <c r="AS53" s="259"/>
      <c r="AT53" s="259"/>
      <c r="AU53" s="259"/>
      <c r="AV53" s="259"/>
      <c r="AW53" s="259"/>
      <c r="AX53" s="259"/>
      <c r="AY53" s="259"/>
      <c r="AZ53" s="259"/>
      <c r="BA53" s="259"/>
      <c r="BB53" s="259"/>
      <c r="BC53" s="259"/>
      <c r="BD53" s="259"/>
      <c r="BE53" s="259"/>
      <c r="BF53" s="259"/>
      <c r="BG53" s="259"/>
      <c r="BH53" s="259"/>
      <c r="BI53" s="259"/>
      <c r="BJ53" s="259"/>
      <c r="BK53" s="259"/>
    </row>
    <row r="54" spans="1:63" s="133" customFormat="1" ht="12.75">
      <c r="A54" s="169"/>
      <c r="B54" s="307" t="str">
        <f>Servicio_internaColumna_título_total</f>
        <v>Total</v>
      </c>
      <c r="C54" s="308">
        <v>0</v>
      </c>
      <c r="D54" s="309">
        <v>4292683.2168520475</v>
      </c>
      <c r="E54" s="309">
        <v>6072217.3910120577</v>
      </c>
      <c r="F54" s="309">
        <v>5447713.1175244385</v>
      </c>
      <c r="G54" s="309">
        <v>3940340.3654656098</v>
      </c>
      <c r="H54" s="309">
        <v>5103546.4475198435</v>
      </c>
      <c r="I54" s="309">
        <v>4071868.2147395778</v>
      </c>
      <c r="J54" s="309">
        <v>4496651.3911902606</v>
      </c>
      <c r="K54" s="309">
        <v>1894190.9797208351</v>
      </c>
      <c r="L54" s="309">
        <v>977673.63139116694</v>
      </c>
      <c r="M54" s="309">
        <v>4898977.9951400002</v>
      </c>
      <c r="N54" s="309">
        <v>3524627.4110799995</v>
      </c>
      <c r="O54" s="309">
        <v>2135938.3307213401</v>
      </c>
      <c r="P54" s="309">
        <v>0</v>
      </c>
      <c r="Q54" s="309">
        <v>0</v>
      </c>
      <c r="R54" s="309">
        <v>0</v>
      </c>
      <c r="S54" s="309">
        <v>0</v>
      </c>
      <c r="T54" s="309">
        <v>0</v>
      </c>
      <c r="U54" s="309">
        <v>0</v>
      </c>
      <c r="V54" s="309">
        <v>0</v>
      </c>
      <c r="W54" s="309">
        <v>0</v>
      </c>
      <c r="X54" s="309">
        <v>0</v>
      </c>
      <c r="Y54" s="309">
        <v>0</v>
      </c>
      <c r="Z54" s="309">
        <v>0</v>
      </c>
      <c r="AA54" s="309">
        <v>0</v>
      </c>
      <c r="AB54" s="309">
        <v>0</v>
      </c>
      <c r="AC54" s="309">
        <v>0</v>
      </c>
      <c r="AD54" s="309">
        <v>0</v>
      </c>
      <c r="AE54" s="309">
        <v>0</v>
      </c>
      <c r="AF54" s="309">
        <v>0</v>
      </c>
      <c r="AG54" s="309">
        <v>0</v>
      </c>
      <c r="AH54" s="309">
        <v>0</v>
      </c>
      <c r="AI54" s="309">
        <v>0</v>
      </c>
      <c r="AJ54" s="309">
        <v>0</v>
      </c>
      <c r="AK54" s="309">
        <v>0</v>
      </c>
      <c r="AL54" s="309">
        <v>0</v>
      </c>
      <c r="AM54" s="309">
        <v>0</v>
      </c>
      <c r="AN54" s="309">
        <v>0</v>
      </c>
      <c r="AO54" s="309">
        <v>0</v>
      </c>
      <c r="AP54" s="309"/>
      <c r="AQ54" s="309"/>
      <c r="AR54" s="309"/>
      <c r="AS54" s="309"/>
      <c r="AT54" s="309"/>
      <c r="AU54" s="309"/>
      <c r="AV54" s="309"/>
      <c r="AW54" s="309"/>
      <c r="AX54" s="309"/>
      <c r="AY54" s="309"/>
      <c r="AZ54" s="309"/>
      <c r="BA54" s="309"/>
      <c r="BB54" s="309"/>
      <c r="BC54" s="309"/>
      <c r="BD54" s="309"/>
      <c r="BE54" s="309"/>
      <c r="BF54" s="309"/>
      <c r="BG54" s="309"/>
      <c r="BH54" s="309"/>
      <c r="BI54" s="309"/>
      <c r="BJ54" s="309"/>
      <c r="BK54" s="309"/>
    </row>
    <row r="55" spans="1:63" s="80" customFormat="1" ht="12.75">
      <c r="A55" s="167"/>
      <c r="B55" s="210" t="str">
        <f>Servicio_internaColumna_título_amortizaciones</f>
        <v>Amortizaciones</v>
      </c>
      <c r="C55" s="254">
        <v>0</v>
      </c>
      <c r="D55" s="255">
        <v>3407369.3374931794</v>
      </c>
      <c r="E55" s="255">
        <v>6589951.9634805238</v>
      </c>
      <c r="F55" s="255">
        <v>5472350.3307486698</v>
      </c>
      <c r="G55" s="255">
        <v>4301993.0438326746</v>
      </c>
      <c r="H55" s="255">
        <v>5144931.7052173065</v>
      </c>
      <c r="I55" s="255">
        <v>5058928.4362440994</v>
      </c>
      <c r="J55" s="255">
        <v>4520827.5015585311</v>
      </c>
      <c r="K55" s="255">
        <v>2445639.6149828807</v>
      </c>
      <c r="L55" s="255">
        <v>984421.74256837275</v>
      </c>
      <c r="M55" s="255">
        <v>4909946.0685200002</v>
      </c>
      <c r="N55" s="255">
        <v>4528545.4601432001</v>
      </c>
      <c r="O55" s="255">
        <v>2135938.3307213401</v>
      </c>
      <c r="P55" s="255">
        <v>0</v>
      </c>
      <c r="Q55" s="255">
        <v>0</v>
      </c>
      <c r="R55" s="255">
        <v>0</v>
      </c>
      <c r="S55" s="255">
        <v>0</v>
      </c>
      <c r="T55" s="255">
        <v>0</v>
      </c>
      <c r="U55" s="255">
        <v>0</v>
      </c>
      <c r="V55" s="255">
        <v>0</v>
      </c>
      <c r="W55" s="255">
        <v>0</v>
      </c>
      <c r="X55" s="255">
        <v>0</v>
      </c>
      <c r="Y55" s="255">
        <v>0</v>
      </c>
      <c r="Z55" s="255">
        <v>0</v>
      </c>
      <c r="AA55" s="255">
        <v>0</v>
      </c>
      <c r="AB55" s="255">
        <v>0</v>
      </c>
      <c r="AC55" s="255">
        <v>0</v>
      </c>
      <c r="AD55" s="255">
        <v>0</v>
      </c>
      <c r="AE55" s="255">
        <v>0</v>
      </c>
      <c r="AF55" s="255">
        <v>0</v>
      </c>
      <c r="AG55" s="255">
        <v>0</v>
      </c>
      <c r="AH55" s="255">
        <v>0</v>
      </c>
      <c r="AI55" s="255">
        <v>0</v>
      </c>
      <c r="AJ55" s="255">
        <v>0</v>
      </c>
      <c r="AK55" s="255">
        <v>0</v>
      </c>
      <c r="AL55" s="255">
        <v>0</v>
      </c>
      <c r="AM55" s="255">
        <v>0</v>
      </c>
      <c r="AN55" s="255">
        <v>0</v>
      </c>
      <c r="AO55" s="255">
        <v>0</v>
      </c>
      <c r="AP55" s="255"/>
      <c r="AQ55" s="255"/>
      <c r="AR55" s="255"/>
      <c r="AS55" s="255"/>
      <c r="AT55" s="255"/>
      <c r="AU55" s="255"/>
      <c r="AV55" s="255"/>
      <c r="AW55" s="255"/>
      <c r="AX55" s="255"/>
      <c r="AY55" s="255"/>
      <c r="AZ55" s="255"/>
      <c r="BA55" s="255"/>
      <c r="BB55" s="255"/>
      <c r="BC55" s="255"/>
      <c r="BD55" s="255"/>
      <c r="BE55" s="255"/>
      <c r="BF55" s="255"/>
      <c r="BG55" s="255"/>
      <c r="BH55" s="255"/>
      <c r="BI55" s="255"/>
      <c r="BJ55" s="255"/>
      <c r="BK55" s="255"/>
    </row>
    <row r="56" spans="1:63" s="133" customFormat="1" ht="12.75">
      <c r="A56" s="168">
        <v>37407</v>
      </c>
      <c r="B56" s="213" t="str">
        <f>Servicio_internaColumna_título_intereses</f>
        <v>Intereses</v>
      </c>
      <c r="C56" s="256">
        <v>0</v>
      </c>
      <c r="D56" s="257">
        <v>0</v>
      </c>
      <c r="E56" s="257">
        <v>0</v>
      </c>
      <c r="F56" s="257">
        <v>0</v>
      </c>
      <c r="G56" s="257">
        <v>0</v>
      </c>
      <c r="H56" s="257">
        <v>0</v>
      </c>
      <c r="I56" s="257">
        <v>0</v>
      </c>
      <c r="J56" s="257">
        <v>0</v>
      </c>
      <c r="K56" s="257">
        <v>0</v>
      </c>
      <c r="L56" s="257">
        <v>0</v>
      </c>
      <c r="M56" s="257">
        <v>0</v>
      </c>
      <c r="N56" s="257">
        <v>0</v>
      </c>
      <c r="O56" s="257">
        <v>0</v>
      </c>
      <c r="P56" s="257">
        <v>0</v>
      </c>
      <c r="Q56" s="257">
        <v>0</v>
      </c>
      <c r="R56" s="257">
        <v>0</v>
      </c>
      <c r="S56" s="257">
        <v>0</v>
      </c>
      <c r="T56" s="257">
        <v>0</v>
      </c>
      <c r="U56" s="258">
        <v>0</v>
      </c>
      <c r="V56" s="258">
        <v>0</v>
      </c>
      <c r="W56" s="258">
        <v>0</v>
      </c>
      <c r="X56" s="258">
        <v>0</v>
      </c>
      <c r="Y56" s="258">
        <v>0</v>
      </c>
      <c r="Z56" s="258">
        <v>0</v>
      </c>
      <c r="AA56" s="258">
        <v>0</v>
      </c>
      <c r="AB56" s="258">
        <v>0</v>
      </c>
      <c r="AC56" s="258">
        <v>0</v>
      </c>
      <c r="AD56" s="259">
        <v>0</v>
      </c>
      <c r="AE56" s="259">
        <v>0</v>
      </c>
      <c r="AF56" s="259">
        <v>0</v>
      </c>
      <c r="AG56" s="259">
        <v>0</v>
      </c>
      <c r="AH56" s="259">
        <v>0</v>
      </c>
      <c r="AI56" s="259">
        <v>0</v>
      </c>
      <c r="AJ56" s="259">
        <v>0</v>
      </c>
      <c r="AK56" s="259">
        <v>0</v>
      </c>
      <c r="AL56" s="259">
        <v>0</v>
      </c>
      <c r="AM56" s="259">
        <v>0</v>
      </c>
      <c r="AN56" s="259">
        <v>0</v>
      </c>
      <c r="AO56" s="259">
        <v>0</v>
      </c>
      <c r="AP56" s="259"/>
      <c r="AQ56" s="259"/>
      <c r="AR56" s="259"/>
      <c r="AS56" s="259"/>
      <c r="AT56" s="259"/>
      <c r="AU56" s="259"/>
      <c r="AV56" s="259"/>
      <c r="AW56" s="259"/>
      <c r="AX56" s="259"/>
      <c r="AY56" s="259"/>
      <c r="AZ56" s="259"/>
      <c r="BA56" s="259"/>
      <c r="BB56" s="259"/>
      <c r="BC56" s="259"/>
      <c r="BD56" s="259"/>
      <c r="BE56" s="259"/>
      <c r="BF56" s="259"/>
      <c r="BG56" s="259"/>
      <c r="BH56" s="259"/>
      <c r="BI56" s="259"/>
      <c r="BJ56" s="259"/>
      <c r="BK56" s="259"/>
    </row>
    <row r="57" spans="1:63" s="133" customFormat="1" ht="12.75">
      <c r="A57" s="169"/>
      <c r="B57" s="307" t="str">
        <f>Servicio_internaColumna_título_total</f>
        <v>Total</v>
      </c>
      <c r="C57" s="308">
        <v>0</v>
      </c>
      <c r="D57" s="309">
        <v>3407369.3374931794</v>
      </c>
      <c r="E57" s="309">
        <v>6589951.9634805238</v>
      </c>
      <c r="F57" s="309">
        <v>5472350.3307486698</v>
      </c>
      <c r="G57" s="309">
        <v>4301993.0438326746</v>
      </c>
      <c r="H57" s="309">
        <v>5144931.7052173065</v>
      </c>
      <c r="I57" s="309">
        <v>5058928.4362440994</v>
      </c>
      <c r="J57" s="309">
        <v>4520827.5015585311</v>
      </c>
      <c r="K57" s="309">
        <v>2445639.6149828807</v>
      </c>
      <c r="L57" s="309">
        <v>984421.74256837275</v>
      </c>
      <c r="M57" s="309">
        <v>4909946.0685200002</v>
      </c>
      <c r="N57" s="309">
        <v>4528545.4601432001</v>
      </c>
      <c r="O57" s="309">
        <v>2135938.3307213401</v>
      </c>
      <c r="P57" s="309">
        <v>0</v>
      </c>
      <c r="Q57" s="309">
        <v>0</v>
      </c>
      <c r="R57" s="309">
        <v>0</v>
      </c>
      <c r="S57" s="309">
        <v>0</v>
      </c>
      <c r="T57" s="309">
        <v>0</v>
      </c>
      <c r="U57" s="309">
        <v>0</v>
      </c>
      <c r="V57" s="309">
        <v>0</v>
      </c>
      <c r="W57" s="309">
        <v>0</v>
      </c>
      <c r="X57" s="309">
        <v>0</v>
      </c>
      <c r="Y57" s="309">
        <v>0</v>
      </c>
      <c r="Z57" s="309">
        <v>0</v>
      </c>
      <c r="AA57" s="309">
        <v>0</v>
      </c>
      <c r="AB57" s="309">
        <v>0</v>
      </c>
      <c r="AC57" s="309">
        <v>0</v>
      </c>
      <c r="AD57" s="309">
        <v>0</v>
      </c>
      <c r="AE57" s="309">
        <v>0</v>
      </c>
      <c r="AF57" s="309">
        <v>0</v>
      </c>
      <c r="AG57" s="309">
        <v>0</v>
      </c>
      <c r="AH57" s="309">
        <v>0</v>
      </c>
      <c r="AI57" s="309">
        <v>0</v>
      </c>
      <c r="AJ57" s="309">
        <v>0</v>
      </c>
      <c r="AK57" s="309">
        <v>0</v>
      </c>
      <c r="AL57" s="309">
        <v>0</v>
      </c>
      <c r="AM57" s="309">
        <v>0</v>
      </c>
      <c r="AN57" s="309">
        <v>0</v>
      </c>
      <c r="AO57" s="309">
        <v>0</v>
      </c>
      <c r="AP57" s="309"/>
      <c r="AQ57" s="309"/>
      <c r="AR57" s="309"/>
      <c r="AS57" s="309"/>
      <c r="AT57" s="309"/>
      <c r="AU57" s="309"/>
      <c r="AV57" s="309"/>
      <c r="AW57" s="309"/>
      <c r="AX57" s="309"/>
      <c r="AY57" s="309"/>
      <c r="AZ57" s="309"/>
      <c r="BA57" s="309"/>
      <c r="BB57" s="309"/>
      <c r="BC57" s="309"/>
      <c r="BD57" s="309"/>
      <c r="BE57" s="309"/>
      <c r="BF57" s="309"/>
      <c r="BG57" s="309"/>
      <c r="BH57" s="309"/>
      <c r="BI57" s="309"/>
      <c r="BJ57" s="309"/>
      <c r="BK57" s="309"/>
    </row>
    <row r="58" spans="1:63" s="80" customFormat="1" ht="12.75">
      <c r="A58" s="167"/>
      <c r="B58" s="210" t="str">
        <f>Servicio_internaColumna_título_amortizaciones</f>
        <v>Amortizaciones</v>
      </c>
      <c r="C58" s="254">
        <v>0</v>
      </c>
      <c r="D58" s="255">
        <v>2797549.6966027715</v>
      </c>
      <c r="E58" s="255">
        <v>6472579.1039469568</v>
      </c>
      <c r="F58" s="255">
        <v>5870172.0482407557</v>
      </c>
      <c r="G58" s="255">
        <v>4403099.211741575</v>
      </c>
      <c r="H58" s="255">
        <v>5178681.4463891322</v>
      </c>
      <c r="I58" s="255">
        <v>5257549.0846045269</v>
      </c>
      <c r="J58" s="255">
        <v>4530068.8661382813</v>
      </c>
      <c r="K58" s="255">
        <v>2668786.9788683564</v>
      </c>
      <c r="L58" s="255">
        <v>988236.68329868407</v>
      </c>
      <c r="M58" s="255">
        <v>4919873.6462300001</v>
      </c>
      <c r="N58" s="255">
        <v>5168277.8130443553</v>
      </c>
      <c r="O58" s="255">
        <v>2135938.3307213401</v>
      </c>
      <c r="P58" s="255">
        <v>0</v>
      </c>
      <c r="Q58" s="255">
        <v>0</v>
      </c>
      <c r="R58" s="255">
        <v>0</v>
      </c>
      <c r="S58" s="255">
        <v>0</v>
      </c>
      <c r="T58" s="255">
        <v>0</v>
      </c>
      <c r="U58" s="255">
        <v>0</v>
      </c>
      <c r="V58" s="255">
        <v>0</v>
      </c>
      <c r="W58" s="255">
        <v>0</v>
      </c>
      <c r="X58" s="255">
        <v>0</v>
      </c>
      <c r="Y58" s="255">
        <v>0</v>
      </c>
      <c r="Z58" s="255">
        <v>0</v>
      </c>
      <c r="AA58" s="255">
        <v>0</v>
      </c>
      <c r="AB58" s="255">
        <v>0</v>
      </c>
      <c r="AC58" s="255">
        <v>0</v>
      </c>
      <c r="AD58" s="255">
        <v>0</v>
      </c>
      <c r="AE58" s="255">
        <v>0</v>
      </c>
      <c r="AF58" s="255">
        <v>0</v>
      </c>
      <c r="AG58" s="255">
        <v>0</v>
      </c>
      <c r="AH58" s="255">
        <v>0</v>
      </c>
      <c r="AI58" s="255">
        <v>0</v>
      </c>
      <c r="AJ58" s="255">
        <v>0</v>
      </c>
      <c r="AK58" s="255">
        <v>0</v>
      </c>
      <c r="AL58" s="255">
        <v>0</v>
      </c>
      <c r="AM58" s="255">
        <v>0</v>
      </c>
      <c r="AN58" s="255">
        <v>0</v>
      </c>
      <c r="AO58" s="255">
        <v>0</v>
      </c>
      <c r="AP58" s="255"/>
      <c r="AQ58" s="255"/>
      <c r="AR58" s="255"/>
      <c r="AS58" s="255"/>
      <c r="AT58" s="255"/>
      <c r="AU58" s="255"/>
      <c r="AV58" s="255"/>
      <c r="AW58" s="255"/>
      <c r="AX58" s="255"/>
      <c r="AY58" s="255"/>
      <c r="AZ58" s="255"/>
      <c r="BA58" s="255"/>
      <c r="BB58" s="255"/>
      <c r="BC58" s="255"/>
      <c r="BD58" s="255"/>
      <c r="BE58" s="255"/>
      <c r="BF58" s="255"/>
      <c r="BG58" s="255"/>
      <c r="BH58" s="255"/>
      <c r="BI58" s="255"/>
      <c r="BJ58" s="255"/>
      <c r="BK58" s="255"/>
    </row>
    <row r="59" spans="1:63" s="133" customFormat="1" ht="12.75">
      <c r="A59" s="168">
        <v>37437</v>
      </c>
      <c r="B59" s="213" t="str">
        <f>Servicio_internaColumna_título_intereses</f>
        <v>Intereses</v>
      </c>
      <c r="C59" s="256">
        <v>0</v>
      </c>
      <c r="D59" s="257">
        <v>7809766.1661990294</v>
      </c>
      <c r="E59" s="257">
        <v>10229415.788506772</v>
      </c>
      <c r="F59" s="257">
        <v>9613813.8251288719</v>
      </c>
      <c r="G59" s="257">
        <v>6662242.979081071</v>
      </c>
      <c r="H59" s="257">
        <v>7447625.5412194384</v>
      </c>
      <c r="I59" s="257">
        <v>6189887.248835884</v>
      </c>
      <c r="J59" s="257">
        <v>5345761.2827049186</v>
      </c>
      <c r="K59" s="257">
        <v>3045285.189874616</v>
      </c>
      <c r="L59" s="257">
        <v>1390665.6822523642</v>
      </c>
      <c r="M59" s="257">
        <v>5704412.3011647556</v>
      </c>
      <c r="N59" s="257">
        <v>5810777.208858517</v>
      </c>
      <c r="O59" s="257">
        <v>2405305.7854852695</v>
      </c>
      <c r="P59" s="257">
        <v>0</v>
      </c>
      <c r="Q59" s="257">
        <v>0</v>
      </c>
      <c r="R59" s="257">
        <v>0</v>
      </c>
      <c r="S59" s="257">
        <v>0</v>
      </c>
      <c r="T59" s="257">
        <v>0</v>
      </c>
      <c r="U59" s="258">
        <v>0</v>
      </c>
      <c r="V59" s="258">
        <v>0</v>
      </c>
      <c r="W59" s="258">
        <v>0</v>
      </c>
      <c r="X59" s="258">
        <v>0</v>
      </c>
      <c r="Y59" s="258">
        <v>0</v>
      </c>
      <c r="Z59" s="258">
        <v>0</v>
      </c>
      <c r="AA59" s="258">
        <v>0</v>
      </c>
      <c r="AB59" s="258">
        <v>0</v>
      </c>
      <c r="AC59" s="258">
        <v>0</v>
      </c>
      <c r="AD59" s="259">
        <v>0</v>
      </c>
      <c r="AE59" s="259">
        <v>0</v>
      </c>
      <c r="AF59" s="259">
        <v>0</v>
      </c>
      <c r="AG59" s="259">
        <v>0</v>
      </c>
      <c r="AH59" s="259">
        <v>0</v>
      </c>
      <c r="AI59" s="259">
        <v>0</v>
      </c>
      <c r="AJ59" s="259">
        <v>0</v>
      </c>
      <c r="AK59" s="259">
        <v>0</v>
      </c>
      <c r="AL59" s="259">
        <v>0</v>
      </c>
      <c r="AM59" s="259">
        <v>0</v>
      </c>
      <c r="AN59" s="259">
        <v>0</v>
      </c>
      <c r="AO59" s="259">
        <v>0</v>
      </c>
      <c r="AP59" s="259"/>
      <c r="AQ59" s="259"/>
      <c r="AR59" s="259"/>
      <c r="AS59" s="259"/>
      <c r="AT59" s="259"/>
      <c r="AU59" s="259"/>
      <c r="AV59" s="259"/>
      <c r="AW59" s="259"/>
      <c r="AX59" s="259"/>
      <c r="AY59" s="259"/>
      <c r="AZ59" s="259"/>
      <c r="BA59" s="259"/>
      <c r="BB59" s="259"/>
      <c r="BC59" s="259"/>
      <c r="BD59" s="259"/>
      <c r="BE59" s="259"/>
      <c r="BF59" s="259"/>
      <c r="BG59" s="259"/>
      <c r="BH59" s="259"/>
      <c r="BI59" s="259"/>
      <c r="BJ59" s="259"/>
      <c r="BK59" s="259"/>
    </row>
    <row r="60" spans="1:63" s="133" customFormat="1" ht="12.75">
      <c r="A60" s="169"/>
      <c r="B60" s="307" t="str">
        <f>Servicio_internaColumna_título_total</f>
        <v>Total</v>
      </c>
      <c r="C60" s="308">
        <v>0</v>
      </c>
      <c r="D60" s="309">
        <v>10607315.862801801</v>
      </c>
      <c r="E60" s="309">
        <v>16701994.89245373</v>
      </c>
      <c r="F60" s="309">
        <v>15483985.873369627</v>
      </c>
      <c r="G60" s="309">
        <v>11065342.190822646</v>
      </c>
      <c r="H60" s="309">
        <v>12626306.987608571</v>
      </c>
      <c r="I60" s="309">
        <v>11447436.333440412</v>
      </c>
      <c r="J60" s="309">
        <v>9875830.148843199</v>
      </c>
      <c r="K60" s="309">
        <v>5714072.1687429724</v>
      </c>
      <c r="L60" s="309">
        <v>2378902.3655510484</v>
      </c>
      <c r="M60" s="309">
        <v>10624285.947394755</v>
      </c>
      <c r="N60" s="309">
        <v>10979055.021902872</v>
      </c>
      <c r="O60" s="309">
        <v>4541244.1162066096</v>
      </c>
      <c r="P60" s="309">
        <v>0</v>
      </c>
      <c r="Q60" s="309">
        <v>0</v>
      </c>
      <c r="R60" s="309">
        <v>0</v>
      </c>
      <c r="S60" s="309">
        <v>0</v>
      </c>
      <c r="T60" s="309">
        <v>0</v>
      </c>
      <c r="U60" s="309">
        <v>0</v>
      </c>
      <c r="V60" s="309">
        <v>0</v>
      </c>
      <c r="W60" s="309">
        <v>0</v>
      </c>
      <c r="X60" s="309">
        <v>0</v>
      </c>
      <c r="Y60" s="309">
        <v>0</v>
      </c>
      <c r="Z60" s="309">
        <v>0</v>
      </c>
      <c r="AA60" s="309">
        <v>0</v>
      </c>
      <c r="AB60" s="309">
        <v>0</v>
      </c>
      <c r="AC60" s="309">
        <v>0</v>
      </c>
      <c r="AD60" s="309">
        <v>0</v>
      </c>
      <c r="AE60" s="309">
        <v>0</v>
      </c>
      <c r="AF60" s="309">
        <v>0</v>
      </c>
      <c r="AG60" s="309">
        <v>0</v>
      </c>
      <c r="AH60" s="309">
        <v>0</v>
      </c>
      <c r="AI60" s="309">
        <v>0</v>
      </c>
      <c r="AJ60" s="309">
        <v>0</v>
      </c>
      <c r="AK60" s="309">
        <v>0</v>
      </c>
      <c r="AL60" s="309">
        <v>0</v>
      </c>
      <c r="AM60" s="309">
        <v>0</v>
      </c>
      <c r="AN60" s="309">
        <v>0</v>
      </c>
      <c r="AO60" s="309">
        <v>0</v>
      </c>
      <c r="AP60" s="309"/>
      <c r="AQ60" s="309"/>
      <c r="AR60" s="309"/>
      <c r="AS60" s="309"/>
      <c r="AT60" s="309"/>
      <c r="AU60" s="309"/>
      <c r="AV60" s="309"/>
      <c r="AW60" s="309"/>
      <c r="AX60" s="309"/>
      <c r="AY60" s="309"/>
      <c r="AZ60" s="309"/>
      <c r="BA60" s="309"/>
      <c r="BB60" s="309"/>
      <c r="BC60" s="309"/>
      <c r="BD60" s="309"/>
      <c r="BE60" s="309"/>
      <c r="BF60" s="309"/>
      <c r="BG60" s="309"/>
      <c r="BH60" s="309"/>
      <c r="BI60" s="309"/>
      <c r="BJ60" s="309"/>
      <c r="BK60" s="309"/>
    </row>
    <row r="61" spans="1:63" s="80" customFormat="1" ht="12.75">
      <c r="A61" s="167"/>
      <c r="B61" s="210" t="str">
        <f>Servicio_internaColumna_título_amortizaciones</f>
        <v>Amortizaciones</v>
      </c>
      <c r="C61" s="254">
        <v>0</v>
      </c>
      <c r="D61" s="255">
        <v>1535019.937590804</v>
      </c>
      <c r="E61" s="255">
        <v>7056911.191740891</v>
      </c>
      <c r="F61" s="255">
        <v>6103990.4379545674</v>
      </c>
      <c r="G61" s="255">
        <v>4550149.334558296</v>
      </c>
      <c r="H61" s="255">
        <v>5237818.7974118683</v>
      </c>
      <c r="I61" s="255">
        <v>5340993.5252222633</v>
      </c>
      <c r="J61" s="255">
        <v>4535737.3340648115</v>
      </c>
      <c r="K61" s="255">
        <v>2815118.6766470857</v>
      </c>
      <c r="L61" s="255">
        <v>990774.18589362304</v>
      </c>
      <c r="M61" s="255">
        <v>4926879.7915400006</v>
      </c>
      <c r="N61" s="255">
        <v>5276829.7021173844</v>
      </c>
      <c r="O61" s="255">
        <v>2135938.3307213401</v>
      </c>
      <c r="P61" s="255">
        <v>0</v>
      </c>
      <c r="Q61" s="255">
        <v>0</v>
      </c>
      <c r="R61" s="255">
        <v>0</v>
      </c>
      <c r="S61" s="255">
        <v>0</v>
      </c>
      <c r="T61" s="255">
        <v>0</v>
      </c>
      <c r="U61" s="255">
        <v>0</v>
      </c>
      <c r="V61" s="255">
        <v>0</v>
      </c>
      <c r="W61" s="255">
        <v>0</v>
      </c>
      <c r="X61" s="255">
        <v>0</v>
      </c>
      <c r="Y61" s="255">
        <v>0</v>
      </c>
      <c r="Z61" s="255">
        <v>0</v>
      </c>
      <c r="AA61" s="255">
        <v>0</v>
      </c>
      <c r="AB61" s="255">
        <v>0</v>
      </c>
      <c r="AC61" s="255">
        <v>0</v>
      </c>
      <c r="AD61" s="255">
        <v>0</v>
      </c>
      <c r="AE61" s="255">
        <v>0</v>
      </c>
      <c r="AF61" s="255">
        <v>0</v>
      </c>
      <c r="AG61" s="255">
        <v>0</v>
      </c>
      <c r="AH61" s="255">
        <v>0</v>
      </c>
      <c r="AI61" s="255">
        <v>0</v>
      </c>
      <c r="AJ61" s="255">
        <v>0</v>
      </c>
      <c r="AK61" s="255">
        <v>0</v>
      </c>
      <c r="AL61" s="255">
        <v>0</v>
      </c>
      <c r="AM61" s="255">
        <v>0</v>
      </c>
      <c r="AN61" s="255">
        <v>0</v>
      </c>
      <c r="AO61" s="255">
        <v>0</v>
      </c>
      <c r="AP61" s="255"/>
      <c r="AQ61" s="255"/>
      <c r="AR61" s="255"/>
      <c r="AS61" s="255"/>
      <c r="AT61" s="255"/>
      <c r="AU61" s="255"/>
      <c r="AV61" s="255"/>
      <c r="AW61" s="255"/>
      <c r="AX61" s="255"/>
      <c r="AY61" s="255"/>
      <c r="AZ61" s="255"/>
      <c r="BA61" s="255"/>
      <c r="BB61" s="255"/>
      <c r="BC61" s="255"/>
      <c r="BD61" s="255"/>
      <c r="BE61" s="255"/>
      <c r="BF61" s="255"/>
      <c r="BG61" s="255"/>
      <c r="BH61" s="255"/>
      <c r="BI61" s="255"/>
      <c r="BJ61" s="255"/>
      <c r="BK61" s="255"/>
    </row>
    <row r="62" spans="1:63" s="133" customFormat="1" ht="12.75">
      <c r="A62" s="168">
        <v>37468</v>
      </c>
      <c r="B62" s="213" t="str">
        <f>Servicio_internaColumna_título_intereses</f>
        <v>Intereses</v>
      </c>
      <c r="C62" s="256">
        <v>0</v>
      </c>
      <c r="D62" s="257">
        <v>7809766.1661990294</v>
      </c>
      <c r="E62" s="257">
        <v>10229415.788506772</v>
      </c>
      <c r="F62" s="257">
        <v>9613813.8251288719</v>
      </c>
      <c r="G62" s="257">
        <v>6662242.979081071</v>
      </c>
      <c r="H62" s="257">
        <v>7447625.5412194384</v>
      </c>
      <c r="I62" s="257">
        <v>6189887.248835884</v>
      </c>
      <c r="J62" s="257">
        <v>5345761.2827049186</v>
      </c>
      <c r="K62" s="257">
        <v>3045285.189874616</v>
      </c>
      <c r="L62" s="257">
        <v>1390665.6822523642</v>
      </c>
      <c r="M62" s="257">
        <v>5704412.3011647556</v>
      </c>
      <c r="N62" s="257">
        <v>5810777.208858517</v>
      </c>
      <c r="O62" s="257">
        <v>2405305.7854852695</v>
      </c>
      <c r="P62" s="257">
        <v>0</v>
      </c>
      <c r="Q62" s="257">
        <v>0</v>
      </c>
      <c r="R62" s="257">
        <v>0</v>
      </c>
      <c r="S62" s="257">
        <v>0</v>
      </c>
      <c r="T62" s="257">
        <v>0</v>
      </c>
      <c r="U62" s="258">
        <v>0</v>
      </c>
      <c r="V62" s="258">
        <v>0</v>
      </c>
      <c r="W62" s="258">
        <v>0</v>
      </c>
      <c r="X62" s="258">
        <v>0</v>
      </c>
      <c r="Y62" s="258">
        <v>0</v>
      </c>
      <c r="Z62" s="258">
        <v>0</v>
      </c>
      <c r="AA62" s="258">
        <v>0</v>
      </c>
      <c r="AB62" s="258">
        <v>0</v>
      </c>
      <c r="AC62" s="258">
        <v>0</v>
      </c>
      <c r="AD62" s="259">
        <v>0</v>
      </c>
      <c r="AE62" s="259">
        <v>0</v>
      </c>
      <c r="AF62" s="259">
        <v>0</v>
      </c>
      <c r="AG62" s="259">
        <v>0</v>
      </c>
      <c r="AH62" s="259">
        <v>0</v>
      </c>
      <c r="AI62" s="259">
        <v>0</v>
      </c>
      <c r="AJ62" s="259">
        <v>0</v>
      </c>
      <c r="AK62" s="259">
        <v>0</v>
      </c>
      <c r="AL62" s="259">
        <v>0</v>
      </c>
      <c r="AM62" s="259">
        <v>0</v>
      </c>
      <c r="AN62" s="259">
        <v>0</v>
      </c>
      <c r="AO62" s="259">
        <v>0</v>
      </c>
      <c r="AP62" s="259"/>
      <c r="AQ62" s="259"/>
      <c r="AR62" s="259"/>
      <c r="AS62" s="259"/>
      <c r="AT62" s="259"/>
      <c r="AU62" s="259"/>
      <c r="AV62" s="259"/>
      <c r="AW62" s="259"/>
      <c r="AX62" s="259"/>
      <c r="AY62" s="259"/>
      <c r="AZ62" s="259"/>
      <c r="BA62" s="259"/>
      <c r="BB62" s="259"/>
      <c r="BC62" s="259"/>
      <c r="BD62" s="259"/>
      <c r="BE62" s="259"/>
      <c r="BF62" s="259"/>
      <c r="BG62" s="259"/>
      <c r="BH62" s="259"/>
      <c r="BI62" s="259"/>
      <c r="BJ62" s="259"/>
      <c r="BK62" s="259"/>
    </row>
    <row r="63" spans="1:63" s="133" customFormat="1" ht="12.75">
      <c r="A63" s="169"/>
      <c r="B63" s="307" t="str">
        <f>Servicio_internaColumna_título_total</f>
        <v>Total</v>
      </c>
      <c r="C63" s="308">
        <v>0</v>
      </c>
      <c r="D63" s="309">
        <v>9344786.1037898324</v>
      </c>
      <c r="E63" s="309">
        <v>17286326.980247661</v>
      </c>
      <c r="F63" s="309">
        <v>15717804.263083439</v>
      </c>
      <c r="G63" s="309">
        <v>11212392.313639367</v>
      </c>
      <c r="H63" s="309">
        <v>12685444.338631306</v>
      </c>
      <c r="I63" s="309">
        <v>11530880.774058148</v>
      </c>
      <c r="J63" s="309">
        <v>9881498.616769731</v>
      </c>
      <c r="K63" s="309">
        <v>5860403.8665217012</v>
      </c>
      <c r="L63" s="309">
        <v>2381439.8681459874</v>
      </c>
      <c r="M63" s="309">
        <v>10631292.092704756</v>
      </c>
      <c r="N63" s="309">
        <v>11087606.910975901</v>
      </c>
      <c r="O63" s="309">
        <v>4541244.1162066096</v>
      </c>
      <c r="P63" s="309">
        <v>0</v>
      </c>
      <c r="Q63" s="309">
        <v>0</v>
      </c>
      <c r="R63" s="309">
        <v>0</v>
      </c>
      <c r="S63" s="309">
        <v>0</v>
      </c>
      <c r="T63" s="309">
        <v>0</v>
      </c>
      <c r="U63" s="309">
        <v>0</v>
      </c>
      <c r="V63" s="309">
        <v>0</v>
      </c>
      <c r="W63" s="309">
        <v>0</v>
      </c>
      <c r="X63" s="309">
        <v>0</v>
      </c>
      <c r="Y63" s="309">
        <v>0</v>
      </c>
      <c r="Z63" s="309">
        <v>0</v>
      </c>
      <c r="AA63" s="309">
        <v>0</v>
      </c>
      <c r="AB63" s="309">
        <v>0</v>
      </c>
      <c r="AC63" s="309">
        <v>0</v>
      </c>
      <c r="AD63" s="309">
        <v>0</v>
      </c>
      <c r="AE63" s="309">
        <v>0</v>
      </c>
      <c r="AF63" s="309">
        <v>0</v>
      </c>
      <c r="AG63" s="309">
        <v>0</v>
      </c>
      <c r="AH63" s="309">
        <v>0</v>
      </c>
      <c r="AI63" s="309">
        <v>0</v>
      </c>
      <c r="AJ63" s="309">
        <v>0</v>
      </c>
      <c r="AK63" s="309">
        <v>0</v>
      </c>
      <c r="AL63" s="309">
        <v>0</v>
      </c>
      <c r="AM63" s="309">
        <v>0</v>
      </c>
      <c r="AN63" s="309">
        <v>0</v>
      </c>
      <c r="AO63" s="309">
        <v>0</v>
      </c>
      <c r="AP63" s="309"/>
      <c r="AQ63" s="309"/>
      <c r="AR63" s="309"/>
      <c r="AS63" s="309"/>
      <c r="AT63" s="309"/>
      <c r="AU63" s="309"/>
      <c r="AV63" s="309"/>
      <c r="AW63" s="309"/>
      <c r="AX63" s="309"/>
      <c r="AY63" s="309"/>
      <c r="AZ63" s="309"/>
      <c r="BA63" s="309"/>
      <c r="BB63" s="309"/>
      <c r="BC63" s="309"/>
      <c r="BD63" s="309"/>
      <c r="BE63" s="309"/>
      <c r="BF63" s="309"/>
      <c r="BG63" s="309"/>
      <c r="BH63" s="309"/>
      <c r="BI63" s="309"/>
      <c r="BJ63" s="309"/>
      <c r="BK63" s="309"/>
    </row>
    <row r="64" spans="1:63" s="80" customFormat="1" ht="12.75">
      <c r="A64" s="167"/>
      <c r="B64" s="210" t="str">
        <f>Servicio_internaColumna_título_amortizaciones</f>
        <v>Amortizaciones</v>
      </c>
      <c r="C64" s="254">
        <v>0</v>
      </c>
      <c r="D64" s="255">
        <v>1090625.425334367</v>
      </c>
      <c r="E64" s="255">
        <v>7203262.4516690485</v>
      </c>
      <c r="F64" s="255">
        <v>6200092.9196855435</v>
      </c>
      <c r="G64" s="255">
        <v>4568699.6350415321</v>
      </c>
      <c r="H64" s="255">
        <v>5268288.5078961207</v>
      </c>
      <c r="I64" s="255">
        <v>5364207.1096320869</v>
      </c>
      <c r="J64" s="255">
        <v>4542349.2836461635</v>
      </c>
      <c r="K64" s="255">
        <v>2843610.041232653</v>
      </c>
      <c r="L64" s="255">
        <v>995887.4796229616</v>
      </c>
      <c r="M64" s="255">
        <v>4929824.5107200006</v>
      </c>
      <c r="N64" s="255">
        <v>5332147.5931994142</v>
      </c>
      <c r="O64" s="255">
        <v>2135938.3307213401</v>
      </c>
      <c r="P64" s="255">
        <v>0</v>
      </c>
      <c r="Q64" s="255">
        <v>0</v>
      </c>
      <c r="R64" s="255">
        <v>0</v>
      </c>
      <c r="S64" s="255">
        <v>0</v>
      </c>
      <c r="T64" s="255">
        <v>0</v>
      </c>
      <c r="U64" s="255">
        <v>0</v>
      </c>
      <c r="V64" s="255">
        <v>0</v>
      </c>
      <c r="W64" s="255">
        <v>0</v>
      </c>
      <c r="X64" s="255">
        <v>0</v>
      </c>
      <c r="Y64" s="255">
        <v>0</v>
      </c>
      <c r="Z64" s="255">
        <v>0</v>
      </c>
      <c r="AA64" s="255">
        <v>0</v>
      </c>
      <c r="AB64" s="255">
        <v>0</v>
      </c>
      <c r="AC64" s="255">
        <v>0</v>
      </c>
      <c r="AD64" s="255">
        <v>0</v>
      </c>
      <c r="AE64" s="255">
        <v>0</v>
      </c>
      <c r="AF64" s="255">
        <v>0</v>
      </c>
      <c r="AG64" s="255">
        <v>0</v>
      </c>
      <c r="AH64" s="255">
        <v>0</v>
      </c>
      <c r="AI64" s="255">
        <v>0</v>
      </c>
      <c r="AJ64" s="255">
        <v>0</v>
      </c>
      <c r="AK64" s="255">
        <v>0</v>
      </c>
      <c r="AL64" s="255">
        <v>0</v>
      </c>
      <c r="AM64" s="255">
        <v>0</v>
      </c>
      <c r="AN64" s="255">
        <v>0</v>
      </c>
      <c r="AO64" s="255">
        <v>0</v>
      </c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  <c r="BD64" s="255"/>
      <c r="BE64" s="255"/>
      <c r="BF64" s="255"/>
      <c r="BG64" s="255"/>
      <c r="BH64" s="255"/>
      <c r="BI64" s="255"/>
      <c r="BJ64" s="255"/>
      <c r="BK64" s="255"/>
    </row>
    <row r="65" spans="1:63" s="133" customFormat="1" ht="12.75">
      <c r="A65" s="168">
        <v>37499</v>
      </c>
      <c r="B65" s="213" t="str">
        <f>Servicio_internaColumna_título_intereses</f>
        <v>Intereses</v>
      </c>
      <c r="C65" s="256">
        <v>0</v>
      </c>
      <c r="D65" s="257">
        <v>5255063.1569828046</v>
      </c>
      <c r="E65" s="257">
        <v>5051190.4355401881</v>
      </c>
      <c r="F65" s="257">
        <v>4225036.4501884719</v>
      </c>
      <c r="G65" s="257">
        <v>3472714.1734258831</v>
      </c>
      <c r="H65" s="257">
        <v>3036374.6854604343</v>
      </c>
      <c r="I65" s="257">
        <v>2473458.7052355353</v>
      </c>
      <c r="J65" s="257">
        <v>1997824.6545528984</v>
      </c>
      <c r="K65" s="257">
        <v>1666336.3038697783</v>
      </c>
      <c r="L65" s="257">
        <v>1392181.1513362178</v>
      </c>
      <c r="M65" s="257">
        <v>1394934.1437505186</v>
      </c>
      <c r="N65" s="257">
        <v>887505.64205009025</v>
      </c>
      <c r="O65" s="257">
        <v>269367.45476392936</v>
      </c>
      <c r="P65" s="257">
        <v>0</v>
      </c>
      <c r="Q65" s="257">
        <v>0</v>
      </c>
      <c r="R65" s="257">
        <v>0</v>
      </c>
      <c r="S65" s="257">
        <v>0</v>
      </c>
      <c r="T65" s="257">
        <v>0</v>
      </c>
      <c r="U65" s="258">
        <v>0</v>
      </c>
      <c r="V65" s="258">
        <v>0</v>
      </c>
      <c r="W65" s="258">
        <v>0</v>
      </c>
      <c r="X65" s="258">
        <v>0</v>
      </c>
      <c r="Y65" s="258">
        <v>0</v>
      </c>
      <c r="Z65" s="258">
        <v>0</v>
      </c>
      <c r="AA65" s="258">
        <v>0</v>
      </c>
      <c r="AB65" s="258">
        <v>0</v>
      </c>
      <c r="AC65" s="258">
        <v>0</v>
      </c>
      <c r="AD65" s="259">
        <v>0</v>
      </c>
      <c r="AE65" s="259">
        <v>0</v>
      </c>
      <c r="AF65" s="259">
        <v>0</v>
      </c>
      <c r="AG65" s="259">
        <v>0</v>
      </c>
      <c r="AH65" s="259">
        <v>0</v>
      </c>
      <c r="AI65" s="259">
        <v>0</v>
      </c>
      <c r="AJ65" s="259">
        <v>0</v>
      </c>
      <c r="AK65" s="259">
        <v>0</v>
      </c>
      <c r="AL65" s="259">
        <v>0</v>
      </c>
      <c r="AM65" s="259">
        <v>0</v>
      </c>
      <c r="AN65" s="259">
        <v>0</v>
      </c>
      <c r="AO65" s="259">
        <v>0</v>
      </c>
      <c r="AP65" s="259"/>
      <c r="AQ65" s="259"/>
      <c r="AR65" s="259"/>
      <c r="AS65" s="259"/>
      <c r="AT65" s="259"/>
      <c r="AU65" s="259"/>
      <c r="AV65" s="259"/>
      <c r="AW65" s="259"/>
      <c r="AX65" s="259"/>
      <c r="AY65" s="259"/>
      <c r="AZ65" s="259"/>
      <c r="BA65" s="259"/>
      <c r="BB65" s="259"/>
      <c r="BC65" s="259"/>
      <c r="BD65" s="259"/>
      <c r="BE65" s="259"/>
      <c r="BF65" s="259"/>
      <c r="BG65" s="259"/>
      <c r="BH65" s="259"/>
      <c r="BI65" s="259"/>
      <c r="BJ65" s="259"/>
      <c r="BK65" s="259"/>
    </row>
    <row r="66" spans="1:63" s="133" customFormat="1" ht="12.75">
      <c r="A66" s="169"/>
      <c r="B66" s="307" t="str">
        <f>Servicio_internaColumna_título_total</f>
        <v>Total</v>
      </c>
      <c r="C66" s="308">
        <v>0</v>
      </c>
      <c r="D66" s="309">
        <v>6345688.5823171716</v>
      </c>
      <c r="E66" s="309">
        <v>12254452.887209237</v>
      </c>
      <c r="F66" s="309">
        <v>10425129.369874015</v>
      </c>
      <c r="G66" s="309">
        <v>8041413.8084674152</v>
      </c>
      <c r="H66" s="309">
        <v>8304663.193356555</v>
      </c>
      <c r="I66" s="309">
        <v>7837665.8148676222</v>
      </c>
      <c r="J66" s="309">
        <v>6540173.9381990619</v>
      </c>
      <c r="K66" s="309">
        <v>4509946.3451024313</v>
      </c>
      <c r="L66" s="309">
        <v>2388068.6309591793</v>
      </c>
      <c r="M66" s="309">
        <v>6324758.6544705192</v>
      </c>
      <c r="N66" s="309">
        <v>6219653.2352495044</v>
      </c>
      <c r="O66" s="309">
        <v>2405305.7854852695</v>
      </c>
      <c r="P66" s="309">
        <v>0</v>
      </c>
      <c r="Q66" s="309">
        <v>0</v>
      </c>
      <c r="R66" s="309">
        <v>0</v>
      </c>
      <c r="S66" s="309">
        <v>0</v>
      </c>
      <c r="T66" s="309">
        <v>0</v>
      </c>
      <c r="U66" s="309">
        <v>0</v>
      </c>
      <c r="V66" s="309">
        <v>0</v>
      </c>
      <c r="W66" s="309">
        <v>0</v>
      </c>
      <c r="X66" s="309">
        <v>0</v>
      </c>
      <c r="Y66" s="309">
        <v>0</v>
      </c>
      <c r="Z66" s="309">
        <v>0</v>
      </c>
      <c r="AA66" s="309">
        <v>0</v>
      </c>
      <c r="AB66" s="309">
        <v>0</v>
      </c>
      <c r="AC66" s="309">
        <v>0</v>
      </c>
      <c r="AD66" s="309">
        <v>0</v>
      </c>
      <c r="AE66" s="309">
        <v>0</v>
      </c>
      <c r="AF66" s="309">
        <v>0</v>
      </c>
      <c r="AG66" s="309">
        <v>0</v>
      </c>
      <c r="AH66" s="309">
        <v>0</v>
      </c>
      <c r="AI66" s="309">
        <v>0</v>
      </c>
      <c r="AJ66" s="309">
        <v>0</v>
      </c>
      <c r="AK66" s="309">
        <v>0</v>
      </c>
      <c r="AL66" s="309">
        <v>0</v>
      </c>
      <c r="AM66" s="309">
        <v>0</v>
      </c>
      <c r="AN66" s="309">
        <v>0</v>
      </c>
      <c r="AO66" s="309">
        <v>0</v>
      </c>
      <c r="AP66" s="309"/>
      <c r="AQ66" s="309"/>
      <c r="AR66" s="309"/>
      <c r="AS66" s="309"/>
      <c r="AT66" s="309"/>
      <c r="AU66" s="309"/>
      <c r="AV66" s="309"/>
      <c r="AW66" s="309"/>
      <c r="AX66" s="309"/>
      <c r="AY66" s="309"/>
      <c r="AZ66" s="309"/>
      <c r="BA66" s="309"/>
      <c r="BB66" s="309"/>
      <c r="BC66" s="309"/>
      <c r="BD66" s="309"/>
      <c r="BE66" s="309"/>
      <c r="BF66" s="309"/>
      <c r="BG66" s="309"/>
      <c r="BH66" s="309"/>
      <c r="BI66" s="309"/>
      <c r="BJ66" s="309"/>
      <c r="BK66" s="309"/>
    </row>
    <row r="67" spans="1:63" s="80" customFormat="1" ht="12.75">
      <c r="A67" s="167"/>
      <c r="B67" s="210" t="str">
        <f>Servicio_internaColumna_título_amortizaciones</f>
        <v>Amortizaciones</v>
      </c>
      <c r="C67" s="254">
        <v>0</v>
      </c>
      <c r="D67" s="255">
        <v>598888.24539150787</v>
      </c>
      <c r="E67" s="255">
        <v>7389810.3196997829</v>
      </c>
      <c r="F67" s="255">
        <v>6258799.5765401106</v>
      </c>
      <c r="G67" s="255">
        <v>4640868.3708569128</v>
      </c>
      <c r="H67" s="255">
        <v>5293937.3601089837</v>
      </c>
      <c r="I67" s="255">
        <v>5386249.468047116</v>
      </c>
      <c r="J67" s="255">
        <v>4546995.9622563571</v>
      </c>
      <c r="K67" s="255">
        <v>2861060.6755609275</v>
      </c>
      <c r="L67" s="255">
        <v>993611.32629387418</v>
      </c>
      <c r="M67" s="255">
        <v>4930563.3952299999</v>
      </c>
      <c r="N67" s="255">
        <v>5375266.1772362944</v>
      </c>
      <c r="O67" s="255">
        <v>2135938.3307213401</v>
      </c>
      <c r="P67" s="255">
        <v>0</v>
      </c>
      <c r="Q67" s="255">
        <v>0</v>
      </c>
      <c r="R67" s="255">
        <v>0</v>
      </c>
      <c r="S67" s="255">
        <v>0</v>
      </c>
      <c r="T67" s="255">
        <v>0</v>
      </c>
      <c r="U67" s="255">
        <v>0</v>
      </c>
      <c r="V67" s="255">
        <v>0</v>
      </c>
      <c r="W67" s="255">
        <v>0</v>
      </c>
      <c r="X67" s="255">
        <v>0</v>
      </c>
      <c r="Y67" s="255">
        <v>0</v>
      </c>
      <c r="Z67" s="255">
        <v>0</v>
      </c>
      <c r="AA67" s="255">
        <v>0</v>
      </c>
      <c r="AB67" s="255">
        <v>0</v>
      </c>
      <c r="AC67" s="255">
        <v>0</v>
      </c>
      <c r="AD67" s="255">
        <v>0</v>
      </c>
      <c r="AE67" s="255">
        <v>0</v>
      </c>
      <c r="AF67" s="255">
        <v>0</v>
      </c>
      <c r="AG67" s="255">
        <v>0</v>
      </c>
      <c r="AH67" s="255">
        <v>0</v>
      </c>
      <c r="AI67" s="255">
        <v>0</v>
      </c>
      <c r="AJ67" s="255">
        <v>0</v>
      </c>
      <c r="AK67" s="255">
        <v>0</v>
      </c>
      <c r="AL67" s="255">
        <v>0</v>
      </c>
      <c r="AM67" s="255">
        <v>0</v>
      </c>
      <c r="AN67" s="255">
        <v>0</v>
      </c>
      <c r="AO67" s="255">
        <v>0</v>
      </c>
      <c r="AP67" s="255"/>
      <c r="AQ67" s="255"/>
      <c r="AR67" s="255"/>
      <c r="AS67" s="255"/>
      <c r="AT67" s="255"/>
      <c r="AU67" s="255"/>
      <c r="AV67" s="255"/>
      <c r="AW67" s="255"/>
      <c r="AX67" s="255"/>
      <c r="AY67" s="255"/>
      <c r="AZ67" s="255"/>
      <c r="BA67" s="255"/>
      <c r="BB67" s="255"/>
      <c r="BC67" s="255"/>
      <c r="BD67" s="255"/>
      <c r="BE67" s="255"/>
      <c r="BF67" s="255"/>
      <c r="BG67" s="255"/>
      <c r="BH67" s="255"/>
      <c r="BI67" s="255"/>
      <c r="BJ67" s="255"/>
      <c r="BK67" s="255"/>
    </row>
    <row r="68" spans="1:63" s="133" customFormat="1" ht="12.75">
      <c r="A68" s="168">
        <v>37529</v>
      </c>
      <c r="B68" s="213" t="str">
        <f>Servicio_internaColumna_título_intereses</f>
        <v>Intereses</v>
      </c>
      <c r="C68" s="256">
        <v>0</v>
      </c>
      <c r="D68" s="257">
        <v>7809766.1661990294</v>
      </c>
      <c r="E68" s="257">
        <v>10229415.788506772</v>
      </c>
      <c r="F68" s="257">
        <v>9613813.8251288719</v>
      </c>
      <c r="G68" s="257">
        <v>6662242.979081071</v>
      </c>
      <c r="H68" s="257">
        <v>7447625.5412194384</v>
      </c>
      <c r="I68" s="257">
        <v>6189887.248835884</v>
      </c>
      <c r="J68" s="257">
        <v>5345761.2827049186</v>
      </c>
      <c r="K68" s="257">
        <v>3045285.189874616</v>
      </c>
      <c r="L68" s="257">
        <v>1390665.6822523642</v>
      </c>
      <c r="M68" s="257">
        <v>5704412.3011647556</v>
      </c>
      <c r="N68" s="257">
        <v>5810777.208858517</v>
      </c>
      <c r="O68" s="257">
        <v>2405305.7854852695</v>
      </c>
      <c r="P68" s="257">
        <v>0</v>
      </c>
      <c r="Q68" s="257">
        <v>0</v>
      </c>
      <c r="R68" s="257">
        <v>0</v>
      </c>
      <c r="S68" s="257">
        <v>0</v>
      </c>
      <c r="T68" s="257">
        <v>0</v>
      </c>
      <c r="U68" s="258">
        <v>0</v>
      </c>
      <c r="V68" s="258">
        <v>0</v>
      </c>
      <c r="W68" s="258">
        <v>0</v>
      </c>
      <c r="X68" s="258">
        <v>0</v>
      </c>
      <c r="Y68" s="258">
        <v>0</v>
      </c>
      <c r="Z68" s="258">
        <v>0</v>
      </c>
      <c r="AA68" s="258">
        <v>0</v>
      </c>
      <c r="AB68" s="258">
        <v>0</v>
      </c>
      <c r="AC68" s="258">
        <v>0</v>
      </c>
      <c r="AD68" s="259">
        <v>0</v>
      </c>
      <c r="AE68" s="259">
        <v>0</v>
      </c>
      <c r="AF68" s="259">
        <v>0</v>
      </c>
      <c r="AG68" s="259">
        <v>0</v>
      </c>
      <c r="AH68" s="259">
        <v>0</v>
      </c>
      <c r="AI68" s="259">
        <v>0</v>
      </c>
      <c r="AJ68" s="259">
        <v>0</v>
      </c>
      <c r="AK68" s="259">
        <v>0</v>
      </c>
      <c r="AL68" s="259">
        <v>0</v>
      </c>
      <c r="AM68" s="259">
        <v>0</v>
      </c>
      <c r="AN68" s="259">
        <v>0</v>
      </c>
      <c r="AO68" s="259">
        <v>0</v>
      </c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</row>
    <row r="69" spans="1:63" s="133" customFormat="1" ht="12.75">
      <c r="A69" s="169"/>
      <c r="B69" s="307" t="str">
        <f>Servicio_internaColumna_título_total</f>
        <v>Total</v>
      </c>
      <c r="C69" s="308">
        <v>0</v>
      </c>
      <c r="D69" s="309">
        <v>5331704.2563456092</v>
      </c>
      <c r="E69" s="309">
        <v>5190304.2682566717</v>
      </c>
      <c r="F69" s="309">
        <v>4340803.374411487</v>
      </c>
      <c r="G69" s="309">
        <v>3591023.2981827445</v>
      </c>
      <c r="H69" s="309">
        <v>3137340.0960594141</v>
      </c>
      <c r="I69" s="309">
        <v>2584732.043476454</v>
      </c>
      <c r="J69" s="309">
        <v>2098161.1126694693</v>
      </c>
      <c r="K69" s="309">
        <v>1665261.7184736044</v>
      </c>
      <c r="L69" s="309">
        <v>1392112.1635292692</v>
      </c>
      <c r="M69" s="309">
        <v>1395014.0477194311</v>
      </c>
      <c r="N69" s="309">
        <v>887594.22813683189</v>
      </c>
      <c r="O69" s="309">
        <v>269367.4547639708</v>
      </c>
      <c r="P69" s="309">
        <v>0</v>
      </c>
      <c r="Q69" s="309">
        <v>0</v>
      </c>
      <c r="R69" s="309">
        <v>0</v>
      </c>
      <c r="S69" s="309">
        <v>0</v>
      </c>
      <c r="T69" s="309">
        <v>0</v>
      </c>
      <c r="U69" s="309">
        <v>0</v>
      </c>
      <c r="V69" s="309">
        <v>0</v>
      </c>
      <c r="W69" s="309">
        <v>0</v>
      </c>
      <c r="X69" s="309">
        <v>0</v>
      </c>
      <c r="Y69" s="309">
        <v>0</v>
      </c>
      <c r="Z69" s="309">
        <v>0</v>
      </c>
      <c r="AA69" s="309">
        <v>0</v>
      </c>
      <c r="AB69" s="309">
        <v>0</v>
      </c>
      <c r="AC69" s="309">
        <v>0</v>
      </c>
      <c r="AD69" s="309">
        <v>0</v>
      </c>
      <c r="AE69" s="309">
        <v>0</v>
      </c>
      <c r="AF69" s="309">
        <v>0</v>
      </c>
      <c r="AG69" s="309">
        <v>0</v>
      </c>
      <c r="AH69" s="309">
        <v>0</v>
      </c>
      <c r="AI69" s="309">
        <v>0</v>
      </c>
      <c r="AJ69" s="309">
        <v>0</v>
      </c>
      <c r="AK69" s="309">
        <v>0</v>
      </c>
      <c r="AL69" s="309">
        <v>0</v>
      </c>
      <c r="AM69" s="309">
        <v>0</v>
      </c>
      <c r="AN69" s="309">
        <v>0</v>
      </c>
      <c r="AO69" s="309">
        <v>0</v>
      </c>
      <c r="AP69" s="309"/>
      <c r="AQ69" s="309"/>
      <c r="AR69" s="309"/>
      <c r="AS69" s="309"/>
      <c r="AT69" s="309"/>
      <c r="AU69" s="309"/>
      <c r="AV69" s="309"/>
      <c r="AW69" s="309"/>
      <c r="AX69" s="309"/>
      <c r="AY69" s="309"/>
      <c r="AZ69" s="309"/>
      <c r="BA69" s="309"/>
      <c r="BB69" s="309"/>
      <c r="BC69" s="309"/>
      <c r="BD69" s="309"/>
      <c r="BE69" s="309"/>
      <c r="BF69" s="309"/>
      <c r="BG69" s="309"/>
      <c r="BH69" s="309"/>
      <c r="BI69" s="309"/>
      <c r="BJ69" s="309"/>
      <c r="BK69" s="309"/>
    </row>
    <row r="70" spans="1:63" s="80" customFormat="1" ht="12.75">
      <c r="A70" s="167"/>
      <c r="B70" s="210" t="str">
        <f>Servicio_internaColumna_título_amortizaciones</f>
        <v>Amortizaciones</v>
      </c>
      <c r="C70" s="254">
        <v>0</v>
      </c>
      <c r="D70" s="255">
        <v>151654.80788409826</v>
      </c>
      <c r="E70" s="255">
        <v>7556880.4058101354</v>
      </c>
      <c r="F70" s="255">
        <v>6284538.4258487551</v>
      </c>
      <c r="G70" s="255">
        <v>4898257.8250740087</v>
      </c>
      <c r="H70" s="255">
        <v>5289852.6469928361</v>
      </c>
      <c r="I70" s="255">
        <v>5488826.3056769539</v>
      </c>
      <c r="J70" s="255">
        <v>4552013.7565639988</v>
      </c>
      <c r="K70" s="255">
        <v>2866879.5090635293</v>
      </c>
      <c r="L70" s="255">
        <v>995193.95192435803</v>
      </c>
      <c r="M70" s="255">
        <v>4936251.4783680001</v>
      </c>
      <c r="N70" s="255">
        <v>5428495.4222546378</v>
      </c>
      <c r="O70" s="255">
        <v>2135938.3307213401</v>
      </c>
      <c r="P70" s="255">
        <v>0</v>
      </c>
      <c r="Q70" s="255">
        <v>0</v>
      </c>
      <c r="R70" s="255">
        <v>0</v>
      </c>
      <c r="S70" s="255">
        <v>0</v>
      </c>
      <c r="T70" s="255">
        <v>0</v>
      </c>
      <c r="U70" s="255">
        <v>0</v>
      </c>
      <c r="V70" s="255">
        <v>0</v>
      </c>
      <c r="W70" s="255">
        <v>0</v>
      </c>
      <c r="X70" s="255">
        <v>0</v>
      </c>
      <c r="Y70" s="255">
        <v>0</v>
      </c>
      <c r="Z70" s="255">
        <v>0</v>
      </c>
      <c r="AA70" s="255">
        <v>0</v>
      </c>
      <c r="AB70" s="255">
        <v>0</v>
      </c>
      <c r="AC70" s="255">
        <v>0</v>
      </c>
      <c r="AD70" s="255">
        <v>0</v>
      </c>
      <c r="AE70" s="255">
        <v>0</v>
      </c>
      <c r="AF70" s="255">
        <v>0</v>
      </c>
      <c r="AG70" s="255">
        <v>0</v>
      </c>
      <c r="AH70" s="255">
        <v>0</v>
      </c>
      <c r="AI70" s="255">
        <v>0</v>
      </c>
      <c r="AJ70" s="255">
        <v>0</v>
      </c>
      <c r="AK70" s="255">
        <v>0</v>
      </c>
      <c r="AL70" s="255">
        <v>0</v>
      </c>
      <c r="AM70" s="255">
        <v>0</v>
      </c>
      <c r="AN70" s="255">
        <v>0</v>
      </c>
      <c r="AO70" s="255">
        <v>0</v>
      </c>
      <c r="AP70" s="255"/>
      <c r="AQ70" s="255"/>
      <c r="AR70" s="255"/>
      <c r="AS70" s="255"/>
      <c r="AT70" s="255"/>
      <c r="AU70" s="255"/>
      <c r="AV70" s="255"/>
      <c r="AW70" s="255"/>
      <c r="AX70" s="255"/>
      <c r="AY70" s="255"/>
      <c r="AZ70" s="255"/>
      <c r="BA70" s="255"/>
      <c r="BB70" s="255"/>
      <c r="BC70" s="255"/>
      <c r="BD70" s="255"/>
      <c r="BE70" s="255"/>
      <c r="BF70" s="255"/>
      <c r="BG70" s="255"/>
      <c r="BH70" s="255"/>
      <c r="BI70" s="255"/>
      <c r="BJ70" s="255"/>
      <c r="BK70" s="255"/>
    </row>
    <row r="71" spans="1:63" s="133" customFormat="1" ht="12.75">
      <c r="A71" s="168">
        <v>37560</v>
      </c>
      <c r="B71" s="213" t="str">
        <f>Servicio_internaColumna_título_intereses</f>
        <v>Intereses</v>
      </c>
      <c r="C71" s="256">
        <v>0</v>
      </c>
      <c r="D71" s="257">
        <v>5223459.4433996817</v>
      </c>
      <c r="E71" s="257">
        <v>-2291789.4286091896</v>
      </c>
      <c r="F71" s="257">
        <v>-1882225.247023101</v>
      </c>
      <c r="G71" s="257">
        <v>-1247236.8027569577</v>
      </c>
      <c r="H71" s="257">
        <v>-2125478.1798027693</v>
      </c>
      <c r="I71" s="257">
        <v>-2878831.1240915926</v>
      </c>
      <c r="J71" s="257">
        <v>-2445643.4234828637</v>
      </c>
      <c r="K71" s="257">
        <v>-1197636.4327289802</v>
      </c>
      <c r="L71" s="257">
        <v>399399.58554249885</v>
      </c>
      <c r="M71" s="257">
        <v>-3538667.0984150134</v>
      </c>
      <c r="N71" s="257">
        <v>-4538962.2121029394</v>
      </c>
      <c r="O71" s="257">
        <v>-1866570.8759573693</v>
      </c>
      <c r="P71" s="257">
        <v>0</v>
      </c>
      <c r="Q71" s="257">
        <v>0</v>
      </c>
      <c r="R71" s="257">
        <v>0</v>
      </c>
      <c r="S71" s="257">
        <v>0</v>
      </c>
      <c r="T71" s="257">
        <v>0</v>
      </c>
      <c r="U71" s="258">
        <v>0</v>
      </c>
      <c r="V71" s="258">
        <v>0</v>
      </c>
      <c r="W71" s="258">
        <v>0</v>
      </c>
      <c r="X71" s="258">
        <v>0</v>
      </c>
      <c r="Y71" s="258">
        <v>0</v>
      </c>
      <c r="Z71" s="258">
        <v>0</v>
      </c>
      <c r="AA71" s="258">
        <v>0</v>
      </c>
      <c r="AB71" s="258">
        <v>0</v>
      </c>
      <c r="AC71" s="258">
        <v>0</v>
      </c>
      <c r="AD71" s="259">
        <v>0</v>
      </c>
      <c r="AE71" s="259">
        <v>0</v>
      </c>
      <c r="AF71" s="259">
        <v>0</v>
      </c>
      <c r="AG71" s="259">
        <v>0</v>
      </c>
      <c r="AH71" s="259">
        <v>0</v>
      </c>
      <c r="AI71" s="259">
        <v>0</v>
      </c>
      <c r="AJ71" s="259">
        <v>0</v>
      </c>
      <c r="AK71" s="259">
        <v>0</v>
      </c>
      <c r="AL71" s="259">
        <v>0</v>
      </c>
      <c r="AM71" s="259">
        <v>0</v>
      </c>
      <c r="AN71" s="259">
        <v>0</v>
      </c>
      <c r="AO71" s="259">
        <v>0</v>
      </c>
      <c r="AP71" s="259"/>
      <c r="AQ71" s="259"/>
      <c r="AR71" s="259"/>
      <c r="AS71" s="259"/>
      <c r="AT71" s="259"/>
      <c r="AU71" s="259"/>
      <c r="AV71" s="259"/>
      <c r="AW71" s="259"/>
      <c r="AX71" s="259"/>
      <c r="AY71" s="259"/>
      <c r="AZ71" s="259"/>
      <c r="BA71" s="259"/>
      <c r="BB71" s="259"/>
      <c r="BC71" s="259"/>
      <c r="BD71" s="259"/>
      <c r="BE71" s="259"/>
      <c r="BF71" s="259"/>
      <c r="BG71" s="259"/>
      <c r="BH71" s="259"/>
      <c r="BI71" s="259"/>
      <c r="BJ71" s="259"/>
      <c r="BK71" s="259"/>
    </row>
    <row r="72" spans="1:63" s="133" customFormat="1" ht="12.75">
      <c r="A72" s="169"/>
      <c r="B72" s="307" t="str">
        <f>Servicio_internaColumna_título_total</f>
        <v>Total</v>
      </c>
      <c r="C72" s="308">
        <v>0</v>
      </c>
      <c r="D72" s="309">
        <v>5375114.2512837797</v>
      </c>
      <c r="E72" s="309">
        <v>5265090.9772009458</v>
      </c>
      <c r="F72" s="309">
        <v>4402313.1788256541</v>
      </c>
      <c r="G72" s="309">
        <v>3651021.022317051</v>
      </c>
      <c r="H72" s="309">
        <v>3164374.4671900668</v>
      </c>
      <c r="I72" s="309">
        <v>2609995.1815853612</v>
      </c>
      <c r="J72" s="309">
        <v>2106370.3330811351</v>
      </c>
      <c r="K72" s="309">
        <v>1669243.0763345491</v>
      </c>
      <c r="L72" s="309">
        <v>1394593.5374668569</v>
      </c>
      <c r="M72" s="309">
        <v>1397584.3799529867</v>
      </c>
      <c r="N72" s="309">
        <v>889533.21015169844</v>
      </c>
      <c r="O72" s="309">
        <v>269367.4547639708</v>
      </c>
      <c r="P72" s="309">
        <v>0</v>
      </c>
      <c r="Q72" s="309">
        <v>0</v>
      </c>
      <c r="R72" s="309">
        <v>0</v>
      </c>
      <c r="S72" s="309">
        <v>0</v>
      </c>
      <c r="T72" s="309">
        <v>0</v>
      </c>
      <c r="U72" s="309">
        <v>0</v>
      </c>
      <c r="V72" s="309">
        <v>0</v>
      </c>
      <c r="W72" s="309">
        <v>0</v>
      </c>
      <c r="X72" s="309">
        <v>0</v>
      </c>
      <c r="Y72" s="309">
        <v>0</v>
      </c>
      <c r="Z72" s="309">
        <v>0</v>
      </c>
      <c r="AA72" s="309">
        <v>0</v>
      </c>
      <c r="AB72" s="309">
        <v>0</v>
      </c>
      <c r="AC72" s="309">
        <v>0</v>
      </c>
      <c r="AD72" s="309">
        <v>0</v>
      </c>
      <c r="AE72" s="309">
        <v>0</v>
      </c>
      <c r="AF72" s="309">
        <v>0</v>
      </c>
      <c r="AG72" s="309">
        <v>0</v>
      </c>
      <c r="AH72" s="309">
        <v>0</v>
      </c>
      <c r="AI72" s="309">
        <v>0</v>
      </c>
      <c r="AJ72" s="309">
        <v>0</v>
      </c>
      <c r="AK72" s="309">
        <v>0</v>
      </c>
      <c r="AL72" s="309">
        <v>0</v>
      </c>
      <c r="AM72" s="309">
        <v>0</v>
      </c>
      <c r="AN72" s="309">
        <v>0</v>
      </c>
      <c r="AO72" s="309">
        <v>0</v>
      </c>
      <c r="AP72" s="309"/>
      <c r="AQ72" s="309"/>
      <c r="AR72" s="309"/>
      <c r="AS72" s="309"/>
      <c r="AT72" s="309"/>
      <c r="AU72" s="309"/>
      <c r="AV72" s="309"/>
      <c r="AW72" s="309"/>
      <c r="AX72" s="309"/>
      <c r="AY72" s="309"/>
      <c r="AZ72" s="309"/>
      <c r="BA72" s="309"/>
      <c r="BB72" s="309"/>
      <c r="BC72" s="309"/>
      <c r="BD72" s="309"/>
      <c r="BE72" s="309"/>
      <c r="BF72" s="309"/>
      <c r="BG72" s="309"/>
      <c r="BH72" s="309"/>
      <c r="BI72" s="309"/>
      <c r="BJ72" s="309"/>
      <c r="BK72" s="309"/>
    </row>
    <row r="73" spans="1:63" s="80" customFormat="1" ht="12.75">
      <c r="A73" s="167"/>
      <c r="B73" s="210" t="str">
        <f>Servicio_internaColumna_título_amortizaciones</f>
        <v>Amortizaciones</v>
      </c>
      <c r="C73" s="254">
        <v>0</v>
      </c>
      <c r="D73" s="255">
        <v>128210.35675862918</v>
      </c>
      <c r="E73" s="255">
        <v>7737252.3256219253</v>
      </c>
      <c r="F73" s="255">
        <v>6318866.1964482693</v>
      </c>
      <c r="G73" s="255">
        <v>4925894.5671283212</v>
      </c>
      <c r="H73" s="255">
        <v>5298547.1152190324</v>
      </c>
      <c r="I73" s="255">
        <v>5506193.177610917</v>
      </c>
      <c r="J73" s="255">
        <v>4585424.5743061043</v>
      </c>
      <c r="K73" s="255">
        <v>2870964.5383546897</v>
      </c>
      <c r="L73" s="255">
        <v>997797.2948782579</v>
      </c>
      <c r="M73" s="255">
        <v>4939857.1075000009</v>
      </c>
      <c r="N73" s="255">
        <v>5484022.9849618757</v>
      </c>
      <c r="O73" s="255">
        <v>2135938.3307213401</v>
      </c>
      <c r="P73" s="255">
        <v>0</v>
      </c>
      <c r="Q73" s="255">
        <v>0</v>
      </c>
      <c r="R73" s="255">
        <v>0</v>
      </c>
      <c r="S73" s="255">
        <v>0</v>
      </c>
      <c r="T73" s="255">
        <v>0</v>
      </c>
      <c r="U73" s="255">
        <v>0</v>
      </c>
      <c r="V73" s="255">
        <v>0</v>
      </c>
      <c r="W73" s="255">
        <v>0</v>
      </c>
      <c r="X73" s="255">
        <v>0</v>
      </c>
      <c r="Y73" s="255">
        <v>0</v>
      </c>
      <c r="Z73" s="255">
        <v>0</v>
      </c>
      <c r="AA73" s="255">
        <v>0</v>
      </c>
      <c r="AB73" s="255">
        <v>0</v>
      </c>
      <c r="AC73" s="255">
        <v>0</v>
      </c>
      <c r="AD73" s="255">
        <v>0</v>
      </c>
      <c r="AE73" s="255">
        <v>0</v>
      </c>
      <c r="AF73" s="255">
        <v>0</v>
      </c>
      <c r="AG73" s="255">
        <v>0</v>
      </c>
      <c r="AH73" s="255">
        <v>0</v>
      </c>
      <c r="AI73" s="255">
        <v>0</v>
      </c>
      <c r="AJ73" s="255">
        <v>0</v>
      </c>
      <c r="AK73" s="255">
        <v>0</v>
      </c>
      <c r="AL73" s="255">
        <v>0</v>
      </c>
      <c r="AM73" s="255">
        <v>0</v>
      </c>
      <c r="AN73" s="255">
        <v>0</v>
      </c>
      <c r="AO73" s="255">
        <v>0</v>
      </c>
      <c r="AP73" s="255"/>
      <c r="AQ73" s="255"/>
      <c r="AR73" s="255"/>
      <c r="AS73" s="255"/>
      <c r="AT73" s="255"/>
      <c r="AU73" s="255"/>
      <c r="AV73" s="255"/>
      <c r="AW73" s="255"/>
      <c r="AX73" s="255"/>
      <c r="AY73" s="255"/>
      <c r="AZ73" s="255"/>
      <c r="BA73" s="255"/>
      <c r="BB73" s="255"/>
      <c r="BC73" s="255"/>
      <c r="BD73" s="255"/>
      <c r="BE73" s="255"/>
      <c r="BF73" s="255"/>
      <c r="BG73" s="255"/>
      <c r="BH73" s="255"/>
      <c r="BI73" s="255"/>
      <c r="BJ73" s="255"/>
      <c r="BK73" s="255"/>
    </row>
    <row r="74" spans="1:63" s="133" customFormat="1" ht="12.75">
      <c r="A74" s="168">
        <v>37590</v>
      </c>
      <c r="B74" s="213" t="str">
        <f>Servicio_internaColumna_título_intereses</f>
        <v>Intereses</v>
      </c>
      <c r="C74" s="256">
        <v>0</v>
      </c>
      <c r="D74" s="257">
        <v>5528715.578741746</v>
      </c>
      <c r="E74" s="257">
        <v>5404621.8541885577</v>
      </c>
      <c r="F74" s="257">
        <v>4535611.422964354</v>
      </c>
      <c r="G74" s="257">
        <v>3687156.241314983</v>
      </c>
      <c r="H74" s="257">
        <v>3157559.073584104</v>
      </c>
      <c r="I74" s="257">
        <v>2590344.3340792768</v>
      </c>
      <c r="J74" s="257">
        <v>2082864.6977646826</v>
      </c>
      <c r="K74" s="257">
        <v>1605456.7231939579</v>
      </c>
      <c r="L74" s="257">
        <v>1319655.5363212493</v>
      </c>
      <c r="M74" s="257">
        <v>1318382.5674369503</v>
      </c>
      <c r="N74" s="257">
        <v>848944.34617172182</v>
      </c>
      <c r="O74" s="257">
        <v>246239.51451891009</v>
      </c>
      <c r="P74" s="257">
        <v>0</v>
      </c>
      <c r="Q74" s="257">
        <v>0</v>
      </c>
      <c r="R74" s="257">
        <v>0</v>
      </c>
      <c r="S74" s="257">
        <v>0</v>
      </c>
      <c r="T74" s="257">
        <v>0</v>
      </c>
      <c r="U74" s="258">
        <v>0</v>
      </c>
      <c r="V74" s="258">
        <v>0</v>
      </c>
      <c r="W74" s="258">
        <v>0</v>
      </c>
      <c r="X74" s="258">
        <v>0</v>
      </c>
      <c r="Y74" s="258">
        <v>0</v>
      </c>
      <c r="Z74" s="258">
        <v>0</v>
      </c>
      <c r="AA74" s="258">
        <v>0</v>
      </c>
      <c r="AB74" s="258">
        <v>0</v>
      </c>
      <c r="AC74" s="258">
        <v>0</v>
      </c>
      <c r="AD74" s="259">
        <v>0</v>
      </c>
      <c r="AE74" s="259">
        <v>0</v>
      </c>
      <c r="AF74" s="259">
        <v>0</v>
      </c>
      <c r="AG74" s="259">
        <v>0</v>
      </c>
      <c r="AH74" s="259">
        <v>0</v>
      </c>
      <c r="AI74" s="259">
        <v>0</v>
      </c>
      <c r="AJ74" s="259">
        <v>0</v>
      </c>
      <c r="AK74" s="259">
        <v>0</v>
      </c>
      <c r="AL74" s="259">
        <v>0</v>
      </c>
      <c r="AM74" s="259">
        <v>0</v>
      </c>
      <c r="AN74" s="259">
        <v>0</v>
      </c>
      <c r="AO74" s="259">
        <v>0</v>
      </c>
      <c r="AP74" s="259"/>
      <c r="AQ74" s="259"/>
      <c r="AR74" s="259"/>
      <c r="AS74" s="259"/>
      <c r="AT74" s="259"/>
      <c r="AU74" s="259"/>
      <c r="AV74" s="259"/>
      <c r="AW74" s="259"/>
      <c r="AX74" s="259"/>
      <c r="AY74" s="259"/>
      <c r="AZ74" s="259"/>
      <c r="BA74" s="259"/>
      <c r="BB74" s="259"/>
      <c r="BC74" s="259"/>
      <c r="BD74" s="259"/>
      <c r="BE74" s="259"/>
      <c r="BF74" s="259"/>
      <c r="BG74" s="259"/>
      <c r="BH74" s="259"/>
      <c r="BI74" s="259"/>
      <c r="BJ74" s="259"/>
      <c r="BK74" s="259"/>
    </row>
    <row r="75" spans="1:63" s="133" customFormat="1" ht="12.75">
      <c r="A75" s="169"/>
      <c r="B75" s="307" t="str">
        <f>Servicio_internaColumna_título_total</f>
        <v>Total</v>
      </c>
      <c r="C75" s="308">
        <v>0</v>
      </c>
      <c r="D75" s="309">
        <v>5656925.935500375</v>
      </c>
      <c r="E75" s="309">
        <v>13141874.179810483</v>
      </c>
      <c r="F75" s="309">
        <v>10854477.619412623</v>
      </c>
      <c r="G75" s="309">
        <v>8613050.8084433042</v>
      </c>
      <c r="H75" s="309">
        <v>8456106.1888031363</v>
      </c>
      <c r="I75" s="309">
        <v>8096537.5116901938</v>
      </c>
      <c r="J75" s="309">
        <v>6668289.2720707869</v>
      </c>
      <c r="K75" s="309">
        <v>4476421.2615486477</v>
      </c>
      <c r="L75" s="309">
        <v>2317452.8311995072</v>
      </c>
      <c r="M75" s="309">
        <v>6258239.6749369511</v>
      </c>
      <c r="N75" s="309">
        <v>6332967.3311335975</v>
      </c>
      <c r="O75" s="309">
        <v>2382177.8452402502</v>
      </c>
      <c r="P75" s="309">
        <v>0</v>
      </c>
      <c r="Q75" s="309">
        <v>0</v>
      </c>
      <c r="R75" s="309">
        <v>0</v>
      </c>
      <c r="S75" s="309">
        <v>0</v>
      </c>
      <c r="T75" s="309">
        <v>0</v>
      </c>
      <c r="U75" s="309">
        <v>0</v>
      </c>
      <c r="V75" s="309">
        <v>0</v>
      </c>
      <c r="W75" s="309">
        <v>0</v>
      </c>
      <c r="X75" s="309">
        <v>0</v>
      </c>
      <c r="Y75" s="309">
        <v>0</v>
      </c>
      <c r="Z75" s="309">
        <v>0</v>
      </c>
      <c r="AA75" s="309">
        <v>0</v>
      </c>
      <c r="AB75" s="309">
        <v>0</v>
      </c>
      <c r="AC75" s="309">
        <v>0</v>
      </c>
      <c r="AD75" s="309">
        <v>0</v>
      </c>
      <c r="AE75" s="309">
        <v>0</v>
      </c>
      <c r="AF75" s="309">
        <v>0</v>
      </c>
      <c r="AG75" s="309">
        <v>0</v>
      </c>
      <c r="AH75" s="309">
        <v>0</v>
      </c>
      <c r="AI75" s="309">
        <v>0</v>
      </c>
      <c r="AJ75" s="309">
        <v>0</v>
      </c>
      <c r="AK75" s="309">
        <v>0</v>
      </c>
      <c r="AL75" s="309">
        <v>0</v>
      </c>
      <c r="AM75" s="309">
        <v>0</v>
      </c>
      <c r="AN75" s="309">
        <v>0</v>
      </c>
      <c r="AO75" s="309">
        <v>0</v>
      </c>
      <c r="AP75" s="309"/>
      <c r="AQ75" s="309"/>
      <c r="AR75" s="309"/>
      <c r="AS75" s="309"/>
      <c r="AT75" s="309"/>
      <c r="AU75" s="309"/>
      <c r="AV75" s="309"/>
      <c r="AW75" s="309"/>
      <c r="AX75" s="309"/>
      <c r="AY75" s="309"/>
      <c r="AZ75" s="309"/>
      <c r="BA75" s="309"/>
      <c r="BB75" s="309"/>
      <c r="BC75" s="309"/>
      <c r="BD75" s="309"/>
      <c r="BE75" s="309"/>
      <c r="BF75" s="309"/>
      <c r="BG75" s="309"/>
      <c r="BH75" s="309"/>
      <c r="BI75" s="309"/>
      <c r="BJ75" s="309"/>
      <c r="BK75" s="309"/>
    </row>
    <row r="76" spans="1:63" s="80" customFormat="1" ht="12.75">
      <c r="A76" s="167"/>
      <c r="B76" s="210" t="str">
        <f>Servicio_internaColumna_título_amortizaciones</f>
        <v>Amortizaciones</v>
      </c>
      <c r="C76" s="254">
        <v>0</v>
      </c>
      <c r="D76" s="255">
        <v>0</v>
      </c>
      <c r="E76" s="255">
        <v>8705432.5557957441</v>
      </c>
      <c r="F76" s="255">
        <v>6670823.3709962526</v>
      </c>
      <c r="G76" s="255">
        <v>5278913.9909697575</v>
      </c>
      <c r="H76" s="255">
        <v>5333378.5037881723</v>
      </c>
      <c r="I76" s="255">
        <v>5602909.2869911138</v>
      </c>
      <c r="J76" s="255">
        <v>4589778.7992452085</v>
      </c>
      <c r="K76" s="255">
        <v>2921260.4812730062</v>
      </c>
      <c r="L76" s="255">
        <v>1000590.5358597805</v>
      </c>
      <c r="M76" s="255">
        <v>4949157.0884999996</v>
      </c>
      <c r="N76" s="255">
        <v>5614605.3716889992</v>
      </c>
      <c r="O76" s="255">
        <v>2135938.3307213401</v>
      </c>
      <c r="P76" s="255">
        <v>0</v>
      </c>
      <c r="Q76" s="255">
        <v>0</v>
      </c>
      <c r="R76" s="255">
        <v>0</v>
      </c>
      <c r="S76" s="255">
        <v>0</v>
      </c>
      <c r="T76" s="255">
        <v>0</v>
      </c>
      <c r="U76" s="255">
        <v>0</v>
      </c>
      <c r="V76" s="255">
        <v>0</v>
      </c>
      <c r="W76" s="255">
        <v>0</v>
      </c>
      <c r="X76" s="255">
        <v>0</v>
      </c>
      <c r="Y76" s="255">
        <v>0</v>
      </c>
      <c r="Z76" s="255">
        <v>0</v>
      </c>
      <c r="AA76" s="255">
        <v>0</v>
      </c>
      <c r="AB76" s="255">
        <v>0</v>
      </c>
      <c r="AC76" s="255">
        <v>0</v>
      </c>
      <c r="AD76" s="255">
        <v>0</v>
      </c>
      <c r="AE76" s="255">
        <v>0</v>
      </c>
      <c r="AF76" s="255">
        <v>0</v>
      </c>
      <c r="AG76" s="255">
        <v>0</v>
      </c>
      <c r="AH76" s="255">
        <v>0</v>
      </c>
      <c r="AI76" s="255">
        <v>0</v>
      </c>
      <c r="AJ76" s="255">
        <v>0</v>
      </c>
      <c r="AK76" s="255">
        <v>0</v>
      </c>
      <c r="AL76" s="255">
        <v>0</v>
      </c>
      <c r="AM76" s="255">
        <v>0</v>
      </c>
      <c r="AN76" s="255">
        <v>0</v>
      </c>
      <c r="AO76" s="255">
        <v>0</v>
      </c>
      <c r="AP76" s="255"/>
      <c r="AQ76" s="255"/>
      <c r="AR76" s="255"/>
      <c r="AS76" s="255"/>
      <c r="AT76" s="255"/>
      <c r="AU76" s="255"/>
      <c r="AV76" s="255"/>
      <c r="AW76" s="255"/>
      <c r="AX76" s="255"/>
      <c r="AY76" s="255"/>
      <c r="AZ76" s="255"/>
      <c r="BA76" s="255"/>
      <c r="BB76" s="255"/>
      <c r="BC76" s="255"/>
      <c r="BD76" s="255"/>
      <c r="BE76" s="255"/>
      <c r="BF76" s="255"/>
      <c r="BG76" s="255"/>
      <c r="BH76" s="255"/>
      <c r="BI76" s="255"/>
      <c r="BJ76" s="255"/>
      <c r="BK76" s="255"/>
    </row>
    <row r="77" spans="1:63" s="133" customFormat="1" ht="12.75">
      <c r="A77" s="168">
        <v>37621</v>
      </c>
      <c r="B77" s="213" t="str">
        <f>Servicio_internaColumna_título_intereses</f>
        <v>Intereses</v>
      </c>
      <c r="C77" s="256">
        <v>0</v>
      </c>
      <c r="D77" s="257">
        <v>0</v>
      </c>
      <c r="E77" s="257">
        <v>5568652.1933437139</v>
      </c>
      <c r="F77" s="257">
        <v>4630942.1440608194</v>
      </c>
      <c r="G77" s="257">
        <v>3742979.4459667103</v>
      </c>
      <c r="H77" s="257">
        <v>3164917.5517795654</v>
      </c>
      <c r="I77" s="257">
        <v>2605848.0263608117</v>
      </c>
      <c r="J77" s="257">
        <v>2086600.0747703891</v>
      </c>
      <c r="K77" s="257">
        <v>1609193.1458210223</v>
      </c>
      <c r="L77" s="257">
        <v>1329127.1677008178</v>
      </c>
      <c r="M77" s="257">
        <v>1328054.365199876</v>
      </c>
      <c r="N77" s="257">
        <v>858683.30911288876</v>
      </c>
      <c r="O77" s="257">
        <v>246239.51451891009</v>
      </c>
      <c r="P77" s="257">
        <v>0</v>
      </c>
      <c r="Q77" s="257">
        <v>0</v>
      </c>
      <c r="R77" s="257">
        <v>0</v>
      </c>
      <c r="S77" s="257">
        <v>0</v>
      </c>
      <c r="T77" s="257">
        <v>0</v>
      </c>
      <c r="U77" s="258">
        <v>0</v>
      </c>
      <c r="V77" s="258">
        <v>0</v>
      </c>
      <c r="W77" s="258">
        <v>0</v>
      </c>
      <c r="X77" s="258">
        <v>0</v>
      </c>
      <c r="Y77" s="258">
        <v>0</v>
      </c>
      <c r="Z77" s="258">
        <v>0</v>
      </c>
      <c r="AA77" s="258">
        <v>0</v>
      </c>
      <c r="AB77" s="258">
        <v>0</v>
      </c>
      <c r="AC77" s="258">
        <v>0</v>
      </c>
      <c r="AD77" s="259">
        <v>0</v>
      </c>
      <c r="AE77" s="259">
        <v>0</v>
      </c>
      <c r="AF77" s="259">
        <v>0</v>
      </c>
      <c r="AG77" s="259">
        <v>0</v>
      </c>
      <c r="AH77" s="259">
        <v>0</v>
      </c>
      <c r="AI77" s="259">
        <v>0</v>
      </c>
      <c r="AJ77" s="259">
        <v>0</v>
      </c>
      <c r="AK77" s="259">
        <v>0</v>
      </c>
      <c r="AL77" s="259">
        <v>0</v>
      </c>
      <c r="AM77" s="259">
        <v>0</v>
      </c>
      <c r="AN77" s="259">
        <v>0</v>
      </c>
      <c r="AO77" s="259">
        <v>0</v>
      </c>
      <c r="AP77" s="259"/>
      <c r="AQ77" s="259"/>
      <c r="AR77" s="259"/>
      <c r="AS77" s="259"/>
      <c r="AT77" s="259"/>
      <c r="AU77" s="259"/>
      <c r="AV77" s="259"/>
      <c r="AW77" s="259"/>
      <c r="AX77" s="259"/>
      <c r="AY77" s="259"/>
      <c r="AZ77" s="259"/>
      <c r="BA77" s="259"/>
      <c r="BB77" s="259"/>
      <c r="BC77" s="259"/>
      <c r="BD77" s="259"/>
      <c r="BE77" s="259"/>
      <c r="BF77" s="259"/>
      <c r="BG77" s="259"/>
      <c r="BH77" s="259"/>
      <c r="BI77" s="259"/>
      <c r="BJ77" s="259"/>
      <c r="BK77" s="259"/>
    </row>
    <row r="78" spans="1:63" s="133" customFormat="1" ht="12.75">
      <c r="A78" s="169"/>
      <c r="B78" s="307" t="str">
        <f>Servicio_internaColumna_título_total</f>
        <v>Total</v>
      </c>
      <c r="C78" s="308">
        <v>0</v>
      </c>
      <c r="D78" s="309">
        <v>0</v>
      </c>
      <c r="E78" s="309">
        <v>14274084.749139458</v>
      </c>
      <c r="F78" s="309">
        <v>11301765.515057072</v>
      </c>
      <c r="G78" s="309">
        <v>9021893.4369364679</v>
      </c>
      <c r="H78" s="309">
        <v>8498296.0555677377</v>
      </c>
      <c r="I78" s="309">
        <v>8208757.3133519255</v>
      </c>
      <c r="J78" s="309">
        <v>6676378.8740155976</v>
      </c>
      <c r="K78" s="309">
        <v>4530453.6270940285</v>
      </c>
      <c r="L78" s="309">
        <v>2329717.7035605982</v>
      </c>
      <c r="M78" s="309">
        <v>6277211.4536998756</v>
      </c>
      <c r="N78" s="309">
        <v>6473288.680801888</v>
      </c>
      <c r="O78" s="309">
        <v>2382177.8452402502</v>
      </c>
      <c r="P78" s="309">
        <v>0</v>
      </c>
      <c r="Q78" s="309">
        <v>0</v>
      </c>
      <c r="R78" s="309">
        <v>0</v>
      </c>
      <c r="S78" s="309">
        <v>0</v>
      </c>
      <c r="T78" s="309">
        <v>0</v>
      </c>
      <c r="U78" s="309">
        <v>0</v>
      </c>
      <c r="V78" s="309">
        <v>0</v>
      </c>
      <c r="W78" s="309">
        <v>0</v>
      </c>
      <c r="X78" s="309">
        <v>0</v>
      </c>
      <c r="Y78" s="309">
        <v>0</v>
      </c>
      <c r="Z78" s="309">
        <v>0</v>
      </c>
      <c r="AA78" s="309">
        <v>0</v>
      </c>
      <c r="AB78" s="309">
        <v>0</v>
      </c>
      <c r="AC78" s="309">
        <v>0</v>
      </c>
      <c r="AD78" s="309">
        <v>0</v>
      </c>
      <c r="AE78" s="309">
        <v>0</v>
      </c>
      <c r="AF78" s="309">
        <v>0</v>
      </c>
      <c r="AG78" s="309">
        <v>0</v>
      </c>
      <c r="AH78" s="309">
        <v>0</v>
      </c>
      <c r="AI78" s="309">
        <v>0</v>
      </c>
      <c r="AJ78" s="309">
        <v>0</v>
      </c>
      <c r="AK78" s="309">
        <v>0</v>
      </c>
      <c r="AL78" s="309">
        <v>0</v>
      </c>
      <c r="AM78" s="309">
        <v>0</v>
      </c>
      <c r="AN78" s="309">
        <v>0</v>
      </c>
      <c r="AO78" s="309">
        <v>0</v>
      </c>
      <c r="AP78" s="309"/>
      <c r="AQ78" s="309"/>
      <c r="AR78" s="309"/>
      <c r="AS78" s="309"/>
      <c r="AT78" s="309"/>
      <c r="AU78" s="309"/>
      <c r="AV78" s="309"/>
      <c r="AW78" s="309"/>
      <c r="AX78" s="309"/>
      <c r="AY78" s="309"/>
      <c r="AZ78" s="309"/>
      <c r="BA78" s="309"/>
      <c r="BB78" s="309"/>
      <c r="BC78" s="309"/>
      <c r="BD78" s="309"/>
      <c r="BE78" s="309"/>
      <c r="BF78" s="309"/>
      <c r="BG78" s="309"/>
      <c r="BH78" s="309"/>
      <c r="BI78" s="309"/>
      <c r="BJ78" s="309"/>
      <c r="BK78" s="309"/>
    </row>
    <row r="79" spans="1:63" s="80" customFormat="1" ht="12.75">
      <c r="A79" s="167"/>
      <c r="B79" s="210" t="str">
        <f>Servicio_internaColumna_título_amortizaciones</f>
        <v>Amortizaciones</v>
      </c>
      <c r="C79" s="254">
        <v>0</v>
      </c>
      <c r="D79" s="255">
        <v>0</v>
      </c>
      <c r="E79" s="255">
        <v>8054175.0220120419</v>
      </c>
      <c r="F79" s="255">
        <v>7563267.4563567452</v>
      </c>
      <c r="G79" s="255">
        <v>5416492.6640306832</v>
      </c>
      <c r="H79" s="255">
        <v>5364026.2859223606</v>
      </c>
      <c r="I79" s="255">
        <v>5712286.0001924671</v>
      </c>
      <c r="J79" s="255">
        <v>4602200.3796854857</v>
      </c>
      <c r="K79" s="255">
        <v>2942086.3094317378</v>
      </c>
      <c r="L79" s="255">
        <v>1006565.7644350645</v>
      </c>
      <c r="M79" s="255">
        <v>4956241.6290000007</v>
      </c>
      <c r="N79" s="255">
        <v>5715605.1589200003</v>
      </c>
      <c r="O79" s="255">
        <v>2177356.5927521554</v>
      </c>
      <c r="P79" s="255">
        <v>0</v>
      </c>
      <c r="Q79" s="255">
        <v>0</v>
      </c>
      <c r="R79" s="255">
        <v>0</v>
      </c>
      <c r="S79" s="255">
        <v>0</v>
      </c>
      <c r="T79" s="255">
        <v>0</v>
      </c>
      <c r="U79" s="255">
        <v>0</v>
      </c>
      <c r="V79" s="255">
        <v>0</v>
      </c>
      <c r="W79" s="255">
        <v>0</v>
      </c>
      <c r="X79" s="255">
        <v>0</v>
      </c>
      <c r="Y79" s="255">
        <v>0</v>
      </c>
      <c r="Z79" s="255">
        <v>0</v>
      </c>
      <c r="AA79" s="255">
        <v>0</v>
      </c>
      <c r="AB79" s="255">
        <v>0</v>
      </c>
      <c r="AC79" s="255">
        <v>0</v>
      </c>
      <c r="AD79" s="255">
        <v>0</v>
      </c>
      <c r="AE79" s="255">
        <v>0</v>
      </c>
      <c r="AF79" s="255">
        <v>0</v>
      </c>
      <c r="AG79" s="255">
        <v>0</v>
      </c>
      <c r="AH79" s="255">
        <v>0</v>
      </c>
      <c r="AI79" s="255">
        <v>0</v>
      </c>
      <c r="AJ79" s="255">
        <v>0</v>
      </c>
      <c r="AK79" s="255">
        <v>0</v>
      </c>
      <c r="AL79" s="255">
        <v>0</v>
      </c>
      <c r="AM79" s="255">
        <v>0</v>
      </c>
      <c r="AN79" s="255">
        <v>0</v>
      </c>
      <c r="AO79" s="255">
        <v>0</v>
      </c>
      <c r="AP79" s="255"/>
      <c r="AQ79" s="255"/>
      <c r="AR79" s="255"/>
      <c r="AS79" s="255"/>
      <c r="AT79" s="255"/>
      <c r="AU79" s="255"/>
      <c r="AV79" s="255"/>
      <c r="AW79" s="255"/>
      <c r="AX79" s="255"/>
      <c r="AY79" s="255"/>
      <c r="AZ79" s="255"/>
      <c r="BA79" s="255"/>
      <c r="BB79" s="255"/>
      <c r="BC79" s="255"/>
      <c r="BD79" s="255"/>
      <c r="BE79" s="255"/>
      <c r="BF79" s="255"/>
      <c r="BG79" s="255"/>
      <c r="BH79" s="255"/>
      <c r="BI79" s="255"/>
      <c r="BJ79" s="255"/>
      <c r="BK79" s="255"/>
    </row>
    <row r="80" spans="1:63" s="133" customFormat="1" ht="12.75">
      <c r="A80" s="168">
        <v>37652</v>
      </c>
      <c r="B80" s="213" t="str">
        <f>Servicio_internaColumna_título_intereses</f>
        <v>Intereses</v>
      </c>
      <c r="C80" s="256">
        <v>0</v>
      </c>
      <c r="D80" s="257">
        <v>0</v>
      </c>
      <c r="E80" s="257">
        <v>5745427.4894844759</v>
      </c>
      <c r="F80" s="257">
        <v>4770352.2898923066</v>
      </c>
      <c r="G80" s="257">
        <v>3793460.0905081714</v>
      </c>
      <c r="H80" s="257">
        <v>3198694.6230557663</v>
      </c>
      <c r="I80" s="257">
        <v>2636371.4778448604</v>
      </c>
      <c r="J80" s="257">
        <v>2101291.0216290634</v>
      </c>
      <c r="K80" s="257">
        <v>1623214.0804950348</v>
      </c>
      <c r="L80" s="257">
        <v>1342758.179097882</v>
      </c>
      <c r="M80" s="257">
        <v>1341959.9382176092</v>
      </c>
      <c r="N80" s="257">
        <v>871430.09728086274</v>
      </c>
      <c r="O80" s="257">
        <v>246239.51932990924</v>
      </c>
      <c r="P80" s="257">
        <v>0</v>
      </c>
      <c r="Q80" s="257">
        <v>0</v>
      </c>
      <c r="R80" s="257">
        <v>0</v>
      </c>
      <c r="S80" s="257">
        <v>0</v>
      </c>
      <c r="T80" s="257">
        <v>0</v>
      </c>
      <c r="U80" s="258">
        <v>0</v>
      </c>
      <c r="V80" s="258">
        <v>0</v>
      </c>
      <c r="W80" s="258">
        <v>0</v>
      </c>
      <c r="X80" s="258">
        <v>0</v>
      </c>
      <c r="Y80" s="258">
        <v>0</v>
      </c>
      <c r="Z80" s="258">
        <v>0</v>
      </c>
      <c r="AA80" s="258">
        <v>0</v>
      </c>
      <c r="AB80" s="258">
        <v>0</v>
      </c>
      <c r="AC80" s="258">
        <v>0</v>
      </c>
      <c r="AD80" s="259">
        <v>0</v>
      </c>
      <c r="AE80" s="259">
        <v>0</v>
      </c>
      <c r="AF80" s="259">
        <v>0</v>
      </c>
      <c r="AG80" s="259">
        <v>0</v>
      </c>
      <c r="AH80" s="259">
        <v>0</v>
      </c>
      <c r="AI80" s="259">
        <v>0</v>
      </c>
      <c r="AJ80" s="259">
        <v>0</v>
      </c>
      <c r="AK80" s="259">
        <v>0</v>
      </c>
      <c r="AL80" s="259">
        <v>0</v>
      </c>
      <c r="AM80" s="259">
        <v>0</v>
      </c>
      <c r="AN80" s="259">
        <v>0</v>
      </c>
      <c r="AO80" s="259">
        <v>0</v>
      </c>
      <c r="AP80" s="259"/>
      <c r="AQ80" s="259"/>
      <c r="AR80" s="259"/>
      <c r="AS80" s="259"/>
      <c r="AT80" s="259"/>
      <c r="AU80" s="259"/>
      <c r="AV80" s="259"/>
      <c r="AW80" s="259"/>
      <c r="AX80" s="259"/>
      <c r="AY80" s="259"/>
      <c r="AZ80" s="259"/>
      <c r="BA80" s="259"/>
      <c r="BB80" s="259"/>
      <c r="BC80" s="259"/>
      <c r="BD80" s="259"/>
      <c r="BE80" s="259"/>
      <c r="BF80" s="259"/>
      <c r="BG80" s="259"/>
      <c r="BH80" s="259"/>
      <c r="BI80" s="259"/>
      <c r="BJ80" s="259"/>
      <c r="BK80" s="259"/>
    </row>
    <row r="81" spans="1:63" s="133" customFormat="1" ht="12.75">
      <c r="A81" s="169"/>
      <c r="B81" s="307" t="str">
        <f>Servicio_internaColumna_título_total</f>
        <v>Total</v>
      </c>
      <c r="C81" s="308">
        <v>0</v>
      </c>
      <c r="D81" s="309">
        <v>0</v>
      </c>
      <c r="E81" s="309">
        <v>13799602.511496518</v>
      </c>
      <c r="F81" s="309">
        <v>12333619.746249052</v>
      </c>
      <c r="G81" s="309">
        <v>9209952.7545388546</v>
      </c>
      <c r="H81" s="309">
        <v>8562720.9089781269</v>
      </c>
      <c r="I81" s="309">
        <v>8348657.4780373275</v>
      </c>
      <c r="J81" s="309">
        <v>6703491.4013145491</v>
      </c>
      <c r="K81" s="309">
        <v>4565300.3899267726</v>
      </c>
      <c r="L81" s="309">
        <v>2349323.9435329465</v>
      </c>
      <c r="M81" s="309">
        <v>6298201.5672176098</v>
      </c>
      <c r="N81" s="309">
        <v>6587035.256200863</v>
      </c>
      <c r="O81" s="309">
        <v>2423596.1120820646</v>
      </c>
      <c r="P81" s="309">
        <v>0</v>
      </c>
      <c r="Q81" s="309">
        <v>0</v>
      </c>
      <c r="R81" s="309">
        <v>0</v>
      </c>
      <c r="S81" s="309">
        <v>0</v>
      </c>
      <c r="T81" s="309">
        <v>0</v>
      </c>
      <c r="U81" s="309">
        <v>0</v>
      </c>
      <c r="V81" s="309">
        <v>0</v>
      </c>
      <c r="W81" s="309">
        <v>0</v>
      </c>
      <c r="X81" s="309">
        <v>0</v>
      </c>
      <c r="Y81" s="309">
        <v>0</v>
      </c>
      <c r="Z81" s="309">
        <v>0</v>
      </c>
      <c r="AA81" s="309">
        <v>0</v>
      </c>
      <c r="AB81" s="309">
        <v>0</v>
      </c>
      <c r="AC81" s="309">
        <v>0</v>
      </c>
      <c r="AD81" s="309">
        <v>0</v>
      </c>
      <c r="AE81" s="309">
        <v>0</v>
      </c>
      <c r="AF81" s="309">
        <v>0</v>
      </c>
      <c r="AG81" s="309">
        <v>0</v>
      </c>
      <c r="AH81" s="309">
        <v>0</v>
      </c>
      <c r="AI81" s="309">
        <v>0</v>
      </c>
      <c r="AJ81" s="309">
        <v>0</v>
      </c>
      <c r="AK81" s="309">
        <v>0</v>
      </c>
      <c r="AL81" s="309">
        <v>0</v>
      </c>
      <c r="AM81" s="309">
        <v>0</v>
      </c>
      <c r="AN81" s="309">
        <v>0</v>
      </c>
      <c r="AO81" s="309">
        <v>0</v>
      </c>
      <c r="AP81" s="309"/>
      <c r="AQ81" s="309"/>
      <c r="AR81" s="309"/>
      <c r="AS81" s="309"/>
      <c r="AT81" s="309"/>
      <c r="AU81" s="309"/>
      <c r="AV81" s="309"/>
      <c r="AW81" s="309"/>
      <c r="AX81" s="309"/>
      <c r="AY81" s="309"/>
      <c r="AZ81" s="309"/>
      <c r="BA81" s="309"/>
      <c r="BB81" s="309"/>
      <c r="BC81" s="309"/>
      <c r="BD81" s="309"/>
      <c r="BE81" s="309"/>
      <c r="BF81" s="309"/>
      <c r="BG81" s="309"/>
      <c r="BH81" s="309"/>
      <c r="BI81" s="309"/>
      <c r="BJ81" s="309"/>
      <c r="BK81" s="309"/>
    </row>
    <row r="82" spans="1:63" s="80" customFormat="1" ht="12.75">
      <c r="A82" s="167"/>
      <c r="B82" s="210" t="str">
        <f>Servicio_internaColumna_título_amortizaciones</f>
        <v>Amortizaciones</v>
      </c>
      <c r="C82" s="254">
        <v>0</v>
      </c>
      <c r="D82" s="255">
        <v>0</v>
      </c>
      <c r="E82" s="255">
        <v>7255790.828258289</v>
      </c>
      <c r="F82" s="255">
        <v>7352894.0858602691</v>
      </c>
      <c r="G82" s="255">
        <v>5361865.1085668905</v>
      </c>
      <c r="H82" s="255">
        <v>5318291.2139829732</v>
      </c>
      <c r="I82" s="255">
        <v>5799584.2838841723</v>
      </c>
      <c r="J82" s="255">
        <v>4560548.8600862734</v>
      </c>
      <c r="K82" s="255">
        <v>2845612.3691490898</v>
      </c>
      <c r="L82" s="255">
        <v>1011152.7005996283</v>
      </c>
      <c r="M82" s="255">
        <v>4816324.5730039999</v>
      </c>
      <c r="N82" s="255">
        <v>5234132.1364538996</v>
      </c>
      <c r="O82" s="255">
        <v>2216900.9079233631</v>
      </c>
      <c r="P82" s="255">
        <v>9.9999999999999995E-7</v>
      </c>
      <c r="Q82" s="255">
        <v>917365.91874401306</v>
      </c>
      <c r="R82" s="255">
        <v>0</v>
      </c>
      <c r="S82" s="255">
        <v>0</v>
      </c>
      <c r="T82" s="255">
        <v>0</v>
      </c>
      <c r="U82" s="255">
        <v>0</v>
      </c>
      <c r="V82" s="255">
        <v>0</v>
      </c>
      <c r="W82" s="255">
        <v>0</v>
      </c>
      <c r="X82" s="255">
        <v>0</v>
      </c>
      <c r="Y82" s="255">
        <v>0</v>
      </c>
      <c r="Z82" s="255">
        <v>0</v>
      </c>
      <c r="AA82" s="255">
        <v>0</v>
      </c>
      <c r="AB82" s="255">
        <v>0</v>
      </c>
      <c r="AC82" s="255">
        <v>0</v>
      </c>
      <c r="AD82" s="255">
        <v>0</v>
      </c>
      <c r="AE82" s="255">
        <v>0</v>
      </c>
      <c r="AF82" s="255">
        <v>0</v>
      </c>
      <c r="AG82" s="255">
        <v>0</v>
      </c>
      <c r="AH82" s="255">
        <v>0</v>
      </c>
      <c r="AI82" s="255">
        <v>0</v>
      </c>
      <c r="AJ82" s="255">
        <v>0</v>
      </c>
      <c r="AK82" s="255">
        <v>0</v>
      </c>
      <c r="AL82" s="255">
        <v>0</v>
      </c>
      <c r="AM82" s="255">
        <v>0</v>
      </c>
      <c r="AN82" s="255">
        <v>0</v>
      </c>
      <c r="AO82" s="255">
        <v>0</v>
      </c>
      <c r="AP82" s="255"/>
      <c r="AQ82" s="255"/>
      <c r="AR82" s="255"/>
      <c r="AS82" s="255"/>
      <c r="AT82" s="255"/>
      <c r="AU82" s="255"/>
      <c r="AV82" s="255"/>
      <c r="AW82" s="255"/>
      <c r="AX82" s="255"/>
      <c r="AY82" s="255"/>
      <c r="AZ82" s="255"/>
      <c r="BA82" s="255"/>
      <c r="BB82" s="255"/>
      <c r="BC82" s="255"/>
      <c r="BD82" s="255"/>
      <c r="BE82" s="255"/>
      <c r="BF82" s="255"/>
      <c r="BG82" s="255"/>
      <c r="BH82" s="255"/>
      <c r="BI82" s="255"/>
      <c r="BJ82" s="255"/>
      <c r="BK82" s="255"/>
    </row>
    <row r="83" spans="1:63" s="133" customFormat="1" ht="12.75">
      <c r="A83" s="168">
        <v>37680</v>
      </c>
      <c r="B83" s="213" t="str">
        <f>Servicio_internaColumna_título_intereses</f>
        <v>Intereses</v>
      </c>
      <c r="C83" s="256">
        <v>0</v>
      </c>
      <c r="D83" s="257">
        <v>0</v>
      </c>
      <c r="E83" s="257">
        <v>5399950.856180422</v>
      </c>
      <c r="F83" s="257">
        <v>4758229.7767398823</v>
      </c>
      <c r="G83" s="257">
        <v>3821224.248263956</v>
      </c>
      <c r="H83" s="257">
        <v>3195033.1004397832</v>
      </c>
      <c r="I83" s="257">
        <v>2639756.865525539</v>
      </c>
      <c r="J83" s="257">
        <v>2091462.3582722358</v>
      </c>
      <c r="K83" s="257">
        <v>1619933.5930612814</v>
      </c>
      <c r="L83" s="257">
        <v>1355037.8701065241</v>
      </c>
      <c r="M83" s="257">
        <v>1355496.4783373438</v>
      </c>
      <c r="N83" s="257">
        <v>903313.41930334829</v>
      </c>
      <c r="O83" s="257">
        <v>339289.20355934091</v>
      </c>
      <c r="P83" s="257">
        <v>95841.177682143942</v>
      </c>
      <c r="Q83" s="257">
        <v>98716.413097549696</v>
      </c>
      <c r="R83" s="257">
        <v>0</v>
      </c>
      <c r="S83" s="257">
        <v>0</v>
      </c>
      <c r="T83" s="257">
        <v>0</v>
      </c>
      <c r="U83" s="258">
        <v>0</v>
      </c>
      <c r="V83" s="258">
        <v>0</v>
      </c>
      <c r="W83" s="258">
        <v>0</v>
      </c>
      <c r="X83" s="258">
        <v>0</v>
      </c>
      <c r="Y83" s="258">
        <v>0</v>
      </c>
      <c r="Z83" s="258">
        <v>0</v>
      </c>
      <c r="AA83" s="258">
        <v>0</v>
      </c>
      <c r="AB83" s="258">
        <v>0</v>
      </c>
      <c r="AC83" s="258">
        <v>0</v>
      </c>
      <c r="AD83" s="259">
        <v>0</v>
      </c>
      <c r="AE83" s="259">
        <v>0</v>
      </c>
      <c r="AF83" s="259">
        <v>0</v>
      </c>
      <c r="AG83" s="259">
        <v>0</v>
      </c>
      <c r="AH83" s="259">
        <v>0</v>
      </c>
      <c r="AI83" s="259">
        <v>0</v>
      </c>
      <c r="AJ83" s="259">
        <v>0</v>
      </c>
      <c r="AK83" s="259">
        <v>0</v>
      </c>
      <c r="AL83" s="259">
        <v>0</v>
      </c>
      <c r="AM83" s="259">
        <v>0</v>
      </c>
      <c r="AN83" s="259">
        <v>0</v>
      </c>
      <c r="AO83" s="259">
        <v>0</v>
      </c>
      <c r="AP83" s="259"/>
      <c r="AQ83" s="259"/>
      <c r="AR83" s="259"/>
      <c r="AS83" s="259"/>
      <c r="AT83" s="259"/>
      <c r="AU83" s="259"/>
      <c r="AV83" s="259"/>
      <c r="AW83" s="259"/>
      <c r="AX83" s="259"/>
      <c r="AY83" s="259"/>
      <c r="AZ83" s="259"/>
      <c r="BA83" s="259"/>
      <c r="BB83" s="259"/>
      <c r="BC83" s="259"/>
      <c r="BD83" s="259"/>
      <c r="BE83" s="259"/>
      <c r="BF83" s="259"/>
      <c r="BG83" s="259"/>
      <c r="BH83" s="259"/>
      <c r="BI83" s="259"/>
      <c r="BJ83" s="259"/>
      <c r="BK83" s="259"/>
    </row>
    <row r="84" spans="1:63" s="133" customFormat="1" ht="12.75">
      <c r="A84" s="169"/>
      <c r="B84" s="307" t="str">
        <f>Servicio_internaColumna_título_total</f>
        <v>Total</v>
      </c>
      <c r="C84" s="308">
        <v>0</v>
      </c>
      <c r="D84" s="309">
        <v>0</v>
      </c>
      <c r="E84" s="309">
        <v>12655741.684438711</v>
      </c>
      <c r="F84" s="309">
        <v>12111123.862600151</v>
      </c>
      <c r="G84" s="309">
        <v>9183089.3568308465</v>
      </c>
      <c r="H84" s="309">
        <v>8513324.3144227564</v>
      </c>
      <c r="I84" s="309">
        <v>8439341.1494097114</v>
      </c>
      <c r="J84" s="309">
        <v>6652011.2183585092</v>
      </c>
      <c r="K84" s="309">
        <v>4465545.9622103712</v>
      </c>
      <c r="L84" s="309">
        <v>2366190.5707061524</v>
      </c>
      <c r="M84" s="309">
        <v>6171821.0513413437</v>
      </c>
      <c r="N84" s="309">
        <v>6137445.5557572478</v>
      </c>
      <c r="O84" s="309">
        <v>2556190.1114827041</v>
      </c>
      <c r="P84" s="309">
        <v>95841.177683143935</v>
      </c>
      <c r="Q84" s="309">
        <v>1016082.3318415628</v>
      </c>
      <c r="R84" s="309">
        <v>0</v>
      </c>
      <c r="S84" s="309">
        <v>0</v>
      </c>
      <c r="T84" s="309">
        <v>0</v>
      </c>
      <c r="U84" s="309">
        <v>0</v>
      </c>
      <c r="V84" s="309">
        <v>0</v>
      </c>
      <c r="W84" s="309">
        <v>0</v>
      </c>
      <c r="X84" s="309">
        <v>0</v>
      </c>
      <c r="Y84" s="309">
        <v>0</v>
      </c>
      <c r="Z84" s="309">
        <v>0</v>
      </c>
      <c r="AA84" s="309">
        <v>0</v>
      </c>
      <c r="AB84" s="309">
        <v>0</v>
      </c>
      <c r="AC84" s="309">
        <v>0</v>
      </c>
      <c r="AD84" s="309">
        <v>0</v>
      </c>
      <c r="AE84" s="309">
        <v>0</v>
      </c>
      <c r="AF84" s="309">
        <v>0</v>
      </c>
      <c r="AG84" s="309">
        <v>0</v>
      </c>
      <c r="AH84" s="309">
        <v>0</v>
      </c>
      <c r="AI84" s="309">
        <v>0</v>
      </c>
      <c r="AJ84" s="309">
        <v>0</v>
      </c>
      <c r="AK84" s="309">
        <v>0</v>
      </c>
      <c r="AL84" s="309">
        <v>0</v>
      </c>
      <c r="AM84" s="309">
        <v>0</v>
      </c>
      <c r="AN84" s="309">
        <v>0</v>
      </c>
      <c r="AO84" s="309">
        <v>0</v>
      </c>
      <c r="AP84" s="309"/>
      <c r="AQ84" s="309"/>
      <c r="AR84" s="309"/>
      <c r="AS84" s="309"/>
      <c r="AT84" s="309"/>
      <c r="AU84" s="309"/>
      <c r="AV84" s="309"/>
      <c r="AW84" s="309"/>
      <c r="AX84" s="309"/>
      <c r="AY84" s="309"/>
      <c r="AZ84" s="309"/>
      <c r="BA84" s="309"/>
      <c r="BB84" s="309"/>
      <c r="BC84" s="309"/>
      <c r="BD84" s="309"/>
      <c r="BE84" s="309"/>
      <c r="BF84" s="309"/>
      <c r="BG84" s="309"/>
      <c r="BH84" s="309"/>
      <c r="BI84" s="309"/>
      <c r="BJ84" s="309"/>
      <c r="BK84" s="309"/>
    </row>
    <row r="85" spans="1:63" s="80" customFormat="1" ht="12.75">
      <c r="A85" s="167"/>
      <c r="B85" s="210" t="str">
        <f>Servicio_internaColumna_título_amortizaciones</f>
        <v>Amortizaciones</v>
      </c>
      <c r="C85" s="254">
        <v>0</v>
      </c>
      <c r="D85" s="255">
        <v>0</v>
      </c>
      <c r="E85" s="255">
        <v>8524350.6928277016</v>
      </c>
      <c r="F85" s="255">
        <v>5876602.299735453</v>
      </c>
      <c r="G85" s="255">
        <v>5989718.1155430106</v>
      </c>
      <c r="H85" s="255">
        <v>6055066.4878096767</v>
      </c>
      <c r="I85" s="255">
        <v>4646388.8891211608</v>
      </c>
      <c r="J85" s="255">
        <v>2957037.0767883761</v>
      </c>
      <c r="K85" s="255">
        <v>1017826.0743447584</v>
      </c>
      <c r="L85" s="255">
        <v>4982156.4472749997</v>
      </c>
      <c r="M85" s="255">
        <v>5967554.2582230009</v>
      </c>
      <c r="N85" s="255">
        <v>2257646.5998252821</v>
      </c>
      <c r="O85" s="255">
        <v>9.9999999999999995E-7</v>
      </c>
      <c r="P85" s="255">
        <v>928376.03305801318</v>
      </c>
      <c r="Q85" s="255">
        <v>0</v>
      </c>
      <c r="R85" s="255">
        <v>0</v>
      </c>
      <c r="S85" s="255">
        <v>0</v>
      </c>
      <c r="T85" s="255">
        <v>0</v>
      </c>
      <c r="U85" s="255">
        <v>0</v>
      </c>
      <c r="V85" s="255">
        <v>0</v>
      </c>
      <c r="W85" s="255">
        <v>0</v>
      </c>
      <c r="X85" s="255">
        <v>0</v>
      </c>
      <c r="Y85" s="255">
        <v>0</v>
      </c>
      <c r="Z85" s="255">
        <v>0</v>
      </c>
      <c r="AA85" s="255">
        <v>0</v>
      </c>
      <c r="AB85" s="255">
        <v>0</v>
      </c>
      <c r="AC85" s="255">
        <v>0</v>
      </c>
      <c r="AD85" s="255">
        <v>0</v>
      </c>
      <c r="AE85" s="255">
        <v>0</v>
      </c>
      <c r="AF85" s="255">
        <v>0</v>
      </c>
      <c r="AG85" s="255">
        <v>0</v>
      </c>
      <c r="AH85" s="255">
        <v>0</v>
      </c>
      <c r="AI85" s="255">
        <v>0</v>
      </c>
      <c r="AJ85" s="255">
        <v>0</v>
      </c>
      <c r="AK85" s="255">
        <v>0</v>
      </c>
      <c r="AL85" s="255">
        <v>0</v>
      </c>
      <c r="AM85" s="255">
        <v>0</v>
      </c>
      <c r="AN85" s="255">
        <v>0</v>
      </c>
      <c r="AO85" s="255">
        <v>0</v>
      </c>
      <c r="AP85" s="255"/>
      <c r="AQ85" s="255"/>
      <c r="AR85" s="255"/>
      <c r="AS85" s="255"/>
      <c r="AT85" s="255"/>
      <c r="AU85" s="255"/>
      <c r="AV85" s="255"/>
      <c r="AW85" s="255"/>
      <c r="AX85" s="255"/>
      <c r="AY85" s="255"/>
      <c r="AZ85" s="255"/>
      <c r="BA85" s="255"/>
      <c r="BB85" s="255"/>
      <c r="BC85" s="255"/>
      <c r="BD85" s="255"/>
      <c r="BE85" s="255"/>
      <c r="BF85" s="255"/>
      <c r="BG85" s="255"/>
      <c r="BH85" s="255"/>
      <c r="BI85" s="255"/>
      <c r="BJ85" s="255"/>
      <c r="BK85" s="255"/>
    </row>
    <row r="86" spans="1:63" s="133" customFormat="1" ht="12.75">
      <c r="A86" s="168">
        <v>37711</v>
      </c>
      <c r="B86" s="213" t="str">
        <f>Servicio_internaColumna_título_intereses</f>
        <v>Intereses</v>
      </c>
      <c r="C86" s="256">
        <v>0</v>
      </c>
      <c r="D86" s="257">
        <v>0</v>
      </c>
      <c r="E86" s="257">
        <v>4127154.1144948639</v>
      </c>
      <c r="F86" s="257">
        <v>6234768.8130809292</v>
      </c>
      <c r="G86" s="257">
        <v>3193991.8058591103</v>
      </c>
      <c r="H86" s="257">
        <v>2459593.6068057511</v>
      </c>
      <c r="I86" s="257">
        <v>3793997.7738879016</v>
      </c>
      <c r="J86" s="257">
        <v>3695323.200507543</v>
      </c>
      <c r="K86" s="257">
        <v>3446062.4428342939</v>
      </c>
      <c r="L86" s="257">
        <v>-2608988.5112878047</v>
      </c>
      <c r="M86" s="257">
        <v>210234.25349837076</v>
      </c>
      <c r="N86" s="257">
        <v>3885914.3535119942</v>
      </c>
      <c r="O86" s="257">
        <v>2596935.8033836232</v>
      </c>
      <c r="P86" s="257">
        <v>-832534.85537486919</v>
      </c>
      <c r="Q86" s="257">
        <v>1016082.3318415628</v>
      </c>
      <c r="R86" s="257">
        <v>0</v>
      </c>
      <c r="S86" s="257">
        <v>0</v>
      </c>
      <c r="T86" s="257">
        <v>0</v>
      </c>
      <c r="U86" s="258">
        <v>0</v>
      </c>
      <c r="V86" s="258">
        <v>0</v>
      </c>
      <c r="W86" s="258">
        <v>0</v>
      </c>
      <c r="X86" s="258">
        <v>0</v>
      </c>
      <c r="Y86" s="258">
        <v>0</v>
      </c>
      <c r="Z86" s="258">
        <v>0</v>
      </c>
      <c r="AA86" s="258">
        <v>0</v>
      </c>
      <c r="AB86" s="258">
        <v>0</v>
      </c>
      <c r="AC86" s="258">
        <v>0</v>
      </c>
      <c r="AD86" s="259">
        <v>0</v>
      </c>
      <c r="AE86" s="259">
        <v>0</v>
      </c>
      <c r="AF86" s="259">
        <v>0</v>
      </c>
      <c r="AG86" s="259">
        <v>0</v>
      </c>
      <c r="AH86" s="259">
        <v>0</v>
      </c>
      <c r="AI86" s="259">
        <v>0</v>
      </c>
      <c r="AJ86" s="259">
        <v>0</v>
      </c>
      <c r="AK86" s="259">
        <v>0</v>
      </c>
      <c r="AL86" s="259">
        <v>0</v>
      </c>
      <c r="AM86" s="259">
        <v>0</v>
      </c>
      <c r="AN86" s="259">
        <v>0</v>
      </c>
      <c r="AO86" s="259">
        <v>0</v>
      </c>
      <c r="AP86" s="259"/>
      <c r="AQ86" s="259"/>
      <c r="AR86" s="259"/>
      <c r="AS86" s="259"/>
      <c r="AT86" s="259"/>
      <c r="AU86" s="259"/>
      <c r="AV86" s="259"/>
      <c r="AW86" s="259"/>
      <c r="AX86" s="259"/>
      <c r="AY86" s="259"/>
      <c r="AZ86" s="259"/>
      <c r="BA86" s="259"/>
      <c r="BB86" s="259"/>
      <c r="BC86" s="259"/>
      <c r="BD86" s="259"/>
      <c r="BE86" s="259"/>
      <c r="BF86" s="259"/>
      <c r="BG86" s="259"/>
      <c r="BH86" s="259"/>
      <c r="BI86" s="259"/>
      <c r="BJ86" s="259"/>
      <c r="BK86" s="259"/>
    </row>
    <row r="87" spans="1:63" s="133" customFormat="1" ht="12.75">
      <c r="A87" s="169"/>
      <c r="B87" s="307" t="str">
        <f>Servicio_internaColumna_título_total</f>
        <v>Total</v>
      </c>
      <c r="C87" s="308">
        <v>0</v>
      </c>
      <c r="D87" s="309">
        <v>0</v>
      </c>
      <c r="E87" s="309">
        <v>12651504.807322565</v>
      </c>
      <c r="F87" s="309">
        <v>12111371.112816382</v>
      </c>
      <c r="G87" s="309">
        <v>9183709.921402121</v>
      </c>
      <c r="H87" s="309">
        <v>8514660.0946154278</v>
      </c>
      <c r="I87" s="309">
        <v>8440386.6630090624</v>
      </c>
      <c r="J87" s="309">
        <v>6652360.2772959191</v>
      </c>
      <c r="K87" s="309">
        <v>4463888.5171790523</v>
      </c>
      <c r="L87" s="309">
        <v>2373167.935987195</v>
      </c>
      <c r="M87" s="309">
        <v>6177788.5117213717</v>
      </c>
      <c r="N87" s="309">
        <v>6143560.9533372764</v>
      </c>
      <c r="O87" s="309">
        <v>2596935.803384623</v>
      </c>
      <c r="P87" s="309">
        <v>95841.177683143935</v>
      </c>
      <c r="Q87" s="309">
        <v>1016082.3318415628</v>
      </c>
      <c r="R87" s="309">
        <v>0</v>
      </c>
      <c r="S87" s="309">
        <v>0</v>
      </c>
      <c r="T87" s="309">
        <v>0</v>
      </c>
      <c r="U87" s="309">
        <v>0</v>
      </c>
      <c r="V87" s="309">
        <v>0</v>
      </c>
      <c r="W87" s="309">
        <v>0</v>
      </c>
      <c r="X87" s="309">
        <v>0</v>
      </c>
      <c r="Y87" s="309">
        <v>0</v>
      </c>
      <c r="Z87" s="309">
        <v>0</v>
      </c>
      <c r="AA87" s="309">
        <v>0</v>
      </c>
      <c r="AB87" s="309">
        <v>0</v>
      </c>
      <c r="AC87" s="309">
        <v>0</v>
      </c>
      <c r="AD87" s="309">
        <v>0</v>
      </c>
      <c r="AE87" s="309">
        <v>0</v>
      </c>
      <c r="AF87" s="309">
        <v>0</v>
      </c>
      <c r="AG87" s="309">
        <v>0</v>
      </c>
      <c r="AH87" s="309">
        <v>0</v>
      </c>
      <c r="AI87" s="309">
        <v>0</v>
      </c>
      <c r="AJ87" s="309">
        <v>0</v>
      </c>
      <c r="AK87" s="309">
        <v>0</v>
      </c>
      <c r="AL87" s="309">
        <v>0</v>
      </c>
      <c r="AM87" s="309">
        <v>0</v>
      </c>
      <c r="AN87" s="309">
        <v>0</v>
      </c>
      <c r="AO87" s="309">
        <v>0</v>
      </c>
      <c r="AP87" s="309"/>
      <c r="AQ87" s="309"/>
      <c r="AR87" s="309"/>
      <c r="AS87" s="309"/>
      <c r="AT87" s="309"/>
      <c r="AU87" s="309"/>
      <c r="AV87" s="309"/>
      <c r="AW87" s="309"/>
      <c r="AX87" s="309"/>
      <c r="AY87" s="309"/>
      <c r="AZ87" s="309"/>
      <c r="BA87" s="309"/>
      <c r="BB87" s="309"/>
      <c r="BC87" s="309"/>
      <c r="BD87" s="309"/>
      <c r="BE87" s="309"/>
      <c r="BF87" s="309"/>
      <c r="BG87" s="309"/>
      <c r="BH87" s="309"/>
      <c r="BI87" s="309"/>
      <c r="BJ87" s="309"/>
      <c r="BK87" s="309"/>
    </row>
    <row r="88" spans="1:63" s="80" customFormat="1" ht="12.75">
      <c r="A88" s="167"/>
      <c r="B88" s="210" t="str">
        <f>Servicio_internaColumna_título_amortizaciones</f>
        <v>Amortizaciones</v>
      </c>
      <c r="C88" s="254">
        <v>0</v>
      </c>
      <c r="D88" s="255">
        <v>0</v>
      </c>
      <c r="E88" s="255">
        <v>8732026.3745832127</v>
      </c>
      <c r="F88" s="255">
        <v>6034754.3083869871</v>
      </c>
      <c r="G88" s="255">
        <v>6241453.7316273646</v>
      </c>
      <c r="H88" s="255">
        <v>6171780.6869775634</v>
      </c>
      <c r="I88" s="255">
        <v>4655435.3707716698</v>
      </c>
      <c r="J88" s="255">
        <v>2946578.9402858624</v>
      </c>
      <c r="K88" s="255">
        <v>1024992.6969614397</v>
      </c>
      <c r="L88" s="255">
        <v>4997075.9061099999</v>
      </c>
      <c r="M88" s="255">
        <v>6008864.7961695055</v>
      </c>
      <c r="N88" s="255">
        <v>2299257.835138828</v>
      </c>
      <c r="O88" s="255">
        <v>9.9999999999999995E-7</v>
      </c>
      <c r="P88" s="255">
        <v>938235.66738351877</v>
      </c>
      <c r="Q88" s="255">
        <v>0</v>
      </c>
      <c r="R88" s="255">
        <v>0</v>
      </c>
      <c r="S88" s="255">
        <v>0</v>
      </c>
      <c r="T88" s="255">
        <v>0</v>
      </c>
      <c r="U88" s="255">
        <v>0</v>
      </c>
      <c r="V88" s="255">
        <v>0</v>
      </c>
      <c r="W88" s="255">
        <v>0</v>
      </c>
      <c r="X88" s="255">
        <v>0</v>
      </c>
      <c r="Y88" s="255">
        <v>0</v>
      </c>
      <c r="Z88" s="255">
        <v>0</v>
      </c>
      <c r="AA88" s="255">
        <v>0</v>
      </c>
      <c r="AB88" s="255">
        <v>0</v>
      </c>
      <c r="AC88" s="255">
        <v>0</v>
      </c>
      <c r="AD88" s="255">
        <v>0</v>
      </c>
      <c r="AE88" s="255">
        <v>0</v>
      </c>
      <c r="AF88" s="255">
        <v>0</v>
      </c>
      <c r="AG88" s="255">
        <v>0</v>
      </c>
      <c r="AH88" s="255">
        <v>0</v>
      </c>
      <c r="AI88" s="255">
        <v>0</v>
      </c>
      <c r="AJ88" s="255">
        <v>0</v>
      </c>
      <c r="AK88" s="255">
        <v>0</v>
      </c>
      <c r="AL88" s="255">
        <v>0</v>
      </c>
      <c r="AM88" s="255">
        <v>0</v>
      </c>
      <c r="AN88" s="255">
        <v>0</v>
      </c>
      <c r="AO88" s="255">
        <v>0</v>
      </c>
      <c r="AP88" s="255"/>
      <c r="AQ88" s="255"/>
      <c r="AR88" s="255"/>
      <c r="AS88" s="255"/>
      <c r="AT88" s="255"/>
      <c r="AU88" s="255"/>
      <c r="AV88" s="255"/>
      <c r="AW88" s="255"/>
      <c r="AX88" s="255"/>
      <c r="AY88" s="255"/>
      <c r="AZ88" s="255"/>
      <c r="BA88" s="255"/>
      <c r="BB88" s="255"/>
      <c r="BC88" s="255"/>
      <c r="BD88" s="255"/>
      <c r="BE88" s="255"/>
      <c r="BF88" s="255"/>
      <c r="BG88" s="255"/>
      <c r="BH88" s="255"/>
      <c r="BI88" s="255"/>
      <c r="BJ88" s="255"/>
      <c r="BK88" s="255"/>
    </row>
    <row r="89" spans="1:63" s="133" customFormat="1" ht="12.75">
      <c r="A89" s="168">
        <v>37741</v>
      </c>
      <c r="B89" s="213" t="str">
        <f>Servicio_internaColumna_título_intereses</f>
        <v>Intereses</v>
      </c>
      <c r="C89" s="256">
        <v>0</v>
      </c>
      <c r="D89" s="257">
        <v>0</v>
      </c>
      <c r="E89" s="257">
        <v>2892085.92150685</v>
      </c>
      <c r="F89" s="257">
        <v>8180734.2995370943</v>
      </c>
      <c r="G89" s="257">
        <v>4203121.4074225305</v>
      </c>
      <c r="H89" s="257">
        <v>3767162.2338097505</v>
      </c>
      <c r="I89" s="257">
        <v>4488262.9250881923</v>
      </c>
      <c r="J89" s="257">
        <v>4084029.5167039214</v>
      </c>
      <c r="K89" s="257">
        <v>3650727.5447480059</v>
      </c>
      <c r="L89" s="257">
        <v>-2520851.8051734623</v>
      </c>
      <c r="M89" s="257">
        <v>441360.56509877555</v>
      </c>
      <c r="N89" s="257">
        <v>4694424.3864487447</v>
      </c>
      <c r="O89" s="257">
        <v>2639895.7647587769</v>
      </c>
      <c r="P89" s="257">
        <v>-841005.29837360757</v>
      </c>
      <c r="Q89" s="257">
        <v>1038382.9474008809</v>
      </c>
      <c r="R89" s="257">
        <v>0</v>
      </c>
      <c r="S89" s="257">
        <v>0</v>
      </c>
      <c r="T89" s="257">
        <v>0</v>
      </c>
      <c r="U89" s="258">
        <v>0</v>
      </c>
      <c r="V89" s="258">
        <v>0</v>
      </c>
      <c r="W89" s="258">
        <v>0</v>
      </c>
      <c r="X89" s="258">
        <v>0</v>
      </c>
      <c r="Y89" s="258">
        <v>0</v>
      </c>
      <c r="Z89" s="258">
        <v>0</v>
      </c>
      <c r="AA89" s="258">
        <v>0</v>
      </c>
      <c r="AB89" s="258">
        <v>0</v>
      </c>
      <c r="AC89" s="258">
        <v>0</v>
      </c>
      <c r="AD89" s="259">
        <v>0</v>
      </c>
      <c r="AE89" s="259">
        <v>0</v>
      </c>
      <c r="AF89" s="259">
        <v>0</v>
      </c>
      <c r="AG89" s="259">
        <v>0</v>
      </c>
      <c r="AH89" s="259">
        <v>0</v>
      </c>
      <c r="AI89" s="259">
        <v>0</v>
      </c>
      <c r="AJ89" s="259">
        <v>0</v>
      </c>
      <c r="AK89" s="259">
        <v>0</v>
      </c>
      <c r="AL89" s="259">
        <v>0</v>
      </c>
      <c r="AM89" s="259">
        <v>0</v>
      </c>
      <c r="AN89" s="259">
        <v>0</v>
      </c>
      <c r="AO89" s="259">
        <v>0</v>
      </c>
      <c r="AP89" s="259"/>
      <c r="AQ89" s="259"/>
      <c r="AR89" s="259"/>
      <c r="AS89" s="259"/>
      <c r="AT89" s="259"/>
      <c r="AU89" s="259"/>
      <c r="AV89" s="259"/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59"/>
      <c r="BH89" s="259"/>
      <c r="BI89" s="259"/>
      <c r="BJ89" s="259"/>
      <c r="BK89" s="259"/>
    </row>
    <row r="90" spans="1:63" s="133" customFormat="1" ht="12.75">
      <c r="A90" s="169"/>
      <c r="B90" s="307" t="str">
        <f>Servicio_internaColumna_título_total</f>
        <v>Total</v>
      </c>
      <c r="C90" s="308">
        <v>0</v>
      </c>
      <c r="D90" s="309">
        <v>0</v>
      </c>
      <c r="E90" s="309">
        <v>11624112.296090063</v>
      </c>
      <c r="F90" s="309">
        <v>14215488.607924081</v>
      </c>
      <c r="G90" s="309">
        <v>10444575.139049895</v>
      </c>
      <c r="H90" s="309">
        <v>9938942.920787314</v>
      </c>
      <c r="I90" s="309">
        <v>9143698.2958598621</v>
      </c>
      <c r="J90" s="309">
        <v>7030608.4569897838</v>
      </c>
      <c r="K90" s="309">
        <v>4675720.2417094456</v>
      </c>
      <c r="L90" s="309">
        <v>2476224.1009365376</v>
      </c>
      <c r="M90" s="309">
        <v>6450225.361268281</v>
      </c>
      <c r="N90" s="309">
        <v>6993682.2215875722</v>
      </c>
      <c r="O90" s="309">
        <v>2639895.7647597766</v>
      </c>
      <c r="P90" s="309">
        <v>97230.369009911185</v>
      </c>
      <c r="Q90" s="309">
        <v>1038382.9474008809</v>
      </c>
      <c r="R90" s="309">
        <v>0</v>
      </c>
      <c r="S90" s="309">
        <v>0</v>
      </c>
      <c r="T90" s="309">
        <v>0</v>
      </c>
      <c r="U90" s="309">
        <v>0</v>
      </c>
      <c r="V90" s="309">
        <v>0</v>
      </c>
      <c r="W90" s="309">
        <v>0</v>
      </c>
      <c r="X90" s="309">
        <v>0</v>
      </c>
      <c r="Y90" s="309">
        <v>0</v>
      </c>
      <c r="Z90" s="309">
        <v>0</v>
      </c>
      <c r="AA90" s="309">
        <v>0</v>
      </c>
      <c r="AB90" s="309">
        <v>0</v>
      </c>
      <c r="AC90" s="309">
        <v>0</v>
      </c>
      <c r="AD90" s="309">
        <v>0</v>
      </c>
      <c r="AE90" s="309">
        <v>0</v>
      </c>
      <c r="AF90" s="309">
        <v>0</v>
      </c>
      <c r="AG90" s="309">
        <v>0</v>
      </c>
      <c r="AH90" s="309">
        <v>0</v>
      </c>
      <c r="AI90" s="309">
        <v>0</v>
      </c>
      <c r="AJ90" s="309">
        <v>0</v>
      </c>
      <c r="AK90" s="309">
        <v>0</v>
      </c>
      <c r="AL90" s="309">
        <v>0</v>
      </c>
      <c r="AM90" s="309">
        <v>0</v>
      </c>
      <c r="AN90" s="309">
        <v>0</v>
      </c>
      <c r="AO90" s="309">
        <v>0</v>
      </c>
      <c r="AP90" s="309"/>
      <c r="AQ90" s="309"/>
      <c r="AR90" s="309"/>
      <c r="AS90" s="309"/>
      <c r="AT90" s="309"/>
      <c r="AU90" s="309"/>
      <c r="AV90" s="309"/>
      <c r="AW90" s="309"/>
      <c r="AX90" s="309"/>
      <c r="AY90" s="309"/>
      <c r="AZ90" s="309"/>
      <c r="BA90" s="309"/>
      <c r="BB90" s="309"/>
      <c r="BC90" s="309"/>
      <c r="BD90" s="309"/>
      <c r="BE90" s="309"/>
      <c r="BF90" s="309"/>
      <c r="BG90" s="309"/>
      <c r="BH90" s="309"/>
      <c r="BI90" s="309"/>
      <c r="BJ90" s="309"/>
      <c r="BK90" s="309"/>
    </row>
    <row r="91" spans="1:63" s="80" customFormat="1" ht="12.75">
      <c r="A91" s="167"/>
      <c r="B91" s="210" t="str">
        <f>Servicio_internaColumna_título_amortizaciones</f>
        <v>Amortizaciones</v>
      </c>
      <c r="C91" s="254">
        <v>0</v>
      </c>
      <c r="D91" s="255">
        <v>0</v>
      </c>
      <c r="E91" s="255">
        <v>9013542.6467009392</v>
      </c>
      <c r="F91" s="255">
        <v>6193043.3840704188</v>
      </c>
      <c r="G91" s="255">
        <v>6589870.5096081896</v>
      </c>
      <c r="H91" s="255">
        <v>6357597.0300216861</v>
      </c>
      <c r="I91" s="255">
        <v>4673500.472189879</v>
      </c>
      <c r="J91" s="255">
        <v>2983200.0044628726</v>
      </c>
      <c r="K91" s="255">
        <v>1031730.5115564588</v>
      </c>
      <c r="L91" s="255">
        <v>5012608.6928000003</v>
      </c>
      <c r="M91" s="255">
        <v>6160531.8583999993</v>
      </c>
      <c r="N91" s="255">
        <v>2341722.1135829459</v>
      </c>
      <c r="O91" s="255">
        <v>9.9999999999999995E-7</v>
      </c>
      <c r="P91" s="255">
        <v>964649.98000001349</v>
      </c>
      <c r="Q91" s="255">
        <v>0</v>
      </c>
      <c r="R91" s="255">
        <v>0</v>
      </c>
      <c r="S91" s="255">
        <v>0</v>
      </c>
      <c r="T91" s="255">
        <v>0</v>
      </c>
      <c r="U91" s="255">
        <v>0</v>
      </c>
      <c r="V91" s="255">
        <v>0</v>
      </c>
      <c r="W91" s="255">
        <v>0</v>
      </c>
      <c r="X91" s="255">
        <v>0</v>
      </c>
      <c r="Y91" s="255">
        <v>0</v>
      </c>
      <c r="Z91" s="255">
        <v>0</v>
      </c>
      <c r="AA91" s="255">
        <v>0</v>
      </c>
      <c r="AB91" s="255">
        <v>0</v>
      </c>
      <c r="AC91" s="255">
        <v>0</v>
      </c>
      <c r="AD91" s="255">
        <v>0</v>
      </c>
      <c r="AE91" s="255">
        <v>0</v>
      </c>
      <c r="AF91" s="255">
        <v>0</v>
      </c>
      <c r="AG91" s="255">
        <v>0</v>
      </c>
      <c r="AH91" s="255">
        <v>0</v>
      </c>
      <c r="AI91" s="255">
        <v>0</v>
      </c>
      <c r="AJ91" s="255">
        <v>0</v>
      </c>
      <c r="AK91" s="255">
        <v>0</v>
      </c>
      <c r="AL91" s="255">
        <v>0</v>
      </c>
      <c r="AM91" s="255">
        <v>0</v>
      </c>
      <c r="AN91" s="255">
        <v>0</v>
      </c>
      <c r="AO91" s="255">
        <v>0</v>
      </c>
      <c r="AP91" s="255"/>
      <c r="AQ91" s="255"/>
      <c r="AR91" s="255"/>
      <c r="AS91" s="255"/>
      <c r="AT91" s="255"/>
      <c r="AU91" s="255"/>
      <c r="AV91" s="255"/>
      <c r="AW91" s="255"/>
      <c r="AX91" s="255"/>
      <c r="AY91" s="255"/>
      <c r="AZ91" s="255"/>
      <c r="BA91" s="255"/>
      <c r="BB91" s="255"/>
      <c r="BC91" s="255"/>
      <c r="BD91" s="255"/>
      <c r="BE91" s="255"/>
      <c r="BF91" s="255"/>
      <c r="BG91" s="255"/>
      <c r="BH91" s="255"/>
      <c r="BI91" s="255"/>
      <c r="BJ91" s="255"/>
      <c r="BK91" s="255"/>
    </row>
    <row r="92" spans="1:63" s="133" customFormat="1" ht="12.75">
      <c r="A92" s="168">
        <v>37772</v>
      </c>
      <c r="B92" s="213" t="str">
        <f>Servicio_internaColumna_título_intereses</f>
        <v>Intereses</v>
      </c>
      <c r="C92" s="256">
        <v>0</v>
      </c>
      <c r="D92" s="257">
        <v>0</v>
      </c>
      <c r="E92" s="257">
        <v>2274470.0623210054</v>
      </c>
      <c r="F92" s="257">
        <v>8445466.6225148086</v>
      </c>
      <c r="G92" s="257">
        <v>4129839.121317965</v>
      </c>
      <c r="H92" s="257">
        <v>4025998.3652859293</v>
      </c>
      <c r="I92" s="257">
        <v>4704041.3289142903</v>
      </c>
      <c r="J92" s="257">
        <v>4089055.9119438473</v>
      </c>
      <c r="K92" s="257">
        <v>3704864.4749103142</v>
      </c>
      <c r="L92" s="257">
        <v>-2511873.3966992125</v>
      </c>
      <c r="M92" s="257">
        <v>322782.8818441825</v>
      </c>
      <c r="N92" s="257">
        <v>4821268.5895645432</v>
      </c>
      <c r="O92" s="257">
        <v>2683943.9602989671</v>
      </c>
      <c r="P92" s="257">
        <v>-865788.17638215411</v>
      </c>
      <c r="Q92" s="257">
        <v>1066477.6376625255</v>
      </c>
      <c r="R92" s="257">
        <v>0</v>
      </c>
      <c r="S92" s="257">
        <v>0</v>
      </c>
      <c r="T92" s="257">
        <v>0</v>
      </c>
      <c r="U92" s="258">
        <v>0</v>
      </c>
      <c r="V92" s="258">
        <v>0</v>
      </c>
      <c r="W92" s="258">
        <v>0</v>
      </c>
      <c r="X92" s="258">
        <v>0</v>
      </c>
      <c r="Y92" s="258">
        <v>0</v>
      </c>
      <c r="Z92" s="258">
        <v>0</v>
      </c>
      <c r="AA92" s="258">
        <v>0</v>
      </c>
      <c r="AB92" s="258">
        <v>0</v>
      </c>
      <c r="AC92" s="258">
        <v>0</v>
      </c>
      <c r="AD92" s="259">
        <v>0</v>
      </c>
      <c r="AE92" s="259">
        <v>0</v>
      </c>
      <c r="AF92" s="259">
        <v>0</v>
      </c>
      <c r="AG92" s="259">
        <v>0</v>
      </c>
      <c r="AH92" s="259">
        <v>0</v>
      </c>
      <c r="AI92" s="259">
        <v>0</v>
      </c>
      <c r="AJ92" s="259">
        <v>0</v>
      </c>
      <c r="AK92" s="259">
        <v>0</v>
      </c>
      <c r="AL92" s="259">
        <v>0</v>
      </c>
      <c r="AM92" s="259">
        <v>0</v>
      </c>
      <c r="AN92" s="259">
        <v>0</v>
      </c>
      <c r="AO92" s="259">
        <v>0</v>
      </c>
      <c r="AP92" s="259"/>
      <c r="AQ92" s="259"/>
      <c r="AR92" s="259"/>
      <c r="AS92" s="259"/>
      <c r="AT92" s="259"/>
      <c r="AU92" s="259"/>
      <c r="AV92" s="259"/>
      <c r="AW92" s="259"/>
      <c r="AX92" s="259"/>
      <c r="AY92" s="259"/>
      <c r="AZ92" s="259"/>
      <c r="BA92" s="259"/>
      <c r="BB92" s="259"/>
      <c r="BC92" s="259"/>
      <c r="BD92" s="259"/>
      <c r="BE92" s="259"/>
      <c r="BF92" s="259"/>
      <c r="BG92" s="259"/>
      <c r="BH92" s="259"/>
      <c r="BI92" s="259"/>
      <c r="BJ92" s="259"/>
      <c r="BK92" s="259"/>
    </row>
    <row r="93" spans="1:63" s="133" customFormat="1" ht="12.75">
      <c r="A93" s="169"/>
      <c r="B93" s="307" t="str">
        <f>Servicio_internaColumna_título_total</f>
        <v>Total</v>
      </c>
      <c r="C93" s="308">
        <v>0</v>
      </c>
      <c r="D93" s="309">
        <v>0</v>
      </c>
      <c r="E93" s="309">
        <v>11288012.709021945</v>
      </c>
      <c r="F93" s="309">
        <v>14638510.006585227</v>
      </c>
      <c r="G93" s="309">
        <v>10719709.630926155</v>
      </c>
      <c r="H93" s="309">
        <v>10383595.395307615</v>
      </c>
      <c r="I93" s="309">
        <v>9377541.8011041693</v>
      </c>
      <c r="J93" s="309">
        <v>7072255.9164067199</v>
      </c>
      <c r="K93" s="309">
        <v>4736594.9864667729</v>
      </c>
      <c r="L93" s="309">
        <v>2500735.2961007878</v>
      </c>
      <c r="M93" s="309">
        <v>6483314.7402441818</v>
      </c>
      <c r="N93" s="309">
        <v>7162990.7031474886</v>
      </c>
      <c r="O93" s="309">
        <v>2683943.9602999669</v>
      </c>
      <c r="P93" s="309">
        <v>98861.803617859332</v>
      </c>
      <c r="Q93" s="309">
        <v>1066477.6376625255</v>
      </c>
      <c r="R93" s="309">
        <v>0</v>
      </c>
      <c r="S93" s="309">
        <v>0</v>
      </c>
      <c r="T93" s="309">
        <v>0</v>
      </c>
      <c r="U93" s="309">
        <v>0</v>
      </c>
      <c r="V93" s="309">
        <v>0</v>
      </c>
      <c r="W93" s="309">
        <v>0</v>
      </c>
      <c r="X93" s="309">
        <v>0</v>
      </c>
      <c r="Y93" s="309">
        <v>0</v>
      </c>
      <c r="Z93" s="309">
        <v>0</v>
      </c>
      <c r="AA93" s="309">
        <v>0</v>
      </c>
      <c r="AB93" s="309">
        <v>0</v>
      </c>
      <c r="AC93" s="309">
        <v>0</v>
      </c>
      <c r="AD93" s="309">
        <v>0</v>
      </c>
      <c r="AE93" s="309">
        <v>0</v>
      </c>
      <c r="AF93" s="309">
        <v>0</v>
      </c>
      <c r="AG93" s="309">
        <v>0</v>
      </c>
      <c r="AH93" s="309">
        <v>0</v>
      </c>
      <c r="AI93" s="309">
        <v>0</v>
      </c>
      <c r="AJ93" s="309">
        <v>0</v>
      </c>
      <c r="AK93" s="309">
        <v>0</v>
      </c>
      <c r="AL93" s="309">
        <v>0</v>
      </c>
      <c r="AM93" s="309">
        <v>0</v>
      </c>
      <c r="AN93" s="309">
        <v>0</v>
      </c>
      <c r="AO93" s="309">
        <v>0</v>
      </c>
      <c r="AP93" s="309"/>
      <c r="AQ93" s="309"/>
      <c r="AR93" s="309"/>
      <c r="AS93" s="309"/>
      <c r="AT93" s="309"/>
      <c r="AU93" s="309"/>
      <c r="AV93" s="309"/>
      <c r="AW93" s="309"/>
      <c r="AX93" s="309"/>
      <c r="AY93" s="309"/>
      <c r="AZ93" s="309"/>
      <c r="BA93" s="309"/>
      <c r="BB93" s="309"/>
      <c r="BC93" s="309"/>
      <c r="BD93" s="309"/>
      <c r="BE93" s="309"/>
      <c r="BF93" s="309"/>
      <c r="BG93" s="309"/>
      <c r="BH93" s="309"/>
      <c r="BI93" s="309"/>
      <c r="BJ93" s="309"/>
      <c r="BK93" s="309"/>
    </row>
    <row r="94" spans="1:63" s="80" customFormat="1" ht="12.75">
      <c r="A94" s="167"/>
      <c r="B94" s="210" t="str">
        <f>Servicio_internaColumna_título_amortizaciones</f>
        <v>Amortizaciones</v>
      </c>
      <c r="C94" s="254">
        <v>0</v>
      </c>
      <c r="D94" s="255">
        <v>0</v>
      </c>
      <c r="E94" s="255">
        <v>8858604.8416012581</v>
      </c>
      <c r="F94" s="255">
        <v>6584609.7938389704</v>
      </c>
      <c r="G94" s="255">
        <v>7565521.8867965546</v>
      </c>
      <c r="H94" s="255">
        <v>6743030.1379236002</v>
      </c>
      <c r="I94" s="255">
        <v>4666891.6819342151</v>
      </c>
      <c r="J94" s="255">
        <v>3135690.732189551</v>
      </c>
      <c r="K94" s="255">
        <v>1039403.5561210595</v>
      </c>
      <c r="L94" s="255">
        <v>5023281.8609399721</v>
      </c>
      <c r="M94" s="255">
        <v>6245938.6291250698</v>
      </c>
      <c r="N94" s="255">
        <v>2383840.9745016941</v>
      </c>
      <c r="O94" s="255">
        <v>9.9999999999999995E-7</v>
      </c>
      <c r="P94" s="255">
        <v>971783.84161499678</v>
      </c>
      <c r="Q94" s="255">
        <v>0</v>
      </c>
      <c r="R94" s="255">
        <v>0</v>
      </c>
      <c r="S94" s="255">
        <v>0</v>
      </c>
      <c r="T94" s="255">
        <v>0</v>
      </c>
      <c r="U94" s="255">
        <v>0</v>
      </c>
      <c r="V94" s="255">
        <v>0</v>
      </c>
      <c r="W94" s="255">
        <v>0</v>
      </c>
      <c r="X94" s="255">
        <v>0</v>
      </c>
      <c r="Y94" s="255">
        <v>0</v>
      </c>
      <c r="Z94" s="255">
        <v>0</v>
      </c>
      <c r="AA94" s="255">
        <v>0</v>
      </c>
      <c r="AB94" s="255">
        <v>0</v>
      </c>
      <c r="AC94" s="255">
        <v>0</v>
      </c>
      <c r="AD94" s="255">
        <v>0</v>
      </c>
      <c r="AE94" s="255">
        <v>0</v>
      </c>
      <c r="AF94" s="255">
        <v>0</v>
      </c>
      <c r="AG94" s="255">
        <v>0</v>
      </c>
      <c r="AH94" s="255">
        <v>0</v>
      </c>
      <c r="AI94" s="255">
        <v>0</v>
      </c>
      <c r="AJ94" s="255">
        <v>0</v>
      </c>
      <c r="AK94" s="255">
        <v>0</v>
      </c>
      <c r="AL94" s="255">
        <v>0</v>
      </c>
      <c r="AM94" s="255">
        <v>0</v>
      </c>
      <c r="AN94" s="255">
        <v>0</v>
      </c>
      <c r="AO94" s="255">
        <v>0</v>
      </c>
      <c r="AP94" s="255"/>
      <c r="AQ94" s="255"/>
      <c r="AR94" s="255"/>
      <c r="AS94" s="255"/>
      <c r="AT94" s="255"/>
      <c r="AU94" s="255"/>
      <c r="AV94" s="255"/>
      <c r="AW94" s="255"/>
      <c r="AX94" s="255"/>
      <c r="AY94" s="255"/>
      <c r="AZ94" s="255"/>
      <c r="BA94" s="255"/>
      <c r="BB94" s="255"/>
      <c r="BC94" s="255"/>
      <c r="BD94" s="255"/>
      <c r="BE94" s="255"/>
      <c r="BF94" s="255"/>
      <c r="BG94" s="255"/>
      <c r="BH94" s="255"/>
      <c r="BI94" s="255"/>
      <c r="BJ94" s="255"/>
      <c r="BK94" s="255"/>
    </row>
    <row r="95" spans="1:63" s="133" customFormat="1" ht="12.75">
      <c r="A95" s="168">
        <v>37802</v>
      </c>
      <c r="B95" s="213" t="str">
        <f>Servicio_internaColumna_título_intereses</f>
        <v>Intereses</v>
      </c>
      <c r="C95" s="256">
        <v>0</v>
      </c>
      <c r="D95" s="257">
        <v>0</v>
      </c>
      <c r="E95" s="257">
        <v>507265.06987974048</v>
      </c>
      <c r="F95" s="257">
        <v>8056243.3463191073</v>
      </c>
      <c r="G95" s="257">
        <v>3770829.9812584706</v>
      </c>
      <c r="H95" s="257">
        <v>4805191.3577124253</v>
      </c>
      <c r="I95" s="257">
        <v>5155043.0447699986</v>
      </c>
      <c r="J95" s="257">
        <v>3951893.3070565797</v>
      </c>
      <c r="K95" s="257">
        <v>3877650.8919106508</v>
      </c>
      <c r="L95" s="257">
        <v>-2506758.4492568476</v>
      </c>
      <c r="M95" s="257">
        <v>256378.97617217712</v>
      </c>
      <c r="N95" s="257">
        <v>4872896.7747277133</v>
      </c>
      <c r="O95" s="257">
        <v>2726051.374348077</v>
      </c>
      <c r="P95" s="257">
        <v>-872933.82827285735</v>
      </c>
      <c r="Q95" s="257">
        <v>1073599.3552935247</v>
      </c>
      <c r="R95" s="257">
        <v>0</v>
      </c>
      <c r="S95" s="257">
        <v>0</v>
      </c>
      <c r="T95" s="257">
        <v>0</v>
      </c>
      <c r="U95" s="258">
        <v>0</v>
      </c>
      <c r="V95" s="258">
        <v>0</v>
      </c>
      <c r="W95" s="258">
        <v>0</v>
      </c>
      <c r="X95" s="258">
        <v>0</v>
      </c>
      <c r="Y95" s="258">
        <v>0</v>
      </c>
      <c r="Z95" s="258">
        <v>0</v>
      </c>
      <c r="AA95" s="258">
        <v>0</v>
      </c>
      <c r="AB95" s="258">
        <v>0</v>
      </c>
      <c r="AC95" s="258">
        <v>0</v>
      </c>
      <c r="AD95" s="259">
        <v>0</v>
      </c>
      <c r="AE95" s="259">
        <v>0</v>
      </c>
      <c r="AF95" s="259">
        <v>0</v>
      </c>
      <c r="AG95" s="259">
        <v>0</v>
      </c>
      <c r="AH95" s="259">
        <v>0</v>
      </c>
      <c r="AI95" s="259">
        <v>0</v>
      </c>
      <c r="AJ95" s="259">
        <v>0</v>
      </c>
      <c r="AK95" s="259">
        <v>0</v>
      </c>
      <c r="AL95" s="259">
        <v>0</v>
      </c>
      <c r="AM95" s="259">
        <v>0</v>
      </c>
      <c r="AN95" s="259">
        <v>0</v>
      </c>
      <c r="AO95" s="259">
        <v>0</v>
      </c>
      <c r="AP95" s="259"/>
      <c r="AQ95" s="259"/>
      <c r="AR95" s="259"/>
      <c r="AS95" s="259"/>
      <c r="AT95" s="259"/>
      <c r="AU95" s="259"/>
      <c r="AV95" s="259"/>
      <c r="AW95" s="259"/>
      <c r="AX95" s="259"/>
      <c r="AY95" s="259"/>
      <c r="AZ95" s="259"/>
      <c r="BA95" s="259"/>
      <c r="BB95" s="259"/>
      <c r="BC95" s="259"/>
      <c r="BD95" s="259"/>
      <c r="BE95" s="259"/>
      <c r="BF95" s="259"/>
      <c r="BG95" s="259"/>
      <c r="BH95" s="259"/>
      <c r="BI95" s="259"/>
      <c r="BJ95" s="259"/>
      <c r="BK95" s="259"/>
    </row>
    <row r="96" spans="1:63" s="133" customFormat="1" ht="12.75">
      <c r="A96" s="169"/>
      <c r="B96" s="307" t="str">
        <f>Servicio_internaColumna_título_total</f>
        <v>Total</v>
      </c>
      <c r="C96" s="308">
        <v>0</v>
      </c>
      <c r="D96" s="309">
        <v>0</v>
      </c>
      <c r="E96" s="309">
        <v>9365869.9114809986</v>
      </c>
      <c r="F96" s="309">
        <v>14640853.140158078</v>
      </c>
      <c r="G96" s="309">
        <v>11336351.868055025</v>
      </c>
      <c r="H96" s="309">
        <v>11548221.495636025</v>
      </c>
      <c r="I96" s="309">
        <v>9821934.7267042138</v>
      </c>
      <c r="J96" s="309">
        <v>7087584.0392461307</v>
      </c>
      <c r="K96" s="309">
        <v>4917054.4480317105</v>
      </c>
      <c r="L96" s="309">
        <v>2516523.4116831245</v>
      </c>
      <c r="M96" s="309">
        <v>6502317.6052972469</v>
      </c>
      <c r="N96" s="309">
        <v>7256737.7492294069</v>
      </c>
      <c r="O96" s="309">
        <v>2726051.3743490768</v>
      </c>
      <c r="P96" s="309">
        <v>98850.013342139398</v>
      </c>
      <c r="Q96" s="309">
        <v>1073599.3552935247</v>
      </c>
      <c r="R96" s="309">
        <v>0</v>
      </c>
      <c r="S96" s="309">
        <v>0</v>
      </c>
      <c r="T96" s="309">
        <v>0</v>
      </c>
      <c r="U96" s="309">
        <v>0</v>
      </c>
      <c r="V96" s="309">
        <v>0</v>
      </c>
      <c r="W96" s="309">
        <v>0</v>
      </c>
      <c r="X96" s="309">
        <v>0</v>
      </c>
      <c r="Y96" s="309">
        <v>0</v>
      </c>
      <c r="Z96" s="309">
        <v>0</v>
      </c>
      <c r="AA96" s="309">
        <v>0</v>
      </c>
      <c r="AB96" s="309">
        <v>0</v>
      </c>
      <c r="AC96" s="309">
        <v>0</v>
      </c>
      <c r="AD96" s="309">
        <v>0</v>
      </c>
      <c r="AE96" s="309">
        <v>0</v>
      </c>
      <c r="AF96" s="309">
        <v>0</v>
      </c>
      <c r="AG96" s="309">
        <v>0</v>
      </c>
      <c r="AH96" s="309">
        <v>0</v>
      </c>
      <c r="AI96" s="309">
        <v>0</v>
      </c>
      <c r="AJ96" s="309">
        <v>0</v>
      </c>
      <c r="AK96" s="309">
        <v>0</v>
      </c>
      <c r="AL96" s="309">
        <v>0</v>
      </c>
      <c r="AM96" s="309">
        <v>0</v>
      </c>
      <c r="AN96" s="309">
        <v>0</v>
      </c>
      <c r="AO96" s="309">
        <v>0</v>
      </c>
      <c r="AP96" s="309"/>
      <c r="AQ96" s="309"/>
      <c r="AR96" s="309"/>
      <c r="AS96" s="309"/>
      <c r="AT96" s="309"/>
      <c r="AU96" s="309"/>
      <c r="AV96" s="309"/>
      <c r="AW96" s="309"/>
      <c r="AX96" s="309"/>
      <c r="AY96" s="309"/>
      <c r="AZ96" s="309"/>
      <c r="BA96" s="309"/>
      <c r="BB96" s="309"/>
      <c r="BC96" s="309"/>
      <c r="BD96" s="309"/>
      <c r="BE96" s="309"/>
      <c r="BF96" s="309"/>
      <c r="BG96" s="309"/>
      <c r="BH96" s="309"/>
      <c r="BI96" s="309"/>
      <c r="BJ96" s="309"/>
      <c r="BK96" s="309"/>
    </row>
    <row r="97" spans="1:63" s="80" customFormat="1" ht="12.75">
      <c r="A97" s="167"/>
      <c r="B97" s="210" t="str">
        <f>Servicio_internaColumna_título_amortizaciones</f>
        <v>Amortizaciones</v>
      </c>
      <c r="C97" s="254">
        <v>0</v>
      </c>
      <c r="D97" s="255">
        <v>0</v>
      </c>
      <c r="E97" s="255">
        <v>9073675.3714859486</v>
      </c>
      <c r="F97" s="255">
        <v>6776166.3828186039</v>
      </c>
      <c r="G97" s="255">
        <v>7715194.1228875248</v>
      </c>
      <c r="H97" s="255">
        <v>6930057.3142313855</v>
      </c>
      <c r="I97" s="255">
        <v>4686503.6373811122</v>
      </c>
      <c r="J97" s="255">
        <v>3148341.5897396244</v>
      </c>
      <c r="K97" s="255">
        <v>1041510.60941269</v>
      </c>
      <c r="L97" s="255">
        <v>5027622.1393999998</v>
      </c>
      <c r="M97" s="255">
        <v>6274933.7431999994</v>
      </c>
      <c r="N97" s="255">
        <v>2425349.3252449799</v>
      </c>
      <c r="O97" s="255">
        <v>9.9999999999999995E-7</v>
      </c>
      <c r="P97" s="255">
        <v>974863.04000001377</v>
      </c>
      <c r="Q97" s="255">
        <v>0</v>
      </c>
      <c r="R97" s="255">
        <v>0</v>
      </c>
      <c r="S97" s="255">
        <v>0</v>
      </c>
      <c r="T97" s="255">
        <v>0</v>
      </c>
      <c r="U97" s="255">
        <v>0</v>
      </c>
      <c r="V97" s="255">
        <v>0</v>
      </c>
      <c r="W97" s="255">
        <v>0</v>
      </c>
      <c r="X97" s="255">
        <v>0</v>
      </c>
      <c r="Y97" s="255">
        <v>0</v>
      </c>
      <c r="Z97" s="255">
        <v>0</v>
      </c>
      <c r="AA97" s="255">
        <v>0</v>
      </c>
      <c r="AB97" s="255">
        <v>0</v>
      </c>
      <c r="AC97" s="255">
        <v>0</v>
      </c>
      <c r="AD97" s="255">
        <v>0</v>
      </c>
      <c r="AE97" s="255">
        <v>0</v>
      </c>
      <c r="AF97" s="255">
        <v>0</v>
      </c>
      <c r="AG97" s="255">
        <v>0</v>
      </c>
      <c r="AH97" s="255">
        <v>0</v>
      </c>
      <c r="AI97" s="255">
        <v>0</v>
      </c>
      <c r="AJ97" s="255">
        <v>0</v>
      </c>
      <c r="AK97" s="255">
        <v>0</v>
      </c>
      <c r="AL97" s="255">
        <v>0</v>
      </c>
      <c r="AM97" s="255">
        <v>0</v>
      </c>
      <c r="AN97" s="255">
        <v>0</v>
      </c>
      <c r="AO97" s="255">
        <v>0</v>
      </c>
      <c r="AP97" s="255"/>
      <c r="AQ97" s="255"/>
      <c r="AR97" s="255"/>
      <c r="AS97" s="255"/>
      <c r="AT97" s="255"/>
      <c r="AU97" s="255"/>
      <c r="AV97" s="255"/>
      <c r="AW97" s="255"/>
      <c r="AX97" s="255"/>
      <c r="AY97" s="255"/>
      <c r="AZ97" s="255"/>
      <c r="BA97" s="255"/>
      <c r="BB97" s="255"/>
      <c r="BC97" s="255"/>
      <c r="BD97" s="255"/>
      <c r="BE97" s="255"/>
      <c r="BF97" s="255"/>
      <c r="BG97" s="255"/>
      <c r="BH97" s="255"/>
      <c r="BI97" s="255"/>
      <c r="BJ97" s="255"/>
      <c r="BK97" s="255"/>
    </row>
    <row r="98" spans="1:63" s="133" customFormat="1" ht="12.75">
      <c r="A98" s="168">
        <v>37833</v>
      </c>
      <c r="B98" s="213" t="str">
        <f>Servicio_internaColumna_título_intereses</f>
        <v>Intereses</v>
      </c>
      <c r="C98" s="256">
        <v>0</v>
      </c>
      <c r="D98" s="257">
        <v>0</v>
      </c>
      <c r="E98" s="257">
        <v>127864.30610353127</v>
      </c>
      <c r="F98" s="257">
        <v>8176263.779701611</v>
      </c>
      <c r="G98" s="257">
        <v>3889900.5847360464</v>
      </c>
      <c r="H98" s="257">
        <v>4822174.0422675451</v>
      </c>
      <c r="I98" s="257">
        <v>5356645.8428850267</v>
      </c>
      <c r="J98" s="257">
        <v>3966526.4999290705</v>
      </c>
      <c r="K98" s="257">
        <v>3891852.846597441</v>
      </c>
      <c r="L98" s="257">
        <v>-2506523.2183005176</v>
      </c>
      <c r="M98" s="257">
        <v>234142.19660643488</v>
      </c>
      <c r="N98" s="257">
        <v>4862773.5868958924</v>
      </c>
      <c r="O98" s="257">
        <v>2767606.6409163307</v>
      </c>
      <c r="P98" s="257">
        <v>-875964.70335818757</v>
      </c>
      <c r="Q98" s="257">
        <v>1076728.3266771883</v>
      </c>
      <c r="R98" s="257">
        <v>0</v>
      </c>
      <c r="S98" s="257">
        <v>0</v>
      </c>
      <c r="T98" s="257">
        <v>0</v>
      </c>
      <c r="U98" s="258">
        <v>0</v>
      </c>
      <c r="V98" s="258">
        <v>0</v>
      </c>
      <c r="W98" s="258">
        <v>0</v>
      </c>
      <c r="X98" s="258">
        <v>0</v>
      </c>
      <c r="Y98" s="258">
        <v>0</v>
      </c>
      <c r="Z98" s="258">
        <v>0</v>
      </c>
      <c r="AA98" s="258">
        <v>0</v>
      </c>
      <c r="AB98" s="258">
        <v>0</v>
      </c>
      <c r="AC98" s="258">
        <v>0</v>
      </c>
      <c r="AD98" s="259">
        <v>0</v>
      </c>
      <c r="AE98" s="259">
        <v>0</v>
      </c>
      <c r="AF98" s="259">
        <v>0</v>
      </c>
      <c r="AG98" s="259">
        <v>0</v>
      </c>
      <c r="AH98" s="259">
        <v>0</v>
      </c>
      <c r="AI98" s="259">
        <v>0</v>
      </c>
      <c r="AJ98" s="259">
        <v>0</v>
      </c>
      <c r="AK98" s="259">
        <v>0</v>
      </c>
      <c r="AL98" s="259">
        <v>0</v>
      </c>
      <c r="AM98" s="259">
        <v>0</v>
      </c>
      <c r="AN98" s="259">
        <v>0</v>
      </c>
      <c r="AO98" s="259">
        <v>0</v>
      </c>
      <c r="AP98" s="259"/>
      <c r="AQ98" s="259"/>
      <c r="AR98" s="259"/>
      <c r="AS98" s="259"/>
      <c r="AT98" s="259"/>
      <c r="AU98" s="259"/>
      <c r="AV98" s="259"/>
      <c r="AW98" s="259"/>
      <c r="AX98" s="259"/>
      <c r="AY98" s="259"/>
      <c r="AZ98" s="259"/>
      <c r="BA98" s="259"/>
      <c r="BB98" s="259"/>
      <c r="BC98" s="259"/>
      <c r="BD98" s="259"/>
      <c r="BE98" s="259"/>
      <c r="BF98" s="259"/>
      <c r="BG98" s="259"/>
      <c r="BH98" s="259"/>
      <c r="BI98" s="259"/>
      <c r="BJ98" s="259"/>
      <c r="BK98" s="259"/>
    </row>
    <row r="99" spans="1:63" s="133" customFormat="1" ht="12.75">
      <c r="A99" s="169"/>
      <c r="B99" s="307" t="str">
        <f>Servicio_internaColumna_título_total</f>
        <v>Total</v>
      </c>
      <c r="C99" s="308">
        <v>0</v>
      </c>
      <c r="D99" s="309">
        <v>0</v>
      </c>
      <c r="E99" s="309">
        <v>9201539.6775894798</v>
      </c>
      <c r="F99" s="309">
        <v>14952430.162520215</v>
      </c>
      <c r="G99" s="309">
        <v>11605094.707623571</v>
      </c>
      <c r="H99" s="309">
        <v>11752231.356498931</v>
      </c>
      <c r="I99" s="309">
        <v>10043149.480266139</v>
      </c>
      <c r="J99" s="309">
        <v>7114868.0896686949</v>
      </c>
      <c r="K99" s="309">
        <v>4933363.4560101312</v>
      </c>
      <c r="L99" s="309">
        <v>2521098.9210994821</v>
      </c>
      <c r="M99" s="309">
        <v>6509075.9398064343</v>
      </c>
      <c r="N99" s="309">
        <v>7288122.9121408723</v>
      </c>
      <c r="O99" s="309">
        <v>2767606.6409173305</v>
      </c>
      <c r="P99" s="309">
        <v>98898.336641826158</v>
      </c>
      <c r="Q99" s="309">
        <v>1076728.3266771883</v>
      </c>
      <c r="R99" s="309">
        <v>0</v>
      </c>
      <c r="S99" s="309">
        <v>0</v>
      </c>
      <c r="T99" s="309">
        <v>0</v>
      </c>
      <c r="U99" s="309">
        <v>0</v>
      </c>
      <c r="V99" s="309">
        <v>0</v>
      </c>
      <c r="W99" s="309">
        <v>0</v>
      </c>
      <c r="X99" s="309">
        <v>0</v>
      </c>
      <c r="Y99" s="309">
        <v>0</v>
      </c>
      <c r="Z99" s="309">
        <v>0</v>
      </c>
      <c r="AA99" s="309">
        <v>0</v>
      </c>
      <c r="AB99" s="309">
        <v>0</v>
      </c>
      <c r="AC99" s="309">
        <v>0</v>
      </c>
      <c r="AD99" s="309">
        <v>0</v>
      </c>
      <c r="AE99" s="309">
        <v>0</v>
      </c>
      <c r="AF99" s="309">
        <v>0</v>
      </c>
      <c r="AG99" s="309">
        <v>0</v>
      </c>
      <c r="AH99" s="309">
        <v>0</v>
      </c>
      <c r="AI99" s="309">
        <v>0</v>
      </c>
      <c r="AJ99" s="309">
        <v>0</v>
      </c>
      <c r="AK99" s="309">
        <v>0</v>
      </c>
      <c r="AL99" s="309">
        <v>0</v>
      </c>
      <c r="AM99" s="309">
        <v>0</v>
      </c>
      <c r="AN99" s="309">
        <v>0</v>
      </c>
      <c r="AO99" s="309">
        <v>0</v>
      </c>
      <c r="AP99" s="309"/>
      <c r="AQ99" s="309"/>
      <c r="AR99" s="309"/>
      <c r="AS99" s="309"/>
      <c r="AT99" s="309"/>
      <c r="AU99" s="309"/>
      <c r="AV99" s="309"/>
      <c r="AW99" s="309"/>
      <c r="AX99" s="309"/>
      <c r="AY99" s="309"/>
      <c r="AZ99" s="309"/>
      <c r="BA99" s="309"/>
      <c r="BB99" s="309"/>
      <c r="BC99" s="309"/>
      <c r="BD99" s="309"/>
      <c r="BE99" s="309"/>
      <c r="BF99" s="309"/>
      <c r="BG99" s="309"/>
      <c r="BH99" s="309"/>
      <c r="BI99" s="309"/>
      <c r="BJ99" s="309"/>
      <c r="BK99" s="309"/>
    </row>
    <row r="100" spans="1:63" s="80" customFormat="1" ht="12.75">
      <c r="A100" s="167"/>
      <c r="B100" s="210" t="str">
        <f>Servicio_internaColumna_título_amortizaciones</f>
        <v>Amortizaciones</v>
      </c>
      <c r="C100" s="254">
        <v>0</v>
      </c>
      <c r="D100" s="255">
        <v>0</v>
      </c>
      <c r="E100" s="255">
        <v>9271182.5268386081</v>
      </c>
      <c r="F100" s="255">
        <v>6945283.0855360255</v>
      </c>
      <c r="G100" s="255">
        <v>7932972.0595064219</v>
      </c>
      <c r="H100" s="255">
        <v>7206675.0978365345</v>
      </c>
      <c r="I100" s="255">
        <v>4682571.1009845436</v>
      </c>
      <c r="J100" s="255">
        <v>3153154.691711464</v>
      </c>
      <c r="K100" s="255">
        <v>1061281.8820461757</v>
      </c>
      <c r="L100" s="255">
        <v>5026317.8816</v>
      </c>
      <c r="M100" s="255">
        <v>6378333.2948000003</v>
      </c>
      <c r="N100" s="255">
        <v>2466963.46952534</v>
      </c>
      <c r="O100" s="255">
        <v>9.9999999999999995E-7</v>
      </c>
      <c r="P100" s="255">
        <v>974011.3500000136</v>
      </c>
      <c r="Q100" s="255">
        <v>0</v>
      </c>
      <c r="R100" s="255">
        <v>0</v>
      </c>
      <c r="S100" s="255">
        <v>0</v>
      </c>
      <c r="T100" s="255">
        <v>0</v>
      </c>
      <c r="U100" s="255">
        <v>0</v>
      </c>
      <c r="V100" s="255">
        <v>0</v>
      </c>
      <c r="W100" s="255">
        <v>0</v>
      </c>
      <c r="X100" s="255">
        <v>0</v>
      </c>
      <c r="Y100" s="255">
        <v>0</v>
      </c>
      <c r="Z100" s="255">
        <v>0</v>
      </c>
      <c r="AA100" s="255">
        <v>0</v>
      </c>
      <c r="AB100" s="255">
        <v>0</v>
      </c>
      <c r="AC100" s="255">
        <v>0</v>
      </c>
      <c r="AD100" s="255">
        <v>0</v>
      </c>
      <c r="AE100" s="255">
        <v>0</v>
      </c>
      <c r="AF100" s="255">
        <v>0</v>
      </c>
      <c r="AG100" s="255">
        <v>0</v>
      </c>
      <c r="AH100" s="255">
        <v>0</v>
      </c>
      <c r="AI100" s="255">
        <v>0</v>
      </c>
      <c r="AJ100" s="255">
        <v>0</v>
      </c>
      <c r="AK100" s="255">
        <v>0</v>
      </c>
      <c r="AL100" s="255">
        <v>0</v>
      </c>
      <c r="AM100" s="255">
        <v>0</v>
      </c>
      <c r="AN100" s="255">
        <v>0</v>
      </c>
      <c r="AO100" s="255">
        <v>0</v>
      </c>
      <c r="AP100" s="255"/>
      <c r="AQ100" s="255"/>
      <c r="AR100" s="255"/>
      <c r="AS100" s="255"/>
      <c r="AT100" s="255"/>
      <c r="AU100" s="255"/>
      <c r="AV100" s="255"/>
      <c r="AW100" s="255"/>
      <c r="AX100" s="255"/>
      <c r="AY100" s="255"/>
      <c r="AZ100" s="255"/>
      <c r="BA100" s="255"/>
      <c r="BB100" s="255"/>
      <c r="BC100" s="255"/>
      <c r="BD100" s="255"/>
      <c r="BE100" s="255"/>
      <c r="BF100" s="255"/>
      <c r="BG100" s="255"/>
      <c r="BH100" s="255"/>
      <c r="BI100" s="255"/>
      <c r="BJ100" s="255"/>
      <c r="BK100" s="255"/>
    </row>
    <row r="101" spans="1:63" s="133" customFormat="1" ht="12.75">
      <c r="A101" s="168">
        <v>37864</v>
      </c>
      <c r="B101" s="213" t="str">
        <f>Servicio_internaColumna_título_intereses</f>
        <v>Intereses</v>
      </c>
      <c r="C101" s="256">
        <v>0</v>
      </c>
      <c r="D101" s="257">
        <v>0</v>
      </c>
      <c r="E101" s="257">
        <v>-679139.61420413479</v>
      </c>
      <c r="F101" s="257">
        <v>7312621.5520196781</v>
      </c>
      <c r="G101" s="257">
        <v>3215362.7473537587</v>
      </c>
      <c r="H101" s="257">
        <v>3954124.3091596523</v>
      </c>
      <c r="I101" s="257">
        <v>5055403.4167443048</v>
      </c>
      <c r="J101" s="257">
        <v>3406020.3370199241</v>
      </c>
      <c r="K101" s="257">
        <v>3663231.6961592897</v>
      </c>
      <c r="L101" s="257">
        <v>-2455082.1313829892</v>
      </c>
      <c r="M101" s="257">
        <v>-323028.49403064325</v>
      </c>
      <c r="N101" s="257">
        <v>4253654.4259217577</v>
      </c>
      <c r="O101" s="257">
        <v>2565869.1747840089</v>
      </c>
      <c r="P101" s="257">
        <v>-872138.47364443564</v>
      </c>
      <c r="Q101" s="257">
        <v>974011.3500000136</v>
      </c>
      <c r="R101" s="257">
        <v>0</v>
      </c>
      <c r="S101" s="257">
        <v>0</v>
      </c>
      <c r="T101" s="257">
        <v>0</v>
      </c>
      <c r="U101" s="258">
        <v>0</v>
      </c>
      <c r="V101" s="258">
        <v>0</v>
      </c>
      <c r="W101" s="258">
        <v>0</v>
      </c>
      <c r="X101" s="258">
        <v>0</v>
      </c>
      <c r="Y101" s="258">
        <v>0</v>
      </c>
      <c r="Z101" s="258">
        <v>0</v>
      </c>
      <c r="AA101" s="258">
        <v>0</v>
      </c>
      <c r="AB101" s="258">
        <v>0</v>
      </c>
      <c r="AC101" s="258">
        <v>0</v>
      </c>
      <c r="AD101" s="259">
        <v>0</v>
      </c>
      <c r="AE101" s="259">
        <v>0</v>
      </c>
      <c r="AF101" s="259">
        <v>0</v>
      </c>
      <c r="AG101" s="259">
        <v>0</v>
      </c>
      <c r="AH101" s="259">
        <v>0</v>
      </c>
      <c r="AI101" s="259">
        <v>0</v>
      </c>
      <c r="AJ101" s="259">
        <v>0</v>
      </c>
      <c r="AK101" s="259">
        <v>0</v>
      </c>
      <c r="AL101" s="259">
        <v>0</v>
      </c>
      <c r="AM101" s="259">
        <v>0</v>
      </c>
      <c r="AN101" s="259">
        <v>0</v>
      </c>
      <c r="AO101" s="259">
        <v>0</v>
      </c>
      <c r="AP101" s="259"/>
      <c r="AQ101" s="259"/>
      <c r="AR101" s="259"/>
      <c r="AS101" s="259"/>
      <c r="AT101" s="259"/>
      <c r="AU101" s="259"/>
      <c r="AV101" s="259"/>
      <c r="AW101" s="259"/>
      <c r="AX101" s="259"/>
      <c r="AY101" s="259"/>
      <c r="AZ101" s="259"/>
      <c r="BA101" s="259"/>
      <c r="BB101" s="259"/>
      <c r="BC101" s="259"/>
      <c r="BD101" s="259"/>
      <c r="BE101" s="259"/>
      <c r="BF101" s="259"/>
      <c r="BG101" s="259"/>
      <c r="BH101" s="259"/>
      <c r="BI101" s="259"/>
      <c r="BJ101" s="259"/>
      <c r="BK101" s="259"/>
    </row>
    <row r="102" spans="1:63" s="133" customFormat="1" ht="12.75">
      <c r="A102" s="169"/>
      <c r="B102" s="307" t="str">
        <f>Servicio_internaColumna_título_total</f>
        <v>Total</v>
      </c>
      <c r="C102" s="308">
        <v>0</v>
      </c>
      <c r="D102" s="309">
        <v>0</v>
      </c>
      <c r="E102" s="309">
        <v>8592042.9126344733</v>
      </c>
      <c r="F102" s="309">
        <v>14257904.637555704</v>
      </c>
      <c r="G102" s="309">
        <v>11148334.806860181</v>
      </c>
      <c r="H102" s="309">
        <v>11160799.406996187</v>
      </c>
      <c r="I102" s="309">
        <v>9737974.5177288484</v>
      </c>
      <c r="J102" s="309">
        <v>6559175.028731388</v>
      </c>
      <c r="K102" s="309">
        <v>4724513.5782054653</v>
      </c>
      <c r="L102" s="309">
        <v>2571235.7502170107</v>
      </c>
      <c r="M102" s="309">
        <v>6055304.800769357</v>
      </c>
      <c r="N102" s="309">
        <v>6720617.8954470977</v>
      </c>
      <c r="O102" s="309">
        <v>2565869.1747850087</v>
      </c>
      <c r="P102" s="309">
        <v>101872.87635557799</v>
      </c>
      <c r="Q102" s="309">
        <v>974011.3500000136</v>
      </c>
      <c r="R102" s="309">
        <v>0</v>
      </c>
      <c r="S102" s="309">
        <v>0</v>
      </c>
      <c r="T102" s="309">
        <v>0</v>
      </c>
      <c r="U102" s="309">
        <v>0</v>
      </c>
      <c r="V102" s="309">
        <v>0</v>
      </c>
      <c r="W102" s="309">
        <v>0</v>
      </c>
      <c r="X102" s="309">
        <v>0</v>
      </c>
      <c r="Y102" s="309">
        <v>0</v>
      </c>
      <c r="Z102" s="309">
        <v>0</v>
      </c>
      <c r="AA102" s="309">
        <v>0</v>
      </c>
      <c r="AB102" s="309">
        <v>0</v>
      </c>
      <c r="AC102" s="309">
        <v>0</v>
      </c>
      <c r="AD102" s="309">
        <v>0</v>
      </c>
      <c r="AE102" s="309">
        <v>0</v>
      </c>
      <c r="AF102" s="309">
        <v>0</v>
      </c>
      <c r="AG102" s="309">
        <v>0</v>
      </c>
      <c r="AH102" s="309">
        <v>0</v>
      </c>
      <c r="AI102" s="309">
        <v>0</v>
      </c>
      <c r="AJ102" s="309">
        <v>0</v>
      </c>
      <c r="AK102" s="309">
        <v>0</v>
      </c>
      <c r="AL102" s="309">
        <v>0</v>
      </c>
      <c r="AM102" s="309">
        <v>0</v>
      </c>
      <c r="AN102" s="309">
        <v>0</v>
      </c>
      <c r="AO102" s="309">
        <v>0</v>
      </c>
      <c r="AP102" s="309"/>
      <c r="AQ102" s="309"/>
      <c r="AR102" s="309"/>
      <c r="AS102" s="309"/>
      <c r="AT102" s="309"/>
      <c r="AU102" s="309"/>
      <c r="AV102" s="309"/>
      <c r="AW102" s="309"/>
      <c r="AX102" s="309"/>
      <c r="AY102" s="309"/>
      <c r="AZ102" s="309"/>
      <c r="BA102" s="309"/>
      <c r="BB102" s="309"/>
      <c r="BC102" s="309"/>
      <c r="BD102" s="309"/>
      <c r="BE102" s="309"/>
      <c r="BF102" s="309"/>
      <c r="BG102" s="309"/>
      <c r="BH102" s="309"/>
      <c r="BI102" s="309"/>
      <c r="BJ102" s="309"/>
      <c r="BK102" s="309"/>
    </row>
    <row r="103" spans="1:63" s="80" customFormat="1" ht="12.75">
      <c r="A103" s="167"/>
      <c r="B103" s="210" t="str">
        <f>Servicio_internaColumna_título_amortizaciones</f>
        <v>Amortizaciones</v>
      </c>
      <c r="C103" s="254">
        <v>0</v>
      </c>
      <c r="D103" s="255">
        <v>0</v>
      </c>
      <c r="E103" s="255">
        <v>9001998.845424246</v>
      </c>
      <c r="F103" s="255">
        <v>7131124.3357215095</v>
      </c>
      <c r="G103" s="255">
        <v>8026969.0978387296</v>
      </c>
      <c r="H103" s="255">
        <v>7434160.2594466424</v>
      </c>
      <c r="I103" s="255">
        <v>4966545.1699332064</v>
      </c>
      <c r="J103" s="255">
        <v>3145992.478550192</v>
      </c>
      <c r="K103" s="255">
        <v>1324822.9682613278</v>
      </c>
      <c r="L103" s="255">
        <v>5027535.3036000002</v>
      </c>
      <c r="M103" s="255">
        <v>6505240.7708000001</v>
      </c>
      <c r="N103" s="255">
        <v>2509185.8465213398</v>
      </c>
      <c r="O103" s="255">
        <v>9.9999999999999995E-7</v>
      </c>
      <c r="P103" s="255">
        <v>974770.54000001377</v>
      </c>
      <c r="Q103" s="255">
        <v>0</v>
      </c>
      <c r="R103" s="255">
        <v>0</v>
      </c>
      <c r="S103" s="255">
        <v>0</v>
      </c>
      <c r="T103" s="255">
        <v>0</v>
      </c>
      <c r="U103" s="255">
        <v>0</v>
      </c>
      <c r="V103" s="255">
        <v>0</v>
      </c>
      <c r="W103" s="255">
        <v>0</v>
      </c>
      <c r="X103" s="255">
        <v>0</v>
      </c>
      <c r="Y103" s="255">
        <v>0</v>
      </c>
      <c r="Z103" s="255">
        <v>0</v>
      </c>
      <c r="AA103" s="255">
        <v>0</v>
      </c>
      <c r="AB103" s="255">
        <v>0</v>
      </c>
      <c r="AC103" s="255">
        <v>0</v>
      </c>
      <c r="AD103" s="255">
        <v>0</v>
      </c>
      <c r="AE103" s="255">
        <v>0</v>
      </c>
      <c r="AF103" s="255">
        <v>0</v>
      </c>
      <c r="AG103" s="255">
        <v>0</v>
      </c>
      <c r="AH103" s="255">
        <v>0</v>
      </c>
      <c r="AI103" s="255">
        <v>0</v>
      </c>
      <c r="AJ103" s="255">
        <v>0</v>
      </c>
      <c r="AK103" s="255">
        <v>0</v>
      </c>
      <c r="AL103" s="255">
        <v>0</v>
      </c>
      <c r="AM103" s="255">
        <v>0</v>
      </c>
      <c r="AN103" s="255">
        <v>0</v>
      </c>
      <c r="AO103" s="255">
        <v>0</v>
      </c>
      <c r="AP103" s="255"/>
      <c r="AQ103" s="255"/>
      <c r="AR103" s="255"/>
      <c r="AS103" s="255"/>
      <c r="AT103" s="255"/>
      <c r="AU103" s="255"/>
      <c r="AV103" s="255"/>
      <c r="AW103" s="255"/>
      <c r="AX103" s="255"/>
      <c r="AY103" s="255"/>
      <c r="AZ103" s="255"/>
      <c r="BA103" s="255"/>
      <c r="BB103" s="255"/>
      <c r="BC103" s="255"/>
      <c r="BD103" s="255"/>
      <c r="BE103" s="255"/>
      <c r="BF103" s="255"/>
      <c r="BG103" s="255"/>
      <c r="BH103" s="255"/>
      <c r="BI103" s="255"/>
      <c r="BJ103" s="255"/>
      <c r="BK103" s="255"/>
    </row>
    <row r="104" spans="1:63" s="133" customFormat="1" ht="12.75">
      <c r="A104" s="168">
        <v>37894</v>
      </c>
      <c r="B104" s="213" t="str">
        <f>Servicio_internaColumna_título_intereses</f>
        <v>Intereses</v>
      </c>
      <c r="C104" s="256">
        <v>0</v>
      </c>
      <c r="D104" s="257">
        <v>0</v>
      </c>
      <c r="E104" s="257">
        <v>-1821201.2947739651</v>
      </c>
      <c r="F104" s="257">
        <v>7155553.7678790335</v>
      </c>
      <c r="G104" s="257">
        <v>3485028.1816818714</v>
      </c>
      <c r="H104" s="257">
        <v>4388341.3153772159</v>
      </c>
      <c r="I104" s="257">
        <v>4781783.0827471139</v>
      </c>
      <c r="J104" s="257">
        <v>4261178.3048533844</v>
      </c>
      <c r="K104" s="257">
        <v>3251248.3785870746</v>
      </c>
      <c r="L104" s="257">
        <v>-1795314.4655505372</v>
      </c>
      <c r="M104" s="257">
        <v>-420385.97346699424</v>
      </c>
      <c r="N104" s="257">
        <v>4394901.596392598</v>
      </c>
      <c r="O104" s="257">
        <v>2655120.9784056647</v>
      </c>
      <c r="P104" s="257">
        <v>-872911.76347845222</v>
      </c>
      <c r="Q104" s="257">
        <v>977387.48000001372</v>
      </c>
      <c r="R104" s="257">
        <v>0</v>
      </c>
      <c r="S104" s="257">
        <v>0</v>
      </c>
      <c r="T104" s="257">
        <v>0</v>
      </c>
      <c r="U104" s="258">
        <v>0</v>
      </c>
      <c r="V104" s="258">
        <v>0</v>
      </c>
      <c r="W104" s="258">
        <v>0</v>
      </c>
      <c r="X104" s="258">
        <v>0</v>
      </c>
      <c r="Y104" s="258">
        <v>0</v>
      </c>
      <c r="Z104" s="258">
        <v>0</v>
      </c>
      <c r="AA104" s="258">
        <v>0</v>
      </c>
      <c r="AB104" s="258">
        <v>0</v>
      </c>
      <c r="AC104" s="258">
        <v>0</v>
      </c>
      <c r="AD104" s="259">
        <v>0</v>
      </c>
      <c r="AE104" s="259">
        <v>0</v>
      </c>
      <c r="AF104" s="259">
        <v>0</v>
      </c>
      <c r="AG104" s="259">
        <v>0</v>
      </c>
      <c r="AH104" s="259">
        <v>0</v>
      </c>
      <c r="AI104" s="259">
        <v>0</v>
      </c>
      <c r="AJ104" s="259">
        <v>0</v>
      </c>
      <c r="AK104" s="259">
        <v>0</v>
      </c>
      <c r="AL104" s="259">
        <v>0</v>
      </c>
      <c r="AM104" s="259">
        <v>0</v>
      </c>
      <c r="AN104" s="259">
        <v>0</v>
      </c>
      <c r="AO104" s="259">
        <v>0</v>
      </c>
      <c r="AP104" s="259"/>
      <c r="AQ104" s="259"/>
      <c r="AR104" s="259"/>
      <c r="AS104" s="259"/>
      <c r="AT104" s="259"/>
      <c r="AU104" s="259"/>
      <c r="AV104" s="259"/>
      <c r="AW104" s="259"/>
      <c r="AX104" s="259"/>
      <c r="AY104" s="259"/>
      <c r="AZ104" s="259"/>
      <c r="BA104" s="259"/>
      <c r="BB104" s="259"/>
      <c r="BC104" s="259"/>
      <c r="BD104" s="259"/>
      <c r="BE104" s="259"/>
      <c r="BF104" s="259"/>
      <c r="BG104" s="259"/>
      <c r="BH104" s="259"/>
      <c r="BI104" s="259"/>
      <c r="BJ104" s="259"/>
      <c r="BK104" s="259"/>
    </row>
    <row r="105" spans="1:63" s="133" customFormat="1" ht="12.75">
      <c r="A105" s="169"/>
      <c r="B105" s="307" t="str">
        <f>Servicio_internaColumna_título_total</f>
        <v>Total</v>
      </c>
      <c r="C105" s="308">
        <v>0</v>
      </c>
      <c r="D105" s="309">
        <v>0</v>
      </c>
      <c r="E105" s="309">
        <v>7180797.5506502809</v>
      </c>
      <c r="F105" s="309">
        <v>14286678.103600543</v>
      </c>
      <c r="G105" s="309">
        <v>11511997.279520601</v>
      </c>
      <c r="H105" s="309">
        <v>11822501.574823858</v>
      </c>
      <c r="I105" s="309">
        <v>9748328.2526803203</v>
      </c>
      <c r="J105" s="309">
        <v>7407170.7834035764</v>
      </c>
      <c r="K105" s="309">
        <v>4576071.3468484022</v>
      </c>
      <c r="L105" s="309">
        <v>3232220.838049463</v>
      </c>
      <c r="M105" s="309">
        <v>6084854.7973330058</v>
      </c>
      <c r="N105" s="309">
        <v>6904087.4429139383</v>
      </c>
      <c r="O105" s="309">
        <v>2655120.9784066644</v>
      </c>
      <c r="P105" s="309">
        <v>101858.77652156152</v>
      </c>
      <c r="Q105" s="309">
        <v>977387.48000001372</v>
      </c>
      <c r="R105" s="309">
        <v>0</v>
      </c>
      <c r="S105" s="309">
        <v>0</v>
      </c>
      <c r="T105" s="309">
        <v>0</v>
      </c>
      <c r="U105" s="309">
        <v>0</v>
      </c>
      <c r="V105" s="309">
        <v>0</v>
      </c>
      <c r="W105" s="309">
        <v>0</v>
      </c>
      <c r="X105" s="309">
        <v>0</v>
      </c>
      <c r="Y105" s="309">
        <v>0</v>
      </c>
      <c r="Z105" s="309">
        <v>0</v>
      </c>
      <c r="AA105" s="309">
        <v>0</v>
      </c>
      <c r="AB105" s="309">
        <v>0</v>
      </c>
      <c r="AC105" s="309">
        <v>0</v>
      </c>
      <c r="AD105" s="309">
        <v>0</v>
      </c>
      <c r="AE105" s="309">
        <v>0</v>
      </c>
      <c r="AF105" s="309">
        <v>0</v>
      </c>
      <c r="AG105" s="309">
        <v>0</v>
      </c>
      <c r="AH105" s="309">
        <v>0</v>
      </c>
      <c r="AI105" s="309">
        <v>0</v>
      </c>
      <c r="AJ105" s="309">
        <v>0</v>
      </c>
      <c r="AK105" s="309">
        <v>0</v>
      </c>
      <c r="AL105" s="309">
        <v>0</v>
      </c>
      <c r="AM105" s="309">
        <v>0</v>
      </c>
      <c r="AN105" s="309">
        <v>0</v>
      </c>
      <c r="AO105" s="309">
        <v>0</v>
      </c>
      <c r="AP105" s="309"/>
      <c r="AQ105" s="309"/>
      <c r="AR105" s="309"/>
      <c r="AS105" s="309"/>
      <c r="AT105" s="309"/>
      <c r="AU105" s="309"/>
      <c r="AV105" s="309"/>
      <c r="AW105" s="309"/>
      <c r="AX105" s="309"/>
      <c r="AY105" s="309"/>
      <c r="AZ105" s="309"/>
      <c r="BA105" s="309"/>
      <c r="BB105" s="309"/>
      <c r="BC105" s="309"/>
      <c r="BD105" s="309"/>
      <c r="BE105" s="309"/>
      <c r="BF105" s="309"/>
      <c r="BG105" s="309"/>
      <c r="BH105" s="309"/>
      <c r="BI105" s="309"/>
      <c r="BJ105" s="309"/>
      <c r="BK105" s="309"/>
    </row>
    <row r="106" spans="1:63" s="80" customFormat="1" ht="12.75">
      <c r="A106" s="167"/>
      <c r="B106" s="210" t="str">
        <f>Servicio_internaColumna_título_amortizaciones</f>
        <v>Amortizaciones</v>
      </c>
      <c r="C106" s="254">
        <v>0</v>
      </c>
      <c r="D106" s="255">
        <v>0</v>
      </c>
      <c r="E106" s="255">
        <v>9163933.1908269692</v>
      </c>
      <c r="F106" s="255">
        <v>7245516.6106793275</v>
      </c>
      <c r="G106" s="255">
        <v>8578991.1545304917</v>
      </c>
      <c r="H106" s="255">
        <v>7255530.591963416</v>
      </c>
      <c r="I106" s="255">
        <v>5460348.0209170273</v>
      </c>
      <c r="J106" s="255">
        <v>2956946.6026548976</v>
      </c>
      <c r="K106" s="255">
        <v>1672607.7135817993</v>
      </c>
      <c r="L106" s="255">
        <v>5031412.8706</v>
      </c>
      <c r="M106" s="255">
        <v>6562879.4668000005</v>
      </c>
      <c r="N106" s="255">
        <v>2556228.9623062434</v>
      </c>
      <c r="O106" s="255">
        <v>9.9999999999999995E-7</v>
      </c>
      <c r="P106" s="255">
        <v>977387.48000001372</v>
      </c>
      <c r="Q106" s="255">
        <v>0</v>
      </c>
      <c r="R106" s="255">
        <v>0</v>
      </c>
      <c r="S106" s="255">
        <v>0</v>
      </c>
      <c r="T106" s="255">
        <v>0</v>
      </c>
      <c r="U106" s="255">
        <v>0</v>
      </c>
      <c r="V106" s="255">
        <v>0</v>
      </c>
      <c r="W106" s="255">
        <v>0</v>
      </c>
      <c r="X106" s="255">
        <v>0</v>
      </c>
      <c r="Y106" s="255">
        <v>0</v>
      </c>
      <c r="Z106" s="255">
        <v>0</v>
      </c>
      <c r="AA106" s="255">
        <v>0</v>
      </c>
      <c r="AB106" s="255">
        <v>0</v>
      </c>
      <c r="AC106" s="255">
        <v>0</v>
      </c>
      <c r="AD106" s="255">
        <v>0</v>
      </c>
      <c r="AE106" s="255">
        <v>0</v>
      </c>
      <c r="AF106" s="255">
        <v>0</v>
      </c>
      <c r="AG106" s="255">
        <v>0</v>
      </c>
      <c r="AH106" s="255">
        <v>0</v>
      </c>
      <c r="AI106" s="255">
        <v>0</v>
      </c>
      <c r="AJ106" s="255">
        <v>0</v>
      </c>
      <c r="AK106" s="255">
        <v>0</v>
      </c>
      <c r="AL106" s="255">
        <v>0</v>
      </c>
      <c r="AM106" s="255">
        <v>0</v>
      </c>
      <c r="AN106" s="255">
        <v>0</v>
      </c>
      <c r="AO106" s="255">
        <v>0</v>
      </c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5"/>
      <c r="BG106" s="255"/>
      <c r="BH106" s="255"/>
      <c r="BI106" s="255"/>
      <c r="BJ106" s="255"/>
      <c r="BK106" s="255"/>
    </row>
    <row r="107" spans="1:63" s="133" customFormat="1" ht="12.75">
      <c r="A107" s="168">
        <v>37925</v>
      </c>
      <c r="B107" s="213" t="str">
        <f>Servicio_internaColumna_título_intereses</f>
        <v>Intereses</v>
      </c>
      <c r="C107" s="256">
        <v>0</v>
      </c>
      <c r="D107" s="257">
        <v>0</v>
      </c>
      <c r="E107" s="257">
        <v>-2500443.9957454223</v>
      </c>
      <c r="F107" s="257">
        <v>7785060.2386601986</v>
      </c>
      <c r="G107" s="257">
        <v>3501609.7163990457</v>
      </c>
      <c r="H107" s="257">
        <v>4787910.2659481708</v>
      </c>
      <c r="I107" s="257">
        <v>4635967.2941540359</v>
      </c>
      <c r="J107" s="257">
        <v>4575427.908429496</v>
      </c>
      <c r="K107" s="257">
        <v>3023937.5322100483</v>
      </c>
      <c r="L107" s="257">
        <v>-1749383.256401265</v>
      </c>
      <c r="M107" s="257">
        <v>-428788.96111646201</v>
      </c>
      <c r="N107" s="257">
        <v>4688871.2334709559</v>
      </c>
      <c r="O107" s="257">
        <v>2697894.5324784797</v>
      </c>
      <c r="P107" s="257">
        <v>-875595.58793662675</v>
      </c>
      <c r="Q107" s="257">
        <v>978685.99000001384</v>
      </c>
      <c r="R107" s="257">
        <v>0</v>
      </c>
      <c r="S107" s="257">
        <v>0</v>
      </c>
      <c r="T107" s="257">
        <v>0</v>
      </c>
      <c r="U107" s="258">
        <v>0</v>
      </c>
      <c r="V107" s="258">
        <v>0</v>
      </c>
      <c r="W107" s="258">
        <v>0</v>
      </c>
      <c r="X107" s="258">
        <v>0</v>
      </c>
      <c r="Y107" s="258">
        <v>0</v>
      </c>
      <c r="Z107" s="258">
        <v>0</v>
      </c>
      <c r="AA107" s="258">
        <v>0</v>
      </c>
      <c r="AB107" s="258">
        <v>0</v>
      </c>
      <c r="AC107" s="258">
        <v>0</v>
      </c>
      <c r="AD107" s="259">
        <v>0</v>
      </c>
      <c r="AE107" s="259">
        <v>0</v>
      </c>
      <c r="AF107" s="259">
        <v>0</v>
      </c>
      <c r="AG107" s="259">
        <v>0</v>
      </c>
      <c r="AH107" s="259">
        <v>0</v>
      </c>
      <c r="AI107" s="259">
        <v>0</v>
      </c>
      <c r="AJ107" s="259">
        <v>0</v>
      </c>
      <c r="AK107" s="259">
        <v>0</v>
      </c>
      <c r="AL107" s="259">
        <v>0</v>
      </c>
      <c r="AM107" s="259">
        <v>0</v>
      </c>
      <c r="AN107" s="259">
        <v>0</v>
      </c>
      <c r="AO107" s="259">
        <v>0</v>
      </c>
      <c r="AP107" s="259"/>
      <c r="AQ107" s="259"/>
      <c r="AR107" s="259"/>
      <c r="AS107" s="259"/>
      <c r="AT107" s="259"/>
      <c r="AU107" s="259"/>
      <c r="AV107" s="259"/>
      <c r="AW107" s="259"/>
      <c r="AX107" s="259"/>
      <c r="AY107" s="259"/>
      <c r="AZ107" s="259"/>
      <c r="BA107" s="259"/>
      <c r="BB107" s="259"/>
      <c r="BC107" s="259"/>
      <c r="BD107" s="259"/>
      <c r="BE107" s="259"/>
      <c r="BF107" s="259"/>
      <c r="BG107" s="259"/>
      <c r="BH107" s="259"/>
      <c r="BI107" s="259"/>
      <c r="BJ107" s="259"/>
      <c r="BK107" s="259"/>
    </row>
    <row r="108" spans="1:63" s="133" customFormat="1" ht="12.75">
      <c r="A108" s="169"/>
      <c r="B108" s="307" t="str">
        <f>Servicio_internaColumna_título_total</f>
        <v>Total</v>
      </c>
      <c r="C108" s="308">
        <v>0</v>
      </c>
      <c r="D108" s="309">
        <v>0</v>
      </c>
      <c r="E108" s="309">
        <v>6663489.1950815469</v>
      </c>
      <c r="F108" s="309">
        <v>15030576.849339526</v>
      </c>
      <c r="G108" s="309">
        <v>12080600.870929537</v>
      </c>
      <c r="H108" s="309">
        <v>12043440.857911587</v>
      </c>
      <c r="I108" s="309">
        <v>10096315.315071063</v>
      </c>
      <c r="J108" s="309">
        <v>7532374.5110843936</v>
      </c>
      <c r="K108" s="309">
        <v>4696545.2457918478</v>
      </c>
      <c r="L108" s="309">
        <v>3282029.614198735</v>
      </c>
      <c r="M108" s="309">
        <v>6134090.5056835385</v>
      </c>
      <c r="N108" s="309">
        <v>7245100.1957771992</v>
      </c>
      <c r="O108" s="309">
        <v>2697894.5324794794</v>
      </c>
      <c r="P108" s="309">
        <v>101791.89206338691</v>
      </c>
      <c r="Q108" s="309">
        <v>978685.99000001384</v>
      </c>
      <c r="R108" s="309">
        <v>0</v>
      </c>
      <c r="S108" s="309">
        <v>0</v>
      </c>
      <c r="T108" s="309">
        <v>0</v>
      </c>
      <c r="U108" s="309">
        <v>0</v>
      </c>
      <c r="V108" s="309">
        <v>0</v>
      </c>
      <c r="W108" s="309">
        <v>0</v>
      </c>
      <c r="X108" s="309">
        <v>0</v>
      </c>
      <c r="Y108" s="309">
        <v>0</v>
      </c>
      <c r="Z108" s="309">
        <v>0</v>
      </c>
      <c r="AA108" s="309">
        <v>0</v>
      </c>
      <c r="AB108" s="309">
        <v>0</v>
      </c>
      <c r="AC108" s="309">
        <v>0</v>
      </c>
      <c r="AD108" s="309">
        <v>0</v>
      </c>
      <c r="AE108" s="309">
        <v>0</v>
      </c>
      <c r="AF108" s="309">
        <v>0</v>
      </c>
      <c r="AG108" s="309">
        <v>0</v>
      </c>
      <c r="AH108" s="309">
        <v>0</v>
      </c>
      <c r="AI108" s="309">
        <v>0</v>
      </c>
      <c r="AJ108" s="309">
        <v>0</v>
      </c>
      <c r="AK108" s="309">
        <v>0</v>
      </c>
      <c r="AL108" s="309">
        <v>0</v>
      </c>
      <c r="AM108" s="309">
        <v>0</v>
      </c>
      <c r="AN108" s="309">
        <v>0</v>
      </c>
      <c r="AO108" s="309">
        <v>0</v>
      </c>
      <c r="AP108" s="309"/>
      <c r="AQ108" s="309"/>
      <c r="AR108" s="309"/>
      <c r="AS108" s="309"/>
      <c r="AT108" s="309"/>
      <c r="AU108" s="309"/>
      <c r="AV108" s="309"/>
      <c r="AW108" s="309"/>
      <c r="AX108" s="309"/>
      <c r="AY108" s="309"/>
      <c r="AZ108" s="309"/>
      <c r="BA108" s="309"/>
      <c r="BB108" s="309"/>
      <c r="BC108" s="309"/>
      <c r="BD108" s="309"/>
      <c r="BE108" s="309"/>
      <c r="BF108" s="309"/>
      <c r="BG108" s="309"/>
      <c r="BH108" s="309"/>
      <c r="BI108" s="309"/>
      <c r="BJ108" s="309"/>
      <c r="BK108" s="309"/>
    </row>
    <row r="109" spans="1:63" s="80" customFormat="1" ht="12.75">
      <c r="A109" s="167"/>
      <c r="B109" s="210" t="str">
        <f>Servicio_internaColumna_título_amortizaciones</f>
        <v>Amortizaciones</v>
      </c>
      <c r="C109" s="254">
        <v>0</v>
      </c>
      <c r="D109" s="255">
        <v>0</v>
      </c>
      <c r="E109" s="255">
        <v>9685231.5914766509</v>
      </c>
      <c r="F109" s="255">
        <v>7710162.3768647891</v>
      </c>
      <c r="G109" s="255">
        <v>8713819.3199382462</v>
      </c>
      <c r="H109" s="255">
        <v>7515679.9215947371</v>
      </c>
      <c r="I109" s="255">
        <v>5526366.5278280722</v>
      </c>
      <c r="J109" s="255">
        <v>3031026.8159254873</v>
      </c>
      <c r="K109" s="255">
        <v>1675593.0422788449</v>
      </c>
      <c r="L109" s="255">
        <v>5033672.0444</v>
      </c>
      <c r="M109" s="255">
        <v>6904028.4731999999</v>
      </c>
      <c r="N109" s="255">
        <v>2599067.4527462581</v>
      </c>
      <c r="O109" s="255">
        <v>9.9999999999999995E-7</v>
      </c>
      <c r="P109" s="255">
        <v>978685.99000001384</v>
      </c>
      <c r="Q109" s="255">
        <v>0</v>
      </c>
      <c r="R109" s="255">
        <v>0</v>
      </c>
      <c r="S109" s="255">
        <v>0</v>
      </c>
      <c r="T109" s="255">
        <v>0</v>
      </c>
      <c r="U109" s="255">
        <v>0</v>
      </c>
      <c r="V109" s="255">
        <v>0</v>
      </c>
      <c r="W109" s="255">
        <v>0</v>
      </c>
      <c r="X109" s="255">
        <v>0</v>
      </c>
      <c r="Y109" s="255">
        <v>0</v>
      </c>
      <c r="Z109" s="255">
        <v>0</v>
      </c>
      <c r="AA109" s="255">
        <v>0</v>
      </c>
      <c r="AB109" s="255">
        <v>0</v>
      </c>
      <c r="AC109" s="255">
        <v>0</v>
      </c>
      <c r="AD109" s="255">
        <v>0</v>
      </c>
      <c r="AE109" s="255">
        <v>0</v>
      </c>
      <c r="AF109" s="255">
        <v>0</v>
      </c>
      <c r="AG109" s="255">
        <v>0</v>
      </c>
      <c r="AH109" s="255">
        <v>0</v>
      </c>
      <c r="AI109" s="255">
        <v>0</v>
      </c>
      <c r="AJ109" s="255">
        <v>0</v>
      </c>
      <c r="AK109" s="255">
        <v>0</v>
      </c>
      <c r="AL109" s="255">
        <v>0</v>
      </c>
      <c r="AM109" s="255">
        <v>0</v>
      </c>
      <c r="AN109" s="255">
        <v>0</v>
      </c>
      <c r="AO109" s="255">
        <v>0</v>
      </c>
      <c r="AP109" s="255"/>
      <c r="AQ109" s="255"/>
      <c r="AR109" s="255"/>
      <c r="AS109" s="255"/>
      <c r="AT109" s="255"/>
      <c r="AU109" s="255"/>
      <c r="AV109" s="255"/>
      <c r="AW109" s="255"/>
      <c r="AX109" s="255"/>
      <c r="AY109" s="255"/>
      <c r="AZ109" s="255"/>
      <c r="BA109" s="255"/>
      <c r="BB109" s="255"/>
      <c r="BC109" s="255"/>
      <c r="BD109" s="255"/>
      <c r="BE109" s="255"/>
      <c r="BF109" s="255"/>
      <c r="BG109" s="255"/>
      <c r="BH109" s="255"/>
      <c r="BI109" s="255"/>
      <c r="BJ109" s="255"/>
      <c r="BK109" s="255"/>
    </row>
    <row r="110" spans="1:63" s="133" customFormat="1" ht="12.75">
      <c r="A110" s="168">
        <v>37955</v>
      </c>
      <c r="B110" s="213" t="str">
        <f>Servicio_internaColumna_título_intereses</f>
        <v>Intereses</v>
      </c>
      <c r="C110" s="256">
        <v>0</v>
      </c>
      <c r="D110" s="257">
        <v>0</v>
      </c>
      <c r="E110" s="257">
        <v>-3021742.396395104</v>
      </c>
      <c r="F110" s="257">
        <v>7320414.4724747371</v>
      </c>
      <c r="G110" s="257">
        <v>3366781.5509912912</v>
      </c>
      <c r="H110" s="257">
        <v>4527760.9363168497</v>
      </c>
      <c r="I110" s="257">
        <v>4569948.7872429909</v>
      </c>
      <c r="J110" s="257">
        <v>4501347.6951589063</v>
      </c>
      <c r="K110" s="257">
        <v>3020952.203513003</v>
      </c>
      <c r="L110" s="257">
        <v>-1751642.430201265</v>
      </c>
      <c r="M110" s="257">
        <v>-769937.96751646139</v>
      </c>
      <c r="N110" s="257">
        <v>4646032.7430309411</v>
      </c>
      <c r="O110" s="257">
        <v>2697894.5324784797</v>
      </c>
      <c r="P110" s="257">
        <v>-876894.09793662699</v>
      </c>
      <c r="Q110" s="257">
        <v>978685.99000001384</v>
      </c>
      <c r="R110" s="257">
        <v>0</v>
      </c>
      <c r="S110" s="257">
        <v>0</v>
      </c>
      <c r="T110" s="257">
        <v>0</v>
      </c>
      <c r="U110" s="258">
        <v>0</v>
      </c>
      <c r="V110" s="258">
        <v>0</v>
      </c>
      <c r="W110" s="258">
        <v>0</v>
      </c>
      <c r="X110" s="258">
        <v>0</v>
      </c>
      <c r="Y110" s="258">
        <v>0</v>
      </c>
      <c r="Z110" s="258">
        <v>0</v>
      </c>
      <c r="AA110" s="258">
        <v>0</v>
      </c>
      <c r="AB110" s="258">
        <v>0</v>
      </c>
      <c r="AC110" s="258">
        <v>0</v>
      </c>
      <c r="AD110" s="259">
        <v>0</v>
      </c>
      <c r="AE110" s="259">
        <v>0</v>
      </c>
      <c r="AF110" s="259">
        <v>0</v>
      </c>
      <c r="AG110" s="259">
        <v>0</v>
      </c>
      <c r="AH110" s="259">
        <v>0</v>
      </c>
      <c r="AI110" s="259">
        <v>0</v>
      </c>
      <c r="AJ110" s="259">
        <v>0</v>
      </c>
      <c r="AK110" s="259">
        <v>0</v>
      </c>
      <c r="AL110" s="259">
        <v>0</v>
      </c>
      <c r="AM110" s="259">
        <v>0</v>
      </c>
      <c r="AN110" s="259">
        <v>0</v>
      </c>
      <c r="AO110" s="259">
        <v>0</v>
      </c>
      <c r="AP110" s="259"/>
      <c r="AQ110" s="259"/>
      <c r="AR110" s="259"/>
      <c r="AS110" s="259"/>
      <c r="AT110" s="259"/>
      <c r="AU110" s="259"/>
      <c r="AV110" s="259"/>
      <c r="AW110" s="259"/>
      <c r="AX110" s="259"/>
      <c r="AY110" s="259"/>
      <c r="AZ110" s="259"/>
      <c r="BA110" s="259"/>
      <c r="BB110" s="259"/>
      <c r="BC110" s="259"/>
      <c r="BD110" s="259"/>
      <c r="BE110" s="259"/>
      <c r="BF110" s="259"/>
      <c r="BG110" s="259"/>
      <c r="BH110" s="259"/>
      <c r="BI110" s="259"/>
      <c r="BJ110" s="259"/>
      <c r="BK110" s="259"/>
    </row>
    <row r="111" spans="1:63" s="133" customFormat="1" ht="12.75">
      <c r="A111" s="169"/>
      <c r="B111" s="307" t="str">
        <f>Servicio_internaColumna_título_total</f>
        <v>Total</v>
      </c>
      <c r="C111" s="308">
        <v>0</v>
      </c>
      <c r="D111" s="309">
        <v>0</v>
      </c>
      <c r="E111" s="309">
        <v>6663489.1950815469</v>
      </c>
      <c r="F111" s="309">
        <v>15030576.849339526</v>
      </c>
      <c r="G111" s="309">
        <v>12080600.870929537</v>
      </c>
      <c r="H111" s="309">
        <v>12043440.857911587</v>
      </c>
      <c r="I111" s="309">
        <v>10096315.315071063</v>
      </c>
      <c r="J111" s="309">
        <v>7532374.5110843936</v>
      </c>
      <c r="K111" s="309">
        <v>4696545.2457918478</v>
      </c>
      <c r="L111" s="309">
        <v>3282029.614198735</v>
      </c>
      <c r="M111" s="309">
        <v>6134090.5056835385</v>
      </c>
      <c r="N111" s="309">
        <v>7245100.1957771992</v>
      </c>
      <c r="O111" s="309">
        <v>2697894.5324794794</v>
      </c>
      <c r="P111" s="309">
        <v>101791.89206338691</v>
      </c>
      <c r="Q111" s="309">
        <v>978685.99000001384</v>
      </c>
      <c r="R111" s="309">
        <v>0</v>
      </c>
      <c r="S111" s="309">
        <v>0</v>
      </c>
      <c r="T111" s="309">
        <v>0</v>
      </c>
      <c r="U111" s="309">
        <v>0</v>
      </c>
      <c r="V111" s="309">
        <v>0</v>
      </c>
      <c r="W111" s="309">
        <v>0</v>
      </c>
      <c r="X111" s="309">
        <v>0</v>
      </c>
      <c r="Y111" s="309">
        <v>0</v>
      </c>
      <c r="Z111" s="309">
        <v>0</v>
      </c>
      <c r="AA111" s="309">
        <v>0</v>
      </c>
      <c r="AB111" s="309">
        <v>0</v>
      </c>
      <c r="AC111" s="309">
        <v>0</v>
      </c>
      <c r="AD111" s="309">
        <v>0</v>
      </c>
      <c r="AE111" s="309">
        <v>0</v>
      </c>
      <c r="AF111" s="309">
        <v>0</v>
      </c>
      <c r="AG111" s="309">
        <v>0</v>
      </c>
      <c r="AH111" s="309">
        <v>0</v>
      </c>
      <c r="AI111" s="309">
        <v>0</v>
      </c>
      <c r="AJ111" s="309">
        <v>0</v>
      </c>
      <c r="AK111" s="309">
        <v>0</v>
      </c>
      <c r="AL111" s="309">
        <v>0</v>
      </c>
      <c r="AM111" s="309">
        <v>0</v>
      </c>
      <c r="AN111" s="309">
        <v>0</v>
      </c>
      <c r="AO111" s="309">
        <v>0</v>
      </c>
      <c r="AP111" s="309"/>
      <c r="AQ111" s="309"/>
      <c r="AR111" s="309"/>
      <c r="AS111" s="309"/>
      <c r="AT111" s="309"/>
      <c r="AU111" s="309"/>
      <c r="AV111" s="309"/>
      <c r="AW111" s="309"/>
      <c r="AX111" s="309"/>
      <c r="AY111" s="309"/>
      <c r="AZ111" s="309"/>
      <c r="BA111" s="309"/>
      <c r="BB111" s="309"/>
      <c r="BC111" s="309"/>
      <c r="BD111" s="309"/>
      <c r="BE111" s="309"/>
      <c r="BF111" s="309"/>
      <c r="BG111" s="309"/>
      <c r="BH111" s="309"/>
      <c r="BI111" s="309"/>
      <c r="BJ111" s="309"/>
      <c r="BK111" s="309"/>
    </row>
    <row r="112" spans="1:63" s="80" customFormat="1" ht="12.75">
      <c r="A112" s="167"/>
      <c r="B112" s="210" t="str">
        <f>Servicio_internaColumna_título_amortizaciones</f>
        <v>Amortizaciones</v>
      </c>
      <c r="C112" s="254">
        <v>0</v>
      </c>
      <c r="D112" s="255">
        <v>0</v>
      </c>
      <c r="E112" s="255">
        <v>0</v>
      </c>
      <c r="F112" s="255">
        <v>9767361.848418111</v>
      </c>
      <c r="G112" s="255">
        <v>8002320.9675878733</v>
      </c>
      <c r="H112" s="255">
        <v>8699609.5966512375</v>
      </c>
      <c r="I112" s="255">
        <v>7654514.2400268009</v>
      </c>
      <c r="J112" s="255">
        <v>5832553.265773898</v>
      </c>
      <c r="K112" s="255">
        <v>3047387.7477584183</v>
      </c>
      <c r="L112" s="255">
        <v>1781608.2525006812</v>
      </c>
      <c r="M112" s="255">
        <v>5036427.4412000002</v>
      </c>
      <c r="N112" s="255">
        <v>7041987.6635999996</v>
      </c>
      <c r="O112" s="255">
        <v>2647299.9093213398</v>
      </c>
      <c r="P112" s="255">
        <v>9.9999999999999995E-7</v>
      </c>
      <c r="Q112" s="255">
        <v>980782.11000001384</v>
      </c>
      <c r="R112" s="255">
        <v>0</v>
      </c>
      <c r="S112" s="255">
        <v>0</v>
      </c>
      <c r="T112" s="255">
        <v>0</v>
      </c>
      <c r="U112" s="255">
        <v>0</v>
      </c>
      <c r="V112" s="255">
        <v>0</v>
      </c>
      <c r="W112" s="255">
        <v>0</v>
      </c>
      <c r="X112" s="255">
        <v>0</v>
      </c>
      <c r="Y112" s="255">
        <v>0</v>
      </c>
      <c r="Z112" s="255">
        <v>0</v>
      </c>
      <c r="AA112" s="255">
        <v>0</v>
      </c>
      <c r="AB112" s="255">
        <v>0</v>
      </c>
      <c r="AC112" s="255">
        <v>0</v>
      </c>
      <c r="AD112" s="255">
        <v>0</v>
      </c>
      <c r="AE112" s="255">
        <v>0</v>
      </c>
      <c r="AF112" s="255">
        <v>0</v>
      </c>
      <c r="AG112" s="255">
        <v>0</v>
      </c>
      <c r="AH112" s="255">
        <v>0</v>
      </c>
      <c r="AI112" s="255">
        <v>0</v>
      </c>
      <c r="AJ112" s="255">
        <v>0</v>
      </c>
      <c r="AK112" s="255">
        <v>0</v>
      </c>
      <c r="AL112" s="255">
        <v>0</v>
      </c>
      <c r="AM112" s="255">
        <v>0</v>
      </c>
      <c r="AN112" s="255">
        <v>0</v>
      </c>
      <c r="AO112" s="255">
        <v>0</v>
      </c>
      <c r="AP112" s="255"/>
      <c r="AQ112" s="255"/>
      <c r="AR112" s="255"/>
      <c r="AS112" s="255"/>
      <c r="AT112" s="255"/>
      <c r="AU112" s="255"/>
      <c r="AV112" s="255"/>
      <c r="AW112" s="255"/>
      <c r="AX112" s="255"/>
      <c r="AY112" s="255"/>
      <c r="AZ112" s="255"/>
      <c r="BA112" s="255"/>
      <c r="BB112" s="255"/>
      <c r="BC112" s="255"/>
      <c r="BD112" s="255"/>
      <c r="BE112" s="255"/>
      <c r="BF112" s="255"/>
      <c r="BG112" s="255"/>
      <c r="BH112" s="255"/>
      <c r="BI112" s="255"/>
      <c r="BJ112" s="255"/>
      <c r="BK112" s="255"/>
    </row>
    <row r="113" spans="1:63" s="133" customFormat="1" ht="12.75">
      <c r="A113" s="168">
        <v>37986</v>
      </c>
      <c r="B113" s="213" t="str">
        <f>Servicio_internaColumna_título_intereses</f>
        <v>Intereses</v>
      </c>
      <c r="C113" s="256">
        <v>0</v>
      </c>
      <c r="D113" s="257">
        <v>0</v>
      </c>
      <c r="E113" s="257">
        <v>0</v>
      </c>
      <c r="F113" s="257">
        <v>6207409.6988424268</v>
      </c>
      <c r="G113" s="257">
        <v>5194278.1700261049</v>
      </c>
      <c r="H113" s="257">
        <v>4283155.2018501908</v>
      </c>
      <c r="I113" s="257">
        <v>3255484.4930525674</v>
      </c>
      <c r="J113" s="257">
        <v>2520367.9406738905</v>
      </c>
      <c r="K113" s="257">
        <v>1928587.3852819782</v>
      </c>
      <c r="L113" s="257">
        <v>1614027.4310412239</v>
      </c>
      <c r="M113" s="257">
        <v>1592038.0975524504</v>
      </c>
      <c r="N113" s="257">
        <v>1123529.8431525351</v>
      </c>
      <c r="O113" s="257">
        <v>343056.15153503651</v>
      </c>
      <c r="P113" s="257">
        <v>99356.215995458726</v>
      </c>
      <c r="Q113" s="257">
        <v>102336.90241215518</v>
      </c>
      <c r="R113" s="257">
        <v>0</v>
      </c>
      <c r="S113" s="257">
        <v>0</v>
      </c>
      <c r="T113" s="257">
        <v>0</v>
      </c>
      <c r="U113" s="258">
        <v>0</v>
      </c>
      <c r="V113" s="258">
        <v>0</v>
      </c>
      <c r="W113" s="258">
        <v>0</v>
      </c>
      <c r="X113" s="258">
        <v>0</v>
      </c>
      <c r="Y113" s="258">
        <v>0</v>
      </c>
      <c r="Z113" s="258">
        <v>0</v>
      </c>
      <c r="AA113" s="258">
        <v>0</v>
      </c>
      <c r="AB113" s="258">
        <v>0</v>
      </c>
      <c r="AC113" s="258">
        <v>0</v>
      </c>
      <c r="AD113" s="259">
        <v>0</v>
      </c>
      <c r="AE113" s="259">
        <v>0</v>
      </c>
      <c r="AF113" s="259">
        <v>0</v>
      </c>
      <c r="AG113" s="259">
        <v>0</v>
      </c>
      <c r="AH113" s="259">
        <v>0</v>
      </c>
      <c r="AI113" s="259">
        <v>0</v>
      </c>
      <c r="AJ113" s="259">
        <v>0</v>
      </c>
      <c r="AK113" s="259">
        <v>0</v>
      </c>
      <c r="AL113" s="259">
        <v>0</v>
      </c>
      <c r="AM113" s="259">
        <v>0</v>
      </c>
      <c r="AN113" s="259">
        <v>0</v>
      </c>
      <c r="AO113" s="259">
        <v>0</v>
      </c>
      <c r="AP113" s="259"/>
      <c r="AQ113" s="259"/>
      <c r="AR113" s="259"/>
      <c r="AS113" s="259"/>
      <c r="AT113" s="259"/>
      <c r="AU113" s="259"/>
      <c r="AV113" s="259"/>
      <c r="AW113" s="259"/>
      <c r="AX113" s="259"/>
      <c r="AY113" s="259"/>
      <c r="AZ113" s="259"/>
      <c r="BA113" s="259"/>
      <c r="BB113" s="259"/>
      <c r="BC113" s="259"/>
      <c r="BD113" s="259"/>
      <c r="BE113" s="259"/>
      <c r="BF113" s="259"/>
      <c r="BG113" s="259"/>
      <c r="BH113" s="259"/>
      <c r="BI113" s="259"/>
      <c r="BJ113" s="259"/>
      <c r="BK113" s="259"/>
    </row>
    <row r="114" spans="1:63" s="133" customFormat="1" ht="12.75">
      <c r="A114" s="169"/>
      <c r="B114" s="307" t="str">
        <f>Servicio_internaColumna_título_total</f>
        <v>Total</v>
      </c>
      <c r="C114" s="308">
        <v>0</v>
      </c>
      <c r="D114" s="309">
        <v>0</v>
      </c>
      <c r="E114" s="309">
        <v>0</v>
      </c>
      <c r="F114" s="309">
        <v>15974771.547260538</v>
      </c>
      <c r="G114" s="309">
        <v>13196599.137613978</v>
      </c>
      <c r="H114" s="309">
        <v>12982764.798501428</v>
      </c>
      <c r="I114" s="309">
        <v>10909998.733079368</v>
      </c>
      <c r="J114" s="309">
        <v>8352921.2064477885</v>
      </c>
      <c r="K114" s="309">
        <v>4975975.1330403965</v>
      </c>
      <c r="L114" s="309">
        <v>3395635.6835419051</v>
      </c>
      <c r="M114" s="309">
        <v>6628465.5387524506</v>
      </c>
      <c r="N114" s="309">
        <v>8165517.5067525348</v>
      </c>
      <c r="O114" s="309">
        <v>2990356.0608563763</v>
      </c>
      <c r="P114" s="309">
        <v>99356.215996458719</v>
      </c>
      <c r="Q114" s="309">
        <v>1083119.012412169</v>
      </c>
      <c r="R114" s="309">
        <v>0</v>
      </c>
      <c r="S114" s="309">
        <v>0</v>
      </c>
      <c r="T114" s="309">
        <v>0</v>
      </c>
      <c r="U114" s="309">
        <v>0</v>
      </c>
      <c r="V114" s="309">
        <v>0</v>
      </c>
      <c r="W114" s="309">
        <v>0</v>
      </c>
      <c r="X114" s="309">
        <v>0</v>
      </c>
      <c r="Y114" s="309">
        <v>0</v>
      </c>
      <c r="Z114" s="309">
        <v>0</v>
      </c>
      <c r="AA114" s="309">
        <v>0</v>
      </c>
      <c r="AB114" s="309">
        <v>0</v>
      </c>
      <c r="AC114" s="309">
        <v>0</v>
      </c>
      <c r="AD114" s="309">
        <v>0</v>
      </c>
      <c r="AE114" s="309">
        <v>0</v>
      </c>
      <c r="AF114" s="309">
        <v>0</v>
      </c>
      <c r="AG114" s="309">
        <v>0</v>
      </c>
      <c r="AH114" s="309">
        <v>0</v>
      </c>
      <c r="AI114" s="309">
        <v>0</v>
      </c>
      <c r="AJ114" s="309">
        <v>0</v>
      </c>
      <c r="AK114" s="309">
        <v>0</v>
      </c>
      <c r="AL114" s="309">
        <v>0</v>
      </c>
      <c r="AM114" s="309">
        <v>0</v>
      </c>
      <c r="AN114" s="309">
        <v>0</v>
      </c>
      <c r="AO114" s="309">
        <v>0</v>
      </c>
      <c r="AP114" s="309"/>
      <c r="AQ114" s="309"/>
      <c r="AR114" s="309"/>
      <c r="AS114" s="309"/>
      <c r="AT114" s="309"/>
      <c r="AU114" s="309"/>
      <c r="AV114" s="309"/>
      <c r="AW114" s="309"/>
      <c r="AX114" s="309"/>
      <c r="AY114" s="309"/>
      <c r="AZ114" s="309"/>
      <c r="BA114" s="309"/>
      <c r="BB114" s="309"/>
      <c r="BC114" s="309"/>
      <c r="BD114" s="309"/>
      <c r="BE114" s="309"/>
      <c r="BF114" s="309"/>
      <c r="BG114" s="309"/>
      <c r="BH114" s="309"/>
      <c r="BI114" s="309"/>
      <c r="BJ114" s="309"/>
      <c r="BK114" s="309"/>
    </row>
    <row r="115" spans="1:63" s="80" customFormat="1" ht="12.75">
      <c r="A115" s="167"/>
      <c r="B115" s="210" t="str">
        <f>Servicio_internaColumna_título_amortizaciones</f>
        <v>Amortizaciones</v>
      </c>
      <c r="C115" s="254">
        <v>0</v>
      </c>
      <c r="D115" s="255">
        <v>0</v>
      </c>
      <c r="E115" s="255">
        <v>0</v>
      </c>
      <c r="F115" s="255">
        <v>8502476.744322449</v>
      </c>
      <c r="G115" s="255">
        <v>8709412.6835549157</v>
      </c>
      <c r="H115" s="255">
        <v>8700191.5046686865</v>
      </c>
      <c r="I115" s="255">
        <v>7990666.5289152823</v>
      </c>
      <c r="J115" s="255">
        <v>6034550.3871037783</v>
      </c>
      <c r="K115" s="255">
        <v>3039107.5776025439</v>
      </c>
      <c r="L115" s="255">
        <v>2206326.2069448363</v>
      </c>
      <c r="M115" s="255">
        <v>5043490.7649857178</v>
      </c>
      <c r="N115" s="255">
        <v>7200905.6065672264</v>
      </c>
      <c r="O115" s="255">
        <v>2642631.6936213402</v>
      </c>
      <c r="P115" s="255">
        <v>50671.000000999855</v>
      </c>
      <c r="Q115" s="255">
        <v>1111575.9000000139</v>
      </c>
      <c r="R115" s="255">
        <v>0</v>
      </c>
      <c r="S115" s="255">
        <v>0</v>
      </c>
      <c r="T115" s="255">
        <v>0</v>
      </c>
      <c r="U115" s="255">
        <v>0</v>
      </c>
      <c r="V115" s="255">
        <v>0</v>
      </c>
      <c r="W115" s="255">
        <v>0</v>
      </c>
      <c r="X115" s="255">
        <v>0</v>
      </c>
      <c r="Y115" s="255">
        <v>0</v>
      </c>
      <c r="Z115" s="255">
        <v>0</v>
      </c>
      <c r="AA115" s="255">
        <v>0</v>
      </c>
      <c r="AB115" s="255">
        <v>0</v>
      </c>
      <c r="AC115" s="255">
        <v>0</v>
      </c>
      <c r="AD115" s="255">
        <v>0</v>
      </c>
      <c r="AE115" s="255">
        <v>0</v>
      </c>
      <c r="AF115" s="255">
        <v>0</v>
      </c>
      <c r="AG115" s="255">
        <v>0</v>
      </c>
      <c r="AH115" s="255">
        <v>0</v>
      </c>
      <c r="AI115" s="255">
        <v>0</v>
      </c>
      <c r="AJ115" s="255">
        <v>0</v>
      </c>
      <c r="AK115" s="255">
        <v>0</v>
      </c>
      <c r="AL115" s="255">
        <v>0</v>
      </c>
      <c r="AM115" s="255">
        <v>0</v>
      </c>
      <c r="AN115" s="255">
        <v>0</v>
      </c>
      <c r="AO115" s="255">
        <v>0</v>
      </c>
      <c r="AP115" s="255"/>
      <c r="AQ115" s="255"/>
      <c r="AR115" s="255"/>
      <c r="AS115" s="255"/>
      <c r="AT115" s="255"/>
      <c r="AU115" s="255"/>
      <c r="AV115" s="255"/>
      <c r="AW115" s="255"/>
      <c r="AX115" s="255"/>
      <c r="AY115" s="255"/>
      <c r="AZ115" s="255"/>
      <c r="BA115" s="255"/>
      <c r="BB115" s="255"/>
      <c r="BC115" s="255"/>
      <c r="BD115" s="255"/>
      <c r="BE115" s="255"/>
      <c r="BF115" s="255"/>
      <c r="BG115" s="255"/>
      <c r="BH115" s="255"/>
      <c r="BI115" s="255"/>
      <c r="BJ115" s="255"/>
      <c r="BK115" s="255"/>
    </row>
    <row r="116" spans="1:63" s="133" customFormat="1" ht="12.75">
      <c r="A116" s="168">
        <v>38017</v>
      </c>
      <c r="B116" s="213" t="str">
        <f>Servicio_internaColumna_título_intereses</f>
        <v>Intereses</v>
      </c>
      <c r="C116" s="256">
        <v>0</v>
      </c>
      <c r="D116" s="257">
        <v>0</v>
      </c>
      <c r="E116" s="257">
        <v>0</v>
      </c>
      <c r="F116" s="257">
        <v>6181601.5211120769</v>
      </c>
      <c r="G116" s="257">
        <v>5336660.3920409065</v>
      </c>
      <c r="H116" s="257">
        <v>4355343.6382851154</v>
      </c>
      <c r="I116" s="257">
        <v>3327213.0476006325</v>
      </c>
      <c r="J116" s="257">
        <v>2586826.4289874015</v>
      </c>
      <c r="K116" s="257">
        <v>1958746.9182058806</v>
      </c>
      <c r="L116" s="257">
        <v>1644371.8834761996</v>
      </c>
      <c r="M116" s="257">
        <v>1622120.6899702381</v>
      </c>
      <c r="N116" s="257">
        <v>1154369.6843462363</v>
      </c>
      <c r="O116" s="257">
        <v>355147.49972863495</v>
      </c>
      <c r="P116" s="257">
        <v>111547.08982146447</v>
      </c>
      <c r="Q116" s="257">
        <v>114893.5025726587</v>
      </c>
      <c r="R116" s="257">
        <v>0</v>
      </c>
      <c r="S116" s="257">
        <v>0</v>
      </c>
      <c r="T116" s="257">
        <v>0</v>
      </c>
      <c r="U116" s="258">
        <v>0</v>
      </c>
      <c r="V116" s="258">
        <v>0</v>
      </c>
      <c r="W116" s="258">
        <v>0</v>
      </c>
      <c r="X116" s="258">
        <v>0</v>
      </c>
      <c r="Y116" s="258">
        <v>0</v>
      </c>
      <c r="Z116" s="258">
        <v>0</v>
      </c>
      <c r="AA116" s="258">
        <v>0</v>
      </c>
      <c r="AB116" s="258">
        <v>0</v>
      </c>
      <c r="AC116" s="258">
        <v>0</v>
      </c>
      <c r="AD116" s="259">
        <v>0</v>
      </c>
      <c r="AE116" s="259">
        <v>0</v>
      </c>
      <c r="AF116" s="259">
        <v>0</v>
      </c>
      <c r="AG116" s="259">
        <v>0</v>
      </c>
      <c r="AH116" s="259">
        <v>0</v>
      </c>
      <c r="AI116" s="259">
        <v>0</v>
      </c>
      <c r="AJ116" s="259">
        <v>0</v>
      </c>
      <c r="AK116" s="259">
        <v>0</v>
      </c>
      <c r="AL116" s="259">
        <v>0</v>
      </c>
      <c r="AM116" s="259">
        <v>0</v>
      </c>
      <c r="AN116" s="259">
        <v>0</v>
      </c>
      <c r="AO116" s="259">
        <v>0</v>
      </c>
      <c r="AP116" s="259"/>
      <c r="AQ116" s="259"/>
      <c r="AR116" s="259"/>
      <c r="AS116" s="259"/>
      <c r="AT116" s="259"/>
      <c r="AU116" s="259"/>
      <c r="AV116" s="259"/>
      <c r="AW116" s="259"/>
      <c r="AX116" s="259"/>
      <c r="AY116" s="259"/>
      <c r="AZ116" s="259"/>
      <c r="BA116" s="259"/>
      <c r="BB116" s="259"/>
      <c r="BC116" s="259"/>
      <c r="BD116" s="259"/>
      <c r="BE116" s="259"/>
      <c r="BF116" s="259"/>
      <c r="BG116" s="259"/>
      <c r="BH116" s="259"/>
      <c r="BI116" s="259"/>
      <c r="BJ116" s="259"/>
      <c r="BK116" s="259"/>
    </row>
    <row r="117" spans="1:63" s="133" customFormat="1" ht="12.75">
      <c r="A117" s="169"/>
      <c r="B117" s="307" t="str">
        <f>Servicio_internaColumna_título_total</f>
        <v>Total</v>
      </c>
      <c r="C117" s="308">
        <v>0</v>
      </c>
      <c r="D117" s="309">
        <v>0</v>
      </c>
      <c r="E117" s="309">
        <v>0</v>
      </c>
      <c r="F117" s="309">
        <v>14684078.265434526</v>
      </c>
      <c r="G117" s="309">
        <v>14046073.075595822</v>
      </c>
      <c r="H117" s="309">
        <v>13055535.142953802</v>
      </c>
      <c r="I117" s="309">
        <v>11317879.576515915</v>
      </c>
      <c r="J117" s="309">
        <v>8621376.8160911798</v>
      </c>
      <c r="K117" s="309">
        <v>4997854.4958084244</v>
      </c>
      <c r="L117" s="309">
        <v>3850698.0904210359</v>
      </c>
      <c r="M117" s="309">
        <v>6665611.454955956</v>
      </c>
      <c r="N117" s="309">
        <v>8355275.2909134626</v>
      </c>
      <c r="O117" s="309">
        <v>2997779.1933499752</v>
      </c>
      <c r="P117" s="309">
        <v>162218.08982246433</v>
      </c>
      <c r="Q117" s="309">
        <v>1226469.4025726726</v>
      </c>
      <c r="R117" s="309">
        <v>0</v>
      </c>
      <c r="S117" s="309">
        <v>0</v>
      </c>
      <c r="T117" s="309">
        <v>0</v>
      </c>
      <c r="U117" s="309">
        <v>0</v>
      </c>
      <c r="V117" s="309">
        <v>0</v>
      </c>
      <c r="W117" s="309">
        <v>0</v>
      </c>
      <c r="X117" s="309">
        <v>0</v>
      </c>
      <c r="Y117" s="309">
        <v>0</v>
      </c>
      <c r="Z117" s="309">
        <v>0</v>
      </c>
      <c r="AA117" s="309">
        <v>0</v>
      </c>
      <c r="AB117" s="309">
        <v>0</v>
      </c>
      <c r="AC117" s="309">
        <v>0</v>
      </c>
      <c r="AD117" s="309">
        <v>0</v>
      </c>
      <c r="AE117" s="309">
        <v>0</v>
      </c>
      <c r="AF117" s="309">
        <v>0</v>
      </c>
      <c r="AG117" s="309">
        <v>0</v>
      </c>
      <c r="AH117" s="309">
        <v>0</v>
      </c>
      <c r="AI117" s="309">
        <v>0</v>
      </c>
      <c r="AJ117" s="309">
        <v>0</v>
      </c>
      <c r="AK117" s="309">
        <v>0</v>
      </c>
      <c r="AL117" s="309">
        <v>0</v>
      </c>
      <c r="AM117" s="309">
        <v>0</v>
      </c>
      <c r="AN117" s="309">
        <v>0</v>
      </c>
      <c r="AO117" s="309">
        <v>0</v>
      </c>
      <c r="AP117" s="309"/>
      <c r="AQ117" s="309"/>
      <c r="AR117" s="309"/>
      <c r="AS117" s="309"/>
      <c r="AT117" s="309"/>
      <c r="AU117" s="309"/>
      <c r="AV117" s="309"/>
      <c r="AW117" s="309"/>
      <c r="AX117" s="309"/>
      <c r="AY117" s="309"/>
      <c r="AZ117" s="309"/>
      <c r="BA117" s="309"/>
      <c r="BB117" s="309"/>
      <c r="BC117" s="309"/>
      <c r="BD117" s="309"/>
      <c r="BE117" s="309"/>
      <c r="BF117" s="309"/>
      <c r="BG117" s="309"/>
      <c r="BH117" s="309"/>
      <c r="BI117" s="309"/>
      <c r="BJ117" s="309"/>
      <c r="BK117" s="309"/>
    </row>
    <row r="118" spans="1:63" s="80" customFormat="1" ht="12.75">
      <c r="A118" s="167"/>
      <c r="B118" s="210" t="str">
        <f>Servicio_internaColumna_título_amortizaciones</f>
        <v>Amortizaciones</v>
      </c>
      <c r="C118" s="254">
        <v>0</v>
      </c>
      <c r="D118" s="255">
        <v>0</v>
      </c>
      <c r="E118" s="255">
        <v>0</v>
      </c>
      <c r="F118" s="255">
        <v>8402120.2028266937</v>
      </c>
      <c r="G118" s="255">
        <v>8917715.2536226995</v>
      </c>
      <c r="H118" s="255">
        <v>8661557.1796289012</v>
      </c>
      <c r="I118" s="255">
        <v>8421912.3552440982</v>
      </c>
      <c r="J118" s="255">
        <v>6327790.0942670843</v>
      </c>
      <c r="K118" s="255">
        <v>3032499.4970813375</v>
      </c>
      <c r="L118" s="255">
        <v>2555593.5360219432</v>
      </c>
      <c r="M118" s="255">
        <v>5055374.0231862003</v>
      </c>
      <c r="N118" s="255">
        <v>7429287.7870938238</v>
      </c>
      <c r="O118" s="255">
        <v>2632795.4771213401</v>
      </c>
      <c r="P118" s="255">
        <v>50671.000001000029</v>
      </c>
      <c r="Q118" s="255">
        <v>1122302.7584149868</v>
      </c>
      <c r="R118" s="255">
        <v>0</v>
      </c>
      <c r="S118" s="255">
        <v>0</v>
      </c>
      <c r="T118" s="255">
        <v>0</v>
      </c>
      <c r="U118" s="255">
        <v>0</v>
      </c>
      <c r="V118" s="255">
        <v>0</v>
      </c>
      <c r="W118" s="255">
        <v>0</v>
      </c>
      <c r="X118" s="255">
        <v>0</v>
      </c>
      <c r="Y118" s="255">
        <v>0</v>
      </c>
      <c r="Z118" s="255">
        <v>0</v>
      </c>
      <c r="AA118" s="255">
        <v>0</v>
      </c>
      <c r="AB118" s="255">
        <v>0</v>
      </c>
      <c r="AC118" s="255">
        <v>0</v>
      </c>
      <c r="AD118" s="255">
        <v>0</v>
      </c>
      <c r="AE118" s="255">
        <v>0</v>
      </c>
      <c r="AF118" s="255">
        <v>0</v>
      </c>
      <c r="AG118" s="255">
        <v>0</v>
      </c>
      <c r="AH118" s="255">
        <v>0</v>
      </c>
      <c r="AI118" s="255">
        <v>0</v>
      </c>
      <c r="AJ118" s="255">
        <v>0</v>
      </c>
      <c r="AK118" s="255">
        <v>0</v>
      </c>
      <c r="AL118" s="255">
        <v>0</v>
      </c>
      <c r="AM118" s="255">
        <v>0</v>
      </c>
      <c r="AN118" s="255">
        <v>0</v>
      </c>
      <c r="AO118" s="255">
        <v>0</v>
      </c>
      <c r="AP118" s="255"/>
      <c r="AQ118" s="255"/>
      <c r="AR118" s="255"/>
      <c r="AS118" s="255"/>
      <c r="AT118" s="255"/>
      <c r="AU118" s="255"/>
      <c r="AV118" s="255"/>
      <c r="AW118" s="255"/>
      <c r="AX118" s="255"/>
      <c r="AY118" s="255"/>
      <c r="AZ118" s="255"/>
      <c r="BA118" s="255"/>
      <c r="BB118" s="255"/>
      <c r="BC118" s="255"/>
      <c r="BD118" s="255"/>
      <c r="BE118" s="255"/>
      <c r="BF118" s="255"/>
      <c r="BG118" s="255"/>
      <c r="BH118" s="255"/>
      <c r="BI118" s="255"/>
      <c r="BJ118" s="255"/>
      <c r="BK118" s="255"/>
    </row>
    <row r="119" spans="1:63" s="133" customFormat="1" ht="12.75">
      <c r="A119" s="168">
        <v>38046</v>
      </c>
      <c r="B119" s="213" t="str">
        <f>Servicio_internaColumna_título_intereses</f>
        <v>Intereses</v>
      </c>
      <c r="C119" s="256">
        <v>0</v>
      </c>
      <c r="D119" s="257">
        <v>0</v>
      </c>
      <c r="E119" s="257">
        <v>0</v>
      </c>
      <c r="F119" s="257">
        <v>6272813.7704685703</v>
      </c>
      <c r="G119" s="257">
        <v>5477552.6505219899</v>
      </c>
      <c r="H119" s="257">
        <v>4477651.320206251</v>
      </c>
      <c r="I119" s="257">
        <v>3452557.8256339785</v>
      </c>
      <c r="J119" s="257">
        <v>2708393.369540547</v>
      </c>
      <c r="K119" s="257">
        <v>2029867.9185002362</v>
      </c>
      <c r="L119" s="257">
        <v>1717692.1453039804</v>
      </c>
      <c r="M119" s="257">
        <v>1652404.00339121</v>
      </c>
      <c r="N119" s="257">
        <v>1184595.6233809926</v>
      </c>
      <c r="O119" s="257">
        <v>355472.29120959342</v>
      </c>
      <c r="P119" s="257">
        <v>111881.62504701622</v>
      </c>
      <c r="Q119" s="257">
        <v>115238.07385514677</v>
      </c>
      <c r="R119" s="257">
        <v>0</v>
      </c>
      <c r="S119" s="257">
        <v>0</v>
      </c>
      <c r="T119" s="257">
        <v>0</v>
      </c>
      <c r="U119" s="258">
        <v>0</v>
      </c>
      <c r="V119" s="258">
        <v>0</v>
      </c>
      <c r="W119" s="258">
        <v>0</v>
      </c>
      <c r="X119" s="258">
        <v>0</v>
      </c>
      <c r="Y119" s="258">
        <v>0</v>
      </c>
      <c r="Z119" s="258">
        <v>0</v>
      </c>
      <c r="AA119" s="258">
        <v>0</v>
      </c>
      <c r="AB119" s="258">
        <v>0</v>
      </c>
      <c r="AC119" s="258">
        <v>0</v>
      </c>
      <c r="AD119" s="259">
        <v>0</v>
      </c>
      <c r="AE119" s="259">
        <v>0</v>
      </c>
      <c r="AF119" s="259">
        <v>0</v>
      </c>
      <c r="AG119" s="259">
        <v>0</v>
      </c>
      <c r="AH119" s="259">
        <v>0</v>
      </c>
      <c r="AI119" s="259">
        <v>0</v>
      </c>
      <c r="AJ119" s="259">
        <v>0</v>
      </c>
      <c r="AK119" s="259">
        <v>0</v>
      </c>
      <c r="AL119" s="259">
        <v>0</v>
      </c>
      <c r="AM119" s="259">
        <v>0</v>
      </c>
      <c r="AN119" s="259">
        <v>0</v>
      </c>
      <c r="AO119" s="259">
        <v>0</v>
      </c>
      <c r="AP119" s="259"/>
      <c r="AQ119" s="259"/>
      <c r="AR119" s="259"/>
      <c r="AS119" s="259"/>
      <c r="AT119" s="259"/>
      <c r="AU119" s="259"/>
      <c r="AV119" s="259"/>
      <c r="AW119" s="259"/>
      <c r="AX119" s="259"/>
      <c r="AY119" s="259"/>
      <c r="AZ119" s="259"/>
      <c r="BA119" s="259"/>
      <c r="BB119" s="259"/>
      <c r="BC119" s="259"/>
      <c r="BD119" s="259"/>
      <c r="BE119" s="259"/>
      <c r="BF119" s="259"/>
      <c r="BG119" s="259"/>
      <c r="BH119" s="259"/>
      <c r="BI119" s="259"/>
      <c r="BJ119" s="259"/>
      <c r="BK119" s="259"/>
    </row>
    <row r="120" spans="1:63" s="133" customFormat="1" ht="12.75">
      <c r="A120" s="169"/>
      <c r="B120" s="307" t="str">
        <f>Servicio_internaColumna_título_total</f>
        <v>Total</v>
      </c>
      <c r="C120" s="308">
        <v>0</v>
      </c>
      <c r="D120" s="309">
        <v>0</v>
      </c>
      <c r="E120" s="309">
        <v>0</v>
      </c>
      <c r="F120" s="309">
        <v>14674933.973295264</v>
      </c>
      <c r="G120" s="309">
        <v>14395267.904144689</v>
      </c>
      <c r="H120" s="309">
        <v>13139208.499835152</v>
      </c>
      <c r="I120" s="309">
        <v>11874470.180878077</v>
      </c>
      <c r="J120" s="309">
        <v>9036183.4638076313</v>
      </c>
      <c r="K120" s="309">
        <v>5062367.4155815737</v>
      </c>
      <c r="L120" s="309">
        <v>4273285.6813259237</v>
      </c>
      <c r="M120" s="309">
        <v>6707778.0265774103</v>
      </c>
      <c r="N120" s="309">
        <v>8613883.4104748163</v>
      </c>
      <c r="O120" s="309">
        <v>2988267.7683309335</v>
      </c>
      <c r="P120" s="309">
        <v>162552.62504801626</v>
      </c>
      <c r="Q120" s="309">
        <v>1237540.8322701335</v>
      </c>
      <c r="R120" s="309">
        <v>0</v>
      </c>
      <c r="S120" s="309">
        <v>0</v>
      </c>
      <c r="T120" s="309">
        <v>0</v>
      </c>
      <c r="U120" s="309">
        <v>0</v>
      </c>
      <c r="V120" s="309">
        <v>0</v>
      </c>
      <c r="W120" s="309">
        <v>0</v>
      </c>
      <c r="X120" s="309">
        <v>0</v>
      </c>
      <c r="Y120" s="309">
        <v>0</v>
      </c>
      <c r="Z120" s="309">
        <v>0</v>
      </c>
      <c r="AA120" s="309">
        <v>0</v>
      </c>
      <c r="AB120" s="309">
        <v>0</v>
      </c>
      <c r="AC120" s="309">
        <v>0</v>
      </c>
      <c r="AD120" s="309">
        <v>0</v>
      </c>
      <c r="AE120" s="309">
        <v>0</v>
      </c>
      <c r="AF120" s="309">
        <v>0</v>
      </c>
      <c r="AG120" s="309">
        <v>0</v>
      </c>
      <c r="AH120" s="309">
        <v>0</v>
      </c>
      <c r="AI120" s="309">
        <v>0</v>
      </c>
      <c r="AJ120" s="309">
        <v>0</v>
      </c>
      <c r="AK120" s="309">
        <v>0</v>
      </c>
      <c r="AL120" s="309">
        <v>0</v>
      </c>
      <c r="AM120" s="309">
        <v>0</v>
      </c>
      <c r="AN120" s="309">
        <v>0</v>
      </c>
      <c r="AO120" s="309">
        <v>0</v>
      </c>
      <c r="AP120" s="309"/>
      <c r="AQ120" s="309"/>
      <c r="AR120" s="309"/>
      <c r="AS120" s="309"/>
      <c r="AT120" s="309"/>
      <c r="AU120" s="309"/>
      <c r="AV120" s="309"/>
      <c r="AW120" s="309"/>
      <c r="AX120" s="309"/>
      <c r="AY120" s="309"/>
      <c r="AZ120" s="309"/>
      <c r="BA120" s="309"/>
      <c r="BB120" s="309"/>
      <c r="BC120" s="309"/>
      <c r="BD120" s="309"/>
      <c r="BE120" s="309"/>
      <c r="BF120" s="309"/>
      <c r="BG120" s="309"/>
      <c r="BH120" s="309"/>
      <c r="BI120" s="309"/>
      <c r="BJ120" s="309"/>
      <c r="BK120" s="309"/>
    </row>
    <row r="121" spans="1:63" s="80" customFormat="1" ht="12.75">
      <c r="A121" s="167"/>
      <c r="B121" s="210" t="str">
        <f>Servicio_internaColumna_título_amortizaciones</f>
        <v>Amortizaciones</v>
      </c>
      <c r="C121" s="254">
        <v>0</v>
      </c>
      <c r="D121" s="255">
        <v>0</v>
      </c>
      <c r="E121" s="255">
        <v>0</v>
      </c>
      <c r="F121" s="255">
        <v>8560853.435959734</v>
      </c>
      <c r="G121" s="255">
        <v>9020528.3073947802</v>
      </c>
      <c r="H121" s="255">
        <v>8688167.9786974769</v>
      </c>
      <c r="I121" s="255">
        <v>8891761.9455856346</v>
      </c>
      <c r="J121" s="255">
        <v>6507211.2933884664</v>
      </c>
      <c r="K121" s="255">
        <v>3007493.5329417679</v>
      </c>
      <c r="L121" s="255">
        <v>3162627.4159164103</v>
      </c>
      <c r="M121" s="255">
        <v>5073153.0562593713</v>
      </c>
      <c r="N121" s="255">
        <v>7870735.5448155347</v>
      </c>
      <c r="O121" s="255">
        <v>2615749.96182134</v>
      </c>
      <c r="P121" s="255">
        <v>175079.00000100007</v>
      </c>
      <c r="Q121" s="255">
        <v>1154857.76</v>
      </c>
      <c r="R121" s="255">
        <v>0</v>
      </c>
      <c r="S121" s="255">
        <v>0</v>
      </c>
      <c r="T121" s="255">
        <v>0</v>
      </c>
      <c r="U121" s="255">
        <v>0</v>
      </c>
      <c r="V121" s="255">
        <v>0</v>
      </c>
      <c r="W121" s="255">
        <v>0</v>
      </c>
      <c r="X121" s="255">
        <v>0</v>
      </c>
      <c r="Y121" s="255">
        <v>0</v>
      </c>
      <c r="Z121" s="255">
        <v>0</v>
      </c>
      <c r="AA121" s="255">
        <v>0</v>
      </c>
      <c r="AB121" s="255">
        <v>0</v>
      </c>
      <c r="AC121" s="255">
        <v>0</v>
      </c>
      <c r="AD121" s="255">
        <v>0</v>
      </c>
      <c r="AE121" s="255">
        <v>0</v>
      </c>
      <c r="AF121" s="255">
        <v>0</v>
      </c>
      <c r="AG121" s="255">
        <v>0</v>
      </c>
      <c r="AH121" s="255">
        <v>0</v>
      </c>
      <c r="AI121" s="255">
        <v>0</v>
      </c>
      <c r="AJ121" s="255">
        <v>0</v>
      </c>
      <c r="AK121" s="255">
        <v>0</v>
      </c>
      <c r="AL121" s="255">
        <v>0</v>
      </c>
      <c r="AM121" s="255">
        <v>0</v>
      </c>
      <c r="AN121" s="255">
        <v>0</v>
      </c>
      <c r="AO121" s="255">
        <v>0</v>
      </c>
      <c r="AP121" s="255"/>
      <c r="AQ121" s="255"/>
      <c r="AR121" s="255"/>
      <c r="AS121" s="255"/>
      <c r="AT121" s="255"/>
      <c r="AU121" s="255"/>
      <c r="AV121" s="255"/>
      <c r="AW121" s="255"/>
      <c r="AX121" s="255"/>
      <c r="AY121" s="255"/>
      <c r="AZ121" s="255"/>
      <c r="BA121" s="255"/>
      <c r="BB121" s="255"/>
      <c r="BC121" s="255"/>
      <c r="BD121" s="255"/>
      <c r="BE121" s="255"/>
      <c r="BF121" s="255"/>
      <c r="BG121" s="255"/>
      <c r="BH121" s="255"/>
      <c r="BI121" s="255"/>
      <c r="BJ121" s="255"/>
      <c r="BK121" s="255"/>
    </row>
    <row r="122" spans="1:63" s="133" customFormat="1" ht="12.75">
      <c r="A122" s="168">
        <v>38077</v>
      </c>
      <c r="B122" s="213" t="str">
        <f>Servicio_internaColumna_título_intereses</f>
        <v>Intereses</v>
      </c>
      <c r="C122" s="256">
        <v>0</v>
      </c>
      <c r="D122" s="257">
        <v>0</v>
      </c>
      <c r="E122" s="257">
        <v>0</v>
      </c>
      <c r="F122" s="257">
        <v>6377557.2096662521</v>
      </c>
      <c r="G122" s="257">
        <v>5660388.8947960027</v>
      </c>
      <c r="H122" s="257">
        <v>4651585.7044296209</v>
      </c>
      <c r="I122" s="257">
        <v>3624545.0397350062</v>
      </c>
      <c r="J122" s="257">
        <v>2876047.4206328662</v>
      </c>
      <c r="K122" s="257">
        <v>2165902.1716741174</v>
      </c>
      <c r="L122" s="257">
        <v>1855846.7406373182</v>
      </c>
      <c r="M122" s="257">
        <v>1713193.5891015846</v>
      </c>
      <c r="N122" s="257">
        <v>1245375.9418472275</v>
      </c>
      <c r="O122" s="257">
        <v>357398.39169929177</v>
      </c>
      <c r="P122" s="257">
        <v>113864.40403005824</v>
      </c>
      <c r="Q122" s="257">
        <v>117242.41427618149</v>
      </c>
      <c r="R122" s="257">
        <v>0</v>
      </c>
      <c r="S122" s="257">
        <v>0</v>
      </c>
      <c r="T122" s="257">
        <v>0</v>
      </c>
      <c r="U122" s="258">
        <v>0</v>
      </c>
      <c r="V122" s="258">
        <v>0</v>
      </c>
      <c r="W122" s="258">
        <v>0</v>
      </c>
      <c r="X122" s="258">
        <v>0</v>
      </c>
      <c r="Y122" s="258">
        <v>0</v>
      </c>
      <c r="Z122" s="258">
        <v>0</v>
      </c>
      <c r="AA122" s="258">
        <v>0</v>
      </c>
      <c r="AB122" s="258">
        <v>0</v>
      </c>
      <c r="AC122" s="258">
        <v>0</v>
      </c>
      <c r="AD122" s="259">
        <v>0</v>
      </c>
      <c r="AE122" s="259">
        <v>0</v>
      </c>
      <c r="AF122" s="259">
        <v>0</v>
      </c>
      <c r="AG122" s="259">
        <v>0</v>
      </c>
      <c r="AH122" s="259">
        <v>0</v>
      </c>
      <c r="AI122" s="259">
        <v>0</v>
      </c>
      <c r="AJ122" s="259">
        <v>0</v>
      </c>
      <c r="AK122" s="259">
        <v>0</v>
      </c>
      <c r="AL122" s="259">
        <v>0</v>
      </c>
      <c r="AM122" s="259">
        <v>0</v>
      </c>
      <c r="AN122" s="259">
        <v>0</v>
      </c>
      <c r="AO122" s="259">
        <v>0</v>
      </c>
      <c r="AP122" s="259"/>
      <c r="AQ122" s="259"/>
      <c r="AR122" s="259"/>
      <c r="AS122" s="259"/>
      <c r="AT122" s="259"/>
      <c r="AU122" s="259"/>
      <c r="AV122" s="259"/>
      <c r="AW122" s="259"/>
      <c r="AX122" s="259"/>
      <c r="AY122" s="259"/>
      <c r="AZ122" s="259"/>
      <c r="BA122" s="259"/>
      <c r="BB122" s="259"/>
      <c r="BC122" s="259"/>
      <c r="BD122" s="259"/>
      <c r="BE122" s="259"/>
      <c r="BF122" s="259"/>
      <c r="BG122" s="259"/>
      <c r="BH122" s="259"/>
      <c r="BI122" s="259"/>
      <c r="BJ122" s="259"/>
      <c r="BK122" s="259"/>
    </row>
    <row r="123" spans="1:63" s="133" customFormat="1" ht="12.75">
      <c r="A123" s="169"/>
      <c r="B123" s="307" t="str">
        <f>Servicio_internaColumna_título_total</f>
        <v>Total</v>
      </c>
      <c r="C123" s="308">
        <v>0</v>
      </c>
      <c r="D123" s="309">
        <v>0</v>
      </c>
      <c r="E123" s="309">
        <v>0</v>
      </c>
      <c r="F123" s="309">
        <v>14938410.645625986</v>
      </c>
      <c r="G123" s="309">
        <v>14680917.202190783</v>
      </c>
      <c r="H123" s="309">
        <v>13339753.683127098</v>
      </c>
      <c r="I123" s="309">
        <v>12516306.985320641</v>
      </c>
      <c r="J123" s="309">
        <v>9383258.7140213326</v>
      </c>
      <c r="K123" s="309">
        <v>5173395.7046158854</v>
      </c>
      <c r="L123" s="309">
        <v>5018474.1565537285</v>
      </c>
      <c r="M123" s="309">
        <v>6786346.645360956</v>
      </c>
      <c r="N123" s="309">
        <v>9116111.4866627622</v>
      </c>
      <c r="O123" s="309">
        <v>2973148.3535206318</v>
      </c>
      <c r="P123" s="309">
        <v>288943.40403105831</v>
      </c>
      <c r="Q123" s="309">
        <v>1272100.1742761815</v>
      </c>
      <c r="R123" s="309">
        <v>0</v>
      </c>
      <c r="S123" s="309">
        <v>0</v>
      </c>
      <c r="T123" s="309">
        <v>0</v>
      </c>
      <c r="U123" s="309">
        <v>0</v>
      </c>
      <c r="V123" s="309">
        <v>0</v>
      </c>
      <c r="W123" s="309">
        <v>0</v>
      </c>
      <c r="X123" s="309">
        <v>0</v>
      </c>
      <c r="Y123" s="309">
        <v>0</v>
      </c>
      <c r="Z123" s="309">
        <v>0</v>
      </c>
      <c r="AA123" s="309">
        <v>0</v>
      </c>
      <c r="AB123" s="309">
        <v>0</v>
      </c>
      <c r="AC123" s="309">
        <v>0</v>
      </c>
      <c r="AD123" s="309">
        <v>0</v>
      </c>
      <c r="AE123" s="309">
        <v>0</v>
      </c>
      <c r="AF123" s="309">
        <v>0</v>
      </c>
      <c r="AG123" s="309">
        <v>0</v>
      </c>
      <c r="AH123" s="309">
        <v>0</v>
      </c>
      <c r="AI123" s="309">
        <v>0</v>
      </c>
      <c r="AJ123" s="309">
        <v>0</v>
      </c>
      <c r="AK123" s="309">
        <v>0</v>
      </c>
      <c r="AL123" s="309">
        <v>0</v>
      </c>
      <c r="AM123" s="309">
        <v>0</v>
      </c>
      <c r="AN123" s="309">
        <v>0</v>
      </c>
      <c r="AO123" s="309">
        <v>0</v>
      </c>
      <c r="AP123" s="309"/>
      <c r="AQ123" s="309"/>
      <c r="AR123" s="309"/>
      <c r="AS123" s="309"/>
      <c r="AT123" s="309"/>
      <c r="AU123" s="309"/>
      <c r="AV123" s="309"/>
      <c r="AW123" s="309"/>
      <c r="AX123" s="309"/>
      <c r="AY123" s="309"/>
      <c r="AZ123" s="309"/>
      <c r="BA123" s="309"/>
      <c r="BB123" s="309"/>
      <c r="BC123" s="309"/>
      <c r="BD123" s="309"/>
      <c r="BE123" s="309"/>
      <c r="BF123" s="309"/>
      <c r="BG123" s="309"/>
      <c r="BH123" s="309"/>
      <c r="BI123" s="309"/>
      <c r="BJ123" s="309"/>
      <c r="BK123" s="309"/>
    </row>
    <row r="124" spans="1:63" s="80" customFormat="1" ht="12.75">
      <c r="A124" s="167"/>
      <c r="B124" s="210" t="str">
        <f>Servicio_internaColumna_título_amortizaciones</f>
        <v>Amortizaciones</v>
      </c>
      <c r="C124" s="254">
        <v>0</v>
      </c>
      <c r="D124" s="255">
        <v>0</v>
      </c>
      <c r="E124" s="255">
        <v>0</v>
      </c>
      <c r="F124" s="255">
        <v>7310204.8797368705</v>
      </c>
      <c r="G124" s="255">
        <v>9273334.478149727</v>
      </c>
      <c r="H124" s="255">
        <v>8709772.9348439444</v>
      </c>
      <c r="I124" s="255">
        <v>9156084.7582701575</v>
      </c>
      <c r="J124" s="255">
        <v>6687617.5129706394</v>
      </c>
      <c r="K124" s="255">
        <v>3007297.9308509603</v>
      </c>
      <c r="L124" s="255">
        <v>3460249.9979945561</v>
      </c>
      <c r="M124" s="255">
        <v>5090590.0674000001</v>
      </c>
      <c r="N124" s="255">
        <v>8166931.1871999996</v>
      </c>
      <c r="O124" s="255">
        <v>2620775.900938957</v>
      </c>
      <c r="P124" s="255">
        <v>242817.70000100005</v>
      </c>
      <c r="Q124" s="255">
        <v>1167220.17</v>
      </c>
      <c r="R124" s="255">
        <v>0</v>
      </c>
      <c r="S124" s="255">
        <v>0</v>
      </c>
      <c r="T124" s="255">
        <v>0</v>
      </c>
      <c r="U124" s="255">
        <v>0</v>
      </c>
      <c r="V124" s="255">
        <v>0</v>
      </c>
      <c r="W124" s="255">
        <v>0</v>
      </c>
      <c r="X124" s="255">
        <v>0</v>
      </c>
      <c r="Y124" s="255">
        <v>0</v>
      </c>
      <c r="Z124" s="255">
        <v>0</v>
      </c>
      <c r="AA124" s="255">
        <v>0</v>
      </c>
      <c r="AB124" s="255">
        <v>0</v>
      </c>
      <c r="AC124" s="255">
        <v>0</v>
      </c>
      <c r="AD124" s="255">
        <v>0</v>
      </c>
      <c r="AE124" s="255">
        <v>0</v>
      </c>
      <c r="AF124" s="255">
        <v>0</v>
      </c>
      <c r="AG124" s="255">
        <v>0</v>
      </c>
      <c r="AH124" s="255">
        <v>0</v>
      </c>
      <c r="AI124" s="255">
        <v>0</v>
      </c>
      <c r="AJ124" s="255">
        <v>0</v>
      </c>
      <c r="AK124" s="255">
        <v>0</v>
      </c>
      <c r="AL124" s="255">
        <v>0</v>
      </c>
      <c r="AM124" s="255">
        <v>0</v>
      </c>
      <c r="AN124" s="255">
        <v>0</v>
      </c>
      <c r="AO124" s="255">
        <v>0</v>
      </c>
      <c r="AP124" s="255"/>
      <c r="AQ124" s="255"/>
      <c r="AR124" s="255"/>
      <c r="AS124" s="255"/>
      <c r="AT124" s="255"/>
      <c r="AU124" s="255"/>
      <c r="AV124" s="255"/>
      <c r="AW124" s="255"/>
      <c r="AX124" s="255"/>
      <c r="AY124" s="255"/>
      <c r="AZ124" s="255"/>
      <c r="BA124" s="255"/>
      <c r="BB124" s="255"/>
      <c r="BC124" s="255"/>
      <c r="BD124" s="255"/>
      <c r="BE124" s="255"/>
      <c r="BF124" s="255"/>
      <c r="BG124" s="255"/>
      <c r="BH124" s="255"/>
      <c r="BI124" s="255"/>
      <c r="BJ124" s="255"/>
      <c r="BK124" s="255"/>
    </row>
    <row r="125" spans="1:63" s="133" customFormat="1" ht="12.75">
      <c r="A125" s="168">
        <v>38107</v>
      </c>
      <c r="B125" s="213" t="str">
        <f>Servicio_internaColumna_título_intereses</f>
        <v>Intereses</v>
      </c>
      <c r="C125" s="256">
        <v>0</v>
      </c>
      <c r="D125" s="257">
        <v>0</v>
      </c>
      <c r="E125" s="257">
        <v>0</v>
      </c>
      <c r="F125" s="257">
        <v>6273009.8990848884</v>
      </c>
      <c r="G125" s="257">
        <v>5792096.3848982267</v>
      </c>
      <c r="H125" s="257">
        <v>4757212.8020388093</v>
      </c>
      <c r="I125" s="257">
        <v>3729603.3725221176</v>
      </c>
      <c r="J125" s="257">
        <v>2979111.5568474066</v>
      </c>
      <c r="K125" s="257">
        <v>2240342.0739047546</v>
      </c>
      <c r="L125" s="257">
        <v>1930587.002467785</v>
      </c>
      <c r="M125" s="257">
        <v>1750906.3724161377</v>
      </c>
      <c r="N125" s="257">
        <v>1283002.7610300789</v>
      </c>
      <c r="O125" s="257">
        <v>357440.43762915162</v>
      </c>
      <c r="P125" s="257">
        <v>113906.44995477705</v>
      </c>
      <c r="Q125" s="257">
        <v>117242.41409436963</v>
      </c>
      <c r="R125" s="257">
        <v>0</v>
      </c>
      <c r="S125" s="257">
        <v>0</v>
      </c>
      <c r="T125" s="257">
        <v>0</v>
      </c>
      <c r="U125" s="258">
        <v>0</v>
      </c>
      <c r="V125" s="258">
        <v>0</v>
      </c>
      <c r="W125" s="258">
        <v>0</v>
      </c>
      <c r="X125" s="258">
        <v>0</v>
      </c>
      <c r="Y125" s="258">
        <v>0</v>
      </c>
      <c r="Z125" s="258">
        <v>0</v>
      </c>
      <c r="AA125" s="258">
        <v>0</v>
      </c>
      <c r="AB125" s="258">
        <v>0</v>
      </c>
      <c r="AC125" s="258">
        <v>0</v>
      </c>
      <c r="AD125" s="259">
        <v>0</v>
      </c>
      <c r="AE125" s="259">
        <v>0</v>
      </c>
      <c r="AF125" s="259">
        <v>0</v>
      </c>
      <c r="AG125" s="259">
        <v>0</v>
      </c>
      <c r="AH125" s="259">
        <v>0</v>
      </c>
      <c r="AI125" s="259">
        <v>0</v>
      </c>
      <c r="AJ125" s="259">
        <v>0</v>
      </c>
      <c r="AK125" s="259">
        <v>0</v>
      </c>
      <c r="AL125" s="259">
        <v>0</v>
      </c>
      <c r="AM125" s="259">
        <v>0</v>
      </c>
      <c r="AN125" s="259">
        <v>0</v>
      </c>
      <c r="AO125" s="259">
        <v>0</v>
      </c>
      <c r="AP125" s="259"/>
      <c r="AQ125" s="259"/>
      <c r="AR125" s="259"/>
      <c r="AS125" s="259"/>
      <c r="AT125" s="259"/>
      <c r="AU125" s="259"/>
      <c r="AV125" s="259"/>
      <c r="AW125" s="259"/>
      <c r="AX125" s="259"/>
      <c r="AY125" s="259"/>
      <c r="AZ125" s="259"/>
      <c r="BA125" s="259"/>
      <c r="BB125" s="259"/>
      <c r="BC125" s="259"/>
      <c r="BD125" s="259"/>
      <c r="BE125" s="259"/>
      <c r="BF125" s="259"/>
      <c r="BG125" s="259"/>
      <c r="BH125" s="259"/>
      <c r="BI125" s="259"/>
      <c r="BJ125" s="259"/>
      <c r="BK125" s="259"/>
    </row>
    <row r="126" spans="1:63" s="133" customFormat="1" ht="12.75">
      <c r="A126" s="169"/>
      <c r="B126" s="307" t="str">
        <f>Servicio_internaColumna_título_total</f>
        <v>Total</v>
      </c>
      <c r="C126" s="308">
        <v>0</v>
      </c>
      <c r="D126" s="309">
        <v>0</v>
      </c>
      <c r="E126" s="309">
        <v>0</v>
      </c>
      <c r="F126" s="309">
        <v>13583214.778821759</v>
      </c>
      <c r="G126" s="309">
        <v>15065430.863047954</v>
      </c>
      <c r="H126" s="309">
        <v>13466985.736882754</v>
      </c>
      <c r="I126" s="309">
        <v>12885688.130792275</v>
      </c>
      <c r="J126" s="309">
        <v>9666729.0698180459</v>
      </c>
      <c r="K126" s="309">
        <v>5247640.0047557149</v>
      </c>
      <c r="L126" s="309">
        <v>5390837.0004623411</v>
      </c>
      <c r="M126" s="309">
        <v>6841496.4398161378</v>
      </c>
      <c r="N126" s="309">
        <v>9449933.9482300784</v>
      </c>
      <c r="O126" s="309">
        <v>2978216.3385681086</v>
      </c>
      <c r="P126" s="309">
        <v>356724.1499557771</v>
      </c>
      <c r="Q126" s="309">
        <v>1284462.5840943696</v>
      </c>
      <c r="R126" s="309">
        <v>0</v>
      </c>
      <c r="S126" s="309">
        <v>0</v>
      </c>
      <c r="T126" s="309">
        <v>0</v>
      </c>
      <c r="U126" s="309">
        <v>0</v>
      </c>
      <c r="V126" s="309">
        <v>0</v>
      </c>
      <c r="W126" s="309">
        <v>0</v>
      </c>
      <c r="X126" s="309">
        <v>0</v>
      </c>
      <c r="Y126" s="309">
        <v>0</v>
      </c>
      <c r="Z126" s="309">
        <v>0</v>
      </c>
      <c r="AA126" s="309">
        <v>0</v>
      </c>
      <c r="AB126" s="309">
        <v>0</v>
      </c>
      <c r="AC126" s="309">
        <v>0</v>
      </c>
      <c r="AD126" s="309">
        <v>0</v>
      </c>
      <c r="AE126" s="309">
        <v>0</v>
      </c>
      <c r="AF126" s="309">
        <v>0</v>
      </c>
      <c r="AG126" s="309">
        <v>0</v>
      </c>
      <c r="AH126" s="309">
        <v>0</v>
      </c>
      <c r="AI126" s="309">
        <v>0</v>
      </c>
      <c r="AJ126" s="309">
        <v>0</v>
      </c>
      <c r="AK126" s="309">
        <v>0</v>
      </c>
      <c r="AL126" s="309">
        <v>0</v>
      </c>
      <c r="AM126" s="309">
        <v>0</v>
      </c>
      <c r="AN126" s="309">
        <v>0</v>
      </c>
      <c r="AO126" s="309">
        <v>0</v>
      </c>
      <c r="AP126" s="309"/>
      <c r="AQ126" s="309"/>
      <c r="AR126" s="309"/>
      <c r="AS126" s="309"/>
      <c r="AT126" s="309"/>
      <c r="AU126" s="309"/>
      <c r="AV126" s="309"/>
      <c r="AW126" s="309"/>
      <c r="AX126" s="309"/>
      <c r="AY126" s="309"/>
      <c r="AZ126" s="309"/>
      <c r="BA126" s="309"/>
      <c r="BB126" s="309"/>
      <c r="BC126" s="309"/>
      <c r="BD126" s="309"/>
      <c r="BE126" s="309"/>
      <c r="BF126" s="309"/>
      <c r="BG126" s="309"/>
      <c r="BH126" s="309"/>
      <c r="BI126" s="309"/>
      <c r="BJ126" s="309"/>
      <c r="BK126" s="309"/>
    </row>
    <row r="127" spans="1:63" s="80" customFormat="1" ht="12.75">
      <c r="A127" s="167"/>
      <c r="B127" s="210" t="str">
        <f>Servicio_internaColumna_título_amortizaciones</f>
        <v>Amortizaciones</v>
      </c>
      <c r="C127" s="254">
        <v>0</v>
      </c>
      <c r="D127" s="255">
        <v>0</v>
      </c>
      <c r="E127" s="255">
        <v>0</v>
      </c>
      <c r="F127" s="255">
        <v>4875659.3740557842</v>
      </c>
      <c r="G127" s="255">
        <v>9810951.7203658838</v>
      </c>
      <c r="H127" s="255">
        <v>8742411.2105986904</v>
      </c>
      <c r="I127" s="255">
        <v>9374350.3020462934</v>
      </c>
      <c r="J127" s="255">
        <v>6809591.8955544634</v>
      </c>
      <c r="K127" s="255">
        <v>3017339.2644088045</v>
      </c>
      <c r="L127" s="255">
        <v>3609440.4806655739</v>
      </c>
      <c r="M127" s="255">
        <v>5103418.2882000003</v>
      </c>
      <c r="N127" s="255">
        <v>8284709.1695999997</v>
      </c>
      <c r="O127" s="255">
        <v>2624258.3340654373</v>
      </c>
      <c r="P127" s="255">
        <v>243271.2</v>
      </c>
      <c r="Q127" s="255">
        <v>1175707.45</v>
      </c>
      <c r="R127" s="255">
        <v>0</v>
      </c>
      <c r="S127" s="255">
        <v>0</v>
      </c>
      <c r="T127" s="255">
        <v>0</v>
      </c>
      <c r="U127" s="255">
        <v>0</v>
      </c>
      <c r="V127" s="255">
        <v>0</v>
      </c>
      <c r="W127" s="255">
        <v>0</v>
      </c>
      <c r="X127" s="255">
        <v>0</v>
      </c>
      <c r="Y127" s="255">
        <v>0</v>
      </c>
      <c r="Z127" s="255">
        <v>0</v>
      </c>
      <c r="AA127" s="255">
        <v>0</v>
      </c>
      <c r="AB127" s="255">
        <v>0</v>
      </c>
      <c r="AC127" s="255">
        <v>0</v>
      </c>
      <c r="AD127" s="255">
        <v>0</v>
      </c>
      <c r="AE127" s="255">
        <v>0</v>
      </c>
      <c r="AF127" s="255">
        <v>0</v>
      </c>
      <c r="AG127" s="255">
        <v>0</v>
      </c>
      <c r="AH127" s="255">
        <v>0</v>
      </c>
      <c r="AI127" s="255">
        <v>0</v>
      </c>
      <c r="AJ127" s="255">
        <v>0</v>
      </c>
      <c r="AK127" s="255">
        <v>0</v>
      </c>
      <c r="AL127" s="255">
        <v>0</v>
      </c>
      <c r="AM127" s="255">
        <v>0</v>
      </c>
      <c r="AN127" s="255">
        <v>0</v>
      </c>
      <c r="AO127" s="255">
        <v>0</v>
      </c>
      <c r="AP127" s="255"/>
      <c r="AQ127" s="255"/>
      <c r="AR127" s="255"/>
      <c r="AS127" s="255"/>
      <c r="AT127" s="255"/>
      <c r="AU127" s="255"/>
      <c r="AV127" s="255"/>
      <c r="AW127" s="255"/>
      <c r="AX127" s="255"/>
      <c r="AY127" s="255"/>
      <c r="AZ127" s="255"/>
      <c r="BA127" s="255"/>
      <c r="BB127" s="255"/>
      <c r="BC127" s="255"/>
      <c r="BD127" s="255"/>
      <c r="BE127" s="255"/>
      <c r="BF127" s="255"/>
      <c r="BG127" s="255"/>
      <c r="BH127" s="255"/>
      <c r="BI127" s="255"/>
      <c r="BJ127" s="255"/>
      <c r="BK127" s="255"/>
    </row>
    <row r="128" spans="1:63" s="133" customFormat="1" ht="12.75">
      <c r="A128" s="168">
        <v>38138</v>
      </c>
      <c r="B128" s="213" t="str">
        <f>Servicio_internaColumna_título_intereses</f>
        <v>Intereses</v>
      </c>
      <c r="C128" s="256">
        <v>0</v>
      </c>
      <c r="D128" s="257">
        <v>0</v>
      </c>
      <c r="E128" s="257">
        <v>0</v>
      </c>
      <c r="F128" s="257">
        <v>6169420.660307087</v>
      </c>
      <c r="G128" s="257">
        <v>5907991.2121481318</v>
      </c>
      <c r="H128" s="257">
        <v>4821358.1139202509</v>
      </c>
      <c r="I128" s="257">
        <v>3790036.4841931071</v>
      </c>
      <c r="J128" s="257">
        <v>3027215.8832301693</v>
      </c>
      <c r="K128" s="257">
        <v>2276518.6360417455</v>
      </c>
      <c r="L128" s="257">
        <v>1963338.190667212</v>
      </c>
      <c r="M128" s="257">
        <v>1766516.6675468795</v>
      </c>
      <c r="N128" s="257">
        <v>1298091.0271145953</v>
      </c>
      <c r="O128" s="257">
        <v>357998.83739733975</v>
      </c>
      <c r="P128" s="257">
        <v>114480.20978167938</v>
      </c>
      <c r="Q128" s="257">
        <v>117785.21362430346</v>
      </c>
      <c r="R128" s="257">
        <v>0</v>
      </c>
      <c r="S128" s="257">
        <v>0</v>
      </c>
      <c r="T128" s="257">
        <v>0</v>
      </c>
      <c r="U128" s="258">
        <v>0</v>
      </c>
      <c r="V128" s="258">
        <v>0</v>
      </c>
      <c r="W128" s="258">
        <v>0</v>
      </c>
      <c r="X128" s="258">
        <v>0</v>
      </c>
      <c r="Y128" s="258">
        <v>0</v>
      </c>
      <c r="Z128" s="258">
        <v>0</v>
      </c>
      <c r="AA128" s="258">
        <v>0</v>
      </c>
      <c r="AB128" s="258">
        <v>0</v>
      </c>
      <c r="AC128" s="258">
        <v>0</v>
      </c>
      <c r="AD128" s="259">
        <v>0</v>
      </c>
      <c r="AE128" s="259">
        <v>0</v>
      </c>
      <c r="AF128" s="259">
        <v>0</v>
      </c>
      <c r="AG128" s="259">
        <v>0</v>
      </c>
      <c r="AH128" s="259">
        <v>0</v>
      </c>
      <c r="AI128" s="259">
        <v>0</v>
      </c>
      <c r="AJ128" s="259">
        <v>0</v>
      </c>
      <c r="AK128" s="259">
        <v>0</v>
      </c>
      <c r="AL128" s="259">
        <v>0</v>
      </c>
      <c r="AM128" s="259">
        <v>0</v>
      </c>
      <c r="AN128" s="259">
        <v>0</v>
      </c>
      <c r="AO128" s="259">
        <v>0</v>
      </c>
      <c r="AP128" s="259"/>
      <c r="AQ128" s="259"/>
      <c r="AR128" s="259"/>
      <c r="AS128" s="259"/>
      <c r="AT128" s="259"/>
      <c r="AU128" s="259"/>
      <c r="AV128" s="259"/>
      <c r="AW128" s="259"/>
      <c r="AX128" s="259"/>
      <c r="AY128" s="259"/>
      <c r="AZ128" s="259"/>
      <c r="BA128" s="259"/>
      <c r="BB128" s="259"/>
      <c r="BC128" s="259"/>
      <c r="BD128" s="259"/>
      <c r="BE128" s="259"/>
      <c r="BF128" s="259"/>
      <c r="BG128" s="259"/>
      <c r="BH128" s="259"/>
      <c r="BI128" s="259"/>
      <c r="BJ128" s="259"/>
      <c r="BK128" s="259"/>
    </row>
    <row r="129" spans="1:63" s="133" customFormat="1" ht="12.75">
      <c r="A129" s="169"/>
      <c r="B129" s="307" t="str">
        <f>Servicio_internaColumna_título_total</f>
        <v>Total</v>
      </c>
      <c r="C129" s="308">
        <v>0</v>
      </c>
      <c r="D129" s="309">
        <v>0</v>
      </c>
      <c r="E129" s="309">
        <v>0</v>
      </c>
      <c r="F129" s="309">
        <v>11045080.034362871</v>
      </c>
      <c r="G129" s="309">
        <v>15718942.932514016</v>
      </c>
      <c r="H129" s="309">
        <v>13563769.324518941</v>
      </c>
      <c r="I129" s="309">
        <v>13164386.786239401</v>
      </c>
      <c r="J129" s="309">
        <v>9836807.7787846327</v>
      </c>
      <c r="K129" s="309">
        <v>5293857.90045055</v>
      </c>
      <c r="L129" s="309">
        <v>5572778.6713327859</v>
      </c>
      <c r="M129" s="309">
        <v>6869934.9557468798</v>
      </c>
      <c r="N129" s="309">
        <v>9582800.196714595</v>
      </c>
      <c r="O129" s="309">
        <v>2982257.1714627771</v>
      </c>
      <c r="P129" s="309">
        <v>357751.40978167939</v>
      </c>
      <c r="Q129" s="309">
        <v>1293492.6636243034</v>
      </c>
      <c r="R129" s="309">
        <v>0</v>
      </c>
      <c r="S129" s="309">
        <v>0</v>
      </c>
      <c r="T129" s="309">
        <v>0</v>
      </c>
      <c r="U129" s="309">
        <v>0</v>
      </c>
      <c r="V129" s="309">
        <v>0</v>
      </c>
      <c r="W129" s="309">
        <v>0</v>
      </c>
      <c r="X129" s="309">
        <v>0</v>
      </c>
      <c r="Y129" s="309">
        <v>0</v>
      </c>
      <c r="Z129" s="309">
        <v>0</v>
      </c>
      <c r="AA129" s="309">
        <v>0</v>
      </c>
      <c r="AB129" s="309">
        <v>0</v>
      </c>
      <c r="AC129" s="309">
        <v>0</v>
      </c>
      <c r="AD129" s="309">
        <v>0</v>
      </c>
      <c r="AE129" s="309">
        <v>0</v>
      </c>
      <c r="AF129" s="309">
        <v>0</v>
      </c>
      <c r="AG129" s="309">
        <v>0</v>
      </c>
      <c r="AH129" s="309">
        <v>0</v>
      </c>
      <c r="AI129" s="309">
        <v>0</v>
      </c>
      <c r="AJ129" s="309">
        <v>0</v>
      </c>
      <c r="AK129" s="309">
        <v>0</v>
      </c>
      <c r="AL129" s="309">
        <v>0</v>
      </c>
      <c r="AM129" s="309">
        <v>0</v>
      </c>
      <c r="AN129" s="309">
        <v>0</v>
      </c>
      <c r="AO129" s="309">
        <v>0</v>
      </c>
      <c r="AP129" s="309"/>
      <c r="AQ129" s="309"/>
      <c r="AR129" s="309"/>
      <c r="AS129" s="309"/>
      <c r="AT129" s="309"/>
      <c r="AU129" s="309"/>
      <c r="AV129" s="309"/>
      <c r="AW129" s="309"/>
      <c r="AX129" s="309"/>
      <c r="AY129" s="309"/>
      <c r="AZ129" s="309"/>
      <c r="BA129" s="309"/>
      <c r="BB129" s="309"/>
      <c r="BC129" s="309"/>
      <c r="BD129" s="309"/>
      <c r="BE129" s="309"/>
      <c r="BF129" s="309"/>
      <c r="BG129" s="309"/>
      <c r="BH129" s="309"/>
      <c r="BI129" s="309"/>
      <c r="BJ129" s="309"/>
      <c r="BK129" s="309"/>
    </row>
    <row r="130" spans="1:63" s="80" customFormat="1" ht="12.75">
      <c r="A130" s="167"/>
      <c r="B130" s="210" t="str">
        <f>Servicio_internaColumna_título_amortizaciones</f>
        <v>Amortizaciones</v>
      </c>
      <c r="C130" s="254">
        <v>0</v>
      </c>
      <c r="D130" s="255">
        <v>0</v>
      </c>
      <c r="E130" s="255">
        <v>0</v>
      </c>
      <c r="F130" s="255">
        <v>2169078.4149961914</v>
      </c>
      <c r="G130" s="255">
        <v>10820532.762184924</v>
      </c>
      <c r="H130" s="255">
        <v>8743146.7337562852</v>
      </c>
      <c r="I130" s="255">
        <v>9738373.8178380299</v>
      </c>
      <c r="J130" s="255">
        <v>7037805.7027870724</v>
      </c>
      <c r="K130" s="255">
        <v>3009229.3227693029</v>
      </c>
      <c r="L130" s="255">
        <v>3839312.1350289518</v>
      </c>
      <c r="M130" s="255">
        <v>5110683.7422368014</v>
      </c>
      <c r="N130" s="255">
        <v>8432438.399854729</v>
      </c>
      <c r="O130" s="255">
        <v>2626248.5358608966</v>
      </c>
      <c r="P130" s="255">
        <v>243271.2</v>
      </c>
      <c r="Q130" s="255">
        <v>1180557.92</v>
      </c>
      <c r="R130" s="255">
        <v>0</v>
      </c>
      <c r="S130" s="255">
        <v>0</v>
      </c>
      <c r="T130" s="255">
        <v>0</v>
      </c>
      <c r="U130" s="255">
        <v>0</v>
      </c>
      <c r="V130" s="255">
        <v>0</v>
      </c>
      <c r="W130" s="255">
        <v>0</v>
      </c>
      <c r="X130" s="255">
        <v>0</v>
      </c>
      <c r="Y130" s="255">
        <v>0</v>
      </c>
      <c r="Z130" s="255">
        <v>0</v>
      </c>
      <c r="AA130" s="255">
        <v>0</v>
      </c>
      <c r="AB130" s="255">
        <v>0</v>
      </c>
      <c r="AC130" s="255">
        <v>0</v>
      </c>
      <c r="AD130" s="255">
        <v>0</v>
      </c>
      <c r="AE130" s="255">
        <v>0</v>
      </c>
      <c r="AF130" s="255">
        <v>0</v>
      </c>
      <c r="AG130" s="255">
        <v>0</v>
      </c>
      <c r="AH130" s="255">
        <v>0</v>
      </c>
      <c r="AI130" s="255">
        <v>0</v>
      </c>
      <c r="AJ130" s="255">
        <v>0</v>
      </c>
      <c r="AK130" s="255">
        <v>0</v>
      </c>
      <c r="AL130" s="255">
        <v>0</v>
      </c>
      <c r="AM130" s="255">
        <v>0</v>
      </c>
      <c r="AN130" s="255">
        <v>0</v>
      </c>
      <c r="AO130" s="255">
        <v>0</v>
      </c>
      <c r="AP130" s="255"/>
      <c r="AQ130" s="255"/>
      <c r="AR130" s="255"/>
      <c r="AS130" s="255"/>
      <c r="AT130" s="255"/>
      <c r="AU130" s="255"/>
      <c r="AV130" s="255"/>
      <c r="AW130" s="255"/>
      <c r="AX130" s="255"/>
      <c r="AY130" s="255"/>
      <c r="AZ130" s="255"/>
      <c r="BA130" s="255"/>
      <c r="BB130" s="255"/>
      <c r="BC130" s="255"/>
      <c r="BD130" s="255"/>
      <c r="BE130" s="255"/>
      <c r="BF130" s="255"/>
      <c r="BG130" s="255"/>
      <c r="BH130" s="255"/>
      <c r="BI130" s="255"/>
      <c r="BJ130" s="255"/>
      <c r="BK130" s="255"/>
    </row>
    <row r="131" spans="1:63" s="133" customFormat="1" ht="12.75">
      <c r="A131" s="168">
        <v>38168</v>
      </c>
      <c r="B131" s="213" t="str">
        <f>Servicio_internaColumna_título_intereses</f>
        <v>Intereses</v>
      </c>
      <c r="C131" s="256">
        <v>0</v>
      </c>
      <c r="D131" s="257">
        <v>0</v>
      </c>
      <c r="E131" s="257">
        <v>0</v>
      </c>
      <c r="F131" s="257">
        <v>6037228.6970924791</v>
      </c>
      <c r="G131" s="257">
        <v>6100541.6718806345</v>
      </c>
      <c r="H131" s="257">
        <v>4909910.6570189819</v>
      </c>
      <c r="I131" s="257">
        <v>3878121.1844214443</v>
      </c>
      <c r="J131" s="257">
        <v>3113427.0062949723</v>
      </c>
      <c r="K131" s="257">
        <v>2324623.0666563176</v>
      </c>
      <c r="L131" s="257">
        <v>2012122.0893256404</v>
      </c>
      <c r="M131" s="257">
        <v>1786016.1131321201</v>
      </c>
      <c r="N131" s="257">
        <v>1317492.8851227928</v>
      </c>
      <c r="O131" s="257">
        <v>357998.83820918435</v>
      </c>
      <c r="P131" s="257">
        <v>114480.21061787911</v>
      </c>
      <c r="Q131" s="257">
        <v>117785.21448558895</v>
      </c>
      <c r="R131" s="257">
        <v>0</v>
      </c>
      <c r="S131" s="257">
        <v>0</v>
      </c>
      <c r="T131" s="257">
        <v>0</v>
      </c>
      <c r="U131" s="258">
        <v>0</v>
      </c>
      <c r="V131" s="258">
        <v>0</v>
      </c>
      <c r="W131" s="258">
        <v>0</v>
      </c>
      <c r="X131" s="258">
        <v>0</v>
      </c>
      <c r="Y131" s="258">
        <v>0</v>
      </c>
      <c r="Z131" s="258">
        <v>0</v>
      </c>
      <c r="AA131" s="258">
        <v>0</v>
      </c>
      <c r="AB131" s="258">
        <v>0</v>
      </c>
      <c r="AC131" s="258">
        <v>0</v>
      </c>
      <c r="AD131" s="259">
        <v>0</v>
      </c>
      <c r="AE131" s="259">
        <v>0</v>
      </c>
      <c r="AF131" s="259">
        <v>0</v>
      </c>
      <c r="AG131" s="259">
        <v>0</v>
      </c>
      <c r="AH131" s="259">
        <v>0</v>
      </c>
      <c r="AI131" s="259">
        <v>0</v>
      </c>
      <c r="AJ131" s="259">
        <v>0</v>
      </c>
      <c r="AK131" s="259">
        <v>0</v>
      </c>
      <c r="AL131" s="259">
        <v>0</v>
      </c>
      <c r="AM131" s="259">
        <v>0</v>
      </c>
      <c r="AN131" s="259">
        <v>0</v>
      </c>
      <c r="AO131" s="259">
        <v>0</v>
      </c>
      <c r="AP131" s="259"/>
      <c r="AQ131" s="259"/>
      <c r="AR131" s="259"/>
      <c r="AS131" s="259"/>
      <c r="AT131" s="259"/>
      <c r="AU131" s="259"/>
      <c r="AV131" s="259"/>
      <c r="AW131" s="259"/>
      <c r="AX131" s="259"/>
      <c r="AY131" s="259"/>
      <c r="AZ131" s="259"/>
      <c r="BA131" s="259"/>
      <c r="BB131" s="259"/>
      <c r="BC131" s="259"/>
      <c r="BD131" s="259"/>
      <c r="BE131" s="259"/>
      <c r="BF131" s="259"/>
      <c r="BG131" s="259"/>
      <c r="BH131" s="259"/>
      <c r="BI131" s="259"/>
      <c r="BJ131" s="259"/>
      <c r="BK131" s="259"/>
    </row>
    <row r="132" spans="1:63" s="133" customFormat="1" ht="12.75">
      <c r="A132" s="169"/>
      <c r="B132" s="307" t="str">
        <f>Servicio_internaColumna_título_total</f>
        <v>Total</v>
      </c>
      <c r="C132" s="308">
        <v>0</v>
      </c>
      <c r="D132" s="309">
        <v>0</v>
      </c>
      <c r="E132" s="309">
        <v>0</v>
      </c>
      <c r="F132" s="309">
        <v>8206307.112088671</v>
      </c>
      <c r="G132" s="309">
        <v>16921074.434065558</v>
      </c>
      <c r="H132" s="309">
        <v>13653057.390775267</v>
      </c>
      <c r="I132" s="309">
        <v>13616495.002259474</v>
      </c>
      <c r="J132" s="309">
        <v>10151232.709082045</v>
      </c>
      <c r="K132" s="309">
        <v>5333852.3894256204</v>
      </c>
      <c r="L132" s="309">
        <v>5851434.2243545922</v>
      </c>
      <c r="M132" s="309">
        <v>6896699.8553689215</v>
      </c>
      <c r="N132" s="309">
        <v>9749931.2849775217</v>
      </c>
      <c r="O132" s="309">
        <v>2984247.3740700809</v>
      </c>
      <c r="P132" s="309">
        <v>357751.41061787913</v>
      </c>
      <c r="Q132" s="309">
        <v>1298343.1344855889</v>
      </c>
      <c r="R132" s="309">
        <v>0</v>
      </c>
      <c r="S132" s="309">
        <v>0</v>
      </c>
      <c r="T132" s="309">
        <v>0</v>
      </c>
      <c r="U132" s="309">
        <v>0</v>
      </c>
      <c r="V132" s="309">
        <v>0</v>
      </c>
      <c r="W132" s="309">
        <v>0</v>
      </c>
      <c r="X132" s="309">
        <v>0</v>
      </c>
      <c r="Y132" s="309">
        <v>0</v>
      </c>
      <c r="Z132" s="309">
        <v>0</v>
      </c>
      <c r="AA132" s="309">
        <v>0</v>
      </c>
      <c r="AB132" s="309">
        <v>0</v>
      </c>
      <c r="AC132" s="309">
        <v>0</v>
      </c>
      <c r="AD132" s="309">
        <v>0</v>
      </c>
      <c r="AE132" s="309">
        <v>0</v>
      </c>
      <c r="AF132" s="309">
        <v>0</v>
      </c>
      <c r="AG132" s="309">
        <v>0</v>
      </c>
      <c r="AH132" s="309">
        <v>0</v>
      </c>
      <c r="AI132" s="309">
        <v>0</v>
      </c>
      <c r="AJ132" s="309">
        <v>0</v>
      </c>
      <c r="AK132" s="309">
        <v>0</v>
      </c>
      <c r="AL132" s="309">
        <v>0</v>
      </c>
      <c r="AM132" s="309">
        <v>0</v>
      </c>
      <c r="AN132" s="309">
        <v>0</v>
      </c>
      <c r="AO132" s="309">
        <v>0</v>
      </c>
      <c r="AP132" s="309"/>
      <c r="AQ132" s="309"/>
      <c r="AR132" s="309"/>
      <c r="AS132" s="309"/>
      <c r="AT132" s="309"/>
      <c r="AU132" s="309"/>
      <c r="AV132" s="309"/>
      <c r="AW132" s="309"/>
      <c r="AX132" s="309"/>
      <c r="AY132" s="309"/>
      <c r="AZ132" s="309"/>
      <c r="BA132" s="309"/>
      <c r="BB132" s="309"/>
      <c r="BC132" s="309"/>
      <c r="BD132" s="309"/>
      <c r="BE132" s="309"/>
      <c r="BF132" s="309"/>
      <c r="BG132" s="309"/>
      <c r="BH132" s="309"/>
      <c r="BI132" s="309"/>
      <c r="BJ132" s="309"/>
      <c r="BK132" s="309"/>
    </row>
    <row r="133" spans="1:63" s="80" customFormat="1" ht="12.75">
      <c r="A133" s="167"/>
      <c r="B133" s="210" t="str">
        <f>Servicio_internaColumna_título_amortizaciones</f>
        <v>Amortizaciones</v>
      </c>
      <c r="C133" s="254">
        <v>0</v>
      </c>
      <c r="D133" s="255">
        <v>0</v>
      </c>
      <c r="E133" s="255">
        <v>0</v>
      </c>
      <c r="F133" s="255">
        <v>2297976.719237579</v>
      </c>
      <c r="G133" s="255">
        <v>11100369.362618722</v>
      </c>
      <c r="H133" s="255">
        <v>8735816.6988587342</v>
      </c>
      <c r="I133" s="255">
        <v>10255698.058105759</v>
      </c>
      <c r="J133" s="255">
        <v>7183401.5499972003</v>
      </c>
      <c r="K133" s="255">
        <v>2994296.9224139825</v>
      </c>
      <c r="L133" s="255">
        <v>4220939.1732275616</v>
      </c>
      <c r="M133" s="255">
        <v>5120641.0115999999</v>
      </c>
      <c r="N133" s="255">
        <v>8691099.7347999997</v>
      </c>
      <c r="O133" s="255">
        <v>2628575.0861279508</v>
      </c>
      <c r="P133" s="255">
        <v>243271.2</v>
      </c>
      <c r="Q133" s="255">
        <v>1186456.5900000001</v>
      </c>
      <c r="R133" s="255">
        <v>0</v>
      </c>
      <c r="S133" s="255">
        <v>0</v>
      </c>
      <c r="T133" s="255">
        <v>0</v>
      </c>
      <c r="U133" s="255">
        <v>0</v>
      </c>
      <c r="V133" s="255">
        <v>0</v>
      </c>
      <c r="W133" s="255">
        <v>0</v>
      </c>
      <c r="X133" s="255">
        <v>0</v>
      </c>
      <c r="Y133" s="255">
        <v>0</v>
      </c>
      <c r="Z133" s="255">
        <v>0</v>
      </c>
      <c r="AA133" s="255">
        <v>0</v>
      </c>
      <c r="AB133" s="255">
        <v>0</v>
      </c>
      <c r="AC133" s="255">
        <v>0</v>
      </c>
      <c r="AD133" s="255">
        <v>0</v>
      </c>
      <c r="AE133" s="255">
        <v>0</v>
      </c>
      <c r="AF133" s="255">
        <v>0</v>
      </c>
      <c r="AG133" s="255">
        <v>0</v>
      </c>
      <c r="AH133" s="255">
        <v>0</v>
      </c>
      <c r="AI133" s="255">
        <v>0</v>
      </c>
      <c r="AJ133" s="255">
        <v>0</v>
      </c>
      <c r="AK133" s="255">
        <v>0</v>
      </c>
      <c r="AL133" s="255">
        <v>0</v>
      </c>
      <c r="AM133" s="255">
        <v>0</v>
      </c>
      <c r="AN133" s="255">
        <v>0</v>
      </c>
      <c r="AO133" s="255">
        <v>0</v>
      </c>
      <c r="AP133" s="255"/>
      <c r="AQ133" s="255"/>
      <c r="AR133" s="255"/>
      <c r="AS133" s="255"/>
      <c r="AT133" s="255"/>
      <c r="AU133" s="255"/>
      <c r="AV133" s="255"/>
      <c r="AW133" s="255"/>
      <c r="AX133" s="255"/>
      <c r="AY133" s="255"/>
      <c r="AZ133" s="255"/>
      <c r="BA133" s="255"/>
      <c r="BB133" s="255"/>
      <c r="BC133" s="255"/>
      <c r="BD133" s="255"/>
      <c r="BE133" s="255"/>
      <c r="BF133" s="255"/>
      <c r="BG133" s="255"/>
      <c r="BH133" s="255"/>
      <c r="BI133" s="255"/>
      <c r="BJ133" s="255"/>
      <c r="BK133" s="255"/>
    </row>
    <row r="134" spans="1:63" s="133" customFormat="1" ht="12.75">
      <c r="A134" s="168">
        <v>38199</v>
      </c>
      <c r="B134" s="213" t="str">
        <f>Servicio_internaColumna_título_intereses</f>
        <v>Intereses</v>
      </c>
      <c r="C134" s="256">
        <v>0</v>
      </c>
      <c r="D134" s="257">
        <v>0</v>
      </c>
      <c r="E134" s="257">
        <v>0</v>
      </c>
      <c r="F134" s="257">
        <v>5905943.3572806483</v>
      </c>
      <c r="G134" s="257">
        <v>5818242.3239749856</v>
      </c>
      <c r="H134" s="257">
        <v>4914784.3676997013</v>
      </c>
      <c r="I134" s="257">
        <v>3358351.2483675461</v>
      </c>
      <c r="J134" s="257">
        <v>2965425.271746465</v>
      </c>
      <c r="K134" s="257">
        <v>2337177.418323121</v>
      </c>
      <c r="L134" s="257">
        <v>1632514.0700473934</v>
      </c>
      <c r="M134" s="257">
        <v>1781141.8566889213</v>
      </c>
      <c r="N134" s="257">
        <v>1061406.4351175223</v>
      </c>
      <c r="O134" s="257">
        <v>357998.83820918435</v>
      </c>
      <c r="P134" s="257">
        <v>114480.21061787888</v>
      </c>
      <c r="Q134" s="257">
        <v>111886.54448558879</v>
      </c>
      <c r="R134" s="257">
        <v>0</v>
      </c>
      <c r="S134" s="257">
        <v>0</v>
      </c>
      <c r="T134" s="257">
        <v>0</v>
      </c>
      <c r="U134" s="258">
        <v>0</v>
      </c>
      <c r="V134" s="258">
        <v>0</v>
      </c>
      <c r="W134" s="258">
        <v>0</v>
      </c>
      <c r="X134" s="258">
        <v>0</v>
      </c>
      <c r="Y134" s="258">
        <v>0</v>
      </c>
      <c r="Z134" s="258">
        <v>0</v>
      </c>
      <c r="AA134" s="258">
        <v>0</v>
      </c>
      <c r="AB134" s="258">
        <v>0</v>
      </c>
      <c r="AC134" s="258">
        <v>0</v>
      </c>
      <c r="AD134" s="259">
        <v>0</v>
      </c>
      <c r="AE134" s="259">
        <v>0</v>
      </c>
      <c r="AF134" s="259">
        <v>0</v>
      </c>
      <c r="AG134" s="259">
        <v>0</v>
      </c>
      <c r="AH134" s="259">
        <v>0</v>
      </c>
      <c r="AI134" s="259">
        <v>0</v>
      </c>
      <c r="AJ134" s="259">
        <v>0</v>
      </c>
      <c r="AK134" s="259">
        <v>0</v>
      </c>
      <c r="AL134" s="259">
        <v>0</v>
      </c>
      <c r="AM134" s="259">
        <v>0</v>
      </c>
      <c r="AN134" s="259">
        <v>0</v>
      </c>
      <c r="AO134" s="259">
        <v>0</v>
      </c>
      <c r="AP134" s="259"/>
      <c r="AQ134" s="259"/>
      <c r="AR134" s="259"/>
      <c r="AS134" s="259"/>
      <c r="AT134" s="259"/>
      <c r="AU134" s="259"/>
      <c r="AV134" s="259"/>
      <c r="AW134" s="259"/>
      <c r="AX134" s="259"/>
      <c r="AY134" s="259"/>
      <c r="AZ134" s="259"/>
      <c r="BA134" s="259"/>
      <c r="BB134" s="259"/>
      <c r="BC134" s="259"/>
      <c r="BD134" s="259"/>
      <c r="BE134" s="259"/>
      <c r="BF134" s="259"/>
      <c r="BG134" s="259"/>
      <c r="BH134" s="259"/>
      <c r="BI134" s="259"/>
      <c r="BJ134" s="259"/>
      <c r="BK134" s="259"/>
    </row>
    <row r="135" spans="1:63" s="133" customFormat="1" ht="12.75">
      <c r="A135" s="169"/>
      <c r="B135" s="307" t="str">
        <f>Servicio_internaColumna_título_total</f>
        <v>Total</v>
      </c>
      <c r="C135" s="308">
        <v>0</v>
      </c>
      <c r="D135" s="309">
        <v>0</v>
      </c>
      <c r="E135" s="309">
        <v>0</v>
      </c>
      <c r="F135" s="309">
        <v>8203920.0765182273</v>
      </c>
      <c r="G135" s="309">
        <v>16918611.686593708</v>
      </c>
      <c r="H135" s="309">
        <v>13650601.066558436</v>
      </c>
      <c r="I135" s="309">
        <v>13614049.306473305</v>
      </c>
      <c r="J135" s="309">
        <v>10148826.821743665</v>
      </c>
      <c r="K135" s="309">
        <v>5331474.3407371035</v>
      </c>
      <c r="L135" s="309">
        <v>5853453.2432749551</v>
      </c>
      <c r="M135" s="309">
        <v>6901782.8682889212</v>
      </c>
      <c r="N135" s="309">
        <v>9752506.169917522</v>
      </c>
      <c r="O135" s="309">
        <v>2986573.9243371352</v>
      </c>
      <c r="P135" s="309">
        <v>357751.41061787889</v>
      </c>
      <c r="Q135" s="309">
        <v>1298343.1344855889</v>
      </c>
      <c r="R135" s="309">
        <v>0</v>
      </c>
      <c r="S135" s="309">
        <v>0</v>
      </c>
      <c r="T135" s="309">
        <v>0</v>
      </c>
      <c r="U135" s="309">
        <v>0</v>
      </c>
      <c r="V135" s="309">
        <v>0</v>
      </c>
      <c r="W135" s="309">
        <v>0</v>
      </c>
      <c r="X135" s="309">
        <v>0</v>
      </c>
      <c r="Y135" s="309">
        <v>0</v>
      </c>
      <c r="Z135" s="309">
        <v>0</v>
      </c>
      <c r="AA135" s="309">
        <v>0</v>
      </c>
      <c r="AB135" s="309">
        <v>0</v>
      </c>
      <c r="AC135" s="309">
        <v>0</v>
      </c>
      <c r="AD135" s="309">
        <v>0</v>
      </c>
      <c r="AE135" s="309">
        <v>0</v>
      </c>
      <c r="AF135" s="309">
        <v>0</v>
      </c>
      <c r="AG135" s="309">
        <v>0</v>
      </c>
      <c r="AH135" s="309">
        <v>0</v>
      </c>
      <c r="AI135" s="309">
        <v>0</v>
      </c>
      <c r="AJ135" s="309">
        <v>0</v>
      </c>
      <c r="AK135" s="309">
        <v>0</v>
      </c>
      <c r="AL135" s="309">
        <v>0</v>
      </c>
      <c r="AM135" s="309">
        <v>0</v>
      </c>
      <c r="AN135" s="309">
        <v>0</v>
      </c>
      <c r="AO135" s="309">
        <v>0</v>
      </c>
      <c r="AP135" s="309"/>
      <c r="AQ135" s="309"/>
      <c r="AR135" s="309"/>
      <c r="AS135" s="309"/>
      <c r="AT135" s="309"/>
      <c r="AU135" s="309"/>
      <c r="AV135" s="309"/>
      <c r="AW135" s="309"/>
      <c r="AX135" s="309"/>
      <c r="AY135" s="309"/>
      <c r="AZ135" s="309"/>
      <c r="BA135" s="309"/>
      <c r="BB135" s="309"/>
      <c r="BC135" s="309"/>
      <c r="BD135" s="309"/>
      <c r="BE135" s="309"/>
      <c r="BF135" s="309"/>
      <c r="BG135" s="309"/>
      <c r="BH135" s="309"/>
      <c r="BI135" s="309"/>
      <c r="BJ135" s="309"/>
      <c r="BK135" s="309"/>
    </row>
    <row r="136" spans="1:63" s="80" customFormat="1" ht="12.75">
      <c r="A136" s="167"/>
      <c r="B136" s="210" t="str">
        <f>Servicio_internaColumna_título_amortizaciones</f>
        <v>Amortizaciones</v>
      </c>
      <c r="C136" s="254">
        <v>0</v>
      </c>
      <c r="D136" s="255">
        <v>0</v>
      </c>
      <c r="E136" s="255">
        <v>0</v>
      </c>
      <c r="F136" s="255">
        <v>2347299.8456896301</v>
      </c>
      <c r="G136" s="255">
        <v>11295394.066896437</v>
      </c>
      <c r="H136" s="255">
        <v>8726935.7499217223</v>
      </c>
      <c r="I136" s="255">
        <v>10537161.816027213</v>
      </c>
      <c r="J136" s="255">
        <v>7231424.8220043341</v>
      </c>
      <c r="K136" s="255">
        <v>3085365.6430315087</v>
      </c>
      <c r="L136" s="255">
        <v>4420424.2252886957</v>
      </c>
      <c r="M136" s="255">
        <v>5125629.5803999994</v>
      </c>
      <c r="N136" s="255">
        <v>8845414.1112000011</v>
      </c>
      <c r="O136" s="255">
        <v>2630004.483129113</v>
      </c>
      <c r="P136" s="255">
        <v>471436.7</v>
      </c>
      <c r="Q136" s="255">
        <v>1189711.8</v>
      </c>
      <c r="R136" s="255">
        <v>0</v>
      </c>
      <c r="S136" s="255">
        <v>0</v>
      </c>
      <c r="T136" s="255">
        <v>0</v>
      </c>
      <c r="U136" s="255">
        <v>0</v>
      </c>
      <c r="V136" s="255">
        <v>0</v>
      </c>
      <c r="W136" s="255">
        <v>0</v>
      </c>
      <c r="X136" s="255">
        <v>0</v>
      </c>
      <c r="Y136" s="255">
        <v>0</v>
      </c>
      <c r="Z136" s="255">
        <v>0</v>
      </c>
      <c r="AA136" s="255">
        <v>0</v>
      </c>
      <c r="AB136" s="255">
        <v>0</v>
      </c>
      <c r="AC136" s="255">
        <v>0</v>
      </c>
      <c r="AD136" s="255">
        <v>0</v>
      </c>
      <c r="AE136" s="255">
        <v>0</v>
      </c>
      <c r="AF136" s="255">
        <v>0</v>
      </c>
      <c r="AG136" s="255">
        <v>0</v>
      </c>
      <c r="AH136" s="255">
        <v>0</v>
      </c>
      <c r="AI136" s="255">
        <v>0</v>
      </c>
      <c r="AJ136" s="255">
        <v>0</v>
      </c>
      <c r="AK136" s="255">
        <v>0</v>
      </c>
      <c r="AL136" s="255">
        <v>0</v>
      </c>
      <c r="AM136" s="255">
        <v>0</v>
      </c>
      <c r="AN136" s="255">
        <v>0</v>
      </c>
      <c r="AO136" s="255">
        <v>0</v>
      </c>
      <c r="AP136" s="255"/>
      <c r="AQ136" s="255"/>
      <c r="AR136" s="255"/>
      <c r="AS136" s="255"/>
      <c r="AT136" s="255"/>
      <c r="AU136" s="255"/>
      <c r="AV136" s="255"/>
      <c r="AW136" s="255"/>
      <c r="AX136" s="255"/>
      <c r="AY136" s="255"/>
      <c r="AZ136" s="255"/>
      <c r="BA136" s="255"/>
      <c r="BB136" s="255"/>
      <c r="BC136" s="255"/>
      <c r="BD136" s="255"/>
      <c r="BE136" s="255"/>
      <c r="BF136" s="255"/>
      <c r="BG136" s="255"/>
      <c r="BH136" s="255"/>
      <c r="BI136" s="255"/>
      <c r="BJ136" s="255"/>
      <c r="BK136" s="255"/>
    </row>
    <row r="137" spans="1:63" s="133" customFormat="1" ht="12.75">
      <c r="A137" s="168">
        <v>38230</v>
      </c>
      <c r="B137" s="213" t="str">
        <f>Servicio_internaColumna_título_intereses</f>
        <v>Intereses</v>
      </c>
      <c r="C137" s="256">
        <v>0</v>
      </c>
      <c r="D137" s="257">
        <v>0</v>
      </c>
      <c r="E137" s="257">
        <v>0</v>
      </c>
      <c r="F137" s="257">
        <v>6158646.6752801407</v>
      </c>
      <c r="G137" s="257">
        <v>6323305.1719311383</v>
      </c>
      <c r="H137" s="257">
        <v>5089916.853511611</v>
      </c>
      <c r="I137" s="257">
        <v>4060325.0760140978</v>
      </c>
      <c r="J137" s="257">
        <v>3285531.1176623059</v>
      </c>
      <c r="K137" s="257">
        <v>2467395.3611698477</v>
      </c>
      <c r="L137" s="257">
        <v>2143667.8901779288</v>
      </c>
      <c r="M137" s="257">
        <v>1843173.8884672364</v>
      </c>
      <c r="N137" s="257">
        <v>1374464.2272399217</v>
      </c>
      <c r="O137" s="257">
        <v>358032.20034796651</v>
      </c>
      <c r="P137" s="257">
        <v>114513.57274421997</v>
      </c>
      <c r="Q137" s="257">
        <v>117785.21404563612</v>
      </c>
      <c r="R137" s="257">
        <v>0</v>
      </c>
      <c r="S137" s="257">
        <v>0</v>
      </c>
      <c r="T137" s="257">
        <v>0</v>
      </c>
      <c r="U137" s="258">
        <v>0</v>
      </c>
      <c r="V137" s="258">
        <v>0</v>
      </c>
      <c r="W137" s="258">
        <v>0</v>
      </c>
      <c r="X137" s="258">
        <v>0</v>
      </c>
      <c r="Y137" s="258">
        <v>0</v>
      </c>
      <c r="Z137" s="258">
        <v>0</v>
      </c>
      <c r="AA137" s="258">
        <v>0</v>
      </c>
      <c r="AB137" s="258">
        <v>0</v>
      </c>
      <c r="AC137" s="258">
        <v>0</v>
      </c>
      <c r="AD137" s="259">
        <v>0</v>
      </c>
      <c r="AE137" s="259">
        <v>0</v>
      </c>
      <c r="AF137" s="259">
        <v>0</v>
      </c>
      <c r="AG137" s="259">
        <v>0</v>
      </c>
      <c r="AH137" s="259">
        <v>0</v>
      </c>
      <c r="AI137" s="259">
        <v>0</v>
      </c>
      <c r="AJ137" s="259">
        <v>0</v>
      </c>
      <c r="AK137" s="259">
        <v>0</v>
      </c>
      <c r="AL137" s="259">
        <v>0</v>
      </c>
      <c r="AM137" s="259">
        <v>0</v>
      </c>
      <c r="AN137" s="259">
        <v>0</v>
      </c>
      <c r="AO137" s="259">
        <v>0</v>
      </c>
      <c r="AP137" s="259"/>
      <c r="AQ137" s="259"/>
      <c r="AR137" s="259"/>
      <c r="AS137" s="259"/>
      <c r="AT137" s="259"/>
      <c r="AU137" s="259"/>
      <c r="AV137" s="259"/>
      <c r="AW137" s="259"/>
      <c r="AX137" s="259"/>
      <c r="AY137" s="259"/>
      <c r="AZ137" s="259"/>
      <c r="BA137" s="259"/>
      <c r="BB137" s="259"/>
      <c r="BC137" s="259"/>
      <c r="BD137" s="259"/>
      <c r="BE137" s="259"/>
      <c r="BF137" s="259"/>
      <c r="BG137" s="259"/>
      <c r="BH137" s="259"/>
      <c r="BI137" s="259"/>
      <c r="BJ137" s="259"/>
      <c r="BK137" s="259"/>
    </row>
    <row r="138" spans="1:63" s="133" customFormat="1" ht="12.75">
      <c r="A138" s="169"/>
      <c r="B138" s="307" t="str">
        <f>Servicio_internaColumna_título_total</f>
        <v>Total</v>
      </c>
      <c r="C138" s="308">
        <v>0</v>
      </c>
      <c r="D138" s="309">
        <v>0</v>
      </c>
      <c r="E138" s="309">
        <v>0</v>
      </c>
      <c r="F138" s="309">
        <v>8505946.5209697708</v>
      </c>
      <c r="G138" s="309">
        <v>17618699.238827575</v>
      </c>
      <c r="H138" s="309">
        <v>13816852.603433333</v>
      </c>
      <c r="I138" s="309">
        <v>14597486.892041311</v>
      </c>
      <c r="J138" s="309">
        <v>10516955.93966664</v>
      </c>
      <c r="K138" s="309">
        <v>5552761.0042013563</v>
      </c>
      <c r="L138" s="309">
        <v>6564092.1154666245</v>
      </c>
      <c r="M138" s="309">
        <v>6968803.4688672358</v>
      </c>
      <c r="N138" s="309">
        <v>10219878.338439923</v>
      </c>
      <c r="O138" s="309">
        <v>2988036.6834770795</v>
      </c>
      <c r="P138" s="309">
        <v>585950.27274421998</v>
      </c>
      <c r="Q138" s="309">
        <v>1307497.0140456362</v>
      </c>
      <c r="R138" s="309">
        <v>0</v>
      </c>
      <c r="S138" s="309">
        <v>0</v>
      </c>
      <c r="T138" s="309">
        <v>0</v>
      </c>
      <c r="U138" s="309">
        <v>0</v>
      </c>
      <c r="V138" s="309">
        <v>0</v>
      </c>
      <c r="W138" s="309">
        <v>0</v>
      </c>
      <c r="X138" s="309">
        <v>0</v>
      </c>
      <c r="Y138" s="309">
        <v>0</v>
      </c>
      <c r="Z138" s="309">
        <v>0</v>
      </c>
      <c r="AA138" s="309">
        <v>0</v>
      </c>
      <c r="AB138" s="309">
        <v>0</v>
      </c>
      <c r="AC138" s="309">
        <v>0</v>
      </c>
      <c r="AD138" s="309">
        <v>0</v>
      </c>
      <c r="AE138" s="309">
        <v>0</v>
      </c>
      <c r="AF138" s="309">
        <v>0</v>
      </c>
      <c r="AG138" s="309">
        <v>0</v>
      </c>
      <c r="AH138" s="309">
        <v>0</v>
      </c>
      <c r="AI138" s="309">
        <v>0</v>
      </c>
      <c r="AJ138" s="309">
        <v>0</v>
      </c>
      <c r="AK138" s="309">
        <v>0</v>
      </c>
      <c r="AL138" s="309">
        <v>0</v>
      </c>
      <c r="AM138" s="309">
        <v>0</v>
      </c>
      <c r="AN138" s="309">
        <v>0</v>
      </c>
      <c r="AO138" s="309">
        <v>0</v>
      </c>
      <c r="AP138" s="309"/>
      <c r="AQ138" s="309"/>
      <c r="AR138" s="309"/>
      <c r="AS138" s="309"/>
      <c r="AT138" s="309"/>
      <c r="AU138" s="309"/>
      <c r="AV138" s="309"/>
      <c r="AW138" s="309"/>
      <c r="AX138" s="309"/>
      <c r="AY138" s="309"/>
      <c r="AZ138" s="309"/>
      <c r="BA138" s="309"/>
      <c r="BB138" s="309"/>
      <c r="BC138" s="309"/>
      <c r="BD138" s="309"/>
      <c r="BE138" s="309"/>
      <c r="BF138" s="309"/>
      <c r="BG138" s="309"/>
      <c r="BH138" s="309"/>
      <c r="BI138" s="309"/>
      <c r="BJ138" s="309"/>
      <c r="BK138" s="309"/>
    </row>
    <row r="139" spans="1:63" s="80" customFormat="1" ht="12.75">
      <c r="A139" s="167"/>
      <c r="B139" s="210" t="str">
        <f>Servicio_internaColumna_título_amortizaciones</f>
        <v>Amortizaciones</v>
      </c>
      <c r="C139" s="254">
        <v>0</v>
      </c>
      <c r="D139" s="255">
        <v>0</v>
      </c>
      <c r="E139" s="255">
        <v>0</v>
      </c>
      <c r="F139" s="255">
        <v>2032429.1336987759</v>
      </c>
      <c r="G139" s="255">
        <v>10245602.137678323</v>
      </c>
      <c r="H139" s="255">
        <v>8731787.1778319702</v>
      </c>
      <c r="I139" s="255">
        <v>11638761.635193314</v>
      </c>
      <c r="J139" s="255">
        <v>7227442.7286852887</v>
      </c>
      <c r="K139" s="255">
        <v>3988327.7255114876</v>
      </c>
      <c r="L139" s="255">
        <v>4606681.1272725742</v>
      </c>
      <c r="M139" s="255">
        <v>5126362.9898510138</v>
      </c>
      <c r="N139" s="255">
        <v>9203396.2782901134</v>
      </c>
      <c r="O139" s="255">
        <v>2630006.8352163271</v>
      </c>
      <c r="P139" s="255">
        <v>476741.3</v>
      </c>
      <c r="Q139" s="255">
        <v>1189717.5324379017</v>
      </c>
      <c r="R139" s="255">
        <v>0</v>
      </c>
      <c r="S139" s="255">
        <v>0</v>
      </c>
      <c r="T139" s="255">
        <v>0</v>
      </c>
      <c r="U139" s="255">
        <v>0</v>
      </c>
      <c r="V139" s="255">
        <v>0</v>
      </c>
      <c r="W139" s="255">
        <v>0</v>
      </c>
      <c r="X139" s="255">
        <v>0</v>
      </c>
      <c r="Y139" s="255">
        <v>0</v>
      </c>
      <c r="Z139" s="255">
        <v>0</v>
      </c>
      <c r="AA139" s="255">
        <v>0</v>
      </c>
      <c r="AB139" s="255">
        <v>0</v>
      </c>
      <c r="AC139" s="255">
        <v>0</v>
      </c>
      <c r="AD139" s="255">
        <v>0</v>
      </c>
      <c r="AE139" s="255">
        <v>0</v>
      </c>
      <c r="AF139" s="255">
        <v>0</v>
      </c>
      <c r="AG139" s="255">
        <v>0</v>
      </c>
      <c r="AH139" s="255">
        <v>0</v>
      </c>
      <c r="AI139" s="255">
        <v>0</v>
      </c>
      <c r="AJ139" s="255">
        <v>0</v>
      </c>
      <c r="AK139" s="255">
        <v>0</v>
      </c>
      <c r="AL139" s="255">
        <v>0</v>
      </c>
      <c r="AM139" s="255">
        <v>0</v>
      </c>
      <c r="AN139" s="255">
        <v>0</v>
      </c>
      <c r="AO139" s="255">
        <v>0</v>
      </c>
      <c r="AP139" s="255"/>
      <c r="AQ139" s="255"/>
      <c r="AR139" s="255"/>
      <c r="AS139" s="255"/>
      <c r="AT139" s="255"/>
      <c r="AU139" s="255"/>
      <c r="AV139" s="255"/>
      <c r="AW139" s="255"/>
      <c r="AX139" s="255"/>
      <c r="AY139" s="255"/>
      <c r="AZ139" s="255"/>
      <c r="BA139" s="255"/>
      <c r="BB139" s="255"/>
      <c r="BC139" s="255"/>
      <c r="BD139" s="255"/>
      <c r="BE139" s="255"/>
      <c r="BF139" s="255"/>
      <c r="BG139" s="255"/>
      <c r="BH139" s="255"/>
      <c r="BI139" s="255"/>
      <c r="BJ139" s="255"/>
      <c r="BK139" s="255"/>
    </row>
    <row r="140" spans="1:63" s="133" customFormat="1" ht="12.75">
      <c r="A140" s="168">
        <v>38260</v>
      </c>
      <c r="B140" s="213" t="str">
        <f>Servicio_internaColumna_título_intereses</f>
        <v>Intereses</v>
      </c>
      <c r="C140" s="256">
        <v>0</v>
      </c>
      <c r="D140" s="257">
        <v>0</v>
      </c>
      <c r="E140" s="257">
        <v>0</v>
      </c>
      <c r="F140" s="257">
        <v>6171426.6176151372</v>
      </c>
      <c r="G140" s="257">
        <v>6499536.4553616922</v>
      </c>
      <c r="H140" s="257">
        <v>5399635.1474415716</v>
      </c>
      <c r="I140" s="257">
        <v>4369031.3413928542</v>
      </c>
      <c r="J140" s="257">
        <v>3478636.2920711329</v>
      </c>
      <c r="K140" s="257">
        <v>2658516.43326037</v>
      </c>
      <c r="L140" s="257">
        <v>2222127.190394449</v>
      </c>
      <c r="M140" s="257">
        <v>1897435.4027714282</v>
      </c>
      <c r="N140" s="257">
        <v>1428643.8368800487</v>
      </c>
      <c r="O140" s="257">
        <v>358579.26372103952</v>
      </c>
      <c r="P140" s="257">
        <v>115060.63611729332</v>
      </c>
      <c r="Q140" s="257">
        <v>117785.21404563612</v>
      </c>
      <c r="R140" s="257">
        <v>0</v>
      </c>
      <c r="S140" s="257">
        <v>0</v>
      </c>
      <c r="T140" s="257">
        <v>0</v>
      </c>
      <c r="U140" s="258">
        <v>0</v>
      </c>
      <c r="V140" s="258">
        <v>0</v>
      </c>
      <c r="W140" s="258">
        <v>0</v>
      </c>
      <c r="X140" s="258">
        <v>0</v>
      </c>
      <c r="Y140" s="258">
        <v>0</v>
      </c>
      <c r="Z140" s="258">
        <v>0</v>
      </c>
      <c r="AA140" s="258">
        <v>0</v>
      </c>
      <c r="AB140" s="258">
        <v>0</v>
      </c>
      <c r="AC140" s="258">
        <v>0</v>
      </c>
      <c r="AD140" s="259">
        <v>0</v>
      </c>
      <c r="AE140" s="259">
        <v>0</v>
      </c>
      <c r="AF140" s="259">
        <v>0</v>
      </c>
      <c r="AG140" s="259">
        <v>0</v>
      </c>
      <c r="AH140" s="259">
        <v>0</v>
      </c>
      <c r="AI140" s="259">
        <v>0</v>
      </c>
      <c r="AJ140" s="259">
        <v>0</v>
      </c>
      <c r="AK140" s="259">
        <v>0</v>
      </c>
      <c r="AL140" s="259">
        <v>0</v>
      </c>
      <c r="AM140" s="259">
        <v>0</v>
      </c>
      <c r="AN140" s="259">
        <v>0</v>
      </c>
      <c r="AO140" s="259">
        <v>0</v>
      </c>
      <c r="AP140" s="259"/>
      <c r="AQ140" s="259"/>
      <c r="AR140" s="259"/>
      <c r="AS140" s="259"/>
      <c r="AT140" s="259"/>
      <c r="AU140" s="259"/>
      <c r="AV140" s="259"/>
      <c r="AW140" s="259"/>
      <c r="AX140" s="259"/>
      <c r="AY140" s="259"/>
      <c r="AZ140" s="259"/>
      <c r="BA140" s="259"/>
      <c r="BB140" s="259"/>
      <c r="BC140" s="259"/>
      <c r="BD140" s="259"/>
      <c r="BE140" s="259"/>
      <c r="BF140" s="259"/>
      <c r="BG140" s="259"/>
      <c r="BH140" s="259"/>
      <c r="BI140" s="259"/>
      <c r="BJ140" s="259"/>
      <c r="BK140" s="259"/>
    </row>
    <row r="141" spans="1:63" s="133" customFormat="1" ht="12.75">
      <c r="A141" s="169"/>
      <c r="B141" s="307" t="str">
        <f>Servicio_internaColumna_título_total</f>
        <v>Total</v>
      </c>
      <c r="C141" s="308">
        <v>0</v>
      </c>
      <c r="D141" s="309">
        <v>0</v>
      </c>
      <c r="E141" s="309">
        <v>0</v>
      </c>
      <c r="F141" s="309">
        <v>8203855.7513139136</v>
      </c>
      <c r="G141" s="309">
        <v>16745138.593040016</v>
      </c>
      <c r="H141" s="309">
        <v>14131422.325273542</v>
      </c>
      <c r="I141" s="309">
        <v>16007792.976586169</v>
      </c>
      <c r="J141" s="309">
        <v>10706079.020756422</v>
      </c>
      <c r="K141" s="309">
        <v>6646844.1587718576</v>
      </c>
      <c r="L141" s="309">
        <v>6828808.3176670233</v>
      </c>
      <c r="M141" s="309">
        <v>7023798.392622442</v>
      </c>
      <c r="N141" s="309">
        <v>10632040.115170162</v>
      </c>
      <c r="O141" s="309">
        <v>2988586.0989373666</v>
      </c>
      <c r="P141" s="309">
        <v>591801.93611729331</v>
      </c>
      <c r="Q141" s="309">
        <v>1307502.7464835378</v>
      </c>
      <c r="R141" s="309">
        <v>0</v>
      </c>
      <c r="S141" s="309">
        <v>0</v>
      </c>
      <c r="T141" s="309">
        <v>0</v>
      </c>
      <c r="U141" s="309">
        <v>0</v>
      </c>
      <c r="V141" s="309">
        <v>0</v>
      </c>
      <c r="W141" s="309">
        <v>0</v>
      </c>
      <c r="X141" s="309">
        <v>0</v>
      </c>
      <c r="Y141" s="309">
        <v>0</v>
      </c>
      <c r="Z141" s="309">
        <v>0</v>
      </c>
      <c r="AA141" s="309">
        <v>0</v>
      </c>
      <c r="AB141" s="309">
        <v>0</v>
      </c>
      <c r="AC141" s="309">
        <v>0</v>
      </c>
      <c r="AD141" s="309">
        <v>0</v>
      </c>
      <c r="AE141" s="309">
        <v>0</v>
      </c>
      <c r="AF141" s="309">
        <v>0</v>
      </c>
      <c r="AG141" s="309">
        <v>0</v>
      </c>
      <c r="AH141" s="309">
        <v>0</v>
      </c>
      <c r="AI141" s="309">
        <v>0</v>
      </c>
      <c r="AJ141" s="309">
        <v>0</v>
      </c>
      <c r="AK141" s="309">
        <v>0</v>
      </c>
      <c r="AL141" s="309">
        <v>0</v>
      </c>
      <c r="AM141" s="309">
        <v>0</v>
      </c>
      <c r="AN141" s="309">
        <v>0</v>
      </c>
      <c r="AO141" s="309">
        <v>0</v>
      </c>
      <c r="AP141" s="309"/>
      <c r="AQ141" s="309"/>
      <c r="AR141" s="309"/>
      <c r="AS141" s="309"/>
      <c r="AT141" s="309"/>
      <c r="AU141" s="309"/>
      <c r="AV141" s="309"/>
      <c r="AW141" s="309"/>
      <c r="AX141" s="309"/>
      <c r="AY141" s="309"/>
      <c r="AZ141" s="309"/>
      <c r="BA141" s="309"/>
      <c r="BB141" s="309"/>
      <c r="BC141" s="309"/>
      <c r="BD141" s="309"/>
      <c r="BE141" s="309"/>
      <c r="BF141" s="309"/>
      <c r="BG141" s="309"/>
      <c r="BH141" s="309"/>
      <c r="BI141" s="309"/>
      <c r="BJ141" s="309"/>
      <c r="BK141" s="309"/>
    </row>
    <row r="142" spans="1:63" s="80" customFormat="1" ht="12.75">
      <c r="A142" s="167"/>
      <c r="B142" s="210" t="str">
        <f>Servicio_internaColumna_título_amortizaciones</f>
        <v>Amortizaciones</v>
      </c>
      <c r="C142" s="254">
        <v>0</v>
      </c>
      <c r="D142" s="255">
        <v>0</v>
      </c>
      <c r="E142" s="255">
        <v>0</v>
      </c>
      <c r="F142" s="255">
        <v>1463084.9670285755</v>
      </c>
      <c r="G142" s="255">
        <v>10697598.717669714</v>
      </c>
      <c r="H142" s="255">
        <v>8754170.8080375306</v>
      </c>
      <c r="I142" s="255">
        <v>11720408.962039389</v>
      </c>
      <c r="J142" s="255">
        <v>7276094.3910971796</v>
      </c>
      <c r="K142" s="255">
        <v>4161506.2875244608</v>
      </c>
      <c r="L142" s="255">
        <v>4694844.0104104215</v>
      </c>
      <c r="M142" s="255">
        <v>5129823.4528000001</v>
      </c>
      <c r="N142" s="255">
        <v>9258100.0984000005</v>
      </c>
      <c r="O142" s="255">
        <v>2630741.022439538</v>
      </c>
      <c r="P142" s="255">
        <v>693861.3</v>
      </c>
      <c r="Q142" s="255">
        <v>1391106.92</v>
      </c>
      <c r="R142" s="255">
        <v>0</v>
      </c>
      <c r="S142" s="255">
        <v>0</v>
      </c>
      <c r="T142" s="255">
        <v>0</v>
      </c>
      <c r="U142" s="255">
        <v>0</v>
      </c>
      <c r="V142" s="255">
        <v>0</v>
      </c>
      <c r="W142" s="255">
        <v>0</v>
      </c>
      <c r="X142" s="255">
        <v>0</v>
      </c>
      <c r="Y142" s="255">
        <v>0</v>
      </c>
      <c r="Z142" s="255">
        <v>0</v>
      </c>
      <c r="AA142" s="255">
        <v>0</v>
      </c>
      <c r="AB142" s="255">
        <v>0</v>
      </c>
      <c r="AC142" s="255">
        <v>0</v>
      </c>
      <c r="AD142" s="255">
        <v>0</v>
      </c>
      <c r="AE142" s="255">
        <v>0</v>
      </c>
      <c r="AF142" s="255">
        <v>0</v>
      </c>
      <c r="AG142" s="255">
        <v>0</v>
      </c>
      <c r="AH142" s="255">
        <v>0</v>
      </c>
      <c r="AI142" s="255">
        <v>0</v>
      </c>
      <c r="AJ142" s="255">
        <v>0</v>
      </c>
      <c r="AK142" s="255">
        <v>0</v>
      </c>
      <c r="AL142" s="255">
        <v>0</v>
      </c>
      <c r="AM142" s="255">
        <v>0</v>
      </c>
      <c r="AN142" s="255">
        <v>0</v>
      </c>
      <c r="AO142" s="255">
        <v>0</v>
      </c>
      <c r="AP142" s="255"/>
      <c r="AQ142" s="255"/>
      <c r="AR142" s="255"/>
      <c r="AS142" s="255"/>
      <c r="AT142" s="255"/>
      <c r="AU142" s="255"/>
      <c r="AV142" s="255"/>
      <c r="AW142" s="255"/>
      <c r="AX142" s="255"/>
      <c r="AY142" s="255"/>
      <c r="AZ142" s="255"/>
      <c r="BA142" s="255"/>
      <c r="BB142" s="255"/>
      <c r="BC142" s="255"/>
      <c r="BD142" s="255"/>
      <c r="BE142" s="255"/>
      <c r="BF142" s="255"/>
      <c r="BG142" s="255"/>
      <c r="BH142" s="255"/>
      <c r="BI142" s="255"/>
      <c r="BJ142" s="255"/>
      <c r="BK142" s="255"/>
    </row>
    <row r="143" spans="1:63" s="133" customFormat="1" ht="12.75">
      <c r="A143" s="168">
        <v>38291</v>
      </c>
      <c r="B143" s="213" t="str">
        <f>Servicio_internaColumna_título_intereses</f>
        <v>Intereses</v>
      </c>
      <c r="C143" s="256">
        <v>0</v>
      </c>
      <c r="D143" s="257">
        <v>0</v>
      </c>
      <c r="E143" s="257">
        <v>0</v>
      </c>
      <c r="F143" s="257">
        <v>6193793.9616828598</v>
      </c>
      <c r="G143" s="257">
        <v>6616681.58718637</v>
      </c>
      <c r="H143" s="257">
        <v>5550590.4734581858</v>
      </c>
      <c r="I143" s="257">
        <v>4485038.1080967318</v>
      </c>
      <c r="J143" s="257">
        <v>3554383.8430075785</v>
      </c>
      <c r="K143" s="257">
        <v>2730570.1894783257</v>
      </c>
      <c r="L143" s="257">
        <v>2276485.9119088557</v>
      </c>
      <c r="M143" s="257">
        <v>1948656.873830202</v>
      </c>
      <c r="N143" s="257">
        <v>1478606.4398276657</v>
      </c>
      <c r="O143" s="257">
        <v>395301.48737610457</v>
      </c>
      <c r="P143" s="257">
        <v>152416.32613936381</v>
      </c>
      <c r="Q143" s="257">
        <v>140186.69942294271</v>
      </c>
      <c r="R143" s="257">
        <v>0</v>
      </c>
      <c r="S143" s="257">
        <v>0</v>
      </c>
      <c r="T143" s="257">
        <v>0</v>
      </c>
      <c r="U143" s="258">
        <v>0</v>
      </c>
      <c r="V143" s="258">
        <v>0</v>
      </c>
      <c r="W143" s="258">
        <v>0</v>
      </c>
      <c r="X143" s="258">
        <v>0</v>
      </c>
      <c r="Y143" s="258">
        <v>0</v>
      </c>
      <c r="Z143" s="258">
        <v>0</v>
      </c>
      <c r="AA143" s="258">
        <v>0</v>
      </c>
      <c r="AB143" s="258">
        <v>0</v>
      </c>
      <c r="AC143" s="258">
        <v>0</v>
      </c>
      <c r="AD143" s="259">
        <v>0</v>
      </c>
      <c r="AE143" s="259">
        <v>0</v>
      </c>
      <c r="AF143" s="259">
        <v>0</v>
      </c>
      <c r="AG143" s="259">
        <v>0</v>
      </c>
      <c r="AH143" s="259">
        <v>0</v>
      </c>
      <c r="AI143" s="259">
        <v>0</v>
      </c>
      <c r="AJ143" s="259">
        <v>0</v>
      </c>
      <c r="AK143" s="259">
        <v>0</v>
      </c>
      <c r="AL143" s="259">
        <v>0</v>
      </c>
      <c r="AM143" s="259">
        <v>0</v>
      </c>
      <c r="AN143" s="259">
        <v>0</v>
      </c>
      <c r="AO143" s="259">
        <v>0</v>
      </c>
      <c r="AP143" s="259"/>
      <c r="AQ143" s="259"/>
      <c r="AR143" s="259"/>
      <c r="AS143" s="259"/>
      <c r="AT143" s="259"/>
      <c r="AU143" s="259"/>
      <c r="AV143" s="259"/>
      <c r="AW143" s="259"/>
      <c r="AX143" s="259"/>
      <c r="AY143" s="259"/>
      <c r="AZ143" s="259"/>
      <c r="BA143" s="259"/>
      <c r="BB143" s="259"/>
      <c r="BC143" s="259"/>
      <c r="BD143" s="259"/>
      <c r="BE143" s="259"/>
      <c r="BF143" s="259"/>
      <c r="BG143" s="259"/>
      <c r="BH143" s="259"/>
      <c r="BI143" s="259"/>
      <c r="BJ143" s="259"/>
      <c r="BK143" s="259"/>
    </row>
    <row r="144" spans="1:63" s="133" customFormat="1" ht="12.75">
      <c r="A144" s="169"/>
      <c r="B144" s="307" t="str">
        <f>Servicio_internaColumna_título_total</f>
        <v>Total</v>
      </c>
      <c r="C144" s="308">
        <v>0</v>
      </c>
      <c r="D144" s="309">
        <v>0</v>
      </c>
      <c r="E144" s="309">
        <v>0</v>
      </c>
      <c r="F144" s="309">
        <v>7656878.9287114348</v>
      </c>
      <c r="G144" s="309">
        <v>17314280.304856084</v>
      </c>
      <c r="H144" s="309">
        <v>14304761.281495716</v>
      </c>
      <c r="I144" s="309">
        <v>16205447.070136121</v>
      </c>
      <c r="J144" s="309">
        <v>10830478.234104758</v>
      </c>
      <c r="K144" s="309">
        <v>6892076.4770027865</v>
      </c>
      <c r="L144" s="309">
        <v>6971329.9223192772</v>
      </c>
      <c r="M144" s="309">
        <v>7078480.3266302021</v>
      </c>
      <c r="N144" s="309">
        <v>10736706.538227666</v>
      </c>
      <c r="O144" s="309">
        <v>3026042.5098156426</v>
      </c>
      <c r="P144" s="309">
        <v>846277.62613936386</v>
      </c>
      <c r="Q144" s="309">
        <v>1531293.6194229426</v>
      </c>
      <c r="R144" s="309">
        <v>0</v>
      </c>
      <c r="S144" s="309">
        <v>0</v>
      </c>
      <c r="T144" s="309">
        <v>0</v>
      </c>
      <c r="U144" s="309">
        <v>0</v>
      </c>
      <c r="V144" s="309">
        <v>0</v>
      </c>
      <c r="W144" s="309">
        <v>0</v>
      </c>
      <c r="X144" s="309">
        <v>0</v>
      </c>
      <c r="Y144" s="309">
        <v>0</v>
      </c>
      <c r="Z144" s="309">
        <v>0</v>
      </c>
      <c r="AA144" s="309">
        <v>0</v>
      </c>
      <c r="AB144" s="309">
        <v>0</v>
      </c>
      <c r="AC144" s="309">
        <v>0</v>
      </c>
      <c r="AD144" s="309">
        <v>0</v>
      </c>
      <c r="AE144" s="309">
        <v>0</v>
      </c>
      <c r="AF144" s="309">
        <v>0</v>
      </c>
      <c r="AG144" s="309">
        <v>0</v>
      </c>
      <c r="AH144" s="309">
        <v>0</v>
      </c>
      <c r="AI144" s="309">
        <v>0</v>
      </c>
      <c r="AJ144" s="309">
        <v>0</v>
      </c>
      <c r="AK144" s="309">
        <v>0</v>
      </c>
      <c r="AL144" s="309">
        <v>0</v>
      </c>
      <c r="AM144" s="309">
        <v>0</v>
      </c>
      <c r="AN144" s="309">
        <v>0</v>
      </c>
      <c r="AO144" s="309">
        <v>0</v>
      </c>
      <c r="AP144" s="309"/>
      <c r="AQ144" s="309"/>
      <c r="AR144" s="309"/>
      <c r="AS144" s="309"/>
      <c r="AT144" s="309"/>
      <c r="AU144" s="309"/>
      <c r="AV144" s="309"/>
      <c r="AW144" s="309"/>
      <c r="AX144" s="309"/>
      <c r="AY144" s="309"/>
      <c r="AZ144" s="309"/>
      <c r="BA144" s="309"/>
      <c r="BB144" s="309"/>
      <c r="BC144" s="309"/>
      <c r="BD144" s="309"/>
      <c r="BE144" s="309"/>
      <c r="BF144" s="309"/>
      <c r="BG144" s="309"/>
      <c r="BH144" s="309"/>
      <c r="BI144" s="309"/>
      <c r="BJ144" s="309"/>
      <c r="BK144" s="309"/>
    </row>
    <row r="145" spans="1:63" s="80" customFormat="1" ht="12.75">
      <c r="A145" s="167"/>
      <c r="B145" s="210" t="str">
        <f>Servicio_internaColumna_título_amortizaciones</f>
        <v>Amortizaciones</v>
      </c>
      <c r="C145" s="254">
        <v>0</v>
      </c>
      <c r="D145" s="255">
        <v>0</v>
      </c>
      <c r="E145" s="255">
        <v>0</v>
      </c>
      <c r="F145" s="255">
        <v>443883.43898836273</v>
      </c>
      <c r="G145" s="255">
        <v>11025605.461883292</v>
      </c>
      <c r="H145" s="255">
        <v>8739399.9650328532</v>
      </c>
      <c r="I145" s="255">
        <v>11724718.874819454</v>
      </c>
      <c r="J145" s="255">
        <v>7277872.2809301475</v>
      </c>
      <c r="K145" s="255">
        <v>4148190.5382482419</v>
      </c>
      <c r="L145" s="255">
        <v>4696940.7118049245</v>
      </c>
      <c r="M145" s="255">
        <v>5132870.4346000003</v>
      </c>
      <c r="N145" s="255">
        <v>9264278.2688000016</v>
      </c>
      <c r="O145" s="255">
        <v>2802402.0353322732</v>
      </c>
      <c r="P145" s="255">
        <v>747250.7</v>
      </c>
      <c r="Q145" s="255">
        <v>1393055.09</v>
      </c>
      <c r="R145" s="255">
        <v>0</v>
      </c>
      <c r="S145" s="255">
        <v>0</v>
      </c>
      <c r="T145" s="255">
        <v>0</v>
      </c>
      <c r="U145" s="255">
        <v>0</v>
      </c>
      <c r="V145" s="255">
        <v>0</v>
      </c>
      <c r="W145" s="255">
        <v>0</v>
      </c>
      <c r="X145" s="255">
        <v>0</v>
      </c>
      <c r="Y145" s="255">
        <v>0</v>
      </c>
      <c r="Z145" s="255">
        <v>0</v>
      </c>
      <c r="AA145" s="255">
        <v>0</v>
      </c>
      <c r="AB145" s="255">
        <v>0</v>
      </c>
      <c r="AC145" s="255">
        <v>0</v>
      </c>
      <c r="AD145" s="255">
        <v>0</v>
      </c>
      <c r="AE145" s="255">
        <v>0</v>
      </c>
      <c r="AF145" s="255">
        <v>0</v>
      </c>
      <c r="AG145" s="255">
        <v>0</v>
      </c>
      <c r="AH145" s="255">
        <v>0</v>
      </c>
      <c r="AI145" s="255">
        <v>0</v>
      </c>
      <c r="AJ145" s="255">
        <v>0</v>
      </c>
      <c r="AK145" s="255">
        <v>0</v>
      </c>
      <c r="AL145" s="255">
        <v>0</v>
      </c>
      <c r="AM145" s="255">
        <v>0</v>
      </c>
      <c r="AN145" s="255">
        <v>0</v>
      </c>
      <c r="AO145" s="255">
        <v>0</v>
      </c>
      <c r="AP145" s="255"/>
      <c r="AQ145" s="255"/>
      <c r="AR145" s="255"/>
      <c r="AS145" s="255"/>
      <c r="AT145" s="255"/>
      <c r="AU145" s="255"/>
      <c r="AV145" s="255"/>
      <c r="AW145" s="255"/>
      <c r="AX145" s="255"/>
      <c r="AY145" s="255"/>
      <c r="AZ145" s="255"/>
      <c r="BA145" s="255"/>
      <c r="BB145" s="255"/>
      <c r="BC145" s="255"/>
      <c r="BD145" s="255"/>
      <c r="BE145" s="255"/>
      <c r="BF145" s="255"/>
      <c r="BG145" s="255"/>
      <c r="BH145" s="255"/>
      <c r="BI145" s="255"/>
      <c r="BJ145" s="255"/>
      <c r="BK145" s="255"/>
    </row>
    <row r="146" spans="1:63" s="133" customFormat="1" ht="12.75">
      <c r="A146" s="168">
        <v>38321</v>
      </c>
      <c r="B146" s="213" t="str">
        <f>Servicio_internaColumna_título_intereses</f>
        <v>Intereses</v>
      </c>
      <c r="C146" s="256">
        <v>0</v>
      </c>
      <c r="D146" s="257">
        <v>0</v>
      </c>
      <c r="E146" s="257">
        <v>0</v>
      </c>
      <c r="F146" s="257">
        <v>6191848.8408645252</v>
      </c>
      <c r="G146" s="257">
        <v>6640546.1792713031</v>
      </c>
      <c r="H146" s="257">
        <v>5573748.2647764608</v>
      </c>
      <c r="I146" s="257">
        <v>4507373.1630935781</v>
      </c>
      <c r="J146" s="257">
        <v>3574788.6574441111</v>
      </c>
      <c r="K146" s="257">
        <v>2748910.5790471667</v>
      </c>
      <c r="L146" s="257">
        <v>2296122.1739221299</v>
      </c>
      <c r="M146" s="257">
        <v>1968280.3051338242</v>
      </c>
      <c r="N146" s="257">
        <v>1498154.1040974129</v>
      </c>
      <c r="O146" s="257">
        <v>414975.96329611074</v>
      </c>
      <c r="P146" s="257">
        <v>152390.09999914293</v>
      </c>
      <c r="Q146" s="257">
        <v>140159.63087863126</v>
      </c>
      <c r="R146" s="257">
        <v>0</v>
      </c>
      <c r="S146" s="257">
        <v>0</v>
      </c>
      <c r="T146" s="257">
        <v>0</v>
      </c>
      <c r="U146" s="258">
        <v>0</v>
      </c>
      <c r="V146" s="258">
        <v>0</v>
      </c>
      <c r="W146" s="258">
        <v>0</v>
      </c>
      <c r="X146" s="258">
        <v>0</v>
      </c>
      <c r="Y146" s="258">
        <v>0</v>
      </c>
      <c r="Z146" s="258">
        <v>0</v>
      </c>
      <c r="AA146" s="258">
        <v>0</v>
      </c>
      <c r="AB146" s="258">
        <v>0</v>
      </c>
      <c r="AC146" s="258">
        <v>0</v>
      </c>
      <c r="AD146" s="259">
        <v>0</v>
      </c>
      <c r="AE146" s="259">
        <v>0</v>
      </c>
      <c r="AF146" s="259">
        <v>0</v>
      </c>
      <c r="AG146" s="259">
        <v>0</v>
      </c>
      <c r="AH146" s="259">
        <v>0</v>
      </c>
      <c r="AI146" s="259">
        <v>0</v>
      </c>
      <c r="AJ146" s="259">
        <v>0</v>
      </c>
      <c r="AK146" s="259">
        <v>0</v>
      </c>
      <c r="AL146" s="259">
        <v>0</v>
      </c>
      <c r="AM146" s="259">
        <v>0</v>
      </c>
      <c r="AN146" s="259">
        <v>0</v>
      </c>
      <c r="AO146" s="259">
        <v>0</v>
      </c>
      <c r="AP146" s="259"/>
      <c r="AQ146" s="259"/>
      <c r="AR146" s="259"/>
      <c r="AS146" s="259"/>
      <c r="AT146" s="259"/>
      <c r="AU146" s="259"/>
      <c r="AV146" s="259"/>
      <c r="AW146" s="259"/>
      <c r="AX146" s="259"/>
      <c r="AY146" s="259"/>
      <c r="AZ146" s="259"/>
      <c r="BA146" s="259"/>
      <c r="BB146" s="259"/>
      <c r="BC146" s="259"/>
      <c r="BD146" s="259"/>
      <c r="BE146" s="259"/>
      <c r="BF146" s="259"/>
      <c r="BG146" s="259"/>
      <c r="BH146" s="259"/>
      <c r="BI146" s="259"/>
      <c r="BJ146" s="259"/>
      <c r="BK146" s="259"/>
    </row>
    <row r="147" spans="1:63" s="133" customFormat="1" ht="12.75">
      <c r="A147" s="169"/>
      <c r="B147" s="307" t="str">
        <f>Servicio_internaColumna_título_total</f>
        <v>Total</v>
      </c>
      <c r="C147" s="308">
        <v>0</v>
      </c>
      <c r="D147" s="309">
        <v>0</v>
      </c>
      <c r="E147" s="309">
        <v>0</v>
      </c>
      <c r="F147" s="309">
        <v>6635732.2798528876</v>
      </c>
      <c r="G147" s="309">
        <v>17666151.641154595</v>
      </c>
      <c r="H147" s="309">
        <v>14313148.229809314</v>
      </c>
      <c r="I147" s="309">
        <v>16232092.037913032</v>
      </c>
      <c r="J147" s="309">
        <v>10852660.938374259</v>
      </c>
      <c r="K147" s="309">
        <v>6897101.1172954086</v>
      </c>
      <c r="L147" s="309">
        <v>6993062.8857270544</v>
      </c>
      <c r="M147" s="309">
        <v>7101150.7397338245</v>
      </c>
      <c r="N147" s="309">
        <v>10762432.372897414</v>
      </c>
      <c r="O147" s="309">
        <v>3217377.998628384</v>
      </c>
      <c r="P147" s="309">
        <v>899640.79999914288</v>
      </c>
      <c r="Q147" s="309">
        <v>1533214.7208786313</v>
      </c>
      <c r="R147" s="309">
        <v>0</v>
      </c>
      <c r="S147" s="309">
        <v>0</v>
      </c>
      <c r="T147" s="309">
        <v>0</v>
      </c>
      <c r="U147" s="309">
        <v>0</v>
      </c>
      <c r="V147" s="309">
        <v>0</v>
      </c>
      <c r="W147" s="309">
        <v>0</v>
      </c>
      <c r="X147" s="309">
        <v>0</v>
      </c>
      <c r="Y147" s="309">
        <v>0</v>
      </c>
      <c r="Z147" s="309">
        <v>0</v>
      </c>
      <c r="AA147" s="309">
        <v>0</v>
      </c>
      <c r="AB147" s="309">
        <v>0</v>
      </c>
      <c r="AC147" s="309">
        <v>0</v>
      </c>
      <c r="AD147" s="309">
        <v>0</v>
      </c>
      <c r="AE147" s="309">
        <v>0</v>
      </c>
      <c r="AF147" s="309">
        <v>0</v>
      </c>
      <c r="AG147" s="309">
        <v>0</v>
      </c>
      <c r="AH147" s="309">
        <v>0</v>
      </c>
      <c r="AI147" s="309">
        <v>0</v>
      </c>
      <c r="AJ147" s="309">
        <v>0</v>
      </c>
      <c r="AK147" s="309">
        <v>0</v>
      </c>
      <c r="AL147" s="309">
        <v>0</v>
      </c>
      <c r="AM147" s="309">
        <v>0</v>
      </c>
      <c r="AN147" s="309">
        <v>0</v>
      </c>
      <c r="AO147" s="309">
        <v>0</v>
      </c>
      <c r="AP147" s="309"/>
      <c r="AQ147" s="309"/>
      <c r="AR147" s="309"/>
      <c r="AS147" s="309"/>
      <c r="AT147" s="309"/>
      <c r="AU147" s="309"/>
      <c r="AV147" s="309"/>
      <c r="AW147" s="309"/>
      <c r="AX147" s="309"/>
      <c r="AY147" s="309"/>
      <c r="AZ147" s="309"/>
      <c r="BA147" s="309"/>
      <c r="BB147" s="309"/>
      <c r="BC147" s="309"/>
      <c r="BD147" s="309"/>
      <c r="BE147" s="309"/>
      <c r="BF147" s="309"/>
      <c r="BG147" s="309"/>
      <c r="BH147" s="309"/>
      <c r="BI147" s="309"/>
      <c r="BJ147" s="309"/>
      <c r="BK147" s="309"/>
    </row>
    <row r="148" spans="1:63" s="80" customFormat="1" ht="12.75">
      <c r="A148" s="167"/>
      <c r="B148" s="210" t="str">
        <f>Servicio_internaColumna_título_amortizaciones</f>
        <v>Amortizaciones</v>
      </c>
      <c r="C148" s="254">
        <v>0</v>
      </c>
      <c r="D148" s="255">
        <v>0</v>
      </c>
      <c r="E148" s="255">
        <v>0</v>
      </c>
      <c r="F148" s="255">
        <v>0</v>
      </c>
      <c r="G148" s="255">
        <v>11500975.019597901</v>
      </c>
      <c r="H148" s="255">
        <v>8727085.709114071</v>
      </c>
      <c r="I148" s="255">
        <v>11963289.701907644</v>
      </c>
      <c r="J148" s="255">
        <v>7280948.1526475344</v>
      </c>
      <c r="K148" s="255">
        <v>4424460.5919600856</v>
      </c>
      <c r="L148" s="255">
        <v>5004491.7555456096</v>
      </c>
      <c r="M148" s="255">
        <v>5135556.2428000001</v>
      </c>
      <c r="N148" s="255">
        <v>9270330.9579490125</v>
      </c>
      <c r="O148" s="255">
        <v>2632202.6766367774</v>
      </c>
      <c r="P148" s="255">
        <v>1294929.1000000001</v>
      </c>
      <c r="Q148" s="255">
        <v>1394996.56</v>
      </c>
      <c r="R148" s="255">
        <v>0</v>
      </c>
      <c r="S148" s="255">
        <v>0</v>
      </c>
      <c r="T148" s="255">
        <v>0</v>
      </c>
      <c r="U148" s="255">
        <v>0</v>
      </c>
      <c r="V148" s="255">
        <v>0</v>
      </c>
      <c r="W148" s="255">
        <v>0</v>
      </c>
      <c r="X148" s="255">
        <v>0</v>
      </c>
      <c r="Y148" s="255">
        <v>0</v>
      </c>
      <c r="Z148" s="255">
        <v>0</v>
      </c>
      <c r="AA148" s="255">
        <v>0</v>
      </c>
      <c r="AB148" s="255">
        <v>0</v>
      </c>
      <c r="AC148" s="255">
        <v>0</v>
      </c>
      <c r="AD148" s="255">
        <v>0</v>
      </c>
      <c r="AE148" s="255">
        <v>0</v>
      </c>
      <c r="AF148" s="255">
        <v>0</v>
      </c>
      <c r="AG148" s="255">
        <v>0</v>
      </c>
      <c r="AH148" s="255">
        <v>0</v>
      </c>
      <c r="AI148" s="255">
        <v>0</v>
      </c>
      <c r="AJ148" s="255">
        <v>0</v>
      </c>
      <c r="AK148" s="255">
        <v>0</v>
      </c>
      <c r="AL148" s="255">
        <v>0</v>
      </c>
      <c r="AM148" s="255">
        <v>0</v>
      </c>
      <c r="AN148" s="255">
        <v>0</v>
      </c>
      <c r="AO148" s="255">
        <v>0</v>
      </c>
      <c r="AP148" s="255"/>
      <c r="AQ148" s="255"/>
      <c r="AR148" s="255"/>
      <c r="AS148" s="255"/>
      <c r="AT148" s="255"/>
      <c r="AU148" s="255"/>
      <c r="AV148" s="255"/>
      <c r="AW148" s="255"/>
      <c r="AX148" s="255"/>
      <c r="AY148" s="255"/>
      <c r="AZ148" s="255"/>
      <c r="BA148" s="255"/>
      <c r="BB148" s="255"/>
      <c r="BC148" s="255"/>
      <c r="BD148" s="255"/>
      <c r="BE148" s="255"/>
      <c r="BF148" s="255"/>
      <c r="BG148" s="255"/>
      <c r="BH148" s="255"/>
      <c r="BI148" s="255"/>
      <c r="BJ148" s="255"/>
      <c r="BK148" s="255"/>
    </row>
    <row r="149" spans="1:63" s="133" customFormat="1" ht="12.75">
      <c r="A149" s="168">
        <v>38352</v>
      </c>
      <c r="B149" s="213" t="str">
        <f>Servicio_internaColumna_título_intereses</f>
        <v>Intereses</v>
      </c>
      <c r="C149" s="256">
        <v>0</v>
      </c>
      <c r="D149" s="257">
        <v>0</v>
      </c>
      <c r="E149" s="257">
        <v>0</v>
      </c>
      <c r="F149" s="257">
        <v>0</v>
      </c>
      <c r="G149" s="257">
        <v>6766485.8042149451</v>
      </c>
      <c r="H149" s="257">
        <v>5690236.4761042688</v>
      </c>
      <c r="I149" s="257">
        <v>4627137.4158939738</v>
      </c>
      <c r="J149" s="257">
        <v>3695964.648938667</v>
      </c>
      <c r="K149" s="257">
        <v>2871783.5284146946</v>
      </c>
      <c r="L149" s="257">
        <v>2384031.0039553996</v>
      </c>
      <c r="M149" s="257">
        <v>2016554.0748279905</v>
      </c>
      <c r="N149" s="257">
        <v>1546228.5003912617</v>
      </c>
      <c r="O149" s="257">
        <v>462205.97514297999</v>
      </c>
      <c r="P149" s="257">
        <v>219311.20323857293</v>
      </c>
      <c r="Q149" s="257">
        <v>140480.13619863265</v>
      </c>
      <c r="R149" s="257">
        <v>0</v>
      </c>
      <c r="S149" s="257">
        <v>0</v>
      </c>
      <c r="T149" s="257">
        <v>0</v>
      </c>
      <c r="U149" s="258">
        <v>0</v>
      </c>
      <c r="V149" s="258">
        <v>0</v>
      </c>
      <c r="W149" s="258">
        <v>0</v>
      </c>
      <c r="X149" s="258">
        <v>0</v>
      </c>
      <c r="Y149" s="258">
        <v>0</v>
      </c>
      <c r="Z149" s="258">
        <v>0</v>
      </c>
      <c r="AA149" s="258">
        <v>0</v>
      </c>
      <c r="AB149" s="258">
        <v>0</v>
      </c>
      <c r="AC149" s="258">
        <v>0</v>
      </c>
      <c r="AD149" s="259">
        <v>0</v>
      </c>
      <c r="AE149" s="259">
        <v>0</v>
      </c>
      <c r="AF149" s="259">
        <v>0</v>
      </c>
      <c r="AG149" s="259">
        <v>0</v>
      </c>
      <c r="AH149" s="259">
        <v>0</v>
      </c>
      <c r="AI149" s="259">
        <v>0</v>
      </c>
      <c r="AJ149" s="259">
        <v>0</v>
      </c>
      <c r="AK149" s="259">
        <v>0</v>
      </c>
      <c r="AL149" s="259">
        <v>0</v>
      </c>
      <c r="AM149" s="259">
        <v>0</v>
      </c>
      <c r="AN149" s="259">
        <v>0</v>
      </c>
      <c r="AO149" s="259">
        <v>0</v>
      </c>
      <c r="AP149" s="259"/>
      <c r="AQ149" s="259"/>
      <c r="AR149" s="259"/>
      <c r="AS149" s="259"/>
      <c r="AT149" s="259"/>
      <c r="AU149" s="259"/>
      <c r="AV149" s="259"/>
      <c r="AW149" s="259"/>
      <c r="AX149" s="259"/>
      <c r="AY149" s="259"/>
      <c r="AZ149" s="259"/>
      <c r="BA149" s="259"/>
      <c r="BB149" s="259"/>
      <c r="BC149" s="259"/>
      <c r="BD149" s="259"/>
      <c r="BE149" s="259"/>
      <c r="BF149" s="259"/>
      <c r="BG149" s="259"/>
      <c r="BH149" s="259"/>
      <c r="BI149" s="259"/>
      <c r="BJ149" s="259"/>
      <c r="BK149" s="259"/>
    </row>
    <row r="150" spans="1:63" s="133" customFormat="1" ht="12.75">
      <c r="A150" s="169"/>
      <c r="B150" s="307" t="str">
        <f>Servicio_internaColumna_título_total</f>
        <v>Total</v>
      </c>
      <c r="C150" s="308">
        <v>0</v>
      </c>
      <c r="D150" s="309">
        <v>0</v>
      </c>
      <c r="E150" s="309">
        <v>0</v>
      </c>
      <c r="F150" s="309">
        <v>0</v>
      </c>
      <c r="G150" s="309">
        <v>18267460.823812846</v>
      </c>
      <c r="H150" s="309">
        <v>14417322.18521834</v>
      </c>
      <c r="I150" s="309">
        <v>16590427.117801618</v>
      </c>
      <c r="J150" s="309">
        <v>10976912.801586201</v>
      </c>
      <c r="K150" s="309">
        <v>7296244.1203747801</v>
      </c>
      <c r="L150" s="309">
        <v>7388522.7595010092</v>
      </c>
      <c r="M150" s="309">
        <v>7152110.3176279906</v>
      </c>
      <c r="N150" s="309">
        <v>10816559.458340274</v>
      </c>
      <c r="O150" s="309">
        <v>3094408.6517797573</v>
      </c>
      <c r="P150" s="309">
        <v>1514240.303238573</v>
      </c>
      <c r="Q150" s="309">
        <v>1535476.6961986327</v>
      </c>
      <c r="R150" s="309">
        <v>0</v>
      </c>
      <c r="S150" s="309">
        <v>0</v>
      </c>
      <c r="T150" s="309">
        <v>0</v>
      </c>
      <c r="U150" s="309">
        <v>0</v>
      </c>
      <c r="V150" s="309">
        <v>0</v>
      </c>
      <c r="W150" s="309">
        <v>0</v>
      </c>
      <c r="X150" s="309">
        <v>0</v>
      </c>
      <c r="Y150" s="309">
        <v>0</v>
      </c>
      <c r="Z150" s="309">
        <v>0</v>
      </c>
      <c r="AA150" s="309">
        <v>0</v>
      </c>
      <c r="AB150" s="309">
        <v>0</v>
      </c>
      <c r="AC150" s="309">
        <v>0</v>
      </c>
      <c r="AD150" s="309">
        <v>0</v>
      </c>
      <c r="AE150" s="309">
        <v>0</v>
      </c>
      <c r="AF150" s="309">
        <v>0</v>
      </c>
      <c r="AG150" s="309">
        <v>0</v>
      </c>
      <c r="AH150" s="309">
        <v>0</v>
      </c>
      <c r="AI150" s="309">
        <v>0</v>
      </c>
      <c r="AJ150" s="309">
        <v>0</v>
      </c>
      <c r="AK150" s="309">
        <v>0</v>
      </c>
      <c r="AL150" s="309">
        <v>0</v>
      </c>
      <c r="AM150" s="309">
        <v>0</v>
      </c>
      <c r="AN150" s="309">
        <v>0</v>
      </c>
      <c r="AO150" s="309">
        <v>0</v>
      </c>
      <c r="AP150" s="309"/>
      <c r="AQ150" s="309"/>
      <c r="AR150" s="309"/>
      <c r="AS150" s="309"/>
      <c r="AT150" s="309"/>
      <c r="AU150" s="309"/>
      <c r="AV150" s="309"/>
      <c r="AW150" s="309"/>
      <c r="AX150" s="309"/>
      <c r="AY150" s="309"/>
      <c r="AZ150" s="309"/>
      <c r="BA150" s="309"/>
      <c r="BB150" s="309"/>
      <c r="BC150" s="309"/>
      <c r="BD150" s="309"/>
      <c r="BE150" s="309"/>
      <c r="BF150" s="309"/>
      <c r="BG150" s="309"/>
      <c r="BH150" s="309"/>
      <c r="BI150" s="309"/>
      <c r="BJ150" s="309"/>
      <c r="BK150" s="309"/>
    </row>
    <row r="151" spans="1:63" s="80" customFormat="1" ht="12.75">
      <c r="A151" s="167"/>
      <c r="B151" s="210" t="str">
        <f>Servicio_internaColumna_título_amortizaciones</f>
        <v>Amortizaciones</v>
      </c>
      <c r="C151" s="254">
        <v>0</v>
      </c>
      <c r="D151" s="255">
        <v>0</v>
      </c>
      <c r="E151" s="255">
        <v>0</v>
      </c>
      <c r="F151" s="255">
        <v>0</v>
      </c>
      <c r="G151" s="255">
        <v>11573033.159533978</v>
      </c>
      <c r="H151" s="255">
        <v>8730613.5889501031</v>
      </c>
      <c r="I151" s="255">
        <v>12782811.845253782</v>
      </c>
      <c r="J151" s="255">
        <v>7284651.0596684562</v>
      </c>
      <c r="K151" s="255">
        <v>4920170.0716676367</v>
      </c>
      <c r="L151" s="255">
        <v>5735515.750919383</v>
      </c>
      <c r="M151" s="255">
        <v>5140059.171076416</v>
      </c>
      <c r="N151" s="255">
        <v>9283518.7678165548</v>
      </c>
      <c r="O151" s="255">
        <v>2681445.3674959457</v>
      </c>
      <c r="P151" s="255">
        <v>1731540.048136034</v>
      </c>
      <c r="Q151" s="255">
        <v>1798223.1817261688</v>
      </c>
      <c r="R151" s="255">
        <v>0</v>
      </c>
      <c r="S151" s="255">
        <v>0</v>
      </c>
      <c r="T151" s="255">
        <v>0</v>
      </c>
      <c r="U151" s="255">
        <v>0</v>
      </c>
      <c r="V151" s="255">
        <v>0</v>
      </c>
      <c r="W151" s="255">
        <v>0</v>
      </c>
      <c r="X151" s="255">
        <v>0</v>
      </c>
      <c r="Y151" s="255">
        <v>0</v>
      </c>
      <c r="Z151" s="255">
        <v>0</v>
      </c>
      <c r="AA151" s="255">
        <v>0</v>
      </c>
      <c r="AB151" s="255">
        <v>0</v>
      </c>
      <c r="AC151" s="255">
        <v>0</v>
      </c>
      <c r="AD151" s="255">
        <v>0</v>
      </c>
      <c r="AE151" s="255">
        <v>0</v>
      </c>
      <c r="AF151" s="255">
        <v>0</v>
      </c>
      <c r="AG151" s="255">
        <v>0</v>
      </c>
      <c r="AH151" s="255">
        <v>0</v>
      </c>
      <c r="AI151" s="255">
        <v>0</v>
      </c>
      <c r="AJ151" s="255">
        <v>0</v>
      </c>
      <c r="AK151" s="255">
        <v>0</v>
      </c>
      <c r="AL151" s="255">
        <v>0</v>
      </c>
      <c r="AM151" s="255">
        <v>0</v>
      </c>
      <c r="AN151" s="255">
        <v>0</v>
      </c>
      <c r="AO151" s="255">
        <v>0</v>
      </c>
      <c r="AP151" s="255"/>
      <c r="AQ151" s="255"/>
      <c r="AR151" s="255"/>
      <c r="AS151" s="255"/>
      <c r="AT151" s="255"/>
      <c r="AU151" s="255"/>
      <c r="AV151" s="255"/>
      <c r="AW151" s="255"/>
      <c r="AX151" s="255"/>
      <c r="AY151" s="255"/>
      <c r="AZ151" s="255"/>
      <c r="BA151" s="255"/>
      <c r="BB151" s="255"/>
      <c r="BC151" s="255"/>
      <c r="BD151" s="255"/>
      <c r="BE151" s="255"/>
      <c r="BF151" s="255"/>
      <c r="BG151" s="255"/>
      <c r="BH151" s="255"/>
      <c r="BI151" s="255"/>
      <c r="BJ151" s="255"/>
      <c r="BK151" s="255"/>
    </row>
    <row r="152" spans="1:63" s="133" customFormat="1" ht="12.75">
      <c r="A152" s="168">
        <v>38383</v>
      </c>
      <c r="B152" s="213" t="str">
        <f>Servicio_internaColumna_título_intereses</f>
        <v>Intereses</v>
      </c>
      <c r="C152" s="256">
        <v>0</v>
      </c>
      <c r="D152" s="257">
        <v>0</v>
      </c>
      <c r="E152" s="257">
        <v>0</v>
      </c>
      <c r="F152" s="257">
        <v>0</v>
      </c>
      <c r="G152" s="257">
        <v>7553801.6652530096</v>
      </c>
      <c r="H152" s="257">
        <v>6482549.5276946481</v>
      </c>
      <c r="I152" s="257">
        <v>5430785.3757886272</v>
      </c>
      <c r="J152" s="257">
        <v>3984258.7829618966</v>
      </c>
      <c r="K152" s="257">
        <v>3196398.6893027173</v>
      </c>
      <c r="L152" s="257">
        <v>2646632.9667689446</v>
      </c>
      <c r="M152" s="257">
        <v>2122416.5019425629</v>
      </c>
      <c r="N152" s="257">
        <v>1653682.3854696676</v>
      </c>
      <c r="O152" s="257">
        <v>569519.98585777078</v>
      </c>
      <c r="P152" s="257">
        <v>327628.42267638259</v>
      </c>
      <c r="Q152" s="257">
        <v>175324.17972109583</v>
      </c>
      <c r="R152" s="257">
        <v>0</v>
      </c>
      <c r="S152" s="257">
        <v>0</v>
      </c>
      <c r="T152" s="257">
        <v>0</v>
      </c>
      <c r="U152" s="258">
        <v>0</v>
      </c>
      <c r="V152" s="258">
        <v>0</v>
      </c>
      <c r="W152" s="258">
        <v>0</v>
      </c>
      <c r="X152" s="258">
        <v>0</v>
      </c>
      <c r="Y152" s="258">
        <v>0</v>
      </c>
      <c r="Z152" s="258">
        <v>0</v>
      </c>
      <c r="AA152" s="258">
        <v>0</v>
      </c>
      <c r="AB152" s="258">
        <v>0</v>
      </c>
      <c r="AC152" s="258">
        <v>0</v>
      </c>
      <c r="AD152" s="259">
        <v>0</v>
      </c>
      <c r="AE152" s="259">
        <v>0</v>
      </c>
      <c r="AF152" s="259">
        <v>0</v>
      </c>
      <c r="AG152" s="259">
        <v>0</v>
      </c>
      <c r="AH152" s="259">
        <v>0</v>
      </c>
      <c r="AI152" s="259">
        <v>0</v>
      </c>
      <c r="AJ152" s="259">
        <v>0</v>
      </c>
      <c r="AK152" s="259">
        <v>0</v>
      </c>
      <c r="AL152" s="259">
        <v>0</v>
      </c>
      <c r="AM152" s="259">
        <v>0</v>
      </c>
      <c r="AN152" s="259">
        <v>0</v>
      </c>
      <c r="AO152" s="259">
        <v>0</v>
      </c>
      <c r="AP152" s="259"/>
      <c r="AQ152" s="259"/>
      <c r="AR152" s="259"/>
      <c r="AS152" s="259"/>
      <c r="AT152" s="259"/>
      <c r="AU152" s="259"/>
      <c r="AV152" s="259"/>
      <c r="AW152" s="259"/>
      <c r="AX152" s="259"/>
      <c r="AY152" s="259"/>
      <c r="AZ152" s="259"/>
      <c r="BA152" s="259"/>
      <c r="BB152" s="259"/>
      <c r="BC152" s="259"/>
      <c r="BD152" s="259"/>
      <c r="BE152" s="259"/>
      <c r="BF152" s="259"/>
      <c r="BG152" s="259"/>
      <c r="BH152" s="259"/>
      <c r="BI152" s="259"/>
      <c r="BJ152" s="259"/>
      <c r="BK152" s="259"/>
    </row>
    <row r="153" spans="1:63" s="133" customFormat="1" ht="12.75">
      <c r="A153" s="169"/>
      <c r="B153" s="307" t="str">
        <f>Servicio_internaColumna_título_total</f>
        <v>Total</v>
      </c>
      <c r="C153" s="308">
        <v>0</v>
      </c>
      <c r="D153" s="309">
        <v>0</v>
      </c>
      <c r="E153" s="309">
        <v>0</v>
      </c>
      <c r="F153" s="309">
        <v>0</v>
      </c>
      <c r="G153" s="309">
        <v>19126834.824786987</v>
      </c>
      <c r="H153" s="309">
        <v>15213163.116644751</v>
      </c>
      <c r="I153" s="309">
        <v>18213597.22104241</v>
      </c>
      <c r="J153" s="309">
        <v>11268909.842630353</v>
      </c>
      <c r="K153" s="309">
        <v>8116568.7609703541</v>
      </c>
      <c r="L153" s="309">
        <v>8382148.7176883277</v>
      </c>
      <c r="M153" s="309">
        <v>7262475.6730189789</v>
      </c>
      <c r="N153" s="309">
        <v>10937201.153286222</v>
      </c>
      <c r="O153" s="309">
        <v>3250965.3533537164</v>
      </c>
      <c r="P153" s="309">
        <v>2059168.4708124166</v>
      </c>
      <c r="Q153" s="309">
        <v>1973547.3614472647</v>
      </c>
      <c r="R153" s="309">
        <v>0</v>
      </c>
      <c r="S153" s="309">
        <v>0</v>
      </c>
      <c r="T153" s="309">
        <v>0</v>
      </c>
      <c r="U153" s="309">
        <v>0</v>
      </c>
      <c r="V153" s="309">
        <v>0</v>
      </c>
      <c r="W153" s="309">
        <v>0</v>
      </c>
      <c r="X153" s="309">
        <v>0</v>
      </c>
      <c r="Y153" s="309">
        <v>0</v>
      </c>
      <c r="Z153" s="309">
        <v>0</v>
      </c>
      <c r="AA153" s="309">
        <v>0</v>
      </c>
      <c r="AB153" s="309">
        <v>0</v>
      </c>
      <c r="AC153" s="309">
        <v>0</v>
      </c>
      <c r="AD153" s="309">
        <v>0</v>
      </c>
      <c r="AE153" s="309">
        <v>0</v>
      </c>
      <c r="AF153" s="309">
        <v>0</v>
      </c>
      <c r="AG153" s="309">
        <v>0</v>
      </c>
      <c r="AH153" s="309">
        <v>0</v>
      </c>
      <c r="AI153" s="309">
        <v>0</v>
      </c>
      <c r="AJ153" s="309">
        <v>0</v>
      </c>
      <c r="AK153" s="309">
        <v>0</v>
      </c>
      <c r="AL153" s="309">
        <v>0</v>
      </c>
      <c r="AM153" s="309">
        <v>0</v>
      </c>
      <c r="AN153" s="309">
        <v>0</v>
      </c>
      <c r="AO153" s="309">
        <v>0</v>
      </c>
      <c r="AP153" s="309"/>
      <c r="AQ153" s="309"/>
      <c r="AR153" s="309"/>
      <c r="AS153" s="309"/>
      <c r="AT153" s="309"/>
      <c r="AU153" s="309"/>
      <c r="AV153" s="309"/>
      <c r="AW153" s="309"/>
      <c r="AX153" s="309"/>
      <c r="AY153" s="309"/>
      <c r="AZ153" s="309"/>
      <c r="BA153" s="309"/>
      <c r="BB153" s="309"/>
      <c r="BC153" s="309"/>
      <c r="BD153" s="309"/>
      <c r="BE153" s="309"/>
      <c r="BF153" s="309"/>
      <c r="BG153" s="309"/>
      <c r="BH153" s="309"/>
      <c r="BI153" s="309"/>
      <c r="BJ153" s="309"/>
      <c r="BK153" s="309"/>
    </row>
    <row r="154" spans="1:63" s="80" customFormat="1" ht="12.75">
      <c r="A154" s="167"/>
      <c r="B154" s="210" t="str">
        <f>Servicio_internaColumna_título_amortizaciones</f>
        <v>Amortizaciones</v>
      </c>
      <c r="C154" s="254">
        <v>0</v>
      </c>
      <c r="D154" s="255">
        <v>0</v>
      </c>
      <c r="E154" s="255">
        <v>0</v>
      </c>
      <c r="F154" s="255">
        <v>0</v>
      </c>
      <c r="G154" s="255">
        <v>11019299.526725993</v>
      </c>
      <c r="H154" s="255">
        <v>9131337.3011604492</v>
      </c>
      <c r="I154" s="255">
        <v>13130622.887784068</v>
      </c>
      <c r="J154" s="255">
        <v>7291642.4627732439</v>
      </c>
      <c r="K154" s="255">
        <v>5337602.2319989996</v>
      </c>
      <c r="L154" s="255">
        <v>6349132.642111701</v>
      </c>
      <c r="M154" s="255">
        <v>5148200.135841636</v>
      </c>
      <c r="N154" s="255">
        <v>9307165.6356308628</v>
      </c>
      <c r="O154" s="255">
        <v>2684280.9277695068</v>
      </c>
      <c r="P154" s="255">
        <v>2111915.2334398339</v>
      </c>
      <c r="Q154" s="255">
        <v>2033776.8592470489</v>
      </c>
      <c r="R154" s="255">
        <v>0</v>
      </c>
      <c r="S154" s="255">
        <v>0</v>
      </c>
      <c r="T154" s="255">
        <v>0</v>
      </c>
      <c r="U154" s="255">
        <v>0</v>
      </c>
      <c r="V154" s="255">
        <v>0</v>
      </c>
      <c r="W154" s="255">
        <v>0</v>
      </c>
      <c r="X154" s="255">
        <v>0</v>
      </c>
      <c r="Y154" s="255">
        <v>0</v>
      </c>
      <c r="Z154" s="255">
        <v>0</v>
      </c>
      <c r="AA154" s="255">
        <v>0</v>
      </c>
      <c r="AB154" s="255">
        <v>0</v>
      </c>
      <c r="AC154" s="255">
        <v>0</v>
      </c>
      <c r="AD154" s="255">
        <v>0</v>
      </c>
      <c r="AE154" s="255">
        <v>0</v>
      </c>
      <c r="AF154" s="255">
        <v>0</v>
      </c>
      <c r="AG154" s="255">
        <v>0</v>
      </c>
      <c r="AH154" s="255">
        <v>0</v>
      </c>
      <c r="AI154" s="255">
        <v>0</v>
      </c>
      <c r="AJ154" s="255">
        <v>0</v>
      </c>
      <c r="AK154" s="255">
        <v>0</v>
      </c>
      <c r="AL154" s="255">
        <v>0</v>
      </c>
      <c r="AM154" s="255">
        <v>0</v>
      </c>
      <c r="AN154" s="255">
        <v>0</v>
      </c>
      <c r="AO154" s="255">
        <v>0</v>
      </c>
      <c r="AP154" s="255"/>
      <c r="AQ154" s="255"/>
      <c r="AR154" s="255"/>
      <c r="AS154" s="255"/>
      <c r="AT154" s="255"/>
      <c r="AU154" s="255"/>
      <c r="AV154" s="255"/>
      <c r="AW154" s="255"/>
      <c r="AX154" s="255"/>
      <c r="AY154" s="255"/>
      <c r="AZ154" s="255"/>
      <c r="BA154" s="255"/>
      <c r="BB154" s="255"/>
      <c r="BC154" s="255"/>
      <c r="BD154" s="255"/>
      <c r="BE154" s="255"/>
      <c r="BF154" s="255"/>
      <c r="BG154" s="255"/>
      <c r="BH154" s="255"/>
      <c r="BI154" s="255"/>
      <c r="BJ154" s="255"/>
      <c r="BK154" s="255"/>
    </row>
    <row r="155" spans="1:63" s="133" customFormat="1" ht="12.75">
      <c r="A155" s="168">
        <v>38411</v>
      </c>
      <c r="B155" s="213" t="str">
        <f>Servicio_internaColumna_título_intereses</f>
        <v>Intereses</v>
      </c>
      <c r="C155" s="256">
        <v>0</v>
      </c>
      <c r="D155" s="257">
        <v>0</v>
      </c>
      <c r="E155" s="257">
        <v>0</v>
      </c>
      <c r="F155" s="257">
        <v>0</v>
      </c>
      <c r="G155" s="257">
        <v>7757847.9788504727</v>
      </c>
      <c r="H155" s="257">
        <v>6755340.1144776959</v>
      </c>
      <c r="I155" s="257">
        <v>5664731.0708736219</v>
      </c>
      <c r="J155" s="257">
        <v>4176831.029027936</v>
      </c>
      <c r="K155" s="257">
        <v>3384002.5993440105</v>
      </c>
      <c r="L155" s="257">
        <v>2784692.9038316747</v>
      </c>
      <c r="M155" s="257">
        <v>2188985.0092206951</v>
      </c>
      <c r="N155" s="257">
        <v>1720574.9170492832</v>
      </c>
      <c r="O155" s="257">
        <v>636866.31636177003</v>
      </c>
      <c r="P155" s="257">
        <v>395466.62413347745</v>
      </c>
      <c r="Q155" s="257">
        <v>192718.37476116838</v>
      </c>
      <c r="R155" s="257">
        <v>0</v>
      </c>
      <c r="S155" s="257">
        <v>0</v>
      </c>
      <c r="T155" s="257">
        <v>0</v>
      </c>
      <c r="U155" s="258">
        <v>0</v>
      </c>
      <c r="V155" s="258">
        <v>0</v>
      </c>
      <c r="W155" s="258">
        <v>0</v>
      </c>
      <c r="X155" s="258">
        <v>0</v>
      </c>
      <c r="Y155" s="258">
        <v>0</v>
      </c>
      <c r="Z155" s="258">
        <v>0</v>
      </c>
      <c r="AA155" s="258">
        <v>0</v>
      </c>
      <c r="AB155" s="258">
        <v>0</v>
      </c>
      <c r="AC155" s="258">
        <v>0</v>
      </c>
      <c r="AD155" s="259">
        <v>0</v>
      </c>
      <c r="AE155" s="259">
        <v>0</v>
      </c>
      <c r="AF155" s="259">
        <v>0</v>
      </c>
      <c r="AG155" s="259">
        <v>0</v>
      </c>
      <c r="AH155" s="259">
        <v>0</v>
      </c>
      <c r="AI155" s="259">
        <v>0</v>
      </c>
      <c r="AJ155" s="259">
        <v>0</v>
      </c>
      <c r="AK155" s="259">
        <v>0</v>
      </c>
      <c r="AL155" s="259">
        <v>0</v>
      </c>
      <c r="AM155" s="259">
        <v>0</v>
      </c>
      <c r="AN155" s="259">
        <v>0</v>
      </c>
      <c r="AO155" s="259">
        <v>0</v>
      </c>
      <c r="AP155" s="259"/>
      <c r="AQ155" s="259"/>
      <c r="AR155" s="259"/>
      <c r="AS155" s="259"/>
      <c r="AT155" s="259"/>
      <c r="AU155" s="259"/>
      <c r="AV155" s="259"/>
      <c r="AW155" s="259"/>
      <c r="AX155" s="259"/>
      <c r="AY155" s="259"/>
      <c r="AZ155" s="259"/>
      <c r="BA155" s="259"/>
      <c r="BB155" s="259"/>
      <c r="BC155" s="259"/>
      <c r="BD155" s="259"/>
      <c r="BE155" s="259"/>
      <c r="BF155" s="259"/>
      <c r="BG155" s="259"/>
      <c r="BH155" s="259"/>
      <c r="BI155" s="259"/>
      <c r="BJ155" s="259"/>
      <c r="BK155" s="259"/>
    </row>
    <row r="156" spans="1:63" s="133" customFormat="1" ht="12.75">
      <c r="A156" s="169"/>
      <c r="B156" s="307" t="str">
        <f>Servicio_internaColumna_título_total</f>
        <v>Total</v>
      </c>
      <c r="C156" s="308">
        <v>0</v>
      </c>
      <c r="D156" s="309">
        <v>0</v>
      </c>
      <c r="E156" s="309">
        <v>0</v>
      </c>
      <c r="F156" s="309">
        <v>0</v>
      </c>
      <c r="G156" s="309">
        <v>18777147.505576465</v>
      </c>
      <c r="H156" s="309">
        <v>15886677.415638145</v>
      </c>
      <c r="I156" s="309">
        <v>18795353.958657689</v>
      </c>
      <c r="J156" s="309">
        <v>11468473.49180118</v>
      </c>
      <c r="K156" s="309">
        <v>8721604.8313430101</v>
      </c>
      <c r="L156" s="309">
        <v>9133825.5459433757</v>
      </c>
      <c r="M156" s="309">
        <v>7337185.1450623311</v>
      </c>
      <c r="N156" s="309">
        <v>11027740.552680146</v>
      </c>
      <c r="O156" s="309">
        <v>3321147.2441312768</v>
      </c>
      <c r="P156" s="309">
        <v>2507381.8575733113</v>
      </c>
      <c r="Q156" s="309">
        <v>2226495.2340082172</v>
      </c>
      <c r="R156" s="309">
        <v>0</v>
      </c>
      <c r="S156" s="309">
        <v>0</v>
      </c>
      <c r="T156" s="309">
        <v>0</v>
      </c>
      <c r="U156" s="309">
        <v>0</v>
      </c>
      <c r="V156" s="309">
        <v>0</v>
      </c>
      <c r="W156" s="309">
        <v>0</v>
      </c>
      <c r="X156" s="309">
        <v>0</v>
      </c>
      <c r="Y156" s="309">
        <v>0</v>
      </c>
      <c r="Z156" s="309">
        <v>0</v>
      </c>
      <c r="AA156" s="309">
        <v>0</v>
      </c>
      <c r="AB156" s="309">
        <v>0</v>
      </c>
      <c r="AC156" s="309">
        <v>0</v>
      </c>
      <c r="AD156" s="309">
        <v>0</v>
      </c>
      <c r="AE156" s="309">
        <v>0</v>
      </c>
      <c r="AF156" s="309">
        <v>0</v>
      </c>
      <c r="AG156" s="309">
        <v>0</v>
      </c>
      <c r="AH156" s="309">
        <v>0</v>
      </c>
      <c r="AI156" s="309">
        <v>0</v>
      </c>
      <c r="AJ156" s="309">
        <v>0</v>
      </c>
      <c r="AK156" s="309">
        <v>0</v>
      </c>
      <c r="AL156" s="309">
        <v>0</v>
      </c>
      <c r="AM156" s="309">
        <v>0</v>
      </c>
      <c r="AN156" s="309">
        <v>0</v>
      </c>
      <c r="AO156" s="309">
        <v>0</v>
      </c>
      <c r="AP156" s="309"/>
      <c r="AQ156" s="309"/>
      <c r="AR156" s="309"/>
      <c r="AS156" s="309"/>
      <c r="AT156" s="309"/>
      <c r="AU156" s="309"/>
      <c r="AV156" s="309"/>
      <c r="AW156" s="309"/>
      <c r="AX156" s="309"/>
      <c r="AY156" s="309"/>
      <c r="AZ156" s="309"/>
      <c r="BA156" s="309"/>
      <c r="BB156" s="309"/>
      <c r="BC156" s="309"/>
      <c r="BD156" s="309"/>
      <c r="BE156" s="309"/>
      <c r="BF156" s="309"/>
      <c r="BG156" s="309"/>
      <c r="BH156" s="309"/>
      <c r="BI156" s="309"/>
      <c r="BJ156" s="309"/>
      <c r="BK156" s="309"/>
    </row>
    <row r="157" spans="1:63" s="80" customFormat="1" ht="12.75">
      <c r="A157" s="167"/>
      <c r="B157" s="210" t="str">
        <f>Servicio_internaColumna_título_amortizaciones</f>
        <v>Amortizaciones</v>
      </c>
      <c r="C157" s="254">
        <v>0</v>
      </c>
      <c r="D157" s="255">
        <v>0</v>
      </c>
      <c r="E157" s="255">
        <v>0</v>
      </c>
      <c r="F157" s="255">
        <v>0</v>
      </c>
      <c r="G157" s="255">
        <v>9229250.7283945624</v>
      </c>
      <c r="H157" s="255">
        <v>10247399.875438085</v>
      </c>
      <c r="I157" s="255">
        <v>13652405.256599551</v>
      </c>
      <c r="J157" s="255">
        <v>7303608.4976540366</v>
      </c>
      <c r="K157" s="255">
        <v>6030052.0772003196</v>
      </c>
      <c r="L157" s="255">
        <v>6892520.8899096064</v>
      </c>
      <c r="M157" s="255">
        <v>5163242.5555892019</v>
      </c>
      <c r="N157" s="255">
        <v>9349943.6865357049</v>
      </c>
      <c r="O157" s="255">
        <v>2689520.31758196</v>
      </c>
      <c r="P157" s="255">
        <v>2542572.3568766164</v>
      </c>
      <c r="Q157" s="255">
        <v>2105770.583566281</v>
      </c>
      <c r="R157" s="255">
        <v>0</v>
      </c>
      <c r="S157" s="255">
        <v>0</v>
      </c>
      <c r="T157" s="255">
        <v>0</v>
      </c>
      <c r="U157" s="255">
        <v>0</v>
      </c>
      <c r="V157" s="255">
        <v>0</v>
      </c>
      <c r="W157" s="255">
        <v>0</v>
      </c>
      <c r="X157" s="255">
        <v>0</v>
      </c>
      <c r="Y157" s="255">
        <v>0</v>
      </c>
      <c r="Z157" s="255">
        <v>0</v>
      </c>
      <c r="AA157" s="255">
        <v>0</v>
      </c>
      <c r="AB157" s="255">
        <v>0</v>
      </c>
      <c r="AC157" s="255">
        <v>0</v>
      </c>
      <c r="AD157" s="255">
        <v>0</v>
      </c>
      <c r="AE157" s="255">
        <v>0</v>
      </c>
      <c r="AF157" s="255">
        <v>0</v>
      </c>
      <c r="AG157" s="255">
        <v>0</v>
      </c>
      <c r="AH157" s="255">
        <v>0</v>
      </c>
      <c r="AI157" s="255">
        <v>0</v>
      </c>
      <c r="AJ157" s="255">
        <v>0</v>
      </c>
      <c r="AK157" s="255">
        <v>0</v>
      </c>
      <c r="AL157" s="255">
        <v>0</v>
      </c>
      <c r="AM157" s="255">
        <v>0</v>
      </c>
      <c r="AN157" s="255">
        <v>0</v>
      </c>
      <c r="AO157" s="255">
        <v>0</v>
      </c>
      <c r="AP157" s="255"/>
      <c r="AQ157" s="255"/>
      <c r="AR157" s="255"/>
      <c r="AS157" s="255"/>
      <c r="AT157" s="255"/>
      <c r="AU157" s="255"/>
      <c r="AV157" s="255"/>
      <c r="AW157" s="255"/>
      <c r="AX157" s="255"/>
      <c r="AY157" s="255"/>
      <c r="AZ157" s="255"/>
      <c r="BA157" s="255"/>
      <c r="BB157" s="255"/>
      <c r="BC157" s="255"/>
      <c r="BD157" s="255"/>
      <c r="BE157" s="255"/>
      <c r="BF157" s="255"/>
      <c r="BG157" s="255"/>
      <c r="BH157" s="255"/>
      <c r="BI157" s="255"/>
      <c r="BJ157" s="255"/>
      <c r="BK157" s="255"/>
    </row>
    <row r="158" spans="1:63" s="133" customFormat="1" ht="12.75">
      <c r="A158" s="168">
        <v>38442</v>
      </c>
      <c r="B158" s="213" t="str">
        <f>Servicio_internaColumna_título_intereses</f>
        <v>Intereses</v>
      </c>
      <c r="C158" s="256">
        <v>0</v>
      </c>
      <c r="D158" s="257">
        <v>0</v>
      </c>
      <c r="E158" s="257">
        <v>0</v>
      </c>
      <c r="F158" s="257">
        <v>0</v>
      </c>
      <c r="G158" s="257">
        <v>7868197.5587848891</v>
      </c>
      <c r="H158" s="257">
        <v>7105766.5541836675</v>
      </c>
      <c r="I158" s="257">
        <v>5984358.2709094267</v>
      </c>
      <c r="J158" s="257">
        <v>4436063.3484765841</v>
      </c>
      <c r="K158" s="257">
        <v>3600029.5544671193</v>
      </c>
      <c r="L158" s="257">
        <v>2915943.6305652261</v>
      </c>
      <c r="M158" s="257">
        <v>2252498.9868262755</v>
      </c>
      <c r="N158" s="257">
        <v>1783115.9648456331</v>
      </c>
      <c r="O158" s="257">
        <v>696028.853861087</v>
      </c>
      <c r="P158" s="257">
        <v>454682.05426342459</v>
      </c>
      <c r="Q158" s="257">
        <v>194588.6964658238</v>
      </c>
      <c r="R158" s="257">
        <v>0</v>
      </c>
      <c r="S158" s="257">
        <v>0</v>
      </c>
      <c r="T158" s="257">
        <v>0</v>
      </c>
      <c r="U158" s="258">
        <v>0</v>
      </c>
      <c r="V158" s="258">
        <v>0</v>
      </c>
      <c r="W158" s="258">
        <v>0</v>
      </c>
      <c r="X158" s="258">
        <v>0</v>
      </c>
      <c r="Y158" s="258">
        <v>0</v>
      </c>
      <c r="Z158" s="258">
        <v>0</v>
      </c>
      <c r="AA158" s="258">
        <v>0</v>
      </c>
      <c r="AB158" s="258">
        <v>0</v>
      </c>
      <c r="AC158" s="258">
        <v>0</v>
      </c>
      <c r="AD158" s="259">
        <v>0</v>
      </c>
      <c r="AE158" s="259">
        <v>0</v>
      </c>
      <c r="AF158" s="259">
        <v>0</v>
      </c>
      <c r="AG158" s="259">
        <v>0</v>
      </c>
      <c r="AH158" s="259">
        <v>0</v>
      </c>
      <c r="AI158" s="259">
        <v>0</v>
      </c>
      <c r="AJ158" s="259">
        <v>0</v>
      </c>
      <c r="AK158" s="259">
        <v>0</v>
      </c>
      <c r="AL158" s="259">
        <v>0</v>
      </c>
      <c r="AM158" s="259">
        <v>0</v>
      </c>
      <c r="AN158" s="259">
        <v>0</v>
      </c>
      <c r="AO158" s="259">
        <v>0</v>
      </c>
      <c r="AP158" s="259"/>
      <c r="AQ158" s="259"/>
      <c r="AR158" s="259"/>
      <c r="AS158" s="259"/>
      <c r="AT158" s="259"/>
      <c r="AU158" s="259"/>
      <c r="AV158" s="259"/>
      <c r="AW158" s="259"/>
      <c r="AX158" s="259"/>
      <c r="AY158" s="259"/>
      <c r="AZ158" s="259"/>
      <c r="BA158" s="259"/>
      <c r="BB158" s="259"/>
      <c r="BC158" s="259"/>
      <c r="BD158" s="259"/>
      <c r="BE158" s="259"/>
      <c r="BF158" s="259"/>
      <c r="BG158" s="259"/>
      <c r="BH158" s="259"/>
      <c r="BI158" s="259"/>
      <c r="BJ158" s="259"/>
      <c r="BK158" s="259"/>
    </row>
    <row r="159" spans="1:63" s="133" customFormat="1" ht="12.75">
      <c r="A159" s="169"/>
      <c r="B159" s="307" t="str">
        <f>Servicio_internaColumna_título_total</f>
        <v>Total</v>
      </c>
      <c r="C159" s="308">
        <v>0</v>
      </c>
      <c r="D159" s="309">
        <v>0</v>
      </c>
      <c r="E159" s="309">
        <v>0</v>
      </c>
      <c r="F159" s="309">
        <v>0</v>
      </c>
      <c r="G159" s="309">
        <v>17097448.287179451</v>
      </c>
      <c r="H159" s="309">
        <v>17353166.429621752</v>
      </c>
      <c r="I159" s="309">
        <v>19636763.527508978</v>
      </c>
      <c r="J159" s="309">
        <v>11739671.846130621</v>
      </c>
      <c r="K159" s="309">
        <v>9630081.6316674389</v>
      </c>
      <c r="L159" s="309">
        <v>9808464.5204748325</v>
      </c>
      <c r="M159" s="309">
        <v>7415741.5424154773</v>
      </c>
      <c r="N159" s="309">
        <v>11133059.651381338</v>
      </c>
      <c r="O159" s="309">
        <v>3385549.171443047</v>
      </c>
      <c r="P159" s="309">
        <v>2997254.411140041</v>
      </c>
      <c r="Q159" s="309">
        <v>2300359.2800321048</v>
      </c>
      <c r="R159" s="309">
        <v>0</v>
      </c>
      <c r="S159" s="309">
        <v>0</v>
      </c>
      <c r="T159" s="309">
        <v>0</v>
      </c>
      <c r="U159" s="309">
        <v>0</v>
      </c>
      <c r="V159" s="309">
        <v>0</v>
      </c>
      <c r="W159" s="309">
        <v>0</v>
      </c>
      <c r="X159" s="309">
        <v>0</v>
      </c>
      <c r="Y159" s="309">
        <v>0</v>
      </c>
      <c r="Z159" s="309">
        <v>0</v>
      </c>
      <c r="AA159" s="309">
        <v>0</v>
      </c>
      <c r="AB159" s="309">
        <v>0</v>
      </c>
      <c r="AC159" s="309">
        <v>0</v>
      </c>
      <c r="AD159" s="309">
        <v>0</v>
      </c>
      <c r="AE159" s="309">
        <v>0</v>
      </c>
      <c r="AF159" s="309">
        <v>0</v>
      </c>
      <c r="AG159" s="309">
        <v>0</v>
      </c>
      <c r="AH159" s="309">
        <v>0</v>
      </c>
      <c r="AI159" s="309">
        <v>0</v>
      </c>
      <c r="AJ159" s="309">
        <v>0</v>
      </c>
      <c r="AK159" s="309">
        <v>0</v>
      </c>
      <c r="AL159" s="309">
        <v>0</v>
      </c>
      <c r="AM159" s="309">
        <v>0</v>
      </c>
      <c r="AN159" s="309">
        <v>0</v>
      </c>
      <c r="AO159" s="309">
        <v>0</v>
      </c>
      <c r="AP159" s="309"/>
      <c r="AQ159" s="309"/>
      <c r="AR159" s="309"/>
      <c r="AS159" s="309"/>
      <c r="AT159" s="309"/>
      <c r="AU159" s="309"/>
      <c r="AV159" s="309"/>
      <c r="AW159" s="309"/>
      <c r="AX159" s="309"/>
      <c r="AY159" s="309"/>
      <c r="AZ159" s="309"/>
      <c r="BA159" s="309"/>
      <c r="BB159" s="309"/>
      <c r="BC159" s="309"/>
      <c r="BD159" s="309"/>
      <c r="BE159" s="309"/>
      <c r="BF159" s="309"/>
      <c r="BG159" s="309"/>
      <c r="BH159" s="309"/>
      <c r="BI159" s="309"/>
      <c r="BJ159" s="309"/>
      <c r="BK159" s="309"/>
    </row>
    <row r="160" spans="1:63" s="80" customFormat="1" ht="12.75">
      <c r="A160" s="167"/>
      <c r="B160" s="210" t="str">
        <f>Servicio_internaColumna_título_amortizaciones</f>
        <v>Amortizaciones</v>
      </c>
      <c r="C160" s="254">
        <v>0</v>
      </c>
      <c r="D160" s="255">
        <v>0</v>
      </c>
      <c r="E160" s="255">
        <v>0</v>
      </c>
      <c r="F160" s="255">
        <v>0</v>
      </c>
      <c r="G160" s="255">
        <v>9211583.0777207967</v>
      </c>
      <c r="H160" s="255">
        <v>11242992.245334372</v>
      </c>
      <c r="I160" s="255">
        <v>14136368.735687556</v>
      </c>
      <c r="J160" s="255">
        <v>7513397.2738459958</v>
      </c>
      <c r="K160" s="255">
        <v>6713266.9711244628</v>
      </c>
      <c r="L160" s="255">
        <v>7360248.2377649387</v>
      </c>
      <c r="M160" s="255">
        <v>5176916.2645740658</v>
      </c>
      <c r="N160" s="255">
        <v>9390516.5752877761</v>
      </c>
      <c r="O160" s="255">
        <v>2694190.0882782191</v>
      </c>
      <c r="P160" s="255">
        <v>3028521.9434398627</v>
      </c>
      <c r="Q160" s="255">
        <v>2244475.5450705667</v>
      </c>
      <c r="R160" s="255">
        <v>0</v>
      </c>
      <c r="S160" s="255">
        <v>0</v>
      </c>
      <c r="T160" s="255">
        <v>0</v>
      </c>
      <c r="U160" s="255">
        <v>0</v>
      </c>
      <c r="V160" s="255">
        <v>0</v>
      </c>
      <c r="W160" s="255">
        <v>0</v>
      </c>
      <c r="X160" s="255">
        <v>0</v>
      </c>
      <c r="Y160" s="255">
        <v>0</v>
      </c>
      <c r="Z160" s="255">
        <v>0</v>
      </c>
      <c r="AA160" s="255">
        <v>0</v>
      </c>
      <c r="AB160" s="255">
        <v>0</v>
      </c>
      <c r="AC160" s="255">
        <v>0</v>
      </c>
      <c r="AD160" s="255">
        <v>0</v>
      </c>
      <c r="AE160" s="255">
        <v>0</v>
      </c>
      <c r="AF160" s="255">
        <v>0</v>
      </c>
      <c r="AG160" s="255">
        <v>0</v>
      </c>
      <c r="AH160" s="255">
        <v>0</v>
      </c>
      <c r="AI160" s="255">
        <v>0</v>
      </c>
      <c r="AJ160" s="255">
        <v>0</v>
      </c>
      <c r="AK160" s="255">
        <v>0</v>
      </c>
      <c r="AL160" s="255">
        <v>0</v>
      </c>
      <c r="AM160" s="255">
        <v>0</v>
      </c>
      <c r="AN160" s="255">
        <v>0</v>
      </c>
      <c r="AO160" s="255">
        <v>0</v>
      </c>
      <c r="AP160" s="255"/>
      <c r="AQ160" s="255"/>
      <c r="AR160" s="255"/>
      <c r="AS160" s="255"/>
      <c r="AT160" s="255"/>
      <c r="AU160" s="255"/>
      <c r="AV160" s="255"/>
      <c r="AW160" s="255"/>
      <c r="AX160" s="255"/>
      <c r="AY160" s="255"/>
      <c r="AZ160" s="255"/>
      <c r="BA160" s="255"/>
      <c r="BB160" s="255"/>
      <c r="BC160" s="255"/>
      <c r="BD160" s="255"/>
      <c r="BE160" s="255"/>
      <c r="BF160" s="255"/>
      <c r="BG160" s="255"/>
      <c r="BH160" s="255"/>
      <c r="BI160" s="255"/>
      <c r="BJ160" s="255"/>
      <c r="BK160" s="255"/>
    </row>
    <row r="161" spans="1:63" s="133" customFormat="1" ht="12.75">
      <c r="A161" s="168">
        <v>38472</v>
      </c>
      <c r="B161" s="213" t="str">
        <f>Servicio_internaColumna_título_intereses</f>
        <v>Intereses</v>
      </c>
      <c r="C161" s="256">
        <v>0</v>
      </c>
      <c r="D161" s="257">
        <v>0</v>
      </c>
      <c r="E161" s="257">
        <v>0</v>
      </c>
      <c r="F161" s="257">
        <v>0</v>
      </c>
      <c r="G161" s="257">
        <v>8206581.8481713627</v>
      </c>
      <c r="H161" s="257">
        <v>7465998.5951663926</v>
      </c>
      <c r="I161" s="257">
        <v>6271283.1122273933</v>
      </c>
      <c r="J161" s="257">
        <v>4667392.17654943</v>
      </c>
      <c r="K161" s="257">
        <v>3809791.5926876441</v>
      </c>
      <c r="L161" s="257">
        <v>3041725.5125266975</v>
      </c>
      <c r="M161" s="257">
        <v>2323531.3323924663</v>
      </c>
      <c r="N161" s="257">
        <v>1854227.3604295477</v>
      </c>
      <c r="O161" s="257">
        <v>767152.26385401655</v>
      </c>
      <c r="P161" s="257">
        <v>525990.83387111453</v>
      </c>
      <c r="Q161" s="257">
        <v>201143.98377686599</v>
      </c>
      <c r="R161" s="257">
        <v>0</v>
      </c>
      <c r="S161" s="257">
        <v>0</v>
      </c>
      <c r="T161" s="257">
        <v>0</v>
      </c>
      <c r="U161" s="258">
        <v>0</v>
      </c>
      <c r="V161" s="258">
        <v>0</v>
      </c>
      <c r="W161" s="258">
        <v>0</v>
      </c>
      <c r="X161" s="258">
        <v>0</v>
      </c>
      <c r="Y161" s="258">
        <v>0</v>
      </c>
      <c r="Z161" s="258">
        <v>0</v>
      </c>
      <c r="AA161" s="258">
        <v>0</v>
      </c>
      <c r="AB161" s="258">
        <v>0</v>
      </c>
      <c r="AC161" s="258">
        <v>0</v>
      </c>
      <c r="AD161" s="259">
        <v>0</v>
      </c>
      <c r="AE161" s="259">
        <v>0</v>
      </c>
      <c r="AF161" s="259">
        <v>0</v>
      </c>
      <c r="AG161" s="259">
        <v>0</v>
      </c>
      <c r="AH161" s="259">
        <v>0</v>
      </c>
      <c r="AI161" s="259">
        <v>0</v>
      </c>
      <c r="AJ161" s="259">
        <v>0</v>
      </c>
      <c r="AK161" s="259">
        <v>0</v>
      </c>
      <c r="AL161" s="259">
        <v>0</v>
      </c>
      <c r="AM161" s="259">
        <v>0</v>
      </c>
      <c r="AN161" s="259">
        <v>0</v>
      </c>
      <c r="AO161" s="259">
        <v>0</v>
      </c>
      <c r="AP161" s="259"/>
      <c r="AQ161" s="259"/>
      <c r="AR161" s="259"/>
      <c r="AS161" s="259"/>
      <c r="AT161" s="259"/>
      <c r="AU161" s="259"/>
      <c r="AV161" s="259"/>
      <c r="AW161" s="259"/>
      <c r="AX161" s="259"/>
      <c r="AY161" s="259"/>
      <c r="AZ161" s="259"/>
      <c r="BA161" s="259"/>
      <c r="BB161" s="259"/>
      <c r="BC161" s="259"/>
      <c r="BD161" s="259"/>
      <c r="BE161" s="259"/>
      <c r="BF161" s="259"/>
      <c r="BG161" s="259"/>
      <c r="BH161" s="259"/>
      <c r="BI161" s="259"/>
      <c r="BJ161" s="259"/>
      <c r="BK161" s="259"/>
    </row>
    <row r="162" spans="1:63" s="133" customFormat="1" ht="12.75">
      <c r="A162" s="169"/>
      <c r="B162" s="307" t="str">
        <f>Servicio_internaColumna_título_total</f>
        <v>Total</v>
      </c>
      <c r="C162" s="308">
        <v>0</v>
      </c>
      <c r="D162" s="309">
        <v>0</v>
      </c>
      <c r="E162" s="309">
        <v>0</v>
      </c>
      <c r="F162" s="309">
        <v>0</v>
      </c>
      <c r="G162" s="309">
        <v>17418164.925892159</v>
      </c>
      <c r="H162" s="309">
        <v>18708990.840500765</v>
      </c>
      <c r="I162" s="309">
        <v>20407651.847914949</v>
      </c>
      <c r="J162" s="309">
        <v>12180789.450395426</v>
      </c>
      <c r="K162" s="309">
        <v>10523058.563812107</v>
      </c>
      <c r="L162" s="309">
        <v>10401973.750291636</v>
      </c>
      <c r="M162" s="309">
        <v>7500447.5969665321</v>
      </c>
      <c r="N162" s="309">
        <v>11244743.935717324</v>
      </c>
      <c r="O162" s="309">
        <v>3461342.3521322357</v>
      </c>
      <c r="P162" s="309">
        <v>3554512.7773109772</v>
      </c>
      <c r="Q162" s="309">
        <v>2445619.5288474327</v>
      </c>
      <c r="R162" s="309">
        <v>0</v>
      </c>
      <c r="S162" s="309">
        <v>0</v>
      </c>
      <c r="T162" s="309">
        <v>0</v>
      </c>
      <c r="U162" s="309">
        <v>0</v>
      </c>
      <c r="V162" s="309">
        <v>0</v>
      </c>
      <c r="W162" s="309">
        <v>0</v>
      </c>
      <c r="X162" s="309">
        <v>0</v>
      </c>
      <c r="Y162" s="309">
        <v>0</v>
      </c>
      <c r="Z162" s="309">
        <v>0</v>
      </c>
      <c r="AA162" s="309">
        <v>0</v>
      </c>
      <c r="AB162" s="309">
        <v>0</v>
      </c>
      <c r="AC162" s="309">
        <v>0</v>
      </c>
      <c r="AD162" s="309">
        <v>0</v>
      </c>
      <c r="AE162" s="309">
        <v>0</v>
      </c>
      <c r="AF162" s="309">
        <v>0</v>
      </c>
      <c r="AG162" s="309">
        <v>0</v>
      </c>
      <c r="AH162" s="309">
        <v>0</v>
      </c>
      <c r="AI162" s="309">
        <v>0</v>
      </c>
      <c r="AJ162" s="309">
        <v>0</v>
      </c>
      <c r="AK162" s="309">
        <v>0</v>
      </c>
      <c r="AL162" s="309">
        <v>0</v>
      </c>
      <c r="AM162" s="309">
        <v>0</v>
      </c>
      <c r="AN162" s="309">
        <v>0</v>
      </c>
      <c r="AO162" s="309">
        <v>0</v>
      </c>
      <c r="AP162" s="309"/>
      <c r="AQ162" s="309"/>
      <c r="AR162" s="309"/>
      <c r="AS162" s="309"/>
      <c r="AT162" s="309"/>
      <c r="AU162" s="309"/>
      <c r="AV162" s="309"/>
      <c r="AW162" s="309"/>
      <c r="AX162" s="309"/>
      <c r="AY162" s="309"/>
      <c r="AZ162" s="309"/>
      <c r="BA162" s="309"/>
      <c r="BB162" s="309"/>
      <c r="BC162" s="309"/>
      <c r="BD162" s="309"/>
      <c r="BE162" s="309"/>
      <c r="BF162" s="309"/>
      <c r="BG162" s="309"/>
      <c r="BH162" s="309"/>
      <c r="BI162" s="309"/>
      <c r="BJ162" s="309"/>
      <c r="BK162" s="309"/>
    </row>
    <row r="163" spans="1:63" s="80" customFormat="1" ht="12.75">
      <c r="A163" s="167"/>
      <c r="B163" s="210" t="str">
        <f>Servicio_internaColumna_título_amortizaciones</f>
        <v>Amortizaciones</v>
      </c>
      <c r="C163" s="254">
        <v>0</v>
      </c>
      <c r="D163" s="255">
        <v>0</v>
      </c>
      <c r="E163" s="255">
        <v>0</v>
      </c>
      <c r="F163" s="255">
        <v>0</v>
      </c>
      <c r="G163" s="255">
        <v>6938764.6646195129</v>
      </c>
      <c r="H163" s="255">
        <v>12254726.904866012</v>
      </c>
      <c r="I163" s="255">
        <v>14155847.820843434</v>
      </c>
      <c r="J163" s="255">
        <v>7865172.8795654476</v>
      </c>
      <c r="K163" s="255">
        <v>6923515.1394834816</v>
      </c>
      <c r="L163" s="255">
        <v>7624952.0813723383</v>
      </c>
      <c r="M163" s="255">
        <v>5186762.541486375</v>
      </c>
      <c r="N163" s="255">
        <v>9418419.2701357938</v>
      </c>
      <c r="O163" s="255">
        <v>2697712.5096608223</v>
      </c>
      <c r="P163" s="255">
        <v>3268015.7803911697</v>
      </c>
      <c r="Q163" s="255">
        <v>2365094.9167042272</v>
      </c>
      <c r="R163" s="255">
        <v>0</v>
      </c>
      <c r="S163" s="255">
        <v>0</v>
      </c>
      <c r="T163" s="255">
        <v>0</v>
      </c>
      <c r="U163" s="255">
        <v>0</v>
      </c>
      <c r="V163" s="255">
        <v>0</v>
      </c>
      <c r="W163" s="255">
        <v>0</v>
      </c>
      <c r="X163" s="255">
        <v>0</v>
      </c>
      <c r="Y163" s="255">
        <v>0</v>
      </c>
      <c r="Z163" s="255">
        <v>0</v>
      </c>
      <c r="AA163" s="255">
        <v>0</v>
      </c>
      <c r="AB163" s="255">
        <v>0</v>
      </c>
      <c r="AC163" s="255">
        <v>0</v>
      </c>
      <c r="AD163" s="255">
        <v>0</v>
      </c>
      <c r="AE163" s="255">
        <v>0</v>
      </c>
      <c r="AF163" s="255">
        <v>0</v>
      </c>
      <c r="AG163" s="255">
        <v>0</v>
      </c>
      <c r="AH163" s="255">
        <v>0</v>
      </c>
      <c r="AI163" s="255">
        <v>0</v>
      </c>
      <c r="AJ163" s="255">
        <v>0</v>
      </c>
      <c r="AK163" s="255">
        <v>0</v>
      </c>
      <c r="AL163" s="255">
        <v>0</v>
      </c>
      <c r="AM163" s="255">
        <v>0</v>
      </c>
      <c r="AN163" s="255">
        <v>0</v>
      </c>
      <c r="AO163" s="255">
        <v>0</v>
      </c>
      <c r="AP163" s="255"/>
      <c r="AQ163" s="255"/>
      <c r="AR163" s="255"/>
      <c r="AS163" s="255"/>
      <c r="AT163" s="255"/>
      <c r="AU163" s="255"/>
      <c r="AV163" s="255"/>
      <c r="AW163" s="255"/>
      <c r="AX163" s="255"/>
      <c r="AY163" s="255"/>
      <c r="AZ163" s="255"/>
      <c r="BA163" s="255"/>
      <c r="BB163" s="255"/>
      <c r="BC163" s="255"/>
      <c r="BD163" s="255"/>
      <c r="BE163" s="255"/>
      <c r="BF163" s="255"/>
      <c r="BG163" s="255"/>
      <c r="BH163" s="255"/>
      <c r="BI163" s="255"/>
      <c r="BJ163" s="255"/>
      <c r="BK163" s="255"/>
    </row>
    <row r="164" spans="1:63" s="133" customFormat="1" ht="12.75">
      <c r="A164" s="168">
        <v>38503</v>
      </c>
      <c r="B164" s="213" t="str">
        <f>Servicio_internaColumna_título_intereses</f>
        <v>Intereses</v>
      </c>
      <c r="C164" s="256">
        <v>0</v>
      </c>
      <c r="D164" s="257">
        <v>0</v>
      </c>
      <c r="E164" s="257">
        <v>0</v>
      </c>
      <c r="F164" s="257">
        <v>0</v>
      </c>
      <c r="G164" s="257">
        <v>8114666.2225091979</v>
      </c>
      <c r="H164" s="257">
        <v>7668887.7007595133</v>
      </c>
      <c r="I164" s="257">
        <v>6399950.4508257899</v>
      </c>
      <c r="J164" s="257">
        <v>4795412.8407457173</v>
      </c>
      <c r="K164" s="257">
        <v>3901189.694851635</v>
      </c>
      <c r="L164" s="257">
        <v>3108424.0479708342</v>
      </c>
      <c r="M164" s="257">
        <v>2359922.317387579</v>
      </c>
      <c r="N164" s="257">
        <v>1890716.2991104666</v>
      </c>
      <c r="O164" s="257">
        <v>803833.88613899704</v>
      </c>
      <c r="P164" s="257">
        <v>562817.86217854545</v>
      </c>
      <c r="Q164" s="257">
        <v>206286.02528753737</v>
      </c>
      <c r="R164" s="257">
        <v>0</v>
      </c>
      <c r="S164" s="257">
        <v>0</v>
      </c>
      <c r="T164" s="257">
        <v>0</v>
      </c>
      <c r="U164" s="258">
        <v>0</v>
      </c>
      <c r="V164" s="258">
        <v>0</v>
      </c>
      <c r="W164" s="258">
        <v>0</v>
      </c>
      <c r="X164" s="258">
        <v>0</v>
      </c>
      <c r="Y164" s="258">
        <v>0</v>
      </c>
      <c r="Z164" s="258">
        <v>0</v>
      </c>
      <c r="AA164" s="258">
        <v>0</v>
      </c>
      <c r="AB164" s="258">
        <v>0</v>
      </c>
      <c r="AC164" s="258">
        <v>0</v>
      </c>
      <c r="AD164" s="259">
        <v>0</v>
      </c>
      <c r="AE164" s="259">
        <v>0</v>
      </c>
      <c r="AF164" s="259">
        <v>0</v>
      </c>
      <c r="AG164" s="259">
        <v>0</v>
      </c>
      <c r="AH164" s="259">
        <v>0</v>
      </c>
      <c r="AI164" s="259">
        <v>0</v>
      </c>
      <c r="AJ164" s="259">
        <v>0</v>
      </c>
      <c r="AK164" s="259">
        <v>0</v>
      </c>
      <c r="AL164" s="259">
        <v>0</v>
      </c>
      <c r="AM164" s="259">
        <v>0</v>
      </c>
      <c r="AN164" s="259">
        <v>0</v>
      </c>
      <c r="AO164" s="259">
        <v>0</v>
      </c>
      <c r="AP164" s="259"/>
      <c r="AQ164" s="259"/>
      <c r="AR164" s="259"/>
      <c r="AS164" s="259"/>
      <c r="AT164" s="259"/>
      <c r="AU164" s="259"/>
      <c r="AV164" s="259"/>
      <c r="AW164" s="259"/>
      <c r="AX164" s="259"/>
      <c r="AY164" s="259"/>
      <c r="AZ164" s="259"/>
      <c r="BA164" s="259"/>
      <c r="BB164" s="259"/>
      <c r="BC164" s="259"/>
      <c r="BD164" s="259"/>
      <c r="BE164" s="259"/>
      <c r="BF164" s="259"/>
      <c r="BG164" s="259"/>
      <c r="BH164" s="259"/>
      <c r="BI164" s="259"/>
      <c r="BJ164" s="259"/>
      <c r="BK164" s="259"/>
    </row>
    <row r="165" spans="1:63" s="133" customFormat="1" ht="12.75">
      <c r="A165" s="169"/>
      <c r="B165" s="307" t="str">
        <f>Servicio_internaColumna_título_total</f>
        <v>Total</v>
      </c>
      <c r="C165" s="308">
        <v>0</v>
      </c>
      <c r="D165" s="309">
        <v>0</v>
      </c>
      <c r="E165" s="309">
        <v>0</v>
      </c>
      <c r="F165" s="309">
        <v>0</v>
      </c>
      <c r="G165" s="309">
        <v>15053430.887128711</v>
      </c>
      <c r="H165" s="309">
        <v>19923614.605625525</v>
      </c>
      <c r="I165" s="309">
        <v>20555798.271669224</v>
      </c>
      <c r="J165" s="309">
        <v>12660585.720311165</v>
      </c>
      <c r="K165" s="309">
        <v>10824704.834335117</v>
      </c>
      <c r="L165" s="309">
        <v>10733376.129343173</v>
      </c>
      <c r="M165" s="309">
        <v>7546684.858873954</v>
      </c>
      <c r="N165" s="309">
        <v>11309135.56924626</v>
      </c>
      <c r="O165" s="309">
        <v>3501546.3957998194</v>
      </c>
      <c r="P165" s="309">
        <v>3830833.6425697152</v>
      </c>
      <c r="Q165" s="309">
        <v>2571380.9419917646</v>
      </c>
      <c r="R165" s="309">
        <v>0</v>
      </c>
      <c r="S165" s="309">
        <v>0</v>
      </c>
      <c r="T165" s="309">
        <v>0</v>
      </c>
      <c r="U165" s="309">
        <v>0</v>
      </c>
      <c r="V165" s="309">
        <v>0</v>
      </c>
      <c r="W165" s="309">
        <v>0</v>
      </c>
      <c r="X165" s="309">
        <v>0</v>
      </c>
      <c r="Y165" s="309">
        <v>0</v>
      </c>
      <c r="Z165" s="309">
        <v>0</v>
      </c>
      <c r="AA165" s="309">
        <v>0</v>
      </c>
      <c r="AB165" s="309">
        <v>0</v>
      </c>
      <c r="AC165" s="309">
        <v>0</v>
      </c>
      <c r="AD165" s="309">
        <v>0</v>
      </c>
      <c r="AE165" s="309">
        <v>0</v>
      </c>
      <c r="AF165" s="309">
        <v>0</v>
      </c>
      <c r="AG165" s="309">
        <v>0</v>
      </c>
      <c r="AH165" s="309">
        <v>0</v>
      </c>
      <c r="AI165" s="309">
        <v>0</v>
      </c>
      <c r="AJ165" s="309">
        <v>0</v>
      </c>
      <c r="AK165" s="309">
        <v>0</v>
      </c>
      <c r="AL165" s="309">
        <v>0</v>
      </c>
      <c r="AM165" s="309">
        <v>0</v>
      </c>
      <c r="AN165" s="309">
        <v>0</v>
      </c>
      <c r="AO165" s="309">
        <v>0</v>
      </c>
      <c r="AP165" s="309"/>
      <c r="AQ165" s="309"/>
      <c r="AR165" s="309"/>
      <c r="AS165" s="309"/>
      <c r="AT165" s="309"/>
      <c r="AU165" s="309"/>
      <c r="AV165" s="309"/>
      <c r="AW165" s="309"/>
      <c r="AX165" s="309"/>
      <c r="AY165" s="309"/>
      <c r="AZ165" s="309"/>
      <c r="BA165" s="309"/>
      <c r="BB165" s="309"/>
      <c r="BC165" s="309"/>
      <c r="BD165" s="309"/>
      <c r="BE165" s="309"/>
      <c r="BF165" s="309"/>
      <c r="BG165" s="309"/>
      <c r="BH165" s="309"/>
      <c r="BI165" s="309"/>
      <c r="BJ165" s="309"/>
      <c r="BK165" s="309"/>
    </row>
    <row r="166" spans="1:63" s="80" customFormat="1" ht="12.75">
      <c r="A166" s="167"/>
      <c r="B166" s="210" t="str">
        <f>Servicio_internaColumna_título_amortizaciones</f>
        <v>Amortizaciones</v>
      </c>
      <c r="C166" s="254">
        <v>0</v>
      </c>
      <c r="D166" s="255">
        <v>0</v>
      </c>
      <c r="E166" s="255">
        <v>0</v>
      </c>
      <c r="F166" s="255">
        <v>0</v>
      </c>
      <c r="G166" s="255">
        <v>5491408.4463345231</v>
      </c>
      <c r="H166" s="255">
        <v>12689828.5182354</v>
      </c>
      <c r="I166" s="255">
        <v>14169177.717948139</v>
      </c>
      <c r="J166" s="255">
        <v>8156877.9907609113</v>
      </c>
      <c r="K166" s="255">
        <v>7335939.8414446963</v>
      </c>
      <c r="L166" s="255">
        <v>8276400.0322556011</v>
      </c>
      <c r="M166" s="255">
        <v>5193431.1293707732</v>
      </c>
      <c r="N166" s="255">
        <v>9437459.8266547956</v>
      </c>
      <c r="O166" s="255">
        <v>2700035.2283870527</v>
      </c>
      <c r="P166" s="255">
        <v>4215911.1598754935</v>
      </c>
      <c r="Q166" s="255">
        <v>2543792.751095274</v>
      </c>
      <c r="R166" s="255">
        <v>0</v>
      </c>
      <c r="S166" s="255">
        <v>0</v>
      </c>
      <c r="T166" s="255">
        <v>0</v>
      </c>
      <c r="U166" s="255">
        <v>0</v>
      </c>
      <c r="V166" s="255">
        <v>0</v>
      </c>
      <c r="W166" s="255">
        <v>0</v>
      </c>
      <c r="X166" s="255">
        <v>0</v>
      </c>
      <c r="Y166" s="255">
        <v>0</v>
      </c>
      <c r="Z166" s="255">
        <v>0</v>
      </c>
      <c r="AA166" s="255">
        <v>0</v>
      </c>
      <c r="AB166" s="255">
        <v>0</v>
      </c>
      <c r="AC166" s="255">
        <v>0</v>
      </c>
      <c r="AD166" s="255">
        <v>0</v>
      </c>
      <c r="AE166" s="255">
        <v>0</v>
      </c>
      <c r="AF166" s="255">
        <v>0</v>
      </c>
      <c r="AG166" s="255">
        <v>0</v>
      </c>
      <c r="AH166" s="255">
        <v>0</v>
      </c>
      <c r="AI166" s="255">
        <v>0</v>
      </c>
      <c r="AJ166" s="255">
        <v>0</v>
      </c>
      <c r="AK166" s="255">
        <v>0</v>
      </c>
      <c r="AL166" s="255">
        <v>0</v>
      </c>
      <c r="AM166" s="255">
        <v>0</v>
      </c>
      <c r="AN166" s="255">
        <v>0</v>
      </c>
      <c r="AO166" s="255">
        <v>0</v>
      </c>
      <c r="AP166" s="255"/>
      <c r="AQ166" s="255"/>
      <c r="AR166" s="255"/>
      <c r="AS166" s="255"/>
      <c r="AT166" s="255"/>
      <c r="AU166" s="255"/>
      <c r="AV166" s="255"/>
      <c r="AW166" s="255"/>
      <c r="AX166" s="255"/>
      <c r="AY166" s="255"/>
      <c r="AZ166" s="255"/>
      <c r="BA166" s="255"/>
      <c r="BB166" s="255"/>
      <c r="BC166" s="255"/>
      <c r="BD166" s="255"/>
      <c r="BE166" s="255"/>
      <c r="BF166" s="255"/>
      <c r="BG166" s="255"/>
      <c r="BH166" s="255"/>
      <c r="BI166" s="255"/>
      <c r="BJ166" s="255"/>
      <c r="BK166" s="255"/>
    </row>
    <row r="167" spans="1:63" s="133" customFormat="1" ht="12.75">
      <c r="A167" s="168">
        <v>38533</v>
      </c>
      <c r="B167" s="213" t="str">
        <f>Servicio_internaColumna_título_intereses</f>
        <v>Intereses</v>
      </c>
      <c r="C167" s="256">
        <v>0</v>
      </c>
      <c r="D167" s="257">
        <v>0</v>
      </c>
      <c r="E167" s="257">
        <v>0</v>
      </c>
      <c r="F167" s="257">
        <v>0</v>
      </c>
      <c r="G167" s="257">
        <v>8304746.9299117709</v>
      </c>
      <c r="H167" s="257">
        <v>8002473.6709807068</v>
      </c>
      <c r="I167" s="257">
        <v>6701879.0054121204</v>
      </c>
      <c r="J167" s="257">
        <v>5095698.1388447545</v>
      </c>
      <c r="K167" s="257">
        <v>4169926.6470328355</v>
      </c>
      <c r="L167" s="257">
        <v>3326430.1058337521</v>
      </c>
      <c r="M167" s="257">
        <v>2497510.464188382</v>
      </c>
      <c r="N167" s="257">
        <v>2028535.270803038</v>
      </c>
      <c r="O167" s="257">
        <v>941924.01887761662</v>
      </c>
      <c r="P167" s="257">
        <v>701221.55269773491</v>
      </c>
      <c r="Q167" s="257">
        <v>217374.47332096612</v>
      </c>
      <c r="R167" s="257">
        <v>0</v>
      </c>
      <c r="S167" s="257">
        <v>0</v>
      </c>
      <c r="T167" s="257">
        <v>0</v>
      </c>
      <c r="U167" s="258">
        <v>0</v>
      </c>
      <c r="V167" s="258">
        <v>0</v>
      </c>
      <c r="W167" s="258">
        <v>0</v>
      </c>
      <c r="X167" s="258">
        <v>0</v>
      </c>
      <c r="Y167" s="258">
        <v>0</v>
      </c>
      <c r="Z167" s="258">
        <v>0</v>
      </c>
      <c r="AA167" s="258">
        <v>0</v>
      </c>
      <c r="AB167" s="258">
        <v>0</v>
      </c>
      <c r="AC167" s="258">
        <v>0</v>
      </c>
      <c r="AD167" s="259">
        <v>0</v>
      </c>
      <c r="AE167" s="259">
        <v>0</v>
      </c>
      <c r="AF167" s="259">
        <v>0</v>
      </c>
      <c r="AG167" s="259">
        <v>0</v>
      </c>
      <c r="AH167" s="259">
        <v>0</v>
      </c>
      <c r="AI167" s="259">
        <v>0</v>
      </c>
      <c r="AJ167" s="259">
        <v>0</v>
      </c>
      <c r="AK167" s="259">
        <v>0</v>
      </c>
      <c r="AL167" s="259">
        <v>0</v>
      </c>
      <c r="AM167" s="259">
        <v>0</v>
      </c>
      <c r="AN167" s="259">
        <v>0</v>
      </c>
      <c r="AO167" s="259">
        <v>0</v>
      </c>
      <c r="AP167" s="259"/>
      <c r="AQ167" s="259"/>
      <c r="AR167" s="259"/>
      <c r="AS167" s="259"/>
      <c r="AT167" s="259"/>
      <c r="AU167" s="259"/>
      <c r="AV167" s="259"/>
      <c r="AW167" s="259"/>
      <c r="AX167" s="259"/>
      <c r="AY167" s="259"/>
      <c r="AZ167" s="259"/>
      <c r="BA167" s="259"/>
      <c r="BB167" s="259"/>
      <c r="BC167" s="259"/>
      <c r="BD167" s="259"/>
      <c r="BE167" s="259"/>
      <c r="BF167" s="259"/>
      <c r="BG167" s="259"/>
      <c r="BH167" s="259"/>
      <c r="BI167" s="259"/>
      <c r="BJ167" s="259"/>
      <c r="BK167" s="259"/>
    </row>
    <row r="168" spans="1:63" s="133" customFormat="1" ht="12.75">
      <c r="A168" s="169"/>
      <c r="B168" s="307" t="str">
        <f>Servicio_internaColumna_título_total</f>
        <v>Total</v>
      </c>
      <c r="C168" s="308">
        <v>0</v>
      </c>
      <c r="D168" s="309">
        <v>0</v>
      </c>
      <c r="E168" s="309">
        <v>0</v>
      </c>
      <c r="F168" s="309">
        <v>0</v>
      </c>
      <c r="G168" s="309">
        <v>13796155.376246294</v>
      </c>
      <c r="H168" s="309">
        <v>20692302.189216107</v>
      </c>
      <c r="I168" s="309">
        <v>20871056.723360259</v>
      </c>
      <c r="J168" s="309">
        <v>13252576.129605666</v>
      </c>
      <c r="K168" s="309">
        <v>11505866.488477532</v>
      </c>
      <c r="L168" s="309">
        <v>11602830.138089353</v>
      </c>
      <c r="M168" s="309">
        <v>7690941.5935591552</v>
      </c>
      <c r="N168" s="309">
        <v>11465995.097457834</v>
      </c>
      <c r="O168" s="309">
        <v>3641959.2472646693</v>
      </c>
      <c r="P168" s="309">
        <v>4917132.7125732284</v>
      </c>
      <c r="Q168" s="309">
        <v>2761167.2244162401</v>
      </c>
      <c r="R168" s="309">
        <v>0</v>
      </c>
      <c r="S168" s="309">
        <v>0</v>
      </c>
      <c r="T168" s="309">
        <v>0</v>
      </c>
      <c r="U168" s="309">
        <v>0</v>
      </c>
      <c r="V168" s="309">
        <v>0</v>
      </c>
      <c r="W168" s="309">
        <v>0</v>
      </c>
      <c r="X168" s="309">
        <v>0</v>
      </c>
      <c r="Y168" s="309">
        <v>0</v>
      </c>
      <c r="Z168" s="309">
        <v>0</v>
      </c>
      <c r="AA168" s="309">
        <v>0</v>
      </c>
      <c r="AB168" s="309">
        <v>0</v>
      </c>
      <c r="AC168" s="309">
        <v>0</v>
      </c>
      <c r="AD168" s="309">
        <v>0</v>
      </c>
      <c r="AE168" s="309">
        <v>0</v>
      </c>
      <c r="AF168" s="309">
        <v>0</v>
      </c>
      <c r="AG168" s="309">
        <v>0</v>
      </c>
      <c r="AH168" s="309">
        <v>0</v>
      </c>
      <c r="AI168" s="309">
        <v>0</v>
      </c>
      <c r="AJ168" s="309">
        <v>0</v>
      </c>
      <c r="AK168" s="309">
        <v>0</v>
      </c>
      <c r="AL168" s="309">
        <v>0</v>
      </c>
      <c r="AM168" s="309">
        <v>0</v>
      </c>
      <c r="AN168" s="309">
        <v>0</v>
      </c>
      <c r="AO168" s="309">
        <v>0</v>
      </c>
      <c r="AP168" s="309"/>
      <c r="AQ168" s="309"/>
      <c r="AR168" s="309"/>
      <c r="AS168" s="309"/>
      <c r="AT168" s="309"/>
      <c r="AU168" s="309"/>
      <c r="AV168" s="309"/>
      <c r="AW168" s="309"/>
      <c r="AX168" s="309"/>
      <c r="AY168" s="309"/>
      <c r="AZ168" s="309"/>
      <c r="BA168" s="309"/>
      <c r="BB168" s="309"/>
      <c r="BC168" s="309"/>
      <c r="BD168" s="309"/>
      <c r="BE168" s="309"/>
      <c r="BF168" s="309"/>
      <c r="BG168" s="309"/>
      <c r="BH168" s="309"/>
      <c r="BI168" s="309"/>
      <c r="BJ168" s="309"/>
      <c r="BK168" s="309"/>
    </row>
    <row r="169" spans="1:63" s="80" customFormat="1" ht="12.75">
      <c r="A169" s="167"/>
      <c r="B169" s="210" t="str">
        <f>Servicio_internaColumna_título_amortizaciones</f>
        <v>Amortizaciones</v>
      </c>
      <c r="C169" s="254">
        <v>0</v>
      </c>
      <c r="D169" s="255">
        <v>0</v>
      </c>
      <c r="E169" s="255">
        <v>0</v>
      </c>
      <c r="F169" s="255">
        <v>0</v>
      </c>
      <c r="G169" s="255">
        <v>5861392.9132172735</v>
      </c>
      <c r="H169" s="255">
        <v>12794938.789979095</v>
      </c>
      <c r="I169" s="255">
        <v>14181973.255687736</v>
      </c>
      <c r="J169" s="255">
        <v>8310229.8555761855</v>
      </c>
      <c r="K169" s="255">
        <v>7492816.5969748134</v>
      </c>
      <c r="L169" s="255">
        <v>8447010.9168638345</v>
      </c>
      <c r="M169" s="255">
        <v>5199883.9873560127</v>
      </c>
      <c r="N169" s="255">
        <v>9456875.5236348659</v>
      </c>
      <c r="O169" s="255">
        <v>2702187.9830922047</v>
      </c>
      <c r="P169" s="255">
        <v>4476098.4314642185</v>
      </c>
      <c r="Q169" s="255">
        <v>2666972.3816237375</v>
      </c>
      <c r="R169" s="255">
        <v>0</v>
      </c>
      <c r="S169" s="255">
        <v>0</v>
      </c>
      <c r="T169" s="255">
        <v>0</v>
      </c>
      <c r="U169" s="255">
        <v>0</v>
      </c>
      <c r="V169" s="255">
        <v>71652.399999999994</v>
      </c>
      <c r="W169" s="255">
        <v>0</v>
      </c>
      <c r="X169" s="255">
        <v>0</v>
      </c>
      <c r="Y169" s="255">
        <v>0</v>
      </c>
      <c r="Z169" s="255">
        <v>0</v>
      </c>
      <c r="AA169" s="255">
        <v>0</v>
      </c>
      <c r="AB169" s="255">
        <v>0</v>
      </c>
      <c r="AC169" s="255">
        <v>0</v>
      </c>
      <c r="AD169" s="255">
        <v>0</v>
      </c>
      <c r="AE169" s="255">
        <v>0</v>
      </c>
      <c r="AF169" s="255">
        <v>0</v>
      </c>
      <c r="AG169" s="255">
        <v>0</v>
      </c>
      <c r="AH169" s="255">
        <v>0</v>
      </c>
      <c r="AI169" s="255">
        <v>0</v>
      </c>
      <c r="AJ169" s="255">
        <v>0</v>
      </c>
      <c r="AK169" s="255">
        <v>0</v>
      </c>
      <c r="AL169" s="255">
        <v>0</v>
      </c>
      <c r="AM169" s="255">
        <v>0</v>
      </c>
      <c r="AN169" s="255">
        <v>0</v>
      </c>
      <c r="AO169" s="255">
        <v>0</v>
      </c>
      <c r="AP169" s="255"/>
      <c r="AQ169" s="255"/>
      <c r="AR169" s="255"/>
      <c r="AS169" s="255"/>
      <c r="AT169" s="255"/>
      <c r="AU169" s="255"/>
      <c r="AV169" s="255"/>
      <c r="AW169" s="255"/>
      <c r="AX169" s="255"/>
      <c r="AY169" s="255"/>
      <c r="AZ169" s="255"/>
      <c r="BA169" s="255"/>
      <c r="BB169" s="255"/>
      <c r="BC169" s="255"/>
      <c r="BD169" s="255"/>
      <c r="BE169" s="255"/>
      <c r="BF169" s="255"/>
      <c r="BG169" s="255"/>
      <c r="BH169" s="255"/>
      <c r="BI169" s="255"/>
      <c r="BJ169" s="255"/>
      <c r="BK169" s="255"/>
    </row>
    <row r="170" spans="1:63" s="133" customFormat="1" ht="12.75">
      <c r="A170" s="168">
        <v>38564</v>
      </c>
      <c r="B170" s="213" t="str">
        <f>Servicio_internaColumna_título_intereses</f>
        <v>Intereses</v>
      </c>
      <c r="C170" s="256">
        <v>0</v>
      </c>
      <c r="D170" s="257">
        <v>0</v>
      </c>
      <c r="E170" s="257">
        <v>0</v>
      </c>
      <c r="F170" s="257">
        <v>0</v>
      </c>
      <c r="G170" s="257">
        <v>8385183.6690324945</v>
      </c>
      <c r="H170" s="257">
        <v>8106955.5301990714</v>
      </c>
      <c r="I170" s="257">
        <v>6799643.6436214186</v>
      </c>
      <c r="J170" s="257">
        <v>5194852.8759256136</v>
      </c>
      <c r="K170" s="257">
        <v>4253635.2862746259</v>
      </c>
      <c r="L170" s="257">
        <v>3391363.4714196976</v>
      </c>
      <c r="M170" s="257">
        <v>2545227.2459805319</v>
      </c>
      <c r="N170" s="257">
        <v>2076366.3202296756</v>
      </c>
      <c r="O170" s="257">
        <v>989764.09818405658</v>
      </c>
      <c r="P170" s="257">
        <v>749215.73378250189</v>
      </c>
      <c r="Q170" s="257">
        <v>230705.78973753424</v>
      </c>
      <c r="R170" s="257">
        <v>7881.7639999999992</v>
      </c>
      <c r="S170" s="257">
        <v>7881.7639999999992</v>
      </c>
      <c r="T170" s="257">
        <v>7881.7639999999992</v>
      </c>
      <c r="U170" s="258">
        <v>7881.7639999999992</v>
      </c>
      <c r="V170" s="258">
        <v>7881.7639999999956</v>
      </c>
      <c r="W170" s="258">
        <v>0</v>
      </c>
      <c r="X170" s="258">
        <v>0</v>
      </c>
      <c r="Y170" s="258">
        <v>0</v>
      </c>
      <c r="Z170" s="258">
        <v>0</v>
      </c>
      <c r="AA170" s="258">
        <v>0</v>
      </c>
      <c r="AB170" s="258">
        <v>0</v>
      </c>
      <c r="AC170" s="258">
        <v>0</v>
      </c>
      <c r="AD170" s="259">
        <v>0</v>
      </c>
      <c r="AE170" s="259">
        <v>0</v>
      </c>
      <c r="AF170" s="259">
        <v>0</v>
      </c>
      <c r="AG170" s="259">
        <v>0</v>
      </c>
      <c r="AH170" s="259">
        <v>0</v>
      </c>
      <c r="AI170" s="259">
        <v>0</v>
      </c>
      <c r="AJ170" s="259">
        <v>0</v>
      </c>
      <c r="AK170" s="259">
        <v>0</v>
      </c>
      <c r="AL170" s="259">
        <v>0</v>
      </c>
      <c r="AM170" s="259">
        <v>0</v>
      </c>
      <c r="AN170" s="259">
        <v>0</v>
      </c>
      <c r="AO170" s="259">
        <v>0</v>
      </c>
      <c r="AP170" s="259"/>
      <c r="AQ170" s="259"/>
      <c r="AR170" s="259"/>
      <c r="AS170" s="259"/>
      <c r="AT170" s="259"/>
      <c r="AU170" s="259"/>
      <c r="AV170" s="259"/>
      <c r="AW170" s="259"/>
      <c r="AX170" s="259"/>
      <c r="AY170" s="259"/>
      <c r="AZ170" s="259"/>
      <c r="BA170" s="259"/>
      <c r="BB170" s="259"/>
      <c r="BC170" s="259"/>
      <c r="BD170" s="259"/>
      <c r="BE170" s="259"/>
      <c r="BF170" s="259"/>
      <c r="BG170" s="259"/>
      <c r="BH170" s="259"/>
      <c r="BI170" s="259"/>
      <c r="BJ170" s="259"/>
      <c r="BK170" s="259"/>
    </row>
    <row r="171" spans="1:63" s="133" customFormat="1" ht="12.75">
      <c r="A171" s="169"/>
      <c r="B171" s="307" t="str">
        <f>Servicio_internaColumna_título_total</f>
        <v>Total</v>
      </c>
      <c r="C171" s="308">
        <v>0</v>
      </c>
      <c r="D171" s="309">
        <v>0</v>
      </c>
      <c r="E171" s="309">
        <v>0</v>
      </c>
      <c r="F171" s="309">
        <v>0</v>
      </c>
      <c r="G171" s="309">
        <v>14246576.582249768</v>
      </c>
      <c r="H171" s="309">
        <v>20901894.320178166</v>
      </c>
      <c r="I171" s="309">
        <v>20981616.899309155</v>
      </c>
      <c r="J171" s="309">
        <v>13505082.731501799</v>
      </c>
      <c r="K171" s="309">
        <v>11746451.883249439</v>
      </c>
      <c r="L171" s="309">
        <v>11838374.388283532</v>
      </c>
      <c r="M171" s="309">
        <v>7745111.2333365446</v>
      </c>
      <c r="N171" s="309">
        <v>11533241.843864542</v>
      </c>
      <c r="O171" s="309">
        <v>3691952.0812762612</v>
      </c>
      <c r="P171" s="309">
        <v>5225314.1652467204</v>
      </c>
      <c r="Q171" s="309">
        <v>2897678.1713612718</v>
      </c>
      <c r="R171" s="309">
        <v>7881.7639999999992</v>
      </c>
      <c r="S171" s="309">
        <v>7881.7639999999992</v>
      </c>
      <c r="T171" s="309">
        <v>7881.7639999999992</v>
      </c>
      <c r="U171" s="309">
        <v>7881.7639999999992</v>
      </c>
      <c r="V171" s="309">
        <v>79534.16399999999</v>
      </c>
      <c r="W171" s="309">
        <v>0</v>
      </c>
      <c r="X171" s="309">
        <v>0</v>
      </c>
      <c r="Y171" s="309">
        <v>0</v>
      </c>
      <c r="Z171" s="309">
        <v>0</v>
      </c>
      <c r="AA171" s="309">
        <v>0</v>
      </c>
      <c r="AB171" s="309">
        <v>0</v>
      </c>
      <c r="AC171" s="309">
        <v>0</v>
      </c>
      <c r="AD171" s="309">
        <v>0</v>
      </c>
      <c r="AE171" s="309">
        <v>0</v>
      </c>
      <c r="AF171" s="309">
        <v>0</v>
      </c>
      <c r="AG171" s="309">
        <v>0</v>
      </c>
      <c r="AH171" s="309">
        <v>0</v>
      </c>
      <c r="AI171" s="309">
        <v>0</v>
      </c>
      <c r="AJ171" s="309">
        <v>0</v>
      </c>
      <c r="AK171" s="309">
        <v>0</v>
      </c>
      <c r="AL171" s="309">
        <v>0</v>
      </c>
      <c r="AM171" s="309">
        <v>0</v>
      </c>
      <c r="AN171" s="309">
        <v>0</v>
      </c>
      <c r="AO171" s="309">
        <v>0</v>
      </c>
      <c r="AP171" s="309"/>
      <c r="AQ171" s="309"/>
      <c r="AR171" s="309"/>
      <c r="AS171" s="309"/>
      <c r="AT171" s="309"/>
      <c r="AU171" s="309"/>
      <c r="AV171" s="309"/>
      <c r="AW171" s="309"/>
      <c r="AX171" s="309"/>
      <c r="AY171" s="309"/>
      <c r="AZ171" s="309"/>
      <c r="BA171" s="309"/>
      <c r="BB171" s="309"/>
      <c r="BC171" s="309"/>
      <c r="BD171" s="309"/>
      <c r="BE171" s="309"/>
      <c r="BF171" s="309"/>
      <c r="BG171" s="309"/>
      <c r="BH171" s="309"/>
      <c r="BI171" s="309"/>
      <c r="BJ171" s="309"/>
      <c r="BK171" s="309"/>
    </row>
    <row r="172" spans="1:63" s="80" customFormat="1" ht="12.75">
      <c r="A172" s="167"/>
      <c r="B172" s="210" t="str">
        <f>Servicio_internaColumna_título_amortizaciones</f>
        <v>Amortizaciones</v>
      </c>
      <c r="C172" s="254">
        <v>0</v>
      </c>
      <c r="D172" s="255">
        <v>0</v>
      </c>
      <c r="E172" s="255">
        <v>0</v>
      </c>
      <c r="F172" s="255">
        <v>0</v>
      </c>
      <c r="G172" s="255">
        <v>4966271.3177752001</v>
      </c>
      <c r="H172" s="255">
        <v>14020516.490330389</v>
      </c>
      <c r="I172" s="255">
        <v>14189022.414958356</v>
      </c>
      <c r="J172" s="255">
        <v>8473388.5660566911</v>
      </c>
      <c r="K172" s="255">
        <v>7773122.066381745</v>
      </c>
      <c r="L172" s="255">
        <v>8500661.240071414</v>
      </c>
      <c r="M172" s="255">
        <v>5203552.553981984</v>
      </c>
      <c r="N172" s="255">
        <v>9467399.4538158569</v>
      </c>
      <c r="O172" s="255">
        <v>2703560.5992537527</v>
      </c>
      <c r="P172" s="255">
        <v>4633322.3789594788</v>
      </c>
      <c r="Q172" s="255">
        <v>2794703.264271019</v>
      </c>
      <c r="R172" s="255">
        <v>0</v>
      </c>
      <c r="S172" s="255">
        <v>0</v>
      </c>
      <c r="T172" s="255">
        <v>0</v>
      </c>
      <c r="U172" s="255">
        <v>0</v>
      </c>
      <c r="V172" s="255">
        <v>215765.6</v>
      </c>
      <c r="W172" s="255">
        <v>0</v>
      </c>
      <c r="X172" s="255">
        <v>0</v>
      </c>
      <c r="Y172" s="255">
        <v>0</v>
      </c>
      <c r="Z172" s="255">
        <v>0</v>
      </c>
      <c r="AA172" s="255">
        <v>0</v>
      </c>
      <c r="AB172" s="255">
        <v>0</v>
      </c>
      <c r="AC172" s="255">
        <v>0</v>
      </c>
      <c r="AD172" s="255">
        <v>0</v>
      </c>
      <c r="AE172" s="255">
        <v>0</v>
      </c>
      <c r="AF172" s="255">
        <v>0</v>
      </c>
      <c r="AG172" s="255">
        <v>0</v>
      </c>
      <c r="AH172" s="255">
        <v>0</v>
      </c>
      <c r="AI172" s="255">
        <v>0</v>
      </c>
      <c r="AJ172" s="255">
        <v>0</v>
      </c>
      <c r="AK172" s="255">
        <v>0</v>
      </c>
      <c r="AL172" s="255">
        <v>0</v>
      </c>
      <c r="AM172" s="255">
        <v>0</v>
      </c>
      <c r="AN172" s="255">
        <v>0</v>
      </c>
      <c r="AO172" s="255">
        <v>0</v>
      </c>
      <c r="AP172" s="255"/>
      <c r="AQ172" s="255"/>
      <c r="AR172" s="255"/>
      <c r="AS172" s="255"/>
      <c r="AT172" s="255"/>
      <c r="AU172" s="255"/>
      <c r="AV172" s="255"/>
      <c r="AW172" s="255"/>
      <c r="AX172" s="255"/>
      <c r="AY172" s="255"/>
      <c r="AZ172" s="255"/>
      <c r="BA172" s="255"/>
      <c r="BB172" s="255"/>
      <c r="BC172" s="255"/>
      <c r="BD172" s="255"/>
      <c r="BE172" s="255"/>
      <c r="BF172" s="255"/>
      <c r="BG172" s="255"/>
      <c r="BH172" s="255"/>
      <c r="BI172" s="255"/>
      <c r="BJ172" s="255"/>
      <c r="BK172" s="255"/>
    </row>
    <row r="173" spans="1:63" s="133" customFormat="1" ht="12.75">
      <c r="A173" s="168">
        <v>38595</v>
      </c>
      <c r="B173" s="213" t="str">
        <f>Servicio_internaColumna_título_intereses</f>
        <v>Intereses</v>
      </c>
      <c r="C173" s="256">
        <v>0</v>
      </c>
      <c r="D173" s="257">
        <v>0</v>
      </c>
      <c r="E173" s="257">
        <v>0</v>
      </c>
      <c r="F173" s="257">
        <v>0</v>
      </c>
      <c r="G173" s="257">
        <v>8442680.5145054534</v>
      </c>
      <c r="H173" s="257">
        <v>8329809.7694758791</v>
      </c>
      <c r="I173" s="257">
        <v>6874705.2136865277</v>
      </c>
      <c r="J173" s="257">
        <v>5273524.2953897975</v>
      </c>
      <c r="K173" s="257">
        <v>4332490.4581275973</v>
      </c>
      <c r="L173" s="257">
        <v>3437007.3420864623</v>
      </c>
      <c r="M173" s="257">
        <v>2587582.5634248359</v>
      </c>
      <c r="N173" s="257">
        <v>2118910.4718296099</v>
      </c>
      <c r="O173" s="257">
        <v>1032554.8552898038</v>
      </c>
      <c r="P173" s="257">
        <v>792183.69216617569</v>
      </c>
      <c r="Q173" s="257">
        <v>252824.6694376138</v>
      </c>
      <c r="R173" s="257">
        <v>23734.216</v>
      </c>
      <c r="S173" s="257">
        <v>23734.216</v>
      </c>
      <c r="T173" s="257">
        <v>23734.216</v>
      </c>
      <c r="U173" s="258">
        <v>23734.216</v>
      </c>
      <c r="V173" s="258">
        <v>23734.215999999986</v>
      </c>
      <c r="W173" s="258">
        <v>0</v>
      </c>
      <c r="X173" s="258">
        <v>0</v>
      </c>
      <c r="Y173" s="258">
        <v>0</v>
      </c>
      <c r="Z173" s="258">
        <v>0</v>
      </c>
      <c r="AA173" s="258">
        <v>0</v>
      </c>
      <c r="AB173" s="258">
        <v>0</v>
      </c>
      <c r="AC173" s="258">
        <v>0</v>
      </c>
      <c r="AD173" s="259">
        <v>0</v>
      </c>
      <c r="AE173" s="259">
        <v>0</v>
      </c>
      <c r="AF173" s="259">
        <v>0</v>
      </c>
      <c r="AG173" s="259">
        <v>0</v>
      </c>
      <c r="AH173" s="259">
        <v>0</v>
      </c>
      <c r="AI173" s="259">
        <v>0</v>
      </c>
      <c r="AJ173" s="259">
        <v>0</v>
      </c>
      <c r="AK173" s="259">
        <v>0</v>
      </c>
      <c r="AL173" s="259">
        <v>0</v>
      </c>
      <c r="AM173" s="259">
        <v>0</v>
      </c>
      <c r="AN173" s="259">
        <v>0</v>
      </c>
      <c r="AO173" s="259">
        <v>0</v>
      </c>
      <c r="AP173" s="259"/>
      <c r="AQ173" s="259"/>
      <c r="AR173" s="259"/>
      <c r="AS173" s="259"/>
      <c r="AT173" s="259"/>
      <c r="AU173" s="259"/>
      <c r="AV173" s="259"/>
      <c r="AW173" s="259"/>
      <c r="AX173" s="259"/>
      <c r="AY173" s="259"/>
      <c r="AZ173" s="259"/>
      <c r="BA173" s="259"/>
      <c r="BB173" s="259"/>
      <c r="BC173" s="259"/>
      <c r="BD173" s="259"/>
      <c r="BE173" s="259"/>
      <c r="BF173" s="259"/>
      <c r="BG173" s="259"/>
      <c r="BH173" s="259"/>
      <c r="BI173" s="259"/>
      <c r="BJ173" s="259"/>
      <c r="BK173" s="259"/>
    </row>
    <row r="174" spans="1:63" s="133" customFormat="1" ht="12.75">
      <c r="A174" s="169"/>
      <c r="B174" s="307" t="str">
        <f>Servicio_internaColumna_título_total</f>
        <v>Total</v>
      </c>
      <c r="C174" s="308">
        <v>0</v>
      </c>
      <c r="D174" s="309">
        <v>0</v>
      </c>
      <c r="E174" s="309">
        <v>0</v>
      </c>
      <c r="F174" s="309">
        <v>0</v>
      </c>
      <c r="G174" s="309">
        <v>13408951.832280654</v>
      </c>
      <c r="H174" s="309">
        <v>22350326.259806268</v>
      </c>
      <c r="I174" s="309">
        <v>21063727.628644884</v>
      </c>
      <c r="J174" s="309">
        <v>13746912.861446489</v>
      </c>
      <c r="K174" s="309">
        <v>12105612.524509342</v>
      </c>
      <c r="L174" s="309">
        <v>11937668.582157876</v>
      </c>
      <c r="M174" s="309">
        <v>7791135.1174068199</v>
      </c>
      <c r="N174" s="309">
        <v>11586309.925645467</v>
      </c>
      <c r="O174" s="309">
        <v>3736115.4545435566</v>
      </c>
      <c r="P174" s="309">
        <v>5425506.0711256545</v>
      </c>
      <c r="Q174" s="309">
        <v>3047527.9337086328</v>
      </c>
      <c r="R174" s="309">
        <v>23734.216</v>
      </c>
      <c r="S174" s="309">
        <v>23734.216</v>
      </c>
      <c r="T174" s="309">
        <v>23734.216</v>
      </c>
      <c r="U174" s="309">
        <v>23734.216</v>
      </c>
      <c r="V174" s="309">
        <v>239499.81599999999</v>
      </c>
      <c r="W174" s="309">
        <v>0</v>
      </c>
      <c r="X174" s="309">
        <v>0</v>
      </c>
      <c r="Y174" s="309">
        <v>0</v>
      </c>
      <c r="Z174" s="309">
        <v>0</v>
      </c>
      <c r="AA174" s="309">
        <v>0</v>
      </c>
      <c r="AB174" s="309">
        <v>0</v>
      </c>
      <c r="AC174" s="309">
        <v>0</v>
      </c>
      <c r="AD174" s="309">
        <v>0</v>
      </c>
      <c r="AE174" s="309">
        <v>0</v>
      </c>
      <c r="AF174" s="309">
        <v>0</v>
      </c>
      <c r="AG174" s="309">
        <v>0</v>
      </c>
      <c r="AH174" s="309">
        <v>0</v>
      </c>
      <c r="AI174" s="309">
        <v>0</v>
      </c>
      <c r="AJ174" s="309">
        <v>0</v>
      </c>
      <c r="AK174" s="309">
        <v>0</v>
      </c>
      <c r="AL174" s="309">
        <v>0</v>
      </c>
      <c r="AM174" s="309">
        <v>0</v>
      </c>
      <c r="AN174" s="309">
        <v>0</v>
      </c>
      <c r="AO174" s="309">
        <v>0</v>
      </c>
      <c r="AP174" s="309"/>
      <c r="AQ174" s="309"/>
      <c r="AR174" s="309"/>
      <c r="AS174" s="309"/>
      <c r="AT174" s="309"/>
      <c r="AU174" s="309"/>
      <c r="AV174" s="309"/>
      <c r="AW174" s="309"/>
      <c r="AX174" s="309"/>
      <c r="AY174" s="309"/>
      <c r="AZ174" s="309"/>
      <c r="BA174" s="309"/>
      <c r="BB174" s="309"/>
      <c r="BC174" s="309"/>
      <c r="BD174" s="309"/>
      <c r="BE174" s="309"/>
      <c r="BF174" s="309"/>
      <c r="BG174" s="309"/>
      <c r="BH174" s="309"/>
      <c r="BI174" s="309"/>
      <c r="BJ174" s="309"/>
      <c r="BK174" s="309"/>
    </row>
    <row r="175" spans="1:63" s="80" customFormat="1" ht="12.75">
      <c r="A175" s="167"/>
      <c r="B175" s="210" t="str">
        <f>Servicio_internaColumna_título_amortizaciones</f>
        <v>Amortizaciones</v>
      </c>
      <c r="C175" s="254">
        <v>0</v>
      </c>
      <c r="D175" s="255">
        <v>0</v>
      </c>
      <c r="E175" s="255">
        <v>0</v>
      </c>
      <c r="F175" s="255">
        <v>0</v>
      </c>
      <c r="G175" s="255">
        <v>1892772.1617814926</v>
      </c>
      <c r="H175" s="255">
        <v>14897420.809278563</v>
      </c>
      <c r="I175" s="255">
        <v>14300346.416398678</v>
      </c>
      <c r="J175" s="255">
        <v>8832801.3734762296</v>
      </c>
      <c r="K175" s="255">
        <v>8217838.5783093581</v>
      </c>
      <c r="L175" s="255">
        <v>8556090.5941835679</v>
      </c>
      <c r="M175" s="255">
        <v>5203940.3603437841</v>
      </c>
      <c r="N175" s="255">
        <v>9469162.6617548261</v>
      </c>
      <c r="O175" s="255">
        <v>2703696.6442077179</v>
      </c>
      <c r="P175" s="255">
        <v>4900000.2423292752</v>
      </c>
      <c r="Q175" s="255">
        <v>2914137.9603996365</v>
      </c>
      <c r="R175" s="255">
        <v>0</v>
      </c>
      <c r="S175" s="255">
        <v>0</v>
      </c>
      <c r="T175" s="255">
        <v>0</v>
      </c>
      <c r="U175" s="255">
        <v>0</v>
      </c>
      <c r="V175" s="255">
        <v>376215.6</v>
      </c>
      <c r="W175" s="255">
        <v>0</v>
      </c>
      <c r="X175" s="255">
        <v>0</v>
      </c>
      <c r="Y175" s="255">
        <v>0</v>
      </c>
      <c r="Z175" s="255">
        <v>0</v>
      </c>
      <c r="AA175" s="255">
        <v>0</v>
      </c>
      <c r="AB175" s="255">
        <v>0</v>
      </c>
      <c r="AC175" s="255">
        <v>0</v>
      </c>
      <c r="AD175" s="255">
        <v>0</v>
      </c>
      <c r="AE175" s="255">
        <v>0</v>
      </c>
      <c r="AF175" s="255">
        <v>0</v>
      </c>
      <c r="AG175" s="255">
        <v>0</v>
      </c>
      <c r="AH175" s="255">
        <v>0</v>
      </c>
      <c r="AI175" s="255">
        <v>0</v>
      </c>
      <c r="AJ175" s="255">
        <v>0</v>
      </c>
      <c r="AK175" s="255">
        <v>0</v>
      </c>
      <c r="AL175" s="255">
        <v>0</v>
      </c>
      <c r="AM175" s="255">
        <v>0</v>
      </c>
      <c r="AN175" s="255">
        <v>0</v>
      </c>
      <c r="AO175" s="255">
        <v>0</v>
      </c>
      <c r="AP175" s="255"/>
      <c r="AQ175" s="255"/>
      <c r="AR175" s="255"/>
      <c r="AS175" s="255"/>
      <c r="AT175" s="255"/>
      <c r="AU175" s="255"/>
      <c r="AV175" s="255"/>
      <c r="AW175" s="255"/>
      <c r="AX175" s="255"/>
      <c r="AY175" s="255"/>
      <c r="AZ175" s="255"/>
      <c r="BA175" s="255"/>
      <c r="BB175" s="255"/>
      <c r="BC175" s="255"/>
      <c r="BD175" s="255"/>
      <c r="BE175" s="255"/>
      <c r="BF175" s="255"/>
      <c r="BG175" s="255"/>
      <c r="BH175" s="255"/>
      <c r="BI175" s="255"/>
      <c r="BJ175" s="255"/>
      <c r="BK175" s="255"/>
    </row>
    <row r="176" spans="1:63" s="133" customFormat="1" ht="12.75">
      <c r="A176" s="168">
        <v>38625</v>
      </c>
      <c r="B176" s="213" t="str">
        <f>Servicio_internaColumna_título_intereses</f>
        <v>Intereses</v>
      </c>
      <c r="C176" s="256">
        <v>0</v>
      </c>
      <c r="D176" s="257">
        <v>0</v>
      </c>
      <c r="E176" s="257">
        <v>0</v>
      </c>
      <c r="F176" s="257">
        <v>0</v>
      </c>
      <c r="G176" s="257">
        <v>8422911.3339077272</v>
      </c>
      <c r="H176" s="257">
        <v>8548949.8157483563</v>
      </c>
      <c r="I176" s="257">
        <v>7046534.8337901272</v>
      </c>
      <c r="J176" s="257">
        <v>5429719.2377484329</v>
      </c>
      <c r="K176" s="257">
        <v>4449271.1569474069</v>
      </c>
      <c r="L176" s="257">
        <v>3500154.2853260227</v>
      </c>
      <c r="M176" s="257">
        <v>2646542.3177509028</v>
      </c>
      <c r="N176" s="257">
        <v>2177955.7776665483</v>
      </c>
      <c r="O176" s="257">
        <v>1091690.817381144</v>
      </c>
      <c r="P176" s="257">
        <v>851484.77853968553</v>
      </c>
      <c r="Q176" s="257">
        <v>276313.51432189159</v>
      </c>
      <c r="R176" s="257">
        <v>41383.716</v>
      </c>
      <c r="S176" s="257">
        <v>41383.716</v>
      </c>
      <c r="T176" s="257">
        <v>41383.716</v>
      </c>
      <c r="U176" s="258">
        <v>41383.716</v>
      </c>
      <c r="V176" s="258">
        <v>41383.716000000015</v>
      </c>
      <c r="W176" s="258">
        <v>0</v>
      </c>
      <c r="X176" s="258">
        <v>0</v>
      </c>
      <c r="Y176" s="258">
        <v>0</v>
      </c>
      <c r="Z176" s="258">
        <v>0</v>
      </c>
      <c r="AA176" s="258">
        <v>0</v>
      </c>
      <c r="AB176" s="258">
        <v>0</v>
      </c>
      <c r="AC176" s="258">
        <v>0</v>
      </c>
      <c r="AD176" s="259">
        <v>0</v>
      </c>
      <c r="AE176" s="259">
        <v>0</v>
      </c>
      <c r="AF176" s="259">
        <v>0</v>
      </c>
      <c r="AG176" s="259">
        <v>0</v>
      </c>
      <c r="AH176" s="259">
        <v>0</v>
      </c>
      <c r="AI176" s="259">
        <v>0</v>
      </c>
      <c r="AJ176" s="259">
        <v>0</v>
      </c>
      <c r="AK176" s="259">
        <v>0</v>
      </c>
      <c r="AL176" s="259">
        <v>0</v>
      </c>
      <c r="AM176" s="259">
        <v>0</v>
      </c>
      <c r="AN176" s="259">
        <v>0</v>
      </c>
      <c r="AO176" s="259">
        <v>0</v>
      </c>
      <c r="AP176" s="259"/>
      <c r="AQ176" s="259"/>
      <c r="AR176" s="259"/>
      <c r="AS176" s="259"/>
      <c r="AT176" s="259"/>
      <c r="AU176" s="259"/>
      <c r="AV176" s="259"/>
      <c r="AW176" s="259"/>
      <c r="AX176" s="259"/>
      <c r="AY176" s="259"/>
      <c r="AZ176" s="259"/>
      <c r="BA176" s="259"/>
      <c r="BB176" s="259"/>
      <c r="BC176" s="259"/>
      <c r="BD176" s="259"/>
      <c r="BE176" s="259"/>
      <c r="BF176" s="259"/>
      <c r="BG176" s="259"/>
      <c r="BH176" s="259"/>
      <c r="BI176" s="259"/>
      <c r="BJ176" s="259"/>
      <c r="BK176" s="259"/>
    </row>
    <row r="177" spans="1:63" s="133" customFormat="1" ht="12.75">
      <c r="A177" s="169"/>
      <c r="B177" s="307" t="str">
        <f>Servicio_internaColumna_título_total</f>
        <v>Total</v>
      </c>
      <c r="C177" s="308">
        <v>0</v>
      </c>
      <c r="D177" s="309">
        <v>0</v>
      </c>
      <c r="E177" s="309">
        <v>0</v>
      </c>
      <c r="F177" s="309">
        <v>0</v>
      </c>
      <c r="G177" s="309">
        <v>10315683.495689221</v>
      </c>
      <c r="H177" s="309">
        <v>23446370.625026919</v>
      </c>
      <c r="I177" s="309">
        <v>21346881.250188805</v>
      </c>
      <c r="J177" s="309">
        <v>14262520.611224663</v>
      </c>
      <c r="K177" s="309">
        <v>12667109.735256765</v>
      </c>
      <c r="L177" s="309">
        <v>12056244.879509591</v>
      </c>
      <c r="M177" s="309">
        <v>7850482.6780946869</v>
      </c>
      <c r="N177" s="309">
        <v>11647118.439421374</v>
      </c>
      <c r="O177" s="309">
        <v>3795387.4615888619</v>
      </c>
      <c r="P177" s="309">
        <v>5751485.0208689608</v>
      </c>
      <c r="Q177" s="309">
        <v>3190451.4747215281</v>
      </c>
      <c r="R177" s="309">
        <v>41383.716</v>
      </c>
      <c r="S177" s="309">
        <v>41383.716</v>
      </c>
      <c r="T177" s="309">
        <v>41383.716</v>
      </c>
      <c r="U177" s="309">
        <v>41383.716</v>
      </c>
      <c r="V177" s="309">
        <v>417599.31599999999</v>
      </c>
      <c r="W177" s="309">
        <v>0</v>
      </c>
      <c r="X177" s="309">
        <v>0</v>
      </c>
      <c r="Y177" s="309">
        <v>0</v>
      </c>
      <c r="Z177" s="309">
        <v>0</v>
      </c>
      <c r="AA177" s="309">
        <v>0</v>
      </c>
      <c r="AB177" s="309">
        <v>0</v>
      </c>
      <c r="AC177" s="309">
        <v>0</v>
      </c>
      <c r="AD177" s="309">
        <v>0</v>
      </c>
      <c r="AE177" s="309">
        <v>0</v>
      </c>
      <c r="AF177" s="309">
        <v>0</v>
      </c>
      <c r="AG177" s="309">
        <v>0</v>
      </c>
      <c r="AH177" s="309">
        <v>0</v>
      </c>
      <c r="AI177" s="309">
        <v>0</v>
      </c>
      <c r="AJ177" s="309">
        <v>0</v>
      </c>
      <c r="AK177" s="309">
        <v>0</v>
      </c>
      <c r="AL177" s="309">
        <v>0</v>
      </c>
      <c r="AM177" s="309">
        <v>0</v>
      </c>
      <c r="AN177" s="309">
        <v>0</v>
      </c>
      <c r="AO177" s="309">
        <v>0</v>
      </c>
      <c r="AP177" s="309"/>
      <c r="AQ177" s="309"/>
      <c r="AR177" s="309"/>
      <c r="AS177" s="309"/>
      <c r="AT177" s="309"/>
      <c r="AU177" s="309"/>
      <c r="AV177" s="309"/>
      <c r="AW177" s="309"/>
      <c r="AX177" s="309"/>
      <c r="AY177" s="309"/>
      <c r="AZ177" s="309"/>
      <c r="BA177" s="309"/>
      <c r="BB177" s="309"/>
      <c r="BC177" s="309"/>
      <c r="BD177" s="309"/>
      <c r="BE177" s="309"/>
      <c r="BF177" s="309"/>
      <c r="BG177" s="309"/>
      <c r="BH177" s="309"/>
      <c r="BI177" s="309"/>
      <c r="BJ177" s="309"/>
      <c r="BK177" s="309"/>
    </row>
    <row r="178" spans="1:63" s="80" customFormat="1" ht="12.75">
      <c r="A178" s="167"/>
      <c r="B178" s="210" t="str">
        <f>Servicio_internaColumna_título_amortizaciones</f>
        <v>Amortizaciones</v>
      </c>
      <c r="C178" s="254">
        <v>0</v>
      </c>
      <c r="D178" s="255">
        <v>0</v>
      </c>
      <c r="E178" s="255">
        <v>0</v>
      </c>
      <c r="F178" s="255">
        <v>0</v>
      </c>
      <c r="G178" s="255">
        <v>1455294.6267919394</v>
      </c>
      <c r="H178" s="255">
        <v>16124696.909412336</v>
      </c>
      <c r="I178" s="255">
        <v>14307425.875489807</v>
      </c>
      <c r="J178" s="255">
        <v>9312580.2437547501</v>
      </c>
      <c r="K178" s="255">
        <v>8623112.2630552631</v>
      </c>
      <c r="L178" s="255">
        <v>8574553.5000945237</v>
      </c>
      <c r="M178" s="255">
        <v>5207519.8259170195</v>
      </c>
      <c r="N178" s="255">
        <v>9479669.832475096</v>
      </c>
      <c r="O178" s="255">
        <v>2704942.4325531037</v>
      </c>
      <c r="P178" s="255">
        <v>5620341.15811936</v>
      </c>
      <c r="Q178" s="255">
        <v>2980856.0967373112</v>
      </c>
      <c r="R178" s="255">
        <v>0</v>
      </c>
      <c r="S178" s="255">
        <v>0</v>
      </c>
      <c r="T178" s="255">
        <v>0</v>
      </c>
      <c r="U178" s="255">
        <v>0</v>
      </c>
      <c r="V178" s="255">
        <v>711206</v>
      </c>
      <c r="W178" s="255">
        <v>0</v>
      </c>
      <c r="X178" s="255">
        <v>0</v>
      </c>
      <c r="Y178" s="255">
        <v>0</v>
      </c>
      <c r="Z178" s="255">
        <v>0</v>
      </c>
      <c r="AA178" s="255">
        <v>0</v>
      </c>
      <c r="AB178" s="255">
        <v>0</v>
      </c>
      <c r="AC178" s="255">
        <v>0</v>
      </c>
      <c r="AD178" s="255">
        <v>0</v>
      </c>
      <c r="AE178" s="255">
        <v>0</v>
      </c>
      <c r="AF178" s="255">
        <v>0</v>
      </c>
      <c r="AG178" s="255">
        <v>0</v>
      </c>
      <c r="AH178" s="255">
        <v>0</v>
      </c>
      <c r="AI178" s="255">
        <v>0</v>
      </c>
      <c r="AJ178" s="255">
        <v>0</v>
      </c>
      <c r="AK178" s="255">
        <v>0</v>
      </c>
      <c r="AL178" s="255">
        <v>0</v>
      </c>
      <c r="AM178" s="255">
        <v>0</v>
      </c>
      <c r="AN178" s="255">
        <v>0</v>
      </c>
      <c r="AO178" s="255">
        <v>0</v>
      </c>
      <c r="AP178" s="255"/>
      <c r="AQ178" s="255"/>
      <c r="AR178" s="255"/>
      <c r="AS178" s="255"/>
      <c r="AT178" s="255"/>
      <c r="AU178" s="255"/>
      <c r="AV178" s="255"/>
      <c r="AW178" s="255"/>
      <c r="AX178" s="255"/>
      <c r="AY178" s="255"/>
      <c r="AZ178" s="255"/>
      <c r="BA178" s="255"/>
      <c r="BB178" s="255"/>
      <c r="BC178" s="255"/>
      <c r="BD178" s="255"/>
      <c r="BE178" s="255"/>
      <c r="BF178" s="255"/>
      <c r="BG178" s="255"/>
      <c r="BH178" s="255"/>
      <c r="BI178" s="255"/>
      <c r="BJ178" s="255"/>
      <c r="BK178" s="255"/>
    </row>
    <row r="179" spans="1:63" s="133" customFormat="1" ht="12.75">
      <c r="A179" s="168">
        <v>38656</v>
      </c>
      <c r="B179" s="213" t="str">
        <f>Servicio_internaColumna_título_intereses</f>
        <v>Intereses</v>
      </c>
      <c r="C179" s="256">
        <v>0</v>
      </c>
      <c r="D179" s="257">
        <v>0</v>
      </c>
      <c r="E179" s="257">
        <v>0</v>
      </c>
      <c r="F179" s="257">
        <v>0</v>
      </c>
      <c r="G179" s="257">
        <v>693604.11724488134</v>
      </c>
      <c r="H179" s="257">
        <v>7308159.3328084014</v>
      </c>
      <c r="I179" s="257">
        <v>5536255.0222426485</v>
      </c>
      <c r="J179" s="257">
        <v>3828030.2143896986</v>
      </c>
      <c r="K179" s="257">
        <v>3364220.3987031672</v>
      </c>
      <c r="L179" s="257">
        <v>2139140.399576271</v>
      </c>
      <c r="M179" s="257">
        <v>2075375.697421357</v>
      </c>
      <c r="N179" s="257">
        <v>1737209.6142792813</v>
      </c>
      <c r="O179" s="257">
        <v>662519.81963088131</v>
      </c>
      <c r="P179" s="257">
        <v>396989.64194927178</v>
      </c>
      <c r="Q179" s="257">
        <v>-249596.60141560482</v>
      </c>
      <c r="R179" s="257">
        <v>78232.66</v>
      </c>
      <c r="S179" s="257">
        <v>78232.66</v>
      </c>
      <c r="T179" s="257">
        <v>78232.66</v>
      </c>
      <c r="U179" s="258">
        <v>78232.66</v>
      </c>
      <c r="V179" s="258">
        <v>78232.660000000033</v>
      </c>
      <c r="W179" s="258">
        <v>0</v>
      </c>
      <c r="X179" s="258">
        <v>0</v>
      </c>
      <c r="Y179" s="258">
        <v>0</v>
      </c>
      <c r="Z179" s="258">
        <v>0</v>
      </c>
      <c r="AA179" s="258">
        <v>0</v>
      </c>
      <c r="AB179" s="258">
        <v>0</v>
      </c>
      <c r="AC179" s="258">
        <v>0</v>
      </c>
      <c r="AD179" s="259">
        <v>0</v>
      </c>
      <c r="AE179" s="259">
        <v>0</v>
      </c>
      <c r="AF179" s="259">
        <v>0</v>
      </c>
      <c r="AG179" s="259">
        <v>0</v>
      </c>
      <c r="AH179" s="259">
        <v>0</v>
      </c>
      <c r="AI179" s="259">
        <v>0</v>
      </c>
      <c r="AJ179" s="259">
        <v>0</v>
      </c>
      <c r="AK179" s="259">
        <v>0</v>
      </c>
      <c r="AL179" s="259">
        <v>0</v>
      </c>
      <c r="AM179" s="259">
        <v>0</v>
      </c>
      <c r="AN179" s="259">
        <v>0</v>
      </c>
      <c r="AO179" s="259">
        <v>0</v>
      </c>
      <c r="AP179" s="259"/>
      <c r="AQ179" s="259"/>
      <c r="AR179" s="259"/>
      <c r="AS179" s="259"/>
      <c r="AT179" s="259"/>
      <c r="AU179" s="259"/>
      <c r="AV179" s="259"/>
      <c r="AW179" s="259"/>
      <c r="AX179" s="259"/>
      <c r="AY179" s="259"/>
      <c r="AZ179" s="259"/>
      <c r="BA179" s="259"/>
      <c r="BB179" s="259"/>
      <c r="BC179" s="259"/>
      <c r="BD179" s="259"/>
      <c r="BE179" s="259"/>
      <c r="BF179" s="259"/>
      <c r="BG179" s="259"/>
      <c r="BH179" s="259"/>
      <c r="BI179" s="259"/>
      <c r="BJ179" s="259"/>
      <c r="BK179" s="259"/>
    </row>
    <row r="180" spans="1:63" s="133" customFormat="1" ht="12.75">
      <c r="A180" s="169"/>
      <c r="B180" s="307" t="str">
        <f>Servicio_internaColumna_título_total</f>
        <v>Total</v>
      </c>
      <c r="C180" s="308">
        <v>0</v>
      </c>
      <c r="D180" s="309">
        <v>0</v>
      </c>
      <c r="E180" s="309">
        <v>0</v>
      </c>
      <c r="F180" s="309">
        <v>0</v>
      </c>
      <c r="G180" s="309">
        <v>2148898.7440368207</v>
      </c>
      <c r="H180" s="309">
        <v>23432856.242220737</v>
      </c>
      <c r="I180" s="309">
        <v>19843680.897732455</v>
      </c>
      <c r="J180" s="309">
        <v>13140610.458144449</v>
      </c>
      <c r="K180" s="309">
        <v>11987332.66175843</v>
      </c>
      <c r="L180" s="309">
        <v>10713693.899670795</v>
      </c>
      <c r="M180" s="309">
        <v>7282895.5233383765</v>
      </c>
      <c r="N180" s="309">
        <v>11216879.446754377</v>
      </c>
      <c r="O180" s="309">
        <v>3367462.252183985</v>
      </c>
      <c r="P180" s="309">
        <v>6017330.8000686318</v>
      </c>
      <c r="Q180" s="309">
        <v>2731259.4953217064</v>
      </c>
      <c r="R180" s="309">
        <v>78232.66</v>
      </c>
      <c r="S180" s="309">
        <v>78232.66</v>
      </c>
      <c r="T180" s="309">
        <v>78232.66</v>
      </c>
      <c r="U180" s="309">
        <v>78232.66</v>
      </c>
      <c r="V180" s="309">
        <v>789438.66</v>
      </c>
      <c r="W180" s="309">
        <v>0</v>
      </c>
      <c r="X180" s="309">
        <v>0</v>
      </c>
      <c r="Y180" s="309">
        <v>0</v>
      </c>
      <c r="Z180" s="309">
        <v>0</v>
      </c>
      <c r="AA180" s="309">
        <v>0</v>
      </c>
      <c r="AB180" s="309">
        <v>0</v>
      </c>
      <c r="AC180" s="309">
        <v>0</v>
      </c>
      <c r="AD180" s="309">
        <v>0</v>
      </c>
      <c r="AE180" s="309">
        <v>0</v>
      </c>
      <c r="AF180" s="309">
        <v>0</v>
      </c>
      <c r="AG180" s="309">
        <v>0</v>
      </c>
      <c r="AH180" s="309">
        <v>0</v>
      </c>
      <c r="AI180" s="309">
        <v>0</v>
      </c>
      <c r="AJ180" s="309">
        <v>0</v>
      </c>
      <c r="AK180" s="309">
        <v>0</v>
      </c>
      <c r="AL180" s="309">
        <v>0</v>
      </c>
      <c r="AM180" s="309">
        <v>0</v>
      </c>
      <c r="AN180" s="309">
        <v>0</v>
      </c>
      <c r="AO180" s="309">
        <v>0</v>
      </c>
      <c r="AP180" s="309"/>
      <c r="AQ180" s="309"/>
      <c r="AR180" s="309"/>
      <c r="AS180" s="309"/>
      <c r="AT180" s="309"/>
      <c r="AU180" s="309"/>
      <c r="AV180" s="309"/>
      <c r="AW180" s="309"/>
      <c r="AX180" s="309"/>
      <c r="AY180" s="309"/>
      <c r="AZ180" s="309"/>
      <c r="BA180" s="309"/>
      <c r="BB180" s="309"/>
      <c r="BC180" s="309"/>
      <c r="BD180" s="309"/>
      <c r="BE180" s="309"/>
      <c r="BF180" s="309"/>
      <c r="BG180" s="309"/>
      <c r="BH180" s="309"/>
      <c r="BI180" s="309"/>
      <c r="BJ180" s="309"/>
      <c r="BK180" s="309"/>
    </row>
    <row r="181" spans="1:63" s="80" customFormat="1" ht="12.75">
      <c r="A181" s="167"/>
      <c r="B181" s="210" t="str">
        <f>Servicio_internaColumna_título_amortizaciones</f>
        <v>Amortizaciones</v>
      </c>
      <c r="C181" s="254">
        <v>0</v>
      </c>
      <c r="D181" s="255">
        <v>0</v>
      </c>
      <c r="E181" s="255">
        <v>0</v>
      </c>
      <c r="F181" s="255">
        <v>0</v>
      </c>
      <c r="G181" s="255">
        <v>519537.87572087831</v>
      </c>
      <c r="H181" s="255">
        <v>16553466.462867999</v>
      </c>
      <c r="I181" s="255">
        <v>14112932.601935534</v>
      </c>
      <c r="J181" s="255">
        <v>9558990.1482049935</v>
      </c>
      <c r="K181" s="255">
        <v>8524281.8310002685</v>
      </c>
      <c r="L181" s="255">
        <v>9100740.4351743981</v>
      </c>
      <c r="M181" s="255">
        <v>5212741.439501741</v>
      </c>
      <c r="N181" s="255">
        <v>9414379.0050033852</v>
      </c>
      <c r="O181" s="255">
        <v>2706761.1581842932</v>
      </c>
      <c r="P181" s="255">
        <v>6443191.9781822441</v>
      </c>
      <c r="Q181" s="255">
        <v>3436296.632624777</v>
      </c>
      <c r="R181" s="255">
        <v>0</v>
      </c>
      <c r="S181" s="255">
        <v>0</v>
      </c>
      <c r="T181" s="255">
        <v>0</v>
      </c>
      <c r="U181" s="255">
        <v>0</v>
      </c>
      <c r="V181" s="255">
        <v>836737.6</v>
      </c>
      <c r="W181" s="255">
        <v>0</v>
      </c>
      <c r="X181" s="255">
        <v>0</v>
      </c>
      <c r="Y181" s="255">
        <v>0</v>
      </c>
      <c r="Z181" s="255">
        <v>0</v>
      </c>
      <c r="AA181" s="255">
        <v>0</v>
      </c>
      <c r="AB181" s="255">
        <v>0</v>
      </c>
      <c r="AC181" s="255">
        <v>0</v>
      </c>
      <c r="AD181" s="255">
        <v>0</v>
      </c>
      <c r="AE181" s="255">
        <v>0</v>
      </c>
      <c r="AF181" s="255">
        <v>0</v>
      </c>
      <c r="AG181" s="255">
        <v>0</v>
      </c>
      <c r="AH181" s="255">
        <v>0</v>
      </c>
      <c r="AI181" s="255">
        <v>0</v>
      </c>
      <c r="AJ181" s="255">
        <v>0</v>
      </c>
      <c r="AK181" s="255">
        <v>0</v>
      </c>
      <c r="AL181" s="255">
        <v>0</v>
      </c>
      <c r="AM181" s="255">
        <v>0</v>
      </c>
      <c r="AN181" s="255">
        <v>0</v>
      </c>
      <c r="AO181" s="255">
        <v>0</v>
      </c>
      <c r="AP181" s="255"/>
      <c r="AQ181" s="255"/>
      <c r="AR181" s="255"/>
      <c r="AS181" s="255"/>
      <c r="AT181" s="255"/>
      <c r="AU181" s="255"/>
      <c r="AV181" s="255"/>
      <c r="AW181" s="255"/>
      <c r="AX181" s="255"/>
      <c r="AY181" s="255"/>
      <c r="AZ181" s="255"/>
      <c r="BA181" s="255"/>
      <c r="BB181" s="255"/>
      <c r="BC181" s="255"/>
      <c r="BD181" s="255"/>
      <c r="BE181" s="255"/>
      <c r="BF181" s="255"/>
      <c r="BG181" s="255"/>
      <c r="BH181" s="255"/>
      <c r="BI181" s="255"/>
      <c r="BJ181" s="255"/>
      <c r="BK181" s="255"/>
    </row>
    <row r="182" spans="1:63" s="133" customFormat="1" ht="12.75">
      <c r="A182" s="168">
        <v>38686</v>
      </c>
      <c r="B182" s="213" t="str">
        <f>Servicio_internaColumna_título_intereses</f>
        <v>Intereses</v>
      </c>
      <c r="C182" s="256">
        <v>0</v>
      </c>
      <c r="D182" s="257">
        <v>0</v>
      </c>
      <c r="E182" s="257">
        <v>0</v>
      </c>
      <c r="F182" s="257">
        <v>0</v>
      </c>
      <c r="G182" s="257">
        <v>321357.91306449432</v>
      </c>
      <c r="H182" s="257">
        <v>9009093.4879009705</v>
      </c>
      <c r="I182" s="257">
        <v>7496941.644564027</v>
      </c>
      <c r="J182" s="257">
        <v>5889902.6013142876</v>
      </c>
      <c r="K182" s="257">
        <v>4837879.9439557157</v>
      </c>
      <c r="L182" s="257">
        <v>3842930.2357098982</v>
      </c>
      <c r="M182" s="257">
        <v>2942907.4204269787</v>
      </c>
      <c r="N182" s="257">
        <v>2473134.1241741963</v>
      </c>
      <c r="O182" s="257">
        <v>1391479.5689011752</v>
      </c>
      <c r="P182" s="257">
        <v>1152510.5129685001</v>
      </c>
      <c r="Q182" s="257">
        <v>370714.77214774908</v>
      </c>
      <c r="R182" s="257">
        <v>92041.135999999999</v>
      </c>
      <c r="S182" s="257">
        <v>92041.135999999999</v>
      </c>
      <c r="T182" s="257">
        <v>92041.135999999999</v>
      </c>
      <c r="U182" s="258">
        <v>92041.135999999999</v>
      </c>
      <c r="V182" s="258">
        <v>92041.136000000057</v>
      </c>
      <c r="W182" s="258">
        <v>0</v>
      </c>
      <c r="X182" s="258">
        <v>0</v>
      </c>
      <c r="Y182" s="258">
        <v>0</v>
      </c>
      <c r="Z182" s="258">
        <v>0</v>
      </c>
      <c r="AA182" s="258">
        <v>0</v>
      </c>
      <c r="AB182" s="258">
        <v>0</v>
      </c>
      <c r="AC182" s="258">
        <v>0</v>
      </c>
      <c r="AD182" s="259">
        <v>0</v>
      </c>
      <c r="AE182" s="259">
        <v>0</v>
      </c>
      <c r="AF182" s="259">
        <v>0</v>
      </c>
      <c r="AG182" s="259">
        <v>0</v>
      </c>
      <c r="AH182" s="259">
        <v>0</v>
      </c>
      <c r="AI182" s="259">
        <v>0</v>
      </c>
      <c r="AJ182" s="259">
        <v>0</v>
      </c>
      <c r="AK182" s="259">
        <v>0</v>
      </c>
      <c r="AL182" s="259">
        <v>0</v>
      </c>
      <c r="AM182" s="259">
        <v>0</v>
      </c>
      <c r="AN182" s="259">
        <v>0</v>
      </c>
      <c r="AO182" s="259">
        <v>0</v>
      </c>
      <c r="AP182" s="259"/>
      <c r="AQ182" s="259"/>
      <c r="AR182" s="259"/>
      <c r="AS182" s="259"/>
      <c r="AT182" s="259"/>
      <c r="AU182" s="259"/>
      <c r="AV182" s="259"/>
      <c r="AW182" s="259"/>
      <c r="AX182" s="259"/>
      <c r="AY182" s="259"/>
      <c r="AZ182" s="259"/>
      <c r="BA182" s="259"/>
      <c r="BB182" s="259"/>
      <c r="BC182" s="259"/>
      <c r="BD182" s="259"/>
      <c r="BE182" s="259"/>
      <c r="BF182" s="259"/>
      <c r="BG182" s="259"/>
      <c r="BH182" s="259"/>
      <c r="BI182" s="259"/>
      <c r="BJ182" s="259"/>
      <c r="BK182" s="259"/>
    </row>
    <row r="183" spans="1:63" s="133" customFormat="1" ht="12.75">
      <c r="A183" s="169"/>
      <c r="B183" s="307" t="str">
        <f>Servicio_internaColumna_título_total</f>
        <v>Total</v>
      </c>
      <c r="C183" s="308">
        <v>0</v>
      </c>
      <c r="D183" s="309">
        <v>0</v>
      </c>
      <c r="E183" s="309">
        <v>0</v>
      </c>
      <c r="F183" s="309">
        <v>0</v>
      </c>
      <c r="G183" s="309">
        <v>840895.78878537263</v>
      </c>
      <c r="H183" s="309">
        <v>25562559.95076897</v>
      </c>
      <c r="I183" s="309">
        <v>21609874.246499561</v>
      </c>
      <c r="J183" s="309">
        <v>15448892.749519281</v>
      </c>
      <c r="K183" s="309">
        <v>13362161.774955984</v>
      </c>
      <c r="L183" s="309">
        <v>12943670.670884296</v>
      </c>
      <c r="M183" s="309">
        <v>8155648.8599287197</v>
      </c>
      <c r="N183" s="309">
        <v>11887513.129177582</v>
      </c>
      <c r="O183" s="309">
        <v>4098240.7270854684</v>
      </c>
      <c r="P183" s="309">
        <v>7595702.4911507443</v>
      </c>
      <c r="Q183" s="309">
        <v>3807011.4047725261</v>
      </c>
      <c r="R183" s="309">
        <v>92041.135999999999</v>
      </c>
      <c r="S183" s="309">
        <v>92041.135999999999</v>
      </c>
      <c r="T183" s="309">
        <v>92041.135999999999</v>
      </c>
      <c r="U183" s="309">
        <v>92041.135999999999</v>
      </c>
      <c r="V183" s="309">
        <v>928778.73600000003</v>
      </c>
      <c r="W183" s="309">
        <v>0</v>
      </c>
      <c r="X183" s="309">
        <v>0</v>
      </c>
      <c r="Y183" s="309">
        <v>0</v>
      </c>
      <c r="Z183" s="309">
        <v>0</v>
      </c>
      <c r="AA183" s="309">
        <v>0</v>
      </c>
      <c r="AB183" s="309">
        <v>0</v>
      </c>
      <c r="AC183" s="309">
        <v>0</v>
      </c>
      <c r="AD183" s="309">
        <v>0</v>
      </c>
      <c r="AE183" s="309">
        <v>0</v>
      </c>
      <c r="AF183" s="309">
        <v>0</v>
      </c>
      <c r="AG183" s="309">
        <v>0</v>
      </c>
      <c r="AH183" s="309">
        <v>0</v>
      </c>
      <c r="AI183" s="309">
        <v>0</v>
      </c>
      <c r="AJ183" s="309">
        <v>0</v>
      </c>
      <c r="AK183" s="309">
        <v>0</v>
      </c>
      <c r="AL183" s="309">
        <v>0</v>
      </c>
      <c r="AM183" s="309">
        <v>0</v>
      </c>
      <c r="AN183" s="309">
        <v>0</v>
      </c>
      <c r="AO183" s="309">
        <v>0</v>
      </c>
      <c r="AP183" s="309"/>
      <c r="AQ183" s="309"/>
      <c r="AR183" s="309"/>
      <c r="AS183" s="309"/>
      <c r="AT183" s="309"/>
      <c r="AU183" s="309"/>
      <c r="AV183" s="309"/>
      <c r="AW183" s="309"/>
      <c r="AX183" s="309"/>
      <c r="AY183" s="309"/>
      <c r="AZ183" s="309"/>
      <c r="BA183" s="309"/>
      <c r="BB183" s="309"/>
      <c r="BC183" s="309"/>
      <c r="BD183" s="309"/>
      <c r="BE183" s="309"/>
      <c r="BF183" s="309"/>
      <c r="BG183" s="309"/>
      <c r="BH183" s="309"/>
      <c r="BI183" s="309"/>
      <c r="BJ183" s="309"/>
      <c r="BK183" s="309"/>
    </row>
    <row r="184" spans="1:63" s="80" customFormat="1" ht="12.75">
      <c r="A184" s="167"/>
      <c r="B184" s="210" t="str">
        <f>Servicio_internaColumna_título_amortizaciones</f>
        <v>Amortizaciones</v>
      </c>
      <c r="C184" s="254">
        <v>0</v>
      </c>
      <c r="D184" s="255">
        <v>0</v>
      </c>
      <c r="E184" s="255">
        <v>0</v>
      </c>
      <c r="F184" s="255">
        <v>0</v>
      </c>
      <c r="G184" s="255">
        <v>0</v>
      </c>
      <c r="H184" s="255">
        <v>16380145.6712716</v>
      </c>
      <c r="I184" s="255">
        <v>13940399.963716732</v>
      </c>
      <c r="J184" s="255">
        <v>9419044.3210495766</v>
      </c>
      <c r="K184" s="255">
        <v>9390047.0240726694</v>
      </c>
      <c r="L184" s="255">
        <v>8812158.1124908533</v>
      </c>
      <c r="M184" s="255">
        <v>5975062.9607212916</v>
      </c>
      <c r="N184" s="255">
        <v>9551254.4171175696</v>
      </c>
      <c r="O184" s="255">
        <v>2720104.0020627356</v>
      </c>
      <c r="P184" s="255">
        <v>6730436.0300276354</v>
      </c>
      <c r="Q184" s="255">
        <v>3511915.4647299084</v>
      </c>
      <c r="R184" s="255">
        <v>692157.37436854339</v>
      </c>
      <c r="S184" s="255">
        <v>0</v>
      </c>
      <c r="T184" s="255">
        <v>0</v>
      </c>
      <c r="U184" s="255">
        <v>0</v>
      </c>
      <c r="V184" s="255">
        <v>936736.7</v>
      </c>
      <c r="W184" s="255">
        <v>0</v>
      </c>
      <c r="X184" s="255">
        <v>0</v>
      </c>
      <c r="Y184" s="255">
        <v>0</v>
      </c>
      <c r="Z184" s="255">
        <v>0</v>
      </c>
      <c r="AA184" s="255">
        <v>0</v>
      </c>
      <c r="AB184" s="255">
        <v>0</v>
      </c>
      <c r="AC184" s="255">
        <v>0</v>
      </c>
      <c r="AD184" s="255">
        <v>0</v>
      </c>
      <c r="AE184" s="255">
        <v>0</v>
      </c>
      <c r="AF184" s="255">
        <v>0</v>
      </c>
      <c r="AG184" s="255">
        <v>0</v>
      </c>
      <c r="AH184" s="255">
        <v>0</v>
      </c>
      <c r="AI184" s="255">
        <v>0</v>
      </c>
      <c r="AJ184" s="255">
        <v>0</v>
      </c>
      <c r="AK184" s="255">
        <v>0</v>
      </c>
      <c r="AL184" s="255">
        <v>0</v>
      </c>
      <c r="AM184" s="255">
        <v>0</v>
      </c>
      <c r="AN184" s="255">
        <v>0</v>
      </c>
      <c r="AO184" s="255">
        <v>0</v>
      </c>
      <c r="AP184" s="255"/>
      <c r="AQ184" s="255"/>
      <c r="AR184" s="255"/>
      <c r="AS184" s="255"/>
      <c r="AT184" s="255"/>
      <c r="AU184" s="255"/>
      <c r="AV184" s="255"/>
      <c r="AW184" s="255"/>
      <c r="AX184" s="255"/>
      <c r="AY184" s="255"/>
      <c r="AZ184" s="255"/>
      <c r="BA184" s="255"/>
      <c r="BB184" s="255"/>
      <c r="BC184" s="255"/>
      <c r="BD184" s="255"/>
      <c r="BE184" s="255"/>
      <c r="BF184" s="255"/>
      <c r="BG184" s="255"/>
      <c r="BH184" s="255"/>
      <c r="BI184" s="255"/>
      <c r="BJ184" s="255"/>
      <c r="BK184" s="255"/>
    </row>
    <row r="185" spans="1:63" s="133" customFormat="1" ht="12.75">
      <c r="A185" s="168">
        <v>38717</v>
      </c>
      <c r="B185" s="213" t="str">
        <f>Servicio_internaColumna_título_intereses</f>
        <v>Intereses</v>
      </c>
      <c r="C185" s="256">
        <v>0</v>
      </c>
      <c r="D185" s="257">
        <v>0</v>
      </c>
      <c r="E185" s="257">
        <v>0</v>
      </c>
      <c r="F185" s="257">
        <v>0</v>
      </c>
      <c r="G185" s="257">
        <v>0</v>
      </c>
      <c r="H185" s="257">
        <v>9056801.0717980936</v>
      </c>
      <c r="I185" s="257">
        <v>7552267.5924840923</v>
      </c>
      <c r="J185" s="257">
        <v>5963363.8707103115</v>
      </c>
      <c r="K185" s="257">
        <v>4928070.9805989154</v>
      </c>
      <c r="L185" s="257">
        <v>3944472.3109212555</v>
      </c>
      <c r="M185" s="257">
        <v>3016653.7385221794</v>
      </c>
      <c r="N185" s="257">
        <v>2520611.1552846879</v>
      </c>
      <c r="O185" s="257">
        <v>1448047.8393226066</v>
      </c>
      <c r="P185" s="257">
        <v>1209172.2562540211</v>
      </c>
      <c r="Q185" s="257">
        <v>385404.49960971856</v>
      </c>
      <c r="R185" s="257">
        <v>103041.03700000001</v>
      </c>
      <c r="S185" s="257">
        <v>103041.037</v>
      </c>
      <c r="T185" s="257">
        <v>103041.037</v>
      </c>
      <c r="U185" s="258">
        <v>103041.037</v>
      </c>
      <c r="V185" s="258">
        <v>103041.03700000001</v>
      </c>
      <c r="W185" s="258">
        <v>0</v>
      </c>
      <c r="X185" s="258">
        <v>0</v>
      </c>
      <c r="Y185" s="258">
        <v>0</v>
      </c>
      <c r="Z185" s="258">
        <v>0</v>
      </c>
      <c r="AA185" s="258">
        <v>0</v>
      </c>
      <c r="AB185" s="258">
        <v>0</v>
      </c>
      <c r="AC185" s="258">
        <v>0</v>
      </c>
      <c r="AD185" s="259">
        <v>0</v>
      </c>
      <c r="AE185" s="259">
        <v>0</v>
      </c>
      <c r="AF185" s="259">
        <v>0</v>
      </c>
      <c r="AG185" s="259">
        <v>0</v>
      </c>
      <c r="AH185" s="259">
        <v>0</v>
      </c>
      <c r="AI185" s="259">
        <v>0</v>
      </c>
      <c r="AJ185" s="259">
        <v>0</v>
      </c>
      <c r="AK185" s="259">
        <v>0</v>
      </c>
      <c r="AL185" s="259">
        <v>0</v>
      </c>
      <c r="AM185" s="259">
        <v>0</v>
      </c>
      <c r="AN185" s="259">
        <v>0</v>
      </c>
      <c r="AO185" s="259">
        <v>0</v>
      </c>
      <c r="AP185" s="259"/>
      <c r="AQ185" s="259"/>
      <c r="AR185" s="259"/>
      <c r="AS185" s="259"/>
      <c r="AT185" s="259"/>
      <c r="AU185" s="259"/>
      <c r="AV185" s="259"/>
      <c r="AW185" s="259"/>
      <c r="AX185" s="259"/>
      <c r="AY185" s="259"/>
      <c r="AZ185" s="259"/>
      <c r="BA185" s="259"/>
      <c r="BB185" s="259"/>
      <c r="BC185" s="259"/>
      <c r="BD185" s="259"/>
      <c r="BE185" s="259"/>
      <c r="BF185" s="259"/>
      <c r="BG185" s="259"/>
      <c r="BH185" s="259"/>
      <c r="BI185" s="259"/>
      <c r="BJ185" s="259"/>
      <c r="BK185" s="259"/>
    </row>
    <row r="186" spans="1:63" s="133" customFormat="1" ht="12.75">
      <c r="A186" s="169"/>
      <c r="B186" s="307" t="str">
        <f>Servicio_internaColumna_título_total</f>
        <v>Total</v>
      </c>
      <c r="C186" s="308">
        <v>0</v>
      </c>
      <c r="D186" s="309">
        <v>0</v>
      </c>
      <c r="E186" s="309">
        <v>0</v>
      </c>
      <c r="F186" s="309">
        <v>0</v>
      </c>
      <c r="G186" s="309">
        <v>0</v>
      </c>
      <c r="H186" s="309">
        <v>25436946.743069693</v>
      </c>
      <c r="I186" s="309">
        <v>21492667.556200825</v>
      </c>
      <c r="J186" s="309">
        <v>15382408.191759888</v>
      </c>
      <c r="K186" s="309">
        <v>14318118.004671585</v>
      </c>
      <c r="L186" s="309">
        <v>12756630.423412109</v>
      </c>
      <c r="M186" s="309">
        <v>8991716.699243471</v>
      </c>
      <c r="N186" s="309">
        <v>12071865.572402257</v>
      </c>
      <c r="O186" s="309">
        <v>4168151.8413853422</v>
      </c>
      <c r="P186" s="309">
        <v>7939608.2862816565</v>
      </c>
      <c r="Q186" s="309">
        <v>3897319.964339627</v>
      </c>
      <c r="R186" s="309">
        <v>795198.4113685434</v>
      </c>
      <c r="S186" s="309">
        <v>103041.037</v>
      </c>
      <c r="T186" s="309">
        <v>103041.037</v>
      </c>
      <c r="U186" s="309">
        <v>103041.037</v>
      </c>
      <c r="V186" s="309">
        <v>1039777.737</v>
      </c>
      <c r="W186" s="309">
        <v>0</v>
      </c>
      <c r="X186" s="309">
        <v>0</v>
      </c>
      <c r="Y186" s="309">
        <v>0</v>
      </c>
      <c r="Z186" s="309">
        <v>0</v>
      </c>
      <c r="AA186" s="309">
        <v>0</v>
      </c>
      <c r="AB186" s="309">
        <v>0</v>
      </c>
      <c r="AC186" s="309">
        <v>0</v>
      </c>
      <c r="AD186" s="309">
        <v>0</v>
      </c>
      <c r="AE186" s="309">
        <v>0</v>
      </c>
      <c r="AF186" s="309">
        <v>0</v>
      </c>
      <c r="AG186" s="309">
        <v>0</v>
      </c>
      <c r="AH186" s="309">
        <v>0</v>
      </c>
      <c r="AI186" s="309">
        <v>0</v>
      </c>
      <c r="AJ186" s="309">
        <v>0</v>
      </c>
      <c r="AK186" s="309">
        <v>0</v>
      </c>
      <c r="AL186" s="309">
        <v>0</v>
      </c>
      <c r="AM186" s="309">
        <v>0</v>
      </c>
      <c r="AN186" s="309">
        <v>0</v>
      </c>
      <c r="AO186" s="309">
        <v>0</v>
      </c>
      <c r="AP186" s="309"/>
      <c r="AQ186" s="309"/>
      <c r="AR186" s="309"/>
      <c r="AS186" s="309"/>
      <c r="AT186" s="309"/>
      <c r="AU186" s="309"/>
      <c r="AV186" s="309"/>
      <c r="AW186" s="309"/>
      <c r="AX186" s="309"/>
      <c r="AY186" s="309"/>
      <c r="AZ186" s="309"/>
      <c r="BA186" s="309"/>
      <c r="BB186" s="309"/>
      <c r="BC186" s="309"/>
      <c r="BD186" s="309"/>
      <c r="BE186" s="309"/>
      <c r="BF186" s="309"/>
      <c r="BG186" s="309"/>
      <c r="BH186" s="309"/>
      <c r="BI186" s="309"/>
      <c r="BJ186" s="309"/>
      <c r="BK186" s="309"/>
    </row>
    <row r="187" spans="1:63" s="80" customFormat="1" ht="12.75">
      <c r="A187" s="167"/>
      <c r="B187" s="210" t="str">
        <f>Servicio_internaColumna_título_amortizaciones</f>
        <v>Amortizaciones</v>
      </c>
      <c r="C187" s="254">
        <v>0</v>
      </c>
      <c r="D187" s="255">
        <v>0</v>
      </c>
      <c r="E187" s="255">
        <v>0</v>
      </c>
      <c r="F187" s="255">
        <v>0</v>
      </c>
      <c r="G187" s="255">
        <v>0</v>
      </c>
      <c r="H187" s="255">
        <v>17510039.690578621</v>
      </c>
      <c r="I187" s="255">
        <v>14218941.99987012</v>
      </c>
      <c r="J187" s="255">
        <v>9950684.2887259796</v>
      </c>
      <c r="K187" s="255">
        <v>8983413.8823749106</v>
      </c>
      <c r="L187" s="255">
        <v>9709567.8652603924</v>
      </c>
      <c r="M187" s="255">
        <v>5217014.6355892401</v>
      </c>
      <c r="N187" s="255">
        <v>9426858.3061407767</v>
      </c>
      <c r="O187" s="255">
        <v>2708237.0062892293</v>
      </c>
      <c r="P187" s="255">
        <v>7162001.6003212519</v>
      </c>
      <c r="Q187" s="255">
        <v>3789988.3743389491</v>
      </c>
      <c r="R187" s="255">
        <v>64719.734906043232</v>
      </c>
      <c r="S187" s="255">
        <v>0</v>
      </c>
      <c r="T187" s="255">
        <v>0</v>
      </c>
      <c r="U187" s="255">
        <v>0</v>
      </c>
      <c r="V187" s="255">
        <v>1180179.2</v>
      </c>
      <c r="W187" s="255">
        <v>0</v>
      </c>
      <c r="X187" s="255">
        <v>0</v>
      </c>
      <c r="Y187" s="255">
        <v>0</v>
      </c>
      <c r="Z187" s="255">
        <v>0</v>
      </c>
      <c r="AA187" s="255">
        <v>0</v>
      </c>
      <c r="AB187" s="255">
        <v>0</v>
      </c>
      <c r="AC187" s="255">
        <v>0</v>
      </c>
      <c r="AD187" s="255">
        <v>0</v>
      </c>
      <c r="AE187" s="255">
        <v>0</v>
      </c>
      <c r="AF187" s="255">
        <v>0</v>
      </c>
      <c r="AG187" s="255">
        <v>0</v>
      </c>
      <c r="AH187" s="255">
        <v>0</v>
      </c>
      <c r="AI187" s="255">
        <v>0</v>
      </c>
      <c r="AJ187" s="255">
        <v>0</v>
      </c>
      <c r="AK187" s="255">
        <v>0</v>
      </c>
      <c r="AL187" s="255">
        <v>0</v>
      </c>
      <c r="AM187" s="255">
        <v>0</v>
      </c>
      <c r="AN187" s="255">
        <v>0</v>
      </c>
      <c r="AO187" s="255">
        <v>0</v>
      </c>
      <c r="AP187" s="255"/>
      <c r="AQ187" s="255"/>
      <c r="AR187" s="255"/>
      <c r="AS187" s="255"/>
      <c r="AT187" s="255"/>
      <c r="AU187" s="255"/>
      <c r="AV187" s="255"/>
      <c r="AW187" s="255"/>
      <c r="AX187" s="255"/>
      <c r="AY187" s="255"/>
      <c r="AZ187" s="255"/>
      <c r="BA187" s="255"/>
      <c r="BB187" s="255"/>
      <c r="BC187" s="255"/>
      <c r="BD187" s="255"/>
      <c r="BE187" s="255"/>
      <c r="BF187" s="255"/>
      <c r="BG187" s="255"/>
      <c r="BH187" s="255"/>
      <c r="BI187" s="255"/>
      <c r="BJ187" s="255"/>
      <c r="BK187" s="255"/>
    </row>
    <row r="188" spans="1:63" s="133" customFormat="1" ht="12.75">
      <c r="A188" s="168">
        <v>38748</v>
      </c>
      <c r="B188" s="213" t="str">
        <f>Servicio_internaColumna_título_intereses</f>
        <v>Intereses</v>
      </c>
      <c r="C188" s="256">
        <v>0</v>
      </c>
      <c r="D188" s="257">
        <v>0</v>
      </c>
      <c r="E188" s="257">
        <v>0</v>
      </c>
      <c r="F188" s="257">
        <v>0</v>
      </c>
      <c r="G188" s="257">
        <v>0</v>
      </c>
      <c r="H188" s="257">
        <v>8748597.7950945012</v>
      </c>
      <c r="I188" s="257">
        <v>7697283.826201031</v>
      </c>
      <c r="J188" s="257">
        <v>6097851.623407118</v>
      </c>
      <c r="K188" s="257">
        <v>5043359.3596287835</v>
      </c>
      <c r="L188" s="257">
        <v>4025079.4810558148</v>
      </c>
      <c r="M188" s="257">
        <v>3084995.3935098872</v>
      </c>
      <c r="N188" s="257">
        <v>2618584.4942744058</v>
      </c>
      <c r="O188" s="257">
        <v>1545870.6546912822</v>
      </c>
      <c r="P188" s="257">
        <v>1307495.0410982296</v>
      </c>
      <c r="Q188" s="257">
        <v>429479.44688776787</v>
      </c>
      <c r="R188" s="257">
        <v>129819.71199999998</v>
      </c>
      <c r="S188" s="257">
        <v>129819.712</v>
      </c>
      <c r="T188" s="257">
        <v>129819.712</v>
      </c>
      <c r="U188" s="258">
        <v>129819.712</v>
      </c>
      <c r="V188" s="258">
        <v>129819.71200000006</v>
      </c>
      <c r="W188" s="258">
        <v>0</v>
      </c>
      <c r="X188" s="258">
        <v>0</v>
      </c>
      <c r="Y188" s="258">
        <v>0</v>
      </c>
      <c r="Z188" s="258">
        <v>0</v>
      </c>
      <c r="AA188" s="258">
        <v>0</v>
      </c>
      <c r="AB188" s="258">
        <v>0</v>
      </c>
      <c r="AC188" s="258">
        <v>0</v>
      </c>
      <c r="AD188" s="259">
        <v>0</v>
      </c>
      <c r="AE188" s="259">
        <v>0</v>
      </c>
      <c r="AF188" s="259">
        <v>0</v>
      </c>
      <c r="AG188" s="259">
        <v>0</v>
      </c>
      <c r="AH188" s="259">
        <v>0</v>
      </c>
      <c r="AI188" s="259">
        <v>0</v>
      </c>
      <c r="AJ188" s="259">
        <v>0</v>
      </c>
      <c r="AK188" s="259">
        <v>0</v>
      </c>
      <c r="AL188" s="259">
        <v>0</v>
      </c>
      <c r="AM188" s="259">
        <v>0</v>
      </c>
      <c r="AN188" s="259">
        <v>0</v>
      </c>
      <c r="AO188" s="259">
        <v>0</v>
      </c>
      <c r="AP188" s="259"/>
      <c r="AQ188" s="259"/>
      <c r="AR188" s="259"/>
      <c r="AS188" s="259"/>
      <c r="AT188" s="259"/>
      <c r="AU188" s="259"/>
      <c r="AV188" s="259"/>
      <c r="AW188" s="259"/>
      <c r="AX188" s="259"/>
      <c r="AY188" s="259"/>
      <c r="AZ188" s="259"/>
      <c r="BA188" s="259"/>
      <c r="BB188" s="259"/>
      <c r="BC188" s="259"/>
      <c r="BD188" s="259"/>
      <c r="BE188" s="259"/>
      <c r="BF188" s="259"/>
      <c r="BG188" s="259"/>
      <c r="BH188" s="259"/>
      <c r="BI188" s="259"/>
      <c r="BJ188" s="259"/>
      <c r="BK188" s="259"/>
    </row>
    <row r="189" spans="1:63" s="133" customFormat="1" ht="12.75">
      <c r="A189" s="169"/>
      <c r="B189" s="307" t="str">
        <f>Servicio_internaColumna_título_total</f>
        <v>Total</v>
      </c>
      <c r="C189" s="308">
        <v>0</v>
      </c>
      <c r="D189" s="309">
        <v>0</v>
      </c>
      <c r="E189" s="309">
        <v>0</v>
      </c>
      <c r="F189" s="309">
        <v>0</v>
      </c>
      <c r="G189" s="309">
        <v>0</v>
      </c>
      <c r="H189" s="309">
        <v>26258637.485673122</v>
      </c>
      <c r="I189" s="309">
        <v>21916225.826071151</v>
      </c>
      <c r="J189" s="309">
        <v>16048535.912133098</v>
      </c>
      <c r="K189" s="309">
        <v>14026773.242003694</v>
      </c>
      <c r="L189" s="309">
        <v>13734647.346316207</v>
      </c>
      <c r="M189" s="309">
        <v>8302010.0290991273</v>
      </c>
      <c r="N189" s="309">
        <v>12045442.800415182</v>
      </c>
      <c r="O189" s="309">
        <v>4254107.6609805115</v>
      </c>
      <c r="P189" s="309">
        <v>8469496.6414194815</v>
      </c>
      <c r="Q189" s="309">
        <v>4219467.821226717</v>
      </c>
      <c r="R189" s="309">
        <v>194539.44690604322</v>
      </c>
      <c r="S189" s="309">
        <v>129819.712</v>
      </c>
      <c r="T189" s="309">
        <v>129819.712</v>
      </c>
      <c r="U189" s="309">
        <v>129819.712</v>
      </c>
      <c r="V189" s="309">
        <v>1309998.912</v>
      </c>
      <c r="W189" s="309">
        <v>0</v>
      </c>
      <c r="X189" s="309">
        <v>0</v>
      </c>
      <c r="Y189" s="309">
        <v>0</v>
      </c>
      <c r="Z189" s="309">
        <v>0</v>
      </c>
      <c r="AA189" s="309">
        <v>0</v>
      </c>
      <c r="AB189" s="309">
        <v>0</v>
      </c>
      <c r="AC189" s="309">
        <v>0</v>
      </c>
      <c r="AD189" s="309">
        <v>0</v>
      </c>
      <c r="AE189" s="309">
        <v>0</v>
      </c>
      <c r="AF189" s="309">
        <v>0</v>
      </c>
      <c r="AG189" s="309">
        <v>0</v>
      </c>
      <c r="AH189" s="309">
        <v>0</v>
      </c>
      <c r="AI189" s="309">
        <v>0</v>
      </c>
      <c r="AJ189" s="309">
        <v>0</v>
      </c>
      <c r="AK189" s="309">
        <v>0</v>
      </c>
      <c r="AL189" s="309">
        <v>0</v>
      </c>
      <c r="AM189" s="309">
        <v>0</v>
      </c>
      <c r="AN189" s="309">
        <v>0</v>
      </c>
      <c r="AO189" s="309">
        <v>0</v>
      </c>
      <c r="AP189" s="309"/>
      <c r="AQ189" s="309"/>
      <c r="AR189" s="309"/>
      <c r="AS189" s="309"/>
      <c r="AT189" s="309"/>
      <c r="AU189" s="309"/>
      <c r="AV189" s="309"/>
      <c r="AW189" s="309"/>
      <c r="AX189" s="309"/>
      <c r="AY189" s="309"/>
      <c r="AZ189" s="309"/>
      <c r="BA189" s="309"/>
      <c r="BB189" s="309"/>
      <c r="BC189" s="309"/>
      <c r="BD189" s="309"/>
      <c r="BE189" s="309"/>
      <c r="BF189" s="309"/>
      <c r="BG189" s="309"/>
      <c r="BH189" s="309"/>
      <c r="BI189" s="309"/>
      <c r="BJ189" s="309"/>
      <c r="BK189" s="309"/>
    </row>
    <row r="190" spans="1:63" s="80" customFormat="1" ht="12.75">
      <c r="A190" s="167"/>
      <c r="B190" s="210" t="str">
        <f>Servicio_internaColumna_título_amortizaciones</f>
        <v>Amortizaciones</v>
      </c>
      <c r="C190" s="254">
        <v>0</v>
      </c>
      <c r="D190" s="255">
        <v>0</v>
      </c>
      <c r="E190" s="255">
        <v>0</v>
      </c>
      <c r="F190" s="255">
        <v>0</v>
      </c>
      <c r="G190" s="255">
        <v>0</v>
      </c>
      <c r="H190" s="255">
        <v>17903135.485383499</v>
      </c>
      <c r="I190" s="255">
        <v>14227115.93842514</v>
      </c>
      <c r="J190" s="255">
        <v>10336966.150326578</v>
      </c>
      <c r="K190" s="255">
        <v>8982013.7227587029</v>
      </c>
      <c r="L190" s="255">
        <v>10135231.084574252</v>
      </c>
      <c r="M190" s="255">
        <v>5221663.1285102945</v>
      </c>
      <c r="N190" s="255">
        <v>9439872.3555002846</v>
      </c>
      <c r="O190" s="255">
        <v>2711238.0559205702</v>
      </c>
      <c r="P190" s="255">
        <v>7174184.059497132</v>
      </c>
      <c r="Q190" s="255">
        <v>4369264.7250070767</v>
      </c>
      <c r="R190" s="255">
        <v>64903.712088048451</v>
      </c>
      <c r="S190" s="255">
        <v>0</v>
      </c>
      <c r="T190" s="255">
        <v>0</v>
      </c>
      <c r="U190" s="255">
        <v>0</v>
      </c>
      <c r="V190" s="255">
        <v>1566268.7</v>
      </c>
      <c r="W190" s="255">
        <v>0</v>
      </c>
      <c r="X190" s="255">
        <v>0</v>
      </c>
      <c r="Y190" s="255">
        <v>0</v>
      </c>
      <c r="Z190" s="255">
        <v>0</v>
      </c>
      <c r="AA190" s="255">
        <v>0</v>
      </c>
      <c r="AB190" s="255">
        <v>0</v>
      </c>
      <c r="AC190" s="255">
        <v>0</v>
      </c>
      <c r="AD190" s="255">
        <v>0</v>
      </c>
      <c r="AE190" s="255">
        <v>0</v>
      </c>
      <c r="AF190" s="255">
        <v>0</v>
      </c>
      <c r="AG190" s="255">
        <v>0</v>
      </c>
      <c r="AH190" s="255">
        <v>0</v>
      </c>
      <c r="AI190" s="255">
        <v>0</v>
      </c>
      <c r="AJ190" s="255">
        <v>0</v>
      </c>
      <c r="AK190" s="255">
        <v>0</v>
      </c>
      <c r="AL190" s="255">
        <v>0</v>
      </c>
      <c r="AM190" s="255">
        <v>0</v>
      </c>
      <c r="AN190" s="255">
        <v>0</v>
      </c>
      <c r="AO190" s="255">
        <v>0</v>
      </c>
      <c r="AP190" s="255"/>
      <c r="AQ190" s="255"/>
      <c r="AR190" s="255"/>
      <c r="AS190" s="255"/>
      <c r="AT190" s="255"/>
      <c r="AU190" s="255"/>
      <c r="AV190" s="255"/>
      <c r="AW190" s="255"/>
      <c r="AX190" s="255"/>
      <c r="AY190" s="255"/>
      <c r="AZ190" s="255"/>
      <c r="BA190" s="255"/>
      <c r="BB190" s="255"/>
      <c r="BC190" s="255"/>
      <c r="BD190" s="255"/>
      <c r="BE190" s="255"/>
      <c r="BF190" s="255"/>
      <c r="BG190" s="255"/>
      <c r="BH190" s="255"/>
      <c r="BI190" s="255"/>
      <c r="BJ190" s="255"/>
      <c r="BK190" s="255"/>
    </row>
    <row r="191" spans="1:63" s="133" customFormat="1" ht="12.75">
      <c r="A191" s="168">
        <v>38776</v>
      </c>
      <c r="B191" s="213" t="str">
        <f>Servicio_internaColumna_título_intereses</f>
        <v>Intereses</v>
      </c>
      <c r="C191" s="256">
        <v>0</v>
      </c>
      <c r="D191" s="257">
        <v>0</v>
      </c>
      <c r="E191" s="257">
        <v>0</v>
      </c>
      <c r="F191" s="257">
        <v>0</v>
      </c>
      <c r="G191" s="257">
        <v>0</v>
      </c>
      <c r="H191" s="257">
        <v>7786961.4764902443</v>
      </c>
      <c r="I191" s="257">
        <v>7864058.4357497897</v>
      </c>
      <c r="J191" s="257">
        <v>6262469.1737550721</v>
      </c>
      <c r="K191" s="257">
        <v>5164672.8245840482</v>
      </c>
      <c r="L191" s="257">
        <v>4146824.4323903453</v>
      </c>
      <c r="M191" s="257">
        <v>3175240.3558063563</v>
      </c>
      <c r="N191" s="257">
        <v>2708999.2207926288</v>
      </c>
      <c r="O191" s="257">
        <v>1636497.0259419605</v>
      </c>
      <c r="P191" s="257">
        <v>1398435.3408248508</v>
      </c>
      <c r="Q191" s="257">
        <v>519325.59294486046</v>
      </c>
      <c r="R191" s="257">
        <v>172289.557</v>
      </c>
      <c r="S191" s="257">
        <v>172289.557</v>
      </c>
      <c r="T191" s="257">
        <v>172289.557</v>
      </c>
      <c r="U191" s="258">
        <v>172289.557</v>
      </c>
      <c r="V191" s="258">
        <v>172289.55700000003</v>
      </c>
      <c r="W191" s="258">
        <v>0</v>
      </c>
      <c r="X191" s="258">
        <v>0</v>
      </c>
      <c r="Y191" s="258">
        <v>0</v>
      </c>
      <c r="Z191" s="258">
        <v>0</v>
      </c>
      <c r="AA191" s="258">
        <v>0</v>
      </c>
      <c r="AB191" s="258">
        <v>0</v>
      </c>
      <c r="AC191" s="258">
        <v>0</v>
      </c>
      <c r="AD191" s="259">
        <v>0</v>
      </c>
      <c r="AE191" s="259">
        <v>0</v>
      </c>
      <c r="AF191" s="259">
        <v>0</v>
      </c>
      <c r="AG191" s="259">
        <v>0</v>
      </c>
      <c r="AH191" s="259">
        <v>0</v>
      </c>
      <c r="AI191" s="259">
        <v>0</v>
      </c>
      <c r="AJ191" s="259">
        <v>0</v>
      </c>
      <c r="AK191" s="259">
        <v>0</v>
      </c>
      <c r="AL191" s="259">
        <v>0</v>
      </c>
      <c r="AM191" s="259">
        <v>0</v>
      </c>
      <c r="AN191" s="259">
        <v>0</v>
      </c>
      <c r="AO191" s="259">
        <v>0</v>
      </c>
      <c r="AP191" s="259"/>
      <c r="AQ191" s="259"/>
      <c r="AR191" s="259"/>
      <c r="AS191" s="259"/>
      <c r="AT191" s="259"/>
      <c r="AU191" s="259"/>
      <c r="AV191" s="259"/>
      <c r="AW191" s="259"/>
      <c r="AX191" s="259"/>
      <c r="AY191" s="259"/>
      <c r="AZ191" s="259"/>
      <c r="BA191" s="259"/>
      <c r="BB191" s="259"/>
      <c r="BC191" s="259"/>
      <c r="BD191" s="259"/>
      <c r="BE191" s="259"/>
      <c r="BF191" s="259"/>
      <c r="BG191" s="259"/>
      <c r="BH191" s="259"/>
      <c r="BI191" s="259"/>
      <c r="BJ191" s="259"/>
      <c r="BK191" s="259"/>
    </row>
    <row r="192" spans="1:63" s="133" customFormat="1" ht="12.75">
      <c r="A192" s="169"/>
      <c r="B192" s="307" t="str">
        <f>Servicio_internaColumna_título_total</f>
        <v>Total</v>
      </c>
      <c r="C192" s="308">
        <v>0</v>
      </c>
      <c r="D192" s="309">
        <v>0</v>
      </c>
      <c r="E192" s="309">
        <v>0</v>
      </c>
      <c r="F192" s="309">
        <v>0</v>
      </c>
      <c r="G192" s="309">
        <v>0</v>
      </c>
      <c r="H192" s="309">
        <v>25690096.961873744</v>
      </c>
      <c r="I192" s="309">
        <v>22091174.37417493</v>
      </c>
      <c r="J192" s="309">
        <v>16599435.32408165</v>
      </c>
      <c r="K192" s="309">
        <v>14146686.547342751</v>
      </c>
      <c r="L192" s="309">
        <v>14282055.516964598</v>
      </c>
      <c r="M192" s="309">
        <v>8396903.4843166508</v>
      </c>
      <c r="N192" s="309">
        <v>12148871.576292913</v>
      </c>
      <c r="O192" s="309">
        <v>4347735.0818625307</v>
      </c>
      <c r="P192" s="309">
        <v>8572619.4003219828</v>
      </c>
      <c r="Q192" s="309">
        <v>4888590.3179519372</v>
      </c>
      <c r="R192" s="309">
        <v>237193.26908804846</v>
      </c>
      <c r="S192" s="309">
        <v>172289.557</v>
      </c>
      <c r="T192" s="309">
        <v>172289.557</v>
      </c>
      <c r="U192" s="309">
        <v>172289.557</v>
      </c>
      <c r="V192" s="309">
        <v>1738558.257</v>
      </c>
      <c r="W192" s="309">
        <v>0</v>
      </c>
      <c r="X192" s="309">
        <v>0</v>
      </c>
      <c r="Y192" s="309">
        <v>0</v>
      </c>
      <c r="Z192" s="309">
        <v>0</v>
      </c>
      <c r="AA192" s="309">
        <v>0</v>
      </c>
      <c r="AB192" s="309">
        <v>0</v>
      </c>
      <c r="AC192" s="309">
        <v>0</v>
      </c>
      <c r="AD192" s="309">
        <v>0</v>
      </c>
      <c r="AE192" s="309">
        <v>0</v>
      </c>
      <c r="AF192" s="309">
        <v>0</v>
      </c>
      <c r="AG192" s="309">
        <v>0</v>
      </c>
      <c r="AH192" s="309">
        <v>0</v>
      </c>
      <c r="AI192" s="309">
        <v>0</v>
      </c>
      <c r="AJ192" s="309">
        <v>0</v>
      </c>
      <c r="AK192" s="309">
        <v>0</v>
      </c>
      <c r="AL192" s="309">
        <v>0</v>
      </c>
      <c r="AM192" s="309">
        <v>0</v>
      </c>
      <c r="AN192" s="309">
        <v>0</v>
      </c>
      <c r="AO192" s="309">
        <v>0</v>
      </c>
      <c r="AP192" s="309"/>
      <c r="AQ192" s="309"/>
      <c r="AR192" s="309"/>
      <c r="AS192" s="309"/>
      <c r="AT192" s="309"/>
      <c r="AU192" s="309"/>
      <c r="AV192" s="309"/>
      <c r="AW192" s="309"/>
      <c r="AX192" s="309"/>
      <c r="AY192" s="309"/>
      <c r="AZ192" s="309"/>
      <c r="BA192" s="309"/>
      <c r="BB192" s="309"/>
      <c r="BC192" s="309"/>
      <c r="BD192" s="309"/>
      <c r="BE192" s="309"/>
      <c r="BF192" s="309"/>
      <c r="BG192" s="309"/>
      <c r="BH192" s="309"/>
      <c r="BI192" s="309"/>
      <c r="BJ192" s="309"/>
      <c r="BK192" s="309"/>
    </row>
    <row r="193" spans="1:63" s="80" customFormat="1" ht="12.75">
      <c r="A193" s="167"/>
      <c r="B193" s="210" t="str">
        <f>Servicio_internaColumna_título_amortizaciones</f>
        <v>Amortizaciones</v>
      </c>
      <c r="C193" s="254">
        <v>0</v>
      </c>
      <c r="D193" s="255">
        <v>0</v>
      </c>
      <c r="E193" s="255">
        <v>0</v>
      </c>
      <c r="F193" s="255">
        <v>0</v>
      </c>
      <c r="G193" s="255">
        <v>0</v>
      </c>
      <c r="H193" s="255">
        <v>17667371.521784037</v>
      </c>
      <c r="I193" s="255">
        <v>14741481.660783488</v>
      </c>
      <c r="J193" s="255">
        <v>10910536.116839258</v>
      </c>
      <c r="K193" s="255">
        <v>8990964.5775053371</v>
      </c>
      <c r="L193" s="255">
        <v>10617641.440954352</v>
      </c>
      <c r="M193" s="255">
        <v>5232009.9815654242</v>
      </c>
      <c r="N193" s="255">
        <v>9468797.1035078652</v>
      </c>
      <c r="O193" s="255">
        <v>2715312.5175010129</v>
      </c>
      <c r="P193" s="255">
        <v>7177923.4569693301</v>
      </c>
      <c r="Q193" s="255">
        <v>4889265.8781535896</v>
      </c>
      <c r="R193" s="255">
        <v>65312.974252513217</v>
      </c>
      <c r="S193" s="255">
        <v>0</v>
      </c>
      <c r="T193" s="255">
        <v>0</v>
      </c>
      <c r="U193" s="255">
        <v>0</v>
      </c>
      <c r="V193" s="255">
        <v>1942367.4</v>
      </c>
      <c r="W193" s="255">
        <v>0</v>
      </c>
      <c r="X193" s="255">
        <v>0</v>
      </c>
      <c r="Y193" s="255">
        <v>0</v>
      </c>
      <c r="Z193" s="255">
        <v>0</v>
      </c>
      <c r="AA193" s="255">
        <v>0</v>
      </c>
      <c r="AB193" s="255">
        <v>0</v>
      </c>
      <c r="AC193" s="255">
        <v>0</v>
      </c>
      <c r="AD193" s="255">
        <v>0</v>
      </c>
      <c r="AE193" s="255">
        <v>0</v>
      </c>
      <c r="AF193" s="255">
        <v>0</v>
      </c>
      <c r="AG193" s="255">
        <v>0</v>
      </c>
      <c r="AH193" s="255">
        <v>0</v>
      </c>
      <c r="AI193" s="255">
        <v>0</v>
      </c>
      <c r="AJ193" s="255">
        <v>0</v>
      </c>
      <c r="AK193" s="255">
        <v>0</v>
      </c>
      <c r="AL193" s="255">
        <v>0</v>
      </c>
      <c r="AM193" s="255">
        <v>0</v>
      </c>
      <c r="AN193" s="255">
        <v>0</v>
      </c>
      <c r="AO193" s="255">
        <v>0</v>
      </c>
      <c r="AP193" s="255"/>
      <c r="AQ193" s="255"/>
      <c r="AR193" s="255"/>
      <c r="AS193" s="255"/>
      <c r="AT193" s="255"/>
      <c r="AU193" s="255"/>
      <c r="AV193" s="255"/>
      <c r="AW193" s="255"/>
      <c r="AX193" s="255"/>
      <c r="AY193" s="255"/>
      <c r="AZ193" s="255"/>
      <c r="BA193" s="255"/>
      <c r="BB193" s="255"/>
      <c r="BC193" s="255"/>
      <c r="BD193" s="255"/>
      <c r="BE193" s="255"/>
      <c r="BF193" s="255"/>
      <c r="BG193" s="255"/>
      <c r="BH193" s="255"/>
      <c r="BI193" s="255"/>
      <c r="BJ193" s="255"/>
      <c r="BK193" s="255"/>
    </row>
    <row r="194" spans="1:63" s="133" customFormat="1" ht="12.75">
      <c r="A194" s="168">
        <v>38807</v>
      </c>
      <c r="B194" s="213" t="str">
        <f>Servicio_internaColumna_título_intereses</f>
        <v>Intereses</v>
      </c>
      <c r="C194" s="256">
        <v>0</v>
      </c>
      <c r="D194" s="257">
        <v>0</v>
      </c>
      <c r="E194" s="257">
        <v>0</v>
      </c>
      <c r="F194" s="257">
        <v>0</v>
      </c>
      <c r="G194" s="257">
        <v>0</v>
      </c>
      <c r="H194" s="257">
        <v>7203486.4994641021</v>
      </c>
      <c r="I194" s="257">
        <v>8112005.8675037026</v>
      </c>
      <c r="J194" s="257">
        <v>6440197.9804519918</v>
      </c>
      <c r="K194" s="257">
        <v>5281931.4005544968</v>
      </c>
      <c r="L194" s="257">
        <v>4264242.9989326727</v>
      </c>
      <c r="M194" s="257">
        <v>3257089.1230252599</v>
      </c>
      <c r="N194" s="257">
        <v>2791083.0680165775</v>
      </c>
      <c r="O194" s="257">
        <v>1718840.3185585928</v>
      </c>
      <c r="P194" s="257">
        <v>1481130.5090794209</v>
      </c>
      <c r="Q194" s="257">
        <v>602383.193106791</v>
      </c>
      <c r="R194" s="257">
        <v>213660.41399999999</v>
      </c>
      <c r="S194" s="257">
        <v>213660.41399999999</v>
      </c>
      <c r="T194" s="257">
        <v>213660.41399999999</v>
      </c>
      <c r="U194" s="258">
        <v>213660.41399999999</v>
      </c>
      <c r="V194" s="258">
        <v>213660.41399999987</v>
      </c>
      <c r="W194" s="258">
        <v>0</v>
      </c>
      <c r="X194" s="258">
        <v>0</v>
      </c>
      <c r="Y194" s="258">
        <v>0</v>
      </c>
      <c r="Z194" s="258">
        <v>0</v>
      </c>
      <c r="AA194" s="258">
        <v>0</v>
      </c>
      <c r="AB194" s="258">
        <v>0</v>
      </c>
      <c r="AC194" s="258">
        <v>0</v>
      </c>
      <c r="AD194" s="259">
        <v>0</v>
      </c>
      <c r="AE194" s="259">
        <v>0</v>
      </c>
      <c r="AF194" s="259">
        <v>0</v>
      </c>
      <c r="AG194" s="259">
        <v>0</v>
      </c>
      <c r="AH194" s="259">
        <v>0</v>
      </c>
      <c r="AI194" s="259">
        <v>0</v>
      </c>
      <c r="AJ194" s="259">
        <v>0</v>
      </c>
      <c r="AK194" s="259">
        <v>0</v>
      </c>
      <c r="AL194" s="259">
        <v>0</v>
      </c>
      <c r="AM194" s="259">
        <v>0</v>
      </c>
      <c r="AN194" s="259">
        <v>0</v>
      </c>
      <c r="AO194" s="259">
        <v>0</v>
      </c>
      <c r="AP194" s="259"/>
      <c r="AQ194" s="259"/>
      <c r="AR194" s="259"/>
      <c r="AS194" s="259"/>
      <c r="AT194" s="259"/>
      <c r="AU194" s="259"/>
      <c r="AV194" s="259"/>
      <c r="AW194" s="259"/>
      <c r="AX194" s="259"/>
      <c r="AY194" s="259"/>
      <c r="AZ194" s="259"/>
      <c r="BA194" s="259"/>
      <c r="BB194" s="259"/>
      <c r="BC194" s="259"/>
      <c r="BD194" s="259"/>
      <c r="BE194" s="259"/>
      <c r="BF194" s="259"/>
      <c r="BG194" s="259"/>
      <c r="BH194" s="259"/>
      <c r="BI194" s="259"/>
      <c r="BJ194" s="259"/>
      <c r="BK194" s="259"/>
    </row>
    <row r="195" spans="1:63" s="133" customFormat="1" ht="12.75">
      <c r="A195" s="169"/>
      <c r="B195" s="307" t="str">
        <f>Servicio_internaColumna_título_total</f>
        <v>Total</v>
      </c>
      <c r="C195" s="308">
        <v>0</v>
      </c>
      <c r="D195" s="309">
        <v>0</v>
      </c>
      <c r="E195" s="309">
        <v>0</v>
      </c>
      <c r="F195" s="309">
        <v>0</v>
      </c>
      <c r="G195" s="309">
        <v>0</v>
      </c>
      <c r="H195" s="309">
        <v>24870858.021248139</v>
      </c>
      <c r="I195" s="309">
        <v>22853487.528287191</v>
      </c>
      <c r="J195" s="309">
        <v>17350734.09729125</v>
      </c>
      <c r="K195" s="309">
        <v>14272895.978059834</v>
      </c>
      <c r="L195" s="309">
        <v>14881884.439887024</v>
      </c>
      <c r="M195" s="309">
        <v>8489099.1045906842</v>
      </c>
      <c r="N195" s="309">
        <v>12259880.171524443</v>
      </c>
      <c r="O195" s="309">
        <v>4434152.8360596057</v>
      </c>
      <c r="P195" s="309">
        <v>8659053.966048751</v>
      </c>
      <c r="Q195" s="309">
        <v>5491649.0712603806</v>
      </c>
      <c r="R195" s="309">
        <v>278973.38825251319</v>
      </c>
      <c r="S195" s="309">
        <v>213660.41399999999</v>
      </c>
      <c r="T195" s="309">
        <v>213660.41399999999</v>
      </c>
      <c r="U195" s="309">
        <v>213660.41399999999</v>
      </c>
      <c r="V195" s="309">
        <v>2156027.8139999998</v>
      </c>
      <c r="W195" s="309">
        <v>0</v>
      </c>
      <c r="X195" s="309">
        <v>0</v>
      </c>
      <c r="Y195" s="309">
        <v>0</v>
      </c>
      <c r="Z195" s="309">
        <v>0</v>
      </c>
      <c r="AA195" s="309">
        <v>0</v>
      </c>
      <c r="AB195" s="309">
        <v>0</v>
      </c>
      <c r="AC195" s="309">
        <v>0</v>
      </c>
      <c r="AD195" s="309">
        <v>0</v>
      </c>
      <c r="AE195" s="309">
        <v>0</v>
      </c>
      <c r="AF195" s="309">
        <v>0</v>
      </c>
      <c r="AG195" s="309">
        <v>0</v>
      </c>
      <c r="AH195" s="309">
        <v>0</v>
      </c>
      <c r="AI195" s="309">
        <v>0</v>
      </c>
      <c r="AJ195" s="309">
        <v>0</v>
      </c>
      <c r="AK195" s="309">
        <v>0</v>
      </c>
      <c r="AL195" s="309">
        <v>0</v>
      </c>
      <c r="AM195" s="309">
        <v>0</v>
      </c>
      <c r="AN195" s="309">
        <v>0</v>
      </c>
      <c r="AO195" s="309">
        <v>0</v>
      </c>
      <c r="AP195" s="309"/>
      <c r="AQ195" s="309"/>
      <c r="AR195" s="309"/>
      <c r="AS195" s="309"/>
      <c r="AT195" s="309"/>
      <c r="AU195" s="309"/>
      <c r="AV195" s="309"/>
      <c r="AW195" s="309"/>
      <c r="AX195" s="309"/>
      <c r="AY195" s="309"/>
      <c r="AZ195" s="309"/>
      <c r="BA195" s="309"/>
      <c r="BB195" s="309"/>
      <c r="BC195" s="309"/>
      <c r="BD195" s="309"/>
      <c r="BE195" s="309"/>
      <c r="BF195" s="309"/>
      <c r="BG195" s="309"/>
      <c r="BH195" s="309"/>
      <c r="BI195" s="309"/>
      <c r="BJ195" s="309"/>
      <c r="BK195" s="309"/>
    </row>
    <row r="196" spans="1:63" s="80" customFormat="1" ht="12.75">
      <c r="A196" s="167"/>
      <c r="B196" s="210" t="str">
        <f>Servicio_internaColumna_título_amortizaciones</f>
        <v>Amortizaciones</v>
      </c>
      <c r="C196" s="254">
        <v>0</v>
      </c>
      <c r="D196" s="255">
        <v>0</v>
      </c>
      <c r="E196" s="255">
        <v>0</v>
      </c>
      <c r="F196" s="255">
        <v>0</v>
      </c>
      <c r="G196" s="255">
        <v>0</v>
      </c>
      <c r="H196" s="255">
        <v>12422487.120530851</v>
      </c>
      <c r="I196" s="255">
        <v>16215722.451648252</v>
      </c>
      <c r="J196" s="255">
        <v>11364138.414923495</v>
      </c>
      <c r="K196" s="255">
        <v>9004854.5947681703</v>
      </c>
      <c r="L196" s="255">
        <v>11083543.173136903</v>
      </c>
      <c r="M196" s="255">
        <v>5243028.033213892</v>
      </c>
      <c r="N196" s="255">
        <v>9499718.5114335455</v>
      </c>
      <c r="O196" s="255">
        <v>2719441.9983745627</v>
      </c>
      <c r="P196" s="255">
        <v>7181920.9830533555</v>
      </c>
      <c r="Q196" s="255">
        <v>5072154.5625377549</v>
      </c>
      <c r="R196" s="255">
        <v>65750.106773044099</v>
      </c>
      <c r="S196" s="255">
        <v>0</v>
      </c>
      <c r="T196" s="255">
        <v>0</v>
      </c>
      <c r="U196" s="255">
        <v>0</v>
      </c>
      <c r="V196" s="255">
        <v>2083367.4</v>
      </c>
      <c r="W196" s="255">
        <v>0</v>
      </c>
      <c r="X196" s="255">
        <v>0</v>
      </c>
      <c r="Y196" s="255">
        <v>0</v>
      </c>
      <c r="Z196" s="255">
        <v>0</v>
      </c>
      <c r="AA196" s="255">
        <v>0</v>
      </c>
      <c r="AB196" s="255">
        <v>0</v>
      </c>
      <c r="AC196" s="255">
        <v>0</v>
      </c>
      <c r="AD196" s="255">
        <v>0</v>
      </c>
      <c r="AE196" s="255">
        <v>0</v>
      </c>
      <c r="AF196" s="255">
        <v>0</v>
      </c>
      <c r="AG196" s="255">
        <v>0</v>
      </c>
      <c r="AH196" s="255">
        <v>0</v>
      </c>
      <c r="AI196" s="255">
        <v>0</v>
      </c>
      <c r="AJ196" s="255">
        <v>0</v>
      </c>
      <c r="AK196" s="255">
        <v>0</v>
      </c>
      <c r="AL196" s="255">
        <v>0</v>
      </c>
      <c r="AM196" s="255">
        <v>0</v>
      </c>
      <c r="AN196" s="255">
        <v>0</v>
      </c>
      <c r="AO196" s="255">
        <v>0</v>
      </c>
      <c r="AP196" s="255"/>
      <c r="AQ196" s="255"/>
      <c r="AR196" s="255"/>
      <c r="AS196" s="255"/>
      <c r="AT196" s="255"/>
      <c r="AU196" s="255"/>
      <c r="AV196" s="255"/>
      <c r="AW196" s="255"/>
      <c r="AX196" s="255"/>
      <c r="AY196" s="255"/>
      <c r="AZ196" s="255"/>
      <c r="BA196" s="255"/>
      <c r="BB196" s="255"/>
      <c r="BC196" s="255"/>
      <c r="BD196" s="255"/>
      <c r="BE196" s="255"/>
      <c r="BF196" s="255"/>
      <c r="BG196" s="255"/>
      <c r="BH196" s="255"/>
      <c r="BI196" s="255"/>
      <c r="BJ196" s="255"/>
      <c r="BK196" s="255"/>
    </row>
    <row r="197" spans="1:63" s="133" customFormat="1" ht="12.75">
      <c r="A197" s="168">
        <v>38837</v>
      </c>
      <c r="B197" s="213" t="str">
        <f>Servicio_internaColumna_título_intereses</f>
        <v>Intereses</v>
      </c>
      <c r="C197" s="256">
        <v>0</v>
      </c>
      <c r="D197" s="257">
        <v>0</v>
      </c>
      <c r="E197" s="257">
        <v>0</v>
      </c>
      <c r="F197" s="257">
        <v>0</v>
      </c>
      <c r="G197" s="257">
        <v>0</v>
      </c>
      <c r="H197" s="257">
        <v>5922458.1095401496</v>
      </c>
      <c r="I197" s="257">
        <v>8441696.3293921184</v>
      </c>
      <c r="J197" s="257">
        <v>6550658.956083471</v>
      </c>
      <c r="K197" s="257">
        <v>5345262.5869346578</v>
      </c>
      <c r="L197" s="257">
        <v>4327336.3972090986</v>
      </c>
      <c r="M197" s="257">
        <v>3285657.6735912589</v>
      </c>
      <c r="N197" s="257">
        <v>2819830.4803132471</v>
      </c>
      <c r="O197" s="257">
        <v>1747792.9034164743</v>
      </c>
      <c r="P197" s="257">
        <v>1510356.233170365</v>
      </c>
      <c r="Q197" s="257">
        <v>631890.25060801115</v>
      </c>
      <c r="R197" s="257">
        <v>229170.41399999999</v>
      </c>
      <c r="S197" s="257">
        <v>229170.41399999999</v>
      </c>
      <c r="T197" s="257">
        <v>229170.41399999999</v>
      </c>
      <c r="U197" s="258">
        <v>229170.41399999999</v>
      </c>
      <c r="V197" s="258">
        <v>229170.41399999987</v>
      </c>
      <c r="W197" s="258">
        <v>0</v>
      </c>
      <c r="X197" s="258">
        <v>0</v>
      </c>
      <c r="Y197" s="258">
        <v>0</v>
      </c>
      <c r="Z197" s="258">
        <v>0</v>
      </c>
      <c r="AA197" s="258">
        <v>0</v>
      </c>
      <c r="AB197" s="258">
        <v>0</v>
      </c>
      <c r="AC197" s="258">
        <v>0</v>
      </c>
      <c r="AD197" s="259">
        <v>0</v>
      </c>
      <c r="AE197" s="259">
        <v>0</v>
      </c>
      <c r="AF197" s="259">
        <v>0</v>
      </c>
      <c r="AG197" s="259">
        <v>0</v>
      </c>
      <c r="AH197" s="259">
        <v>0</v>
      </c>
      <c r="AI197" s="259">
        <v>0</v>
      </c>
      <c r="AJ197" s="259">
        <v>0</v>
      </c>
      <c r="AK197" s="259">
        <v>0</v>
      </c>
      <c r="AL197" s="259">
        <v>0</v>
      </c>
      <c r="AM197" s="259">
        <v>0</v>
      </c>
      <c r="AN197" s="259">
        <v>0</v>
      </c>
      <c r="AO197" s="259">
        <v>0</v>
      </c>
      <c r="AP197" s="259"/>
      <c r="AQ197" s="259"/>
      <c r="AR197" s="259"/>
      <c r="AS197" s="259"/>
      <c r="AT197" s="259"/>
      <c r="AU197" s="259"/>
      <c r="AV197" s="259"/>
      <c r="AW197" s="259"/>
      <c r="AX197" s="259"/>
      <c r="AY197" s="259"/>
      <c r="AZ197" s="259"/>
      <c r="BA197" s="259"/>
      <c r="BB197" s="259"/>
      <c r="BC197" s="259"/>
      <c r="BD197" s="259"/>
      <c r="BE197" s="259"/>
      <c r="BF197" s="259"/>
      <c r="BG197" s="259"/>
      <c r="BH197" s="259"/>
      <c r="BI197" s="259"/>
      <c r="BJ197" s="259"/>
      <c r="BK197" s="259"/>
    </row>
    <row r="198" spans="1:63" s="133" customFormat="1" ht="12.75">
      <c r="A198" s="169"/>
      <c r="B198" s="307" t="str">
        <f>Servicio_internaColumna_título_total</f>
        <v>Total</v>
      </c>
      <c r="C198" s="308">
        <v>0</v>
      </c>
      <c r="D198" s="309">
        <v>0</v>
      </c>
      <c r="E198" s="309">
        <v>0</v>
      </c>
      <c r="F198" s="309">
        <v>0</v>
      </c>
      <c r="G198" s="309">
        <v>0</v>
      </c>
      <c r="H198" s="309">
        <v>18344945.230071001</v>
      </c>
      <c r="I198" s="309">
        <v>24657418.78104037</v>
      </c>
      <c r="J198" s="309">
        <v>17914797.371006966</v>
      </c>
      <c r="K198" s="309">
        <v>14350117.181702828</v>
      </c>
      <c r="L198" s="309">
        <v>15410879.570346002</v>
      </c>
      <c r="M198" s="309">
        <v>8528685.706805151</v>
      </c>
      <c r="N198" s="309">
        <v>12319548.991746793</v>
      </c>
      <c r="O198" s="309">
        <v>4467234.9017910371</v>
      </c>
      <c r="P198" s="309">
        <v>8692277.2162237205</v>
      </c>
      <c r="Q198" s="309">
        <v>5704044.813145766</v>
      </c>
      <c r="R198" s="309">
        <v>294920.52077304409</v>
      </c>
      <c r="S198" s="309">
        <v>229170.41399999999</v>
      </c>
      <c r="T198" s="309">
        <v>229170.41399999999</v>
      </c>
      <c r="U198" s="309">
        <v>229170.41399999999</v>
      </c>
      <c r="V198" s="309">
        <v>2312537.8139999998</v>
      </c>
      <c r="W198" s="309">
        <v>0</v>
      </c>
      <c r="X198" s="309">
        <v>0</v>
      </c>
      <c r="Y198" s="309">
        <v>0</v>
      </c>
      <c r="Z198" s="309">
        <v>0</v>
      </c>
      <c r="AA198" s="309">
        <v>0</v>
      </c>
      <c r="AB198" s="309">
        <v>0</v>
      </c>
      <c r="AC198" s="309">
        <v>0</v>
      </c>
      <c r="AD198" s="309">
        <v>0</v>
      </c>
      <c r="AE198" s="309">
        <v>0</v>
      </c>
      <c r="AF198" s="309">
        <v>0</v>
      </c>
      <c r="AG198" s="309">
        <v>0</v>
      </c>
      <c r="AH198" s="309">
        <v>0</v>
      </c>
      <c r="AI198" s="309">
        <v>0</v>
      </c>
      <c r="AJ198" s="309">
        <v>0</v>
      </c>
      <c r="AK198" s="309">
        <v>0</v>
      </c>
      <c r="AL198" s="309">
        <v>0</v>
      </c>
      <c r="AM198" s="309">
        <v>0</v>
      </c>
      <c r="AN198" s="309">
        <v>0</v>
      </c>
      <c r="AO198" s="309">
        <v>0</v>
      </c>
      <c r="AP198" s="309"/>
      <c r="AQ198" s="309"/>
      <c r="AR198" s="309"/>
      <c r="AS198" s="309"/>
      <c r="AT198" s="309"/>
      <c r="AU198" s="309"/>
      <c r="AV198" s="309"/>
      <c r="AW198" s="309"/>
      <c r="AX198" s="309"/>
      <c r="AY198" s="309"/>
      <c r="AZ198" s="309"/>
      <c r="BA198" s="309"/>
      <c r="BB198" s="309"/>
      <c r="BC198" s="309"/>
      <c r="BD198" s="309"/>
      <c r="BE198" s="309"/>
      <c r="BF198" s="309"/>
      <c r="BG198" s="309"/>
      <c r="BH198" s="309"/>
      <c r="BI198" s="309"/>
      <c r="BJ198" s="309"/>
      <c r="BK198" s="309"/>
    </row>
    <row r="199" spans="1:63" s="80" customFormat="1" ht="12.75">
      <c r="A199" s="167"/>
      <c r="B199" s="210" t="str">
        <f>Servicio_internaColumna_título_amortizaciones</f>
        <v>Amortizaciones</v>
      </c>
      <c r="C199" s="254">
        <v>0</v>
      </c>
      <c r="D199" s="255">
        <v>0</v>
      </c>
      <c r="E199" s="255">
        <v>0</v>
      </c>
      <c r="F199" s="255">
        <v>0</v>
      </c>
      <c r="G199" s="255">
        <v>0</v>
      </c>
      <c r="H199" s="255">
        <v>10740133.807805449</v>
      </c>
      <c r="I199" s="255">
        <v>16655411.94341659</v>
      </c>
      <c r="J199" s="255">
        <v>12065504.929137561</v>
      </c>
      <c r="K199" s="255">
        <v>9022978.5905235279</v>
      </c>
      <c r="L199" s="255">
        <v>11306552.490376491</v>
      </c>
      <c r="M199" s="255">
        <v>5254703.6714492068</v>
      </c>
      <c r="N199" s="255">
        <v>9526798.5840839557</v>
      </c>
      <c r="O199" s="255">
        <v>2579045.2436230155</v>
      </c>
      <c r="P199" s="255">
        <v>7185421.900509553</v>
      </c>
      <c r="Q199" s="255">
        <v>5266660.866921843</v>
      </c>
      <c r="R199" s="255">
        <v>66133.08160209081</v>
      </c>
      <c r="S199" s="255">
        <v>0</v>
      </c>
      <c r="T199" s="255">
        <v>0</v>
      </c>
      <c r="U199" s="255">
        <v>0</v>
      </c>
      <c r="V199" s="255">
        <v>2323792.7999999998</v>
      </c>
      <c r="W199" s="255">
        <v>0</v>
      </c>
      <c r="X199" s="255">
        <v>0</v>
      </c>
      <c r="Y199" s="255">
        <v>0</v>
      </c>
      <c r="Z199" s="255">
        <v>0</v>
      </c>
      <c r="AA199" s="255">
        <v>0</v>
      </c>
      <c r="AB199" s="255">
        <v>0</v>
      </c>
      <c r="AC199" s="255">
        <v>0</v>
      </c>
      <c r="AD199" s="255">
        <v>0</v>
      </c>
      <c r="AE199" s="255">
        <v>0</v>
      </c>
      <c r="AF199" s="255">
        <v>0</v>
      </c>
      <c r="AG199" s="255">
        <v>0</v>
      </c>
      <c r="AH199" s="255">
        <v>0</v>
      </c>
      <c r="AI199" s="255">
        <v>0</v>
      </c>
      <c r="AJ199" s="255">
        <v>0</v>
      </c>
      <c r="AK199" s="255">
        <v>0</v>
      </c>
      <c r="AL199" s="255">
        <v>0</v>
      </c>
      <c r="AM199" s="255">
        <v>0</v>
      </c>
      <c r="AN199" s="255">
        <v>0</v>
      </c>
      <c r="AO199" s="255">
        <v>0</v>
      </c>
      <c r="AP199" s="255"/>
      <c r="AQ199" s="255"/>
      <c r="AR199" s="255"/>
      <c r="AS199" s="255"/>
      <c r="AT199" s="255"/>
      <c r="AU199" s="255"/>
      <c r="AV199" s="255"/>
      <c r="AW199" s="255"/>
      <c r="AX199" s="255"/>
      <c r="AY199" s="255"/>
      <c r="AZ199" s="255"/>
      <c r="BA199" s="255"/>
      <c r="BB199" s="255"/>
      <c r="BC199" s="255"/>
      <c r="BD199" s="255"/>
      <c r="BE199" s="255"/>
      <c r="BF199" s="255"/>
      <c r="BG199" s="255"/>
      <c r="BH199" s="255"/>
      <c r="BI199" s="255"/>
      <c r="BJ199" s="255"/>
      <c r="BK199" s="255"/>
    </row>
    <row r="200" spans="1:63" s="133" customFormat="1" ht="12.75">
      <c r="A200" s="168">
        <v>38868</v>
      </c>
      <c r="B200" s="213" t="str">
        <f>Servicio_internaColumna_título_intereses</f>
        <v>Intereses</v>
      </c>
      <c r="C200" s="256">
        <v>0</v>
      </c>
      <c r="D200" s="257">
        <v>0</v>
      </c>
      <c r="E200" s="257">
        <v>0</v>
      </c>
      <c r="F200" s="257">
        <v>0</v>
      </c>
      <c r="G200" s="257">
        <v>0</v>
      </c>
      <c r="H200" s="257">
        <v>5859116.3034597486</v>
      </c>
      <c r="I200" s="257">
        <v>8692262.8568778764</v>
      </c>
      <c r="J200" s="257">
        <v>6730643.7780935243</v>
      </c>
      <c r="K200" s="257">
        <v>5396685.0862808898</v>
      </c>
      <c r="L200" s="257">
        <v>4379043.9954703208</v>
      </c>
      <c r="M200" s="257">
        <v>3321414.4822197091</v>
      </c>
      <c r="N200" s="257">
        <v>2855681.7087293938</v>
      </c>
      <c r="O200" s="257">
        <v>1788584.86525275</v>
      </c>
      <c r="P200" s="257">
        <v>1551362.5516615044</v>
      </c>
      <c r="Q200" s="257">
        <v>673117.35458794422</v>
      </c>
      <c r="R200" s="257">
        <v>255617.20799999998</v>
      </c>
      <c r="S200" s="257">
        <v>255617.20799999998</v>
      </c>
      <c r="T200" s="257">
        <v>255617.20799999998</v>
      </c>
      <c r="U200" s="258">
        <v>255617.20799999998</v>
      </c>
      <c r="V200" s="258">
        <v>255617.2080000001</v>
      </c>
      <c r="W200" s="258">
        <v>0</v>
      </c>
      <c r="X200" s="258">
        <v>0</v>
      </c>
      <c r="Y200" s="258">
        <v>0</v>
      </c>
      <c r="Z200" s="258">
        <v>0</v>
      </c>
      <c r="AA200" s="258">
        <v>0</v>
      </c>
      <c r="AB200" s="258">
        <v>0</v>
      </c>
      <c r="AC200" s="258">
        <v>0</v>
      </c>
      <c r="AD200" s="259">
        <v>0</v>
      </c>
      <c r="AE200" s="259">
        <v>0</v>
      </c>
      <c r="AF200" s="259">
        <v>0</v>
      </c>
      <c r="AG200" s="259">
        <v>0</v>
      </c>
      <c r="AH200" s="259">
        <v>0</v>
      </c>
      <c r="AI200" s="259">
        <v>0</v>
      </c>
      <c r="AJ200" s="259">
        <v>0</v>
      </c>
      <c r="AK200" s="259">
        <v>0</v>
      </c>
      <c r="AL200" s="259">
        <v>0</v>
      </c>
      <c r="AM200" s="259">
        <v>0</v>
      </c>
      <c r="AN200" s="259">
        <v>0</v>
      </c>
      <c r="AO200" s="259">
        <v>0</v>
      </c>
      <c r="AP200" s="259"/>
      <c r="AQ200" s="259"/>
      <c r="AR200" s="259"/>
      <c r="AS200" s="259"/>
      <c r="AT200" s="259"/>
      <c r="AU200" s="259"/>
      <c r="AV200" s="259"/>
      <c r="AW200" s="259"/>
      <c r="AX200" s="259"/>
      <c r="AY200" s="259"/>
      <c r="AZ200" s="259"/>
      <c r="BA200" s="259"/>
      <c r="BB200" s="259"/>
      <c r="BC200" s="259"/>
      <c r="BD200" s="259"/>
      <c r="BE200" s="259"/>
      <c r="BF200" s="259"/>
      <c r="BG200" s="259"/>
      <c r="BH200" s="259"/>
      <c r="BI200" s="259"/>
      <c r="BJ200" s="259"/>
      <c r="BK200" s="259"/>
    </row>
    <row r="201" spans="1:63" s="133" customFormat="1" ht="12.75">
      <c r="A201" s="169"/>
      <c r="B201" s="307" t="str">
        <f>Servicio_internaColumna_título_total</f>
        <v>Total</v>
      </c>
      <c r="C201" s="308">
        <v>0</v>
      </c>
      <c r="D201" s="309">
        <v>0</v>
      </c>
      <c r="E201" s="309">
        <v>0</v>
      </c>
      <c r="F201" s="309">
        <v>0</v>
      </c>
      <c r="G201" s="309">
        <v>0</v>
      </c>
      <c r="H201" s="309">
        <v>16599250.111265197</v>
      </c>
      <c r="I201" s="309">
        <v>25347674.800294466</v>
      </c>
      <c r="J201" s="309">
        <v>18796148.707231086</v>
      </c>
      <c r="K201" s="309">
        <v>14419663.676804418</v>
      </c>
      <c r="L201" s="309">
        <v>15685596.485846812</v>
      </c>
      <c r="M201" s="309">
        <v>8576118.1536689159</v>
      </c>
      <c r="N201" s="309">
        <v>12382480.29281335</v>
      </c>
      <c r="O201" s="309">
        <v>4367630.1088757655</v>
      </c>
      <c r="P201" s="309">
        <v>8736784.4521710575</v>
      </c>
      <c r="Q201" s="309">
        <v>5939778.2215097873</v>
      </c>
      <c r="R201" s="309">
        <v>321750.28960209078</v>
      </c>
      <c r="S201" s="309">
        <v>255617.20799999998</v>
      </c>
      <c r="T201" s="309">
        <v>255617.20799999998</v>
      </c>
      <c r="U201" s="309">
        <v>255617.20799999998</v>
      </c>
      <c r="V201" s="309">
        <v>2579410.0079999999</v>
      </c>
      <c r="W201" s="309">
        <v>0</v>
      </c>
      <c r="X201" s="309">
        <v>0</v>
      </c>
      <c r="Y201" s="309">
        <v>0</v>
      </c>
      <c r="Z201" s="309">
        <v>0</v>
      </c>
      <c r="AA201" s="309">
        <v>0</v>
      </c>
      <c r="AB201" s="309">
        <v>0</v>
      </c>
      <c r="AC201" s="309">
        <v>0</v>
      </c>
      <c r="AD201" s="309">
        <v>0</v>
      </c>
      <c r="AE201" s="309">
        <v>0</v>
      </c>
      <c r="AF201" s="309">
        <v>0</v>
      </c>
      <c r="AG201" s="309">
        <v>0</v>
      </c>
      <c r="AH201" s="309">
        <v>0</v>
      </c>
      <c r="AI201" s="309">
        <v>0</v>
      </c>
      <c r="AJ201" s="309">
        <v>0</v>
      </c>
      <c r="AK201" s="309">
        <v>0</v>
      </c>
      <c r="AL201" s="309">
        <v>0</v>
      </c>
      <c r="AM201" s="309">
        <v>0</v>
      </c>
      <c r="AN201" s="309">
        <v>0</v>
      </c>
      <c r="AO201" s="309">
        <v>0</v>
      </c>
      <c r="AP201" s="309"/>
      <c r="AQ201" s="309"/>
      <c r="AR201" s="309"/>
      <c r="AS201" s="309"/>
      <c r="AT201" s="309"/>
      <c r="AU201" s="309"/>
      <c r="AV201" s="309"/>
      <c r="AW201" s="309"/>
      <c r="AX201" s="309"/>
      <c r="AY201" s="309"/>
      <c r="AZ201" s="309"/>
      <c r="BA201" s="309"/>
      <c r="BB201" s="309"/>
      <c r="BC201" s="309"/>
      <c r="BD201" s="309"/>
      <c r="BE201" s="309"/>
      <c r="BF201" s="309"/>
      <c r="BG201" s="309"/>
      <c r="BH201" s="309"/>
      <c r="BI201" s="309"/>
      <c r="BJ201" s="309"/>
      <c r="BK201" s="309"/>
    </row>
    <row r="202" spans="1:63" s="80" customFormat="1" ht="12.75">
      <c r="A202" s="167"/>
      <c r="B202" s="210" t="str">
        <f>Servicio_internaColumna_título_amortizaciones</f>
        <v>Amortizaciones</v>
      </c>
      <c r="C202" s="254">
        <v>0</v>
      </c>
      <c r="D202" s="255">
        <v>0</v>
      </c>
      <c r="E202" s="255">
        <v>0</v>
      </c>
      <c r="F202" s="255">
        <v>0</v>
      </c>
      <c r="G202" s="255">
        <v>0</v>
      </c>
      <c r="H202" s="255">
        <v>10419622.152551048</v>
      </c>
      <c r="I202" s="255">
        <v>17323522.251679376</v>
      </c>
      <c r="J202" s="255">
        <v>13173460.492380371</v>
      </c>
      <c r="K202" s="255">
        <v>9045221.1145102009</v>
      </c>
      <c r="L202" s="255">
        <v>11544761.253593959</v>
      </c>
      <c r="M202" s="255">
        <v>5261130.1716712574</v>
      </c>
      <c r="N202" s="255">
        <v>9544702.9613793958</v>
      </c>
      <c r="O202" s="255">
        <v>2543154.3061797125</v>
      </c>
      <c r="P202" s="255">
        <v>7187736.5821511121</v>
      </c>
      <c r="Q202" s="255">
        <v>5851998.2340745451</v>
      </c>
      <c r="R202" s="255">
        <v>66386.194363724164</v>
      </c>
      <c r="S202" s="255">
        <v>0</v>
      </c>
      <c r="T202" s="255">
        <v>0</v>
      </c>
      <c r="U202" s="255">
        <v>0</v>
      </c>
      <c r="V202" s="255">
        <v>3006586.3</v>
      </c>
      <c r="W202" s="255">
        <v>0</v>
      </c>
      <c r="X202" s="255">
        <v>0</v>
      </c>
      <c r="Y202" s="255">
        <v>0</v>
      </c>
      <c r="Z202" s="255">
        <v>0</v>
      </c>
      <c r="AA202" s="255">
        <v>0</v>
      </c>
      <c r="AB202" s="255">
        <v>0</v>
      </c>
      <c r="AC202" s="255">
        <v>0</v>
      </c>
      <c r="AD202" s="255">
        <v>0</v>
      </c>
      <c r="AE202" s="255">
        <v>0</v>
      </c>
      <c r="AF202" s="255">
        <v>0</v>
      </c>
      <c r="AG202" s="255">
        <v>0</v>
      </c>
      <c r="AH202" s="255">
        <v>0</v>
      </c>
      <c r="AI202" s="255">
        <v>0</v>
      </c>
      <c r="AJ202" s="255">
        <v>0</v>
      </c>
      <c r="AK202" s="255">
        <v>0</v>
      </c>
      <c r="AL202" s="255">
        <v>0</v>
      </c>
      <c r="AM202" s="255">
        <v>0</v>
      </c>
      <c r="AN202" s="255">
        <v>0</v>
      </c>
      <c r="AO202" s="255">
        <v>0</v>
      </c>
      <c r="AP202" s="255"/>
      <c r="AQ202" s="255"/>
      <c r="AR202" s="255"/>
      <c r="AS202" s="255"/>
      <c r="AT202" s="255"/>
      <c r="AU202" s="255"/>
      <c r="AV202" s="255"/>
      <c r="AW202" s="255"/>
      <c r="AX202" s="255"/>
      <c r="AY202" s="255"/>
      <c r="AZ202" s="255"/>
      <c r="BA202" s="255"/>
      <c r="BB202" s="255"/>
      <c r="BC202" s="255"/>
      <c r="BD202" s="255"/>
      <c r="BE202" s="255"/>
      <c r="BF202" s="255"/>
      <c r="BG202" s="255"/>
      <c r="BH202" s="255"/>
      <c r="BI202" s="255"/>
      <c r="BJ202" s="255"/>
      <c r="BK202" s="255"/>
    </row>
    <row r="203" spans="1:63" s="133" customFormat="1" ht="12.75">
      <c r="A203" s="168">
        <v>38898</v>
      </c>
      <c r="B203" s="213" t="str">
        <f>Servicio_internaColumna_título_intereses</f>
        <v>Intereses</v>
      </c>
      <c r="C203" s="256">
        <v>0</v>
      </c>
      <c r="D203" s="257">
        <v>0</v>
      </c>
      <c r="E203" s="257">
        <v>0</v>
      </c>
      <c r="F203" s="257">
        <v>0</v>
      </c>
      <c r="G203" s="257">
        <v>0</v>
      </c>
      <c r="H203" s="257">
        <v>5292037.0305714421</v>
      </c>
      <c r="I203" s="257">
        <v>9052197.1819370911</v>
      </c>
      <c r="J203" s="257">
        <v>6980410.2229973283</v>
      </c>
      <c r="K203" s="257">
        <v>5536763.7244108878</v>
      </c>
      <c r="L203" s="257">
        <v>4516424.6625467744</v>
      </c>
      <c r="M203" s="257">
        <v>3440460.9965084596</v>
      </c>
      <c r="N203" s="257">
        <v>2974879.3119473774</v>
      </c>
      <c r="O203" s="257">
        <v>1909917.4955170397</v>
      </c>
      <c r="P203" s="257">
        <v>1672909.5370038962</v>
      </c>
      <c r="Q203" s="257">
        <v>794885.12566078641</v>
      </c>
      <c r="R203" s="257">
        <v>330724.49299999996</v>
      </c>
      <c r="S203" s="257">
        <v>330724.49299999996</v>
      </c>
      <c r="T203" s="257">
        <v>330724.49299999996</v>
      </c>
      <c r="U203" s="258">
        <v>330724.49299999996</v>
      </c>
      <c r="V203" s="258">
        <v>330724.49299999978</v>
      </c>
      <c r="W203" s="258">
        <v>0</v>
      </c>
      <c r="X203" s="258">
        <v>0</v>
      </c>
      <c r="Y203" s="258">
        <v>0</v>
      </c>
      <c r="Z203" s="258">
        <v>0</v>
      </c>
      <c r="AA203" s="258">
        <v>0</v>
      </c>
      <c r="AB203" s="258">
        <v>0</v>
      </c>
      <c r="AC203" s="258">
        <v>0</v>
      </c>
      <c r="AD203" s="259">
        <v>0</v>
      </c>
      <c r="AE203" s="259">
        <v>0</v>
      </c>
      <c r="AF203" s="259">
        <v>0</v>
      </c>
      <c r="AG203" s="259">
        <v>0</v>
      </c>
      <c r="AH203" s="259">
        <v>0</v>
      </c>
      <c r="AI203" s="259">
        <v>0</v>
      </c>
      <c r="AJ203" s="259">
        <v>0</v>
      </c>
      <c r="AK203" s="259">
        <v>0</v>
      </c>
      <c r="AL203" s="259">
        <v>0</v>
      </c>
      <c r="AM203" s="259">
        <v>0</v>
      </c>
      <c r="AN203" s="259">
        <v>0</v>
      </c>
      <c r="AO203" s="259">
        <v>0</v>
      </c>
      <c r="AP203" s="259"/>
      <c r="AQ203" s="259"/>
      <c r="AR203" s="259"/>
      <c r="AS203" s="259"/>
      <c r="AT203" s="259"/>
      <c r="AU203" s="259"/>
      <c r="AV203" s="259"/>
      <c r="AW203" s="259"/>
      <c r="AX203" s="259"/>
      <c r="AY203" s="259"/>
      <c r="AZ203" s="259"/>
      <c r="BA203" s="259"/>
      <c r="BB203" s="259"/>
      <c r="BC203" s="259"/>
      <c r="BD203" s="259"/>
      <c r="BE203" s="259"/>
      <c r="BF203" s="259"/>
      <c r="BG203" s="259"/>
      <c r="BH203" s="259"/>
      <c r="BI203" s="259"/>
      <c r="BJ203" s="259"/>
      <c r="BK203" s="259"/>
    </row>
    <row r="204" spans="1:63" s="133" customFormat="1" ht="12.75">
      <c r="A204" s="169"/>
      <c r="B204" s="307" t="str">
        <f>Servicio_internaColumna_título_total</f>
        <v>Total</v>
      </c>
      <c r="C204" s="308">
        <v>0</v>
      </c>
      <c r="D204" s="309">
        <v>0</v>
      </c>
      <c r="E204" s="309">
        <v>0</v>
      </c>
      <c r="F204" s="309">
        <v>0</v>
      </c>
      <c r="G204" s="309">
        <v>0</v>
      </c>
      <c r="H204" s="309">
        <v>15711659.18312249</v>
      </c>
      <c r="I204" s="309">
        <v>26375719.433616467</v>
      </c>
      <c r="J204" s="309">
        <v>20153870.7153777</v>
      </c>
      <c r="K204" s="309">
        <v>14581984.838921089</v>
      </c>
      <c r="L204" s="309">
        <v>16061185.916140733</v>
      </c>
      <c r="M204" s="309">
        <v>8701591.1681797169</v>
      </c>
      <c r="N204" s="309">
        <v>12519582.273326773</v>
      </c>
      <c r="O204" s="309">
        <v>4453071.8016967522</v>
      </c>
      <c r="P204" s="309">
        <v>8860646.1191550083</v>
      </c>
      <c r="Q204" s="309">
        <v>6646883.3597353315</v>
      </c>
      <c r="R204" s="309">
        <v>397110.68736372411</v>
      </c>
      <c r="S204" s="309">
        <v>330724.49299999996</v>
      </c>
      <c r="T204" s="309">
        <v>330724.49299999996</v>
      </c>
      <c r="U204" s="309">
        <v>330724.49299999996</v>
      </c>
      <c r="V204" s="309">
        <v>3337310.7929999996</v>
      </c>
      <c r="W204" s="309">
        <v>0</v>
      </c>
      <c r="X204" s="309">
        <v>0</v>
      </c>
      <c r="Y204" s="309">
        <v>0</v>
      </c>
      <c r="Z204" s="309">
        <v>0</v>
      </c>
      <c r="AA204" s="309">
        <v>0</v>
      </c>
      <c r="AB204" s="309">
        <v>0</v>
      </c>
      <c r="AC204" s="309">
        <v>0</v>
      </c>
      <c r="AD204" s="309">
        <v>0</v>
      </c>
      <c r="AE204" s="309">
        <v>0</v>
      </c>
      <c r="AF204" s="309">
        <v>0</v>
      </c>
      <c r="AG204" s="309">
        <v>0</v>
      </c>
      <c r="AH204" s="309">
        <v>0</v>
      </c>
      <c r="AI204" s="309">
        <v>0</v>
      </c>
      <c r="AJ204" s="309">
        <v>0</v>
      </c>
      <c r="AK204" s="309">
        <v>0</v>
      </c>
      <c r="AL204" s="309">
        <v>0</v>
      </c>
      <c r="AM204" s="309">
        <v>0</v>
      </c>
      <c r="AN204" s="309">
        <v>0</v>
      </c>
      <c r="AO204" s="309">
        <v>0</v>
      </c>
      <c r="AP204" s="309"/>
      <c r="AQ204" s="309"/>
      <c r="AR204" s="309"/>
      <c r="AS204" s="309"/>
      <c r="AT204" s="309"/>
      <c r="AU204" s="309"/>
      <c r="AV204" s="309"/>
      <c r="AW204" s="309"/>
      <c r="AX204" s="309"/>
      <c r="AY204" s="309"/>
      <c r="AZ204" s="309"/>
      <c r="BA204" s="309"/>
      <c r="BB204" s="309"/>
      <c r="BC204" s="309"/>
      <c r="BD204" s="309"/>
      <c r="BE204" s="309"/>
      <c r="BF204" s="309"/>
      <c r="BG204" s="309"/>
      <c r="BH204" s="309"/>
      <c r="BI204" s="309"/>
      <c r="BJ204" s="309"/>
      <c r="BK204" s="309"/>
    </row>
    <row r="205" spans="1:63" s="80" customFormat="1" ht="12.75">
      <c r="A205" s="167"/>
      <c r="B205" s="210" t="str">
        <f>Servicio_internaColumna_título_amortizaciones</f>
        <v>Amortizaciones</v>
      </c>
      <c r="C205" s="254">
        <v>0</v>
      </c>
      <c r="D205" s="255">
        <v>0</v>
      </c>
      <c r="E205" s="255">
        <v>0</v>
      </c>
      <c r="F205" s="255">
        <v>0</v>
      </c>
      <c r="G205" s="255">
        <v>0</v>
      </c>
      <c r="H205" s="255">
        <v>5995161.9265408423</v>
      </c>
      <c r="I205" s="255">
        <v>17703534.527221937</v>
      </c>
      <c r="J205" s="255">
        <v>13898836.027904136</v>
      </c>
      <c r="K205" s="255">
        <v>8903334.0428847149</v>
      </c>
      <c r="L205" s="255">
        <v>12235343.510969475</v>
      </c>
      <c r="M205" s="255">
        <v>5266481.9801963754</v>
      </c>
      <c r="N205" s="255">
        <v>9409441.3320171647</v>
      </c>
      <c r="O205" s="255">
        <v>2542586.1124751847</v>
      </c>
      <c r="P205" s="255">
        <v>6731141.9404719863</v>
      </c>
      <c r="Q205" s="255">
        <v>6382197.6609993912</v>
      </c>
      <c r="R205" s="255">
        <v>66598.715527706037</v>
      </c>
      <c r="S205" s="255">
        <v>0</v>
      </c>
      <c r="T205" s="255">
        <v>0</v>
      </c>
      <c r="U205" s="255">
        <v>0</v>
      </c>
      <c r="V205" s="255">
        <v>3391606.2</v>
      </c>
      <c r="W205" s="255">
        <v>0</v>
      </c>
      <c r="X205" s="255">
        <v>0</v>
      </c>
      <c r="Y205" s="255">
        <v>0</v>
      </c>
      <c r="Z205" s="255">
        <v>0</v>
      </c>
      <c r="AA205" s="255">
        <v>0</v>
      </c>
      <c r="AB205" s="255">
        <v>0</v>
      </c>
      <c r="AC205" s="255">
        <v>0</v>
      </c>
      <c r="AD205" s="255">
        <v>0</v>
      </c>
      <c r="AE205" s="255">
        <v>0</v>
      </c>
      <c r="AF205" s="255">
        <v>0</v>
      </c>
      <c r="AG205" s="255">
        <v>0</v>
      </c>
      <c r="AH205" s="255">
        <v>0</v>
      </c>
      <c r="AI205" s="255">
        <v>0</v>
      </c>
      <c r="AJ205" s="255">
        <v>0</v>
      </c>
      <c r="AK205" s="255">
        <v>0</v>
      </c>
      <c r="AL205" s="255">
        <v>0</v>
      </c>
      <c r="AM205" s="255">
        <v>0</v>
      </c>
      <c r="AN205" s="255">
        <v>0</v>
      </c>
      <c r="AO205" s="255">
        <v>0</v>
      </c>
      <c r="AP205" s="255"/>
      <c r="AQ205" s="255"/>
      <c r="AR205" s="255"/>
      <c r="AS205" s="255"/>
      <c r="AT205" s="255"/>
      <c r="AU205" s="255"/>
      <c r="AV205" s="255"/>
      <c r="AW205" s="255"/>
      <c r="AX205" s="255"/>
      <c r="AY205" s="255"/>
      <c r="AZ205" s="255"/>
      <c r="BA205" s="255"/>
      <c r="BB205" s="255"/>
      <c r="BC205" s="255"/>
      <c r="BD205" s="255"/>
      <c r="BE205" s="255"/>
      <c r="BF205" s="255"/>
      <c r="BG205" s="255"/>
      <c r="BH205" s="255"/>
      <c r="BI205" s="255"/>
      <c r="BJ205" s="255"/>
      <c r="BK205" s="255"/>
    </row>
    <row r="206" spans="1:63" s="133" customFormat="1" ht="12.75">
      <c r="A206" s="168">
        <v>38929</v>
      </c>
      <c r="B206" s="213" t="str">
        <f>Servicio_internaColumna_título_intereses</f>
        <v>Intereses</v>
      </c>
      <c r="C206" s="256">
        <v>0</v>
      </c>
      <c r="D206" s="257">
        <v>0</v>
      </c>
      <c r="E206" s="257">
        <v>0</v>
      </c>
      <c r="F206" s="257">
        <v>0</v>
      </c>
      <c r="G206" s="257">
        <v>0</v>
      </c>
      <c r="H206" s="257">
        <v>3375524.5552637223</v>
      </c>
      <c r="I206" s="257">
        <v>9202116.700575415</v>
      </c>
      <c r="J206" s="257">
        <v>7069901.0571742523</v>
      </c>
      <c r="K206" s="257">
        <v>5576301.6896160096</v>
      </c>
      <c r="L206" s="257">
        <v>4573414.3204620406</v>
      </c>
      <c r="M206" s="257">
        <v>3440490.8090246562</v>
      </c>
      <c r="N206" s="257">
        <v>2975981.4023407791</v>
      </c>
      <c r="O206" s="257">
        <v>1935622.6968848053</v>
      </c>
      <c r="P206" s="257">
        <v>1699836.8758636862</v>
      </c>
      <c r="Q206" s="257">
        <v>884973.62613738887</v>
      </c>
      <c r="R206" s="257">
        <v>373076.68200000003</v>
      </c>
      <c r="S206" s="257">
        <v>373076.68200000003</v>
      </c>
      <c r="T206" s="257">
        <v>373076.68200000003</v>
      </c>
      <c r="U206" s="258">
        <v>373076.68200000003</v>
      </c>
      <c r="V206" s="258">
        <v>373076.68200000003</v>
      </c>
      <c r="W206" s="258">
        <v>0</v>
      </c>
      <c r="X206" s="258">
        <v>0</v>
      </c>
      <c r="Y206" s="258">
        <v>0</v>
      </c>
      <c r="Z206" s="258">
        <v>0</v>
      </c>
      <c r="AA206" s="258">
        <v>0</v>
      </c>
      <c r="AB206" s="258">
        <v>0</v>
      </c>
      <c r="AC206" s="258">
        <v>0</v>
      </c>
      <c r="AD206" s="259">
        <v>0</v>
      </c>
      <c r="AE206" s="259">
        <v>0</v>
      </c>
      <c r="AF206" s="259">
        <v>0</v>
      </c>
      <c r="AG206" s="259">
        <v>0</v>
      </c>
      <c r="AH206" s="259">
        <v>0</v>
      </c>
      <c r="AI206" s="259">
        <v>0</v>
      </c>
      <c r="AJ206" s="259">
        <v>0</v>
      </c>
      <c r="AK206" s="259">
        <v>0</v>
      </c>
      <c r="AL206" s="259">
        <v>0</v>
      </c>
      <c r="AM206" s="259">
        <v>0</v>
      </c>
      <c r="AN206" s="259">
        <v>0</v>
      </c>
      <c r="AO206" s="259">
        <v>0</v>
      </c>
      <c r="AP206" s="259"/>
      <c r="AQ206" s="259"/>
      <c r="AR206" s="259"/>
      <c r="AS206" s="259"/>
      <c r="AT206" s="259"/>
      <c r="AU206" s="259"/>
      <c r="AV206" s="259"/>
      <c r="AW206" s="259"/>
      <c r="AX206" s="259"/>
      <c r="AY206" s="259"/>
      <c r="AZ206" s="259"/>
      <c r="BA206" s="259"/>
      <c r="BB206" s="259"/>
      <c r="BC206" s="259"/>
      <c r="BD206" s="259"/>
      <c r="BE206" s="259"/>
      <c r="BF206" s="259"/>
      <c r="BG206" s="259"/>
      <c r="BH206" s="259"/>
      <c r="BI206" s="259"/>
      <c r="BJ206" s="259"/>
      <c r="BK206" s="259"/>
    </row>
    <row r="207" spans="1:63" s="133" customFormat="1" ht="12.75">
      <c r="A207" s="169"/>
      <c r="B207" s="307" t="str">
        <f>Servicio_internaColumna_título_total</f>
        <v>Total</v>
      </c>
      <c r="C207" s="308">
        <v>0</v>
      </c>
      <c r="D207" s="309">
        <v>0</v>
      </c>
      <c r="E207" s="309">
        <v>0</v>
      </c>
      <c r="F207" s="309">
        <v>0</v>
      </c>
      <c r="G207" s="309">
        <v>0</v>
      </c>
      <c r="H207" s="309">
        <v>9370686.4818045646</v>
      </c>
      <c r="I207" s="309">
        <v>26905651.227797352</v>
      </c>
      <c r="J207" s="309">
        <v>20968737.085078388</v>
      </c>
      <c r="K207" s="309">
        <v>14479635.732500724</v>
      </c>
      <c r="L207" s="309">
        <v>16808757.831431516</v>
      </c>
      <c r="M207" s="309">
        <v>8706972.7892210316</v>
      </c>
      <c r="N207" s="309">
        <v>12385422.734357944</v>
      </c>
      <c r="O207" s="309">
        <v>4478208.8093599901</v>
      </c>
      <c r="P207" s="309">
        <v>8430978.8163356725</v>
      </c>
      <c r="Q207" s="309">
        <v>7267171.2871367801</v>
      </c>
      <c r="R207" s="309">
        <v>439675.39752770605</v>
      </c>
      <c r="S207" s="309">
        <v>373076.68200000003</v>
      </c>
      <c r="T207" s="309">
        <v>373076.68200000003</v>
      </c>
      <c r="U207" s="309">
        <v>373076.68200000003</v>
      </c>
      <c r="V207" s="309">
        <v>3764682.8820000002</v>
      </c>
      <c r="W207" s="309">
        <v>0</v>
      </c>
      <c r="X207" s="309">
        <v>0</v>
      </c>
      <c r="Y207" s="309">
        <v>0</v>
      </c>
      <c r="Z207" s="309">
        <v>0</v>
      </c>
      <c r="AA207" s="309">
        <v>0</v>
      </c>
      <c r="AB207" s="309">
        <v>0</v>
      </c>
      <c r="AC207" s="309">
        <v>0</v>
      </c>
      <c r="AD207" s="309">
        <v>0</v>
      </c>
      <c r="AE207" s="309">
        <v>0</v>
      </c>
      <c r="AF207" s="309">
        <v>0</v>
      </c>
      <c r="AG207" s="309">
        <v>0</v>
      </c>
      <c r="AH207" s="309">
        <v>0</v>
      </c>
      <c r="AI207" s="309">
        <v>0</v>
      </c>
      <c r="AJ207" s="309">
        <v>0</v>
      </c>
      <c r="AK207" s="309">
        <v>0</v>
      </c>
      <c r="AL207" s="309">
        <v>0</v>
      </c>
      <c r="AM207" s="309">
        <v>0</v>
      </c>
      <c r="AN207" s="309">
        <v>0</v>
      </c>
      <c r="AO207" s="309">
        <v>0</v>
      </c>
      <c r="AP207" s="309"/>
      <c r="AQ207" s="309"/>
      <c r="AR207" s="309"/>
      <c r="AS207" s="309"/>
      <c r="AT207" s="309"/>
      <c r="AU207" s="309"/>
      <c r="AV207" s="309"/>
      <c r="AW207" s="309"/>
      <c r="AX207" s="309"/>
      <c r="AY207" s="309"/>
      <c r="AZ207" s="309"/>
      <c r="BA207" s="309"/>
      <c r="BB207" s="309"/>
      <c r="BC207" s="309"/>
      <c r="BD207" s="309"/>
      <c r="BE207" s="309"/>
      <c r="BF207" s="309"/>
      <c r="BG207" s="309"/>
      <c r="BH207" s="309"/>
      <c r="BI207" s="309"/>
      <c r="BJ207" s="309"/>
      <c r="BK207" s="309"/>
    </row>
    <row r="208" spans="1:63" s="80" customFormat="1" ht="12.75">
      <c r="A208" s="167"/>
      <c r="B208" s="210" t="str">
        <f>Servicio_internaColumna_título_amortizaciones</f>
        <v>Amortizaciones</v>
      </c>
      <c r="C208" s="254">
        <v>0</v>
      </c>
      <c r="D208" s="255">
        <v>0</v>
      </c>
      <c r="E208" s="255">
        <v>0</v>
      </c>
      <c r="F208" s="255">
        <v>0</v>
      </c>
      <c r="G208" s="255">
        <v>0</v>
      </c>
      <c r="H208" s="255">
        <v>5997947.4717533523</v>
      </c>
      <c r="I208" s="255">
        <v>18704771.120618243</v>
      </c>
      <c r="J208" s="255">
        <v>14330782.213850882</v>
      </c>
      <c r="K208" s="255">
        <v>8900692.0874783956</v>
      </c>
      <c r="L208" s="255">
        <v>12493103.592476808</v>
      </c>
      <c r="M208" s="255">
        <v>5272467.1804447724</v>
      </c>
      <c r="N208" s="255">
        <v>9426249.0364023652</v>
      </c>
      <c r="O208" s="255">
        <v>2543523.4987634285</v>
      </c>
      <c r="P208" s="255">
        <v>6733314.8440103335</v>
      </c>
      <c r="Q208" s="255">
        <v>6510326.8969388511</v>
      </c>
      <c r="R208" s="255">
        <v>66836.325537989527</v>
      </c>
      <c r="S208" s="255">
        <v>0</v>
      </c>
      <c r="T208" s="255">
        <v>0</v>
      </c>
      <c r="U208" s="255">
        <v>0</v>
      </c>
      <c r="V208" s="255">
        <v>3543360.8</v>
      </c>
      <c r="W208" s="255">
        <v>0</v>
      </c>
      <c r="X208" s="255">
        <v>0</v>
      </c>
      <c r="Y208" s="255">
        <v>0</v>
      </c>
      <c r="Z208" s="255">
        <v>0</v>
      </c>
      <c r="AA208" s="255">
        <v>0</v>
      </c>
      <c r="AB208" s="255">
        <v>0</v>
      </c>
      <c r="AC208" s="255">
        <v>0</v>
      </c>
      <c r="AD208" s="255">
        <v>0</v>
      </c>
      <c r="AE208" s="255">
        <v>0</v>
      </c>
      <c r="AF208" s="255">
        <v>0</v>
      </c>
      <c r="AG208" s="255">
        <v>0</v>
      </c>
      <c r="AH208" s="255">
        <v>0</v>
      </c>
      <c r="AI208" s="255">
        <v>0</v>
      </c>
      <c r="AJ208" s="255">
        <v>0</v>
      </c>
      <c r="AK208" s="255">
        <v>0</v>
      </c>
      <c r="AL208" s="255">
        <v>0</v>
      </c>
      <c r="AM208" s="255">
        <v>0</v>
      </c>
      <c r="AN208" s="255">
        <v>0</v>
      </c>
      <c r="AO208" s="255">
        <v>0</v>
      </c>
      <c r="AP208" s="255"/>
      <c r="AQ208" s="255"/>
      <c r="AR208" s="255"/>
      <c r="AS208" s="255"/>
      <c r="AT208" s="255"/>
      <c r="AU208" s="255"/>
      <c r="AV208" s="255"/>
      <c r="AW208" s="255"/>
      <c r="AX208" s="255"/>
      <c r="AY208" s="255"/>
      <c r="AZ208" s="255"/>
      <c r="BA208" s="255"/>
      <c r="BB208" s="255"/>
      <c r="BC208" s="255"/>
      <c r="BD208" s="255"/>
      <c r="BE208" s="255"/>
      <c r="BF208" s="255"/>
      <c r="BG208" s="255"/>
      <c r="BH208" s="255"/>
      <c r="BI208" s="255"/>
      <c r="BJ208" s="255"/>
      <c r="BK208" s="255"/>
    </row>
    <row r="209" spans="1:63" s="133" customFormat="1" ht="12.75">
      <c r="A209" s="168">
        <v>38960</v>
      </c>
      <c r="B209" s="213" t="str">
        <f>Servicio_internaColumna_título_intereses</f>
        <v>Intereses</v>
      </c>
      <c r="C209" s="256">
        <v>0</v>
      </c>
      <c r="D209" s="257">
        <v>0</v>
      </c>
      <c r="E209" s="257">
        <v>0</v>
      </c>
      <c r="F209" s="257">
        <v>0</v>
      </c>
      <c r="G209" s="257">
        <v>0</v>
      </c>
      <c r="H209" s="257">
        <v>2735093.8393398738</v>
      </c>
      <c r="I209" s="257">
        <v>8727145.4496856369</v>
      </c>
      <c r="J209" s="257">
        <v>6494867.4318781346</v>
      </c>
      <c r="K209" s="257">
        <v>5617325.8014729805</v>
      </c>
      <c r="L209" s="257">
        <v>4618262.3972969986</v>
      </c>
      <c r="M209" s="257">
        <v>3465651.3052835139</v>
      </c>
      <c r="N209" s="257">
        <v>3001350.6625191458</v>
      </c>
      <c r="O209" s="257">
        <v>1962095.2540264311</v>
      </c>
      <c r="P209" s="257">
        <v>1726602.8195397975</v>
      </c>
      <c r="Q209" s="257">
        <v>912041.75794402882</v>
      </c>
      <c r="R209" s="257">
        <v>389769.68799999997</v>
      </c>
      <c r="S209" s="257">
        <v>389769.68799999997</v>
      </c>
      <c r="T209" s="257">
        <v>389769.68799999997</v>
      </c>
      <c r="U209" s="258">
        <v>389769.68799999997</v>
      </c>
      <c r="V209" s="258">
        <v>389769.68800000008</v>
      </c>
      <c r="W209" s="258">
        <v>0</v>
      </c>
      <c r="X209" s="258">
        <v>0</v>
      </c>
      <c r="Y209" s="258">
        <v>0</v>
      </c>
      <c r="Z209" s="258">
        <v>0</v>
      </c>
      <c r="AA209" s="258">
        <v>0</v>
      </c>
      <c r="AB209" s="258">
        <v>0</v>
      </c>
      <c r="AC209" s="258">
        <v>0</v>
      </c>
      <c r="AD209" s="259">
        <v>0</v>
      </c>
      <c r="AE209" s="259">
        <v>0</v>
      </c>
      <c r="AF209" s="259">
        <v>0</v>
      </c>
      <c r="AG209" s="259">
        <v>0</v>
      </c>
      <c r="AH209" s="259">
        <v>0</v>
      </c>
      <c r="AI209" s="259">
        <v>0</v>
      </c>
      <c r="AJ209" s="259">
        <v>0</v>
      </c>
      <c r="AK209" s="259">
        <v>0</v>
      </c>
      <c r="AL209" s="259">
        <v>0</v>
      </c>
      <c r="AM209" s="259">
        <v>0</v>
      </c>
      <c r="AN209" s="259">
        <v>0</v>
      </c>
      <c r="AO209" s="259">
        <v>0</v>
      </c>
      <c r="AP209" s="259"/>
      <c r="AQ209" s="259"/>
      <c r="AR209" s="259"/>
      <c r="AS209" s="259"/>
      <c r="AT209" s="259"/>
      <c r="AU209" s="259"/>
      <c r="AV209" s="259"/>
      <c r="AW209" s="259"/>
      <c r="AX209" s="259"/>
      <c r="AY209" s="259"/>
      <c r="AZ209" s="259"/>
      <c r="BA209" s="259"/>
      <c r="BB209" s="259"/>
      <c r="BC209" s="259"/>
      <c r="BD209" s="259"/>
      <c r="BE209" s="259"/>
      <c r="BF209" s="259"/>
      <c r="BG209" s="259"/>
      <c r="BH209" s="259"/>
      <c r="BI209" s="259"/>
      <c r="BJ209" s="259"/>
      <c r="BK209" s="259"/>
    </row>
    <row r="210" spans="1:63" s="133" customFormat="1" ht="12.75">
      <c r="A210" s="169"/>
      <c r="B210" s="307" t="str">
        <f>Servicio_internaColumna_título_total</f>
        <v>Total</v>
      </c>
      <c r="C210" s="308">
        <v>0</v>
      </c>
      <c r="D210" s="309">
        <v>0</v>
      </c>
      <c r="E210" s="309">
        <v>0</v>
      </c>
      <c r="F210" s="309">
        <v>0</v>
      </c>
      <c r="G210" s="309">
        <v>0</v>
      </c>
      <c r="H210" s="309">
        <v>8733041.3110932261</v>
      </c>
      <c r="I210" s="309">
        <v>27431916.57030388</v>
      </c>
      <c r="J210" s="309">
        <v>20825649.645729017</v>
      </c>
      <c r="K210" s="309">
        <v>14518017.888951376</v>
      </c>
      <c r="L210" s="309">
        <v>17111365.989773806</v>
      </c>
      <c r="M210" s="309">
        <v>8738118.4857282862</v>
      </c>
      <c r="N210" s="309">
        <v>12427599.698921511</v>
      </c>
      <c r="O210" s="309">
        <v>4505618.7527898597</v>
      </c>
      <c r="P210" s="309">
        <v>8459917.663550131</v>
      </c>
      <c r="Q210" s="309">
        <v>7422368.6548828799</v>
      </c>
      <c r="R210" s="309">
        <v>456606.01353798946</v>
      </c>
      <c r="S210" s="309">
        <v>389769.68799999997</v>
      </c>
      <c r="T210" s="309">
        <v>389769.68799999997</v>
      </c>
      <c r="U210" s="309">
        <v>389769.68799999997</v>
      </c>
      <c r="V210" s="309">
        <v>3933130.4879999999</v>
      </c>
      <c r="W210" s="309">
        <v>0</v>
      </c>
      <c r="X210" s="309">
        <v>0</v>
      </c>
      <c r="Y210" s="309">
        <v>0</v>
      </c>
      <c r="Z210" s="309">
        <v>0</v>
      </c>
      <c r="AA210" s="309">
        <v>0</v>
      </c>
      <c r="AB210" s="309">
        <v>0</v>
      </c>
      <c r="AC210" s="309">
        <v>0</v>
      </c>
      <c r="AD210" s="309">
        <v>0</v>
      </c>
      <c r="AE210" s="309">
        <v>0</v>
      </c>
      <c r="AF210" s="309">
        <v>0</v>
      </c>
      <c r="AG210" s="309">
        <v>0</v>
      </c>
      <c r="AH210" s="309">
        <v>0</v>
      </c>
      <c r="AI210" s="309">
        <v>0</v>
      </c>
      <c r="AJ210" s="309">
        <v>0</v>
      </c>
      <c r="AK210" s="309">
        <v>0</v>
      </c>
      <c r="AL210" s="309">
        <v>0</v>
      </c>
      <c r="AM210" s="309">
        <v>0</v>
      </c>
      <c r="AN210" s="309">
        <v>0</v>
      </c>
      <c r="AO210" s="309">
        <v>0</v>
      </c>
      <c r="AP210" s="309"/>
      <c r="AQ210" s="309"/>
      <c r="AR210" s="309"/>
      <c r="AS210" s="309"/>
      <c r="AT210" s="309"/>
      <c r="AU210" s="309"/>
      <c r="AV210" s="309"/>
      <c r="AW210" s="309"/>
      <c r="AX210" s="309"/>
      <c r="AY210" s="309"/>
      <c r="AZ210" s="309"/>
      <c r="BA210" s="309"/>
      <c r="BB210" s="309"/>
      <c r="BC210" s="309"/>
      <c r="BD210" s="309"/>
      <c r="BE210" s="309"/>
      <c r="BF210" s="309"/>
      <c r="BG210" s="309"/>
      <c r="BH210" s="309"/>
      <c r="BI210" s="309"/>
      <c r="BJ210" s="309"/>
      <c r="BK210" s="309"/>
    </row>
    <row r="211" spans="1:63" s="80" customFormat="1" ht="12.75">
      <c r="A211" s="167"/>
      <c r="B211" s="210" t="str">
        <f>Servicio_internaColumna_título_amortizaciones</f>
        <v>Amortizaciones</v>
      </c>
      <c r="C211" s="254">
        <v>0</v>
      </c>
      <c r="D211" s="255">
        <v>0</v>
      </c>
      <c r="E211" s="255">
        <v>0</v>
      </c>
      <c r="F211" s="255">
        <v>0</v>
      </c>
      <c r="G211" s="255">
        <v>0</v>
      </c>
      <c r="H211" s="255">
        <v>2384994.8938645776</v>
      </c>
      <c r="I211" s="255">
        <v>18946366.179380979</v>
      </c>
      <c r="J211" s="255">
        <v>14640518.105400063</v>
      </c>
      <c r="K211" s="255">
        <v>8805888.767520899</v>
      </c>
      <c r="L211" s="255">
        <v>13052146.512276618</v>
      </c>
      <c r="M211" s="255">
        <v>5279060.3334721969</v>
      </c>
      <c r="N211" s="255">
        <v>9391770.8658771869</v>
      </c>
      <c r="O211" s="255">
        <v>2241129.1471434399</v>
      </c>
      <c r="P211" s="255">
        <v>6675889.5425830977</v>
      </c>
      <c r="Q211" s="255">
        <v>6942893.699838629</v>
      </c>
      <c r="R211" s="255">
        <v>67570.060656907182</v>
      </c>
      <c r="S211" s="255">
        <v>0</v>
      </c>
      <c r="T211" s="255">
        <v>0</v>
      </c>
      <c r="U211" s="255">
        <v>0</v>
      </c>
      <c r="V211" s="255">
        <v>3797345.9</v>
      </c>
      <c r="W211" s="255">
        <v>0</v>
      </c>
      <c r="X211" s="255">
        <v>0</v>
      </c>
      <c r="Y211" s="255">
        <v>0</v>
      </c>
      <c r="Z211" s="255">
        <v>0</v>
      </c>
      <c r="AA211" s="255">
        <v>0</v>
      </c>
      <c r="AB211" s="255">
        <v>0</v>
      </c>
      <c r="AC211" s="255">
        <v>0</v>
      </c>
      <c r="AD211" s="255">
        <v>0</v>
      </c>
      <c r="AE211" s="255">
        <v>0</v>
      </c>
      <c r="AF211" s="255">
        <v>0</v>
      </c>
      <c r="AG211" s="255">
        <v>0</v>
      </c>
      <c r="AH211" s="255">
        <v>0</v>
      </c>
      <c r="AI211" s="255">
        <v>0</v>
      </c>
      <c r="AJ211" s="255">
        <v>0</v>
      </c>
      <c r="AK211" s="255">
        <v>0</v>
      </c>
      <c r="AL211" s="255">
        <v>0</v>
      </c>
      <c r="AM211" s="255">
        <v>0</v>
      </c>
      <c r="AN211" s="255">
        <v>0</v>
      </c>
      <c r="AO211" s="255">
        <v>0</v>
      </c>
      <c r="AP211" s="255"/>
      <c r="AQ211" s="255"/>
      <c r="AR211" s="255"/>
      <c r="AS211" s="255"/>
      <c r="AT211" s="255"/>
      <c r="AU211" s="255"/>
      <c r="AV211" s="255"/>
      <c r="AW211" s="255"/>
      <c r="AX211" s="255"/>
      <c r="AY211" s="255"/>
      <c r="AZ211" s="255"/>
      <c r="BA211" s="255"/>
      <c r="BB211" s="255"/>
      <c r="BC211" s="255"/>
      <c r="BD211" s="255"/>
      <c r="BE211" s="255"/>
      <c r="BF211" s="255"/>
      <c r="BG211" s="255"/>
      <c r="BH211" s="255"/>
      <c r="BI211" s="255"/>
      <c r="BJ211" s="255"/>
      <c r="BK211" s="255"/>
    </row>
    <row r="212" spans="1:63" s="133" customFormat="1" ht="12.75">
      <c r="A212" s="168">
        <v>38990</v>
      </c>
      <c r="B212" s="213" t="str">
        <f>Servicio_internaColumna_título_intereses</f>
        <v>Intereses</v>
      </c>
      <c r="C212" s="256">
        <v>0</v>
      </c>
      <c r="D212" s="257">
        <v>0</v>
      </c>
      <c r="E212" s="257">
        <v>0</v>
      </c>
      <c r="F212" s="257">
        <v>0</v>
      </c>
      <c r="G212" s="257">
        <v>0</v>
      </c>
      <c r="H212" s="257">
        <v>1310276.4881654242</v>
      </c>
      <c r="I212" s="257">
        <v>8844148.8636086173</v>
      </c>
      <c r="J212" s="257">
        <v>6625913.6050357558</v>
      </c>
      <c r="K212" s="257">
        <v>5659223.474999249</v>
      </c>
      <c r="L212" s="257">
        <v>4670251.3074594606</v>
      </c>
      <c r="M212" s="257">
        <v>3475867.3062035749</v>
      </c>
      <c r="N212" s="257">
        <v>3012393.9778577108</v>
      </c>
      <c r="O212" s="257">
        <v>1982675.5227406067</v>
      </c>
      <c r="P212" s="257">
        <v>1783425.5056226728</v>
      </c>
      <c r="Q212" s="257">
        <v>977921.01680019218</v>
      </c>
      <c r="R212" s="257">
        <v>417708.049</v>
      </c>
      <c r="S212" s="257">
        <v>417708.049</v>
      </c>
      <c r="T212" s="257">
        <v>417708.049</v>
      </c>
      <c r="U212" s="258">
        <v>417708.049</v>
      </c>
      <c r="V212" s="258">
        <v>417708.04900000012</v>
      </c>
      <c r="W212" s="258">
        <v>0</v>
      </c>
      <c r="X212" s="258">
        <v>0</v>
      </c>
      <c r="Y212" s="258">
        <v>0</v>
      </c>
      <c r="Z212" s="258">
        <v>0</v>
      </c>
      <c r="AA212" s="258">
        <v>0</v>
      </c>
      <c r="AB212" s="258">
        <v>0</v>
      </c>
      <c r="AC212" s="258">
        <v>0</v>
      </c>
      <c r="AD212" s="259">
        <v>0</v>
      </c>
      <c r="AE212" s="259">
        <v>0</v>
      </c>
      <c r="AF212" s="259">
        <v>0</v>
      </c>
      <c r="AG212" s="259">
        <v>0</v>
      </c>
      <c r="AH212" s="259">
        <v>0</v>
      </c>
      <c r="AI212" s="259">
        <v>0</v>
      </c>
      <c r="AJ212" s="259">
        <v>0</v>
      </c>
      <c r="AK212" s="259">
        <v>0</v>
      </c>
      <c r="AL212" s="259">
        <v>0</v>
      </c>
      <c r="AM212" s="259">
        <v>0</v>
      </c>
      <c r="AN212" s="259">
        <v>0</v>
      </c>
      <c r="AO212" s="259">
        <v>0</v>
      </c>
      <c r="AP212" s="259"/>
      <c r="AQ212" s="259"/>
      <c r="AR212" s="259"/>
      <c r="AS212" s="259"/>
      <c r="AT212" s="259"/>
      <c r="AU212" s="259"/>
      <c r="AV212" s="259"/>
      <c r="AW212" s="259"/>
      <c r="AX212" s="259"/>
      <c r="AY212" s="259"/>
      <c r="AZ212" s="259"/>
      <c r="BA212" s="259"/>
      <c r="BB212" s="259"/>
      <c r="BC212" s="259"/>
      <c r="BD212" s="259"/>
      <c r="BE212" s="259"/>
      <c r="BF212" s="259"/>
      <c r="BG212" s="259"/>
      <c r="BH212" s="259"/>
      <c r="BI212" s="259"/>
      <c r="BJ212" s="259"/>
      <c r="BK212" s="259"/>
    </row>
    <row r="213" spans="1:63" s="133" customFormat="1" ht="12.75">
      <c r="A213" s="169"/>
      <c r="B213" s="307" t="str">
        <f>Servicio_internaColumna_título_total</f>
        <v>Total</v>
      </c>
      <c r="C213" s="308">
        <v>0</v>
      </c>
      <c r="D213" s="309">
        <v>0</v>
      </c>
      <c r="E213" s="309">
        <v>0</v>
      </c>
      <c r="F213" s="309">
        <v>0</v>
      </c>
      <c r="G213" s="309">
        <v>0</v>
      </c>
      <c r="H213" s="309">
        <v>3695271.3820300018</v>
      </c>
      <c r="I213" s="309">
        <v>27790515.042989597</v>
      </c>
      <c r="J213" s="309">
        <v>21266431.710435819</v>
      </c>
      <c r="K213" s="309">
        <v>14465112.242520148</v>
      </c>
      <c r="L213" s="309">
        <v>17722397.819736078</v>
      </c>
      <c r="M213" s="309">
        <v>8754927.6396757718</v>
      </c>
      <c r="N213" s="309">
        <v>12404164.843734898</v>
      </c>
      <c r="O213" s="309">
        <v>4223804.6698840465</v>
      </c>
      <c r="P213" s="309">
        <v>8459315.0482057706</v>
      </c>
      <c r="Q213" s="309">
        <v>7920814.7166388212</v>
      </c>
      <c r="R213" s="309">
        <v>485278.10965690715</v>
      </c>
      <c r="S213" s="309">
        <v>417708.049</v>
      </c>
      <c r="T213" s="309">
        <v>417708.049</v>
      </c>
      <c r="U213" s="309">
        <v>417708.049</v>
      </c>
      <c r="V213" s="309">
        <v>4215053.949</v>
      </c>
      <c r="W213" s="309">
        <v>0</v>
      </c>
      <c r="X213" s="309">
        <v>0</v>
      </c>
      <c r="Y213" s="309">
        <v>0</v>
      </c>
      <c r="Z213" s="309">
        <v>0</v>
      </c>
      <c r="AA213" s="309">
        <v>0</v>
      </c>
      <c r="AB213" s="309">
        <v>0</v>
      </c>
      <c r="AC213" s="309">
        <v>0</v>
      </c>
      <c r="AD213" s="309">
        <v>0</v>
      </c>
      <c r="AE213" s="309">
        <v>0</v>
      </c>
      <c r="AF213" s="309">
        <v>0</v>
      </c>
      <c r="AG213" s="309">
        <v>0</v>
      </c>
      <c r="AH213" s="309">
        <v>0</v>
      </c>
      <c r="AI213" s="309">
        <v>0</v>
      </c>
      <c r="AJ213" s="309">
        <v>0</v>
      </c>
      <c r="AK213" s="309">
        <v>0</v>
      </c>
      <c r="AL213" s="309">
        <v>0</v>
      </c>
      <c r="AM213" s="309">
        <v>0</v>
      </c>
      <c r="AN213" s="309">
        <v>0</v>
      </c>
      <c r="AO213" s="309">
        <v>0</v>
      </c>
      <c r="AP213" s="309"/>
      <c r="AQ213" s="309"/>
      <c r="AR213" s="309"/>
      <c r="AS213" s="309"/>
      <c r="AT213" s="309"/>
      <c r="AU213" s="309"/>
      <c r="AV213" s="309"/>
      <c r="AW213" s="309"/>
      <c r="AX213" s="309"/>
      <c r="AY213" s="309"/>
      <c r="AZ213" s="309"/>
      <c r="BA213" s="309"/>
      <c r="BB213" s="309"/>
      <c r="BC213" s="309"/>
      <c r="BD213" s="309"/>
      <c r="BE213" s="309"/>
      <c r="BF213" s="309"/>
      <c r="BG213" s="309"/>
      <c r="BH213" s="309"/>
      <c r="BI213" s="309"/>
      <c r="BJ213" s="309"/>
      <c r="BK213" s="309"/>
    </row>
    <row r="214" spans="1:63" s="80" customFormat="1" ht="12.75">
      <c r="A214" s="167"/>
      <c r="B214" s="210" t="str">
        <f>Servicio_internaColumna_título_amortizaciones</f>
        <v>Amortizaciones</v>
      </c>
      <c r="C214" s="254">
        <v>0</v>
      </c>
      <c r="D214" s="255">
        <v>0</v>
      </c>
      <c r="E214" s="255">
        <v>0</v>
      </c>
      <c r="F214" s="255">
        <v>0</v>
      </c>
      <c r="G214" s="255">
        <v>0</v>
      </c>
      <c r="H214" s="255">
        <v>1922225.8444891809</v>
      </c>
      <c r="I214" s="255">
        <v>19538275.219784372</v>
      </c>
      <c r="J214" s="255">
        <v>14809275.85258887</v>
      </c>
      <c r="K214" s="255">
        <v>8796040.1273973901</v>
      </c>
      <c r="L214" s="255">
        <v>13298523.27300822</v>
      </c>
      <c r="M214" s="255">
        <v>5285005.4474155838</v>
      </c>
      <c r="N214" s="255">
        <v>9408205.4854166657</v>
      </c>
      <c r="O214" s="255">
        <v>2240351.1798203615</v>
      </c>
      <c r="P214" s="255">
        <v>6678084.0210501943</v>
      </c>
      <c r="Q214" s="255">
        <v>7042745.9995283876</v>
      </c>
      <c r="R214" s="255">
        <v>67330.786194911998</v>
      </c>
      <c r="S214" s="255">
        <v>0</v>
      </c>
      <c r="T214" s="255">
        <v>0</v>
      </c>
      <c r="U214" s="255">
        <v>0</v>
      </c>
      <c r="V214" s="255">
        <v>3916877.2</v>
      </c>
      <c r="W214" s="255">
        <v>0</v>
      </c>
      <c r="X214" s="255">
        <v>0</v>
      </c>
      <c r="Y214" s="255">
        <v>0</v>
      </c>
      <c r="Z214" s="255">
        <v>0</v>
      </c>
      <c r="AA214" s="255">
        <v>0</v>
      </c>
      <c r="AB214" s="255">
        <v>0</v>
      </c>
      <c r="AC214" s="255">
        <v>0</v>
      </c>
      <c r="AD214" s="255">
        <v>0</v>
      </c>
      <c r="AE214" s="255">
        <v>0</v>
      </c>
      <c r="AF214" s="255">
        <v>0</v>
      </c>
      <c r="AG214" s="255">
        <v>0</v>
      </c>
      <c r="AH214" s="255">
        <v>0</v>
      </c>
      <c r="AI214" s="255">
        <v>0</v>
      </c>
      <c r="AJ214" s="255">
        <v>0</v>
      </c>
      <c r="AK214" s="255">
        <v>0</v>
      </c>
      <c r="AL214" s="255">
        <v>0</v>
      </c>
      <c r="AM214" s="255">
        <v>0</v>
      </c>
      <c r="AN214" s="255">
        <v>0</v>
      </c>
      <c r="AO214" s="255">
        <v>0</v>
      </c>
      <c r="AP214" s="255"/>
      <c r="AQ214" s="255"/>
      <c r="AR214" s="255"/>
      <c r="AS214" s="255"/>
      <c r="AT214" s="255"/>
      <c r="AU214" s="255"/>
      <c r="AV214" s="255"/>
      <c r="AW214" s="255"/>
      <c r="AX214" s="255"/>
      <c r="AY214" s="255"/>
      <c r="AZ214" s="255"/>
      <c r="BA214" s="255"/>
      <c r="BB214" s="255"/>
      <c r="BC214" s="255"/>
      <c r="BD214" s="255"/>
      <c r="BE214" s="255"/>
      <c r="BF214" s="255"/>
      <c r="BG214" s="255"/>
      <c r="BH214" s="255"/>
      <c r="BI214" s="255"/>
      <c r="BJ214" s="255"/>
      <c r="BK214" s="255"/>
    </row>
    <row r="215" spans="1:63" s="133" customFormat="1" ht="12.75">
      <c r="A215" s="168">
        <v>39021</v>
      </c>
      <c r="B215" s="213" t="str">
        <f>Servicio_internaColumna_título_intereses</f>
        <v>Intereses</v>
      </c>
      <c r="C215" s="256">
        <v>0</v>
      </c>
      <c r="D215" s="257">
        <v>0</v>
      </c>
      <c r="E215" s="257">
        <v>0</v>
      </c>
      <c r="F215" s="257">
        <v>0</v>
      </c>
      <c r="G215" s="257">
        <v>0</v>
      </c>
      <c r="H215" s="257">
        <v>1125670.8553384556</v>
      </c>
      <c r="I215" s="257">
        <v>9559848.642145291</v>
      </c>
      <c r="J215" s="257">
        <v>7330487.9796096534</v>
      </c>
      <c r="K215" s="257">
        <v>5695492.9147900455</v>
      </c>
      <c r="L215" s="257">
        <v>4707086.0243745036</v>
      </c>
      <c r="M215" s="257">
        <v>3495402.5714299222</v>
      </c>
      <c r="N215" s="257">
        <v>3032087.9864083342</v>
      </c>
      <c r="O215" s="257">
        <v>2002705.3170094984</v>
      </c>
      <c r="P215" s="257">
        <v>1803604.311069753</v>
      </c>
      <c r="Q215" s="257">
        <v>998253.30376080889</v>
      </c>
      <c r="R215" s="257">
        <v>430856.49200000003</v>
      </c>
      <c r="S215" s="257">
        <v>430856.49200000003</v>
      </c>
      <c r="T215" s="257">
        <v>430856.49200000003</v>
      </c>
      <c r="U215" s="258">
        <v>430856.49200000003</v>
      </c>
      <c r="V215" s="258">
        <v>430856.49199999962</v>
      </c>
      <c r="W215" s="258">
        <v>0</v>
      </c>
      <c r="X215" s="258">
        <v>0</v>
      </c>
      <c r="Y215" s="258">
        <v>0</v>
      </c>
      <c r="Z215" s="258">
        <v>0</v>
      </c>
      <c r="AA215" s="258">
        <v>0</v>
      </c>
      <c r="AB215" s="258">
        <v>0</v>
      </c>
      <c r="AC215" s="258">
        <v>0</v>
      </c>
      <c r="AD215" s="259">
        <v>0</v>
      </c>
      <c r="AE215" s="259">
        <v>0</v>
      </c>
      <c r="AF215" s="259">
        <v>0</v>
      </c>
      <c r="AG215" s="259">
        <v>0</v>
      </c>
      <c r="AH215" s="259">
        <v>0</v>
      </c>
      <c r="AI215" s="259">
        <v>0</v>
      </c>
      <c r="AJ215" s="259">
        <v>0</v>
      </c>
      <c r="AK215" s="259">
        <v>0</v>
      </c>
      <c r="AL215" s="259">
        <v>0</v>
      </c>
      <c r="AM215" s="259">
        <v>0</v>
      </c>
      <c r="AN215" s="259">
        <v>0</v>
      </c>
      <c r="AO215" s="259">
        <v>0</v>
      </c>
      <c r="AP215" s="259"/>
      <c r="AQ215" s="259"/>
      <c r="AR215" s="259"/>
      <c r="AS215" s="259"/>
      <c r="AT215" s="259"/>
      <c r="AU215" s="259"/>
      <c r="AV215" s="259"/>
      <c r="AW215" s="259"/>
      <c r="AX215" s="259"/>
      <c r="AY215" s="259"/>
      <c r="AZ215" s="259"/>
      <c r="BA215" s="259"/>
      <c r="BB215" s="259"/>
      <c r="BC215" s="259"/>
      <c r="BD215" s="259"/>
      <c r="BE215" s="259"/>
      <c r="BF215" s="259"/>
      <c r="BG215" s="259"/>
      <c r="BH215" s="259"/>
      <c r="BI215" s="259"/>
      <c r="BJ215" s="259"/>
      <c r="BK215" s="259"/>
    </row>
    <row r="216" spans="1:63" s="133" customFormat="1" ht="12.75">
      <c r="A216" s="169"/>
      <c r="B216" s="307" t="str">
        <f>Servicio_internaColumna_título_total</f>
        <v>Total</v>
      </c>
      <c r="C216" s="308">
        <v>0</v>
      </c>
      <c r="D216" s="309">
        <v>0</v>
      </c>
      <c r="E216" s="309">
        <v>0</v>
      </c>
      <c r="F216" s="309">
        <v>0</v>
      </c>
      <c r="G216" s="309">
        <v>0</v>
      </c>
      <c r="H216" s="309">
        <v>3047896.6998276366</v>
      </c>
      <c r="I216" s="309">
        <v>29098123.861929663</v>
      </c>
      <c r="J216" s="309">
        <v>22139763.832198523</v>
      </c>
      <c r="K216" s="309">
        <v>14491533.042187436</v>
      </c>
      <c r="L216" s="309">
        <v>18005609.297382724</v>
      </c>
      <c r="M216" s="309">
        <v>8780408.018845506</v>
      </c>
      <c r="N216" s="309">
        <v>12440293.471825</v>
      </c>
      <c r="O216" s="309">
        <v>4243056.4968298599</v>
      </c>
      <c r="P216" s="309">
        <v>8481688.3321199473</v>
      </c>
      <c r="Q216" s="309">
        <v>8040999.3032891965</v>
      </c>
      <c r="R216" s="309">
        <v>498187.27819491201</v>
      </c>
      <c r="S216" s="309">
        <v>430856.49200000003</v>
      </c>
      <c r="T216" s="309">
        <v>430856.49200000003</v>
      </c>
      <c r="U216" s="309">
        <v>430856.49200000003</v>
      </c>
      <c r="V216" s="309">
        <v>4347733.6919999998</v>
      </c>
      <c r="W216" s="309">
        <v>0</v>
      </c>
      <c r="X216" s="309">
        <v>0</v>
      </c>
      <c r="Y216" s="309">
        <v>0</v>
      </c>
      <c r="Z216" s="309">
        <v>0</v>
      </c>
      <c r="AA216" s="309">
        <v>0</v>
      </c>
      <c r="AB216" s="309">
        <v>0</v>
      </c>
      <c r="AC216" s="309">
        <v>0</v>
      </c>
      <c r="AD216" s="309">
        <v>0</v>
      </c>
      <c r="AE216" s="309">
        <v>0</v>
      </c>
      <c r="AF216" s="309">
        <v>0</v>
      </c>
      <c r="AG216" s="309">
        <v>0</v>
      </c>
      <c r="AH216" s="309">
        <v>0</v>
      </c>
      <c r="AI216" s="309">
        <v>0</v>
      </c>
      <c r="AJ216" s="309">
        <v>0</v>
      </c>
      <c r="AK216" s="309">
        <v>0</v>
      </c>
      <c r="AL216" s="309">
        <v>0</v>
      </c>
      <c r="AM216" s="309">
        <v>0</v>
      </c>
      <c r="AN216" s="309">
        <v>0</v>
      </c>
      <c r="AO216" s="309">
        <v>0</v>
      </c>
      <c r="AP216" s="309"/>
      <c r="AQ216" s="309"/>
      <c r="AR216" s="309"/>
      <c r="AS216" s="309"/>
      <c r="AT216" s="309"/>
      <c r="AU216" s="309"/>
      <c r="AV216" s="309"/>
      <c r="AW216" s="309"/>
      <c r="AX216" s="309"/>
      <c r="AY216" s="309"/>
      <c r="AZ216" s="309"/>
      <c r="BA216" s="309"/>
      <c r="BB216" s="309"/>
      <c r="BC216" s="309"/>
      <c r="BD216" s="309"/>
      <c r="BE216" s="309"/>
      <c r="BF216" s="309"/>
      <c r="BG216" s="309"/>
      <c r="BH216" s="309"/>
      <c r="BI216" s="309"/>
      <c r="BJ216" s="309"/>
      <c r="BK216" s="309"/>
    </row>
    <row r="217" spans="1:63" s="80" customFormat="1" ht="12.75">
      <c r="A217" s="167"/>
      <c r="B217" s="210" t="str">
        <f>Servicio_internaColumna_título_amortizaciones</f>
        <v>Amortizaciones</v>
      </c>
      <c r="C217" s="254">
        <v>0</v>
      </c>
      <c r="D217" s="255">
        <v>0</v>
      </c>
      <c r="E217" s="255">
        <v>0</v>
      </c>
      <c r="F217" s="255">
        <v>0</v>
      </c>
      <c r="G217" s="255">
        <v>0</v>
      </c>
      <c r="H217" s="255">
        <v>846273.23150762427</v>
      </c>
      <c r="I217" s="255">
        <v>19705966.058994696</v>
      </c>
      <c r="J217" s="255">
        <v>15484328.623354033</v>
      </c>
      <c r="K217" s="255">
        <v>8794196.3641387932</v>
      </c>
      <c r="L217" s="255">
        <v>13841024.480159815</v>
      </c>
      <c r="M217" s="255">
        <v>4829263.8083362998</v>
      </c>
      <c r="N217" s="255">
        <v>7865544.9616566654</v>
      </c>
      <c r="O217" s="255">
        <v>2235256.1075939136</v>
      </c>
      <c r="P217" s="255">
        <v>6678515.5196251851</v>
      </c>
      <c r="Q217" s="255">
        <v>8629912.1816150509</v>
      </c>
      <c r="R217" s="255">
        <v>67377.971359393909</v>
      </c>
      <c r="S217" s="255">
        <v>0</v>
      </c>
      <c r="T217" s="255">
        <v>0</v>
      </c>
      <c r="U217" s="255">
        <v>0</v>
      </c>
      <c r="V217" s="255">
        <v>4519206.8</v>
      </c>
      <c r="W217" s="255">
        <v>0</v>
      </c>
      <c r="X217" s="255">
        <v>0</v>
      </c>
      <c r="Y217" s="255">
        <v>0</v>
      </c>
      <c r="Z217" s="255">
        <v>0</v>
      </c>
      <c r="AA217" s="255">
        <v>0</v>
      </c>
      <c r="AB217" s="255">
        <v>0</v>
      </c>
      <c r="AC217" s="255">
        <v>0</v>
      </c>
      <c r="AD217" s="255">
        <v>0</v>
      </c>
      <c r="AE217" s="255">
        <v>0</v>
      </c>
      <c r="AF217" s="255">
        <v>0</v>
      </c>
      <c r="AG217" s="255">
        <v>0</v>
      </c>
      <c r="AH217" s="255">
        <v>0</v>
      </c>
      <c r="AI217" s="255">
        <v>0</v>
      </c>
      <c r="AJ217" s="255">
        <v>0</v>
      </c>
      <c r="AK217" s="255">
        <v>0</v>
      </c>
      <c r="AL217" s="255">
        <v>0</v>
      </c>
      <c r="AM217" s="255">
        <v>0</v>
      </c>
      <c r="AN217" s="255">
        <v>0</v>
      </c>
      <c r="AO217" s="255">
        <v>0</v>
      </c>
      <c r="AP217" s="255"/>
      <c r="AQ217" s="255"/>
      <c r="AR217" s="255"/>
      <c r="AS217" s="255"/>
      <c r="AT217" s="255"/>
      <c r="AU217" s="255"/>
      <c r="AV217" s="255"/>
      <c r="AW217" s="255"/>
      <c r="AX217" s="255"/>
      <c r="AY217" s="255"/>
      <c r="AZ217" s="255"/>
      <c r="BA217" s="255"/>
      <c r="BB217" s="255"/>
      <c r="BC217" s="255"/>
      <c r="BD217" s="255"/>
      <c r="BE217" s="255"/>
      <c r="BF217" s="255"/>
      <c r="BG217" s="255"/>
      <c r="BH217" s="255"/>
      <c r="BI217" s="255"/>
      <c r="BJ217" s="255"/>
      <c r="BK217" s="255"/>
    </row>
    <row r="218" spans="1:63" s="133" customFormat="1" ht="12.75">
      <c r="A218" s="168">
        <v>39051</v>
      </c>
      <c r="B218" s="213" t="str">
        <f>Servicio_internaColumna_título_intereses</f>
        <v>Intereses</v>
      </c>
      <c r="C218" s="256">
        <v>0</v>
      </c>
      <c r="D218" s="257">
        <v>0</v>
      </c>
      <c r="E218" s="257">
        <v>0</v>
      </c>
      <c r="F218" s="257">
        <v>0</v>
      </c>
      <c r="G218" s="257">
        <v>0</v>
      </c>
      <c r="H218" s="257">
        <v>268266.07716559828</v>
      </c>
      <c r="I218" s="257">
        <v>9680086.5614522919</v>
      </c>
      <c r="J218" s="257">
        <v>7526225.2694128081</v>
      </c>
      <c r="K218" s="257">
        <v>5772883.9929662384</v>
      </c>
      <c r="L218" s="257">
        <v>4781577.0853332989</v>
      </c>
      <c r="M218" s="257">
        <v>3521311.7431613421</v>
      </c>
      <c r="N218" s="257">
        <v>3101141.7161515225</v>
      </c>
      <c r="O218" s="257">
        <v>2207482.5825932855</v>
      </c>
      <c r="P218" s="257">
        <v>2012479.7615043726</v>
      </c>
      <c r="Q218" s="257">
        <v>1211349.8845918886</v>
      </c>
      <c r="R218" s="257">
        <v>497112.74800000002</v>
      </c>
      <c r="S218" s="257">
        <v>497112.74799999996</v>
      </c>
      <c r="T218" s="257">
        <v>497112.74799999996</v>
      </c>
      <c r="U218" s="258">
        <v>497112.74799999996</v>
      </c>
      <c r="V218" s="258">
        <v>497112.74799999967</v>
      </c>
      <c r="W218" s="258">
        <v>0</v>
      </c>
      <c r="X218" s="258">
        <v>0</v>
      </c>
      <c r="Y218" s="258">
        <v>0</v>
      </c>
      <c r="Z218" s="258">
        <v>0</v>
      </c>
      <c r="AA218" s="258">
        <v>0</v>
      </c>
      <c r="AB218" s="258">
        <v>0</v>
      </c>
      <c r="AC218" s="258">
        <v>0</v>
      </c>
      <c r="AD218" s="259">
        <v>0</v>
      </c>
      <c r="AE218" s="259">
        <v>0</v>
      </c>
      <c r="AF218" s="259">
        <v>0</v>
      </c>
      <c r="AG218" s="259">
        <v>0</v>
      </c>
      <c r="AH218" s="259">
        <v>0</v>
      </c>
      <c r="AI218" s="259">
        <v>0</v>
      </c>
      <c r="AJ218" s="259">
        <v>0</v>
      </c>
      <c r="AK218" s="259">
        <v>0</v>
      </c>
      <c r="AL218" s="259">
        <v>0</v>
      </c>
      <c r="AM218" s="259">
        <v>0</v>
      </c>
      <c r="AN218" s="259">
        <v>0</v>
      </c>
      <c r="AO218" s="259">
        <v>0</v>
      </c>
      <c r="AP218" s="259"/>
      <c r="AQ218" s="259"/>
      <c r="AR218" s="259"/>
      <c r="AS218" s="259"/>
      <c r="AT218" s="259"/>
      <c r="AU218" s="259"/>
      <c r="AV218" s="259"/>
      <c r="AW218" s="259"/>
      <c r="AX218" s="259"/>
      <c r="AY218" s="259"/>
      <c r="AZ218" s="259"/>
      <c r="BA218" s="259"/>
      <c r="BB218" s="259"/>
      <c r="BC218" s="259"/>
      <c r="BD218" s="259"/>
      <c r="BE218" s="259"/>
      <c r="BF218" s="259"/>
      <c r="BG218" s="259"/>
      <c r="BH218" s="259"/>
      <c r="BI218" s="259"/>
      <c r="BJ218" s="259"/>
      <c r="BK218" s="259"/>
    </row>
    <row r="219" spans="1:63" s="133" customFormat="1" ht="12.75">
      <c r="A219" s="169"/>
      <c r="B219" s="307" t="str">
        <f>Servicio_internaColumna_título_total</f>
        <v>Total</v>
      </c>
      <c r="C219" s="308">
        <v>0</v>
      </c>
      <c r="D219" s="309">
        <v>0</v>
      </c>
      <c r="E219" s="309">
        <v>0</v>
      </c>
      <c r="F219" s="309">
        <v>0</v>
      </c>
      <c r="G219" s="309">
        <v>0</v>
      </c>
      <c r="H219" s="309">
        <v>1114539.3086732225</v>
      </c>
      <c r="I219" s="309">
        <v>29386052.620446987</v>
      </c>
      <c r="J219" s="309">
        <v>23010553.892766841</v>
      </c>
      <c r="K219" s="309">
        <v>14567080.357105032</v>
      </c>
      <c r="L219" s="309">
        <v>18622601.565493114</v>
      </c>
      <c r="M219" s="309">
        <v>8350575.551497642</v>
      </c>
      <c r="N219" s="309">
        <v>10966686.677808188</v>
      </c>
      <c r="O219" s="309">
        <v>4442738.690187199</v>
      </c>
      <c r="P219" s="309">
        <v>8690995.2811295576</v>
      </c>
      <c r="Q219" s="309">
        <v>9841262.0662069395</v>
      </c>
      <c r="R219" s="309">
        <v>564490.71935939393</v>
      </c>
      <c r="S219" s="309">
        <v>497112.74799999996</v>
      </c>
      <c r="T219" s="309">
        <v>497112.74799999996</v>
      </c>
      <c r="U219" s="309">
        <v>497112.74799999996</v>
      </c>
      <c r="V219" s="309">
        <v>5016319.5479999995</v>
      </c>
      <c r="W219" s="309">
        <v>0</v>
      </c>
      <c r="X219" s="309">
        <v>0</v>
      </c>
      <c r="Y219" s="309">
        <v>0</v>
      </c>
      <c r="Z219" s="309">
        <v>0</v>
      </c>
      <c r="AA219" s="309">
        <v>0</v>
      </c>
      <c r="AB219" s="309">
        <v>0</v>
      </c>
      <c r="AC219" s="309">
        <v>0</v>
      </c>
      <c r="AD219" s="309">
        <v>0</v>
      </c>
      <c r="AE219" s="309">
        <v>0</v>
      </c>
      <c r="AF219" s="309">
        <v>0</v>
      </c>
      <c r="AG219" s="309">
        <v>0</v>
      </c>
      <c r="AH219" s="309">
        <v>0</v>
      </c>
      <c r="AI219" s="309">
        <v>0</v>
      </c>
      <c r="AJ219" s="309">
        <v>0</v>
      </c>
      <c r="AK219" s="309">
        <v>0</v>
      </c>
      <c r="AL219" s="309">
        <v>0</v>
      </c>
      <c r="AM219" s="309">
        <v>0</v>
      </c>
      <c r="AN219" s="309">
        <v>0</v>
      </c>
      <c r="AO219" s="309">
        <v>0</v>
      </c>
      <c r="AP219" s="309"/>
      <c r="AQ219" s="309"/>
      <c r="AR219" s="309"/>
      <c r="AS219" s="309"/>
      <c r="AT219" s="309"/>
      <c r="AU219" s="309"/>
      <c r="AV219" s="309"/>
      <c r="AW219" s="309"/>
      <c r="AX219" s="309"/>
      <c r="AY219" s="309"/>
      <c r="AZ219" s="309"/>
      <c r="BA219" s="309"/>
      <c r="BB219" s="309"/>
      <c r="BC219" s="309"/>
      <c r="BD219" s="309"/>
      <c r="BE219" s="309"/>
      <c r="BF219" s="309"/>
      <c r="BG219" s="309"/>
      <c r="BH219" s="309"/>
      <c r="BI219" s="309"/>
      <c r="BJ219" s="309"/>
      <c r="BK219" s="309"/>
    </row>
    <row r="220" spans="1:63" s="80" customFormat="1" ht="12.75">
      <c r="A220" s="167"/>
      <c r="B220" s="210" t="str">
        <f>Servicio_internaColumna_título_amortizaciones</f>
        <v>Amortizaciones</v>
      </c>
      <c r="C220" s="254">
        <v>0</v>
      </c>
      <c r="D220" s="255">
        <v>0</v>
      </c>
      <c r="E220" s="255">
        <v>0</v>
      </c>
      <c r="F220" s="255">
        <v>0</v>
      </c>
      <c r="G220" s="255">
        <v>0</v>
      </c>
      <c r="H220" s="255">
        <v>0</v>
      </c>
      <c r="I220" s="255">
        <v>20493005.0110058</v>
      </c>
      <c r="J220" s="255">
        <v>15703378.625960696</v>
      </c>
      <c r="K220" s="255">
        <v>8785418.8393517751</v>
      </c>
      <c r="L220" s="255">
        <v>14026190.774275146</v>
      </c>
      <c r="M220" s="255">
        <v>4830109.0567584746</v>
      </c>
      <c r="N220" s="255">
        <v>7867274.4884316362</v>
      </c>
      <c r="O220" s="255">
        <v>2434241.7164488072</v>
      </c>
      <c r="P220" s="255">
        <v>6678846.46362154</v>
      </c>
      <c r="Q220" s="255">
        <v>8633685.176019989</v>
      </c>
      <c r="R220" s="255">
        <v>67414.160695365877</v>
      </c>
      <c r="S220" s="255">
        <v>0</v>
      </c>
      <c r="T220" s="255">
        <v>0</v>
      </c>
      <c r="U220" s="255">
        <v>0</v>
      </c>
      <c r="V220" s="255">
        <v>4519206.8</v>
      </c>
      <c r="W220" s="255">
        <v>0</v>
      </c>
      <c r="X220" s="255">
        <v>0</v>
      </c>
      <c r="Y220" s="255">
        <v>0</v>
      </c>
      <c r="Z220" s="255">
        <v>0</v>
      </c>
      <c r="AA220" s="255">
        <v>0</v>
      </c>
      <c r="AB220" s="255">
        <v>0</v>
      </c>
      <c r="AC220" s="255">
        <v>0</v>
      </c>
      <c r="AD220" s="255">
        <v>0</v>
      </c>
      <c r="AE220" s="255">
        <v>0</v>
      </c>
      <c r="AF220" s="255">
        <v>0</v>
      </c>
      <c r="AG220" s="255">
        <v>0</v>
      </c>
      <c r="AH220" s="255">
        <v>0</v>
      </c>
      <c r="AI220" s="255">
        <v>0</v>
      </c>
      <c r="AJ220" s="255">
        <v>0</v>
      </c>
      <c r="AK220" s="255">
        <v>0</v>
      </c>
      <c r="AL220" s="255">
        <v>0</v>
      </c>
      <c r="AM220" s="255">
        <v>0</v>
      </c>
      <c r="AN220" s="255">
        <v>0</v>
      </c>
      <c r="AO220" s="255">
        <v>0</v>
      </c>
      <c r="AP220" s="255"/>
      <c r="AQ220" s="255"/>
      <c r="AR220" s="255"/>
      <c r="AS220" s="255"/>
      <c r="AT220" s="255"/>
      <c r="AU220" s="255"/>
      <c r="AV220" s="255"/>
      <c r="AW220" s="255"/>
      <c r="AX220" s="255"/>
      <c r="AY220" s="255"/>
      <c r="AZ220" s="255"/>
      <c r="BA220" s="255"/>
      <c r="BB220" s="255"/>
      <c r="BC220" s="255"/>
      <c r="BD220" s="255"/>
      <c r="BE220" s="255"/>
      <c r="BF220" s="255"/>
      <c r="BG220" s="255"/>
      <c r="BH220" s="255"/>
      <c r="BI220" s="255"/>
      <c r="BJ220" s="255"/>
      <c r="BK220" s="255"/>
    </row>
    <row r="221" spans="1:63" s="133" customFormat="1" ht="12.75">
      <c r="A221" s="168">
        <v>39082</v>
      </c>
      <c r="B221" s="213" t="str">
        <f>Servicio_internaColumna_título_intereses</f>
        <v>Intereses</v>
      </c>
      <c r="C221" s="256">
        <v>0</v>
      </c>
      <c r="D221" s="257">
        <v>0</v>
      </c>
      <c r="E221" s="257">
        <v>0</v>
      </c>
      <c r="F221" s="257">
        <v>0</v>
      </c>
      <c r="G221" s="257">
        <v>0</v>
      </c>
      <c r="H221" s="257">
        <v>0</v>
      </c>
      <c r="I221" s="257">
        <v>9716651.5545359068</v>
      </c>
      <c r="J221" s="257">
        <v>7602700.0215644315</v>
      </c>
      <c r="K221" s="257">
        <v>5828628.7253065333</v>
      </c>
      <c r="L221" s="257">
        <v>4866462.3288562298</v>
      </c>
      <c r="M221" s="257">
        <v>3558425.9211347066</v>
      </c>
      <c r="N221" s="257">
        <v>3108133.1310180314</v>
      </c>
      <c r="O221" s="257">
        <v>2205765.8738642884</v>
      </c>
      <c r="P221" s="257">
        <v>2011144.4770236034</v>
      </c>
      <c r="Q221" s="257">
        <v>1209974.541576663</v>
      </c>
      <c r="R221" s="257">
        <v>497112.74800000002</v>
      </c>
      <c r="S221" s="257">
        <v>497112.74799999996</v>
      </c>
      <c r="T221" s="257">
        <v>497112.74799999996</v>
      </c>
      <c r="U221" s="258">
        <v>497112.74799999996</v>
      </c>
      <c r="V221" s="258">
        <v>497112.74799999967</v>
      </c>
      <c r="W221" s="258">
        <v>0</v>
      </c>
      <c r="X221" s="258">
        <v>0</v>
      </c>
      <c r="Y221" s="258">
        <v>0</v>
      </c>
      <c r="Z221" s="258">
        <v>0</v>
      </c>
      <c r="AA221" s="258">
        <v>0</v>
      </c>
      <c r="AB221" s="258">
        <v>0</v>
      </c>
      <c r="AC221" s="258">
        <v>0</v>
      </c>
      <c r="AD221" s="259">
        <v>0</v>
      </c>
      <c r="AE221" s="259">
        <v>0</v>
      </c>
      <c r="AF221" s="259">
        <v>0</v>
      </c>
      <c r="AG221" s="259">
        <v>0</v>
      </c>
      <c r="AH221" s="259">
        <v>0</v>
      </c>
      <c r="AI221" s="259">
        <v>0</v>
      </c>
      <c r="AJ221" s="259">
        <v>0</v>
      </c>
      <c r="AK221" s="259">
        <v>0</v>
      </c>
      <c r="AL221" s="259">
        <v>0</v>
      </c>
      <c r="AM221" s="259">
        <v>0</v>
      </c>
      <c r="AN221" s="259">
        <v>0</v>
      </c>
      <c r="AO221" s="259">
        <v>0</v>
      </c>
      <c r="AP221" s="259"/>
      <c r="AQ221" s="259"/>
      <c r="AR221" s="259"/>
      <c r="AS221" s="259"/>
      <c r="AT221" s="259"/>
      <c r="AU221" s="259"/>
      <c r="AV221" s="259"/>
      <c r="AW221" s="259"/>
      <c r="AX221" s="259"/>
      <c r="AY221" s="259"/>
      <c r="AZ221" s="259"/>
      <c r="BA221" s="259"/>
      <c r="BB221" s="259"/>
      <c r="BC221" s="259"/>
      <c r="BD221" s="259"/>
      <c r="BE221" s="259"/>
      <c r="BF221" s="259"/>
      <c r="BG221" s="259"/>
      <c r="BH221" s="259"/>
      <c r="BI221" s="259"/>
      <c r="BJ221" s="259"/>
      <c r="BK221" s="259"/>
    </row>
    <row r="222" spans="1:63" s="133" customFormat="1" ht="12.75">
      <c r="A222" s="169"/>
      <c r="B222" s="307" t="str">
        <f>Servicio_internaColumna_título_total</f>
        <v>Total</v>
      </c>
      <c r="C222" s="308">
        <v>0</v>
      </c>
      <c r="D222" s="309">
        <v>0</v>
      </c>
      <c r="E222" s="309">
        <v>0</v>
      </c>
      <c r="F222" s="309">
        <v>0</v>
      </c>
      <c r="G222" s="309">
        <v>0</v>
      </c>
      <c r="H222" s="309">
        <v>0</v>
      </c>
      <c r="I222" s="309">
        <v>30209656.565541707</v>
      </c>
      <c r="J222" s="309">
        <v>23306078.647525128</v>
      </c>
      <c r="K222" s="309">
        <v>14614047.564658308</v>
      </c>
      <c r="L222" s="309">
        <v>18892653.103131376</v>
      </c>
      <c r="M222" s="309">
        <v>8388534.9778931811</v>
      </c>
      <c r="N222" s="309">
        <v>10975407.619449668</v>
      </c>
      <c r="O222" s="309">
        <v>4640007.5903130956</v>
      </c>
      <c r="P222" s="309">
        <v>8689990.9406451434</v>
      </c>
      <c r="Q222" s="309">
        <v>9843659.717596652</v>
      </c>
      <c r="R222" s="309">
        <v>564526.90869536588</v>
      </c>
      <c r="S222" s="309">
        <v>497112.74799999996</v>
      </c>
      <c r="T222" s="309">
        <v>497112.74799999996</v>
      </c>
      <c r="U222" s="309">
        <v>497112.74799999996</v>
      </c>
      <c r="V222" s="309">
        <v>5016319.5479999995</v>
      </c>
      <c r="W222" s="309">
        <v>0</v>
      </c>
      <c r="X222" s="309">
        <v>0</v>
      </c>
      <c r="Y222" s="309">
        <v>0</v>
      </c>
      <c r="Z222" s="309">
        <v>0</v>
      </c>
      <c r="AA222" s="309">
        <v>0</v>
      </c>
      <c r="AB222" s="309">
        <v>0</v>
      </c>
      <c r="AC222" s="309">
        <v>0</v>
      </c>
      <c r="AD222" s="309">
        <v>0</v>
      </c>
      <c r="AE222" s="309">
        <v>0</v>
      </c>
      <c r="AF222" s="309">
        <v>0</v>
      </c>
      <c r="AG222" s="309">
        <v>0</v>
      </c>
      <c r="AH222" s="309">
        <v>0</v>
      </c>
      <c r="AI222" s="309">
        <v>0</v>
      </c>
      <c r="AJ222" s="309">
        <v>0</v>
      </c>
      <c r="AK222" s="309">
        <v>0</v>
      </c>
      <c r="AL222" s="309">
        <v>0</v>
      </c>
      <c r="AM222" s="309">
        <v>0</v>
      </c>
      <c r="AN222" s="309">
        <v>0</v>
      </c>
      <c r="AO222" s="309">
        <v>0</v>
      </c>
      <c r="AP222" s="309"/>
      <c r="AQ222" s="309"/>
      <c r="AR222" s="309"/>
      <c r="AS222" s="309"/>
      <c r="AT222" s="309"/>
      <c r="AU222" s="309"/>
      <c r="AV222" s="309"/>
      <c r="AW222" s="309"/>
      <c r="AX222" s="309"/>
      <c r="AY222" s="309"/>
      <c r="AZ222" s="309"/>
      <c r="BA222" s="309"/>
      <c r="BB222" s="309"/>
      <c r="BC222" s="309"/>
      <c r="BD222" s="309"/>
      <c r="BE222" s="309"/>
      <c r="BF222" s="309"/>
      <c r="BG222" s="309"/>
      <c r="BH222" s="309"/>
      <c r="BI222" s="309"/>
      <c r="BJ222" s="309"/>
      <c r="BK222" s="309"/>
    </row>
    <row r="223" spans="1:63" s="80" customFormat="1" ht="12.75">
      <c r="A223" s="167"/>
      <c r="B223" s="210" t="str">
        <f>Servicio_internaColumna_título_amortizaciones</f>
        <v>Amortizaciones</v>
      </c>
      <c r="C223" s="254">
        <v>0</v>
      </c>
      <c r="D223" s="255">
        <v>0</v>
      </c>
      <c r="E223" s="255">
        <v>0</v>
      </c>
      <c r="F223" s="255">
        <v>0</v>
      </c>
      <c r="G223" s="255">
        <v>0</v>
      </c>
      <c r="H223" s="255">
        <v>0</v>
      </c>
      <c r="I223" s="255">
        <v>19732747.313441906</v>
      </c>
      <c r="J223" s="255">
        <v>16312247.747446086</v>
      </c>
      <c r="K223" s="255">
        <v>8805437.1563539542</v>
      </c>
      <c r="L223" s="255">
        <v>14567911.252472619</v>
      </c>
      <c r="M223" s="255">
        <v>4832831.6766345371</v>
      </c>
      <c r="N223" s="255">
        <v>7874944.6343947761</v>
      </c>
      <c r="O223" s="255">
        <v>2434867.3286032793</v>
      </c>
      <c r="P223" s="255">
        <v>6690281.6994472686</v>
      </c>
      <c r="Q223" s="255">
        <v>8750376.9775028285</v>
      </c>
      <c r="R223" s="255">
        <v>67572.483774038745</v>
      </c>
      <c r="S223" s="255">
        <v>0</v>
      </c>
      <c r="T223" s="255">
        <v>0</v>
      </c>
      <c r="U223" s="255">
        <v>0</v>
      </c>
      <c r="V223" s="255">
        <v>5156411.8</v>
      </c>
      <c r="W223" s="255">
        <v>0</v>
      </c>
      <c r="X223" s="255">
        <v>0</v>
      </c>
      <c r="Y223" s="255">
        <v>308754.40749999997</v>
      </c>
      <c r="Z223" s="255">
        <v>0</v>
      </c>
      <c r="AA223" s="255">
        <v>0</v>
      </c>
      <c r="AB223" s="255">
        <v>0</v>
      </c>
      <c r="AC223" s="255">
        <v>0</v>
      </c>
      <c r="AD223" s="255">
        <v>0</v>
      </c>
      <c r="AE223" s="255">
        <v>0</v>
      </c>
      <c r="AF223" s="255">
        <v>0</v>
      </c>
      <c r="AG223" s="255">
        <v>0</v>
      </c>
      <c r="AH223" s="255">
        <v>0</v>
      </c>
      <c r="AI223" s="255">
        <v>0</v>
      </c>
      <c r="AJ223" s="255">
        <v>0</v>
      </c>
      <c r="AK223" s="255">
        <v>0</v>
      </c>
      <c r="AL223" s="255">
        <v>0</v>
      </c>
      <c r="AM223" s="255">
        <v>0</v>
      </c>
      <c r="AN223" s="255">
        <v>0</v>
      </c>
      <c r="AO223" s="255">
        <v>0</v>
      </c>
      <c r="AP223" s="255"/>
      <c r="AQ223" s="255"/>
      <c r="AR223" s="255"/>
      <c r="AS223" s="255"/>
      <c r="AT223" s="255"/>
      <c r="AU223" s="255"/>
      <c r="AV223" s="255"/>
      <c r="AW223" s="255"/>
      <c r="AX223" s="255"/>
      <c r="AY223" s="255"/>
      <c r="AZ223" s="255"/>
      <c r="BA223" s="255"/>
      <c r="BB223" s="255"/>
      <c r="BC223" s="255"/>
      <c r="BD223" s="255"/>
      <c r="BE223" s="255"/>
      <c r="BF223" s="255"/>
      <c r="BG223" s="255"/>
      <c r="BH223" s="255"/>
      <c r="BI223" s="255"/>
      <c r="BJ223" s="255"/>
      <c r="BK223" s="255"/>
    </row>
    <row r="224" spans="1:63" s="133" customFormat="1" ht="12.75">
      <c r="A224" s="168">
        <v>39113</v>
      </c>
      <c r="B224" s="213" t="str">
        <f>Servicio_internaColumna_título_intereses</f>
        <v>Intereses</v>
      </c>
      <c r="C224" s="256">
        <v>0</v>
      </c>
      <c r="D224" s="257">
        <v>0</v>
      </c>
      <c r="E224" s="257">
        <v>0</v>
      </c>
      <c r="F224" s="257">
        <v>0</v>
      </c>
      <c r="G224" s="257">
        <v>0</v>
      </c>
      <c r="H224" s="257">
        <v>0</v>
      </c>
      <c r="I224" s="257">
        <v>9603413.030601684</v>
      </c>
      <c r="J224" s="257">
        <v>7836946.5617156923</v>
      </c>
      <c r="K224" s="257">
        <v>5972667.2130678818</v>
      </c>
      <c r="L224" s="257">
        <v>5001573.9624730106</v>
      </c>
      <c r="M224" s="257">
        <v>3653554.2261868808</v>
      </c>
      <c r="N224" s="257">
        <v>3203617.7814745698</v>
      </c>
      <c r="O224" s="257">
        <v>2301643.8970546606</v>
      </c>
      <c r="P224" s="257">
        <v>2109176.5245671291</v>
      </c>
      <c r="Q224" s="257">
        <v>1307451.6043469496</v>
      </c>
      <c r="R224" s="257">
        <v>587156.06095386716</v>
      </c>
      <c r="S224" s="257">
        <v>587754.5838429681</v>
      </c>
      <c r="T224" s="257">
        <v>588371.06241875654</v>
      </c>
      <c r="U224" s="258">
        <v>589006.03535183368</v>
      </c>
      <c r="V224" s="258">
        <v>589660.05747291818</v>
      </c>
      <c r="W224" s="258">
        <v>23128.402257651898</v>
      </c>
      <c r="X224" s="258">
        <v>23822.254325943573</v>
      </c>
      <c r="Y224" s="258">
        <v>24536.921956300852</v>
      </c>
      <c r="Z224" s="258">
        <v>0</v>
      </c>
      <c r="AA224" s="258">
        <v>0</v>
      </c>
      <c r="AB224" s="258">
        <v>0</v>
      </c>
      <c r="AC224" s="258">
        <v>0</v>
      </c>
      <c r="AD224" s="259">
        <v>0</v>
      </c>
      <c r="AE224" s="259">
        <v>0</v>
      </c>
      <c r="AF224" s="259">
        <v>0</v>
      </c>
      <c r="AG224" s="259">
        <v>0</v>
      </c>
      <c r="AH224" s="259">
        <v>0</v>
      </c>
      <c r="AI224" s="259">
        <v>0</v>
      </c>
      <c r="AJ224" s="259">
        <v>0</v>
      </c>
      <c r="AK224" s="259">
        <v>0</v>
      </c>
      <c r="AL224" s="259">
        <v>0</v>
      </c>
      <c r="AM224" s="259">
        <v>0</v>
      </c>
      <c r="AN224" s="259">
        <v>0</v>
      </c>
      <c r="AO224" s="259">
        <v>0</v>
      </c>
      <c r="AP224" s="259"/>
      <c r="AQ224" s="259"/>
      <c r="AR224" s="259"/>
      <c r="AS224" s="259"/>
      <c r="AT224" s="259"/>
      <c r="AU224" s="259"/>
      <c r="AV224" s="259"/>
      <c r="AW224" s="259"/>
      <c r="AX224" s="259"/>
      <c r="AY224" s="259"/>
      <c r="AZ224" s="259"/>
      <c r="BA224" s="259"/>
      <c r="BB224" s="259"/>
      <c r="BC224" s="259"/>
      <c r="BD224" s="259"/>
      <c r="BE224" s="259"/>
      <c r="BF224" s="259"/>
      <c r="BG224" s="259"/>
      <c r="BH224" s="259"/>
      <c r="BI224" s="259"/>
      <c r="BJ224" s="259"/>
      <c r="BK224" s="259"/>
    </row>
    <row r="225" spans="1:63" s="133" customFormat="1" ht="12.75">
      <c r="A225" s="169"/>
      <c r="B225" s="307" t="str">
        <f>Servicio_internaColumna_título_total</f>
        <v>Total</v>
      </c>
      <c r="C225" s="308">
        <v>0</v>
      </c>
      <c r="D225" s="309">
        <v>0</v>
      </c>
      <c r="E225" s="309">
        <v>0</v>
      </c>
      <c r="F225" s="309">
        <v>0</v>
      </c>
      <c r="G225" s="309">
        <v>0</v>
      </c>
      <c r="H225" s="309">
        <v>0</v>
      </c>
      <c r="I225" s="309">
        <v>29336160.34404359</v>
      </c>
      <c r="J225" s="309">
        <v>24149194.309161779</v>
      </c>
      <c r="K225" s="309">
        <v>14778104.369421836</v>
      </c>
      <c r="L225" s="309">
        <v>19569485.214945629</v>
      </c>
      <c r="M225" s="309">
        <v>8486385.9028214179</v>
      </c>
      <c r="N225" s="309">
        <v>11078562.415869346</v>
      </c>
      <c r="O225" s="309">
        <v>4736511.2256579399</v>
      </c>
      <c r="P225" s="309">
        <v>8799458.2240143977</v>
      </c>
      <c r="Q225" s="309">
        <v>10057828.581849778</v>
      </c>
      <c r="R225" s="309">
        <v>654728.54472790589</v>
      </c>
      <c r="S225" s="309">
        <v>587754.5838429681</v>
      </c>
      <c r="T225" s="309">
        <v>588371.06241875654</v>
      </c>
      <c r="U225" s="309">
        <v>589006.03535183368</v>
      </c>
      <c r="V225" s="309">
        <v>5746071.857472918</v>
      </c>
      <c r="W225" s="309">
        <v>23128.402257651898</v>
      </c>
      <c r="X225" s="309">
        <v>23822.254325943573</v>
      </c>
      <c r="Y225" s="309">
        <v>333291.32945630082</v>
      </c>
      <c r="Z225" s="309">
        <v>0</v>
      </c>
      <c r="AA225" s="309">
        <v>0</v>
      </c>
      <c r="AB225" s="309">
        <v>0</v>
      </c>
      <c r="AC225" s="309">
        <v>0</v>
      </c>
      <c r="AD225" s="309">
        <v>0</v>
      </c>
      <c r="AE225" s="309">
        <v>0</v>
      </c>
      <c r="AF225" s="309">
        <v>0</v>
      </c>
      <c r="AG225" s="309">
        <v>0</v>
      </c>
      <c r="AH225" s="309">
        <v>0</v>
      </c>
      <c r="AI225" s="309">
        <v>0</v>
      </c>
      <c r="AJ225" s="309">
        <v>0</v>
      </c>
      <c r="AK225" s="309">
        <v>0</v>
      </c>
      <c r="AL225" s="309">
        <v>0</v>
      </c>
      <c r="AM225" s="309">
        <v>0</v>
      </c>
      <c r="AN225" s="309">
        <v>0</v>
      </c>
      <c r="AO225" s="309">
        <v>0</v>
      </c>
      <c r="AP225" s="309"/>
      <c r="AQ225" s="309"/>
      <c r="AR225" s="309"/>
      <c r="AS225" s="309"/>
      <c r="AT225" s="309"/>
      <c r="AU225" s="309"/>
      <c r="AV225" s="309"/>
      <c r="AW225" s="309"/>
      <c r="AX225" s="309"/>
      <c r="AY225" s="309"/>
      <c r="AZ225" s="309"/>
      <c r="BA225" s="309"/>
      <c r="BB225" s="309"/>
      <c r="BC225" s="309"/>
      <c r="BD225" s="309"/>
      <c r="BE225" s="309"/>
      <c r="BF225" s="309"/>
      <c r="BG225" s="309"/>
      <c r="BH225" s="309"/>
      <c r="BI225" s="309"/>
      <c r="BJ225" s="309"/>
      <c r="BK225" s="309"/>
    </row>
    <row r="226" spans="1:63" s="80" customFormat="1" ht="12.75">
      <c r="A226" s="167"/>
      <c r="B226" s="210" t="str">
        <f>Servicio_internaColumna_título_amortizaciones</f>
        <v>Amortizaciones</v>
      </c>
      <c r="C226" s="254">
        <v>0</v>
      </c>
      <c r="D226" s="255">
        <v>0</v>
      </c>
      <c r="E226" s="255">
        <v>0</v>
      </c>
      <c r="F226" s="255">
        <v>0</v>
      </c>
      <c r="G226" s="255">
        <v>0</v>
      </c>
      <c r="H226" s="255">
        <v>0</v>
      </c>
      <c r="I226" s="255">
        <v>18797642.587596208</v>
      </c>
      <c r="J226" s="255">
        <v>17166874.622765854</v>
      </c>
      <c r="K226" s="255">
        <v>9214055.0619354676</v>
      </c>
      <c r="L226" s="255">
        <v>15138333.007206913</v>
      </c>
      <c r="M226" s="255">
        <v>4839158.4800836733</v>
      </c>
      <c r="N226" s="255">
        <v>7890302.450064566</v>
      </c>
      <c r="O226" s="255">
        <v>2437637.2628556867</v>
      </c>
      <c r="P226" s="255">
        <v>6707781.2072989717</v>
      </c>
      <c r="Q226" s="255">
        <v>8918876.4035381079</v>
      </c>
      <c r="R226" s="255">
        <v>67889.003542552222</v>
      </c>
      <c r="S226" s="255">
        <v>0</v>
      </c>
      <c r="T226" s="255">
        <v>0</v>
      </c>
      <c r="U226" s="255">
        <v>0</v>
      </c>
      <c r="V226" s="255">
        <v>5644848.6999999993</v>
      </c>
      <c r="W226" s="255">
        <v>0</v>
      </c>
      <c r="X226" s="255">
        <v>0</v>
      </c>
      <c r="Y226" s="255">
        <v>515980.52640000003</v>
      </c>
      <c r="Z226" s="255">
        <v>0</v>
      </c>
      <c r="AA226" s="255">
        <v>0</v>
      </c>
      <c r="AB226" s="255">
        <v>0</v>
      </c>
      <c r="AC226" s="255">
        <v>0</v>
      </c>
      <c r="AD226" s="255">
        <v>0</v>
      </c>
      <c r="AE226" s="255">
        <v>0</v>
      </c>
      <c r="AF226" s="255">
        <v>0</v>
      </c>
      <c r="AG226" s="255">
        <v>0</v>
      </c>
      <c r="AH226" s="255">
        <v>0</v>
      </c>
      <c r="AI226" s="255">
        <v>0</v>
      </c>
      <c r="AJ226" s="255">
        <v>0</v>
      </c>
      <c r="AK226" s="255">
        <v>0</v>
      </c>
      <c r="AL226" s="255">
        <v>0</v>
      </c>
      <c r="AM226" s="255">
        <v>0</v>
      </c>
      <c r="AN226" s="255">
        <v>0</v>
      </c>
      <c r="AO226" s="255">
        <v>0</v>
      </c>
      <c r="AP226" s="255"/>
      <c r="AQ226" s="255"/>
      <c r="AR226" s="255"/>
      <c r="AS226" s="255"/>
      <c r="AT226" s="255"/>
      <c r="AU226" s="255"/>
      <c r="AV226" s="255"/>
      <c r="AW226" s="255"/>
      <c r="AX226" s="255"/>
      <c r="AY226" s="255"/>
      <c r="AZ226" s="255"/>
      <c r="BA226" s="255"/>
      <c r="BB226" s="255"/>
      <c r="BC226" s="255"/>
      <c r="BD226" s="255"/>
      <c r="BE226" s="255"/>
      <c r="BF226" s="255"/>
      <c r="BG226" s="255"/>
      <c r="BH226" s="255"/>
      <c r="BI226" s="255"/>
      <c r="BJ226" s="255"/>
      <c r="BK226" s="255"/>
    </row>
    <row r="227" spans="1:63" s="133" customFormat="1" ht="12.75">
      <c r="A227" s="168">
        <v>39141</v>
      </c>
      <c r="B227" s="213" t="str">
        <f>Servicio_internaColumna_título_intereses</f>
        <v>Intereses</v>
      </c>
      <c r="C227" s="256">
        <v>0</v>
      </c>
      <c r="D227" s="257">
        <v>0</v>
      </c>
      <c r="E227" s="257">
        <v>0</v>
      </c>
      <c r="F227" s="257">
        <v>0</v>
      </c>
      <c r="G227" s="257">
        <v>0</v>
      </c>
      <c r="H227" s="257">
        <v>0</v>
      </c>
      <c r="I227" s="257">
        <v>8338103.3039984852</v>
      </c>
      <c r="J227" s="257">
        <v>8072280.9488743171</v>
      </c>
      <c r="K227" s="257">
        <v>6131106.9487101026</v>
      </c>
      <c r="L227" s="257">
        <v>5116020.6156534292</v>
      </c>
      <c r="M227" s="257">
        <v>3727336.6790992906</v>
      </c>
      <c r="N227" s="257">
        <v>3277972.5134424288</v>
      </c>
      <c r="O227" s="257">
        <v>2376113.3355017859</v>
      </c>
      <c r="P227" s="257">
        <v>2186219.7176622357</v>
      </c>
      <c r="Q227" s="257">
        <v>1384869.0514652133</v>
      </c>
      <c r="R227" s="257">
        <v>654118.98971599108</v>
      </c>
      <c r="S227" s="257">
        <v>655114.55869827734</v>
      </c>
      <c r="T227" s="257">
        <v>656139.99475005642</v>
      </c>
      <c r="U227" s="258">
        <v>657196.1938834138</v>
      </c>
      <c r="V227" s="258">
        <v>658284.07899079751</v>
      </c>
      <c r="W227" s="258">
        <v>38471.243651429293</v>
      </c>
      <c r="X227" s="258">
        <v>39625.380961907184</v>
      </c>
      <c r="Y227" s="258">
        <v>40814.142391727481</v>
      </c>
      <c r="Z227" s="258">
        <v>0</v>
      </c>
      <c r="AA227" s="258">
        <v>0</v>
      </c>
      <c r="AB227" s="258">
        <v>0</v>
      </c>
      <c r="AC227" s="258">
        <v>0</v>
      </c>
      <c r="AD227" s="259">
        <v>0</v>
      </c>
      <c r="AE227" s="259">
        <v>0</v>
      </c>
      <c r="AF227" s="259">
        <v>0</v>
      </c>
      <c r="AG227" s="259">
        <v>0</v>
      </c>
      <c r="AH227" s="259">
        <v>0</v>
      </c>
      <c r="AI227" s="259">
        <v>0</v>
      </c>
      <c r="AJ227" s="259">
        <v>0</v>
      </c>
      <c r="AK227" s="259">
        <v>0</v>
      </c>
      <c r="AL227" s="259">
        <v>0</v>
      </c>
      <c r="AM227" s="259">
        <v>0</v>
      </c>
      <c r="AN227" s="259">
        <v>0</v>
      </c>
      <c r="AO227" s="259">
        <v>0</v>
      </c>
      <c r="AP227" s="259"/>
      <c r="AQ227" s="259"/>
      <c r="AR227" s="259"/>
      <c r="AS227" s="259"/>
      <c r="AT227" s="259"/>
      <c r="AU227" s="259"/>
      <c r="AV227" s="259"/>
      <c r="AW227" s="259"/>
      <c r="AX227" s="259"/>
      <c r="AY227" s="259"/>
      <c r="AZ227" s="259"/>
      <c r="BA227" s="259"/>
      <c r="BB227" s="259"/>
      <c r="BC227" s="259"/>
      <c r="BD227" s="259"/>
      <c r="BE227" s="259"/>
      <c r="BF227" s="259"/>
      <c r="BG227" s="259"/>
      <c r="BH227" s="259"/>
      <c r="BI227" s="259"/>
      <c r="BJ227" s="259"/>
      <c r="BK227" s="259"/>
    </row>
    <row r="228" spans="1:63" s="133" customFormat="1" ht="12.75">
      <c r="A228" s="169"/>
      <c r="B228" s="307" t="str">
        <f>Servicio_internaColumna_título_total</f>
        <v>Total</v>
      </c>
      <c r="C228" s="308">
        <v>0</v>
      </c>
      <c r="D228" s="309">
        <v>0</v>
      </c>
      <c r="E228" s="309">
        <v>0</v>
      </c>
      <c r="F228" s="309">
        <v>0</v>
      </c>
      <c r="G228" s="309">
        <v>0</v>
      </c>
      <c r="H228" s="309">
        <v>0</v>
      </c>
      <c r="I228" s="309">
        <v>27135745.891594693</v>
      </c>
      <c r="J228" s="309">
        <v>25239155.571640171</v>
      </c>
      <c r="K228" s="309">
        <v>15345162.01064557</v>
      </c>
      <c r="L228" s="309">
        <v>20254353.622860342</v>
      </c>
      <c r="M228" s="309">
        <v>8566495.1591829639</v>
      </c>
      <c r="N228" s="309">
        <v>11168274.963506995</v>
      </c>
      <c r="O228" s="309">
        <v>4813750.5983574726</v>
      </c>
      <c r="P228" s="309">
        <v>8894000.9249612074</v>
      </c>
      <c r="Q228" s="309">
        <v>10303745.455003321</v>
      </c>
      <c r="R228" s="309">
        <v>722007.99325854331</v>
      </c>
      <c r="S228" s="309">
        <v>655114.55869827734</v>
      </c>
      <c r="T228" s="309">
        <v>656139.99475005642</v>
      </c>
      <c r="U228" s="309">
        <v>657196.1938834138</v>
      </c>
      <c r="V228" s="309">
        <v>6303132.7789907968</v>
      </c>
      <c r="W228" s="309">
        <v>38471.243651429293</v>
      </c>
      <c r="X228" s="309">
        <v>39625.380961907184</v>
      </c>
      <c r="Y228" s="309">
        <v>556794.66879172751</v>
      </c>
      <c r="Z228" s="309">
        <v>0</v>
      </c>
      <c r="AA228" s="309">
        <v>0</v>
      </c>
      <c r="AB228" s="309">
        <v>0</v>
      </c>
      <c r="AC228" s="309">
        <v>0</v>
      </c>
      <c r="AD228" s="309">
        <v>0</v>
      </c>
      <c r="AE228" s="309">
        <v>0</v>
      </c>
      <c r="AF228" s="309">
        <v>0</v>
      </c>
      <c r="AG228" s="309">
        <v>0</v>
      </c>
      <c r="AH228" s="309">
        <v>0</v>
      </c>
      <c r="AI228" s="309">
        <v>0</v>
      </c>
      <c r="AJ228" s="309">
        <v>0</v>
      </c>
      <c r="AK228" s="309">
        <v>0</v>
      </c>
      <c r="AL228" s="309">
        <v>0</v>
      </c>
      <c r="AM228" s="309">
        <v>0</v>
      </c>
      <c r="AN228" s="309">
        <v>0</v>
      </c>
      <c r="AO228" s="309">
        <v>0</v>
      </c>
      <c r="AP228" s="309"/>
      <c r="AQ228" s="309"/>
      <c r="AR228" s="309"/>
      <c r="AS228" s="309"/>
      <c r="AT228" s="309"/>
      <c r="AU228" s="309"/>
      <c r="AV228" s="309"/>
      <c r="AW228" s="309"/>
      <c r="AX228" s="309"/>
      <c r="AY228" s="309"/>
      <c r="AZ228" s="309"/>
      <c r="BA228" s="309"/>
      <c r="BB228" s="309"/>
      <c r="BC228" s="309"/>
      <c r="BD228" s="309"/>
      <c r="BE228" s="309"/>
      <c r="BF228" s="309"/>
      <c r="BG228" s="309"/>
      <c r="BH228" s="309"/>
      <c r="BI228" s="309"/>
      <c r="BJ228" s="309"/>
      <c r="BK228" s="309"/>
    </row>
    <row r="229" spans="1:63" s="80" customFormat="1" ht="12.75">
      <c r="A229" s="167"/>
      <c r="B229" s="210" t="str">
        <f>Servicio_internaColumna_título_amortizaciones</f>
        <v>Amortizaciones</v>
      </c>
      <c r="C229" s="254">
        <v>0</v>
      </c>
      <c r="D229" s="255">
        <v>0</v>
      </c>
      <c r="E229" s="255">
        <v>0</v>
      </c>
      <c r="F229" s="255">
        <v>0</v>
      </c>
      <c r="G229" s="255">
        <v>0</v>
      </c>
      <c r="H229" s="255">
        <v>0</v>
      </c>
      <c r="I229" s="255">
        <v>11561962.395988917</v>
      </c>
      <c r="J229" s="255">
        <v>19204911.376702033</v>
      </c>
      <c r="K229" s="255">
        <v>9806780.0267173667</v>
      </c>
      <c r="L229" s="255">
        <v>15766236.609346729</v>
      </c>
      <c r="M229" s="255">
        <v>4788264.5796294482</v>
      </c>
      <c r="N229" s="255">
        <v>7923299.091081135</v>
      </c>
      <c r="O229" s="255">
        <v>2439574.3218763731</v>
      </c>
      <c r="P229" s="255">
        <v>6713645.38370963</v>
      </c>
      <c r="Q229" s="255">
        <v>9189836.6132197045</v>
      </c>
      <c r="R229" s="255">
        <v>68579.044443454928</v>
      </c>
      <c r="S229" s="255">
        <v>0</v>
      </c>
      <c r="T229" s="255">
        <v>0</v>
      </c>
      <c r="U229" s="255">
        <v>0</v>
      </c>
      <c r="V229" s="255">
        <v>5906372.7999999998</v>
      </c>
      <c r="W229" s="255">
        <v>0</v>
      </c>
      <c r="X229" s="255">
        <v>0</v>
      </c>
      <c r="Y229" s="255">
        <v>615789.66940410004</v>
      </c>
      <c r="Z229" s="255">
        <v>0</v>
      </c>
      <c r="AA229" s="255">
        <v>0</v>
      </c>
      <c r="AB229" s="255">
        <v>0</v>
      </c>
      <c r="AC229" s="255">
        <v>0</v>
      </c>
      <c r="AD229" s="255">
        <v>0</v>
      </c>
      <c r="AE229" s="255">
        <v>0</v>
      </c>
      <c r="AF229" s="255">
        <v>0</v>
      </c>
      <c r="AG229" s="255">
        <v>0</v>
      </c>
      <c r="AH229" s="255">
        <v>0</v>
      </c>
      <c r="AI229" s="255">
        <v>0</v>
      </c>
      <c r="AJ229" s="255">
        <v>0</v>
      </c>
      <c r="AK229" s="255">
        <v>0</v>
      </c>
      <c r="AL229" s="255">
        <v>0</v>
      </c>
      <c r="AM229" s="255">
        <v>0</v>
      </c>
      <c r="AN229" s="255">
        <v>0</v>
      </c>
      <c r="AO229" s="255">
        <v>0</v>
      </c>
      <c r="AP229" s="255"/>
      <c r="AQ229" s="255"/>
      <c r="AR229" s="255"/>
      <c r="AS229" s="255"/>
      <c r="AT229" s="255"/>
      <c r="AU229" s="255"/>
      <c r="AV229" s="255"/>
      <c r="AW229" s="255"/>
      <c r="AX229" s="255"/>
      <c r="AY229" s="255"/>
      <c r="AZ229" s="255"/>
      <c r="BA229" s="255"/>
      <c r="BB229" s="255"/>
      <c r="BC229" s="255"/>
      <c r="BD229" s="255"/>
      <c r="BE229" s="255"/>
      <c r="BF229" s="255"/>
      <c r="BG229" s="255"/>
      <c r="BH229" s="255"/>
      <c r="BI229" s="255"/>
      <c r="BJ229" s="255"/>
      <c r="BK229" s="255"/>
    </row>
    <row r="230" spans="1:63" s="133" customFormat="1" ht="12.75">
      <c r="A230" s="168">
        <v>39172</v>
      </c>
      <c r="B230" s="213" t="str">
        <f>Servicio_internaColumna_título_intereses</f>
        <v>Intereses</v>
      </c>
      <c r="C230" s="256">
        <v>0</v>
      </c>
      <c r="D230" s="257">
        <v>0</v>
      </c>
      <c r="E230" s="257">
        <v>0</v>
      </c>
      <c r="F230" s="257">
        <v>0</v>
      </c>
      <c r="G230" s="257">
        <v>0</v>
      </c>
      <c r="H230" s="257">
        <v>0</v>
      </c>
      <c r="I230" s="257">
        <v>7499471.9715809692</v>
      </c>
      <c r="J230" s="257">
        <v>8421458.6010067165</v>
      </c>
      <c r="K230" s="257">
        <v>6298712.8177131936</v>
      </c>
      <c r="L230" s="257">
        <v>5233176.3928510956</v>
      </c>
      <c r="M230" s="257">
        <v>3818890.0301344385</v>
      </c>
      <c r="N230" s="257">
        <v>3373794.4907863513</v>
      </c>
      <c r="O230" s="257">
        <v>2472547.4353268929</v>
      </c>
      <c r="P230" s="257">
        <v>2237161.1342251729</v>
      </c>
      <c r="Q230" s="257">
        <v>1436162.1197953243</v>
      </c>
      <c r="R230" s="257">
        <v>688907.42859835643</v>
      </c>
      <c r="S230" s="257">
        <v>690083.6212172599</v>
      </c>
      <c r="T230" s="257">
        <v>691295.09964627645</v>
      </c>
      <c r="U230" s="258">
        <v>692542.92242913845</v>
      </c>
      <c r="V230" s="258">
        <v>693828.17989649065</v>
      </c>
      <c r="W230" s="258">
        <v>45450.987088897455</v>
      </c>
      <c r="X230" s="258">
        <v>46814.516738141989</v>
      </c>
      <c r="Y230" s="258">
        <v>48218.952277961187</v>
      </c>
      <c r="Z230" s="258">
        <v>0</v>
      </c>
      <c r="AA230" s="258">
        <v>0</v>
      </c>
      <c r="AB230" s="258">
        <v>0</v>
      </c>
      <c r="AC230" s="258">
        <v>0</v>
      </c>
      <c r="AD230" s="259">
        <v>0</v>
      </c>
      <c r="AE230" s="259">
        <v>0</v>
      </c>
      <c r="AF230" s="259">
        <v>0</v>
      </c>
      <c r="AG230" s="259">
        <v>0</v>
      </c>
      <c r="AH230" s="259">
        <v>0</v>
      </c>
      <c r="AI230" s="259">
        <v>0</v>
      </c>
      <c r="AJ230" s="259">
        <v>0</v>
      </c>
      <c r="AK230" s="259">
        <v>0</v>
      </c>
      <c r="AL230" s="259">
        <v>0</v>
      </c>
      <c r="AM230" s="259">
        <v>0</v>
      </c>
      <c r="AN230" s="259">
        <v>0</v>
      </c>
      <c r="AO230" s="259">
        <v>0</v>
      </c>
      <c r="AP230" s="259"/>
      <c r="AQ230" s="259"/>
      <c r="AR230" s="259"/>
      <c r="AS230" s="259"/>
      <c r="AT230" s="259"/>
      <c r="AU230" s="259"/>
      <c r="AV230" s="259"/>
      <c r="AW230" s="259"/>
      <c r="AX230" s="259"/>
      <c r="AY230" s="259"/>
      <c r="AZ230" s="259"/>
      <c r="BA230" s="259"/>
      <c r="BB230" s="259"/>
      <c r="BC230" s="259"/>
      <c r="BD230" s="259"/>
      <c r="BE230" s="259"/>
      <c r="BF230" s="259"/>
      <c r="BG230" s="259"/>
      <c r="BH230" s="259"/>
      <c r="BI230" s="259"/>
      <c r="BJ230" s="259"/>
      <c r="BK230" s="259"/>
    </row>
    <row r="231" spans="1:63" s="133" customFormat="1" ht="12.75">
      <c r="A231" s="169"/>
      <c r="B231" s="307" t="str">
        <f>Servicio_internaColumna_título_total</f>
        <v>Total</v>
      </c>
      <c r="C231" s="308">
        <v>0</v>
      </c>
      <c r="D231" s="309">
        <v>0</v>
      </c>
      <c r="E231" s="309">
        <v>0</v>
      </c>
      <c r="F231" s="309">
        <v>0</v>
      </c>
      <c r="G231" s="309">
        <v>0</v>
      </c>
      <c r="H231" s="309">
        <v>0</v>
      </c>
      <c r="I231" s="309">
        <v>19061434.367569886</v>
      </c>
      <c r="J231" s="309">
        <v>27626369.977708749</v>
      </c>
      <c r="K231" s="309">
        <v>16105492.84443056</v>
      </c>
      <c r="L231" s="309">
        <v>20999413.002197824</v>
      </c>
      <c r="M231" s="309">
        <v>8607154.6097638868</v>
      </c>
      <c r="N231" s="309">
        <v>11297093.581867486</v>
      </c>
      <c r="O231" s="309">
        <v>4912121.757203266</v>
      </c>
      <c r="P231" s="309">
        <v>8950806.5179348029</v>
      </c>
      <c r="Q231" s="309">
        <v>10625998.733015029</v>
      </c>
      <c r="R231" s="309">
        <v>757486.47304181138</v>
      </c>
      <c r="S231" s="309">
        <v>690083.6212172599</v>
      </c>
      <c r="T231" s="309">
        <v>691295.09964627645</v>
      </c>
      <c r="U231" s="309">
        <v>692542.92242913845</v>
      </c>
      <c r="V231" s="309">
        <v>6600200.9798964905</v>
      </c>
      <c r="W231" s="309">
        <v>45450.987088897455</v>
      </c>
      <c r="X231" s="309">
        <v>46814.516738141989</v>
      </c>
      <c r="Y231" s="309">
        <v>664008.62168206123</v>
      </c>
      <c r="Z231" s="309">
        <v>0</v>
      </c>
      <c r="AA231" s="309">
        <v>0</v>
      </c>
      <c r="AB231" s="309">
        <v>0</v>
      </c>
      <c r="AC231" s="309">
        <v>0</v>
      </c>
      <c r="AD231" s="309">
        <v>0</v>
      </c>
      <c r="AE231" s="309">
        <v>0</v>
      </c>
      <c r="AF231" s="309">
        <v>0</v>
      </c>
      <c r="AG231" s="309">
        <v>0</v>
      </c>
      <c r="AH231" s="309">
        <v>0</v>
      </c>
      <c r="AI231" s="309">
        <v>0</v>
      </c>
      <c r="AJ231" s="309">
        <v>0</v>
      </c>
      <c r="AK231" s="309">
        <v>0</v>
      </c>
      <c r="AL231" s="309">
        <v>0</v>
      </c>
      <c r="AM231" s="309">
        <v>0</v>
      </c>
      <c r="AN231" s="309">
        <v>0</v>
      </c>
      <c r="AO231" s="309">
        <v>0</v>
      </c>
      <c r="AP231" s="309"/>
      <c r="AQ231" s="309"/>
      <c r="AR231" s="309"/>
      <c r="AS231" s="309"/>
      <c r="AT231" s="309"/>
      <c r="AU231" s="309"/>
      <c r="AV231" s="309"/>
      <c r="AW231" s="309"/>
      <c r="AX231" s="309"/>
      <c r="AY231" s="309"/>
      <c r="AZ231" s="309"/>
      <c r="BA231" s="309"/>
      <c r="BB231" s="309"/>
      <c r="BC231" s="309"/>
      <c r="BD231" s="309"/>
      <c r="BE231" s="309"/>
      <c r="BF231" s="309"/>
      <c r="BG231" s="309"/>
      <c r="BH231" s="309"/>
      <c r="BI231" s="309"/>
      <c r="BJ231" s="309"/>
      <c r="BK231" s="309"/>
    </row>
    <row r="232" spans="1:63" s="80" customFormat="1" ht="12.75">
      <c r="A232" s="167"/>
      <c r="B232" s="210" t="str">
        <f>Servicio_internaColumna_título_amortizaciones</f>
        <v>Amortizaciones</v>
      </c>
      <c r="C232" s="254">
        <v>0</v>
      </c>
      <c r="D232" s="255">
        <v>0</v>
      </c>
      <c r="E232" s="255">
        <v>0</v>
      </c>
      <c r="F232" s="255">
        <v>0</v>
      </c>
      <c r="G232" s="255">
        <v>0</v>
      </c>
      <c r="H232" s="255">
        <v>0</v>
      </c>
      <c r="I232" s="255">
        <v>11567875.537505537</v>
      </c>
      <c r="J232" s="255">
        <v>19465393.943937071</v>
      </c>
      <c r="K232" s="255">
        <v>10323813.53959026</v>
      </c>
      <c r="L232" s="255">
        <v>16442774.680326916</v>
      </c>
      <c r="M232" s="255">
        <v>4802471.7420463236</v>
      </c>
      <c r="N232" s="255">
        <v>7962083.8673997652</v>
      </c>
      <c r="O232" s="255">
        <v>2446601.8364225114</v>
      </c>
      <c r="P232" s="255">
        <v>6735988.9500827575</v>
      </c>
      <c r="Q232" s="255">
        <v>9391490.9785753675</v>
      </c>
      <c r="R232" s="255">
        <v>69382.07696144178</v>
      </c>
      <c r="S232" s="255">
        <v>0</v>
      </c>
      <c r="T232" s="255">
        <v>0</v>
      </c>
      <c r="U232" s="255">
        <v>0</v>
      </c>
      <c r="V232" s="255">
        <v>6118151.7000000002</v>
      </c>
      <c r="W232" s="255">
        <v>0</v>
      </c>
      <c r="X232" s="255">
        <v>0</v>
      </c>
      <c r="Y232" s="255">
        <v>841549.78044079989</v>
      </c>
      <c r="Z232" s="255">
        <v>0</v>
      </c>
      <c r="AA232" s="255">
        <v>0</v>
      </c>
      <c r="AB232" s="255">
        <v>0</v>
      </c>
      <c r="AC232" s="255">
        <v>0</v>
      </c>
      <c r="AD232" s="255">
        <v>0</v>
      </c>
      <c r="AE232" s="255">
        <v>0</v>
      </c>
      <c r="AF232" s="255">
        <v>0</v>
      </c>
      <c r="AG232" s="255">
        <v>0</v>
      </c>
      <c r="AH232" s="255">
        <v>0</v>
      </c>
      <c r="AI232" s="255">
        <v>0</v>
      </c>
      <c r="AJ232" s="255">
        <v>0</v>
      </c>
      <c r="AK232" s="255">
        <v>0</v>
      </c>
      <c r="AL232" s="255">
        <v>0</v>
      </c>
      <c r="AM232" s="255">
        <v>0</v>
      </c>
      <c r="AN232" s="255">
        <v>0</v>
      </c>
      <c r="AO232" s="255">
        <v>0</v>
      </c>
      <c r="AP232" s="255"/>
      <c r="AQ232" s="255"/>
      <c r="AR232" s="255"/>
      <c r="AS232" s="255"/>
      <c r="AT232" s="255"/>
      <c r="AU232" s="255"/>
      <c r="AV232" s="255"/>
      <c r="AW232" s="255"/>
      <c r="AX232" s="255"/>
      <c r="AY232" s="255"/>
      <c r="AZ232" s="255"/>
      <c r="BA232" s="255"/>
      <c r="BB232" s="255"/>
      <c r="BC232" s="255"/>
      <c r="BD232" s="255"/>
      <c r="BE232" s="255"/>
      <c r="BF232" s="255"/>
      <c r="BG232" s="255"/>
      <c r="BH232" s="255"/>
      <c r="BI232" s="255"/>
      <c r="BJ232" s="255"/>
      <c r="BK232" s="255"/>
    </row>
    <row r="233" spans="1:63" s="133" customFormat="1" ht="12.75">
      <c r="A233" s="168">
        <v>39202</v>
      </c>
      <c r="B233" s="213" t="str">
        <f>Servicio_internaColumna_título_intereses</f>
        <v>Intereses</v>
      </c>
      <c r="C233" s="256">
        <v>0</v>
      </c>
      <c r="D233" s="257">
        <v>0</v>
      </c>
      <c r="E233" s="257">
        <v>0</v>
      </c>
      <c r="F233" s="257">
        <v>0</v>
      </c>
      <c r="G233" s="257">
        <v>0</v>
      </c>
      <c r="H233" s="257">
        <v>0</v>
      </c>
      <c r="I233" s="257">
        <v>7628709.3837453946</v>
      </c>
      <c r="J233" s="257">
        <v>8559668.5869833864</v>
      </c>
      <c r="K233" s="257">
        <v>6435670.0534477755</v>
      </c>
      <c r="L233" s="257">
        <v>5327625.9922476634</v>
      </c>
      <c r="M233" s="257">
        <v>3875644.8316796767</v>
      </c>
      <c r="N233" s="257">
        <v>3431588.9051283617</v>
      </c>
      <c r="O233" s="257">
        <v>2530609.0829046322</v>
      </c>
      <c r="P233" s="257">
        <v>2284665.5281853853</v>
      </c>
      <c r="Q233" s="257">
        <v>1481977.0520846136</v>
      </c>
      <c r="R233" s="257">
        <v>725956.78010954242</v>
      </c>
      <c r="S233" s="257">
        <v>727545.58290411578</v>
      </c>
      <c r="T233" s="257">
        <v>729182.04982513865</v>
      </c>
      <c r="U233" s="258">
        <v>730867.61075510911</v>
      </c>
      <c r="V233" s="258">
        <v>732603.73851433489</v>
      </c>
      <c r="W233" s="258">
        <v>61395.263107735242</v>
      </c>
      <c r="X233" s="258">
        <v>63237.121050376394</v>
      </c>
      <c r="Y233" s="258">
        <v>65134.234732779092</v>
      </c>
      <c r="Z233" s="258">
        <v>0</v>
      </c>
      <c r="AA233" s="258">
        <v>0</v>
      </c>
      <c r="AB233" s="258">
        <v>0</v>
      </c>
      <c r="AC233" s="258">
        <v>0</v>
      </c>
      <c r="AD233" s="259">
        <v>0</v>
      </c>
      <c r="AE233" s="259">
        <v>0</v>
      </c>
      <c r="AF233" s="259">
        <v>0</v>
      </c>
      <c r="AG233" s="259">
        <v>0</v>
      </c>
      <c r="AH233" s="259">
        <v>0</v>
      </c>
      <c r="AI233" s="259">
        <v>0</v>
      </c>
      <c r="AJ233" s="259">
        <v>0</v>
      </c>
      <c r="AK233" s="259">
        <v>0</v>
      </c>
      <c r="AL233" s="259">
        <v>0</v>
      </c>
      <c r="AM233" s="259">
        <v>0</v>
      </c>
      <c r="AN233" s="259">
        <v>0</v>
      </c>
      <c r="AO233" s="259">
        <v>0</v>
      </c>
      <c r="AP233" s="259"/>
      <c r="AQ233" s="259"/>
      <c r="AR233" s="259"/>
      <c r="AS233" s="259"/>
      <c r="AT233" s="259"/>
      <c r="AU233" s="259"/>
      <c r="AV233" s="259"/>
      <c r="AW233" s="259"/>
      <c r="AX233" s="259"/>
      <c r="AY233" s="259"/>
      <c r="AZ233" s="259"/>
      <c r="BA233" s="259"/>
      <c r="BB233" s="259"/>
      <c r="BC233" s="259"/>
      <c r="BD233" s="259"/>
      <c r="BE233" s="259"/>
      <c r="BF233" s="259"/>
      <c r="BG233" s="259"/>
      <c r="BH233" s="259"/>
      <c r="BI233" s="259"/>
      <c r="BJ233" s="259"/>
      <c r="BK233" s="259"/>
    </row>
    <row r="234" spans="1:63" s="133" customFormat="1" ht="12.75">
      <c r="A234" s="169"/>
      <c r="B234" s="307" t="str">
        <f>Servicio_internaColumna_título_total</f>
        <v>Total</v>
      </c>
      <c r="C234" s="308">
        <v>0</v>
      </c>
      <c r="D234" s="309">
        <v>0</v>
      </c>
      <c r="E234" s="309">
        <v>0</v>
      </c>
      <c r="F234" s="309">
        <v>0</v>
      </c>
      <c r="G234" s="309">
        <v>0</v>
      </c>
      <c r="H234" s="309">
        <v>0</v>
      </c>
      <c r="I234" s="309">
        <v>19196584.921250932</v>
      </c>
      <c r="J234" s="309">
        <v>28025062.530920457</v>
      </c>
      <c r="K234" s="309">
        <v>16759483.593038036</v>
      </c>
      <c r="L234" s="309">
        <v>21770400.67257458</v>
      </c>
      <c r="M234" s="309">
        <v>8678116.5737260003</v>
      </c>
      <c r="N234" s="309">
        <v>11393672.772528127</v>
      </c>
      <c r="O234" s="309">
        <v>4977210.9193271436</v>
      </c>
      <c r="P234" s="309">
        <v>9020654.4782681428</v>
      </c>
      <c r="Q234" s="309">
        <v>10873468.030659981</v>
      </c>
      <c r="R234" s="309">
        <v>795338.8570709842</v>
      </c>
      <c r="S234" s="309">
        <v>727545.58290411578</v>
      </c>
      <c r="T234" s="309">
        <v>729182.04982513865</v>
      </c>
      <c r="U234" s="309">
        <v>730867.61075510911</v>
      </c>
      <c r="V234" s="309">
        <v>6850755.4385143351</v>
      </c>
      <c r="W234" s="309">
        <v>61395.263107735242</v>
      </c>
      <c r="X234" s="309">
        <v>63237.121050376394</v>
      </c>
      <c r="Y234" s="309">
        <v>906684.01517357898</v>
      </c>
      <c r="Z234" s="309">
        <v>0</v>
      </c>
      <c r="AA234" s="309">
        <v>0</v>
      </c>
      <c r="AB234" s="309">
        <v>0</v>
      </c>
      <c r="AC234" s="309">
        <v>0</v>
      </c>
      <c r="AD234" s="309">
        <v>0</v>
      </c>
      <c r="AE234" s="309">
        <v>0</v>
      </c>
      <c r="AF234" s="309">
        <v>0</v>
      </c>
      <c r="AG234" s="309">
        <v>0</v>
      </c>
      <c r="AH234" s="309">
        <v>0</v>
      </c>
      <c r="AI234" s="309">
        <v>0</v>
      </c>
      <c r="AJ234" s="309">
        <v>0</v>
      </c>
      <c r="AK234" s="309">
        <v>0</v>
      </c>
      <c r="AL234" s="309">
        <v>0</v>
      </c>
      <c r="AM234" s="309">
        <v>0</v>
      </c>
      <c r="AN234" s="309">
        <v>0</v>
      </c>
      <c r="AO234" s="309">
        <v>0</v>
      </c>
      <c r="AP234" s="309"/>
      <c r="AQ234" s="309"/>
      <c r="AR234" s="309"/>
      <c r="AS234" s="309"/>
      <c r="AT234" s="309"/>
      <c r="AU234" s="309"/>
      <c r="AV234" s="309"/>
      <c r="AW234" s="309"/>
      <c r="AX234" s="309"/>
      <c r="AY234" s="309"/>
      <c r="AZ234" s="309"/>
      <c r="BA234" s="309"/>
      <c r="BB234" s="309"/>
      <c r="BC234" s="309"/>
      <c r="BD234" s="309"/>
      <c r="BE234" s="309"/>
      <c r="BF234" s="309"/>
      <c r="BG234" s="309"/>
      <c r="BH234" s="309"/>
      <c r="BI234" s="309"/>
      <c r="BJ234" s="309"/>
      <c r="BK234" s="309"/>
    </row>
    <row r="235" spans="1:63" s="80" customFormat="1" ht="12.75">
      <c r="A235" s="167"/>
      <c r="B235" s="210" t="str">
        <f>Servicio_internaColumna_título_amortizaciones</f>
        <v>Amortizaciones</v>
      </c>
      <c r="C235" s="254">
        <v>0</v>
      </c>
      <c r="D235" s="255">
        <v>0</v>
      </c>
      <c r="E235" s="255">
        <v>0</v>
      </c>
      <c r="F235" s="255">
        <v>0</v>
      </c>
      <c r="G235" s="255">
        <v>0</v>
      </c>
      <c r="H235" s="255">
        <v>0</v>
      </c>
      <c r="I235" s="255">
        <v>11706679.709244436</v>
      </c>
      <c r="J235" s="255">
        <v>18816982.005544882</v>
      </c>
      <c r="K235" s="255">
        <v>10763710.113386007</v>
      </c>
      <c r="L235" s="255">
        <v>18039498.734434318</v>
      </c>
      <c r="M235" s="255">
        <v>4625305.4819062511</v>
      </c>
      <c r="N235" s="255">
        <v>6790932.0271125566</v>
      </c>
      <c r="O235" s="255">
        <v>2453095.494347129</v>
      </c>
      <c r="P235" s="255">
        <v>6742774.6504410757</v>
      </c>
      <c r="Q235" s="255">
        <v>10510604.470430382</v>
      </c>
      <c r="R235" s="255">
        <v>70124.10580249432</v>
      </c>
      <c r="S235" s="255">
        <v>0</v>
      </c>
      <c r="T235" s="255">
        <v>0</v>
      </c>
      <c r="U235" s="255">
        <v>0</v>
      </c>
      <c r="V235" s="255">
        <v>6927840.5</v>
      </c>
      <c r="W235" s="255">
        <v>0</v>
      </c>
      <c r="X235" s="255">
        <v>0</v>
      </c>
      <c r="Y235" s="255">
        <v>1296276.4500704999</v>
      </c>
      <c r="Z235" s="255">
        <v>0</v>
      </c>
      <c r="AA235" s="255">
        <v>0</v>
      </c>
      <c r="AB235" s="255">
        <v>0</v>
      </c>
      <c r="AC235" s="255">
        <v>0</v>
      </c>
      <c r="AD235" s="255">
        <v>0</v>
      </c>
      <c r="AE235" s="255">
        <v>0</v>
      </c>
      <c r="AF235" s="255">
        <v>0</v>
      </c>
      <c r="AG235" s="255">
        <v>0</v>
      </c>
      <c r="AH235" s="255">
        <v>0</v>
      </c>
      <c r="AI235" s="255">
        <v>0</v>
      </c>
      <c r="AJ235" s="255">
        <v>0</v>
      </c>
      <c r="AK235" s="255">
        <v>0</v>
      </c>
      <c r="AL235" s="255">
        <v>0</v>
      </c>
      <c r="AM235" s="255">
        <v>0</v>
      </c>
      <c r="AN235" s="255">
        <v>0</v>
      </c>
      <c r="AO235" s="255">
        <v>0</v>
      </c>
      <c r="AP235" s="255"/>
      <c r="AQ235" s="255"/>
      <c r="AR235" s="255"/>
      <c r="AS235" s="255"/>
      <c r="AT235" s="255"/>
      <c r="AU235" s="255"/>
      <c r="AV235" s="255"/>
      <c r="AW235" s="255"/>
      <c r="AX235" s="255"/>
      <c r="AY235" s="255"/>
      <c r="AZ235" s="255"/>
      <c r="BA235" s="255"/>
      <c r="BB235" s="255"/>
      <c r="BC235" s="255"/>
      <c r="BD235" s="255"/>
      <c r="BE235" s="255"/>
      <c r="BF235" s="255"/>
      <c r="BG235" s="255"/>
      <c r="BH235" s="255"/>
      <c r="BI235" s="255"/>
      <c r="BJ235" s="255"/>
      <c r="BK235" s="255"/>
    </row>
    <row r="236" spans="1:63" s="133" customFormat="1" ht="12.75">
      <c r="A236" s="168">
        <v>39203</v>
      </c>
      <c r="B236" s="213" t="str">
        <f>Servicio_internaColumna_título_intereses</f>
        <v>Intereses</v>
      </c>
      <c r="C236" s="256">
        <v>0</v>
      </c>
      <c r="D236" s="257">
        <v>0</v>
      </c>
      <c r="E236" s="257">
        <v>0</v>
      </c>
      <c r="F236" s="257">
        <v>0</v>
      </c>
      <c r="G236" s="257">
        <v>0</v>
      </c>
      <c r="H236" s="257">
        <v>0</v>
      </c>
      <c r="I236" s="257">
        <v>6305036.1065077316</v>
      </c>
      <c r="J236" s="257">
        <v>8626879.4302382618</v>
      </c>
      <c r="K236" s="257">
        <v>6615992.7654889915</v>
      </c>
      <c r="L236" s="257">
        <v>5475498.5648782738</v>
      </c>
      <c r="M236" s="257">
        <v>3907001.0335208243</v>
      </c>
      <c r="N236" s="257">
        <v>3479033.3625397552</v>
      </c>
      <c r="O236" s="257">
        <v>2732314.4563344233</v>
      </c>
      <c r="P236" s="257">
        <v>2483189.9727250421</v>
      </c>
      <c r="Q236" s="257">
        <v>1681286.3033396937</v>
      </c>
      <c r="R236" s="257">
        <v>842776.01677149464</v>
      </c>
      <c r="S236" s="257">
        <v>845197.42333633523</v>
      </c>
      <c r="T236" s="257">
        <v>847691.47208947188</v>
      </c>
      <c r="U236" s="258">
        <v>850260.34267106769</v>
      </c>
      <c r="V236" s="258">
        <v>852906.27937217895</v>
      </c>
      <c r="W236" s="258">
        <v>93569.139176452649</v>
      </c>
      <c r="X236" s="258">
        <v>96376.213427047915</v>
      </c>
      <c r="Y236" s="258">
        <v>99267.499907420017</v>
      </c>
      <c r="Z236" s="258">
        <v>0</v>
      </c>
      <c r="AA236" s="258">
        <v>0</v>
      </c>
      <c r="AB236" s="258">
        <v>0</v>
      </c>
      <c r="AC236" s="258">
        <v>0</v>
      </c>
      <c r="AD236" s="259">
        <v>0</v>
      </c>
      <c r="AE236" s="259">
        <v>0</v>
      </c>
      <c r="AF236" s="259">
        <v>0</v>
      </c>
      <c r="AG236" s="259">
        <v>0</v>
      </c>
      <c r="AH236" s="259">
        <v>0</v>
      </c>
      <c r="AI236" s="259">
        <v>0</v>
      </c>
      <c r="AJ236" s="259">
        <v>0</v>
      </c>
      <c r="AK236" s="259">
        <v>0</v>
      </c>
      <c r="AL236" s="259">
        <v>0</v>
      </c>
      <c r="AM236" s="259">
        <v>0</v>
      </c>
      <c r="AN236" s="259">
        <v>0</v>
      </c>
      <c r="AO236" s="259">
        <v>0</v>
      </c>
      <c r="AP236" s="259"/>
      <c r="AQ236" s="259"/>
      <c r="AR236" s="259"/>
      <c r="AS236" s="259"/>
      <c r="AT236" s="259"/>
      <c r="AU236" s="259"/>
      <c r="AV236" s="259"/>
      <c r="AW236" s="259"/>
      <c r="AX236" s="259"/>
      <c r="AY236" s="259"/>
      <c r="AZ236" s="259"/>
      <c r="BA236" s="259"/>
      <c r="BB236" s="259"/>
      <c r="BC236" s="259"/>
      <c r="BD236" s="259"/>
      <c r="BE236" s="259"/>
      <c r="BF236" s="259"/>
      <c r="BG236" s="259"/>
      <c r="BH236" s="259"/>
      <c r="BI236" s="259"/>
      <c r="BJ236" s="259"/>
      <c r="BK236" s="259"/>
    </row>
    <row r="237" spans="1:63" s="133" customFormat="1" ht="12.75">
      <c r="A237" s="169"/>
      <c r="B237" s="307" t="str">
        <f>Servicio_internaColumna_título_total</f>
        <v>Total</v>
      </c>
      <c r="C237" s="308">
        <v>0</v>
      </c>
      <c r="D237" s="309">
        <v>0</v>
      </c>
      <c r="E237" s="309">
        <v>0</v>
      </c>
      <c r="F237" s="309">
        <v>0</v>
      </c>
      <c r="G237" s="309">
        <v>0</v>
      </c>
      <c r="H237" s="309">
        <v>0</v>
      </c>
      <c r="I237" s="309">
        <v>18011715.815752167</v>
      </c>
      <c r="J237" s="309">
        <v>27443861.435783144</v>
      </c>
      <c r="K237" s="309">
        <v>17379702.878874999</v>
      </c>
      <c r="L237" s="309">
        <v>23514997.299312592</v>
      </c>
      <c r="M237" s="309">
        <v>8532306.5154270753</v>
      </c>
      <c r="N237" s="309">
        <v>10269965.389652312</v>
      </c>
      <c r="O237" s="309">
        <v>5185409.9506815523</v>
      </c>
      <c r="P237" s="309">
        <v>9225964.6231661178</v>
      </c>
      <c r="Q237" s="309">
        <v>12191890.773770075</v>
      </c>
      <c r="R237" s="309">
        <v>912900.12257398898</v>
      </c>
      <c r="S237" s="309">
        <v>845197.42333633523</v>
      </c>
      <c r="T237" s="309">
        <v>847691.47208947188</v>
      </c>
      <c r="U237" s="309">
        <v>850260.34267106769</v>
      </c>
      <c r="V237" s="309">
        <v>7780746.7793721789</v>
      </c>
      <c r="W237" s="309">
        <v>93569.139176452649</v>
      </c>
      <c r="X237" s="309">
        <v>96376.213427047915</v>
      </c>
      <c r="Y237" s="309">
        <v>1395543.9499779199</v>
      </c>
      <c r="Z237" s="309">
        <v>0</v>
      </c>
      <c r="AA237" s="309">
        <v>0</v>
      </c>
      <c r="AB237" s="309">
        <v>0</v>
      </c>
      <c r="AC237" s="309">
        <v>0</v>
      </c>
      <c r="AD237" s="309">
        <v>0</v>
      </c>
      <c r="AE237" s="309">
        <v>0</v>
      </c>
      <c r="AF237" s="309">
        <v>0</v>
      </c>
      <c r="AG237" s="309">
        <v>0</v>
      </c>
      <c r="AH237" s="309">
        <v>0</v>
      </c>
      <c r="AI237" s="309">
        <v>0</v>
      </c>
      <c r="AJ237" s="309">
        <v>0</v>
      </c>
      <c r="AK237" s="309">
        <v>0</v>
      </c>
      <c r="AL237" s="309">
        <v>0</v>
      </c>
      <c r="AM237" s="309">
        <v>0</v>
      </c>
      <c r="AN237" s="309">
        <v>0</v>
      </c>
      <c r="AO237" s="309">
        <v>0</v>
      </c>
      <c r="AP237" s="309"/>
      <c r="AQ237" s="309"/>
      <c r="AR237" s="309"/>
      <c r="AS237" s="309"/>
      <c r="AT237" s="309"/>
      <c r="AU237" s="309"/>
      <c r="AV237" s="309"/>
      <c r="AW237" s="309"/>
      <c r="AX237" s="309"/>
      <c r="AY237" s="309"/>
      <c r="AZ237" s="309"/>
      <c r="BA237" s="309"/>
      <c r="BB237" s="309"/>
      <c r="BC237" s="309"/>
      <c r="BD237" s="309"/>
      <c r="BE237" s="309"/>
      <c r="BF237" s="309"/>
      <c r="BG237" s="309"/>
      <c r="BH237" s="309"/>
      <c r="BI237" s="309"/>
      <c r="BJ237" s="309"/>
      <c r="BK237" s="309"/>
    </row>
    <row r="238" spans="1:63" s="80" customFormat="1" ht="12.75">
      <c r="A238" s="167"/>
      <c r="B238" s="210" t="str">
        <f>Servicio_internaColumna_título_amortizaciones</f>
        <v>Amortizaciones</v>
      </c>
      <c r="C238" s="254">
        <v>0</v>
      </c>
      <c r="D238" s="255">
        <v>0</v>
      </c>
      <c r="E238" s="255">
        <v>0</v>
      </c>
      <c r="F238" s="255">
        <v>0</v>
      </c>
      <c r="G238" s="255">
        <v>0</v>
      </c>
      <c r="H238" s="255">
        <v>0</v>
      </c>
      <c r="I238" s="255">
        <v>11495474.548156902</v>
      </c>
      <c r="J238" s="255">
        <v>19009691.987936817</v>
      </c>
      <c r="K238" s="255">
        <v>11360767.949023362</v>
      </c>
      <c r="L238" s="255">
        <v>18616850.452797338</v>
      </c>
      <c r="M238" s="255">
        <v>4631496.2487344788</v>
      </c>
      <c r="N238" s="255">
        <v>6808211.6907670954</v>
      </c>
      <c r="O238" s="255">
        <v>2456685.7538639586</v>
      </c>
      <c r="P238" s="255">
        <v>6746526.3764439877</v>
      </c>
      <c r="Q238" s="255">
        <v>10776597.112069177</v>
      </c>
      <c r="R238" s="255">
        <v>70534.36395579981</v>
      </c>
      <c r="S238" s="255">
        <v>0</v>
      </c>
      <c r="T238" s="255">
        <v>0</v>
      </c>
      <c r="U238" s="255">
        <v>0</v>
      </c>
      <c r="V238" s="255">
        <v>7033785.9000000004</v>
      </c>
      <c r="W238" s="255">
        <v>0</v>
      </c>
      <c r="X238" s="255">
        <v>0</v>
      </c>
      <c r="Y238" s="255">
        <v>1363396.9705803001</v>
      </c>
      <c r="Z238" s="255">
        <v>0</v>
      </c>
      <c r="AA238" s="255">
        <v>0</v>
      </c>
      <c r="AB238" s="255">
        <v>0</v>
      </c>
      <c r="AC238" s="255">
        <v>0</v>
      </c>
      <c r="AD238" s="255">
        <v>0</v>
      </c>
      <c r="AE238" s="255">
        <v>0</v>
      </c>
      <c r="AF238" s="255">
        <v>0</v>
      </c>
      <c r="AG238" s="255">
        <v>0</v>
      </c>
      <c r="AH238" s="255">
        <v>0</v>
      </c>
      <c r="AI238" s="255">
        <v>0</v>
      </c>
      <c r="AJ238" s="255">
        <v>0</v>
      </c>
      <c r="AK238" s="255">
        <v>0</v>
      </c>
      <c r="AL238" s="255">
        <v>0</v>
      </c>
      <c r="AM238" s="255">
        <v>0</v>
      </c>
      <c r="AN238" s="255">
        <v>0</v>
      </c>
      <c r="AO238" s="255">
        <v>0</v>
      </c>
      <c r="AP238" s="255"/>
      <c r="AQ238" s="255"/>
      <c r="AR238" s="255"/>
      <c r="AS238" s="255"/>
      <c r="AT238" s="255"/>
      <c r="AU238" s="255"/>
      <c r="AV238" s="255"/>
      <c r="AW238" s="255"/>
      <c r="AX238" s="255"/>
      <c r="AY238" s="255"/>
      <c r="AZ238" s="255"/>
      <c r="BA238" s="255"/>
      <c r="BB238" s="255"/>
      <c r="BC238" s="255"/>
      <c r="BD238" s="255"/>
      <c r="BE238" s="255"/>
      <c r="BF238" s="255"/>
      <c r="BG238" s="255"/>
      <c r="BH238" s="255"/>
      <c r="BI238" s="255"/>
      <c r="BJ238" s="255"/>
      <c r="BK238" s="255"/>
    </row>
    <row r="239" spans="1:63" s="133" customFormat="1" ht="12.75">
      <c r="A239" s="168">
        <v>39263</v>
      </c>
      <c r="B239" s="213" t="str">
        <f>Servicio_internaColumna_título_intereses</f>
        <v>Intereses</v>
      </c>
      <c r="C239" s="256">
        <v>0</v>
      </c>
      <c r="D239" s="257">
        <v>0</v>
      </c>
      <c r="E239" s="257">
        <v>0</v>
      </c>
      <c r="F239" s="257">
        <v>0</v>
      </c>
      <c r="G239" s="257">
        <v>0</v>
      </c>
      <c r="H239" s="257">
        <v>0</v>
      </c>
      <c r="I239" s="257">
        <v>5706212.5716796368</v>
      </c>
      <c r="J239" s="257">
        <v>8758213.323696211</v>
      </c>
      <c r="K239" s="257">
        <v>6751500.424128633</v>
      </c>
      <c r="L239" s="257">
        <v>5558751.7188333198</v>
      </c>
      <c r="M239" s="257">
        <v>3947708.1634748569</v>
      </c>
      <c r="N239" s="257">
        <v>3518644.1281141741</v>
      </c>
      <c r="O239" s="257">
        <v>2771223.1360552609</v>
      </c>
      <c r="P239" s="257">
        <v>2579065.0626919679</v>
      </c>
      <c r="Q239" s="257">
        <v>1777732.1275039036</v>
      </c>
      <c r="R239" s="257">
        <v>858630.52126766637</v>
      </c>
      <c r="S239" s="257">
        <v>861193.32022946712</v>
      </c>
      <c r="T239" s="257">
        <v>863833.46724846517</v>
      </c>
      <c r="U239" s="258">
        <v>866553.29677306674</v>
      </c>
      <c r="V239" s="258">
        <v>869355.21370786801</v>
      </c>
      <c r="W239" s="258">
        <v>98525.246540096923</v>
      </c>
      <c r="X239" s="258">
        <v>101498.84553024069</v>
      </c>
      <c r="Y239" s="258">
        <v>104562.19096877915</v>
      </c>
      <c r="Z239" s="258">
        <v>0</v>
      </c>
      <c r="AA239" s="258">
        <v>0</v>
      </c>
      <c r="AB239" s="258">
        <v>0</v>
      </c>
      <c r="AC239" s="258">
        <v>0</v>
      </c>
      <c r="AD239" s="259">
        <v>0</v>
      </c>
      <c r="AE239" s="259">
        <v>0</v>
      </c>
      <c r="AF239" s="259">
        <v>0</v>
      </c>
      <c r="AG239" s="259">
        <v>0</v>
      </c>
      <c r="AH239" s="259">
        <v>0</v>
      </c>
      <c r="AI239" s="259">
        <v>0</v>
      </c>
      <c r="AJ239" s="259">
        <v>0</v>
      </c>
      <c r="AK239" s="259">
        <v>0</v>
      </c>
      <c r="AL239" s="259">
        <v>0</v>
      </c>
      <c r="AM239" s="259">
        <v>0</v>
      </c>
      <c r="AN239" s="259">
        <v>0</v>
      </c>
      <c r="AO239" s="259">
        <v>0</v>
      </c>
      <c r="AP239" s="259"/>
      <c r="AQ239" s="259"/>
      <c r="AR239" s="259"/>
      <c r="AS239" s="259"/>
      <c r="AT239" s="259"/>
      <c r="AU239" s="259"/>
      <c r="AV239" s="259"/>
      <c r="AW239" s="259"/>
      <c r="AX239" s="259"/>
      <c r="AY239" s="259"/>
      <c r="AZ239" s="259"/>
      <c r="BA239" s="259"/>
      <c r="BB239" s="259"/>
      <c r="BC239" s="259"/>
      <c r="BD239" s="259"/>
      <c r="BE239" s="259"/>
      <c r="BF239" s="259"/>
      <c r="BG239" s="259"/>
      <c r="BH239" s="259"/>
      <c r="BI239" s="259"/>
      <c r="BJ239" s="259"/>
      <c r="BK239" s="259"/>
    </row>
    <row r="240" spans="1:63" s="133" customFormat="1" ht="12.75">
      <c r="A240" s="169"/>
      <c r="B240" s="307" t="str">
        <f>Servicio_internaColumna_título_total</f>
        <v>Total</v>
      </c>
      <c r="C240" s="308">
        <v>0</v>
      </c>
      <c r="D240" s="309">
        <v>0</v>
      </c>
      <c r="E240" s="309">
        <v>0</v>
      </c>
      <c r="F240" s="309">
        <v>0</v>
      </c>
      <c r="G240" s="309">
        <v>0</v>
      </c>
      <c r="H240" s="309">
        <v>0</v>
      </c>
      <c r="I240" s="309">
        <v>17201687.119836539</v>
      </c>
      <c r="J240" s="309">
        <v>27767905.311633028</v>
      </c>
      <c r="K240" s="309">
        <v>18112268.373151995</v>
      </c>
      <c r="L240" s="309">
        <v>24175602.171630658</v>
      </c>
      <c r="M240" s="309">
        <v>8579204.4122093357</v>
      </c>
      <c r="N240" s="309">
        <v>10326855.81888127</v>
      </c>
      <c r="O240" s="309">
        <v>5227908.8899192195</v>
      </c>
      <c r="P240" s="309">
        <v>9325591.4391359556</v>
      </c>
      <c r="Q240" s="309">
        <v>12554329.23957308</v>
      </c>
      <c r="R240" s="309">
        <v>929164.8852234662</v>
      </c>
      <c r="S240" s="309">
        <v>861193.32022946712</v>
      </c>
      <c r="T240" s="309">
        <v>863833.46724846517</v>
      </c>
      <c r="U240" s="309">
        <v>866553.29677306674</v>
      </c>
      <c r="V240" s="309">
        <v>7903141.1137078684</v>
      </c>
      <c r="W240" s="309">
        <v>98525.246540096923</v>
      </c>
      <c r="X240" s="309">
        <v>101498.84553024069</v>
      </c>
      <c r="Y240" s="309">
        <v>1467959.1615490792</v>
      </c>
      <c r="Z240" s="309">
        <v>0</v>
      </c>
      <c r="AA240" s="309">
        <v>0</v>
      </c>
      <c r="AB240" s="309">
        <v>0</v>
      </c>
      <c r="AC240" s="309">
        <v>0</v>
      </c>
      <c r="AD240" s="309">
        <v>0</v>
      </c>
      <c r="AE240" s="309">
        <v>0</v>
      </c>
      <c r="AF240" s="309">
        <v>0</v>
      </c>
      <c r="AG240" s="309">
        <v>0</v>
      </c>
      <c r="AH240" s="309">
        <v>0</v>
      </c>
      <c r="AI240" s="309">
        <v>0</v>
      </c>
      <c r="AJ240" s="309">
        <v>0</v>
      </c>
      <c r="AK240" s="309">
        <v>0</v>
      </c>
      <c r="AL240" s="309">
        <v>0</v>
      </c>
      <c r="AM240" s="309">
        <v>0</v>
      </c>
      <c r="AN240" s="309">
        <v>0</v>
      </c>
      <c r="AO240" s="309">
        <v>0</v>
      </c>
      <c r="AP240" s="309"/>
      <c r="AQ240" s="309"/>
      <c r="AR240" s="309"/>
      <c r="AS240" s="309"/>
      <c r="AT240" s="309"/>
      <c r="AU240" s="309"/>
      <c r="AV240" s="309"/>
      <c r="AW240" s="309"/>
      <c r="AX240" s="309"/>
      <c r="AY240" s="309"/>
      <c r="AZ240" s="309"/>
      <c r="BA240" s="309"/>
      <c r="BB240" s="309"/>
      <c r="BC240" s="309"/>
      <c r="BD240" s="309"/>
      <c r="BE240" s="309"/>
      <c r="BF240" s="309"/>
      <c r="BG240" s="309"/>
      <c r="BH240" s="309"/>
      <c r="BI240" s="309"/>
      <c r="BJ240" s="309"/>
      <c r="BK240" s="309"/>
    </row>
    <row r="241" spans="1:63" s="80" customFormat="1" ht="12.75">
      <c r="A241" s="167"/>
      <c r="B241" s="210" t="str">
        <f>Servicio_internaColumna_título_amortizaciones</f>
        <v>Amortizaciones</v>
      </c>
      <c r="C241" s="254">
        <v>0</v>
      </c>
      <c r="D241" s="255">
        <v>0</v>
      </c>
      <c r="E241" s="255">
        <v>0</v>
      </c>
      <c r="F241" s="255">
        <v>0</v>
      </c>
      <c r="G241" s="255">
        <v>0</v>
      </c>
      <c r="H241" s="255">
        <v>0</v>
      </c>
      <c r="I241" s="255">
        <v>10100476.65294713</v>
      </c>
      <c r="J241" s="255">
        <v>19200286.052048318</v>
      </c>
      <c r="K241" s="255">
        <v>11910246.670619247</v>
      </c>
      <c r="L241" s="255">
        <v>19190690.778571412</v>
      </c>
      <c r="M241" s="255">
        <v>4633904.7427484309</v>
      </c>
      <c r="N241" s="255">
        <v>6814570.9569291063</v>
      </c>
      <c r="O241" s="255">
        <v>2457993.4813753767</v>
      </c>
      <c r="P241" s="255">
        <v>6747892.9170203209</v>
      </c>
      <c r="Q241" s="255">
        <v>11047139.266001483</v>
      </c>
      <c r="R241" s="255">
        <v>70683.797686522186</v>
      </c>
      <c r="S241" s="255">
        <v>0</v>
      </c>
      <c r="T241" s="255">
        <v>0</v>
      </c>
      <c r="U241" s="255">
        <v>0</v>
      </c>
      <c r="V241" s="255">
        <v>7215438.0999999996</v>
      </c>
      <c r="W241" s="255">
        <v>0</v>
      </c>
      <c r="X241" s="255">
        <v>0</v>
      </c>
      <c r="Y241" s="255">
        <v>1475388.8259729999</v>
      </c>
      <c r="Z241" s="255">
        <v>0</v>
      </c>
      <c r="AA241" s="255">
        <v>0</v>
      </c>
      <c r="AB241" s="255">
        <v>0</v>
      </c>
      <c r="AC241" s="255">
        <v>0</v>
      </c>
      <c r="AD241" s="255">
        <v>0</v>
      </c>
      <c r="AE241" s="255">
        <v>0</v>
      </c>
      <c r="AF241" s="255">
        <v>0</v>
      </c>
      <c r="AG241" s="255">
        <v>0</v>
      </c>
      <c r="AH241" s="255">
        <v>0</v>
      </c>
      <c r="AI241" s="255">
        <v>0</v>
      </c>
      <c r="AJ241" s="255">
        <v>0</v>
      </c>
      <c r="AK241" s="255">
        <v>0</v>
      </c>
      <c r="AL241" s="255">
        <v>0</v>
      </c>
      <c r="AM241" s="255">
        <v>0</v>
      </c>
      <c r="AN241" s="255">
        <v>0</v>
      </c>
      <c r="AO241" s="255">
        <v>0</v>
      </c>
      <c r="AP241" s="255"/>
      <c r="AQ241" s="255"/>
      <c r="AR241" s="255"/>
      <c r="AS241" s="255"/>
      <c r="AT241" s="255"/>
      <c r="AU241" s="255"/>
      <c r="AV241" s="255"/>
      <c r="AW241" s="255"/>
      <c r="AX241" s="255"/>
      <c r="AY241" s="255"/>
      <c r="AZ241" s="255"/>
      <c r="BA241" s="255"/>
      <c r="BB241" s="255"/>
      <c r="BC241" s="255"/>
      <c r="BD241" s="255"/>
      <c r="BE241" s="255"/>
      <c r="BF241" s="255"/>
      <c r="BG241" s="255"/>
      <c r="BH241" s="255"/>
      <c r="BI241" s="255"/>
      <c r="BJ241" s="255"/>
      <c r="BK241" s="255"/>
    </row>
    <row r="242" spans="1:63" s="133" customFormat="1" ht="12.75">
      <c r="A242" s="168">
        <v>39294</v>
      </c>
      <c r="B242" s="213" t="str">
        <f>Servicio_internaColumna_título_intereses</f>
        <v>Intereses</v>
      </c>
      <c r="C242" s="256">
        <v>0</v>
      </c>
      <c r="D242" s="257">
        <v>0</v>
      </c>
      <c r="E242" s="257">
        <v>0</v>
      </c>
      <c r="F242" s="257">
        <v>0</v>
      </c>
      <c r="G242" s="257">
        <v>0</v>
      </c>
      <c r="H242" s="257">
        <v>0</v>
      </c>
      <c r="I242" s="257">
        <v>4084352.2798396386</v>
      </c>
      <c r="J242" s="257">
        <v>8912300.5456494987</v>
      </c>
      <c r="K242" s="257">
        <v>6901864.2560118716</v>
      </c>
      <c r="L242" s="257">
        <v>5656766.2453258969</v>
      </c>
      <c r="M242" s="257">
        <v>4008075.7275352431</v>
      </c>
      <c r="N242" s="257">
        <v>3577914.9035242386</v>
      </c>
      <c r="O242" s="257">
        <v>2830619.8079057494</v>
      </c>
      <c r="P242" s="257">
        <v>2638787.4565083217</v>
      </c>
      <c r="Q242" s="257">
        <v>1837699.2942236122</v>
      </c>
      <c r="R242" s="257">
        <v>885392.99227549182</v>
      </c>
      <c r="S242" s="257">
        <v>888160.44100614055</v>
      </c>
      <c r="T242" s="257">
        <v>891011.41434636607</v>
      </c>
      <c r="U242" s="258">
        <v>893948.43315963668</v>
      </c>
      <c r="V242" s="258">
        <v>896974.09439181909</v>
      </c>
      <c r="W242" s="258">
        <v>106392.88236742716</v>
      </c>
      <c r="X242" s="258">
        <v>109603.93515517647</v>
      </c>
      <c r="Y242" s="258">
        <v>112911.90100493026</v>
      </c>
      <c r="Z242" s="258">
        <v>0</v>
      </c>
      <c r="AA242" s="258">
        <v>0</v>
      </c>
      <c r="AB242" s="258">
        <v>0</v>
      </c>
      <c r="AC242" s="258">
        <v>0</v>
      </c>
      <c r="AD242" s="259">
        <v>0</v>
      </c>
      <c r="AE242" s="259">
        <v>0</v>
      </c>
      <c r="AF242" s="259">
        <v>0</v>
      </c>
      <c r="AG242" s="259">
        <v>0</v>
      </c>
      <c r="AH242" s="259">
        <v>0</v>
      </c>
      <c r="AI242" s="259">
        <v>0</v>
      </c>
      <c r="AJ242" s="259">
        <v>0</v>
      </c>
      <c r="AK242" s="259">
        <v>0</v>
      </c>
      <c r="AL242" s="259">
        <v>0</v>
      </c>
      <c r="AM242" s="259">
        <v>0</v>
      </c>
      <c r="AN242" s="259">
        <v>0</v>
      </c>
      <c r="AO242" s="259">
        <v>0</v>
      </c>
      <c r="AP242" s="259"/>
      <c r="AQ242" s="259"/>
      <c r="AR242" s="259"/>
      <c r="AS242" s="259"/>
      <c r="AT242" s="259"/>
      <c r="AU242" s="259"/>
      <c r="AV242" s="259"/>
      <c r="AW242" s="259"/>
      <c r="AX242" s="259"/>
      <c r="AY242" s="259"/>
      <c r="AZ242" s="259"/>
      <c r="BA242" s="259"/>
      <c r="BB242" s="259"/>
      <c r="BC242" s="259"/>
      <c r="BD242" s="259"/>
      <c r="BE242" s="259"/>
      <c r="BF242" s="259"/>
      <c r="BG242" s="259"/>
      <c r="BH242" s="259"/>
      <c r="BI242" s="259"/>
      <c r="BJ242" s="259"/>
      <c r="BK242" s="259"/>
    </row>
    <row r="243" spans="1:63" s="133" customFormat="1" ht="12.75">
      <c r="A243" s="169"/>
      <c r="B243" s="307" t="str">
        <f>Servicio_internaColumna_título_total</f>
        <v>Total</v>
      </c>
      <c r="C243" s="308">
        <v>0</v>
      </c>
      <c r="D243" s="309">
        <v>0</v>
      </c>
      <c r="E243" s="309">
        <v>0</v>
      </c>
      <c r="F243" s="309">
        <v>0</v>
      </c>
      <c r="G243" s="309">
        <v>0</v>
      </c>
      <c r="H243" s="309">
        <v>0</v>
      </c>
      <c r="I243" s="309">
        <v>14184828.932786768</v>
      </c>
      <c r="J243" s="309">
        <v>28112586.597697817</v>
      </c>
      <c r="K243" s="309">
        <v>18812110.926631119</v>
      </c>
      <c r="L243" s="309">
        <v>24847457.023897309</v>
      </c>
      <c r="M243" s="309">
        <v>8641980.4702836741</v>
      </c>
      <c r="N243" s="309">
        <v>10392485.860453345</v>
      </c>
      <c r="O243" s="309">
        <v>5288613.2892811261</v>
      </c>
      <c r="P243" s="309">
        <v>9386680.3735286426</v>
      </c>
      <c r="Q243" s="309">
        <v>12884838.560225096</v>
      </c>
      <c r="R243" s="309">
        <v>956076.78996201395</v>
      </c>
      <c r="S243" s="309">
        <v>888160.44100614055</v>
      </c>
      <c r="T243" s="309">
        <v>891011.41434636607</v>
      </c>
      <c r="U243" s="309">
        <v>893948.43315963668</v>
      </c>
      <c r="V243" s="309">
        <v>8112412.1943918187</v>
      </c>
      <c r="W243" s="309">
        <v>106392.88236742716</v>
      </c>
      <c r="X243" s="309">
        <v>109603.93515517647</v>
      </c>
      <c r="Y243" s="309">
        <v>1588300.7269779302</v>
      </c>
      <c r="Z243" s="309">
        <v>0</v>
      </c>
      <c r="AA243" s="309">
        <v>0</v>
      </c>
      <c r="AB243" s="309">
        <v>0</v>
      </c>
      <c r="AC243" s="309">
        <v>0</v>
      </c>
      <c r="AD243" s="309">
        <v>0</v>
      </c>
      <c r="AE243" s="309">
        <v>0</v>
      </c>
      <c r="AF243" s="309">
        <v>0</v>
      </c>
      <c r="AG243" s="309">
        <v>0</v>
      </c>
      <c r="AH243" s="309">
        <v>0</v>
      </c>
      <c r="AI243" s="309">
        <v>0</v>
      </c>
      <c r="AJ243" s="309">
        <v>0</v>
      </c>
      <c r="AK243" s="309">
        <v>0</v>
      </c>
      <c r="AL243" s="309">
        <v>0</v>
      </c>
      <c r="AM243" s="309">
        <v>0</v>
      </c>
      <c r="AN243" s="309">
        <v>0</v>
      </c>
      <c r="AO243" s="309">
        <v>0</v>
      </c>
      <c r="AP243" s="309"/>
      <c r="AQ243" s="309"/>
      <c r="AR243" s="309"/>
      <c r="AS243" s="309"/>
      <c r="AT243" s="309"/>
      <c r="AU243" s="309"/>
      <c r="AV243" s="309"/>
      <c r="AW243" s="309"/>
      <c r="AX243" s="309"/>
      <c r="AY243" s="309"/>
      <c r="AZ243" s="309"/>
      <c r="BA243" s="309"/>
      <c r="BB243" s="309"/>
      <c r="BC243" s="309"/>
      <c r="BD243" s="309"/>
      <c r="BE243" s="309"/>
      <c r="BF243" s="309"/>
      <c r="BG243" s="309"/>
      <c r="BH243" s="309"/>
      <c r="BI243" s="309"/>
      <c r="BJ243" s="309"/>
      <c r="BK243" s="309"/>
    </row>
    <row r="244" spans="1:63" s="80" customFormat="1" ht="12.75">
      <c r="A244" s="167"/>
      <c r="B244" s="210" t="str">
        <f>Servicio_internaColumna_título_amortizaciones</f>
        <v>Amortizaciones</v>
      </c>
      <c r="C244" s="254">
        <v>0</v>
      </c>
      <c r="D244" s="255">
        <v>0</v>
      </c>
      <c r="E244" s="255">
        <v>0</v>
      </c>
      <c r="F244" s="255">
        <v>0</v>
      </c>
      <c r="G244" s="255">
        <v>0</v>
      </c>
      <c r="H244" s="255">
        <v>0</v>
      </c>
      <c r="I244" s="255">
        <v>9389970.5783222299</v>
      </c>
      <c r="J244" s="255">
        <v>19774854.854814023</v>
      </c>
      <c r="K244" s="255">
        <v>12218973.113201018</v>
      </c>
      <c r="L244" s="255">
        <v>19868491.981737662</v>
      </c>
      <c r="M244" s="255">
        <v>4635388.6155477585</v>
      </c>
      <c r="N244" s="255">
        <v>6818943.7782832868</v>
      </c>
      <c r="O244" s="255">
        <v>2458895.2861379739</v>
      </c>
      <c r="P244" s="255">
        <v>6748835.2790867742</v>
      </c>
      <c r="Q244" s="255">
        <v>11190514.853827372</v>
      </c>
      <c r="R244" s="255">
        <v>70786.846715376712</v>
      </c>
      <c r="S244" s="255">
        <v>0</v>
      </c>
      <c r="T244" s="255">
        <v>0</v>
      </c>
      <c r="U244" s="255">
        <v>0</v>
      </c>
      <c r="V244" s="255">
        <v>7430752.5999999987</v>
      </c>
      <c r="W244" s="255">
        <v>0</v>
      </c>
      <c r="X244" s="255">
        <v>0</v>
      </c>
      <c r="Y244" s="255">
        <v>1546913.3752944001</v>
      </c>
      <c r="Z244" s="255">
        <v>0</v>
      </c>
      <c r="AA244" s="255">
        <v>0</v>
      </c>
      <c r="AB244" s="255">
        <v>0</v>
      </c>
      <c r="AC244" s="255">
        <v>0</v>
      </c>
      <c r="AD244" s="255">
        <v>0</v>
      </c>
      <c r="AE244" s="255">
        <v>0</v>
      </c>
      <c r="AF244" s="255">
        <v>0</v>
      </c>
      <c r="AG244" s="255">
        <v>0</v>
      </c>
      <c r="AH244" s="255">
        <v>0</v>
      </c>
      <c r="AI244" s="255">
        <v>0</v>
      </c>
      <c r="AJ244" s="255">
        <v>0</v>
      </c>
      <c r="AK244" s="255">
        <v>0</v>
      </c>
      <c r="AL244" s="255">
        <v>0</v>
      </c>
      <c r="AM244" s="255">
        <v>0</v>
      </c>
      <c r="AN244" s="255">
        <v>0</v>
      </c>
      <c r="AO244" s="255">
        <v>0</v>
      </c>
      <c r="AP244" s="255"/>
      <c r="AQ244" s="255"/>
      <c r="AR244" s="255"/>
      <c r="AS244" s="255"/>
      <c r="AT244" s="255"/>
      <c r="AU244" s="255"/>
      <c r="AV244" s="255"/>
      <c r="AW244" s="255"/>
      <c r="AX244" s="255"/>
      <c r="AY244" s="255"/>
      <c r="AZ244" s="255"/>
      <c r="BA244" s="255"/>
      <c r="BB244" s="255"/>
      <c r="BC244" s="255"/>
      <c r="BD244" s="255"/>
      <c r="BE244" s="255"/>
      <c r="BF244" s="255"/>
      <c r="BG244" s="255"/>
      <c r="BH244" s="255"/>
      <c r="BI244" s="255"/>
      <c r="BJ244" s="255"/>
      <c r="BK244" s="255"/>
    </row>
    <row r="245" spans="1:63" s="133" customFormat="1" ht="12.75">
      <c r="A245" s="168">
        <v>39325</v>
      </c>
      <c r="B245" s="213" t="str">
        <f>Servicio_internaColumna_título_intereses</f>
        <v>Intereses</v>
      </c>
      <c r="C245" s="256">
        <v>0</v>
      </c>
      <c r="D245" s="257">
        <v>0</v>
      </c>
      <c r="E245" s="257">
        <v>0</v>
      </c>
      <c r="F245" s="257">
        <v>0</v>
      </c>
      <c r="G245" s="257">
        <v>0</v>
      </c>
      <c r="H245" s="257">
        <v>0</v>
      </c>
      <c r="I245" s="257">
        <v>3127299.1409097575</v>
      </c>
      <c r="J245" s="257">
        <v>8987807.6179208457</v>
      </c>
      <c r="K245" s="257">
        <v>7011821.051400613</v>
      </c>
      <c r="L245" s="257">
        <v>5743046.7725097612</v>
      </c>
      <c r="M245" s="257">
        <v>4040907.3047917122</v>
      </c>
      <c r="N245" s="257">
        <v>3610689.5141058862</v>
      </c>
      <c r="O245" s="257">
        <v>2863529.3504457958</v>
      </c>
      <c r="P245" s="257">
        <v>2671759.3550362531</v>
      </c>
      <c r="Q245" s="257">
        <v>1870772.206590103</v>
      </c>
      <c r="R245" s="257">
        <v>913382.85093773995</v>
      </c>
      <c r="S245" s="257">
        <v>916280.23720346647</v>
      </c>
      <c r="T245" s="257">
        <v>919265.06973475823</v>
      </c>
      <c r="U245" s="258">
        <v>922339.98775492201</v>
      </c>
      <c r="V245" s="258">
        <v>925507.71014189161</v>
      </c>
      <c r="W245" s="258">
        <v>111388.25183229079</v>
      </c>
      <c r="X245" s="258">
        <v>114750.0702980541</v>
      </c>
      <c r="Y245" s="258">
        <v>118213.35209779418</v>
      </c>
      <c r="Z245" s="258">
        <v>0</v>
      </c>
      <c r="AA245" s="258">
        <v>0</v>
      </c>
      <c r="AB245" s="258">
        <v>0</v>
      </c>
      <c r="AC245" s="258">
        <v>0</v>
      </c>
      <c r="AD245" s="259">
        <v>0</v>
      </c>
      <c r="AE245" s="259">
        <v>0</v>
      </c>
      <c r="AF245" s="259">
        <v>0</v>
      </c>
      <c r="AG245" s="259">
        <v>0</v>
      </c>
      <c r="AH245" s="259">
        <v>0</v>
      </c>
      <c r="AI245" s="259">
        <v>0</v>
      </c>
      <c r="AJ245" s="259">
        <v>0</v>
      </c>
      <c r="AK245" s="259">
        <v>0</v>
      </c>
      <c r="AL245" s="259">
        <v>0</v>
      </c>
      <c r="AM245" s="259">
        <v>0</v>
      </c>
      <c r="AN245" s="259">
        <v>0</v>
      </c>
      <c r="AO245" s="259">
        <v>0</v>
      </c>
      <c r="AP245" s="259"/>
      <c r="AQ245" s="259"/>
      <c r="AR245" s="259"/>
      <c r="AS245" s="259"/>
      <c r="AT245" s="259"/>
      <c r="AU245" s="259"/>
      <c r="AV245" s="259"/>
      <c r="AW245" s="259"/>
      <c r="AX245" s="259"/>
      <c r="AY245" s="259"/>
      <c r="AZ245" s="259"/>
      <c r="BA245" s="259"/>
      <c r="BB245" s="259"/>
      <c r="BC245" s="259"/>
      <c r="BD245" s="259"/>
      <c r="BE245" s="259"/>
      <c r="BF245" s="259"/>
      <c r="BG245" s="259"/>
      <c r="BH245" s="259"/>
      <c r="BI245" s="259"/>
      <c r="BJ245" s="259"/>
      <c r="BK245" s="259"/>
    </row>
    <row r="246" spans="1:63" s="133" customFormat="1" ht="12.75">
      <c r="A246" s="169"/>
      <c r="B246" s="307" t="str">
        <f>Servicio_internaColumna_título_total</f>
        <v>Total</v>
      </c>
      <c r="C246" s="308">
        <v>0</v>
      </c>
      <c r="D246" s="309">
        <v>0</v>
      </c>
      <c r="E246" s="309">
        <v>0</v>
      </c>
      <c r="F246" s="309">
        <v>0</v>
      </c>
      <c r="G246" s="309">
        <v>0</v>
      </c>
      <c r="H246" s="309">
        <v>0</v>
      </c>
      <c r="I246" s="309">
        <v>12517269.719231987</v>
      </c>
      <c r="J246" s="309">
        <v>28762662.472734869</v>
      </c>
      <c r="K246" s="309">
        <v>19230794.164601631</v>
      </c>
      <c r="L246" s="309">
        <v>25611538.754247423</v>
      </c>
      <c r="M246" s="309">
        <v>8676295.9203394707</v>
      </c>
      <c r="N246" s="309">
        <v>10429633.292389173</v>
      </c>
      <c r="O246" s="309">
        <v>5322424.6365837697</v>
      </c>
      <c r="P246" s="309">
        <v>9420594.6341230273</v>
      </c>
      <c r="Q246" s="309">
        <v>13061287.060417475</v>
      </c>
      <c r="R246" s="309">
        <v>984169.69765311666</v>
      </c>
      <c r="S246" s="309">
        <v>916280.23720346647</v>
      </c>
      <c r="T246" s="309">
        <v>919265.06973475823</v>
      </c>
      <c r="U246" s="309">
        <v>922339.98775492201</v>
      </c>
      <c r="V246" s="309">
        <v>8356260.3101418903</v>
      </c>
      <c r="W246" s="309">
        <v>111388.25183229079</v>
      </c>
      <c r="X246" s="309">
        <v>114750.0702980541</v>
      </c>
      <c r="Y246" s="309">
        <v>1665126.7273921943</v>
      </c>
      <c r="Z246" s="309">
        <v>0</v>
      </c>
      <c r="AA246" s="309">
        <v>0</v>
      </c>
      <c r="AB246" s="309">
        <v>0</v>
      </c>
      <c r="AC246" s="309">
        <v>0</v>
      </c>
      <c r="AD246" s="309">
        <v>0</v>
      </c>
      <c r="AE246" s="309">
        <v>0</v>
      </c>
      <c r="AF246" s="309">
        <v>0</v>
      </c>
      <c r="AG246" s="309">
        <v>0</v>
      </c>
      <c r="AH246" s="309">
        <v>0</v>
      </c>
      <c r="AI246" s="309">
        <v>0</v>
      </c>
      <c r="AJ246" s="309">
        <v>0</v>
      </c>
      <c r="AK246" s="309">
        <v>0</v>
      </c>
      <c r="AL246" s="309">
        <v>0</v>
      </c>
      <c r="AM246" s="309">
        <v>0</v>
      </c>
      <c r="AN246" s="309">
        <v>0</v>
      </c>
      <c r="AO246" s="309">
        <v>0</v>
      </c>
      <c r="AP246" s="309"/>
      <c r="AQ246" s="309"/>
      <c r="AR246" s="309"/>
      <c r="AS246" s="309"/>
      <c r="AT246" s="309"/>
      <c r="AU246" s="309"/>
      <c r="AV246" s="309"/>
      <c r="AW246" s="309"/>
      <c r="AX246" s="309"/>
      <c r="AY246" s="309"/>
      <c r="AZ246" s="309"/>
      <c r="BA246" s="309"/>
      <c r="BB246" s="309"/>
      <c r="BC246" s="309"/>
      <c r="BD246" s="309"/>
      <c r="BE246" s="309"/>
      <c r="BF246" s="309"/>
      <c r="BG246" s="309"/>
      <c r="BH246" s="309"/>
      <c r="BI246" s="309"/>
      <c r="BJ246" s="309"/>
      <c r="BK246" s="309"/>
    </row>
    <row r="247" spans="1:63" s="80" customFormat="1" ht="12.75">
      <c r="A247" s="167"/>
      <c r="B247" s="210" t="str">
        <f>Servicio_internaColumna_título_amortizaciones</f>
        <v>Amortizaciones</v>
      </c>
      <c r="C247" s="254">
        <v>0</v>
      </c>
      <c r="D247" s="255">
        <v>0</v>
      </c>
      <c r="E247" s="255">
        <v>0</v>
      </c>
      <c r="F247" s="255">
        <v>0</v>
      </c>
      <c r="G247" s="255">
        <v>0</v>
      </c>
      <c r="H247" s="255">
        <v>0</v>
      </c>
      <c r="I247" s="255">
        <v>7488215.7144204834</v>
      </c>
      <c r="J247" s="255">
        <v>19181172.711623468</v>
      </c>
      <c r="K247" s="255">
        <v>13642196.169004768</v>
      </c>
      <c r="L247" s="255">
        <v>19901415.905628987</v>
      </c>
      <c r="M247" s="255">
        <v>4636174.8576491512</v>
      </c>
      <c r="N247" s="255">
        <v>6819524.6942891562</v>
      </c>
      <c r="O247" s="255">
        <v>2459001.8362509711</v>
      </c>
      <c r="P247" s="255">
        <v>6748946.6211297857</v>
      </c>
      <c r="Q247" s="255">
        <v>11511754.297155939</v>
      </c>
      <c r="R247" s="255">
        <v>70799.022172996876</v>
      </c>
      <c r="S247" s="255">
        <v>0</v>
      </c>
      <c r="T247" s="255">
        <v>0</v>
      </c>
      <c r="U247" s="255">
        <v>0</v>
      </c>
      <c r="V247" s="255">
        <v>7430752.5999999996</v>
      </c>
      <c r="W247" s="255">
        <v>0</v>
      </c>
      <c r="X247" s="255">
        <v>0</v>
      </c>
      <c r="Y247" s="255">
        <v>1547179.4470170001</v>
      </c>
      <c r="Z247" s="255">
        <v>0</v>
      </c>
      <c r="AA247" s="255">
        <v>0</v>
      </c>
      <c r="AB247" s="255">
        <v>0</v>
      </c>
      <c r="AC247" s="255">
        <v>0</v>
      </c>
      <c r="AD247" s="255">
        <v>0</v>
      </c>
      <c r="AE247" s="255">
        <v>0</v>
      </c>
      <c r="AF247" s="255">
        <v>0</v>
      </c>
      <c r="AG247" s="255">
        <v>0</v>
      </c>
      <c r="AH247" s="255">
        <v>0</v>
      </c>
      <c r="AI247" s="255">
        <v>0</v>
      </c>
      <c r="AJ247" s="255">
        <v>0</v>
      </c>
      <c r="AK247" s="255">
        <v>0</v>
      </c>
      <c r="AL247" s="255">
        <v>0</v>
      </c>
      <c r="AM247" s="255">
        <v>0</v>
      </c>
      <c r="AN247" s="255">
        <v>0</v>
      </c>
      <c r="AO247" s="255">
        <v>0</v>
      </c>
      <c r="AP247" s="255"/>
      <c r="AQ247" s="255"/>
      <c r="AR247" s="255"/>
      <c r="AS247" s="255"/>
      <c r="AT247" s="255"/>
      <c r="AU247" s="255"/>
      <c r="AV247" s="255"/>
      <c r="AW247" s="255"/>
      <c r="AX247" s="255"/>
      <c r="AY247" s="255"/>
      <c r="AZ247" s="255"/>
      <c r="BA247" s="255"/>
      <c r="BB247" s="255"/>
      <c r="BC247" s="255"/>
      <c r="BD247" s="255"/>
      <c r="BE247" s="255"/>
      <c r="BF247" s="255"/>
      <c r="BG247" s="255"/>
      <c r="BH247" s="255"/>
      <c r="BI247" s="255"/>
      <c r="BJ247" s="255"/>
      <c r="BK247" s="255"/>
    </row>
    <row r="248" spans="1:63" s="133" customFormat="1" ht="12.75">
      <c r="A248" s="168">
        <v>39355</v>
      </c>
      <c r="B248" s="213" t="str">
        <f>Servicio_internaColumna_título_intereses</f>
        <v>Intereses</v>
      </c>
      <c r="C248" s="256">
        <v>0</v>
      </c>
      <c r="D248" s="257">
        <v>0</v>
      </c>
      <c r="E248" s="257">
        <v>0</v>
      </c>
      <c r="F248" s="257">
        <v>0</v>
      </c>
      <c r="G248" s="257">
        <v>0</v>
      </c>
      <c r="H248" s="257">
        <v>0</v>
      </c>
      <c r="I248" s="257">
        <v>1751482.1562233893</v>
      </c>
      <c r="J248" s="257">
        <v>9029577.7406696491</v>
      </c>
      <c r="K248" s="257">
        <v>7180121.908440806</v>
      </c>
      <c r="L248" s="257">
        <v>5772235.6998920068</v>
      </c>
      <c r="M248" s="257">
        <v>4065151.2894046158</v>
      </c>
      <c r="N248" s="257">
        <v>3633608.5225410117</v>
      </c>
      <c r="O248" s="257">
        <v>2886421.9958526092</v>
      </c>
      <c r="P248" s="257">
        <v>2694657.732017315</v>
      </c>
      <c r="Q248" s="257">
        <v>1893659.7827502396</v>
      </c>
      <c r="R248" s="257">
        <v>913382.85093774006</v>
      </c>
      <c r="S248" s="257">
        <v>916280.23720346659</v>
      </c>
      <c r="T248" s="257">
        <v>919265.06973475835</v>
      </c>
      <c r="U248" s="258">
        <v>922339.98775492213</v>
      </c>
      <c r="V248" s="258">
        <v>925507.71014189161</v>
      </c>
      <c r="W248" s="258">
        <v>111388.25183229079</v>
      </c>
      <c r="X248" s="258">
        <v>114750.0702980541</v>
      </c>
      <c r="Y248" s="258">
        <v>118213.35209779418</v>
      </c>
      <c r="Z248" s="258">
        <v>0</v>
      </c>
      <c r="AA248" s="258">
        <v>0</v>
      </c>
      <c r="AB248" s="258">
        <v>0</v>
      </c>
      <c r="AC248" s="258">
        <v>0</v>
      </c>
      <c r="AD248" s="259">
        <v>0</v>
      </c>
      <c r="AE248" s="259">
        <v>0</v>
      </c>
      <c r="AF248" s="259">
        <v>0</v>
      </c>
      <c r="AG248" s="259">
        <v>0</v>
      </c>
      <c r="AH248" s="259">
        <v>0</v>
      </c>
      <c r="AI248" s="259">
        <v>0</v>
      </c>
      <c r="AJ248" s="259">
        <v>0</v>
      </c>
      <c r="AK248" s="259">
        <v>0</v>
      </c>
      <c r="AL248" s="259">
        <v>0</v>
      </c>
      <c r="AM248" s="259">
        <v>0</v>
      </c>
      <c r="AN248" s="259">
        <v>0</v>
      </c>
      <c r="AO248" s="259">
        <v>0</v>
      </c>
      <c r="AP248" s="259"/>
      <c r="AQ248" s="259"/>
      <c r="AR248" s="259"/>
      <c r="AS248" s="259"/>
      <c r="AT248" s="259"/>
      <c r="AU248" s="259"/>
      <c r="AV248" s="259"/>
      <c r="AW248" s="259"/>
      <c r="AX248" s="259"/>
      <c r="AY248" s="259"/>
      <c r="AZ248" s="259"/>
      <c r="BA248" s="259"/>
      <c r="BB248" s="259"/>
      <c r="BC248" s="259"/>
      <c r="BD248" s="259"/>
      <c r="BE248" s="259"/>
      <c r="BF248" s="259"/>
      <c r="BG248" s="259"/>
      <c r="BH248" s="259"/>
      <c r="BI248" s="259"/>
      <c r="BJ248" s="259"/>
      <c r="BK248" s="259"/>
    </row>
    <row r="249" spans="1:63" s="133" customFormat="1" ht="12.75">
      <c r="A249" s="169"/>
      <c r="B249" s="307" t="str">
        <f>Servicio_internaColumna_título_total</f>
        <v>Total</v>
      </c>
      <c r="C249" s="308">
        <v>0</v>
      </c>
      <c r="D249" s="309">
        <v>0</v>
      </c>
      <c r="E249" s="309">
        <v>0</v>
      </c>
      <c r="F249" s="309">
        <v>0</v>
      </c>
      <c r="G249" s="309">
        <v>0</v>
      </c>
      <c r="H249" s="309">
        <v>0</v>
      </c>
      <c r="I249" s="309">
        <v>9239697.8706438728</v>
      </c>
      <c r="J249" s="309">
        <v>28210750.452293117</v>
      </c>
      <c r="K249" s="309">
        <v>20822318.077445574</v>
      </c>
      <c r="L249" s="309">
        <v>25673651.605520993</v>
      </c>
      <c r="M249" s="309">
        <v>8701326.147053767</v>
      </c>
      <c r="N249" s="309">
        <v>10453133.216830168</v>
      </c>
      <c r="O249" s="309">
        <v>5345423.8321035802</v>
      </c>
      <c r="P249" s="309">
        <v>9443604.3531471007</v>
      </c>
      <c r="Q249" s="309">
        <v>13405414.079906179</v>
      </c>
      <c r="R249" s="309">
        <v>984181.87311073695</v>
      </c>
      <c r="S249" s="309">
        <v>916280.23720346659</v>
      </c>
      <c r="T249" s="309">
        <v>919265.06973475835</v>
      </c>
      <c r="U249" s="309">
        <v>922339.98775492213</v>
      </c>
      <c r="V249" s="309">
        <v>8356260.3101418912</v>
      </c>
      <c r="W249" s="309">
        <v>111388.25183229079</v>
      </c>
      <c r="X249" s="309">
        <v>114750.0702980541</v>
      </c>
      <c r="Y249" s="309">
        <v>1665392.7991147942</v>
      </c>
      <c r="Z249" s="309">
        <v>0</v>
      </c>
      <c r="AA249" s="309">
        <v>0</v>
      </c>
      <c r="AB249" s="309">
        <v>0</v>
      </c>
      <c r="AC249" s="309">
        <v>0</v>
      </c>
      <c r="AD249" s="309">
        <v>0</v>
      </c>
      <c r="AE249" s="309">
        <v>0</v>
      </c>
      <c r="AF249" s="309">
        <v>0</v>
      </c>
      <c r="AG249" s="309">
        <v>0</v>
      </c>
      <c r="AH249" s="309">
        <v>0</v>
      </c>
      <c r="AI249" s="309">
        <v>0</v>
      </c>
      <c r="AJ249" s="309">
        <v>0</v>
      </c>
      <c r="AK249" s="309">
        <v>0</v>
      </c>
      <c r="AL249" s="309">
        <v>0</v>
      </c>
      <c r="AM249" s="309">
        <v>0</v>
      </c>
      <c r="AN249" s="309">
        <v>0</v>
      </c>
      <c r="AO249" s="309">
        <v>0</v>
      </c>
      <c r="AP249" s="309"/>
      <c r="AQ249" s="309"/>
      <c r="AR249" s="309"/>
      <c r="AS249" s="309"/>
      <c r="AT249" s="309"/>
      <c r="AU249" s="309"/>
      <c r="AV249" s="309"/>
      <c r="AW249" s="309"/>
      <c r="AX249" s="309"/>
      <c r="AY249" s="309"/>
      <c r="AZ249" s="309"/>
      <c r="BA249" s="309"/>
      <c r="BB249" s="309"/>
      <c r="BC249" s="309"/>
      <c r="BD249" s="309"/>
      <c r="BE249" s="309"/>
      <c r="BF249" s="309"/>
      <c r="BG249" s="309"/>
      <c r="BH249" s="309"/>
      <c r="BI249" s="309"/>
      <c r="BJ249" s="309"/>
      <c r="BK249" s="309"/>
    </row>
    <row r="250" spans="1:63" s="80" customFormat="1" ht="12.75">
      <c r="A250" s="167"/>
      <c r="B250" s="210" t="str">
        <f>Servicio_internaColumna_título_amortizaciones</f>
        <v>Amortizaciones</v>
      </c>
      <c r="C250" s="254">
        <v>0</v>
      </c>
      <c r="D250" s="255">
        <v>0</v>
      </c>
      <c r="E250" s="255">
        <v>0</v>
      </c>
      <c r="F250" s="255">
        <v>0</v>
      </c>
      <c r="G250" s="255">
        <v>0</v>
      </c>
      <c r="H250" s="255">
        <v>0</v>
      </c>
      <c r="I250" s="255">
        <v>6581203.6936384859</v>
      </c>
      <c r="J250" s="255">
        <v>19799131.924459592</v>
      </c>
      <c r="K250" s="255">
        <v>14139091.554629518</v>
      </c>
      <c r="L250" s="255">
        <v>19900010.65314997</v>
      </c>
      <c r="M250" s="255">
        <v>4635928.2457441101</v>
      </c>
      <c r="N250" s="255">
        <v>6818907.1623571562</v>
      </c>
      <c r="O250" s="255">
        <v>2458854.3620461309</v>
      </c>
      <c r="P250" s="255">
        <v>6748792.5144958599</v>
      </c>
      <c r="Q250" s="255">
        <v>11627857.017462419</v>
      </c>
      <c r="R250" s="255">
        <v>70782.170328539883</v>
      </c>
      <c r="S250" s="255">
        <v>0</v>
      </c>
      <c r="T250" s="255">
        <v>0</v>
      </c>
      <c r="U250" s="255">
        <v>0</v>
      </c>
      <c r="V250" s="255">
        <v>7430752.5999999996</v>
      </c>
      <c r="W250" s="255">
        <v>0</v>
      </c>
      <c r="X250" s="255">
        <v>0</v>
      </c>
      <c r="Y250" s="255">
        <v>1546811.181657</v>
      </c>
      <c r="Z250" s="255">
        <v>0</v>
      </c>
      <c r="AA250" s="255">
        <v>0</v>
      </c>
      <c r="AB250" s="255">
        <v>0</v>
      </c>
      <c r="AC250" s="255">
        <v>0</v>
      </c>
      <c r="AD250" s="255">
        <v>0</v>
      </c>
      <c r="AE250" s="255">
        <v>0</v>
      </c>
      <c r="AF250" s="255">
        <v>0</v>
      </c>
      <c r="AG250" s="255">
        <v>0</v>
      </c>
      <c r="AH250" s="255">
        <v>0</v>
      </c>
      <c r="AI250" s="255">
        <v>0</v>
      </c>
      <c r="AJ250" s="255">
        <v>0</v>
      </c>
      <c r="AK250" s="255">
        <v>0</v>
      </c>
      <c r="AL250" s="255">
        <v>0</v>
      </c>
      <c r="AM250" s="255">
        <v>0</v>
      </c>
      <c r="AN250" s="255">
        <v>0</v>
      </c>
      <c r="AO250" s="255">
        <v>0</v>
      </c>
      <c r="AP250" s="255"/>
      <c r="AQ250" s="255"/>
      <c r="AR250" s="255"/>
      <c r="AS250" s="255"/>
      <c r="AT250" s="255"/>
      <c r="AU250" s="255"/>
      <c r="AV250" s="255"/>
      <c r="AW250" s="255"/>
      <c r="AX250" s="255"/>
      <c r="AY250" s="255"/>
      <c r="AZ250" s="255"/>
      <c r="BA250" s="255"/>
      <c r="BB250" s="255"/>
      <c r="BC250" s="255"/>
      <c r="BD250" s="255"/>
      <c r="BE250" s="255"/>
      <c r="BF250" s="255"/>
      <c r="BG250" s="255"/>
      <c r="BH250" s="255"/>
      <c r="BI250" s="255"/>
      <c r="BJ250" s="255"/>
      <c r="BK250" s="255"/>
    </row>
    <row r="251" spans="1:63" s="133" customFormat="1" ht="12.75">
      <c r="A251" s="168">
        <v>39386</v>
      </c>
      <c r="B251" s="213" t="str">
        <f>Servicio_internaColumna_título_intereses</f>
        <v>Intereses</v>
      </c>
      <c r="C251" s="256">
        <v>0</v>
      </c>
      <c r="D251" s="257">
        <v>0</v>
      </c>
      <c r="E251" s="257">
        <v>0</v>
      </c>
      <c r="F251" s="257">
        <v>0</v>
      </c>
      <c r="G251" s="257">
        <v>0</v>
      </c>
      <c r="H251" s="257">
        <v>0</v>
      </c>
      <c r="I251" s="257">
        <v>1327852.4851511205</v>
      </c>
      <c r="J251" s="257">
        <v>9069653.9744226933</v>
      </c>
      <c r="K251" s="257">
        <v>7235422.1899336223</v>
      </c>
      <c r="L251" s="257">
        <v>5768418.1343267411</v>
      </c>
      <c r="M251" s="257">
        <v>4062959.4452048661</v>
      </c>
      <c r="N251" s="257">
        <v>3631542.9109207643</v>
      </c>
      <c r="O251" s="257">
        <v>2884347.0323627461</v>
      </c>
      <c r="P251" s="257">
        <v>2692603.6907994626</v>
      </c>
      <c r="Q251" s="257">
        <v>1891615.3096331339</v>
      </c>
      <c r="R251" s="257">
        <v>913382.85093774006</v>
      </c>
      <c r="S251" s="257">
        <v>916280.23720346659</v>
      </c>
      <c r="T251" s="257">
        <v>919265.06973475835</v>
      </c>
      <c r="U251" s="258">
        <v>922339.98775492213</v>
      </c>
      <c r="V251" s="258">
        <v>925507.71014189161</v>
      </c>
      <c r="W251" s="258">
        <v>111388.25183229079</v>
      </c>
      <c r="X251" s="258">
        <v>114750.0702980541</v>
      </c>
      <c r="Y251" s="258">
        <v>118213.35209779418</v>
      </c>
      <c r="Z251" s="258">
        <v>0</v>
      </c>
      <c r="AA251" s="258">
        <v>0</v>
      </c>
      <c r="AB251" s="258">
        <v>0</v>
      </c>
      <c r="AC251" s="258">
        <v>0</v>
      </c>
      <c r="AD251" s="259">
        <v>0</v>
      </c>
      <c r="AE251" s="259">
        <v>0</v>
      </c>
      <c r="AF251" s="259">
        <v>0</v>
      </c>
      <c r="AG251" s="259">
        <v>0</v>
      </c>
      <c r="AH251" s="259">
        <v>0</v>
      </c>
      <c r="AI251" s="259">
        <v>0</v>
      </c>
      <c r="AJ251" s="259">
        <v>0</v>
      </c>
      <c r="AK251" s="259">
        <v>0</v>
      </c>
      <c r="AL251" s="259">
        <v>0</v>
      </c>
      <c r="AM251" s="259">
        <v>0</v>
      </c>
      <c r="AN251" s="259">
        <v>0</v>
      </c>
      <c r="AO251" s="259">
        <v>0</v>
      </c>
      <c r="AP251" s="259"/>
      <c r="AQ251" s="259"/>
      <c r="AR251" s="259"/>
      <c r="AS251" s="259"/>
      <c r="AT251" s="259"/>
      <c r="AU251" s="259"/>
      <c r="AV251" s="259"/>
      <c r="AW251" s="259"/>
      <c r="AX251" s="259"/>
      <c r="AY251" s="259"/>
      <c r="AZ251" s="259"/>
      <c r="BA251" s="259"/>
      <c r="BB251" s="259"/>
      <c r="BC251" s="259"/>
      <c r="BD251" s="259"/>
      <c r="BE251" s="259"/>
      <c r="BF251" s="259"/>
      <c r="BG251" s="259"/>
      <c r="BH251" s="259"/>
      <c r="BI251" s="259"/>
      <c r="BJ251" s="259"/>
      <c r="BK251" s="259"/>
    </row>
    <row r="252" spans="1:63" s="133" customFormat="1" ht="12.75">
      <c r="A252" s="169"/>
      <c r="B252" s="307" t="str">
        <f>Servicio_internaColumna_título_total</f>
        <v>Total</v>
      </c>
      <c r="C252" s="308">
        <v>0</v>
      </c>
      <c r="D252" s="309">
        <v>0</v>
      </c>
      <c r="E252" s="309">
        <v>0</v>
      </c>
      <c r="F252" s="309">
        <v>0</v>
      </c>
      <c r="G252" s="309">
        <v>0</v>
      </c>
      <c r="H252" s="309">
        <v>0</v>
      </c>
      <c r="I252" s="309">
        <v>7909056.1787896063</v>
      </c>
      <c r="J252" s="309">
        <v>28868785.898882285</v>
      </c>
      <c r="K252" s="309">
        <v>21374513.74456314</v>
      </c>
      <c r="L252" s="309">
        <v>25668428.787476711</v>
      </c>
      <c r="M252" s="309">
        <v>8698887.6909489762</v>
      </c>
      <c r="N252" s="309">
        <v>10450450.07327792</v>
      </c>
      <c r="O252" s="309">
        <v>5343201.394408877</v>
      </c>
      <c r="P252" s="309">
        <v>9441396.2052953225</v>
      </c>
      <c r="Q252" s="309">
        <v>13519472.327095553</v>
      </c>
      <c r="R252" s="309">
        <v>984165.02126627997</v>
      </c>
      <c r="S252" s="309">
        <v>916280.23720346659</v>
      </c>
      <c r="T252" s="309">
        <v>919265.06973475835</v>
      </c>
      <c r="U252" s="309">
        <v>922339.98775492213</v>
      </c>
      <c r="V252" s="309">
        <v>8356260.3101418912</v>
      </c>
      <c r="W252" s="309">
        <v>111388.25183229079</v>
      </c>
      <c r="X252" s="309">
        <v>114750.0702980541</v>
      </c>
      <c r="Y252" s="309">
        <v>1665024.5337547942</v>
      </c>
      <c r="Z252" s="309">
        <v>0</v>
      </c>
      <c r="AA252" s="309">
        <v>0</v>
      </c>
      <c r="AB252" s="309">
        <v>0</v>
      </c>
      <c r="AC252" s="309">
        <v>0</v>
      </c>
      <c r="AD252" s="309">
        <v>0</v>
      </c>
      <c r="AE252" s="309">
        <v>0</v>
      </c>
      <c r="AF252" s="309">
        <v>0</v>
      </c>
      <c r="AG252" s="309">
        <v>0</v>
      </c>
      <c r="AH252" s="309">
        <v>0</v>
      </c>
      <c r="AI252" s="309">
        <v>0</v>
      </c>
      <c r="AJ252" s="309">
        <v>0</v>
      </c>
      <c r="AK252" s="309">
        <v>0</v>
      </c>
      <c r="AL252" s="309">
        <v>0</v>
      </c>
      <c r="AM252" s="309">
        <v>0</v>
      </c>
      <c r="AN252" s="309">
        <v>0</v>
      </c>
      <c r="AO252" s="309">
        <v>0</v>
      </c>
      <c r="AP252" s="309"/>
      <c r="AQ252" s="309"/>
      <c r="AR252" s="309"/>
      <c r="AS252" s="309"/>
      <c r="AT252" s="309"/>
      <c r="AU252" s="309"/>
      <c r="AV252" s="309"/>
      <c r="AW252" s="309"/>
      <c r="AX252" s="309"/>
      <c r="AY252" s="309"/>
      <c r="AZ252" s="309"/>
      <c r="BA252" s="309"/>
      <c r="BB252" s="309"/>
      <c r="BC252" s="309"/>
      <c r="BD252" s="309"/>
      <c r="BE252" s="309"/>
      <c r="BF252" s="309"/>
      <c r="BG252" s="309"/>
      <c r="BH252" s="309"/>
      <c r="BI252" s="309"/>
      <c r="BJ252" s="309"/>
      <c r="BK252" s="309"/>
    </row>
    <row r="253" spans="1:63" s="80" customFormat="1" ht="12.75">
      <c r="A253" s="167"/>
      <c r="B253" s="210" t="str">
        <f>Servicio_internaColumna_título_amortizaciones</f>
        <v>Amortizaciones</v>
      </c>
      <c r="C253" s="254">
        <v>0</v>
      </c>
      <c r="D253" s="255">
        <v>0</v>
      </c>
      <c r="E253" s="255">
        <v>0</v>
      </c>
      <c r="F253" s="255">
        <v>0</v>
      </c>
      <c r="G253" s="255">
        <v>0</v>
      </c>
      <c r="H253" s="255">
        <v>0</v>
      </c>
      <c r="I253" s="255">
        <v>657693.04697136825</v>
      </c>
      <c r="J253" s="255">
        <v>20555133.621986218</v>
      </c>
      <c r="K253" s="255">
        <v>15188807.644694926</v>
      </c>
      <c r="L253" s="255">
        <v>19981129.917198718</v>
      </c>
      <c r="M253" s="255">
        <v>4636381.3951196233</v>
      </c>
      <c r="N253" s="255">
        <v>6819861.5120572075</v>
      </c>
      <c r="O253" s="255">
        <v>2459125.3458975246</v>
      </c>
      <c r="P253" s="255">
        <v>6665023.9854356982</v>
      </c>
      <c r="Q253" s="255">
        <v>11893562.262670815</v>
      </c>
      <c r="R253" s="255">
        <v>70813.13559272961</v>
      </c>
      <c r="S253" s="255">
        <v>0</v>
      </c>
      <c r="T253" s="255">
        <v>0</v>
      </c>
      <c r="U253" s="255">
        <v>0</v>
      </c>
      <c r="V253" s="255">
        <v>7430752.6000000006</v>
      </c>
      <c r="W253" s="255">
        <v>0</v>
      </c>
      <c r="X253" s="255">
        <v>0</v>
      </c>
      <c r="Y253" s="255">
        <v>1547487.869256</v>
      </c>
      <c r="Z253" s="255">
        <v>0</v>
      </c>
      <c r="AA253" s="255">
        <v>0</v>
      </c>
      <c r="AB253" s="255">
        <v>0</v>
      </c>
      <c r="AC253" s="255">
        <v>0</v>
      </c>
      <c r="AD253" s="255">
        <v>0</v>
      </c>
      <c r="AE253" s="255">
        <v>0</v>
      </c>
      <c r="AF253" s="255">
        <v>0</v>
      </c>
      <c r="AG253" s="255">
        <v>0</v>
      </c>
      <c r="AH253" s="255">
        <v>0</v>
      </c>
      <c r="AI253" s="255">
        <v>0</v>
      </c>
      <c r="AJ253" s="255">
        <v>0</v>
      </c>
      <c r="AK253" s="255">
        <v>0</v>
      </c>
      <c r="AL253" s="255">
        <v>0</v>
      </c>
      <c r="AM253" s="255">
        <v>0</v>
      </c>
      <c r="AN253" s="255">
        <v>0</v>
      </c>
      <c r="AO253" s="255">
        <v>0</v>
      </c>
      <c r="AP253" s="255"/>
      <c r="AQ253" s="255"/>
      <c r="AR253" s="255"/>
      <c r="AS253" s="255"/>
      <c r="AT253" s="255"/>
      <c r="AU253" s="255"/>
      <c r="AV253" s="255"/>
      <c r="AW253" s="255"/>
      <c r="AX253" s="255"/>
      <c r="AY253" s="255"/>
      <c r="AZ253" s="255"/>
      <c r="BA253" s="255"/>
      <c r="BB253" s="255"/>
      <c r="BC253" s="255"/>
      <c r="BD253" s="255"/>
      <c r="BE253" s="255"/>
      <c r="BF253" s="255"/>
      <c r="BG253" s="255"/>
      <c r="BH253" s="255"/>
      <c r="BI253" s="255"/>
      <c r="BJ253" s="255"/>
      <c r="BK253" s="255"/>
    </row>
    <row r="254" spans="1:63" s="133" customFormat="1" ht="12.75">
      <c r="A254" s="168">
        <v>39416</v>
      </c>
      <c r="B254" s="213" t="str">
        <f>Servicio_internaColumna_título_intereses</f>
        <v>Intereses</v>
      </c>
      <c r="C254" s="256">
        <v>0</v>
      </c>
      <c r="D254" s="257">
        <v>0</v>
      </c>
      <c r="E254" s="257">
        <v>0</v>
      </c>
      <c r="F254" s="257">
        <v>0</v>
      </c>
      <c r="G254" s="257">
        <v>0</v>
      </c>
      <c r="H254" s="257">
        <v>0</v>
      </c>
      <c r="I254" s="257">
        <v>233103.36829055019</v>
      </c>
      <c r="J254" s="257">
        <v>9181529.6109422743</v>
      </c>
      <c r="K254" s="257">
        <v>7383600.35328166</v>
      </c>
      <c r="L254" s="257">
        <v>5788539.9679795839</v>
      </c>
      <c r="M254" s="257">
        <v>4073112.0333519271</v>
      </c>
      <c r="N254" s="257">
        <v>3642824.5335333478</v>
      </c>
      <c r="O254" s="257">
        <v>2893175.2623899216</v>
      </c>
      <c r="P254" s="257">
        <v>2701920.3803717699</v>
      </c>
      <c r="Q254" s="257">
        <v>1912424.7480471786</v>
      </c>
      <c r="R254" s="257">
        <v>914657.55578345037</v>
      </c>
      <c r="S254" s="257">
        <v>917575.79887695378</v>
      </c>
      <c r="T254" s="257">
        <v>920581.58926326246</v>
      </c>
      <c r="U254" s="258">
        <v>923677.55336116033</v>
      </c>
      <c r="V254" s="258">
        <v>926866.39638199471</v>
      </c>
      <c r="W254" s="258">
        <v>112768.11869345488</v>
      </c>
      <c r="X254" s="258">
        <v>116151.16225425851</v>
      </c>
      <c r="Y254" s="258">
        <v>119635.6971218863</v>
      </c>
      <c r="Z254" s="258">
        <v>0</v>
      </c>
      <c r="AA254" s="258">
        <v>0</v>
      </c>
      <c r="AB254" s="258">
        <v>0</v>
      </c>
      <c r="AC254" s="258">
        <v>0</v>
      </c>
      <c r="AD254" s="259">
        <v>0</v>
      </c>
      <c r="AE254" s="259">
        <v>0</v>
      </c>
      <c r="AF254" s="259">
        <v>0</v>
      </c>
      <c r="AG254" s="259">
        <v>0</v>
      </c>
      <c r="AH254" s="259">
        <v>0</v>
      </c>
      <c r="AI254" s="259">
        <v>0</v>
      </c>
      <c r="AJ254" s="259">
        <v>0</v>
      </c>
      <c r="AK254" s="259">
        <v>0</v>
      </c>
      <c r="AL254" s="259">
        <v>0</v>
      </c>
      <c r="AM254" s="259">
        <v>0</v>
      </c>
      <c r="AN254" s="259">
        <v>0</v>
      </c>
      <c r="AO254" s="259">
        <v>0</v>
      </c>
      <c r="AP254" s="259"/>
      <c r="AQ254" s="259"/>
      <c r="AR254" s="259"/>
      <c r="AS254" s="259"/>
      <c r="AT254" s="259"/>
      <c r="AU254" s="259"/>
      <c r="AV254" s="259"/>
      <c r="AW254" s="259"/>
      <c r="AX254" s="259"/>
      <c r="AY254" s="259"/>
      <c r="AZ254" s="259"/>
      <c r="BA254" s="259"/>
      <c r="BB254" s="259"/>
      <c r="BC254" s="259"/>
      <c r="BD254" s="259"/>
      <c r="BE254" s="259"/>
      <c r="BF254" s="259"/>
      <c r="BG254" s="259"/>
      <c r="BH254" s="259"/>
      <c r="BI254" s="259"/>
      <c r="BJ254" s="259"/>
      <c r="BK254" s="259"/>
    </row>
    <row r="255" spans="1:63" s="133" customFormat="1" ht="12.75">
      <c r="A255" s="169"/>
      <c r="B255" s="307" t="str">
        <f>Servicio_internaColumna_título_total</f>
        <v>Total</v>
      </c>
      <c r="C255" s="308">
        <v>0</v>
      </c>
      <c r="D255" s="309">
        <v>0</v>
      </c>
      <c r="E255" s="309">
        <v>0</v>
      </c>
      <c r="F255" s="309">
        <v>0</v>
      </c>
      <c r="G255" s="309">
        <v>0</v>
      </c>
      <c r="H255" s="309">
        <v>0</v>
      </c>
      <c r="I255" s="309">
        <v>890796.41526191845</v>
      </c>
      <c r="J255" s="309">
        <v>29736663.232928492</v>
      </c>
      <c r="K255" s="309">
        <v>22572407.997976586</v>
      </c>
      <c r="L255" s="309">
        <v>25769669.885178301</v>
      </c>
      <c r="M255" s="309">
        <v>8709493.4284715503</v>
      </c>
      <c r="N255" s="309">
        <v>10462686.045590555</v>
      </c>
      <c r="O255" s="309">
        <v>5352300.6082874462</v>
      </c>
      <c r="P255" s="309">
        <v>9366944.3658074681</v>
      </c>
      <c r="Q255" s="309">
        <v>13805987.010717994</v>
      </c>
      <c r="R255" s="309">
        <v>985470.69137617992</v>
      </c>
      <c r="S255" s="309">
        <v>917575.79887695378</v>
      </c>
      <c r="T255" s="309">
        <v>920581.58926326246</v>
      </c>
      <c r="U255" s="309">
        <v>923677.55336116033</v>
      </c>
      <c r="V255" s="309">
        <v>8357618.9963819953</v>
      </c>
      <c r="W255" s="309">
        <v>112768.11869345488</v>
      </c>
      <c r="X255" s="309">
        <v>116151.16225425851</v>
      </c>
      <c r="Y255" s="309">
        <v>1667123.5663778863</v>
      </c>
      <c r="Z255" s="309">
        <v>0</v>
      </c>
      <c r="AA255" s="309">
        <v>0</v>
      </c>
      <c r="AB255" s="309">
        <v>0</v>
      </c>
      <c r="AC255" s="309">
        <v>0</v>
      </c>
      <c r="AD255" s="309">
        <v>0</v>
      </c>
      <c r="AE255" s="309">
        <v>0</v>
      </c>
      <c r="AF255" s="309">
        <v>0</v>
      </c>
      <c r="AG255" s="309">
        <v>0</v>
      </c>
      <c r="AH255" s="309">
        <v>0</v>
      </c>
      <c r="AI255" s="309">
        <v>0</v>
      </c>
      <c r="AJ255" s="309">
        <v>0</v>
      </c>
      <c r="AK255" s="309">
        <v>0</v>
      </c>
      <c r="AL255" s="309">
        <v>0</v>
      </c>
      <c r="AM255" s="309">
        <v>0</v>
      </c>
      <c r="AN255" s="309">
        <v>0</v>
      </c>
      <c r="AO255" s="309">
        <v>0</v>
      </c>
      <c r="AP255" s="309"/>
      <c r="AQ255" s="309"/>
      <c r="AR255" s="309"/>
      <c r="AS255" s="309"/>
      <c r="AT255" s="309"/>
      <c r="AU255" s="309"/>
      <c r="AV255" s="309"/>
      <c r="AW255" s="309"/>
      <c r="AX255" s="309"/>
      <c r="AY255" s="309"/>
      <c r="AZ255" s="309"/>
      <c r="BA255" s="309"/>
      <c r="BB255" s="309"/>
      <c r="BC255" s="309"/>
      <c r="BD255" s="309"/>
      <c r="BE255" s="309"/>
      <c r="BF255" s="309"/>
      <c r="BG255" s="309"/>
      <c r="BH255" s="309"/>
      <c r="BI255" s="309"/>
      <c r="BJ255" s="309"/>
      <c r="BK255" s="309"/>
    </row>
    <row r="256" spans="1:63" s="80" customFormat="1" ht="12.75">
      <c r="A256" s="167"/>
      <c r="B256" s="210" t="str">
        <f>Servicio_internaColumna_título_amortizaciones</f>
        <v>Amortizaciones</v>
      </c>
      <c r="C256" s="254">
        <v>0</v>
      </c>
      <c r="D256" s="255">
        <v>0</v>
      </c>
      <c r="E256" s="255">
        <v>0</v>
      </c>
      <c r="F256" s="255">
        <v>0</v>
      </c>
      <c r="G256" s="255">
        <v>0</v>
      </c>
      <c r="H256" s="255">
        <v>0</v>
      </c>
      <c r="I256" s="255">
        <v>0</v>
      </c>
      <c r="J256" s="255">
        <v>21017139.938104674</v>
      </c>
      <c r="K256" s="255">
        <v>15857129.214179074</v>
      </c>
      <c r="L256" s="255">
        <v>19996909.947410721</v>
      </c>
      <c r="M256" s="255">
        <v>4638944.3093427634</v>
      </c>
      <c r="N256" s="255">
        <v>6839240.4130655164</v>
      </c>
      <c r="O256" s="255">
        <v>2460657.9715713244</v>
      </c>
      <c r="P256" s="255">
        <v>6678773.8016287666</v>
      </c>
      <c r="Q256" s="255">
        <v>12081501.305635743</v>
      </c>
      <c r="R256" s="255">
        <v>70988.268386248907</v>
      </c>
      <c r="S256" s="255">
        <v>0</v>
      </c>
      <c r="T256" s="255">
        <v>0</v>
      </c>
      <c r="U256" s="255">
        <v>0</v>
      </c>
      <c r="V256" s="255">
        <v>7504752.5999999996</v>
      </c>
      <c r="W256" s="255">
        <v>0</v>
      </c>
      <c r="X256" s="255">
        <v>0</v>
      </c>
      <c r="Y256" s="255">
        <v>1568165.0370097999</v>
      </c>
      <c r="Z256" s="255">
        <v>0</v>
      </c>
      <c r="AA256" s="255">
        <v>0</v>
      </c>
      <c r="AB256" s="255">
        <v>0</v>
      </c>
      <c r="AC256" s="255">
        <v>0</v>
      </c>
      <c r="AD256" s="255">
        <v>0</v>
      </c>
      <c r="AE256" s="255">
        <v>0</v>
      </c>
      <c r="AF256" s="255">
        <v>0</v>
      </c>
      <c r="AG256" s="255">
        <v>0</v>
      </c>
      <c r="AH256" s="255">
        <v>0</v>
      </c>
      <c r="AI256" s="255">
        <v>0</v>
      </c>
      <c r="AJ256" s="255">
        <v>0</v>
      </c>
      <c r="AK256" s="255">
        <v>0</v>
      </c>
      <c r="AL256" s="255">
        <v>0</v>
      </c>
      <c r="AM256" s="255">
        <v>0</v>
      </c>
      <c r="AN256" s="255">
        <v>0</v>
      </c>
      <c r="AO256" s="255">
        <v>0</v>
      </c>
      <c r="AP256" s="255"/>
      <c r="AQ256" s="255"/>
      <c r="AR256" s="255"/>
      <c r="AS256" s="255"/>
      <c r="AT256" s="255"/>
      <c r="AU256" s="255"/>
      <c r="AV256" s="255"/>
      <c r="AW256" s="255"/>
      <c r="AX256" s="255"/>
      <c r="AY256" s="255"/>
      <c r="AZ256" s="255"/>
      <c r="BA256" s="255"/>
      <c r="BB256" s="255"/>
      <c r="BC256" s="255"/>
      <c r="BD256" s="255"/>
      <c r="BE256" s="255"/>
      <c r="BF256" s="255"/>
      <c r="BG256" s="255"/>
      <c r="BH256" s="255"/>
      <c r="BI256" s="255"/>
      <c r="BJ256" s="255"/>
      <c r="BK256" s="255"/>
    </row>
    <row r="257" spans="1:63" s="133" customFormat="1" ht="12.75">
      <c r="A257" s="168">
        <v>39447</v>
      </c>
      <c r="B257" s="213" t="str">
        <f>Servicio_internaColumna_título_intereses</f>
        <v>Intereses</v>
      </c>
      <c r="C257" s="256">
        <v>0</v>
      </c>
      <c r="D257" s="257">
        <v>0</v>
      </c>
      <c r="E257" s="257">
        <v>0</v>
      </c>
      <c r="F257" s="257">
        <v>0</v>
      </c>
      <c r="G257" s="257">
        <v>0</v>
      </c>
      <c r="H257" s="257">
        <v>0</v>
      </c>
      <c r="I257" s="257">
        <v>0</v>
      </c>
      <c r="J257" s="257">
        <v>9243801.4250825867</v>
      </c>
      <c r="K257" s="257">
        <v>7499694.6285436396</v>
      </c>
      <c r="L257" s="257">
        <v>5886494.7591215447</v>
      </c>
      <c r="M257" s="257">
        <v>4147073.0632914091</v>
      </c>
      <c r="N257" s="257">
        <v>3711878.2756606201</v>
      </c>
      <c r="O257" s="257">
        <v>2923063.8848779202</v>
      </c>
      <c r="P257" s="257">
        <v>2730948.1668375414</v>
      </c>
      <c r="Q257" s="257">
        <v>1940392.8869300112</v>
      </c>
      <c r="R257" s="257">
        <v>971113.84810466343</v>
      </c>
      <c r="S257" s="257">
        <v>927090.77721681958</v>
      </c>
      <c r="T257" s="257">
        <v>930137.81695332413</v>
      </c>
      <c r="U257" s="258">
        <v>933276.26788192382</v>
      </c>
      <c r="V257" s="258">
        <v>936508.87233838253</v>
      </c>
      <c r="W257" s="258">
        <v>114315.66892853305</v>
      </c>
      <c r="X257" s="258">
        <v>117745.13899638905</v>
      </c>
      <c r="Y257" s="258">
        <v>121277.49316628068</v>
      </c>
      <c r="Z257" s="258">
        <v>0</v>
      </c>
      <c r="AA257" s="258">
        <v>0</v>
      </c>
      <c r="AB257" s="258">
        <v>0</v>
      </c>
      <c r="AC257" s="258">
        <v>0</v>
      </c>
      <c r="AD257" s="259">
        <v>0</v>
      </c>
      <c r="AE257" s="259">
        <v>0</v>
      </c>
      <c r="AF257" s="259">
        <v>0</v>
      </c>
      <c r="AG257" s="259">
        <v>0</v>
      </c>
      <c r="AH257" s="259">
        <v>0</v>
      </c>
      <c r="AI257" s="259">
        <v>0</v>
      </c>
      <c r="AJ257" s="259">
        <v>0</v>
      </c>
      <c r="AK257" s="259">
        <v>0</v>
      </c>
      <c r="AL257" s="259">
        <v>0</v>
      </c>
      <c r="AM257" s="259">
        <v>0</v>
      </c>
      <c r="AN257" s="259">
        <v>0</v>
      </c>
      <c r="AO257" s="259">
        <v>0</v>
      </c>
      <c r="AP257" s="259"/>
      <c r="AQ257" s="259"/>
      <c r="AR257" s="259"/>
      <c r="AS257" s="259"/>
      <c r="AT257" s="259"/>
      <c r="AU257" s="259"/>
      <c r="AV257" s="259"/>
      <c r="AW257" s="259"/>
      <c r="AX257" s="259"/>
      <c r="AY257" s="259"/>
      <c r="AZ257" s="259"/>
      <c r="BA257" s="259"/>
      <c r="BB257" s="259"/>
      <c r="BC257" s="259"/>
      <c r="BD257" s="259"/>
      <c r="BE257" s="259"/>
      <c r="BF257" s="259"/>
      <c r="BG257" s="259"/>
      <c r="BH257" s="259"/>
      <c r="BI257" s="259"/>
      <c r="BJ257" s="259"/>
      <c r="BK257" s="259"/>
    </row>
    <row r="258" spans="1:63" s="133" customFormat="1" ht="12.75">
      <c r="A258" s="169"/>
      <c r="B258" s="307" t="str">
        <f>Servicio_internaColumna_título_total</f>
        <v>Total</v>
      </c>
      <c r="C258" s="308">
        <v>0</v>
      </c>
      <c r="D258" s="309">
        <v>0</v>
      </c>
      <c r="E258" s="309">
        <v>0</v>
      </c>
      <c r="F258" s="309">
        <v>0</v>
      </c>
      <c r="G258" s="309">
        <v>0</v>
      </c>
      <c r="H258" s="309">
        <v>0</v>
      </c>
      <c r="I258" s="309">
        <v>0</v>
      </c>
      <c r="J258" s="309">
        <v>30260941.363187261</v>
      </c>
      <c r="K258" s="309">
        <v>23356823.842722714</v>
      </c>
      <c r="L258" s="309">
        <v>25883404.706532266</v>
      </c>
      <c r="M258" s="309">
        <v>8786017.3726341724</v>
      </c>
      <c r="N258" s="309">
        <v>10551118.688726136</v>
      </c>
      <c r="O258" s="309">
        <v>5383721.8564492445</v>
      </c>
      <c r="P258" s="309">
        <v>9409721.968466308</v>
      </c>
      <c r="Q258" s="309">
        <v>14021894.192565754</v>
      </c>
      <c r="R258" s="309">
        <v>1042102.1164909124</v>
      </c>
      <c r="S258" s="309">
        <v>927090.77721681958</v>
      </c>
      <c r="T258" s="309">
        <v>930137.81695332413</v>
      </c>
      <c r="U258" s="309">
        <v>933276.26788192382</v>
      </c>
      <c r="V258" s="309">
        <v>8441261.4723383822</v>
      </c>
      <c r="W258" s="309">
        <v>114315.66892853305</v>
      </c>
      <c r="X258" s="309">
        <v>117745.13899638905</v>
      </c>
      <c r="Y258" s="309">
        <v>1689442.5301760805</v>
      </c>
      <c r="Z258" s="309">
        <v>0</v>
      </c>
      <c r="AA258" s="309">
        <v>0</v>
      </c>
      <c r="AB258" s="309">
        <v>0</v>
      </c>
      <c r="AC258" s="309">
        <v>0</v>
      </c>
      <c r="AD258" s="309">
        <v>0</v>
      </c>
      <c r="AE258" s="309">
        <v>0</v>
      </c>
      <c r="AF258" s="309">
        <v>0</v>
      </c>
      <c r="AG258" s="309">
        <v>0</v>
      </c>
      <c r="AH258" s="309">
        <v>0</v>
      </c>
      <c r="AI258" s="309">
        <v>0</v>
      </c>
      <c r="AJ258" s="309">
        <v>0</v>
      </c>
      <c r="AK258" s="309">
        <v>0</v>
      </c>
      <c r="AL258" s="309">
        <v>0</v>
      </c>
      <c r="AM258" s="309">
        <v>0</v>
      </c>
      <c r="AN258" s="309">
        <v>0</v>
      </c>
      <c r="AO258" s="309">
        <v>0</v>
      </c>
      <c r="AP258" s="309"/>
      <c r="AQ258" s="309"/>
      <c r="AR258" s="309"/>
      <c r="AS258" s="309"/>
      <c r="AT258" s="309"/>
      <c r="AU258" s="309"/>
      <c r="AV258" s="309"/>
      <c r="AW258" s="309"/>
      <c r="AX258" s="309"/>
      <c r="AY258" s="309"/>
      <c r="AZ258" s="309"/>
      <c r="BA258" s="309"/>
      <c r="BB258" s="309"/>
      <c r="BC258" s="309"/>
      <c r="BD258" s="309"/>
      <c r="BE258" s="309"/>
      <c r="BF258" s="309"/>
      <c r="BG258" s="309"/>
      <c r="BH258" s="309"/>
      <c r="BI258" s="309"/>
      <c r="BJ258" s="309"/>
      <c r="BK258" s="309"/>
    </row>
    <row r="259" spans="1:63" s="80" customFormat="1" ht="12.75">
      <c r="A259" s="167"/>
      <c r="B259" s="210" t="str">
        <f>Servicio_internaColumna_título_amortizaciones</f>
        <v>Amortizaciones</v>
      </c>
      <c r="C259" s="254">
        <v>0</v>
      </c>
      <c r="D259" s="255">
        <v>0</v>
      </c>
      <c r="E259" s="255">
        <v>0</v>
      </c>
      <c r="F259" s="255">
        <v>0</v>
      </c>
      <c r="G259" s="255">
        <v>0</v>
      </c>
      <c r="H259" s="255">
        <v>0</v>
      </c>
      <c r="I259" s="255">
        <v>0</v>
      </c>
      <c r="J259" s="255">
        <v>20596788.465698365</v>
      </c>
      <c r="K259" s="255">
        <v>16766602.41936723</v>
      </c>
      <c r="L259" s="255">
        <v>20106321.671366293</v>
      </c>
      <c r="M259" s="255">
        <v>4642864.3597115092</v>
      </c>
      <c r="N259" s="255">
        <v>6853584.8927247068</v>
      </c>
      <c r="O259" s="255">
        <v>2969400.9097567489</v>
      </c>
      <c r="P259" s="255">
        <v>6681743.5010996619</v>
      </c>
      <c r="Q259" s="255">
        <v>12793339.440784929</v>
      </c>
      <c r="R259" s="255">
        <v>71329.223329225017</v>
      </c>
      <c r="S259" s="255">
        <v>0.40806554272572249</v>
      </c>
      <c r="T259" s="255">
        <v>0</v>
      </c>
      <c r="U259" s="255">
        <v>0</v>
      </c>
      <c r="V259" s="255">
        <v>7741482.7000000002</v>
      </c>
      <c r="W259" s="255">
        <v>0</v>
      </c>
      <c r="X259" s="255">
        <v>0</v>
      </c>
      <c r="Y259" s="255">
        <v>1728997.2220290001</v>
      </c>
      <c r="Z259" s="255">
        <v>0</v>
      </c>
      <c r="AA259" s="255">
        <v>0</v>
      </c>
      <c r="AB259" s="255">
        <v>0</v>
      </c>
      <c r="AC259" s="255">
        <v>0</v>
      </c>
      <c r="AD259" s="255">
        <v>0</v>
      </c>
      <c r="AE259" s="255">
        <v>0</v>
      </c>
      <c r="AF259" s="255">
        <v>0</v>
      </c>
      <c r="AG259" s="255">
        <v>0</v>
      </c>
      <c r="AH259" s="255">
        <v>0</v>
      </c>
      <c r="AI259" s="255">
        <v>0</v>
      </c>
      <c r="AJ259" s="255">
        <v>0</v>
      </c>
      <c r="AK259" s="255">
        <v>0</v>
      </c>
      <c r="AL259" s="255">
        <v>0</v>
      </c>
      <c r="AM259" s="255">
        <v>0</v>
      </c>
      <c r="AN259" s="255">
        <v>0</v>
      </c>
      <c r="AO259" s="255">
        <v>0</v>
      </c>
      <c r="AP259" s="255"/>
      <c r="AQ259" s="255"/>
      <c r="AR259" s="255"/>
      <c r="AS259" s="255"/>
      <c r="AT259" s="255"/>
      <c r="AU259" s="255"/>
      <c r="AV259" s="255"/>
      <c r="AW259" s="255"/>
      <c r="AX259" s="255"/>
      <c r="AY259" s="255"/>
      <c r="AZ259" s="255"/>
      <c r="BA259" s="255"/>
      <c r="BB259" s="255"/>
      <c r="BC259" s="255"/>
      <c r="BD259" s="255"/>
      <c r="BE259" s="255"/>
      <c r="BF259" s="255"/>
      <c r="BG259" s="255"/>
      <c r="BH259" s="255"/>
      <c r="BI259" s="255"/>
      <c r="BJ259" s="255"/>
      <c r="BK259" s="255"/>
    </row>
    <row r="260" spans="1:63" s="133" customFormat="1" ht="12.75">
      <c r="A260" s="168">
        <v>39478</v>
      </c>
      <c r="B260" s="213" t="str">
        <f>Servicio_internaColumna_título_intereses</f>
        <v>Intereses</v>
      </c>
      <c r="C260" s="256">
        <v>0</v>
      </c>
      <c r="D260" s="257">
        <v>0</v>
      </c>
      <c r="E260" s="257">
        <v>0</v>
      </c>
      <c r="F260" s="257">
        <v>0</v>
      </c>
      <c r="G260" s="257">
        <v>0</v>
      </c>
      <c r="H260" s="257">
        <v>0</v>
      </c>
      <c r="I260" s="257">
        <v>0</v>
      </c>
      <c r="J260" s="257">
        <v>9197183.7722192332</v>
      </c>
      <c r="K260" s="257">
        <v>7676544.5156146344</v>
      </c>
      <c r="L260" s="257">
        <v>6009645.3151856661</v>
      </c>
      <c r="M260" s="257">
        <v>4279591.1884850673</v>
      </c>
      <c r="N260" s="257">
        <v>3801906.1263218736</v>
      </c>
      <c r="O260" s="257">
        <v>3012052.6131212777</v>
      </c>
      <c r="P260" s="257">
        <v>2775217.5649035731</v>
      </c>
      <c r="Q260" s="257">
        <v>1983134.3531790636</v>
      </c>
      <c r="R260" s="257">
        <v>959766.58345228643</v>
      </c>
      <c r="S260" s="257">
        <v>963012.68804585515</v>
      </c>
      <c r="T260" s="257">
        <v>966356.17577723076</v>
      </c>
      <c r="U260" s="258">
        <v>969799.96814054763</v>
      </c>
      <c r="V260" s="258">
        <v>973347.0742747644</v>
      </c>
      <c r="W260" s="258">
        <v>125437.49659300696</v>
      </c>
      <c r="X260" s="258">
        <v>129200.62149079717</v>
      </c>
      <c r="Y260" s="258">
        <v>133076.64013552107</v>
      </c>
      <c r="Z260" s="258">
        <v>0</v>
      </c>
      <c r="AA260" s="258">
        <v>0</v>
      </c>
      <c r="AB260" s="258">
        <v>0</v>
      </c>
      <c r="AC260" s="258">
        <v>0</v>
      </c>
      <c r="AD260" s="259">
        <v>0</v>
      </c>
      <c r="AE260" s="259">
        <v>0</v>
      </c>
      <c r="AF260" s="259">
        <v>0</v>
      </c>
      <c r="AG260" s="259">
        <v>0</v>
      </c>
      <c r="AH260" s="259">
        <v>0</v>
      </c>
      <c r="AI260" s="259">
        <v>0</v>
      </c>
      <c r="AJ260" s="259">
        <v>0</v>
      </c>
      <c r="AK260" s="259">
        <v>0</v>
      </c>
      <c r="AL260" s="259">
        <v>0</v>
      </c>
      <c r="AM260" s="259">
        <v>0</v>
      </c>
      <c r="AN260" s="259">
        <v>0</v>
      </c>
      <c r="AO260" s="259">
        <v>0</v>
      </c>
      <c r="AP260" s="259"/>
      <c r="AQ260" s="259"/>
      <c r="AR260" s="259"/>
      <c r="AS260" s="259"/>
      <c r="AT260" s="259"/>
      <c r="AU260" s="259"/>
      <c r="AV260" s="259"/>
      <c r="AW260" s="259"/>
      <c r="AX260" s="259"/>
      <c r="AY260" s="259"/>
      <c r="AZ260" s="259"/>
      <c r="BA260" s="259"/>
      <c r="BB260" s="259"/>
      <c r="BC260" s="259"/>
      <c r="BD260" s="259"/>
      <c r="BE260" s="259"/>
      <c r="BF260" s="259"/>
      <c r="BG260" s="259"/>
      <c r="BH260" s="259"/>
      <c r="BI260" s="259"/>
      <c r="BJ260" s="259"/>
      <c r="BK260" s="259"/>
    </row>
    <row r="261" spans="1:63" s="133" customFormat="1" ht="12.75">
      <c r="A261" s="169"/>
      <c r="B261" s="307" t="str">
        <f>Servicio_internaColumna_título_total</f>
        <v>Total</v>
      </c>
      <c r="C261" s="308">
        <v>0</v>
      </c>
      <c r="D261" s="309">
        <v>0</v>
      </c>
      <c r="E261" s="309">
        <v>0</v>
      </c>
      <c r="F261" s="309">
        <v>0</v>
      </c>
      <c r="G261" s="309">
        <v>0</v>
      </c>
      <c r="H261" s="309">
        <v>0</v>
      </c>
      <c r="I261" s="309">
        <v>0</v>
      </c>
      <c r="J261" s="309">
        <v>29793972.237917598</v>
      </c>
      <c r="K261" s="309">
        <v>24443146.934981864</v>
      </c>
      <c r="L261" s="309">
        <v>26115966.986551959</v>
      </c>
      <c r="M261" s="309">
        <v>8922455.5481965765</v>
      </c>
      <c r="N261" s="309">
        <v>10655491.01904658</v>
      </c>
      <c r="O261" s="309">
        <v>5981453.5228780266</v>
      </c>
      <c r="P261" s="309">
        <v>9456961.0660032351</v>
      </c>
      <c r="Q261" s="309">
        <v>14776473.793963993</v>
      </c>
      <c r="R261" s="309">
        <v>1031095.8067815114</v>
      </c>
      <c r="S261" s="309">
        <v>963013.09611139784</v>
      </c>
      <c r="T261" s="309">
        <v>966356.17577723076</v>
      </c>
      <c r="U261" s="309">
        <v>969799.96814054763</v>
      </c>
      <c r="V261" s="309">
        <v>8714829.7742747646</v>
      </c>
      <c r="W261" s="309">
        <v>125437.49659300696</v>
      </c>
      <c r="X261" s="309">
        <v>129200.62149079717</v>
      </c>
      <c r="Y261" s="309">
        <v>1862073.8621645211</v>
      </c>
      <c r="Z261" s="309">
        <v>0</v>
      </c>
      <c r="AA261" s="309">
        <v>0</v>
      </c>
      <c r="AB261" s="309">
        <v>0</v>
      </c>
      <c r="AC261" s="309">
        <v>0</v>
      </c>
      <c r="AD261" s="309">
        <v>0</v>
      </c>
      <c r="AE261" s="309">
        <v>0</v>
      </c>
      <c r="AF261" s="309">
        <v>0</v>
      </c>
      <c r="AG261" s="309">
        <v>0</v>
      </c>
      <c r="AH261" s="309">
        <v>0</v>
      </c>
      <c r="AI261" s="309">
        <v>0</v>
      </c>
      <c r="AJ261" s="309">
        <v>0</v>
      </c>
      <c r="AK261" s="309">
        <v>0</v>
      </c>
      <c r="AL261" s="309">
        <v>0</v>
      </c>
      <c r="AM261" s="309">
        <v>0</v>
      </c>
      <c r="AN261" s="309">
        <v>0</v>
      </c>
      <c r="AO261" s="309">
        <v>0</v>
      </c>
      <c r="AP261" s="309"/>
      <c r="AQ261" s="309"/>
      <c r="AR261" s="309"/>
      <c r="AS261" s="309"/>
      <c r="AT261" s="309"/>
      <c r="AU261" s="309"/>
      <c r="AV261" s="309"/>
      <c r="AW261" s="309"/>
      <c r="AX261" s="309"/>
      <c r="AY261" s="309"/>
      <c r="AZ261" s="309"/>
      <c r="BA261" s="309"/>
      <c r="BB261" s="309"/>
      <c r="BC261" s="309"/>
      <c r="BD261" s="309"/>
      <c r="BE261" s="309"/>
      <c r="BF261" s="309"/>
      <c r="BG261" s="309"/>
      <c r="BH261" s="309"/>
      <c r="BI261" s="309"/>
      <c r="BJ261" s="309"/>
      <c r="BK261" s="309"/>
    </row>
    <row r="262" spans="1:63" s="80" customFormat="1" ht="12.75">
      <c r="A262" s="167"/>
      <c r="B262" s="210" t="str">
        <f>Servicio_internaColumna_título_amortizaciones</f>
        <v>Amortizaciones</v>
      </c>
      <c r="C262" s="254">
        <v>0</v>
      </c>
      <c r="D262" s="255">
        <v>0</v>
      </c>
      <c r="E262" s="255">
        <v>0</v>
      </c>
      <c r="F262" s="255">
        <v>0</v>
      </c>
      <c r="G262" s="255">
        <v>0</v>
      </c>
      <c r="H262" s="255">
        <v>0</v>
      </c>
      <c r="I262" s="255">
        <v>0</v>
      </c>
      <c r="J262" s="255">
        <v>20175292.888998162</v>
      </c>
      <c r="K262" s="255">
        <v>17591930.776984632</v>
      </c>
      <c r="L262" s="255">
        <v>20154995.931990732</v>
      </c>
      <c r="M262" s="255">
        <v>4651697.4178036898</v>
      </c>
      <c r="N262" s="255">
        <v>6875998.9382208055</v>
      </c>
      <c r="O262" s="255">
        <v>3342162.0808270564</v>
      </c>
      <c r="P262" s="255">
        <v>6715624.8287292467</v>
      </c>
      <c r="Q262" s="255">
        <v>13275489.437577242</v>
      </c>
      <c r="R262" s="255">
        <v>71863.005502400265</v>
      </c>
      <c r="S262" s="255">
        <v>0.41111924360773988</v>
      </c>
      <c r="T262" s="255">
        <v>0</v>
      </c>
      <c r="U262" s="255">
        <v>0</v>
      </c>
      <c r="V262" s="255">
        <v>7905766.9000000004</v>
      </c>
      <c r="W262" s="255">
        <v>0</v>
      </c>
      <c r="X262" s="255">
        <v>0</v>
      </c>
      <c r="Y262" s="255">
        <v>1853546.7052479999</v>
      </c>
      <c r="Z262" s="255">
        <v>0</v>
      </c>
      <c r="AA262" s="255">
        <v>0</v>
      </c>
      <c r="AB262" s="255">
        <v>0</v>
      </c>
      <c r="AC262" s="255">
        <v>0</v>
      </c>
      <c r="AD262" s="255">
        <v>0</v>
      </c>
      <c r="AE262" s="255">
        <v>0</v>
      </c>
      <c r="AF262" s="255">
        <v>0</v>
      </c>
      <c r="AG262" s="255">
        <v>0</v>
      </c>
      <c r="AH262" s="255">
        <v>0</v>
      </c>
      <c r="AI262" s="255">
        <v>0</v>
      </c>
      <c r="AJ262" s="255">
        <v>0</v>
      </c>
      <c r="AK262" s="255">
        <v>0</v>
      </c>
      <c r="AL262" s="255">
        <v>0</v>
      </c>
      <c r="AM262" s="255">
        <v>0</v>
      </c>
      <c r="AN262" s="255">
        <v>0</v>
      </c>
      <c r="AO262" s="255">
        <v>0</v>
      </c>
      <c r="AP262" s="255"/>
      <c r="AQ262" s="255"/>
      <c r="AR262" s="255"/>
      <c r="AS262" s="255"/>
      <c r="AT262" s="255"/>
      <c r="AU262" s="255"/>
      <c r="AV262" s="255"/>
      <c r="AW262" s="255"/>
      <c r="AX262" s="255"/>
      <c r="AY262" s="255"/>
      <c r="AZ262" s="255"/>
      <c r="BA262" s="255"/>
      <c r="BB262" s="255"/>
      <c r="BC262" s="255"/>
      <c r="BD262" s="255"/>
      <c r="BE262" s="255"/>
      <c r="BF262" s="255"/>
      <c r="BG262" s="255"/>
      <c r="BH262" s="255"/>
      <c r="BI262" s="255"/>
      <c r="BJ262" s="255"/>
      <c r="BK262" s="255"/>
    </row>
    <row r="263" spans="1:63" s="133" customFormat="1" ht="12.75">
      <c r="A263" s="168">
        <v>39507</v>
      </c>
      <c r="B263" s="213" t="str">
        <f>Servicio_internaColumna_título_intereses</f>
        <v>Intereses</v>
      </c>
      <c r="C263" s="256">
        <v>0</v>
      </c>
      <c r="D263" s="257">
        <v>0</v>
      </c>
      <c r="E263" s="257">
        <v>0</v>
      </c>
      <c r="F263" s="257">
        <v>0</v>
      </c>
      <c r="G263" s="257">
        <v>0</v>
      </c>
      <c r="H263" s="257">
        <v>0</v>
      </c>
      <c r="I263" s="257">
        <v>0</v>
      </c>
      <c r="J263" s="257">
        <v>7874041.4663349241</v>
      </c>
      <c r="K263" s="257">
        <v>7740355.2820035182</v>
      </c>
      <c r="L263" s="257">
        <v>5977501.3996653706</v>
      </c>
      <c r="M263" s="257">
        <v>4256004.8989323825</v>
      </c>
      <c r="N263" s="257">
        <v>3860931.2056426005</v>
      </c>
      <c r="O263" s="257">
        <v>3109202.8154920032</v>
      </c>
      <c r="P263" s="257">
        <v>2839527.6795558883</v>
      </c>
      <c r="Q263" s="257">
        <v>2043725.7314321026</v>
      </c>
      <c r="R263" s="257">
        <v>985044.84585057711</v>
      </c>
      <c r="S263" s="257">
        <v>988507.16045609443</v>
      </c>
      <c r="T263" s="257">
        <v>992073.3444997773</v>
      </c>
      <c r="U263" s="258">
        <v>995746.51406477066</v>
      </c>
      <c r="V263" s="258">
        <v>999529.87871671282</v>
      </c>
      <c r="W263" s="258">
        <v>133792.38530821507</v>
      </c>
      <c r="X263" s="258">
        <v>137806.15686746151</v>
      </c>
      <c r="Y263" s="258">
        <v>141940.34157348541</v>
      </c>
      <c r="Z263" s="258">
        <v>0</v>
      </c>
      <c r="AA263" s="258">
        <v>0</v>
      </c>
      <c r="AB263" s="258">
        <v>0</v>
      </c>
      <c r="AC263" s="258">
        <v>0</v>
      </c>
      <c r="AD263" s="259">
        <v>0</v>
      </c>
      <c r="AE263" s="259">
        <v>0</v>
      </c>
      <c r="AF263" s="259">
        <v>0</v>
      </c>
      <c r="AG263" s="259">
        <v>0</v>
      </c>
      <c r="AH263" s="259">
        <v>0</v>
      </c>
      <c r="AI263" s="259">
        <v>0</v>
      </c>
      <c r="AJ263" s="259">
        <v>0</v>
      </c>
      <c r="AK263" s="259">
        <v>0</v>
      </c>
      <c r="AL263" s="259">
        <v>0</v>
      </c>
      <c r="AM263" s="259">
        <v>0</v>
      </c>
      <c r="AN263" s="259">
        <v>0</v>
      </c>
      <c r="AO263" s="259">
        <v>0</v>
      </c>
      <c r="AP263" s="259"/>
      <c r="AQ263" s="259"/>
      <c r="AR263" s="259"/>
      <c r="AS263" s="259"/>
      <c r="AT263" s="259"/>
      <c r="AU263" s="259"/>
      <c r="AV263" s="259"/>
      <c r="AW263" s="259"/>
      <c r="AX263" s="259"/>
      <c r="AY263" s="259"/>
      <c r="AZ263" s="259"/>
      <c r="BA263" s="259"/>
      <c r="BB263" s="259"/>
      <c r="BC263" s="259"/>
      <c r="BD263" s="259"/>
      <c r="BE263" s="259"/>
      <c r="BF263" s="259"/>
      <c r="BG263" s="259"/>
      <c r="BH263" s="259"/>
      <c r="BI263" s="259"/>
      <c r="BJ263" s="259"/>
      <c r="BK263" s="259"/>
    </row>
    <row r="264" spans="1:63" s="133" customFormat="1" ht="12.75">
      <c r="A264" s="169"/>
      <c r="B264" s="307" t="str">
        <f>Servicio_internaColumna_título_total</f>
        <v>Total</v>
      </c>
      <c r="C264" s="308">
        <v>0</v>
      </c>
      <c r="D264" s="309">
        <v>0</v>
      </c>
      <c r="E264" s="309">
        <v>0</v>
      </c>
      <c r="F264" s="309">
        <v>0</v>
      </c>
      <c r="G264" s="309">
        <v>0</v>
      </c>
      <c r="H264" s="309">
        <v>0</v>
      </c>
      <c r="I264" s="309">
        <v>0</v>
      </c>
      <c r="J264" s="309">
        <v>28049334.355333086</v>
      </c>
      <c r="K264" s="309">
        <v>25332286.05898815</v>
      </c>
      <c r="L264" s="309">
        <v>26132497.331656102</v>
      </c>
      <c r="M264" s="309">
        <v>8907702.3167360723</v>
      </c>
      <c r="N264" s="309">
        <v>10736930.143863406</v>
      </c>
      <c r="O264" s="309">
        <v>6451364.8963190597</v>
      </c>
      <c r="P264" s="309">
        <v>9555152.508285135</v>
      </c>
      <c r="Q264" s="309">
        <v>15319215.169009345</v>
      </c>
      <c r="R264" s="309">
        <v>1056907.8513529773</v>
      </c>
      <c r="S264" s="309">
        <v>988507.57157533802</v>
      </c>
      <c r="T264" s="309">
        <v>992073.3444997773</v>
      </c>
      <c r="U264" s="309">
        <v>995746.51406477066</v>
      </c>
      <c r="V264" s="309">
        <v>8905296.7787167132</v>
      </c>
      <c r="W264" s="309">
        <v>133792.38530821507</v>
      </c>
      <c r="X264" s="309">
        <v>137806.15686746151</v>
      </c>
      <c r="Y264" s="309">
        <v>1995487.0468214853</v>
      </c>
      <c r="Z264" s="309">
        <v>0</v>
      </c>
      <c r="AA264" s="309">
        <v>0</v>
      </c>
      <c r="AB264" s="309">
        <v>0</v>
      </c>
      <c r="AC264" s="309">
        <v>0</v>
      </c>
      <c r="AD264" s="309">
        <v>0</v>
      </c>
      <c r="AE264" s="309">
        <v>0</v>
      </c>
      <c r="AF264" s="309">
        <v>0</v>
      </c>
      <c r="AG264" s="309">
        <v>0</v>
      </c>
      <c r="AH264" s="309">
        <v>0</v>
      </c>
      <c r="AI264" s="309">
        <v>0</v>
      </c>
      <c r="AJ264" s="309">
        <v>0</v>
      </c>
      <c r="AK264" s="309">
        <v>0</v>
      </c>
      <c r="AL264" s="309">
        <v>0</v>
      </c>
      <c r="AM264" s="309">
        <v>0</v>
      </c>
      <c r="AN264" s="309">
        <v>0</v>
      </c>
      <c r="AO264" s="309">
        <v>0</v>
      </c>
      <c r="AP264" s="309"/>
      <c r="AQ264" s="309"/>
      <c r="AR264" s="309"/>
      <c r="AS264" s="309"/>
      <c r="AT264" s="309"/>
      <c r="AU264" s="309"/>
      <c r="AV264" s="309"/>
      <c r="AW264" s="309"/>
      <c r="AX264" s="309"/>
      <c r="AY264" s="309"/>
      <c r="AZ264" s="309"/>
      <c r="BA264" s="309"/>
      <c r="BB264" s="309"/>
      <c r="BC264" s="309"/>
      <c r="BD264" s="309"/>
      <c r="BE264" s="309"/>
      <c r="BF264" s="309"/>
      <c r="BG264" s="309"/>
      <c r="BH264" s="309"/>
      <c r="BI264" s="309"/>
      <c r="BJ264" s="309"/>
      <c r="BK264" s="309"/>
    </row>
    <row r="265" spans="1:63" s="80" customFormat="1" ht="12.75">
      <c r="A265" s="167"/>
      <c r="B265" s="210" t="str">
        <f>Servicio_internaColumna_título_amortizaciones</f>
        <v>Amortizaciones</v>
      </c>
      <c r="C265" s="254">
        <v>0</v>
      </c>
      <c r="D265" s="255">
        <v>0</v>
      </c>
      <c r="E265" s="255">
        <v>0</v>
      </c>
      <c r="F265" s="255">
        <v>0</v>
      </c>
      <c r="G265" s="255">
        <v>0</v>
      </c>
      <c r="H265" s="255">
        <v>0</v>
      </c>
      <c r="I265" s="255">
        <v>0</v>
      </c>
      <c r="J265" s="255">
        <v>19747783.066955194</v>
      </c>
      <c r="K265" s="255">
        <v>18271315.771840051</v>
      </c>
      <c r="L265" s="255">
        <v>20241912.401587907</v>
      </c>
      <c r="M265" s="255">
        <v>4663286.4278075965</v>
      </c>
      <c r="N265" s="255">
        <v>6916188.6571409861</v>
      </c>
      <c r="O265" s="255">
        <v>4114053.9983954737</v>
      </c>
      <c r="P265" s="255">
        <v>6728256.0838089297</v>
      </c>
      <c r="Q265" s="255">
        <v>14143223.868925998</v>
      </c>
      <c r="R265" s="255">
        <v>72817.072676332915</v>
      </c>
      <c r="S265" s="255">
        <v>0.41657734227973414</v>
      </c>
      <c r="T265" s="255">
        <v>0</v>
      </c>
      <c r="U265" s="255">
        <v>0</v>
      </c>
      <c r="V265" s="255">
        <v>8133318.9999999991</v>
      </c>
      <c r="W265" s="255">
        <v>0</v>
      </c>
      <c r="X265" s="255">
        <v>0</v>
      </c>
      <c r="Y265" s="255">
        <v>2008975.7262116</v>
      </c>
      <c r="Z265" s="255">
        <v>0</v>
      </c>
      <c r="AA265" s="255">
        <v>0</v>
      </c>
      <c r="AB265" s="255">
        <v>0</v>
      </c>
      <c r="AC265" s="255">
        <v>0</v>
      </c>
      <c r="AD265" s="255">
        <v>0</v>
      </c>
      <c r="AE265" s="255">
        <v>0</v>
      </c>
      <c r="AF265" s="255">
        <v>0</v>
      </c>
      <c r="AG265" s="255">
        <v>0</v>
      </c>
      <c r="AH265" s="255">
        <v>0</v>
      </c>
      <c r="AI265" s="255">
        <v>0</v>
      </c>
      <c r="AJ265" s="255">
        <v>0</v>
      </c>
      <c r="AK265" s="255">
        <v>0</v>
      </c>
      <c r="AL265" s="255">
        <v>0</v>
      </c>
      <c r="AM265" s="255">
        <v>0</v>
      </c>
      <c r="AN265" s="255">
        <v>0</v>
      </c>
      <c r="AO265" s="255">
        <v>0</v>
      </c>
      <c r="AP265" s="255"/>
      <c r="AQ265" s="255"/>
      <c r="AR265" s="255"/>
      <c r="AS265" s="255"/>
      <c r="AT265" s="255"/>
      <c r="AU265" s="255"/>
      <c r="AV265" s="255"/>
      <c r="AW265" s="255"/>
      <c r="AX265" s="255"/>
      <c r="AY265" s="255"/>
      <c r="AZ265" s="255"/>
      <c r="BA265" s="255"/>
      <c r="BB265" s="255"/>
      <c r="BC265" s="255"/>
      <c r="BD265" s="255"/>
      <c r="BE265" s="255"/>
      <c r="BF265" s="255"/>
      <c r="BG265" s="255"/>
      <c r="BH265" s="255"/>
      <c r="BI265" s="255"/>
      <c r="BJ265" s="255"/>
      <c r="BK265" s="255"/>
    </row>
    <row r="266" spans="1:63" s="133" customFormat="1" ht="12.75">
      <c r="A266" s="168">
        <v>39538</v>
      </c>
      <c r="B266" s="213" t="str">
        <f>Servicio_internaColumna_título_intereses</f>
        <v>Intereses</v>
      </c>
      <c r="C266" s="256">
        <v>0</v>
      </c>
      <c r="D266" s="257">
        <v>0</v>
      </c>
      <c r="E266" s="257">
        <v>0</v>
      </c>
      <c r="F266" s="257">
        <v>0</v>
      </c>
      <c r="G266" s="257">
        <v>0</v>
      </c>
      <c r="H266" s="257">
        <v>0</v>
      </c>
      <c r="I266" s="257">
        <v>0</v>
      </c>
      <c r="J266" s="257">
        <v>7968973.906416513</v>
      </c>
      <c r="K266" s="257">
        <v>7956195.7395909503</v>
      </c>
      <c r="L266" s="257">
        <v>6146177.2453446165</v>
      </c>
      <c r="M266" s="257">
        <v>4423656.7346590394</v>
      </c>
      <c r="N266" s="257">
        <v>4029174.9705439368</v>
      </c>
      <c r="O266" s="257">
        <v>3277840.119138075</v>
      </c>
      <c r="P266" s="257">
        <v>2933859.4444052475</v>
      </c>
      <c r="Q266" s="257">
        <v>2137945.6141384114</v>
      </c>
      <c r="R266" s="257">
        <v>1018114.377985172</v>
      </c>
      <c r="S266" s="257">
        <v>1021817.8566247271</v>
      </c>
      <c r="T266" s="257">
        <v>1025632.4396234689</v>
      </c>
      <c r="U266" s="258">
        <v>1029561.460112173</v>
      </c>
      <c r="V266" s="258">
        <v>1033608.3512155386</v>
      </c>
      <c r="W266" s="258">
        <v>143111.55905200433</v>
      </c>
      <c r="X266" s="258">
        <v>147404.90582356448</v>
      </c>
      <c r="Y266" s="258">
        <v>151827.05299827131</v>
      </c>
      <c r="Z266" s="258">
        <v>0</v>
      </c>
      <c r="AA266" s="258">
        <v>0</v>
      </c>
      <c r="AB266" s="258">
        <v>0</v>
      </c>
      <c r="AC266" s="258">
        <v>0</v>
      </c>
      <c r="AD266" s="259">
        <v>0</v>
      </c>
      <c r="AE266" s="259">
        <v>0</v>
      </c>
      <c r="AF266" s="259">
        <v>0</v>
      </c>
      <c r="AG266" s="259">
        <v>0</v>
      </c>
      <c r="AH266" s="259">
        <v>0</v>
      </c>
      <c r="AI266" s="259">
        <v>0</v>
      </c>
      <c r="AJ266" s="259">
        <v>0</v>
      </c>
      <c r="AK266" s="259">
        <v>0</v>
      </c>
      <c r="AL266" s="259">
        <v>0</v>
      </c>
      <c r="AM266" s="259">
        <v>0</v>
      </c>
      <c r="AN266" s="259">
        <v>0</v>
      </c>
      <c r="AO266" s="259">
        <v>0</v>
      </c>
      <c r="AP266" s="259"/>
      <c r="AQ266" s="259"/>
      <c r="AR266" s="259"/>
      <c r="AS266" s="259"/>
      <c r="AT266" s="259"/>
      <c r="AU266" s="259"/>
      <c r="AV266" s="259"/>
      <c r="AW266" s="259"/>
      <c r="AX266" s="259"/>
      <c r="AY266" s="259"/>
      <c r="AZ266" s="259"/>
      <c r="BA266" s="259"/>
      <c r="BB266" s="259"/>
      <c r="BC266" s="259"/>
      <c r="BD266" s="259"/>
      <c r="BE266" s="259"/>
      <c r="BF266" s="259"/>
      <c r="BG266" s="259"/>
      <c r="BH266" s="259"/>
      <c r="BI266" s="259"/>
      <c r="BJ266" s="259"/>
      <c r="BK266" s="259"/>
    </row>
    <row r="267" spans="1:63" s="133" customFormat="1" ht="12.75">
      <c r="A267" s="169"/>
      <c r="B267" s="307" t="str">
        <f>Servicio_internaColumna_título_total</f>
        <v>Total</v>
      </c>
      <c r="C267" s="308">
        <v>0</v>
      </c>
      <c r="D267" s="309">
        <v>0</v>
      </c>
      <c r="E267" s="309">
        <v>0</v>
      </c>
      <c r="F267" s="309">
        <v>0</v>
      </c>
      <c r="G267" s="309">
        <v>0</v>
      </c>
      <c r="H267" s="309">
        <v>0</v>
      </c>
      <c r="I267" s="309">
        <v>0</v>
      </c>
      <c r="J267" s="309">
        <v>27716756.973371707</v>
      </c>
      <c r="K267" s="309">
        <v>26227511.511431001</v>
      </c>
      <c r="L267" s="309">
        <v>26388089.646932524</v>
      </c>
      <c r="M267" s="309">
        <v>9086943.1624666359</v>
      </c>
      <c r="N267" s="309">
        <v>10945363.627684923</v>
      </c>
      <c r="O267" s="309">
        <v>7391894.1175335487</v>
      </c>
      <c r="P267" s="309">
        <v>9662115.5282141771</v>
      </c>
      <c r="Q267" s="309">
        <v>16281169.483064409</v>
      </c>
      <c r="R267" s="309">
        <v>1090931.4506615049</v>
      </c>
      <c r="S267" s="309">
        <v>1021818.2732020695</v>
      </c>
      <c r="T267" s="309">
        <v>1025632.4396234689</v>
      </c>
      <c r="U267" s="309">
        <v>1029561.460112173</v>
      </c>
      <c r="V267" s="309">
        <v>9166927.3512155376</v>
      </c>
      <c r="W267" s="309">
        <v>143111.55905200433</v>
      </c>
      <c r="X267" s="309">
        <v>147404.90582356448</v>
      </c>
      <c r="Y267" s="309">
        <v>2160802.7792098713</v>
      </c>
      <c r="Z267" s="309">
        <v>0</v>
      </c>
      <c r="AA267" s="309">
        <v>0</v>
      </c>
      <c r="AB267" s="309">
        <v>0</v>
      </c>
      <c r="AC267" s="309">
        <v>0</v>
      </c>
      <c r="AD267" s="309">
        <v>0</v>
      </c>
      <c r="AE267" s="309">
        <v>0</v>
      </c>
      <c r="AF267" s="309">
        <v>0</v>
      </c>
      <c r="AG267" s="309">
        <v>0</v>
      </c>
      <c r="AH267" s="309">
        <v>0</v>
      </c>
      <c r="AI267" s="309">
        <v>0</v>
      </c>
      <c r="AJ267" s="309">
        <v>0</v>
      </c>
      <c r="AK267" s="309">
        <v>0</v>
      </c>
      <c r="AL267" s="309">
        <v>0</v>
      </c>
      <c r="AM267" s="309">
        <v>0</v>
      </c>
      <c r="AN267" s="309">
        <v>0</v>
      </c>
      <c r="AO267" s="309">
        <v>0</v>
      </c>
      <c r="AP267" s="309"/>
      <c r="AQ267" s="309"/>
      <c r="AR267" s="309"/>
      <c r="AS267" s="309"/>
      <c r="AT267" s="309"/>
      <c r="AU267" s="309"/>
      <c r="AV267" s="309"/>
      <c r="AW267" s="309"/>
      <c r="AX267" s="309"/>
      <c r="AY267" s="309"/>
      <c r="AZ267" s="309"/>
      <c r="BA267" s="309"/>
      <c r="BB267" s="309"/>
      <c r="BC267" s="309"/>
      <c r="BD267" s="309"/>
      <c r="BE267" s="309"/>
      <c r="BF267" s="309"/>
      <c r="BG267" s="309"/>
      <c r="BH267" s="309"/>
      <c r="BI267" s="309"/>
      <c r="BJ267" s="309"/>
      <c r="BK267" s="309"/>
    </row>
    <row r="268" spans="1:63" s="80" customFormat="1" ht="12.75">
      <c r="A268" s="167"/>
      <c r="B268" s="210" t="str">
        <f>Servicio_internaColumna_título_amortizaciones</f>
        <v>Amortizaciones</v>
      </c>
      <c r="C268" s="254">
        <v>0</v>
      </c>
      <c r="D268" s="255">
        <v>0</v>
      </c>
      <c r="E268" s="255">
        <v>0</v>
      </c>
      <c r="F268" s="255">
        <v>0</v>
      </c>
      <c r="G268" s="255">
        <v>0</v>
      </c>
      <c r="H268" s="255">
        <v>0</v>
      </c>
      <c r="I268" s="255">
        <v>0</v>
      </c>
      <c r="J268" s="255">
        <v>13730567.398895347</v>
      </c>
      <c r="K268" s="255">
        <v>18446533.512505461</v>
      </c>
      <c r="L268" s="255">
        <v>20327093.418862544</v>
      </c>
      <c r="M268" s="255">
        <v>5837706.1321605798</v>
      </c>
      <c r="N268" s="255">
        <v>6950936.097221097</v>
      </c>
      <c r="O268" s="255">
        <v>5441885.6447474575</v>
      </c>
      <c r="P268" s="255">
        <v>6735813.8584032133</v>
      </c>
      <c r="Q268" s="255">
        <v>14997777.447045555</v>
      </c>
      <c r="R268" s="255">
        <v>73643.529258114984</v>
      </c>
      <c r="S268" s="255">
        <v>0.42130539675507245</v>
      </c>
      <c r="T268" s="255">
        <v>545864.9</v>
      </c>
      <c r="U268" s="255">
        <v>0</v>
      </c>
      <c r="V268" s="255">
        <v>8133319</v>
      </c>
      <c r="W268" s="255">
        <v>0</v>
      </c>
      <c r="X268" s="255">
        <v>0</v>
      </c>
      <c r="Y268" s="255">
        <v>2429079.8160007847</v>
      </c>
      <c r="Z268" s="255">
        <v>0</v>
      </c>
      <c r="AA268" s="255">
        <v>0</v>
      </c>
      <c r="AB268" s="255">
        <v>0</v>
      </c>
      <c r="AC268" s="255">
        <v>0</v>
      </c>
      <c r="AD268" s="255">
        <v>0</v>
      </c>
      <c r="AE268" s="255">
        <v>0</v>
      </c>
      <c r="AF268" s="255">
        <v>0</v>
      </c>
      <c r="AG268" s="255">
        <v>0</v>
      </c>
      <c r="AH268" s="255">
        <v>0</v>
      </c>
      <c r="AI268" s="255">
        <v>0</v>
      </c>
      <c r="AJ268" s="255">
        <v>0</v>
      </c>
      <c r="AK268" s="255">
        <v>0</v>
      </c>
      <c r="AL268" s="255">
        <v>0</v>
      </c>
      <c r="AM268" s="255">
        <v>0</v>
      </c>
      <c r="AN268" s="255">
        <v>0</v>
      </c>
      <c r="AO268" s="255">
        <v>0</v>
      </c>
      <c r="AP268" s="255"/>
      <c r="AQ268" s="255"/>
      <c r="AR268" s="255"/>
      <c r="AS268" s="255"/>
      <c r="AT268" s="255"/>
      <c r="AU268" s="255"/>
      <c r="AV268" s="255"/>
      <c r="AW268" s="255"/>
      <c r="AX268" s="255"/>
      <c r="AY268" s="255"/>
      <c r="AZ268" s="255"/>
      <c r="BA268" s="255"/>
      <c r="BB268" s="255"/>
      <c r="BC268" s="255"/>
      <c r="BD268" s="255"/>
      <c r="BE268" s="255"/>
      <c r="BF268" s="255"/>
      <c r="BG268" s="255"/>
      <c r="BH268" s="255"/>
      <c r="BI268" s="255"/>
      <c r="BJ268" s="255"/>
      <c r="BK268" s="255"/>
    </row>
    <row r="269" spans="1:63" s="133" customFormat="1" ht="12.75">
      <c r="A269" s="168">
        <v>39568</v>
      </c>
      <c r="B269" s="213" t="str">
        <f>Servicio_internaColumna_título_intereses</f>
        <v>Intereses</v>
      </c>
      <c r="C269" s="256">
        <v>0</v>
      </c>
      <c r="D269" s="257">
        <v>0</v>
      </c>
      <c r="E269" s="257">
        <v>0</v>
      </c>
      <c r="F269" s="257">
        <v>0</v>
      </c>
      <c r="G269" s="257">
        <v>0</v>
      </c>
      <c r="H269" s="257">
        <v>0</v>
      </c>
      <c r="I269" s="257">
        <v>0</v>
      </c>
      <c r="J269" s="257">
        <v>7310237.4950951021</v>
      </c>
      <c r="K269" s="257">
        <v>8344063.5437869169</v>
      </c>
      <c r="L269" s="257">
        <v>6536076.1183273457</v>
      </c>
      <c r="M269" s="257">
        <v>4813717.2933929171</v>
      </c>
      <c r="N269" s="257">
        <v>4292689.6678102594</v>
      </c>
      <c r="O269" s="257">
        <v>3542671.6436432665</v>
      </c>
      <c r="P269" s="257">
        <v>3079404.7957408614</v>
      </c>
      <c r="Q269" s="257">
        <v>2284212.9283058848</v>
      </c>
      <c r="R269" s="257">
        <v>1103663.9992551671</v>
      </c>
      <c r="S269" s="257">
        <v>1108091.6724953221</v>
      </c>
      <c r="T269" s="257">
        <v>1112652.1759326817</v>
      </c>
      <c r="U269" s="258">
        <v>1055939.6932231621</v>
      </c>
      <c r="V269" s="258">
        <v>1060777.931319857</v>
      </c>
      <c r="W269" s="258">
        <v>171096.22655945283</v>
      </c>
      <c r="X269" s="258">
        <v>176229.1133562364</v>
      </c>
      <c r="Y269" s="258">
        <v>181515.98675692361</v>
      </c>
      <c r="Z269" s="258">
        <v>0</v>
      </c>
      <c r="AA269" s="258">
        <v>0</v>
      </c>
      <c r="AB269" s="258">
        <v>0</v>
      </c>
      <c r="AC269" s="258">
        <v>0</v>
      </c>
      <c r="AD269" s="259">
        <v>0</v>
      </c>
      <c r="AE269" s="259">
        <v>0</v>
      </c>
      <c r="AF269" s="259">
        <v>0</v>
      </c>
      <c r="AG269" s="259">
        <v>0</v>
      </c>
      <c r="AH269" s="259">
        <v>0</v>
      </c>
      <c r="AI269" s="259">
        <v>0</v>
      </c>
      <c r="AJ269" s="259">
        <v>0</v>
      </c>
      <c r="AK269" s="259">
        <v>0</v>
      </c>
      <c r="AL269" s="259">
        <v>0</v>
      </c>
      <c r="AM269" s="259">
        <v>0</v>
      </c>
      <c r="AN269" s="259">
        <v>0</v>
      </c>
      <c r="AO269" s="259">
        <v>0</v>
      </c>
      <c r="AP269" s="259"/>
      <c r="AQ269" s="259"/>
      <c r="AR269" s="259"/>
      <c r="AS269" s="259"/>
      <c r="AT269" s="259"/>
      <c r="AU269" s="259"/>
      <c r="AV269" s="259"/>
      <c r="AW269" s="259"/>
      <c r="AX269" s="259"/>
      <c r="AY269" s="259"/>
      <c r="AZ269" s="259"/>
      <c r="BA269" s="259"/>
      <c r="BB269" s="259"/>
      <c r="BC269" s="259"/>
      <c r="BD269" s="259"/>
      <c r="BE269" s="259"/>
      <c r="BF269" s="259"/>
      <c r="BG269" s="259"/>
      <c r="BH269" s="259"/>
      <c r="BI269" s="259"/>
      <c r="BJ269" s="259"/>
      <c r="BK269" s="259"/>
    </row>
    <row r="270" spans="1:63" s="133" customFormat="1" ht="12.75">
      <c r="A270" s="169"/>
      <c r="B270" s="307" t="str">
        <f>Servicio_internaColumna_título_total</f>
        <v>Total</v>
      </c>
      <c r="C270" s="308">
        <v>0</v>
      </c>
      <c r="D270" s="309">
        <v>0</v>
      </c>
      <c r="E270" s="309">
        <v>0</v>
      </c>
      <c r="F270" s="309">
        <v>0</v>
      </c>
      <c r="G270" s="309">
        <v>0</v>
      </c>
      <c r="H270" s="309">
        <v>0</v>
      </c>
      <c r="I270" s="309">
        <v>0</v>
      </c>
      <c r="J270" s="309">
        <v>21040804.89399045</v>
      </c>
      <c r="K270" s="309">
        <v>26790597.056292377</v>
      </c>
      <c r="L270" s="309">
        <v>26863169.53718989</v>
      </c>
      <c r="M270" s="309">
        <v>10651423.425553497</v>
      </c>
      <c r="N270" s="309">
        <v>11243625.765031356</v>
      </c>
      <c r="O270" s="309">
        <v>8984557.288390724</v>
      </c>
      <c r="P270" s="309">
        <v>9815218.6541440748</v>
      </c>
      <c r="Q270" s="309">
        <v>17281990.37535144</v>
      </c>
      <c r="R270" s="309">
        <v>1177307.5285132821</v>
      </c>
      <c r="S270" s="309">
        <v>1108092.0938007189</v>
      </c>
      <c r="T270" s="309">
        <v>1658517.0759326816</v>
      </c>
      <c r="U270" s="309">
        <v>1055939.6932231621</v>
      </c>
      <c r="V270" s="309">
        <v>9194096.931319857</v>
      </c>
      <c r="W270" s="309">
        <v>171096.22655945283</v>
      </c>
      <c r="X270" s="309">
        <v>176229.1133562364</v>
      </c>
      <c r="Y270" s="309">
        <v>2610595.8027577084</v>
      </c>
      <c r="Z270" s="309">
        <v>0</v>
      </c>
      <c r="AA270" s="309">
        <v>0</v>
      </c>
      <c r="AB270" s="309">
        <v>0</v>
      </c>
      <c r="AC270" s="309">
        <v>0</v>
      </c>
      <c r="AD270" s="309">
        <v>0</v>
      </c>
      <c r="AE270" s="309">
        <v>0</v>
      </c>
      <c r="AF270" s="309">
        <v>0</v>
      </c>
      <c r="AG270" s="309">
        <v>0</v>
      </c>
      <c r="AH270" s="309">
        <v>0</v>
      </c>
      <c r="AI270" s="309">
        <v>0</v>
      </c>
      <c r="AJ270" s="309">
        <v>0</v>
      </c>
      <c r="AK270" s="309">
        <v>0</v>
      </c>
      <c r="AL270" s="309">
        <v>0</v>
      </c>
      <c r="AM270" s="309">
        <v>0</v>
      </c>
      <c r="AN270" s="309">
        <v>0</v>
      </c>
      <c r="AO270" s="309">
        <v>0</v>
      </c>
      <c r="AP270" s="309"/>
      <c r="AQ270" s="309"/>
      <c r="AR270" s="309"/>
      <c r="AS270" s="309"/>
      <c r="AT270" s="309"/>
      <c r="AU270" s="309"/>
      <c r="AV270" s="309"/>
      <c r="AW270" s="309"/>
      <c r="AX270" s="309"/>
      <c r="AY270" s="309"/>
      <c r="AZ270" s="309"/>
      <c r="BA270" s="309"/>
      <c r="BB270" s="309"/>
      <c r="BC270" s="309"/>
      <c r="BD270" s="309"/>
      <c r="BE270" s="309"/>
      <c r="BF270" s="309"/>
      <c r="BG270" s="309"/>
      <c r="BH270" s="309"/>
      <c r="BI270" s="309"/>
      <c r="BJ270" s="309"/>
      <c r="BK270" s="309"/>
    </row>
    <row r="271" spans="1:63" s="80" customFormat="1" ht="12.75">
      <c r="A271" s="167"/>
      <c r="B271" s="210" t="str">
        <f>Servicio_internaColumna_título_amortizaciones</f>
        <v>Amortizaciones</v>
      </c>
      <c r="C271" s="254">
        <v>0</v>
      </c>
      <c r="D271" s="255">
        <v>0</v>
      </c>
      <c r="E271" s="255">
        <v>0</v>
      </c>
      <c r="F271" s="255">
        <v>0</v>
      </c>
      <c r="G271" s="255">
        <v>0</v>
      </c>
      <c r="H271" s="255">
        <v>0</v>
      </c>
      <c r="I271" s="255">
        <v>0</v>
      </c>
      <c r="J271" s="255">
        <v>13045023.231854253</v>
      </c>
      <c r="K271" s="255">
        <v>18052303.366653245</v>
      </c>
      <c r="L271" s="255">
        <v>20378764.885645375</v>
      </c>
      <c r="M271" s="255">
        <v>6788872.6525390437</v>
      </c>
      <c r="N271" s="255">
        <v>6974848.4964984767</v>
      </c>
      <c r="O271" s="255">
        <v>6269458.4112183265</v>
      </c>
      <c r="P271" s="255">
        <v>6741009.5635660067</v>
      </c>
      <c r="Q271" s="255">
        <v>15454479.451412654</v>
      </c>
      <c r="R271" s="255">
        <v>74211.6891939825</v>
      </c>
      <c r="S271" s="255">
        <v>0.4245557685068394</v>
      </c>
      <c r="T271" s="255">
        <v>997779.9</v>
      </c>
      <c r="U271" s="255">
        <v>0</v>
      </c>
      <c r="V271" s="255">
        <v>8220630.7000000002</v>
      </c>
      <c r="W271" s="255">
        <v>0</v>
      </c>
      <c r="X271" s="255">
        <v>0</v>
      </c>
      <c r="Y271" s="255">
        <v>2539784.8560527982</v>
      </c>
      <c r="Z271" s="255">
        <v>0</v>
      </c>
      <c r="AA271" s="255">
        <v>0</v>
      </c>
      <c r="AB271" s="255">
        <v>0</v>
      </c>
      <c r="AC271" s="255">
        <v>0</v>
      </c>
      <c r="AD271" s="255">
        <v>0</v>
      </c>
      <c r="AE271" s="255">
        <v>0</v>
      </c>
      <c r="AF271" s="255">
        <v>0</v>
      </c>
      <c r="AG271" s="255">
        <v>0</v>
      </c>
      <c r="AH271" s="255">
        <v>0</v>
      </c>
      <c r="AI271" s="255">
        <v>0</v>
      </c>
      <c r="AJ271" s="255">
        <v>0</v>
      </c>
      <c r="AK271" s="255">
        <v>0</v>
      </c>
      <c r="AL271" s="255">
        <v>0</v>
      </c>
      <c r="AM271" s="255">
        <v>0</v>
      </c>
      <c r="AN271" s="255">
        <v>0</v>
      </c>
      <c r="AO271" s="255">
        <v>0</v>
      </c>
      <c r="AP271" s="255"/>
      <c r="AQ271" s="255"/>
      <c r="AR271" s="255"/>
      <c r="AS271" s="255"/>
      <c r="AT271" s="255"/>
      <c r="AU271" s="255"/>
      <c r="AV271" s="255"/>
      <c r="AW271" s="255"/>
      <c r="AX271" s="255"/>
      <c r="AY271" s="255"/>
      <c r="AZ271" s="255"/>
      <c r="BA271" s="255"/>
      <c r="BB271" s="255"/>
      <c r="BC271" s="255"/>
      <c r="BD271" s="255"/>
      <c r="BE271" s="255"/>
      <c r="BF271" s="255"/>
      <c r="BG271" s="255"/>
      <c r="BH271" s="255"/>
      <c r="BI271" s="255"/>
      <c r="BJ271" s="255"/>
      <c r="BK271" s="255"/>
    </row>
    <row r="272" spans="1:63" s="133" customFormat="1" ht="12.75">
      <c r="A272" s="168">
        <v>39599</v>
      </c>
      <c r="B272" s="213" t="str">
        <f>Servicio_internaColumna_título_intereses</f>
        <v>Intereses</v>
      </c>
      <c r="C272" s="256">
        <v>0</v>
      </c>
      <c r="D272" s="257">
        <v>0</v>
      </c>
      <c r="E272" s="257">
        <v>0</v>
      </c>
      <c r="F272" s="257">
        <v>0</v>
      </c>
      <c r="G272" s="257">
        <v>0</v>
      </c>
      <c r="H272" s="257">
        <v>0</v>
      </c>
      <c r="I272" s="257">
        <v>0</v>
      </c>
      <c r="J272" s="257">
        <v>6417442.2407365181</v>
      </c>
      <c r="K272" s="257">
        <v>8659147.6865894236</v>
      </c>
      <c r="L272" s="257">
        <v>6875588.9486893639</v>
      </c>
      <c r="M272" s="257">
        <v>5115490.6604584837</v>
      </c>
      <c r="N272" s="257">
        <v>4490690.919495061</v>
      </c>
      <c r="O272" s="257">
        <v>3736868.0860013068</v>
      </c>
      <c r="P272" s="257">
        <v>3194366.8464838117</v>
      </c>
      <c r="Q272" s="257">
        <v>2399738.611797424</v>
      </c>
      <c r="R272" s="257">
        <v>1173303.1798075123</v>
      </c>
      <c r="S272" s="257">
        <v>1178006.6867292379</v>
      </c>
      <c r="T272" s="257">
        <v>1182851.2988586151</v>
      </c>
      <c r="U272" s="258">
        <v>1075591.0106018733</v>
      </c>
      <c r="V272" s="258">
        <v>1080730.6596099297</v>
      </c>
      <c r="W272" s="258">
        <v>181755.12108822746</v>
      </c>
      <c r="X272" s="258">
        <v>187207.77472087427</v>
      </c>
      <c r="Y272" s="258">
        <v>192824.00796250068</v>
      </c>
      <c r="Z272" s="258">
        <v>0</v>
      </c>
      <c r="AA272" s="258">
        <v>0</v>
      </c>
      <c r="AB272" s="258">
        <v>0</v>
      </c>
      <c r="AC272" s="258">
        <v>0</v>
      </c>
      <c r="AD272" s="259">
        <v>0</v>
      </c>
      <c r="AE272" s="259">
        <v>0</v>
      </c>
      <c r="AF272" s="259">
        <v>0</v>
      </c>
      <c r="AG272" s="259">
        <v>0</v>
      </c>
      <c r="AH272" s="259">
        <v>0</v>
      </c>
      <c r="AI272" s="259">
        <v>0</v>
      </c>
      <c r="AJ272" s="259">
        <v>0</v>
      </c>
      <c r="AK272" s="259">
        <v>0</v>
      </c>
      <c r="AL272" s="259">
        <v>0</v>
      </c>
      <c r="AM272" s="259">
        <v>0</v>
      </c>
      <c r="AN272" s="259">
        <v>0</v>
      </c>
      <c r="AO272" s="259">
        <v>0</v>
      </c>
      <c r="AP272" s="259"/>
      <c r="AQ272" s="259"/>
      <c r="AR272" s="259"/>
      <c r="AS272" s="259"/>
      <c r="AT272" s="259"/>
      <c r="AU272" s="259"/>
      <c r="AV272" s="259"/>
      <c r="AW272" s="259"/>
      <c r="AX272" s="259"/>
      <c r="AY272" s="259"/>
      <c r="AZ272" s="259"/>
      <c r="BA272" s="259"/>
      <c r="BB272" s="259"/>
      <c r="BC272" s="259"/>
      <c r="BD272" s="259"/>
      <c r="BE272" s="259"/>
      <c r="BF272" s="259"/>
      <c r="BG272" s="259"/>
      <c r="BH272" s="259"/>
      <c r="BI272" s="259"/>
      <c r="BJ272" s="259"/>
      <c r="BK272" s="259"/>
    </row>
    <row r="273" spans="1:63" s="133" customFormat="1" ht="12.75">
      <c r="A273" s="169"/>
      <c r="B273" s="307" t="str">
        <f>Servicio_internaColumna_título_total</f>
        <v>Total</v>
      </c>
      <c r="C273" s="308">
        <v>0</v>
      </c>
      <c r="D273" s="309">
        <v>0</v>
      </c>
      <c r="E273" s="309">
        <v>0</v>
      </c>
      <c r="F273" s="309">
        <v>0</v>
      </c>
      <c r="G273" s="309">
        <v>0</v>
      </c>
      <c r="H273" s="309">
        <v>0</v>
      </c>
      <c r="I273" s="309">
        <v>0</v>
      </c>
      <c r="J273" s="309">
        <v>19462465.472590771</v>
      </c>
      <c r="K273" s="309">
        <v>26711451.053242669</v>
      </c>
      <c r="L273" s="309">
        <v>27254353.834334739</v>
      </c>
      <c r="M273" s="309">
        <v>11904363.312997527</v>
      </c>
      <c r="N273" s="309">
        <v>11465539.415993538</v>
      </c>
      <c r="O273" s="309">
        <v>10006326.497219633</v>
      </c>
      <c r="P273" s="309">
        <v>9935376.4100498185</v>
      </c>
      <c r="Q273" s="309">
        <v>17854218.063210078</v>
      </c>
      <c r="R273" s="309">
        <v>1247514.8690014947</v>
      </c>
      <c r="S273" s="309">
        <v>1178007.1112850064</v>
      </c>
      <c r="T273" s="309">
        <v>2180631.198858615</v>
      </c>
      <c r="U273" s="309">
        <v>1075591.0106018733</v>
      </c>
      <c r="V273" s="309">
        <v>9301361.3596099298</v>
      </c>
      <c r="W273" s="309">
        <v>181755.12108822746</v>
      </c>
      <c r="X273" s="309">
        <v>187207.77472087427</v>
      </c>
      <c r="Y273" s="309">
        <v>2732608.8640152989</v>
      </c>
      <c r="Z273" s="309">
        <v>0</v>
      </c>
      <c r="AA273" s="309">
        <v>0</v>
      </c>
      <c r="AB273" s="309">
        <v>0</v>
      </c>
      <c r="AC273" s="309">
        <v>0</v>
      </c>
      <c r="AD273" s="309">
        <v>0</v>
      </c>
      <c r="AE273" s="309">
        <v>0</v>
      </c>
      <c r="AF273" s="309">
        <v>0</v>
      </c>
      <c r="AG273" s="309">
        <v>0</v>
      </c>
      <c r="AH273" s="309">
        <v>0</v>
      </c>
      <c r="AI273" s="309">
        <v>0</v>
      </c>
      <c r="AJ273" s="309">
        <v>0</v>
      </c>
      <c r="AK273" s="309">
        <v>0</v>
      </c>
      <c r="AL273" s="309">
        <v>0</v>
      </c>
      <c r="AM273" s="309">
        <v>0</v>
      </c>
      <c r="AN273" s="309">
        <v>0</v>
      </c>
      <c r="AO273" s="309">
        <v>0</v>
      </c>
      <c r="AP273" s="309"/>
      <c r="AQ273" s="309"/>
      <c r="AR273" s="309"/>
      <c r="AS273" s="309"/>
      <c r="AT273" s="309"/>
      <c r="AU273" s="309"/>
      <c r="AV273" s="309"/>
      <c r="AW273" s="309"/>
      <c r="AX273" s="309"/>
      <c r="AY273" s="309"/>
      <c r="AZ273" s="309"/>
      <c r="BA273" s="309"/>
      <c r="BB273" s="309"/>
      <c r="BC273" s="309"/>
      <c r="BD273" s="309"/>
      <c r="BE273" s="309"/>
      <c r="BF273" s="309"/>
      <c r="BG273" s="309"/>
      <c r="BH273" s="309"/>
      <c r="BI273" s="309"/>
      <c r="BJ273" s="309"/>
      <c r="BK273" s="309"/>
    </row>
    <row r="274" spans="1:63" s="80" customFormat="1" ht="12.75">
      <c r="A274" s="167"/>
      <c r="B274" s="210" t="str">
        <f>Servicio_internaColumna_título_amortizaciones</f>
        <v>Amortizaciones</v>
      </c>
      <c r="C274" s="254">
        <v>0</v>
      </c>
      <c r="D274" s="255">
        <v>0</v>
      </c>
      <c r="E274" s="255">
        <v>0</v>
      </c>
      <c r="F274" s="255">
        <v>0</v>
      </c>
      <c r="G274" s="255">
        <v>0</v>
      </c>
      <c r="H274" s="255">
        <v>0</v>
      </c>
      <c r="I274" s="255">
        <v>0</v>
      </c>
      <c r="J274" s="255">
        <v>10266329.283894962</v>
      </c>
      <c r="K274" s="255">
        <v>18322141.899566293</v>
      </c>
      <c r="L274" s="255">
        <v>20437541.431603044</v>
      </c>
      <c r="M274" s="255">
        <v>7877979.956358511</v>
      </c>
      <c r="N274" s="255">
        <v>7000117.3398776772</v>
      </c>
      <c r="O274" s="255">
        <v>7042342.6712723235</v>
      </c>
      <c r="P274" s="255">
        <v>6746495.7597337486</v>
      </c>
      <c r="Q274" s="255">
        <v>15814910.948502041</v>
      </c>
      <c r="R274" s="255">
        <v>74811.614856651446</v>
      </c>
      <c r="S274" s="255">
        <v>0.42798786799854643</v>
      </c>
      <c r="T274" s="255">
        <v>1318674.2</v>
      </c>
      <c r="U274" s="255">
        <v>0</v>
      </c>
      <c r="V274" s="255">
        <v>8220630.7000000002</v>
      </c>
      <c r="W274" s="255">
        <v>0</v>
      </c>
      <c r="X274" s="255">
        <v>0</v>
      </c>
      <c r="Y274" s="255">
        <v>2850754.0207420229</v>
      </c>
      <c r="Z274" s="255">
        <v>0</v>
      </c>
      <c r="AA274" s="255">
        <v>0</v>
      </c>
      <c r="AB274" s="255">
        <v>0</v>
      </c>
      <c r="AC274" s="255">
        <v>0</v>
      </c>
      <c r="AD274" s="255">
        <v>0</v>
      </c>
      <c r="AE274" s="255">
        <v>0</v>
      </c>
      <c r="AF274" s="255">
        <v>0</v>
      </c>
      <c r="AG274" s="255">
        <v>0</v>
      </c>
      <c r="AH274" s="255">
        <v>0</v>
      </c>
      <c r="AI274" s="255">
        <v>0</v>
      </c>
      <c r="AJ274" s="255">
        <v>0</v>
      </c>
      <c r="AK274" s="255">
        <v>0</v>
      </c>
      <c r="AL274" s="255">
        <v>0</v>
      </c>
      <c r="AM274" s="255">
        <v>0</v>
      </c>
      <c r="AN274" s="255">
        <v>0</v>
      </c>
      <c r="AO274" s="255">
        <v>0</v>
      </c>
      <c r="AP274" s="255"/>
      <c r="AQ274" s="255"/>
      <c r="AR274" s="255"/>
      <c r="AS274" s="255"/>
      <c r="AT274" s="255"/>
      <c r="AU274" s="255"/>
      <c r="AV274" s="255"/>
      <c r="AW274" s="255"/>
      <c r="AX274" s="255"/>
      <c r="AY274" s="255"/>
      <c r="AZ274" s="255"/>
      <c r="BA274" s="255"/>
      <c r="BB274" s="255"/>
      <c r="BC274" s="255"/>
      <c r="BD274" s="255"/>
      <c r="BE274" s="255"/>
      <c r="BF274" s="255"/>
      <c r="BG274" s="255"/>
      <c r="BH274" s="255"/>
      <c r="BI274" s="255"/>
      <c r="BJ274" s="255"/>
      <c r="BK274" s="255"/>
    </row>
    <row r="275" spans="1:63" s="133" customFormat="1" ht="12.75">
      <c r="A275" s="168">
        <v>39629</v>
      </c>
      <c r="B275" s="213" t="str">
        <f>Servicio_internaColumna_título_intereses</f>
        <v>Intereses</v>
      </c>
      <c r="C275" s="256">
        <v>0</v>
      </c>
      <c r="D275" s="257">
        <v>0</v>
      </c>
      <c r="E275" s="257">
        <v>0</v>
      </c>
      <c r="F275" s="257">
        <v>0</v>
      </c>
      <c r="G275" s="257">
        <v>0</v>
      </c>
      <c r="H275" s="257">
        <v>0</v>
      </c>
      <c r="I275" s="257">
        <v>0</v>
      </c>
      <c r="J275" s="257">
        <v>5864419.0715464298</v>
      </c>
      <c r="K275" s="257">
        <v>8937227.7047993466</v>
      </c>
      <c r="L275" s="257">
        <v>7137232.6845264211</v>
      </c>
      <c r="M275" s="257">
        <v>5376977.1698961221</v>
      </c>
      <c r="N275" s="257">
        <v>4634084.9480271293</v>
      </c>
      <c r="O275" s="257">
        <v>3881114.3137388406</v>
      </c>
      <c r="P275" s="257">
        <v>3271179.6832918627</v>
      </c>
      <c r="Q275" s="257">
        <v>2476918.962140318</v>
      </c>
      <c r="R275" s="257">
        <v>1227189.0285611046</v>
      </c>
      <c r="S275" s="257">
        <v>1232426.0926829376</v>
      </c>
      <c r="T275" s="257">
        <v>1237820.268728426</v>
      </c>
      <c r="U275" s="258">
        <v>1095025.4225552785</v>
      </c>
      <c r="V275" s="258">
        <v>1100748.1039219378</v>
      </c>
      <c r="W275" s="258">
        <v>202373.08872959504</v>
      </c>
      <c r="X275" s="258">
        <v>208444.28139148289</v>
      </c>
      <c r="Y275" s="258">
        <v>214697.60983322747</v>
      </c>
      <c r="Z275" s="258">
        <v>0</v>
      </c>
      <c r="AA275" s="258">
        <v>0</v>
      </c>
      <c r="AB275" s="258">
        <v>0</v>
      </c>
      <c r="AC275" s="258">
        <v>0</v>
      </c>
      <c r="AD275" s="259">
        <v>0</v>
      </c>
      <c r="AE275" s="259">
        <v>0</v>
      </c>
      <c r="AF275" s="259">
        <v>0</v>
      </c>
      <c r="AG275" s="259">
        <v>0</v>
      </c>
      <c r="AH275" s="259">
        <v>0</v>
      </c>
      <c r="AI275" s="259">
        <v>0</v>
      </c>
      <c r="AJ275" s="259">
        <v>0</v>
      </c>
      <c r="AK275" s="259">
        <v>0</v>
      </c>
      <c r="AL275" s="259">
        <v>0</v>
      </c>
      <c r="AM275" s="259">
        <v>0</v>
      </c>
      <c r="AN275" s="259">
        <v>0</v>
      </c>
      <c r="AO275" s="259">
        <v>0</v>
      </c>
      <c r="AP275" s="259"/>
      <c r="AQ275" s="259"/>
      <c r="AR275" s="259"/>
      <c r="AS275" s="259"/>
      <c r="AT275" s="259"/>
      <c r="AU275" s="259"/>
      <c r="AV275" s="259"/>
      <c r="AW275" s="259"/>
      <c r="AX275" s="259"/>
      <c r="AY275" s="259"/>
      <c r="AZ275" s="259"/>
      <c r="BA275" s="259"/>
      <c r="BB275" s="259"/>
      <c r="BC275" s="259"/>
      <c r="BD275" s="259"/>
      <c r="BE275" s="259"/>
      <c r="BF275" s="259"/>
      <c r="BG275" s="259"/>
      <c r="BH275" s="259"/>
      <c r="BI275" s="259"/>
      <c r="BJ275" s="259"/>
      <c r="BK275" s="259"/>
    </row>
    <row r="276" spans="1:63" s="133" customFormat="1" ht="12.75">
      <c r="A276" s="169"/>
      <c r="B276" s="307" t="str">
        <f>Servicio_internaColumna_título_total</f>
        <v>Total</v>
      </c>
      <c r="C276" s="308">
        <v>0</v>
      </c>
      <c r="D276" s="309">
        <v>0</v>
      </c>
      <c r="E276" s="309">
        <v>0</v>
      </c>
      <c r="F276" s="309">
        <v>0</v>
      </c>
      <c r="G276" s="309">
        <v>0</v>
      </c>
      <c r="H276" s="309">
        <v>0</v>
      </c>
      <c r="I276" s="309">
        <v>0</v>
      </c>
      <c r="J276" s="309">
        <v>16130748.355441391</v>
      </c>
      <c r="K276" s="309">
        <v>27259369.604365639</v>
      </c>
      <c r="L276" s="309">
        <v>27574774.116129465</v>
      </c>
      <c r="M276" s="309">
        <v>13254957.126254633</v>
      </c>
      <c r="N276" s="309">
        <v>11634202.287904806</v>
      </c>
      <c r="O276" s="309">
        <v>10923456.985011164</v>
      </c>
      <c r="P276" s="309">
        <v>10017675.443025611</v>
      </c>
      <c r="Q276" s="309">
        <v>18291829.910642359</v>
      </c>
      <c r="R276" s="309">
        <v>1302000.6434177561</v>
      </c>
      <c r="S276" s="309">
        <v>1232426.5206708056</v>
      </c>
      <c r="T276" s="309">
        <v>2556494.4687284259</v>
      </c>
      <c r="U276" s="309">
        <v>1095025.4225552785</v>
      </c>
      <c r="V276" s="309">
        <v>9321378.8039219379</v>
      </c>
      <c r="W276" s="309">
        <v>202373.08872959504</v>
      </c>
      <c r="X276" s="309">
        <v>208444.28139148289</v>
      </c>
      <c r="Y276" s="309">
        <v>3065451.6305752504</v>
      </c>
      <c r="Z276" s="309">
        <v>0</v>
      </c>
      <c r="AA276" s="309">
        <v>0</v>
      </c>
      <c r="AB276" s="309">
        <v>0</v>
      </c>
      <c r="AC276" s="309">
        <v>0</v>
      </c>
      <c r="AD276" s="309">
        <v>0</v>
      </c>
      <c r="AE276" s="309">
        <v>0</v>
      </c>
      <c r="AF276" s="309">
        <v>0</v>
      </c>
      <c r="AG276" s="309">
        <v>0</v>
      </c>
      <c r="AH276" s="309">
        <v>0</v>
      </c>
      <c r="AI276" s="309">
        <v>0</v>
      </c>
      <c r="AJ276" s="309">
        <v>0</v>
      </c>
      <c r="AK276" s="309">
        <v>0</v>
      </c>
      <c r="AL276" s="309">
        <v>0</v>
      </c>
      <c r="AM276" s="309">
        <v>0</v>
      </c>
      <c r="AN276" s="309">
        <v>0</v>
      </c>
      <c r="AO276" s="309">
        <v>0</v>
      </c>
      <c r="AP276" s="309"/>
      <c r="AQ276" s="309"/>
      <c r="AR276" s="309"/>
      <c r="AS276" s="309"/>
      <c r="AT276" s="309"/>
      <c r="AU276" s="309"/>
      <c r="AV276" s="309"/>
      <c r="AW276" s="309"/>
      <c r="AX276" s="309"/>
      <c r="AY276" s="309"/>
      <c r="AZ276" s="309"/>
      <c r="BA276" s="309"/>
      <c r="BB276" s="309"/>
      <c r="BC276" s="309"/>
      <c r="BD276" s="309"/>
      <c r="BE276" s="309"/>
      <c r="BF276" s="309"/>
      <c r="BG276" s="309"/>
      <c r="BH276" s="309"/>
      <c r="BI276" s="309"/>
      <c r="BJ276" s="309"/>
      <c r="BK276" s="309"/>
    </row>
    <row r="277" spans="1:63" s="80" customFormat="1" ht="12.75">
      <c r="A277" s="167"/>
      <c r="B277" s="210" t="str">
        <f>Servicio_internaColumna_título_amortizaciones</f>
        <v>Amortizaciones</v>
      </c>
      <c r="C277" s="254">
        <v>0</v>
      </c>
      <c r="D277" s="255">
        <v>0</v>
      </c>
      <c r="E277" s="255">
        <v>0</v>
      </c>
      <c r="F277" s="255">
        <v>0</v>
      </c>
      <c r="G277" s="255">
        <v>0</v>
      </c>
      <c r="H277" s="255">
        <v>0</v>
      </c>
      <c r="I277" s="255">
        <v>0</v>
      </c>
      <c r="J277" s="255">
        <v>9835170.7487898991</v>
      </c>
      <c r="K277" s="255">
        <v>18780391.341119833</v>
      </c>
      <c r="L277" s="255">
        <v>20495359.776046928</v>
      </c>
      <c r="M277" s="255">
        <v>8898256.6457269229</v>
      </c>
      <c r="N277" s="255">
        <v>7028720.4694338767</v>
      </c>
      <c r="O277" s="255">
        <v>7642115.9048424307</v>
      </c>
      <c r="P277" s="255">
        <v>6752713.9624126367</v>
      </c>
      <c r="Q277" s="255">
        <v>15888419.497135656</v>
      </c>
      <c r="R277" s="255">
        <v>75491.586780491096</v>
      </c>
      <c r="S277" s="255">
        <v>0.43187790211344468</v>
      </c>
      <c r="T277" s="255">
        <v>1662780.9</v>
      </c>
      <c r="U277" s="255">
        <v>0</v>
      </c>
      <c r="V277" s="255">
        <v>8235698</v>
      </c>
      <c r="W277" s="255">
        <v>0</v>
      </c>
      <c r="X277" s="255">
        <v>0</v>
      </c>
      <c r="Y277" s="255">
        <v>3051237.8668844863</v>
      </c>
      <c r="Z277" s="255">
        <v>0</v>
      </c>
      <c r="AA277" s="255">
        <v>0</v>
      </c>
      <c r="AB277" s="255">
        <v>0</v>
      </c>
      <c r="AC277" s="255">
        <v>0</v>
      </c>
      <c r="AD277" s="255">
        <v>0</v>
      </c>
      <c r="AE277" s="255">
        <v>0</v>
      </c>
      <c r="AF277" s="255">
        <v>0</v>
      </c>
      <c r="AG277" s="255">
        <v>0</v>
      </c>
      <c r="AH277" s="255">
        <v>0</v>
      </c>
      <c r="AI277" s="255">
        <v>0</v>
      </c>
      <c r="AJ277" s="255">
        <v>0</v>
      </c>
      <c r="AK277" s="255">
        <v>0</v>
      </c>
      <c r="AL277" s="255">
        <v>0</v>
      </c>
      <c r="AM277" s="255">
        <v>0</v>
      </c>
      <c r="AN277" s="255">
        <v>0</v>
      </c>
      <c r="AO277" s="255">
        <v>0</v>
      </c>
      <c r="AP277" s="255"/>
      <c r="AQ277" s="255"/>
      <c r="AR277" s="255"/>
      <c r="AS277" s="255"/>
      <c r="AT277" s="255"/>
      <c r="AU277" s="255"/>
      <c r="AV277" s="255"/>
      <c r="AW277" s="255"/>
      <c r="AX277" s="255"/>
      <c r="AY277" s="255"/>
      <c r="AZ277" s="255"/>
      <c r="BA277" s="255"/>
      <c r="BB277" s="255"/>
      <c r="BC277" s="255"/>
      <c r="BD277" s="255"/>
      <c r="BE277" s="255"/>
      <c r="BF277" s="255"/>
      <c r="BG277" s="255"/>
      <c r="BH277" s="255"/>
      <c r="BI277" s="255"/>
      <c r="BJ277" s="255"/>
      <c r="BK277" s="255"/>
    </row>
    <row r="278" spans="1:63" s="133" customFormat="1" ht="12.75">
      <c r="A278" s="168">
        <v>39660</v>
      </c>
      <c r="B278" s="213" t="str">
        <f>Servicio_internaColumna_título_intereses</f>
        <v>Intereses</v>
      </c>
      <c r="C278" s="256">
        <v>0</v>
      </c>
      <c r="D278" s="257">
        <v>0</v>
      </c>
      <c r="E278" s="257">
        <v>0</v>
      </c>
      <c r="F278" s="257">
        <v>0</v>
      </c>
      <c r="G278" s="257">
        <v>0</v>
      </c>
      <c r="H278" s="257">
        <v>0</v>
      </c>
      <c r="I278" s="257">
        <v>0</v>
      </c>
      <c r="J278" s="257">
        <v>4180329.710088823</v>
      </c>
      <c r="K278" s="257">
        <v>9157641.1889567263</v>
      </c>
      <c r="L278" s="257">
        <v>7375095.3902296908</v>
      </c>
      <c r="M278" s="257">
        <v>5608418.7797330674</v>
      </c>
      <c r="N278" s="257">
        <v>4754666.8735217759</v>
      </c>
      <c r="O278" s="257">
        <v>3999218.8537072372</v>
      </c>
      <c r="P278" s="257">
        <v>3335036.3837452009</v>
      </c>
      <c r="Q278" s="257">
        <v>2541406.4281998556</v>
      </c>
      <c r="R278" s="257">
        <v>1281320.4826701256</v>
      </c>
      <c r="S278" s="257">
        <v>1286970.4082127295</v>
      </c>
      <c r="T278" s="257">
        <v>1292789.8315216112</v>
      </c>
      <c r="U278" s="258">
        <v>1111720.9862797596</v>
      </c>
      <c r="V278" s="258">
        <v>1117894.8124681525</v>
      </c>
      <c r="W278" s="258">
        <v>218327.07344219694</v>
      </c>
      <c r="X278" s="258">
        <v>224876.88564546284</v>
      </c>
      <c r="Y278" s="258">
        <v>231623.19221482659</v>
      </c>
      <c r="Z278" s="258">
        <v>0</v>
      </c>
      <c r="AA278" s="258">
        <v>0</v>
      </c>
      <c r="AB278" s="258">
        <v>0</v>
      </c>
      <c r="AC278" s="258">
        <v>0</v>
      </c>
      <c r="AD278" s="259">
        <v>0</v>
      </c>
      <c r="AE278" s="259">
        <v>0</v>
      </c>
      <c r="AF278" s="259">
        <v>0</v>
      </c>
      <c r="AG278" s="259">
        <v>0</v>
      </c>
      <c r="AH278" s="259">
        <v>0</v>
      </c>
      <c r="AI278" s="259">
        <v>0</v>
      </c>
      <c r="AJ278" s="259">
        <v>0</v>
      </c>
      <c r="AK278" s="259">
        <v>0</v>
      </c>
      <c r="AL278" s="259">
        <v>0</v>
      </c>
      <c r="AM278" s="259">
        <v>0</v>
      </c>
      <c r="AN278" s="259">
        <v>0</v>
      </c>
      <c r="AO278" s="259">
        <v>0</v>
      </c>
      <c r="AP278" s="259"/>
      <c r="AQ278" s="259"/>
      <c r="AR278" s="259"/>
      <c r="AS278" s="259"/>
      <c r="AT278" s="259"/>
      <c r="AU278" s="259"/>
      <c r="AV278" s="259"/>
      <c r="AW278" s="259"/>
      <c r="AX278" s="259"/>
      <c r="AY278" s="259"/>
      <c r="AZ278" s="259"/>
      <c r="BA278" s="259"/>
      <c r="BB278" s="259"/>
      <c r="BC278" s="259"/>
      <c r="BD278" s="259"/>
      <c r="BE278" s="259"/>
      <c r="BF278" s="259"/>
      <c r="BG278" s="259"/>
      <c r="BH278" s="259"/>
      <c r="BI278" s="259"/>
      <c r="BJ278" s="259"/>
      <c r="BK278" s="259"/>
    </row>
    <row r="279" spans="1:63" s="133" customFormat="1" ht="12.75">
      <c r="A279" s="169"/>
      <c r="B279" s="307" t="str">
        <f>Servicio_internaColumna_título_total</f>
        <v>Total</v>
      </c>
      <c r="C279" s="308">
        <v>0</v>
      </c>
      <c r="D279" s="309">
        <v>0</v>
      </c>
      <c r="E279" s="309">
        <v>0</v>
      </c>
      <c r="F279" s="309">
        <v>0</v>
      </c>
      <c r="G279" s="309">
        <v>0</v>
      </c>
      <c r="H279" s="309">
        <v>0</v>
      </c>
      <c r="I279" s="309">
        <v>0</v>
      </c>
      <c r="J279" s="309">
        <v>14015500.458878722</v>
      </c>
      <c r="K279" s="309">
        <v>27938032.53007656</v>
      </c>
      <c r="L279" s="309">
        <v>27870455.166276619</v>
      </c>
      <c r="M279" s="309">
        <v>14506675.42545999</v>
      </c>
      <c r="N279" s="309">
        <v>11783387.342955653</v>
      </c>
      <c r="O279" s="309">
        <v>11641334.758549668</v>
      </c>
      <c r="P279" s="309">
        <v>10087750.346157838</v>
      </c>
      <c r="Q279" s="309">
        <v>18429825.925335512</v>
      </c>
      <c r="R279" s="309">
        <v>1356812.0694506166</v>
      </c>
      <c r="S279" s="309">
        <v>1286970.8400906315</v>
      </c>
      <c r="T279" s="309">
        <v>2955570.7315216111</v>
      </c>
      <c r="U279" s="309">
        <v>1111720.9862797596</v>
      </c>
      <c r="V279" s="309">
        <v>9353592.8124681525</v>
      </c>
      <c r="W279" s="309">
        <v>218327.07344219694</v>
      </c>
      <c r="X279" s="309">
        <v>224876.88564546284</v>
      </c>
      <c r="Y279" s="309">
        <v>3282861.0590993129</v>
      </c>
      <c r="Z279" s="309">
        <v>0</v>
      </c>
      <c r="AA279" s="309">
        <v>0</v>
      </c>
      <c r="AB279" s="309">
        <v>0</v>
      </c>
      <c r="AC279" s="309">
        <v>0</v>
      </c>
      <c r="AD279" s="309">
        <v>0</v>
      </c>
      <c r="AE279" s="309">
        <v>0</v>
      </c>
      <c r="AF279" s="309">
        <v>0</v>
      </c>
      <c r="AG279" s="309">
        <v>0</v>
      </c>
      <c r="AH279" s="309">
        <v>0</v>
      </c>
      <c r="AI279" s="309">
        <v>0</v>
      </c>
      <c r="AJ279" s="309">
        <v>0</v>
      </c>
      <c r="AK279" s="309">
        <v>0</v>
      </c>
      <c r="AL279" s="309">
        <v>0</v>
      </c>
      <c r="AM279" s="309">
        <v>0</v>
      </c>
      <c r="AN279" s="309">
        <v>0</v>
      </c>
      <c r="AO279" s="309">
        <v>0</v>
      </c>
      <c r="AP279" s="309"/>
      <c r="AQ279" s="309"/>
      <c r="AR279" s="309"/>
      <c r="AS279" s="309"/>
      <c r="AT279" s="309"/>
      <c r="AU279" s="309"/>
      <c r="AV279" s="309"/>
      <c r="AW279" s="309"/>
      <c r="AX279" s="309"/>
      <c r="AY279" s="309"/>
      <c r="AZ279" s="309"/>
      <c r="BA279" s="309"/>
      <c r="BB279" s="309"/>
      <c r="BC279" s="309"/>
      <c r="BD279" s="309"/>
      <c r="BE279" s="309"/>
      <c r="BF279" s="309"/>
      <c r="BG279" s="309"/>
      <c r="BH279" s="309"/>
      <c r="BI279" s="309"/>
      <c r="BJ279" s="309"/>
      <c r="BK279" s="309"/>
    </row>
    <row r="280" spans="1:63" s="80" customFormat="1" ht="12.75">
      <c r="A280" s="167"/>
      <c r="B280" s="210" t="str">
        <f>Servicio_internaColumna_título_amortizaciones</f>
        <v>Amortizaciones</v>
      </c>
      <c r="C280" s="254">
        <v>0</v>
      </c>
      <c r="D280" s="255">
        <v>0</v>
      </c>
      <c r="E280" s="255">
        <v>0</v>
      </c>
      <c r="F280" s="255">
        <v>0</v>
      </c>
      <c r="G280" s="255">
        <v>0</v>
      </c>
      <c r="H280" s="255">
        <v>0</v>
      </c>
      <c r="I280" s="255">
        <v>0</v>
      </c>
      <c r="J280" s="255">
        <v>3662758.7753085997</v>
      </c>
      <c r="K280" s="255">
        <v>19189971.667873248</v>
      </c>
      <c r="L280" s="255">
        <v>20540999.242973506</v>
      </c>
      <c r="M280" s="255">
        <v>9965338.8481935579</v>
      </c>
      <c r="N280" s="255">
        <v>7049802.3814470666</v>
      </c>
      <c r="O280" s="255">
        <v>8149116.3733137501</v>
      </c>
      <c r="P280" s="255">
        <v>6794795.9379058219</v>
      </c>
      <c r="Q280" s="255">
        <v>15949737.093373302</v>
      </c>
      <c r="R280" s="255">
        <v>75992.634245808644</v>
      </c>
      <c r="S280" s="255">
        <v>0.43474433183639921</v>
      </c>
      <c r="T280" s="255">
        <v>2267027.1</v>
      </c>
      <c r="U280" s="255">
        <v>0</v>
      </c>
      <c r="V280" s="255">
        <v>8287171.2999999998</v>
      </c>
      <c r="W280" s="255">
        <v>0</v>
      </c>
      <c r="X280" s="255">
        <v>0</v>
      </c>
      <c r="Y280" s="255">
        <v>3387598.3880076478</v>
      </c>
      <c r="Z280" s="255">
        <v>0</v>
      </c>
      <c r="AA280" s="255">
        <v>0</v>
      </c>
      <c r="AB280" s="255">
        <v>0</v>
      </c>
      <c r="AC280" s="255">
        <v>0</v>
      </c>
      <c r="AD280" s="255">
        <v>0</v>
      </c>
      <c r="AE280" s="255">
        <v>0</v>
      </c>
      <c r="AF280" s="255">
        <v>0</v>
      </c>
      <c r="AG280" s="255">
        <v>0</v>
      </c>
      <c r="AH280" s="255">
        <v>0</v>
      </c>
      <c r="AI280" s="255">
        <v>0</v>
      </c>
      <c r="AJ280" s="255">
        <v>0</v>
      </c>
      <c r="AK280" s="255">
        <v>0</v>
      </c>
      <c r="AL280" s="255">
        <v>0</v>
      </c>
      <c r="AM280" s="255">
        <v>0</v>
      </c>
      <c r="AN280" s="255">
        <v>0</v>
      </c>
      <c r="AO280" s="255">
        <v>0</v>
      </c>
      <c r="AP280" s="255"/>
      <c r="AQ280" s="255"/>
      <c r="AR280" s="255"/>
      <c r="AS280" s="255"/>
      <c r="AT280" s="255"/>
      <c r="AU280" s="255"/>
      <c r="AV280" s="255"/>
      <c r="AW280" s="255"/>
      <c r="AX280" s="255"/>
      <c r="AY280" s="255"/>
      <c r="AZ280" s="255"/>
      <c r="BA280" s="255"/>
      <c r="BB280" s="255"/>
      <c r="BC280" s="255"/>
      <c r="BD280" s="255"/>
      <c r="BE280" s="255"/>
      <c r="BF280" s="255"/>
      <c r="BG280" s="255"/>
      <c r="BH280" s="255"/>
      <c r="BI280" s="255"/>
      <c r="BJ280" s="255"/>
      <c r="BK280" s="255"/>
    </row>
    <row r="281" spans="1:63" s="133" customFormat="1" ht="12.75">
      <c r="A281" s="168">
        <v>39691</v>
      </c>
      <c r="B281" s="213" t="str">
        <f>Servicio_internaColumna_título_intereses</f>
        <v>Intereses</v>
      </c>
      <c r="C281" s="256">
        <v>0</v>
      </c>
      <c r="D281" s="257">
        <v>0</v>
      </c>
      <c r="E281" s="257">
        <v>0</v>
      </c>
      <c r="F281" s="257">
        <v>0</v>
      </c>
      <c r="G281" s="257">
        <v>0</v>
      </c>
      <c r="H281" s="257">
        <v>0</v>
      </c>
      <c r="I281" s="257">
        <v>0</v>
      </c>
      <c r="J281" s="257">
        <v>3420222.8430687999</v>
      </c>
      <c r="K281" s="257">
        <v>9419866.2617569305</v>
      </c>
      <c r="L281" s="257">
        <v>7635845.1652242877</v>
      </c>
      <c r="M281" s="257">
        <v>5868982.8334450591</v>
      </c>
      <c r="N281" s="257">
        <v>4899314.948652043</v>
      </c>
      <c r="O281" s="257">
        <v>4144504.686631483</v>
      </c>
      <c r="P281" s="257">
        <v>3432677.3778056595</v>
      </c>
      <c r="Q281" s="257">
        <v>2634556.1959334351</v>
      </c>
      <c r="R281" s="257">
        <v>1374342.7256977917</v>
      </c>
      <c r="S281" s="257">
        <v>1380574.1257162252</v>
      </c>
      <c r="T281" s="257">
        <v>1386992.4677352118</v>
      </c>
      <c r="U281" s="258">
        <v>1138562.8112647685</v>
      </c>
      <c r="V281" s="258">
        <v>1145372.0303127123</v>
      </c>
      <c r="W281" s="258">
        <v>240796.68293209295</v>
      </c>
      <c r="X281" s="258">
        <v>248020.58342005574</v>
      </c>
      <c r="Y281" s="258">
        <v>255461.20092265727</v>
      </c>
      <c r="Z281" s="258">
        <v>0</v>
      </c>
      <c r="AA281" s="258">
        <v>0</v>
      </c>
      <c r="AB281" s="258">
        <v>0</v>
      </c>
      <c r="AC281" s="258">
        <v>0</v>
      </c>
      <c r="AD281" s="259">
        <v>0</v>
      </c>
      <c r="AE281" s="259">
        <v>0</v>
      </c>
      <c r="AF281" s="259">
        <v>0</v>
      </c>
      <c r="AG281" s="259">
        <v>0</v>
      </c>
      <c r="AH281" s="259">
        <v>0</v>
      </c>
      <c r="AI281" s="259">
        <v>0</v>
      </c>
      <c r="AJ281" s="259">
        <v>0</v>
      </c>
      <c r="AK281" s="259">
        <v>0</v>
      </c>
      <c r="AL281" s="259">
        <v>0</v>
      </c>
      <c r="AM281" s="259">
        <v>0</v>
      </c>
      <c r="AN281" s="259">
        <v>0</v>
      </c>
      <c r="AO281" s="259">
        <v>0</v>
      </c>
      <c r="AP281" s="259"/>
      <c r="AQ281" s="259"/>
      <c r="AR281" s="259"/>
      <c r="AS281" s="259"/>
      <c r="AT281" s="259"/>
      <c r="AU281" s="259"/>
      <c r="AV281" s="259"/>
      <c r="AW281" s="259"/>
      <c r="AX281" s="259"/>
      <c r="AY281" s="259"/>
      <c r="AZ281" s="259"/>
      <c r="BA281" s="259"/>
      <c r="BB281" s="259"/>
      <c r="BC281" s="259"/>
      <c r="BD281" s="259"/>
      <c r="BE281" s="259"/>
      <c r="BF281" s="259"/>
      <c r="BG281" s="259"/>
      <c r="BH281" s="259"/>
      <c r="BI281" s="259"/>
      <c r="BJ281" s="259"/>
      <c r="BK281" s="259"/>
    </row>
    <row r="282" spans="1:63" s="133" customFormat="1" ht="12.75">
      <c r="A282" s="169"/>
      <c r="B282" s="307" t="str">
        <f>Servicio_internaColumna_título_total</f>
        <v>Total</v>
      </c>
      <c r="C282" s="308">
        <v>0</v>
      </c>
      <c r="D282" s="309">
        <v>0</v>
      </c>
      <c r="E282" s="309">
        <v>0</v>
      </c>
      <c r="F282" s="309">
        <v>0</v>
      </c>
      <c r="G282" s="309">
        <v>0</v>
      </c>
      <c r="H282" s="309">
        <v>0</v>
      </c>
      <c r="I282" s="309">
        <v>0</v>
      </c>
      <c r="J282" s="309">
        <v>7082981.6183773996</v>
      </c>
      <c r="K282" s="309">
        <v>28609837.929630179</v>
      </c>
      <c r="L282" s="309">
        <v>28176844.408197794</v>
      </c>
      <c r="M282" s="309">
        <v>15834321.681638617</v>
      </c>
      <c r="N282" s="309">
        <v>11949117.33009911</v>
      </c>
      <c r="O282" s="309">
        <v>12293621.059945233</v>
      </c>
      <c r="P282" s="309">
        <v>10227473.315711481</v>
      </c>
      <c r="Q282" s="309">
        <v>18584293.289306737</v>
      </c>
      <c r="R282" s="309">
        <v>1450335.3599436004</v>
      </c>
      <c r="S282" s="309">
        <v>1380574.560460557</v>
      </c>
      <c r="T282" s="309">
        <v>3654019.5677352119</v>
      </c>
      <c r="U282" s="309">
        <v>1138562.8112647685</v>
      </c>
      <c r="V282" s="309">
        <v>9432543.3303127121</v>
      </c>
      <c r="W282" s="309">
        <v>240796.68293209295</v>
      </c>
      <c r="X282" s="309">
        <v>248020.58342005574</v>
      </c>
      <c r="Y282" s="309">
        <v>3643059.5889303051</v>
      </c>
      <c r="Z282" s="309">
        <v>0</v>
      </c>
      <c r="AA282" s="309">
        <v>0</v>
      </c>
      <c r="AB282" s="309">
        <v>0</v>
      </c>
      <c r="AC282" s="309">
        <v>0</v>
      </c>
      <c r="AD282" s="309">
        <v>0</v>
      </c>
      <c r="AE282" s="309">
        <v>0</v>
      </c>
      <c r="AF282" s="309">
        <v>0</v>
      </c>
      <c r="AG282" s="309">
        <v>0</v>
      </c>
      <c r="AH282" s="309">
        <v>0</v>
      </c>
      <c r="AI282" s="309">
        <v>0</v>
      </c>
      <c r="AJ282" s="309">
        <v>0</v>
      </c>
      <c r="AK282" s="309">
        <v>0</v>
      </c>
      <c r="AL282" s="309">
        <v>0</v>
      </c>
      <c r="AM282" s="309">
        <v>0</v>
      </c>
      <c r="AN282" s="309">
        <v>0</v>
      </c>
      <c r="AO282" s="309">
        <v>0</v>
      </c>
      <c r="AP282" s="309"/>
      <c r="AQ282" s="309"/>
      <c r="AR282" s="309"/>
      <c r="AS282" s="309"/>
      <c r="AT282" s="309"/>
      <c r="AU282" s="309"/>
      <c r="AV282" s="309"/>
      <c r="AW282" s="309"/>
      <c r="AX282" s="309"/>
      <c r="AY282" s="309"/>
      <c r="AZ282" s="309"/>
      <c r="BA282" s="309"/>
      <c r="BB282" s="309"/>
      <c r="BC282" s="309"/>
      <c r="BD282" s="309"/>
      <c r="BE282" s="309"/>
      <c r="BF282" s="309"/>
      <c r="BG282" s="309"/>
      <c r="BH282" s="309"/>
      <c r="BI282" s="309"/>
      <c r="BJ282" s="309"/>
      <c r="BK282" s="309"/>
    </row>
    <row r="283" spans="1:63" s="80" customFormat="1" ht="12.75">
      <c r="A283" s="167"/>
      <c r="B283" s="210" t="str">
        <f>Servicio_internaColumna_título_amortizaciones</f>
        <v>Amortizaciones</v>
      </c>
      <c r="C283" s="254">
        <v>0</v>
      </c>
      <c r="D283" s="255">
        <v>0</v>
      </c>
      <c r="E283" s="255">
        <v>0</v>
      </c>
      <c r="F283" s="255">
        <v>0</v>
      </c>
      <c r="G283" s="255">
        <v>0</v>
      </c>
      <c r="H283" s="255">
        <v>0</v>
      </c>
      <c r="I283" s="255">
        <v>0</v>
      </c>
      <c r="J283" s="255">
        <v>2989533.58600032</v>
      </c>
      <c r="K283" s="255">
        <v>19735503.920494758</v>
      </c>
      <c r="L283" s="255">
        <v>20563645.801298477</v>
      </c>
      <c r="M283" s="255">
        <v>10276350.421322681</v>
      </c>
      <c r="N283" s="255">
        <v>7060242.8044388965</v>
      </c>
      <c r="O283" s="255">
        <v>8531835.9676817507</v>
      </c>
      <c r="P283" s="255">
        <v>6797069.3960228059</v>
      </c>
      <c r="Q283" s="255">
        <v>15975967.353801988</v>
      </c>
      <c r="R283" s="255">
        <v>76241.241081160435</v>
      </c>
      <c r="S283" s="255">
        <v>0.43616658036874212</v>
      </c>
      <c r="T283" s="255">
        <v>2470546.6</v>
      </c>
      <c r="U283" s="255">
        <v>0</v>
      </c>
      <c r="V283" s="255">
        <v>8309064.5999999996</v>
      </c>
      <c r="W283" s="255">
        <v>0</v>
      </c>
      <c r="X283" s="255">
        <v>0</v>
      </c>
      <c r="Y283" s="255">
        <v>3623472.1819470348</v>
      </c>
      <c r="Z283" s="255">
        <v>0</v>
      </c>
      <c r="AA283" s="255">
        <v>0</v>
      </c>
      <c r="AB283" s="255">
        <v>0</v>
      </c>
      <c r="AC283" s="255">
        <v>0</v>
      </c>
      <c r="AD283" s="255">
        <v>0</v>
      </c>
      <c r="AE283" s="255">
        <v>0</v>
      </c>
      <c r="AF283" s="255">
        <v>0</v>
      </c>
      <c r="AG283" s="255">
        <v>0</v>
      </c>
      <c r="AH283" s="255">
        <v>0</v>
      </c>
      <c r="AI283" s="255">
        <v>0</v>
      </c>
      <c r="AJ283" s="255">
        <v>0</v>
      </c>
      <c r="AK283" s="255">
        <v>0</v>
      </c>
      <c r="AL283" s="255">
        <v>0</v>
      </c>
      <c r="AM283" s="255">
        <v>0</v>
      </c>
      <c r="AN283" s="255">
        <v>0</v>
      </c>
      <c r="AO283" s="255">
        <v>0</v>
      </c>
      <c r="AP283" s="255"/>
      <c r="AQ283" s="255"/>
      <c r="AR283" s="255"/>
      <c r="AS283" s="255"/>
      <c r="AT283" s="255"/>
      <c r="AU283" s="255"/>
      <c r="AV283" s="255"/>
      <c r="AW283" s="255"/>
      <c r="AX283" s="255"/>
      <c r="AY283" s="255"/>
      <c r="AZ283" s="255"/>
      <c r="BA283" s="255"/>
      <c r="BB283" s="255"/>
      <c r="BC283" s="255"/>
      <c r="BD283" s="255"/>
      <c r="BE283" s="255"/>
      <c r="BF283" s="255"/>
      <c r="BG283" s="255"/>
      <c r="BH283" s="255"/>
      <c r="BI283" s="255"/>
      <c r="BJ283" s="255"/>
      <c r="BK283" s="255"/>
    </row>
    <row r="284" spans="1:63" s="133" customFormat="1" ht="12.75">
      <c r="A284" s="168">
        <v>39721</v>
      </c>
      <c r="B284" s="213" t="str">
        <f>Servicio_internaColumna_título_intereses</f>
        <v>Intereses</v>
      </c>
      <c r="C284" s="256">
        <v>0</v>
      </c>
      <c r="D284" s="257">
        <v>0</v>
      </c>
      <c r="E284" s="257">
        <v>0</v>
      </c>
      <c r="F284" s="257">
        <v>0</v>
      </c>
      <c r="G284" s="257">
        <v>0</v>
      </c>
      <c r="H284" s="257">
        <v>0</v>
      </c>
      <c r="I284" s="257">
        <v>0</v>
      </c>
      <c r="J284" s="257">
        <v>2157311.8390031499</v>
      </c>
      <c r="K284" s="257">
        <v>9518131.5794262774</v>
      </c>
      <c r="L284" s="257">
        <v>7736139.8668510392</v>
      </c>
      <c r="M284" s="257">
        <v>5970743.5096514449</v>
      </c>
      <c r="N284" s="257">
        <v>4967945.7119564954</v>
      </c>
      <c r="O284" s="257">
        <v>4213828.5133990105</v>
      </c>
      <c r="P284" s="257">
        <v>3470909.7359687723</v>
      </c>
      <c r="Q284" s="257">
        <v>2673202.4455002621</v>
      </c>
      <c r="R284" s="257">
        <v>1413385.2546673007</v>
      </c>
      <c r="S284" s="257">
        <v>1420028.8043523196</v>
      </c>
      <c r="T284" s="257">
        <v>1426871.6605278892</v>
      </c>
      <c r="U284" s="258">
        <v>1155983.3098887261</v>
      </c>
      <c r="V284" s="258">
        <v>1163242.8960053883</v>
      </c>
      <c r="W284" s="258">
        <v>256723.16370554952</v>
      </c>
      <c r="X284" s="258">
        <v>264424.858616716</v>
      </c>
      <c r="Y284" s="258">
        <v>272357.60437521758</v>
      </c>
      <c r="Z284" s="258">
        <v>0</v>
      </c>
      <c r="AA284" s="258">
        <v>0</v>
      </c>
      <c r="AB284" s="258">
        <v>0</v>
      </c>
      <c r="AC284" s="258">
        <v>0</v>
      </c>
      <c r="AD284" s="259">
        <v>0</v>
      </c>
      <c r="AE284" s="259">
        <v>0</v>
      </c>
      <c r="AF284" s="259">
        <v>0</v>
      </c>
      <c r="AG284" s="259">
        <v>0</v>
      </c>
      <c r="AH284" s="259">
        <v>0</v>
      </c>
      <c r="AI284" s="259">
        <v>0</v>
      </c>
      <c r="AJ284" s="259">
        <v>0</v>
      </c>
      <c r="AK284" s="259">
        <v>0</v>
      </c>
      <c r="AL284" s="259">
        <v>0</v>
      </c>
      <c r="AM284" s="259">
        <v>0</v>
      </c>
      <c r="AN284" s="259">
        <v>0</v>
      </c>
      <c r="AO284" s="259">
        <v>0</v>
      </c>
      <c r="AP284" s="259"/>
      <c r="AQ284" s="259"/>
      <c r="AR284" s="259"/>
      <c r="AS284" s="259"/>
      <c r="AT284" s="259"/>
      <c r="AU284" s="259"/>
      <c r="AV284" s="259"/>
      <c r="AW284" s="259"/>
      <c r="AX284" s="259"/>
      <c r="AY284" s="259"/>
      <c r="AZ284" s="259"/>
      <c r="BA284" s="259"/>
      <c r="BB284" s="259"/>
      <c r="BC284" s="259"/>
      <c r="BD284" s="259"/>
      <c r="BE284" s="259"/>
      <c r="BF284" s="259"/>
      <c r="BG284" s="259"/>
      <c r="BH284" s="259"/>
      <c r="BI284" s="259"/>
      <c r="BJ284" s="259"/>
      <c r="BK284" s="259"/>
    </row>
    <row r="285" spans="1:63" s="133" customFormat="1" ht="12.75">
      <c r="A285" s="169"/>
      <c r="B285" s="307" t="str">
        <f>Servicio_internaColumna_título_total</f>
        <v>Total</v>
      </c>
      <c r="C285" s="308">
        <v>0</v>
      </c>
      <c r="D285" s="309">
        <v>0</v>
      </c>
      <c r="E285" s="309">
        <v>0</v>
      </c>
      <c r="F285" s="309">
        <v>0</v>
      </c>
      <c r="G285" s="309">
        <v>0</v>
      </c>
      <c r="H285" s="309">
        <v>0</v>
      </c>
      <c r="I285" s="309">
        <v>0</v>
      </c>
      <c r="J285" s="309">
        <v>5146845.4250034699</v>
      </c>
      <c r="K285" s="309">
        <v>29253635.499921035</v>
      </c>
      <c r="L285" s="309">
        <v>28299785.668149516</v>
      </c>
      <c r="M285" s="309">
        <v>16247093.930974126</v>
      </c>
      <c r="N285" s="309">
        <v>12028188.516395392</v>
      </c>
      <c r="O285" s="309">
        <v>12745664.481080761</v>
      </c>
      <c r="P285" s="309">
        <v>10267979.131991578</v>
      </c>
      <c r="Q285" s="309">
        <v>18649169.79930225</v>
      </c>
      <c r="R285" s="309">
        <v>1489626.4957484612</v>
      </c>
      <c r="S285" s="309">
        <v>1420029.2405188999</v>
      </c>
      <c r="T285" s="309">
        <v>3897418.2605278892</v>
      </c>
      <c r="U285" s="309">
        <v>1155983.3098887261</v>
      </c>
      <c r="V285" s="309">
        <v>9472307.496005388</v>
      </c>
      <c r="W285" s="309">
        <v>256723.16370554952</v>
      </c>
      <c r="X285" s="309">
        <v>264424.858616716</v>
      </c>
      <c r="Y285" s="309">
        <v>3895829.7863222524</v>
      </c>
      <c r="Z285" s="309">
        <v>0</v>
      </c>
      <c r="AA285" s="309">
        <v>0</v>
      </c>
      <c r="AB285" s="309">
        <v>0</v>
      </c>
      <c r="AC285" s="309">
        <v>0</v>
      </c>
      <c r="AD285" s="309">
        <v>0</v>
      </c>
      <c r="AE285" s="309">
        <v>0</v>
      </c>
      <c r="AF285" s="309">
        <v>0</v>
      </c>
      <c r="AG285" s="309">
        <v>0</v>
      </c>
      <c r="AH285" s="309">
        <v>0</v>
      </c>
      <c r="AI285" s="309">
        <v>0</v>
      </c>
      <c r="AJ285" s="309">
        <v>0</v>
      </c>
      <c r="AK285" s="309">
        <v>0</v>
      </c>
      <c r="AL285" s="309">
        <v>0</v>
      </c>
      <c r="AM285" s="309">
        <v>0</v>
      </c>
      <c r="AN285" s="309">
        <v>0</v>
      </c>
      <c r="AO285" s="309">
        <v>0</v>
      </c>
      <c r="AP285" s="309"/>
      <c r="AQ285" s="309"/>
      <c r="AR285" s="309"/>
      <c r="AS285" s="309"/>
      <c r="AT285" s="309"/>
      <c r="AU285" s="309"/>
      <c r="AV285" s="309"/>
      <c r="AW285" s="309"/>
      <c r="AX285" s="309"/>
      <c r="AY285" s="309"/>
      <c r="AZ285" s="309"/>
      <c r="BA285" s="309"/>
      <c r="BB285" s="309"/>
      <c r="BC285" s="309"/>
      <c r="BD285" s="309"/>
      <c r="BE285" s="309"/>
      <c r="BF285" s="309"/>
      <c r="BG285" s="309"/>
      <c r="BH285" s="309"/>
      <c r="BI285" s="309"/>
      <c r="BJ285" s="309"/>
      <c r="BK285" s="309"/>
    </row>
    <row r="286" spans="1:63" s="80" customFormat="1" ht="12.75">
      <c r="A286" s="167"/>
      <c r="B286" s="210" t="str">
        <f>Servicio_internaColumna_título_amortizaciones</f>
        <v>Amortizaciones</v>
      </c>
      <c r="C286" s="254">
        <v>0</v>
      </c>
      <c r="D286" s="255">
        <v>0</v>
      </c>
      <c r="E286" s="255">
        <v>0</v>
      </c>
      <c r="F286" s="255">
        <v>0</v>
      </c>
      <c r="G286" s="255">
        <v>0</v>
      </c>
      <c r="H286" s="255">
        <v>0</v>
      </c>
      <c r="I286" s="255">
        <v>0</v>
      </c>
      <c r="J286" s="255">
        <v>1557217.2817619254</v>
      </c>
      <c r="K286" s="255">
        <v>20174394.343234211</v>
      </c>
      <c r="L286" s="255">
        <v>19484170.904408824</v>
      </c>
      <c r="M286" s="255">
        <v>11471339.246066688</v>
      </c>
      <c r="N286" s="255">
        <v>6533546.9032439273</v>
      </c>
      <c r="O286" s="255">
        <v>9732204.5890161898</v>
      </c>
      <c r="P286" s="255">
        <v>6751255.4652943015</v>
      </c>
      <c r="Q286" s="255">
        <v>15975812.254797192</v>
      </c>
      <c r="R286" s="255">
        <v>76238.755434103034</v>
      </c>
      <c r="S286" s="255">
        <v>0.43615236029360094</v>
      </c>
      <c r="T286" s="255">
        <v>2937298.9</v>
      </c>
      <c r="U286" s="255">
        <v>0</v>
      </c>
      <c r="V286" s="255">
        <v>8414117.6999999993</v>
      </c>
      <c r="W286" s="255">
        <v>0</v>
      </c>
      <c r="X286" s="255">
        <v>0</v>
      </c>
      <c r="Y286" s="255">
        <v>3683713.3327460689</v>
      </c>
      <c r="Z286" s="255">
        <v>0</v>
      </c>
      <c r="AA286" s="255">
        <v>0</v>
      </c>
      <c r="AB286" s="255">
        <v>0</v>
      </c>
      <c r="AC286" s="255">
        <v>0</v>
      </c>
      <c r="AD286" s="255">
        <v>0</v>
      </c>
      <c r="AE286" s="255">
        <v>0</v>
      </c>
      <c r="AF286" s="255">
        <v>0</v>
      </c>
      <c r="AG286" s="255">
        <v>0</v>
      </c>
      <c r="AH286" s="255">
        <v>0</v>
      </c>
      <c r="AI286" s="255">
        <v>0</v>
      </c>
      <c r="AJ286" s="255">
        <v>0</v>
      </c>
      <c r="AK286" s="255">
        <v>0</v>
      </c>
      <c r="AL286" s="255">
        <v>0</v>
      </c>
      <c r="AM286" s="255">
        <v>0</v>
      </c>
      <c r="AN286" s="255">
        <v>0</v>
      </c>
      <c r="AO286" s="255">
        <v>0</v>
      </c>
      <c r="AP286" s="255"/>
      <c r="AQ286" s="255"/>
      <c r="AR286" s="255"/>
      <c r="AS286" s="255"/>
      <c r="AT286" s="255"/>
      <c r="AU286" s="255"/>
      <c r="AV286" s="255"/>
      <c r="AW286" s="255"/>
      <c r="AX286" s="255"/>
      <c r="AY286" s="255"/>
      <c r="AZ286" s="255"/>
      <c r="BA286" s="255"/>
      <c r="BB286" s="255"/>
      <c r="BC286" s="255"/>
      <c r="BD286" s="255"/>
      <c r="BE286" s="255"/>
      <c r="BF286" s="255"/>
      <c r="BG286" s="255"/>
      <c r="BH286" s="255"/>
      <c r="BI286" s="255"/>
      <c r="BJ286" s="255"/>
      <c r="BK286" s="255"/>
    </row>
    <row r="287" spans="1:63" s="133" customFormat="1" ht="12.75">
      <c r="A287" s="168">
        <v>39752</v>
      </c>
      <c r="B287" s="213" t="str">
        <f>Servicio_internaColumna_título_intereses</f>
        <v>Intereses</v>
      </c>
      <c r="C287" s="256">
        <v>0</v>
      </c>
      <c r="D287" s="257">
        <v>0</v>
      </c>
      <c r="E287" s="257">
        <v>0</v>
      </c>
      <c r="F287" s="257">
        <v>0</v>
      </c>
      <c r="G287" s="257">
        <v>0</v>
      </c>
      <c r="H287" s="257">
        <v>0</v>
      </c>
      <c r="I287" s="257">
        <v>0</v>
      </c>
      <c r="J287" s="257">
        <v>1247981.3937618469</v>
      </c>
      <c r="K287" s="257">
        <v>9600180.1212030165</v>
      </c>
      <c r="L287" s="257">
        <v>7856976.0411172397</v>
      </c>
      <c r="M287" s="257">
        <v>6204041.0569179077</v>
      </c>
      <c r="N287" s="257">
        <v>5070021.5657740925</v>
      </c>
      <c r="O287" s="257">
        <v>4395092.5201039668</v>
      </c>
      <c r="P287" s="257">
        <v>3532369.7515362054</v>
      </c>
      <c r="Q287" s="257">
        <v>2740878.2503033299</v>
      </c>
      <c r="R287" s="257">
        <v>1481139.7599061739</v>
      </c>
      <c r="S287" s="257">
        <v>1487893.9805058592</v>
      </c>
      <c r="T287" s="257">
        <v>1494850.8277235352</v>
      </c>
      <c r="U287" s="258">
        <v>1171570.2541077409</v>
      </c>
      <c r="V287" s="258">
        <v>1178950.7733209729</v>
      </c>
      <c r="W287" s="258">
        <v>260999.76111060256</v>
      </c>
      <c r="X287" s="258">
        <v>268829.75394392066</v>
      </c>
      <c r="Y287" s="258">
        <v>276894.64656223822</v>
      </c>
      <c r="Z287" s="258">
        <v>0</v>
      </c>
      <c r="AA287" s="258">
        <v>0</v>
      </c>
      <c r="AB287" s="258">
        <v>0</v>
      </c>
      <c r="AC287" s="258">
        <v>0</v>
      </c>
      <c r="AD287" s="259">
        <v>0</v>
      </c>
      <c r="AE287" s="259">
        <v>0</v>
      </c>
      <c r="AF287" s="259">
        <v>0</v>
      </c>
      <c r="AG287" s="259">
        <v>0</v>
      </c>
      <c r="AH287" s="259">
        <v>0</v>
      </c>
      <c r="AI287" s="259">
        <v>0</v>
      </c>
      <c r="AJ287" s="259">
        <v>0</v>
      </c>
      <c r="AK287" s="259">
        <v>0</v>
      </c>
      <c r="AL287" s="259">
        <v>0</v>
      </c>
      <c r="AM287" s="259">
        <v>0</v>
      </c>
      <c r="AN287" s="259">
        <v>0</v>
      </c>
      <c r="AO287" s="259">
        <v>0</v>
      </c>
      <c r="AP287" s="259"/>
      <c r="AQ287" s="259"/>
      <c r="AR287" s="259"/>
      <c r="AS287" s="259"/>
      <c r="AT287" s="259"/>
      <c r="AU287" s="259"/>
      <c r="AV287" s="259"/>
      <c r="AW287" s="259"/>
      <c r="AX287" s="259"/>
      <c r="AY287" s="259"/>
      <c r="AZ287" s="259"/>
      <c r="BA287" s="259"/>
      <c r="BB287" s="259"/>
      <c r="BC287" s="259"/>
      <c r="BD287" s="259"/>
      <c r="BE287" s="259"/>
      <c r="BF287" s="259"/>
      <c r="BG287" s="259"/>
      <c r="BH287" s="259"/>
      <c r="BI287" s="259"/>
      <c r="BJ287" s="259"/>
      <c r="BK287" s="259"/>
    </row>
    <row r="288" spans="1:63" s="133" customFormat="1" ht="12.75">
      <c r="A288" s="169"/>
      <c r="B288" s="307" t="str">
        <f>Servicio_internaColumna_título_total</f>
        <v>Total</v>
      </c>
      <c r="C288" s="308">
        <v>0</v>
      </c>
      <c r="D288" s="309">
        <v>0</v>
      </c>
      <c r="E288" s="309">
        <v>0</v>
      </c>
      <c r="F288" s="309">
        <v>0</v>
      </c>
      <c r="G288" s="309">
        <v>0</v>
      </c>
      <c r="H288" s="309">
        <v>0</v>
      </c>
      <c r="I288" s="309">
        <v>0</v>
      </c>
      <c r="J288" s="309">
        <v>2805198.6755237724</v>
      </c>
      <c r="K288" s="309">
        <v>29774574.464437228</v>
      </c>
      <c r="L288" s="309">
        <v>27341146.945526063</v>
      </c>
      <c r="M288" s="309">
        <v>17675380.302984595</v>
      </c>
      <c r="N288" s="309">
        <v>11603568.46901802</v>
      </c>
      <c r="O288" s="309">
        <v>14127297.109120157</v>
      </c>
      <c r="P288" s="309">
        <v>10283625.216830507</v>
      </c>
      <c r="Q288" s="309">
        <v>18716690.505100522</v>
      </c>
      <c r="R288" s="309">
        <v>1557378.515340277</v>
      </c>
      <c r="S288" s="309">
        <v>1487894.4166582196</v>
      </c>
      <c r="T288" s="309">
        <v>4432149.7277235352</v>
      </c>
      <c r="U288" s="309">
        <v>1171570.2541077409</v>
      </c>
      <c r="V288" s="309">
        <v>9593068.4733209722</v>
      </c>
      <c r="W288" s="309">
        <v>260999.76111060256</v>
      </c>
      <c r="X288" s="309">
        <v>268829.75394392066</v>
      </c>
      <c r="Y288" s="309">
        <v>3960607.9793083072</v>
      </c>
      <c r="Z288" s="309">
        <v>0</v>
      </c>
      <c r="AA288" s="309">
        <v>0</v>
      </c>
      <c r="AB288" s="309">
        <v>0</v>
      </c>
      <c r="AC288" s="309">
        <v>0</v>
      </c>
      <c r="AD288" s="309">
        <v>0</v>
      </c>
      <c r="AE288" s="309">
        <v>0</v>
      </c>
      <c r="AF288" s="309">
        <v>0</v>
      </c>
      <c r="AG288" s="309">
        <v>0</v>
      </c>
      <c r="AH288" s="309">
        <v>0</v>
      </c>
      <c r="AI288" s="309">
        <v>0</v>
      </c>
      <c r="AJ288" s="309">
        <v>0</v>
      </c>
      <c r="AK288" s="309">
        <v>0</v>
      </c>
      <c r="AL288" s="309">
        <v>0</v>
      </c>
      <c r="AM288" s="309">
        <v>0</v>
      </c>
      <c r="AN288" s="309">
        <v>0</v>
      </c>
      <c r="AO288" s="309">
        <v>0</v>
      </c>
      <c r="AP288" s="309"/>
      <c r="AQ288" s="309"/>
      <c r="AR288" s="309"/>
      <c r="AS288" s="309"/>
      <c r="AT288" s="309"/>
      <c r="AU288" s="309"/>
      <c r="AV288" s="309"/>
      <c r="AW288" s="309"/>
      <c r="AX288" s="309"/>
      <c r="AY288" s="309"/>
      <c r="AZ288" s="309"/>
      <c r="BA288" s="309"/>
      <c r="BB288" s="309"/>
      <c r="BC288" s="309"/>
      <c r="BD288" s="309"/>
      <c r="BE288" s="309"/>
      <c r="BF288" s="309"/>
      <c r="BG288" s="309"/>
      <c r="BH288" s="309"/>
      <c r="BI288" s="309"/>
      <c r="BJ288" s="309"/>
      <c r="BK288" s="309"/>
    </row>
    <row r="289" spans="1:63" s="80" customFormat="1" ht="12.75">
      <c r="A289" s="167"/>
      <c r="B289" s="210" t="str">
        <f>Servicio_internaColumna_título_amortizaciones</f>
        <v>Amortizaciones</v>
      </c>
      <c r="C289" s="254">
        <v>0</v>
      </c>
      <c r="D289" s="255">
        <v>0</v>
      </c>
      <c r="E289" s="255">
        <v>0</v>
      </c>
      <c r="F289" s="255">
        <v>0</v>
      </c>
      <c r="G289" s="255">
        <v>0</v>
      </c>
      <c r="H289" s="255">
        <v>0</v>
      </c>
      <c r="I289" s="255">
        <v>0</v>
      </c>
      <c r="J289" s="255">
        <v>720405.82503218658</v>
      </c>
      <c r="K289" s="255">
        <v>20800478.272231016</v>
      </c>
      <c r="L289" s="255">
        <v>19363264.948993716</v>
      </c>
      <c r="M289" s="255">
        <v>12139725.07459154</v>
      </c>
      <c r="N289" s="255">
        <v>6503479.0697496058</v>
      </c>
      <c r="O289" s="255">
        <v>10194368.581538809</v>
      </c>
      <c r="P289" s="255">
        <v>6735571.9241051823</v>
      </c>
      <c r="Q289" s="255">
        <v>15982554.736850968</v>
      </c>
      <c r="R289" s="255">
        <v>76301.781332372178</v>
      </c>
      <c r="S289" s="255">
        <v>0.43651292355480836</v>
      </c>
      <c r="T289" s="255">
        <v>3150433.3</v>
      </c>
      <c r="U289" s="255">
        <v>0</v>
      </c>
      <c r="V289" s="255">
        <v>8414117.6999999993</v>
      </c>
      <c r="W289" s="255">
        <v>0</v>
      </c>
      <c r="X289" s="255">
        <v>0</v>
      </c>
      <c r="Y289" s="255">
        <v>3744619.2007489437</v>
      </c>
      <c r="Z289" s="255">
        <v>0</v>
      </c>
      <c r="AA289" s="255">
        <v>0</v>
      </c>
      <c r="AB289" s="255">
        <v>0</v>
      </c>
      <c r="AC289" s="255">
        <v>0</v>
      </c>
      <c r="AD289" s="255">
        <v>0</v>
      </c>
      <c r="AE289" s="255">
        <v>0</v>
      </c>
      <c r="AF289" s="255">
        <v>0</v>
      </c>
      <c r="AG289" s="255">
        <v>0</v>
      </c>
      <c r="AH289" s="255">
        <v>0</v>
      </c>
      <c r="AI289" s="255">
        <v>0</v>
      </c>
      <c r="AJ289" s="255">
        <v>0</v>
      </c>
      <c r="AK289" s="255">
        <v>0</v>
      </c>
      <c r="AL289" s="255">
        <v>0</v>
      </c>
      <c r="AM289" s="255">
        <v>0</v>
      </c>
      <c r="AN289" s="255">
        <v>0</v>
      </c>
      <c r="AO289" s="255">
        <v>0</v>
      </c>
      <c r="AP289" s="255"/>
      <c r="AQ289" s="255"/>
      <c r="AR289" s="255"/>
      <c r="AS289" s="255"/>
      <c r="AT289" s="255"/>
      <c r="AU289" s="255"/>
      <c r="AV289" s="255"/>
      <c r="AW289" s="255"/>
      <c r="AX289" s="255"/>
      <c r="AY289" s="255"/>
      <c r="AZ289" s="255"/>
      <c r="BA289" s="255"/>
      <c r="BB289" s="255"/>
      <c r="BC289" s="255"/>
      <c r="BD289" s="255"/>
      <c r="BE289" s="255"/>
      <c r="BF289" s="255"/>
      <c r="BG289" s="255"/>
      <c r="BH289" s="255"/>
      <c r="BI289" s="255"/>
      <c r="BJ289" s="255"/>
      <c r="BK289" s="255"/>
    </row>
    <row r="290" spans="1:63" s="133" customFormat="1" ht="12.75">
      <c r="A290" s="168">
        <v>39782</v>
      </c>
      <c r="B290" s="213" t="str">
        <f>Servicio_internaColumna_título_intereses</f>
        <v>Intereses</v>
      </c>
      <c r="C290" s="256">
        <v>0</v>
      </c>
      <c r="D290" s="257">
        <v>0</v>
      </c>
      <c r="E290" s="257">
        <v>0</v>
      </c>
      <c r="F290" s="257">
        <v>0</v>
      </c>
      <c r="G290" s="257">
        <v>0</v>
      </c>
      <c r="H290" s="257">
        <v>0</v>
      </c>
      <c r="I290" s="257">
        <v>0</v>
      </c>
      <c r="J290" s="257">
        <v>157516.47174990794</v>
      </c>
      <c r="K290" s="257">
        <v>9714118.2455840223</v>
      </c>
      <c r="L290" s="257">
        <v>7972931.7684673406</v>
      </c>
      <c r="M290" s="257">
        <v>6337282.9617621675</v>
      </c>
      <c r="N290" s="257">
        <v>5130140.4139149105</v>
      </c>
      <c r="O290" s="257">
        <v>4460331.6627856847</v>
      </c>
      <c r="P290" s="257">
        <v>3557579.5865132846</v>
      </c>
      <c r="Q290" s="257">
        <v>2768316.6557548363</v>
      </c>
      <c r="R290" s="257">
        <v>1508650.7735802168</v>
      </c>
      <c r="S290" s="257">
        <v>1515510.9959901234</v>
      </c>
      <c r="T290" s="257">
        <v>1522577.0250723269</v>
      </c>
      <c r="U290" s="258">
        <v>1175431.2887769968</v>
      </c>
      <c r="V290" s="258">
        <v>1182927.6390303075</v>
      </c>
      <c r="W290" s="258">
        <v>265095.93279121612</v>
      </c>
      <c r="X290" s="258">
        <v>273048.81077495258</v>
      </c>
      <c r="Y290" s="258">
        <v>281240.27509820089</v>
      </c>
      <c r="Z290" s="258">
        <v>0</v>
      </c>
      <c r="AA290" s="258">
        <v>0</v>
      </c>
      <c r="AB290" s="258">
        <v>0</v>
      </c>
      <c r="AC290" s="258">
        <v>0</v>
      </c>
      <c r="AD290" s="259">
        <v>0</v>
      </c>
      <c r="AE290" s="259">
        <v>0</v>
      </c>
      <c r="AF290" s="259">
        <v>0</v>
      </c>
      <c r="AG290" s="259">
        <v>0</v>
      </c>
      <c r="AH290" s="259">
        <v>0</v>
      </c>
      <c r="AI290" s="259">
        <v>0</v>
      </c>
      <c r="AJ290" s="259">
        <v>0</v>
      </c>
      <c r="AK290" s="259">
        <v>0</v>
      </c>
      <c r="AL290" s="259">
        <v>0</v>
      </c>
      <c r="AM290" s="259">
        <v>0</v>
      </c>
      <c r="AN290" s="259">
        <v>0</v>
      </c>
      <c r="AO290" s="259">
        <v>0</v>
      </c>
      <c r="AP290" s="259"/>
      <c r="AQ290" s="259"/>
      <c r="AR290" s="259"/>
      <c r="AS290" s="259"/>
      <c r="AT290" s="259"/>
      <c r="AU290" s="259"/>
      <c r="AV290" s="259"/>
      <c r="AW290" s="259"/>
      <c r="AX290" s="259"/>
      <c r="AY290" s="259"/>
      <c r="AZ290" s="259"/>
      <c r="BA290" s="259"/>
      <c r="BB290" s="259"/>
      <c r="BC290" s="259"/>
      <c r="BD290" s="259"/>
      <c r="BE290" s="259"/>
      <c r="BF290" s="259"/>
      <c r="BG290" s="259"/>
      <c r="BH290" s="259"/>
      <c r="BI290" s="259"/>
      <c r="BJ290" s="259"/>
      <c r="BK290" s="259"/>
    </row>
    <row r="291" spans="1:63" s="133" customFormat="1" ht="12.75">
      <c r="A291" s="169"/>
      <c r="B291" s="307" t="str">
        <f>Servicio_internaColumna_título_total</f>
        <v>Total</v>
      </c>
      <c r="C291" s="308">
        <v>0</v>
      </c>
      <c r="D291" s="309">
        <v>0</v>
      </c>
      <c r="E291" s="309">
        <v>0</v>
      </c>
      <c r="F291" s="309">
        <v>0</v>
      </c>
      <c r="G291" s="309">
        <v>0</v>
      </c>
      <c r="H291" s="309">
        <v>0</v>
      </c>
      <c r="I291" s="309">
        <v>0</v>
      </c>
      <c r="J291" s="309">
        <v>877922.29678209452</v>
      </c>
      <c r="K291" s="309">
        <v>30514596.517815039</v>
      </c>
      <c r="L291" s="309">
        <v>27336196.717461057</v>
      </c>
      <c r="M291" s="309">
        <v>18477008.036353707</v>
      </c>
      <c r="N291" s="309">
        <v>11633619.483664516</v>
      </c>
      <c r="O291" s="309">
        <v>14654700.244324494</v>
      </c>
      <c r="P291" s="309">
        <v>10293151.510618467</v>
      </c>
      <c r="Q291" s="309">
        <v>18750871.392605804</v>
      </c>
      <c r="R291" s="309">
        <v>1584952.554912589</v>
      </c>
      <c r="S291" s="309">
        <v>1515511.4325030469</v>
      </c>
      <c r="T291" s="309">
        <v>4673010.3250723267</v>
      </c>
      <c r="U291" s="309">
        <v>1175431.2887769968</v>
      </c>
      <c r="V291" s="309">
        <v>9597045.3390303068</v>
      </c>
      <c r="W291" s="309">
        <v>265095.93279121612</v>
      </c>
      <c r="X291" s="309">
        <v>273048.81077495258</v>
      </c>
      <c r="Y291" s="309">
        <v>4025859.4758471446</v>
      </c>
      <c r="Z291" s="309">
        <v>0</v>
      </c>
      <c r="AA291" s="309">
        <v>0</v>
      </c>
      <c r="AB291" s="309">
        <v>0</v>
      </c>
      <c r="AC291" s="309">
        <v>0</v>
      </c>
      <c r="AD291" s="309">
        <v>0</v>
      </c>
      <c r="AE291" s="309">
        <v>0</v>
      </c>
      <c r="AF291" s="309">
        <v>0</v>
      </c>
      <c r="AG291" s="309">
        <v>0</v>
      </c>
      <c r="AH291" s="309">
        <v>0</v>
      </c>
      <c r="AI291" s="309">
        <v>0</v>
      </c>
      <c r="AJ291" s="309">
        <v>0</v>
      </c>
      <c r="AK291" s="309">
        <v>0</v>
      </c>
      <c r="AL291" s="309">
        <v>0</v>
      </c>
      <c r="AM291" s="309">
        <v>0</v>
      </c>
      <c r="AN291" s="309">
        <v>0</v>
      </c>
      <c r="AO291" s="309">
        <v>0</v>
      </c>
      <c r="AP291" s="309"/>
      <c r="AQ291" s="309"/>
      <c r="AR291" s="309"/>
      <c r="AS291" s="309"/>
      <c r="AT291" s="309"/>
      <c r="AU291" s="309"/>
      <c r="AV291" s="309"/>
      <c r="AW291" s="309"/>
      <c r="AX291" s="309"/>
      <c r="AY291" s="309"/>
      <c r="AZ291" s="309"/>
      <c r="BA291" s="309"/>
      <c r="BB291" s="309"/>
      <c r="BC291" s="309"/>
      <c r="BD291" s="309"/>
      <c r="BE291" s="309"/>
      <c r="BF291" s="309"/>
      <c r="BG291" s="309"/>
      <c r="BH291" s="309"/>
      <c r="BI291" s="309"/>
      <c r="BJ291" s="309"/>
      <c r="BK291" s="309"/>
    </row>
    <row r="292" spans="1:63" s="80" customFormat="1" ht="12.75">
      <c r="A292" s="167"/>
      <c r="B292" s="210" t="str">
        <f>Servicio_internaColumna_título_amortizaciones</f>
        <v>Amortizaciones</v>
      </c>
      <c r="C292" s="254">
        <v>0</v>
      </c>
      <c r="D292" s="255">
        <v>0</v>
      </c>
      <c r="E292" s="255">
        <v>0</v>
      </c>
      <c r="F292" s="255">
        <v>0</v>
      </c>
      <c r="G292" s="255">
        <v>0</v>
      </c>
      <c r="H292" s="255">
        <v>0</v>
      </c>
      <c r="I292" s="255">
        <v>0</v>
      </c>
      <c r="J292" s="255">
        <v>0</v>
      </c>
      <c r="K292" s="255">
        <v>21421633.851847958</v>
      </c>
      <c r="L292" s="255">
        <v>19385465.851083823</v>
      </c>
      <c r="M292" s="255">
        <v>12461846.561327724</v>
      </c>
      <c r="N292" s="255">
        <v>6513650.7695048163</v>
      </c>
      <c r="O292" s="255">
        <v>10393854.063775562</v>
      </c>
      <c r="P292" s="255">
        <v>6737801.461831497</v>
      </c>
      <c r="Q292" s="255">
        <v>16008369.472066998</v>
      </c>
      <c r="R292" s="255">
        <v>76545.585392053719</v>
      </c>
      <c r="S292" s="255">
        <v>0.43790769600975982</v>
      </c>
      <c r="T292" s="255">
        <v>3299600.5</v>
      </c>
      <c r="U292" s="255">
        <v>0</v>
      </c>
      <c r="V292" s="255">
        <v>8418925.0999999996</v>
      </c>
      <c r="W292" s="255">
        <v>0</v>
      </c>
      <c r="X292" s="255">
        <v>0</v>
      </c>
      <c r="Y292" s="255">
        <v>3814225.427046122</v>
      </c>
      <c r="Z292" s="255">
        <v>0</v>
      </c>
      <c r="AA292" s="255">
        <v>0</v>
      </c>
      <c r="AB292" s="255">
        <v>0</v>
      </c>
      <c r="AC292" s="255">
        <v>0</v>
      </c>
      <c r="AD292" s="255">
        <v>0</v>
      </c>
      <c r="AE292" s="255">
        <v>0</v>
      </c>
      <c r="AF292" s="255">
        <v>0</v>
      </c>
      <c r="AG292" s="255">
        <v>0</v>
      </c>
      <c r="AH292" s="255">
        <v>0</v>
      </c>
      <c r="AI292" s="255">
        <v>0</v>
      </c>
      <c r="AJ292" s="255">
        <v>0</v>
      </c>
      <c r="AK292" s="255">
        <v>0</v>
      </c>
      <c r="AL292" s="255">
        <v>0</v>
      </c>
      <c r="AM292" s="255">
        <v>0</v>
      </c>
      <c r="AN292" s="255">
        <v>0</v>
      </c>
      <c r="AO292" s="255">
        <v>0</v>
      </c>
      <c r="AP292" s="255"/>
      <c r="AQ292" s="255"/>
      <c r="AR292" s="255"/>
      <c r="AS292" s="255"/>
      <c r="AT292" s="255"/>
      <c r="AU292" s="255"/>
      <c r="AV292" s="255"/>
      <c r="AW292" s="255"/>
      <c r="AX292" s="255"/>
      <c r="AY292" s="255"/>
      <c r="AZ292" s="255"/>
      <c r="BA292" s="255"/>
      <c r="BB292" s="255"/>
      <c r="BC292" s="255"/>
      <c r="BD292" s="255"/>
      <c r="BE292" s="255"/>
      <c r="BF292" s="255"/>
      <c r="BG292" s="255"/>
      <c r="BH292" s="255"/>
      <c r="BI292" s="255"/>
      <c r="BJ292" s="255"/>
      <c r="BK292" s="255"/>
    </row>
    <row r="293" spans="1:63" s="133" customFormat="1" ht="12.75">
      <c r="A293" s="168">
        <v>39813</v>
      </c>
      <c r="B293" s="213" t="str">
        <f>Servicio_internaColumna_título_intereses</f>
        <v>Intereses</v>
      </c>
      <c r="C293" s="256">
        <v>0</v>
      </c>
      <c r="D293" s="257">
        <v>0</v>
      </c>
      <c r="E293" s="257">
        <v>0</v>
      </c>
      <c r="F293" s="257">
        <v>0</v>
      </c>
      <c r="G293" s="257">
        <v>0</v>
      </c>
      <c r="H293" s="257">
        <v>0</v>
      </c>
      <c r="I293" s="257">
        <v>0</v>
      </c>
      <c r="J293" s="257">
        <v>0</v>
      </c>
      <c r="K293" s="257">
        <v>9795078.3262756281</v>
      </c>
      <c r="L293" s="257">
        <v>8052797.4755320847</v>
      </c>
      <c r="M293" s="257">
        <v>6415070.1742401961</v>
      </c>
      <c r="N293" s="257">
        <v>5172979.0523926942</v>
      </c>
      <c r="O293" s="257">
        <v>4502348.2569150478</v>
      </c>
      <c r="P293" s="257">
        <v>3583381.6467806082</v>
      </c>
      <c r="Q293" s="257">
        <v>2794393.1910150684</v>
      </c>
      <c r="R293" s="257">
        <v>1530923.5380015841</v>
      </c>
      <c r="S293" s="257">
        <v>1537932.6396241316</v>
      </c>
      <c r="T293" s="257">
        <v>1545152.0142953554</v>
      </c>
      <c r="U293" s="258">
        <v>1181382.9139567164</v>
      </c>
      <c r="V293" s="258">
        <v>1189041.9485454168</v>
      </c>
      <c r="W293" s="258">
        <v>270848.99317178049</v>
      </c>
      <c r="X293" s="258">
        <v>278974.46296693385</v>
      </c>
      <c r="Y293" s="258">
        <v>287343.69685594179</v>
      </c>
      <c r="Z293" s="258">
        <v>0</v>
      </c>
      <c r="AA293" s="258">
        <v>0</v>
      </c>
      <c r="AB293" s="258">
        <v>0</v>
      </c>
      <c r="AC293" s="258">
        <v>0</v>
      </c>
      <c r="AD293" s="259">
        <v>0</v>
      </c>
      <c r="AE293" s="259">
        <v>0</v>
      </c>
      <c r="AF293" s="259">
        <v>0</v>
      </c>
      <c r="AG293" s="259">
        <v>0</v>
      </c>
      <c r="AH293" s="259">
        <v>0</v>
      </c>
      <c r="AI293" s="259">
        <v>0</v>
      </c>
      <c r="AJ293" s="259">
        <v>0</v>
      </c>
      <c r="AK293" s="259">
        <v>0</v>
      </c>
      <c r="AL293" s="259">
        <v>0</v>
      </c>
      <c r="AM293" s="259">
        <v>0</v>
      </c>
      <c r="AN293" s="259">
        <v>0</v>
      </c>
      <c r="AO293" s="259">
        <v>0</v>
      </c>
      <c r="AP293" s="259"/>
      <c r="AQ293" s="259"/>
      <c r="AR293" s="259"/>
      <c r="AS293" s="259"/>
      <c r="AT293" s="259"/>
      <c r="AU293" s="259"/>
      <c r="AV293" s="259"/>
      <c r="AW293" s="259"/>
      <c r="AX293" s="259"/>
      <c r="AY293" s="259"/>
      <c r="AZ293" s="259"/>
      <c r="BA293" s="259"/>
      <c r="BB293" s="259"/>
      <c r="BC293" s="259"/>
      <c r="BD293" s="259"/>
      <c r="BE293" s="259"/>
      <c r="BF293" s="259"/>
      <c r="BG293" s="259"/>
      <c r="BH293" s="259"/>
      <c r="BI293" s="259"/>
      <c r="BJ293" s="259"/>
      <c r="BK293" s="259"/>
    </row>
    <row r="294" spans="1:63" s="133" customFormat="1" ht="12.75">
      <c r="A294" s="169"/>
      <c r="B294" s="307" t="str">
        <f>Servicio_internaColumna_título_total</f>
        <v>Total</v>
      </c>
      <c r="C294" s="308">
        <v>0</v>
      </c>
      <c r="D294" s="309">
        <v>0</v>
      </c>
      <c r="E294" s="309">
        <v>0</v>
      </c>
      <c r="F294" s="309">
        <v>0</v>
      </c>
      <c r="G294" s="309">
        <v>0</v>
      </c>
      <c r="H294" s="309">
        <v>0</v>
      </c>
      <c r="I294" s="309">
        <v>0</v>
      </c>
      <c r="J294" s="309">
        <v>0</v>
      </c>
      <c r="K294" s="309">
        <v>31216712.178123586</v>
      </c>
      <c r="L294" s="309">
        <v>27438263.326615907</v>
      </c>
      <c r="M294" s="309">
        <v>18876916.73556792</v>
      </c>
      <c r="N294" s="309">
        <v>11686629.82189751</v>
      </c>
      <c r="O294" s="309">
        <v>14896202.32069061</v>
      </c>
      <c r="P294" s="309">
        <v>10321183.108612105</v>
      </c>
      <c r="Q294" s="309">
        <v>18802762.663082067</v>
      </c>
      <c r="R294" s="309">
        <v>1607469.1233936378</v>
      </c>
      <c r="S294" s="309">
        <v>1537933.0775318276</v>
      </c>
      <c r="T294" s="309">
        <v>4844752.5142953554</v>
      </c>
      <c r="U294" s="309">
        <v>1181382.9139567164</v>
      </c>
      <c r="V294" s="309">
        <v>9607967.0485454164</v>
      </c>
      <c r="W294" s="309">
        <v>270848.99317178049</v>
      </c>
      <c r="X294" s="309">
        <v>278974.46296693385</v>
      </c>
      <c r="Y294" s="309">
        <v>4101569.1239020638</v>
      </c>
      <c r="Z294" s="309">
        <v>0</v>
      </c>
      <c r="AA294" s="309">
        <v>0</v>
      </c>
      <c r="AB294" s="309">
        <v>0</v>
      </c>
      <c r="AC294" s="309">
        <v>0</v>
      </c>
      <c r="AD294" s="309">
        <v>0</v>
      </c>
      <c r="AE294" s="309">
        <v>0</v>
      </c>
      <c r="AF294" s="309">
        <v>0</v>
      </c>
      <c r="AG294" s="309">
        <v>0</v>
      </c>
      <c r="AH294" s="309">
        <v>0</v>
      </c>
      <c r="AI294" s="309">
        <v>0</v>
      </c>
      <c r="AJ294" s="309">
        <v>0</v>
      </c>
      <c r="AK294" s="309">
        <v>0</v>
      </c>
      <c r="AL294" s="309">
        <v>0</v>
      </c>
      <c r="AM294" s="309">
        <v>0</v>
      </c>
      <c r="AN294" s="309">
        <v>0</v>
      </c>
      <c r="AO294" s="309">
        <v>0</v>
      </c>
      <c r="AP294" s="309"/>
      <c r="AQ294" s="309"/>
      <c r="AR294" s="309"/>
      <c r="AS294" s="309"/>
      <c r="AT294" s="309"/>
      <c r="AU294" s="309"/>
      <c r="AV294" s="309"/>
      <c r="AW294" s="309"/>
      <c r="AX294" s="309"/>
      <c r="AY294" s="309"/>
      <c r="AZ294" s="309"/>
      <c r="BA294" s="309"/>
      <c r="BB294" s="309"/>
      <c r="BC294" s="309"/>
      <c r="BD294" s="309"/>
      <c r="BE294" s="309"/>
      <c r="BF294" s="309"/>
      <c r="BG294" s="309"/>
      <c r="BH294" s="309"/>
      <c r="BI294" s="309"/>
      <c r="BJ294" s="309"/>
      <c r="BK294" s="309"/>
    </row>
    <row r="295" spans="1:63" s="80" customFormat="1" ht="12.75">
      <c r="A295" s="167"/>
      <c r="B295" s="210" t="str">
        <f>Servicio_internaColumna_título_amortizaciones</f>
        <v>Amortizaciones</v>
      </c>
      <c r="C295" s="254">
        <v>0</v>
      </c>
      <c r="D295" s="255">
        <v>0</v>
      </c>
      <c r="E295" s="255">
        <v>0</v>
      </c>
      <c r="F295" s="255">
        <v>0</v>
      </c>
      <c r="G295" s="255">
        <v>0</v>
      </c>
      <c r="H295" s="255">
        <v>0</v>
      </c>
      <c r="I295" s="255">
        <v>0</v>
      </c>
      <c r="J295" s="255">
        <v>0</v>
      </c>
      <c r="K295" s="255">
        <v>20922877.283095036</v>
      </c>
      <c r="L295" s="255">
        <v>19410731.628354978</v>
      </c>
      <c r="M295" s="255">
        <v>13507615.618873989</v>
      </c>
      <c r="N295" s="255">
        <v>6804435.756724027</v>
      </c>
      <c r="O295" s="255">
        <v>11412141.128676437</v>
      </c>
      <c r="P295" s="255">
        <v>6740350.9328256622</v>
      </c>
      <c r="Q295" s="255">
        <v>16037496.851670075</v>
      </c>
      <c r="R295" s="255">
        <v>76976.166140649264</v>
      </c>
      <c r="S295" s="255">
        <v>0.43949528304289709</v>
      </c>
      <c r="T295" s="255">
        <v>3838272.8</v>
      </c>
      <c r="U295" s="255">
        <v>0</v>
      </c>
      <c r="V295" s="255">
        <v>8418925.0999999996</v>
      </c>
      <c r="W295" s="255">
        <v>0</v>
      </c>
      <c r="X295" s="255">
        <v>0</v>
      </c>
      <c r="Y295" s="255">
        <v>3952905.7528180629</v>
      </c>
      <c r="Z295" s="255">
        <v>0</v>
      </c>
      <c r="AA295" s="255">
        <v>0</v>
      </c>
      <c r="AB295" s="255">
        <v>0</v>
      </c>
      <c r="AC295" s="255">
        <v>0</v>
      </c>
      <c r="AD295" s="255">
        <v>0</v>
      </c>
      <c r="AE295" s="255">
        <v>0</v>
      </c>
      <c r="AF295" s="255">
        <v>0</v>
      </c>
      <c r="AG295" s="255">
        <v>0</v>
      </c>
      <c r="AH295" s="255">
        <v>0</v>
      </c>
      <c r="AI295" s="255">
        <v>0</v>
      </c>
      <c r="AJ295" s="255">
        <v>0</v>
      </c>
      <c r="AK295" s="255">
        <v>0</v>
      </c>
      <c r="AL295" s="255">
        <v>0</v>
      </c>
      <c r="AM295" s="255">
        <v>0</v>
      </c>
      <c r="AN295" s="255">
        <v>0</v>
      </c>
      <c r="AO295" s="255">
        <v>0</v>
      </c>
      <c r="AP295" s="255"/>
      <c r="AQ295" s="255"/>
      <c r="AR295" s="255"/>
      <c r="AS295" s="255"/>
      <c r="AT295" s="255"/>
      <c r="AU295" s="255"/>
      <c r="AV295" s="255"/>
      <c r="AW295" s="255"/>
      <c r="AX295" s="255"/>
      <c r="AY295" s="255"/>
      <c r="AZ295" s="255"/>
      <c r="BA295" s="255"/>
      <c r="BB295" s="255"/>
      <c r="BC295" s="255"/>
      <c r="BD295" s="255"/>
      <c r="BE295" s="255"/>
      <c r="BF295" s="255"/>
      <c r="BG295" s="255"/>
      <c r="BH295" s="255"/>
      <c r="BI295" s="255"/>
      <c r="BJ295" s="255"/>
      <c r="BK295" s="255"/>
    </row>
    <row r="296" spans="1:63" s="133" customFormat="1" ht="12.75">
      <c r="A296" s="168">
        <v>39814</v>
      </c>
      <c r="B296" s="213" t="str">
        <f>Servicio_internaColumna_título_intereses</f>
        <v>Intereses</v>
      </c>
      <c r="C296" s="256">
        <v>0</v>
      </c>
      <c r="D296" s="257">
        <v>0</v>
      </c>
      <c r="E296" s="257">
        <v>0</v>
      </c>
      <c r="F296" s="257">
        <v>0</v>
      </c>
      <c r="G296" s="257">
        <v>0</v>
      </c>
      <c r="H296" s="257">
        <v>0</v>
      </c>
      <c r="I296" s="257">
        <v>0</v>
      </c>
      <c r="J296" s="257">
        <v>0</v>
      </c>
      <c r="K296" s="257">
        <v>9891960.0934616961</v>
      </c>
      <c r="L296" s="257">
        <v>8355132.6576079279</v>
      </c>
      <c r="M296" s="257">
        <v>6718105.3310678955</v>
      </c>
      <c r="N296" s="257">
        <v>5362089.5233002035</v>
      </c>
      <c r="O296" s="257">
        <v>4666215.3635069057</v>
      </c>
      <c r="P296" s="257">
        <v>3651005.8296045437</v>
      </c>
      <c r="Q296" s="257">
        <v>2862363.4912598468</v>
      </c>
      <c r="R296" s="257">
        <v>1599156.3210914927</v>
      </c>
      <c r="S296" s="257">
        <v>1606381.9556726709</v>
      </c>
      <c r="T296" s="257">
        <v>1613836.7908128509</v>
      </c>
      <c r="U296" s="258">
        <v>1189709.5810072366</v>
      </c>
      <c r="V296" s="258">
        <v>1197618.4156074543</v>
      </c>
      <c r="W296" s="258">
        <v>279682.75424567744</v>
      </c>
      <c r="X296" s="258">
        <v>288073.23687304772</v>
      </c>
      <c r="Y296" s="258">
        <v>296715.43397923931</v>
      </c>
      <c r="Z296" s="258">
        <v>0</v>
      </c>
      <c r="AA296" s="258">
        <v>0</v>
      </c>
      <c r="AB296" s="258">
        <v>0</v>
      </c>
      <c r="AC296" s="258">
        <v>0</v>
      </c>
      <c r="AD296" s="259">
        <v>0</v>
      </c>
      <c r="AE296" s="259">
        <v>0</v>
      </c>
      <c r="AF296" s="259">
        <v>0</v>
      </c>
      <c r="AG296" s="259">
        <v>0</v>
      </c>
      <c r="AH296" s="259">
        <v>0</v>
      </c>
      <c r="AI296" s="259">
        <v>0</v>
      </c>
      <c r="AJ296" s="259">
        <v>0</v>
      </c>
      <c r="AK296" s="259">
        <v>0</v>
      </c>
      <c r="AL296" s="259">
        <v>0</v>
      </c>
      <c r="AM296" s="259">
        <v>0</v>
      </c>
      <c r="AN296" s="259">
        <v>0</v>
      </c>
      <c r="AO296" s="259">
        <v>0</v>
      </c>
      <c r="AP296" s="259"/>
      <c r="AQ296" s="259"/>
      <c r="AR296" s="259"/>
      <c r="AS296" s="259"/>
      <c r="AT296" s="259"/>
      <c r="AU296" s="259"/>
      <c r="AV296" s="259"/>
      <c r="AW296" s="259"/>
      <c r="AX296" s="259"/>
      <c r="AY296" s="259"/>
      <c r="AZ296" s="259"/>
      <c r="BA296" s="259"/>
      <c r="BB296" s="259"/>
      <c r="BC296" s="259"/>
      <c r="BD296" s="259"/>
      <c r="BE296" s="259"/>
      <c r="BF296" s="259"/>
      <c r="BG296" s="259"/>
      <c r="BH296" s="259"/>
      <c r="BI296" s="259"/>
      <c r="BJ296" s="259"/>
      <c r="BK296" s="259"/>
    </row>
    <row r="297" spans="1:63" s="133" customFormat="1" ht="12.75">
      <c r="A297" s="169"/>
      <c r="B297" s="307" t="str">
        <f>Servicio_internaColumna_título_total</f>
        <v>Total</v>
      </c>
      <c r="C297" s="308">
        <v>0</v>
      </c>
      <c r="D297" s="309">
        <v>0</v>
      </c>
      <c r="E297" s="309">
        <v>0</v>
      </c>
      <c r="F297" s="309">
        <v>0</v>
      </c>
      <c r="G297" s="309">
        <v>0</v>
      </c>
      <c r="H297" s="309">
        <v>0</v>
      </c>
      <c r="I297" s="309">
        <v>0</v>
      </c>
      <c r="J297" s="309">
        <v>0</v>
      </c>
      <c r="K297" s="309">
        <v>30814837.376556732</v>
      </c>
      <c r="L297" s="309">
        <v>27765864.285962906</v>
      </c>
      <c r="M297" s="309">
        <v>20225720.949941885</v>
      </c>
      <c r="N297" s="309">
        <v>12166525.28002423</v>
      </c>
      <c r="O297" s="309">
        <v>16078356.492183343</v>
      </c>
      <c r="P297" s="309">
        <v>10391356.762430206</v>
      </c>
      <c r="Q297" s="309">
        <v>18899860.342929922</v>
      </c>
      <c r="R297" s="309">
        <v>1676132.4872321419</v>
      </c>
      <c r="S297" s="309">
        <v>1606382.3951679538</v>
      </c>
      <c r="T297" s="309">
        <v>5452109.5908128507</v>
      </c>
      <c r="U297" s="309">
        <v>1189709.5810072366</v>
      </c>
      <c r="V297" s="309">
        <v>9616543.5156074539</v>
      </c>
      <c r="W297" s="309">
        <v>279682.75424567744</v>
      </c>
      <c r="X297" s="309">
        <v>288073.23687304772</v>
      </c>
      <c r="Y297" s="309">
        <v>4249621.1867973022</v>
      </c>
      <c r="Z297" s="309">
        <v>0</v>
      </c>
      <c r="AA297" s="309">
        <v>0</v>
      </c>
      <c r="AB297" s="309">
        <v>0</v>
      </c>
      <c r="AC297" s="309">
        <v>0</v>
      </c>
      <c r="AD297" s="309">
        <v>0</v>
      </c>
      <c r="AE297" s="309">
        <v>0</v>
      </c>
      <c r="AF297" s="309">
        <v>0</v>
      </c>
      <c r="AG297" s="309">
        <v>0</v>
      </c>
      <c r="AH297" s="309">
        <v>0</v>
      </c>
      <c r="AI297" s="309">
        <v>0</v>
      </c>
      <c r="AJ297" s="309">
        <v>0</v>
      </c>
      <c r="AK297" s="309">
        <v>0</v>
      </c>
      <c r="AL297" s="309">
        <v>0</v>
      </c>
      <c r="AM297" s="309">
        <v>0</v>
      </c>
      <c r="AN297" s="309">
        <v>0</v>
      </c>
      <c r="AO297" s="309">
        <v>0</v>
      </c>
      <c r="AP297" s="309"/>
      <c r="AQ297" s="309"/>
      <c r="AR297" s="309"/>
      <c r="AS297" s="309"/>
      <c r="AT297" s="309"/>
      <c r="AU297" s="309"/>
      <c r="AV297" s="309"/>
      <c r="AW297" s="309"/>
      <c r="AX297" s="309"/>
      <c r="AY297" s="309"/>
      <c r="AZ297" s="309"/>
      <c r="BA297" s="309"/>
      <c r="BB297" s="309"/>
      <c r="BC297" s="309"/>
      <c r="BD297" s="309"/>
      <c r="BE297" s="309"/>
      <c r="BF297" s="309"/>
      <c r="BG297" s="309"/>
      <c r="BH297" s="309"/>
      <c r="BI297" s="309"/>
      <c r="BJ297" s="309"/>
      <c r="BK297" s="309"/>
    </row>
    <row r="298" spans="1:63" s="80" customFormat="1" ht="12.75">
      <c r="A298" s="167"/>
      <c r="B298" s="210" t="str">
        <f>Servicio_internaColumna_título_amortizaciones</f>
        <v>Amortizaciones</v>
      </c>
      <c r="C298" s="254">
        <v>0</v>
      </c>
      <c r="D298" s="255">
        <v>0</v>
      </c>
      <c r="E298" s="255">
        <v>0</v>
      </c>
      <c r="F298" s="255">
        <v>0</v>
      </c>
      <c r="G298" s="255">
        <v>0</v>
      </c>
      <c r="H298" s="255">
        <v>0</v>
      </c>
      <c r="I298" s="255">
        <v>0</v>
      </c>
      <c r="J298" s="255">
        <v>0</v>
      </c>
      <c r="K298" s="255">
        <v>17783170.31581872</v>
      </c>
      <c r="L298" s="255">
        <v>18650939.381373007</v>
      </c>
      <c r="M298" s="255">
        <v>13517447.521046855</v>
      </c>
      <c r="N298" s="255">
        <v>9853338.5927621052</v>
      </c>
      <c r="O298" s="255">
        <v>12124661.691231934</v>
      </c>
      <c r="P298" s="255">
        <v>7770775.0180324661</v>
      </c>
      <c r="Q298" s="255">
        <v>16076746.07306933</v>
      </c>
      <c r="R298" s="255">
        <v>77452.716569149925</v>
      </c>
      <c r="S298" s="255">
        <v>0.44163456078786839</v>
      </c>
      <c r="T298" s="255">
        <v>4745471.2</v>
      </c>
      <c r="U298" s="255">
        <v>0</v>
      </c>
      <c r="V298" s="255">
        <v>8418925.0999999996</v>
      </c>
      <c r="W298" s="255">
        <v>0</v>
      </c>
      <c r="X298" s="255">
        <v>0</v>
      </c>
      <c r="Y298" s="255">
        <v>4143980.8097156938</v>
      </c>
      <c r="Z298" s="255">
        <v>0</v>
      </c>
      <c r="AA298" s="255">
        <v>0</v>
      </c>
      <c r="AB298" s="255">
        <v>0</v>
      </c>
      <c r="AC298" s="255">
        <v>0</v>
      </c>
      <c r="AD298" s="255">
        <v>0</v>
      </c>
      <c r="AE298" s="255">
        <v>0</v>
      </c>
      <c r="AF298" s="255">
        <v>0</v>
      </c>
      <c r="AG298" s="255">
        <v>0</v>
      </c>
      <c r="AH298" s="255">
        <v>0</v>
      </c>
      <c r="AI298" s="255">
        <v>0</v>
      </c>
      <c r="AJ298" s="255">
        <v>0</v>
      </c>
      <c r="AK298" s="255">
        <v>0</v>
      </c>
      <c r="AL298" s="255">
        <v>0</v>
      </c>
      <c r="AM298" s="255">
        <v>0</v>
      </c>
      <c r="AN298" s="255">
        <v>0</v>
      </c>
      <c r="AO298" s="255">
        <v>0</v>
      </c>
      <c r="AP298" s="255"/>
      <c r="AQ298" s="255"/>
      <c r="AR298" s="255"/>
      <c r="AS298" s="255"/>
      <c r="AT298" s="255"/>
      <c r="AU298" s="255"/>
      <c r="AV298" s="255"/>
      <c r="AW298" s="255"/>
      <c r="AX298" s="255"/>
      <c r="AY298" s="255"/>
      <c r="AZ298" s="255"/>
      <c r="BA298" s="255"/>
      <c r="BB298" s="255"/>
      <c r="BC298" s="255"/>
      <c r="BD298" s="255"/>
      <c r="BE298" s="255"/>
      <c r="BF298" s="255"/>
      <c r="BG298" s="255"/>
      <c r="BH298" s="255"/>
      <c r="BI298" s="255"/>
      <c r="BJ298" s="255"/>
      <c r="BK298" s="255"/>
    </row>
    <row r="299" spans="1:63" s="133" customFormat="1" ht="12.75">
      <c r="A299" s="168">
        <v>39846</v>
      </c>
      <c r="B299" s="213" t="str">
        <f>Servicio_internaColumna_título_intereses</f>
        <v>Intereses</v>
      </c>
      <c r="C299" s="256">
        <v>0</v>
      </c>
      <c r="D299" s="257">
        <v>0</v>
      </c>
      <c r="E299" s="257">
        <v>0</v>
      </c>
      <c r="F299" s="257">
        <v>0</v>
      </c>
      <c r="G299" s="257">
        <v>0</v>
      </c>
      <c r="H299" s="257">
        <v>0</v>
      </c>
      <c r="I299" s="257">
        <v>0</v>
      </c>
      <c r="J299" s="257">
        <v>0</v>
      </c>
      <c r="K299" s="257">
        <v>8678017.045986414</v>
      </c>
      <c r="L299" s="257">
        <v>8850727.8139411062</v>
      </c>
      <c r="M299" s="257">
        <v>7314090.9472884461</v>
      </c>
      <c r="N299" s="257">
        <v>5929731.6502233744</v>
      </c>
      <c r="O299" s="257">
        <v>4950834.5371725392</v>
      </c>
      <c r="P299" s="257">
        <v>3870150.1572845792</v>
      </c>
      <c r="Q299" s="257">
        <v>2987278.1721012443</v>
      </c>
      <c r="R299" s="257">
        <v>1715319.0708621601</v>
      </c>
      <c r="S299" s="257">
        <v>1722960.9607009206</v>
      </c>
      <c r="T299" s="257">
        <v>1730851.3713919483</v>
      </c>
      <c r="U299" s="258">
        <v>1205112.9844037066</v>
      </c>
      <c r="V299" s="258">
        <v>1213483.9211058188</v>
      </c>
      <c r="W299" s="258">
        <v>296024.22490899236</v>
      </c>
      <c r="X299" s="258">
        <v>304904.95165626216</v>
      </c>
      <c r="Y299" s="258">
        <v>314052.10020595044</v>
      </c>
      <c r="Z299" s="258">
        <v>0</v>
      </c>
      <c r="AA299" s="258">
        <v>0</v>
      </c>
      <c r="AB299" s="258">
        <v>0</v>
      </c>
      <c r="AC299" s="258">
        <v>0</v>
      </c>
      <c r="AD299" s="259">
        <v>0</v>
      </c>
      <c r="AE299" s="259">
        <v>0</v>
      </c>
      <c r="AF299" s="259">
        <v>0</v>
      </c>
      <c r="AG299" s="259">
        <v>0</v>
      </c>
      <c r="AH299" s="259">
        <v>0</v>
      </c>
      <c r="AI299" s="259">
        <v>0</v>
      </c>
      <c r="AJ299" s="259">
        <v>0</v>
      </c>
      <c r="AK299" s="259">
        <v>0</v>
      </c>
      <c r="AL299" s="259">
        <v>0</v>
      </c>
      <c r="AM299" s="259">
        <v>0</v>
      </c>
      <c r="AN299" s="259">
        <v>0</v>
      </c>
      <c r="AO299" s="259">
        <v>0</v>
      </c>
      <c r="AP299" s="259"/>
      <c r="AQ299" s="259"/>
      <c r="AR299" s="259"/>
      <c r="AS299" s="259"/>
      <c r="AT299" s="259"/>
      <c r="AU299" s="259"/>
      <c r="AV299" s="259"/>
      <c r="AW299" s="259"/>
      <c r="AX299" s="259"/>
      <c r="AY299" s="259"/>
      <c r="AZ299" s="259"/>
      <c r="BA299" s="259"/>
      <c r="BB299" s="259"/>
      <c r="BC299" s="259"/>
      <c r="BD299" s="259"/>
      <c r="BE299" s="259"/>
      <c r="BF299" s="259"/>
      <c r="BG299" s="259"/>
      <c r="BH299" s="259"/>
      <c r="BI299" s="259"/>
      <c r="BJ299" s="259"/>
      <c r="BK299" s="259"/>
    </row>
    <row r="300" spans="1:63" s="133" customFormat="1" ht="12.75">
      <c r="A300" s="169"/>
      <c r="B300" s="307" t="str">
        <f>Servicio_internaColumna_título_total</f>
        <v>Total</v>
      </c>
      <c r="C300" s="308">
        <v>0</v>
      </c>
      <c r="D300" s="309">
        <v>0</v>
      </c>
      <c r="E300" s="309">
        <v>0</v>
      </c>
      <c r="F300" s="309">
        <v>0</v>
      </c>
      <c r="G300" s="309">
        <v>0</v>
      </c>
      <c r="H300" s="309">
        <v>0</v>
      </c>
      <c r="I300" s="309">
        <v>0</v>
      </c>
      <c r="J300" s="309">
        <v>0</v>
      </c>
      <c r="K300" s="309">
        <v>26461187.361805134</v>
      </c>
      <c r="L300" s="309">
        <v>27501667.195314113</v>
      </c>
      <c r="M300" s="309">
        <v>20831538.468335301</v>
      </c>
      <c r="N300" s="309">
        <v>15783070.24298548</v>
      </c>
      <c r="O300" s="309">
        <v>17075496.228404474</v>
      </c>
      <c r="P300" s="309">
        <v>11640925.175317045</v>
      </c>
      <c r="Q300" s="309">
        <v>19064024.245170575</v>
      </c>
      <c r="R300" s="309">
        <v>1792771.7874313099</v>
      </c>
      <c r="S300" s="309">
        <v>1722961.4023354813</v>
      </c>
      <c r="T300" s="309">
        <v>6476322.5713919485</v>
      </c>
      <c r="U300" s="309">
        <v>1205112.9844037066</v>
      </c>
      <c r="V300" s="309">
        <v>9632409.0211058185</v>
      </c>
      <c r="W300" s="309">
        <v>296024.22490899236</v>
      </c>
      <c r="X300" s="309">
        <v>304904.95165626216</v>
      </c>
      <c r="Y300" s="309">
        <v>4458032.9099216443</v>
      </c>
      <c r="Z300" s="309">
        <v>0</v>
      </c>
      <c r="AA300" s="309">
        <v>0</v>
      </c>
      <c r="AB300" s="309">
        <v>0</v>
      </c>
      <c r="AC300" s="309">
        <v>0</v>
      </c>
      <c r="AD300" s="309">
        <v>0</v>
      </c>
      <c r="AE300" s="309">
        <v>0</v>
      </c>
      <c r="AF300" s="309">
        <v>0</v>
      </c>
      <c r="AG300" s="309">
        <v>0</v>
      </c>
      <c r="AH300" s="309">
        <v>0</v>
      </c>
      <c r="AI300" s="309">
        <v>0</v>
      </c>
      <c r="AJ300" s="309">
        <v>0</v>
      </c>
      <c r="AK300" s="309">
        <v>0</v>
      </c>
      <c r="AL300" s="309">
        <v>0</v>
      </c>
      <c r="AM300" s="309">
        <v>0</v>
      </c>
      <c r="AN300" s="309">
        <v>0</v>
      </c>
      <c r="AO300" s="309">
        <v>0</v>
      </c>
      <c r="AP300" s="309"/>
      <c r="AQ300" s="309"/>
      <c r="AR300" s="309"/>
      <c r="AS300" s="309"/>
      <c r="AT300" s="309"/>
      <c r="AU300" s="309"/>
      <c r="AV300" s="309"/>
      <c r="AW300" s="309"/>
      <c r="AX300" s="309"/>
      <c r="AY300" s="309"/>
      <c r="AZ300" s="309"/>
      <c r="BA300" s="309"/>
      <c r="BB300" s="309"/>
      <c r="BC300" s="309"/>
      <c r="BD300" s="309"/>
      <c r="BE300" s="309"/>
      <c r="BF300" s="309"/>
      <c r="BG300" s="309"/>
      <c r="BH300" s="309"/>
      <c r="BI300" s="309"/>
      <c r="BJ300" s="309"/>
      <c r="BK300" s="309"/>
    </row>
    <row r="301" spans="1:63" s="80" customFormat="1" ht="12.75">
      <c r="A301" s="167"/>
      <c r="B301" s="210" t="str">
        <f>Servicio_internaColumna_título_amortizaciones</f>
        <v>Amortizaciones</v>
      </c>
      <c r="C301" s="254">
        <v>0</v>
      </c>
      <c r="D301" s="255">
        <v>0</v>
      </c>
      <c r="E301" s="255">
        <v>0</v>
      </c>
      <c r="F301" s="255">
        <v>0</v>
      </c>
      <c r="G301" s="255">
        <v>0</v>
      </c>
      <c r="H301" s="255">
        <v>0</v>
      </c>
      <c r="I301" s="255">
        <v>0</v>
      </c>
      <c r="J301" s="255">
        <v>0</v>
      </c>
      <c r="K301" s="255">
        <v>16709235.137641978</v>
      </c>
      <c r="L301" s="255">
        <v>17439310.960395504</v>
      </c>
      <c r="M301" s="255">
        <v>13525805.782865969</v>
      </c>
      <c r="N301" s="255">
        <v>11798818.491718987</v>
      </c>
      <c r="O301" s="255">
        <v>11497375.90092873</v>
      </c>
      <c r="P301" s="255">
        <v>10145504.241841463</v>
      </c>
      <c r="Q301" s="255">
        <v>15036457.444244878</v>
      </c>
      <c r="R301" s="255">
        <v>78146.153907803062</v>
      </c>
      <c r="S301" s="255">
        <v>0.44494518709531838</v>
      </c>
      <c r="T301" s="255">
        <v>4915301.0999999996</v>
      </c>
      <c r="U301" s="255">
        <v>0</v>
      </c>
      <c r="V301" s="255">
        <v>8418925.0999999996</v>
      </c>
      <c r="W301" s="255">
        <v>0</v>
      </c>
      <c r="X301" s="255">
        <v>0</v>
      </c>
      <c r="Y301" s="255">
        <v>4385040.6397872576</v>
      </c>
      <c r="Z301" s="255">
        <v>1815159.8</v>
      </c>
      <c r="AA301" s="255">
        <v>0</v>
      </c>
      <c r="AB301" s="255">
        <v>0</v>
      </c>
      <c r="AC301" s="255">
        <v>0</v>
      </c>
      <c r="AD301" s="255">
        <v>0</v>
      </c>
      <c r="AE301" s="255">
        <v>0</v>
      </c>
      <c r="AF301" s="255">
        <v>0</v>
      </c>
      <c r="AG301" s="255">
        <v>0</v>
      </c>
      <c r="AH301" s="255">
        <v>0</v>
      </c>
      <c r="AI301" s="255">
        <v>0</v>
      </c>
      <c r="AJ301" s="255">
        <v>0</v>
      </c>
      <c r="AK301" s="255">
        <v>0</v>
      </c>
      <c r="AL301" s="255">
        <v>0</v>
      </c>
      <c r="AM301" s="255">
        <v>0</v>
      </c>
      <c r="AN301" s="255">
        <v>0</v>
      </c>
      <c r="AO301" s="255">
        <v>0</v>
      </c>
      <c r="AP301" s="255"/>
      <c r="AQ301" s="255"/>
      <c r="AR301" s="255"/>
      <c r="AS301" s="255"/>
      <c r="AT301" s="255"/>
      <c r="AU301" s="255"/>
      <c r="AV301" s="255"/>
      <c r="AW301" s="255"/>
      <c r="AX301" s="255"/>
      <c r="AY301" s="255"/>
      <c r="AZ301" s="255"/>
      <c r="BA301" s="255"/>
      <c r="BB301" s="255"/>
      <c r="BC301" s="255"/>
      <c r="BD301" s="255"/>
      <c r="BE301" s="255"/>
      <c r="BF301" s="255"/>
      <c r="BG301" s="255"/>
      <c r="BH301" s="255"/>
      <c r="BI301" s="255"/>
      <c r="BJ301" s="255"/>
      <c r="BK301" s="255"/>
    </row>
    <row r="302" spans="1:63" s="133" customFormat="1" ht="12.75">
      <c r="A302" s="168">
        <v>39903</v>
      </c>
      <c r="B302" s="213" t="str">
        <f>Servicio_internaColumna_título_intereses</f>
        <v>Intereses</v>
      </c>
      <c r="C302" s="256">
        <v>0</v>
      </c>
      <c r="D302" s="257">
        <v>0</v>
      </c>
      <c r="E302" s="257">
        <v>0</v>
      </c>
      <c r="F302" s="257">
        <v>0</v>
      </c>
      <c r="G302" s="257">
        <v>0</v>
      </c>
      <c r="H302" s="257">
        <v>0</v>
      </c>
      <c r="I302" s="257">
        <v>0</v>
      </c>
      <c r="J302" s="257">
        <v>0</v>
      </c>
      <c r="K302" s="257">
        <v>8736173.1534113549</v>
      </c>
      <c r="L302" s="257">
        <v>9155066.8300402574</v>
      </c>
      <c r="M302" s="257">
        <v>7760633.8008218426</v>
      </c>
      <c r="N302" s="257">
        <v>6376599.7010230925</v>
      </c>
      <c r="O302" s="257">
        <v>5220290.0534490701</v>
      </c>
      <c r="P302" s="257">
        <v>4213292.7272903379</v>
      </c>
      <c r="Q302" s="257">
        <v>3111259.6605292801</v>
      </c>
      <c r="R302" s="257">
        <v>1928792.9888675527</v>
      </c>
      <c r="S302" s="257">
        <v>1936811.7955293225</v>
      </c>
      <c r="T302" s="257">
        <v>1945099.0759527022</v>
      </c>
      <c r="U302" s="258">
        <v>1400663.6010387833</v>
      </c>
      <c r="V302" s="258">
        <v>1409455.5768399462</v>
      </c>
      <c r="W302" s="258">
        <v>492429.5509151452</v>
      </c>
      <c r="X302" s="258">
        <v>501756.95804259961</v>
      </c>
      <c r="Y302" s="258">
        <v>511364.18738387804</v>
      </c>
      <c r="Z302" s="258">
        <v>181515.97999999998</v>
      </c>
      <c r="AA302" s="258">
        <v>0</v>
      </c>
      <c r="AB302" s="258">
        <v>0</v>
      </c>
      <c r="AC302" s="258">
        <v>0</v>
      </c>
      <c r="AD302" s="259">
        <v>0</v>
      </c>
      <c r="AE302" s="259">
        <v>0</v>
      </c>
      <c r="AF302" s="259">
        <v>0</v>
      </c>
      <c r="AG302" s="259">
        <v>0</v>
      </c>
      <c r="AH302" s="259">
        <v>0</v>
      </c>
      <c r="AI302" s="259">
        <v>0</v>
      </c>
      <c r="AJ302" s="259">
        <v>0</v>
      </c>
      <c r="AK302" s="259">
        <v>0</v>
      </c>
      <c r="AL302" s="259">
        <v>0</v>
      </c>
      <c r="AM302" s="259">
        <v>0</v>
      </c>
      <c r="AN302" s="259">
        <v>0</v>
      </c>
      <c r="AO302" s="259">
        <v>0</v>
      </c>
      <c r="AP302" s="259"/>
      <c r="AQ302" s="259"/>
      <c r="AR302" s="259"/>
      <c r="AS302" s="259"/>
      <c r="AT302" s="259"/>
      <c r="AU302" s="259"/>
      <c r="AV302" s="259"/>
      <c r="AW302" s="259"/>
      <c r="AX302" s="259"/>
      <c r="AY302" s="259"/>
      <c r="AZ302" s="259"/>
      <c r="BA302" s="259"/>
      <c r="BB302" s="259"/>
      <c r="BC302" s="259"/>
      <c r="BD302" s="259"/>
      <c r="BE302" s="259"/>
      <c r="BF302" s="259"/>
      <c r="BG302" s="259"/>
      <c r="BH302" s="259"/>
      <c r="BI302" s="259"/>
      <c r="BJ302" s="259"/>
      <c r="BK302" s="259"/>
    </row>
    <row r="303" spans="1:63" s="133" customFormat="1" ht="12.75">
      <c r="A303" s="169"/>
      <c r="B303" s="307" t="str">
        <f>Servicio_internaColumna_título_total</f>
        <v>Total</v>
      </c>
      <c r="C303" s="308">
        <v>0</v>
      </c>
      <c r="D303" s="309">
        <v>0</v>
      </c>
      <c r="E303" s="309">
        <v>0</v>
      </c>
      <c r="F303" s="309">
        <v>0</v>
      </c>
      <c r="G303" s="309">
        <v>0</v>
      </c>
      <c r="H303" s="309">
        <v>0</v>
      </c>
      <c r="I303" s="309">
        <v>0</v>
      </c>
      <c r="J303" s="309">
        <v>0</v>
      </c>
      <c r="K303" s="309">
        <v>25445408.291053332</v>
      </c>
      <c r="L303" s="309">
        <v>26594377.790435761</v>
      </c>
      <c r="M303" s="309">
        <v>21286439.583687812</v>
      </c>
      <c r="N303" s="309">
        <v>18175418.192742079</v>
      </c>
      <c r="O303" s="309">
        <v>16717665.9543778</v>
      </c>
      <c r="P303" s="309">
        <v>14358796.969131801</v>
      </c>
      <c r="Q303" s="309">
        <v>18147717.104774158</v>
      </c>
      <c r="R303" s="309">
        <v>2006939.1427753558</v>
      </c>
      <c r="S303" s="309">
        <v>1936812.2404745095</v>
      </c>
      <c r="T303" s="309">
        <v>6860400.1759527018</v>
      </c>
      <c r="U303" s="309">
        <v>1400663.6010387833</v>
      </c>
      <c r="V303" s="309">
        <v>9828380.6768399458</v>
      </c>
      <c r="W303" s="309">
        <v>492429.5509151452</v>
      </c>
      <c r="X303" s="309">
        <v>501756.95804259961</v>
      </c>
      <c r="Y303" s="309">
        <v>4896404.8271711357</v>
      </c>
      <c r="Z303" s="309">
        <v>1996675.78</v>
      </c>
      <c r="AA303" s="309">
        <v>0</v>
      </c>
      <c r="AB303" s="309">
        <v>0</v>
      </c>
      <c r="AC303" s="309">
        <v>0</v>
      </c>
      <c r="AD303" s="309">
        <v>0</v>
      </c>
      <c r="AE303" s="309">
        <v>0</v>
      </c>
      <c r="AF303" s="309">
        <v>0</v>
      </c>
      <c r="AG303" s="309">
        <v>0</v>
      </c>
      <c r="AH303" s="309">
        <v>0</v>
      </c>
      <c r="AI303" s="309">
        <v>0</v>
      </c>
      <c r="AJ303" s="309">
        <v>0</v>
      </c>
      <c r="AK303" s="309">
        <v>0</v>
      </c>
      <c r="AL303" s="309">
        <v>0</v>
      </c>
      <c r="AM303" s="309">
        <v>0</v>
      </c>
      <c r="AN303" s="309">
        <v>0</v>
      </c>
      <c r="AO303" s="309">
        <v>0</v>
      </c>
      <c r="AP303" s="309"/>
      <c r="AQ303" s="309"/>
      <c r="AR303" s="309"/>
      <c r="AS303" s="309"/>
      <c r="AT303" s="309"/>
      <c r="AU303" s="309"/>
      <c r="AV303" s="309"/>
      <c r="AW303" s="309"/>
      <c r="AX303" s="309"/>
      <c r="AY303" s="309"/>
      <c r="AZ303" s="309"/>
      <c r="BA303" s="309"/>
      <c r="BB303" s="309"/>
      <c r="BC303" s="309"/>
      <c r="BD303" s="309"/>
      <c r="BE303" s="309"/>
      <c r="BF303" s="309"/>
      <c r="BG303" s="309"/>
      <c r="BH303" s="309"/>
      <c r="BI303" s="309"/>
      <c r="BJ303" s="309"/>
      <c r="BK303" s="309"/>
    </row>
    <row r="304" spans="1:63" s="80" customFormat="1" ht="12.75">
      <c r="A304" s="167"/>
      <c r="B304" s="210" t="str">
        <f>Servicio_internaColumna_título_amortizaciones</f>
        <v>Amortizaciones</v>
      </c>
      <c r="C304" s="254">
        <v>0</v>
      </c>
      <c r="D304" s="255">
        <v>0</v>
      </c>
      <c r="E304" s="255">
        <v>0</v>
      </c>
      <c r="F304" s="255">
        <v>0</v>
      </c>
      <c r="G304" s="255">
        <v>0</v>
      </c>
      <c r="H304" s="255">
        <v>0</v>
      </c>
      <c r="I304" s="255">
        <v>0</v>
      </c>
      <c r="J304" s="255">
        <v>0</v>
      </c>
      <c r="K304" s="255">
        <v>16556636.20981312</v>
      </c>
      <c r="L304" s="255">
        <v>17695045.218719363</v>
      </c>
      <c r="M304" s="255">
        <v>13533599.028939905</v>
      </c>
      <c r="N304" s="255">
        <v>12582413.723376935</v>
      </c>
      <c r="O304" s="255">
        <v>11650906.699795214</v>
      </c>
      <c r="P304" s="255">
        <v>10767403.884516478</v>
      </c>
      <c r="Q304" s="255">
        <v>15089123.762962429</v>
      </c>
      <c r="R304" s="255">
        <v>78757.036146794228</v>
      </c>
      <c r="S304" s="255">
        <v>0.44786512286371943</v>
      </c>
      <c r="T304" s="255">
        <v>4915301.0999999996</v>
      </c>
      <c r="U304" s="255">
        <v>0</v>
      </c>
      <c r="V304" s="255">
        <v>8418925.0999999996</v>
      </c>
      <c r="W304" s="255">
        <v>0</v>
      </c>
      <c r="X304" s="255">
        <v>0</v>
      </c>
      <c r="Y304" s="255">
        <v>4651534.8682083702</v>
      </c>
      <c r="Z304" s="255">
        <v>2220431.4</v>
      </c>
      <c r="AA304" s="255">
        <v>0</v>
      </c>
      <c r="AB304" s="255">
        <v>0</v>
      </c>
      <c r="AC304" s="255">
        <v>0</v>
      </c>
      <c r="AD304" s="255">
        <v>0</v>
      </c>
      <c r="AE304" s="255">
        <v>0</v>
      </c>
      <c r="AF304" s="255">
        <v>0</v>
      </c>
      <c r="AG304" s="255">
        <v>0</v>
      </c>
      <c r="AH304" s="255">
        <v>0</v>
      </c>
      <c r="AI304" s="255">
        <v>0</v>
      </c>
      <c r="AJ304" s="255">
        <v>0</v>
      </c>
      <c r="AK304" s="255">
        <v>0</v>
      </c>
      <c r="AL304" s="255">
        <v>0</v>
      </c>
      <c r="AM304" s="255">
        <v>0</v>
      </c>
      <c r="AN304" s="255">
        <v>0</v>
      </c>
      <c r="AO304" s="255">
        <v>0</v>
      </c>
      <c r="AP304" s="255"/>
      <c r="AQ304" s="255"/>
      <c r="AR304" s="255"/>
      <c r="AS304" s="255"/>
      <c r="AT304" s="255"/>
      <c r="AU304" s="255"/>
      <c r="AV304" s="255"/>
      <c r="AW304" s="255"/>
      <c r="AX304" s="255"/>
      <c r="AY304" s="255"/>
      <c r="AZ304" s="255"/>
      <c r="BA304" s="255"/>
      <c r="BB304" s="255"/>
      <c r="BC304" s="255"/>
      <c r="BD304" s="255"/>
      <c r="BE304" s="255"/>
      <c r="BF304" s="255"/>
      <c r="BG304" s="255"/>
      <c r="BH304" s="255"/>
      <c r="BI304" s="255"/>
      <c r="BJ304" s="255"/>
      <c r="BK304" s="255"/>
    </row>
    <row r="305" spans="1:63" s="133" customFormat="1" ht="12.75">
      <c r="A305" s="168">
        <v>39933</v>
      </c>
      <c r="B305" s="213" t="str">
        <f>Servicio_internaColumna_título_intereses</f>
        <v>Intereses</v>
      </c>
      <c r="C305" s="256">
        <v>0</v>
      </c>
      <c r="D305" s="257">
        <v>0</v>
      </c>
      <c r="E305" s="257">
        <v>0</v>
      </c>
      <c r="F305" s="257">
        <v>0</v>
      </c>
      <c r="G305" s="257">
        <v>0</v>
      </c>
      <c r="H305" s="257">
        <v>0</v>
      </c>
      <c r="I305" s="257">
        <v>0</v>
      </c>
      <c r="J305" s="257">
        <v>0</v>
      </c>
      <c r="K305" s="257">
        <v>8518378.6258088555</v>
      </c>
      <c r="L305" s="257">
        <v>9339644.0178269967</v>
      </c>
      <c r="M305" s="257">
        <v>7948484.7729249056</v>
      </c>
      <c r="N305" s="257">
        <v>6565207.1651943158</v>
      </c>
      <c r="O305" s="257">
        <v>5339064.8064594138</v>
      </c>
      <c r="P305" s="257">
        <v>4324327.1931998953</v>
      </c>
      <c r="Q305" s="257">
        <v>3165765.4897058513</v>
      </c>
      <c r="R305" s="257">
        <v>1983767.7874843371</v>
      </c>
      <c r="S305" s="257">
        <v>1992216.720848673</v>
      </c>
      <c r="T305" s="257">
        <v>2000950.3342316337</v>
      </c>
      <c r="U305" s="258">
        <v>1456974.5822660825</v>
      </c>
      <c r="V305" s="258">
        <v>1466240.0727040656</v>
      </c>
      <c r="W305" s="258">
        <v>549701.7668551869</v>
      </c>
      <c r="X305" s="258">
        <v>559531.52566084242</v>
      </c>
      <c r="Y305" s="258">
        <v>569656.17723066825</v>
      </c>
      <c r="Z305" s="258">
        <v>222043.14000000013</v>
      </c>
      <c r="AA305" s="258">
        <v>0</v>
      </c>
      <c r="AB305" s="258">
        <v>0</v>
      </c>
      <c r="AC305" s="258">
        <v>0</v>
      </c>
      <c r="AD305" s="259">
        <v>0</v>
      </c>
      <c r="AE305" s="259">
        <v>0</v>
      </c>
      <c r="AF305" s="259">
        <v>0</v>
      </c>
      <c r="AG305" s="259">
        <v>0</v>
      </c>
      <c r="AH305" s="259">
        <v>0</v>
      </c>
      <c r="AI305" s="259">
        <v>0</v>
      </c>
      <c r="AJ305" s="259">
        <v>0</v>
      </c>
      <c r="AK305" s="259">
        <v>0</v>
      </c>
      <c r="AL305" s="259">
        <v>0</v>
      </c>
      <c r="AM305" s="259">
        <v>0</v>
      </c>
      <c r="AN305" s="259">
        <v>0</v>
      </c>
      <c r="AO305" s="259">
        <v>0</v>
      </c>
      <c r="AP305" s="259"/>
      <c r="AQ305" s="259"/>
      <c r="AR305" s="259"/>
      <c r="AS305" s="259"/>
      <c r="AT305" s="259"/>
      <c r="AU305" s="259"/>
      <c r="AV305" s="259"/>
      <c r="AW305" s="259"/>
      <c r="AX305" s="259"/>
      <c r="AY305" s="259"/>
      <c r="AZ305" s="259"/>
      <c r="BA305" s="259"/>
      <c r="BB305" s="259"/>
      <c r="BC305" s="259"/>
      <c r="BD305" s="259"/>
      <c r="BE305" s="259"/>
      <c r="BF305" s="259"/>
      <c r="BG305" s="259"/>
      <c r="BH305" s="259"/>
      <c r="BI305" s="259"/>
      <c r="BJ305" s="259"/>
      <c r="BK305" s="259"/>
    </row>
    <row r="306" spans="1:63" s="133" customFormat="1" ht="12.75">
      <c r="A306" s="169"/>
      <c r="B306" s="307" t="str">
        <f>Servicio_internaColumna_título_total</f>
        <v>Total</v>
      </c>
      <c r="C306" s="308">
        <v>0</v>
      </c>
      <c r="D306" s="309">
        <v>0</v>
      </c>
      <c r="E306" s="309">
        <v>0</v>
      </c>
      <c r="F306" s="309">
        <v>0</v>
      </c>
      <c r="G306" s="309">
        <v>0</v>
      </c>
      <c r="H306" s="309">
        <v>0</v>
      </c>
      <c r="I306" s="309">
        <v>0</v>
      </c>
      <c r="J306" s="309">
        <v>0</v>
      </c>
      <c r="K306" s="309">
        <v>25075014.835621975</v>
      </c>
      <c r="L306" s="309">
        <v>27034689.23654636</v>
      </c>
      <c r="M306" s="309">
        <v>21482083.80186481</v>
      </c>
      <c r="N306" s="309">
        <v>19147620.888571251</v>
      </c>
      <c r="O306" s="309">
        <v>16989971.506254628</v>
      </c>
      <c r="P306" s="309">
        <v>15091731.077716373</v>
      </c>
      <c r="Q306" s="309">
        <v>18254889.25266828</v>
      </c>
      <c r="R306" s="309">
        <v>2062524.8236311313</v>
      </c>
      <c r="S306" s="309">
        <v>1992217.168713796</v>
      </c>
      <c r="T306" s="309">
        <v>6916251.4342316333</v>
      </c>
      <c r="U306" s="309">
        <v>1456974.5822660825</v>
      </c>
      <c r="V306" s="309">
        <v>9885165.1727040652</v>
      </c>
      <c r="W306" s="309">
        <v>549701.7668551869</v>
      </c>
      <c r="X306" s="309">
        <v>559531.52566084242</v>
      </c>
      <c r="Y306" s="309">
        <v>5221191.0454390384</v>
      </c>
      <c r="Z306" s="309">
        <v>2442474.54</v>
      </c>
      <c r="AA306" s="309">
        <v>0</v>
      </c>
      <c r="AB306" s="309">
        <v>0</v>
      </c>
      <c r="AC306" s="309">
        <v>0</v>
      </c>
      <c r="AD306" s="309">
        <v>0</v>
      </c>
      <c r="AE306" s="309">
        <v>0</v>
      </c>
      <c r="AF306" s="309">
        <v>0</v>
      </c>
      <c r="AG306" s="309">
        <v>0</v>
      </c>
      <c r="AH306" s="309">
        <v>0</v>
      </c>
      <c r="AI306" s="309">
        <v>0</v>
      </c>
      <c r="AJ306" s="309">
        <v>0</v>
      </c>
      <c r="AK306" s="309">
        <v>0</v>
      </c>
      <c r="AL306" s="309">
        <v>0</v>
      </c>
      <c r="AM306" s="309">
        <v>0</v>
      </c>
      <c r="AN306" s="309">
        <v>0</v>
      </c>
      <c r="AO306" s="309">
        <v>0</v>
      </c>
      <c r="AP306" s="309"/>
      <c r="AQ306" s="309"/>
      <c r="AR306" s="309"/>
      <c r="AS306" s="309"/>
      <c r="AT306" s="309"/>
      <c r="AU306" s="309"/>
      <c r="AV306" s="309"/>
      <c r="AW306" s="309"/>
      <c r="AX306" s="309"/>
      <c r="AY306" s="309"/>
      <c r="AZ306" s="309"/>
      <c r="BA306" s="309"/>
      <c r="BB306" s="309"/>
      <c r="BC306" s="309"/>
      <c r="BD306" s="309"/>
      <c r="BE306" s="309"/>
      <c r="BF306" s="309"/>
      <c r="BG306" s="309"/>
      <c r="BH306" s="309"/>
      <c r="BI306" s="309"/>
      <c r="BJ306" s="309"/>
      <c r="BK306" s="309"/>
    </row>
    <row r="307" spans="1:63" s="80" customFormat="1" ht="12.75">
      <c r="A307" s="167"/>
      <c r="B307" s="210" t="str">
        <f>Servicio_internaColumna_título_amortizaciones</f>
        <v>Amortizaciones</v>
      </c>
      <c r="C307" s="254">
        <v>0</v>
      </c>
      <c r="D307" s="255">
        <v>0</v>
      </c>
      <c r="E307" s="255">
        <v>0</v>
      </c>
      <c r="F307" s="255">
        <v>0</v>
      </c>
      <c r="G307" s="255">
        <v>0</v>
      </c>
      <c r="H307" s="255">
        <v>0</v>
      </c>
      <c r="I307" s="255">
        <v>0</v>
      </c>
      <c r="J307" s="255">
        <v>0</v>
      </c>
      <c r="K307" s="255">
        <v>10582843.257170469</v>
      </c>
      <c r="L307" s="255">
        <v>17815000.092222009</v>
      </c>
      <c r="M307" s="255">
        <v>13538762.012528623</v>
      </c>
      <c r="N307" s="255">
        <v>14116704.799298557</v>
      </c>
      <c r="O307" s="255">
        <v>11910864.237697423</v>
      </c>
      <c r="P307" s="255">
        <v>11901780.314951729</v>
      </c>
      <c r="Q307" s="255">
        <v>15122658.057852004</v>
      </c>
      <c r="R307" s="255">
        <v>79082.023967147339</v>
      </c>
      <c r="S307" s="255">
        <v>0.44972433743387591</v>
      </c>
      <c r="T307" s="255">
        <v>4915301.0999999996</v>
      </c>
      <c r="U307" s="255">
        <v>0</v>
      </c>
      <c r="V307" s="255">
        <v>8418925.0999999996</v>
      </c>
      <c r="W307" s="255">
        <v>0</v>
      </c>
      <c r="X307" s="255">
        <v>0</v>
      </c>
      <c r="Y307" s="255">
        <v>5036028.1477122968</v>
      </c>
      <c r="Z307" s="255">
        <v>3275209.2</v>
      </c>
      <c r="AA307" s="255">
        <v>0</v>
      </c>
      <c r="AB307" s="255">
        <v>0</v>
      </c>
      <c r="AC307" s="255">
        <v>0</v>
      </c>
      <c r="AD307" s="255">
        <v>0</v>
      </c>
      <c r="AE307" s="255">
        <v>0</v>
      </c>
      <c r="AF307" s="255">
        <v>0</v>
      </c>
      <c r="AG307" s="255">
        <v>0</v>
      </c>
      <c r="AH307" s="255">
        <v>0</v>
      </c>
      <c r="AI307" s="255">
        <v>0</v>
      </c>
      <c r="AJ307" s="255">
        <v>0</v>
      </c>
      <c r="AK307" s="255">
        <v>0</v>
      </c>
      <c r="AL307" s="255">
        <v>0</v>
      </c>
      <c r="AM307" s="255">
        <v>0</v>
      </c>
      <c r="AN307" s="255">
        <v>0</v>
      </c>
      <c r="AO307" s="255">
        <v>0</v>
      </c>
      <c r="AP307" s="255"/>
      <c r="AQ307" s="255"/>
      <c r="AR307" s="255"/>
      <c r="AS307" s="255"/>
      <c r="AT307" s="255"/>
      <c r="AU307" s="255"/>
      <c r="AV307" s="255"/>
      <c r="AW307" s="255"/>
      <c r="AX307" s="255"/>
      <c r="AY307" s="255"/>
      <c r="AZ307" s="255"/>
      <c r="BA307" s="255"/>
      <c r="BB307" s="255"/>
      <c r="BC307" s="255"/>
      <c r="BD307" s="255"/>
      <c r="BE307" s="255"/>
      <c r="BF307" s="255"/>
      <c r="BG307" s="255"/>
      <c r="BH307" s="255"/>
      <c r="BI307" s="255"/>
      <c r="BJ307" s="255"/>
      <c r="BK307" s="255"/>
    </row>
    <row r="308" spans="1:63" s="133" customFormat="1" ht="12.75">
      <c r="A308" s="168">
        <v>39964</v>
      </c>
      <c r="B308" s="213" t="str">
        <f>Servicio_internaColumna_título_intereses</f>
        <v>Intereses</v>
      </c>
      <c r="C308" s="256">
        <v>0</v>
      </c>
      <c r="D308" s="257">
        <v>0</v>
      </c>
      <c r="E308" s="257">
        <v>0</v>
      </c>
      <c r="F308" s="257">
        <v>0</v>
      </c>
      <c r="G308" s="257">
        <v>0</v>
      </c>
      <c r="H308" s="257">
        <v>0</v>
      </c>
      <c r="I308" s="257">
        <v>0</v>
      </c>
      <c r="J308" s="257">
        <v>0</v>
      </c>
      <c r="K308" s="257">
        <v>8353180.6249760091</v>
      </c>
      <c r="L308" s="257">
        <v>9712622.7751489617</v>
      </c>
      <c r="M308" s="257">
        <v>8332159.2255514767</v>
      </c>
      <c r="N308" s="257">
        <v>6950009.0701515991</v>
      </c>
      <c r="O308" s="257">
        <v>5584282.5079698935</v>
      </c>
      <c r="P308" s="257">
        <v>4555106.4627729394</v>
      </c>
      <c r="Q308" s="257">
        <v>3292652.0026033968</v>
      </c>
      <c r="R308" s="257">
        <v>2111339.8724505091</v>
      </c>
      <c r="S308" s="257">
        <v>2120455.3448039279</v>
      </c>
      <c r="T308" s="257">
        <v>2129871.7835055459</v>
      </c>
      <c r="U308" s="258">
        <v>1586599.3416182119</v>
      </c>
      <c r="V308" s="258">
        <v>1596589.241436759</v>
      </c>
      <c r="W308" s="258">
        <v>680797.07724986132</v>
      </c>
      <c r="X308" s="258">
        <v>691395.36196735711</v>
      </c>
      <c r="Y308" s="258">
        <v>702311.59522637818</v>
      </c>
      <c r="Z308" s="258">
        <v>327520.91999999993</v>
      </c>
      <c r="AA308" s="258">
        <v>0</v>
      </c>
      <c r="AB308" s="258">
        <v>0</v>
      </c>
      <c r="AC308" s="258">
        <v>0</v>
      </c>
      <c r="AD308" s="259">
        <v>0</v>
      </c>
      <c r="AE308" s="259">
        <v>0</v>
      </c>
      <c r="AF308" s="259">
        <v>0</v>
      </c>
      <c r="AG308" s="259">
        <v>0</v>
      </c>
      <c r="AH308" s="259">
        <v>0</v>
      </c>
      <c r="AI308" s="259">
        <v>0</v>
      </c>
      <c r="AJ308" s="259">
        <v>0</v>
      </c>
      <c r="AK308" s="259">
        <v>0</v>
      </c>
      <c r="AL308" s="259">
        <v>0</v>
      </c>
      <c r="AM308" s="259">
        <v>0</v>
      </c>
      <c r="AN308" s="259">
        <v>0</v>
      </c>
      <c r="AO308" s="259">
        <v>0</v>
      </c>
      <c r="AP308" s="259"/>
      <c r="AQ308" s="259"/>
      <c r="AR308" s="259"/>
      <c r="AS308" s="259"/>
      <c r="AT308" s="259"/>
      <c r="AU308" s="259"/>
      <c r="AV308" s="259"/>
      <c r="AW308" s="259"/>
      <c r="AX308" s="259"/>
      <c r="AY308" s="259"/>
      <c r="AZ308" s="259"/>
      <c r="BA308" s="259"/>
      <c r="BB308" s="259"/>
      <c r="BC308" s="259"/>
      <c r="BD308" s="259"/>
      <c r="BE308" s="259"/>
      <c r="BF308" s="259"/>
      <c r="BG308" s="259"/>
      <c r="BH308" s="259"/>
      <c r="BI308" s="259"/>
      <c r="BJ308" s="259"/>
      <c r="BK308" s="259"/>
    </row>
    <row r="309" spans="1:63" s="133" customFormat="1" ht="12.75">
      <c r="A309" s="169"/>
      <c r="B309" s="307" t="str">
        <f>Servicio_internaColumna_título_total</f>
        <v>Total</v>
      </c>
      <c r="C309" s="308">
        <v>0</v>
      </c>
      <c r="D309" s="309">
        <v>0</v>
      </c>
      <c r="E309" s="309">
        <v>0</v>
      </c>
      <c r="F309" s="309">
        <v>0</v>
      </c>
      <c r="G309" s="309">
        <v>0</v>
      </c>
      <c r="H309" s="309">
        <v>0</v>
      </c>
      <c r="I309" s="309">
        <v>0</v>
      </c>
      <c r="J309" s="309">
        <v>0</v>
      </c>
      <c r="K309" s="309">
        <v>18936023.882146478</v>
      </c>
      <c r="L309" s="309">
        <v>27527622.867370971</v>
      </c>
      <c r="M309" s="309">
        <v>21870921.238080099</v>
      </c>
      <c r="N309" s="309">
        <v>21066713.869450156</v>
      </c>
      <c r="O309" s="309">
        <v>17495146.745667316</v>
      </c>
      <c r="P309" s="309">
        <v>16456886.777724668</v>
      </c>
      <c r="Q309" s="309">
        <v>18415310.0604554</v>
      </c>
      <c r="R309" s="309">
        <v>2190421.8964176564</v>
      </c>
      <c r="S309" s="309">
        <v>2120455.7945282655</v>
      </c>
      <c r="T309" s="309">
        <v>7045172.8835055456</v>
      </c>
      <c r="U309" s="309">
        <v>1586599.3416182119</v>
      </c>
      <c r="V309" s="309">
        <v>10015514.341436759</v>
      </c>
      <c r="W309" s="309">
        <v>680797.07724986132</v>
      </c>
      <c r="X309" s="309">
        <v>691395.36196735711</v>
      </c>
      <c r="Y309" s="309">
        <v>5738339.742938675</v>
      </c>
      <c r="Z309" s="309">
        <v>3602730.12</v>
      </c>
      <c r="AA309" s="309">
        <v>0</v>
      </c>
      <c r="AB309" s="309">
        <v>0</v>
      </c>
      <c r="AC309" s="309">
        <v>0</v>
      </c>
      <c r="AD309" s="309">
        <v>0</v>
      </c>
      <c r="AE309" s="309">
        <v>0</v>
      </c>
      <c r="AF309" s="309">
        <v>0</v>
      </c>
      <c r="AG309" s="309">
        <v>0</v>
      </c>
      <c r="AH309" s="309">
        <v>0</v>
      </c>
      <c r="AI309" s="309">
        <v>0</v>
      </c>
      <c r="AJ309" s="309">
        <v>0</v>
      </c>
      <c r="AK309" s="309">
        <v>0</v>
      </c>
      <c r="AL309" s="309">
        <v>0</v>
      </c>
      <c r="AM309" s="309">
        <v>0</v>
      </c>
      <c r="AN309" s="309">
        <v>0</v>
      </c>
      <c r="AO309" s="309">
        <v>0</v>
      </c>
      <c r="AP309" s="309"/>
      <c r="AQ309" s="309"/>
      <c r="AR309" s="309"/>
      <c r="AS309" s="309"/>
      <c r="AT309" s="309"/>
      <c r="AU309" s="309"/>
      <c r="AV309" s="309"/>
      <c r="AW309" s="309"/>
      <c r="AX309" s="309"/>
      <c r="AY309" s="309"/>
      <c r="AZ309" s="309"/>
      <c r="BA309" s="309"/>
      <c r="BB309" s="309"/>
      <c r="BC309" s="309"/>
      <c r="BD309" s="309"/>
      <c r="BE309" s="309"/>
      <c r="BF309" s="309"/>
      <c r="BG309" s="309"/>
      <c r="BH309" s="309"/>
      <c r="BI309" s="309"/>
      <c r="BJ309" s="309"/>
      <c r="BK309" s="309"/>
    </row>
    <row r="310" spans="1:63" s="80" customFormat="1" ht="12.75">
      <c r="A310" s="167"/>
      <c r="B310" s="210" t="str">
        <f>Servicio_internaColumna_título_amortizaciones</f>
        <v>Amortizaciones</v>
      </c>
      <c r="C310" s="254">
        <v>0</v>
      </c>
      <c r="D310" s="255">
        <v>0</v>
      </c>
      <c r="E310" s="255">
        <v>0</v>
      </c>
      <c r="F310" s="255">
        <v>0</v>
      </c>
      <c r="G310" s="255">
        <v>0</v>
      </c>
      <c r="H310" s="255">
        <v>0</v>
      </c>
      <c r="I310" s="255">
        <v>0</v>
      </c>
      <c r="J310" s="255">
        <v>0</v>
      </c>
      <c r="K310" s="255">
        <v>10322642.511869807</v>
      </c>
      <c r="L310" s="255">
        <v>17994351.454393715</v>
      </c>
      <c r="M310" s="255">
        <v>13540855.793429179</v>
      </c>
      <c r="N310" s="255">
        <v>14581116.863601958</v>
      </c>
      <c r="O310" s="255">
        <v>12091749.050444866</v>
      </c>
      <c r="P310" s="255">
        <v>12344679.780374471</v>
      </c>
      <c r="Q310" s="255">
        <v>15135612.711568745</v>
      </c>
      <c r="R310" s="255">
        <v>79455.452208351926</v>
      </c>
      <c r="S310" s="255">
        <v>0.45044257173761798</v>
      </c>
      <c r="T310" s="255">
        <v>4915301.0999999996</v>
      </c>
      <c r="U310" s="255">
        <v>0</v>
      </c>
      <c r="V310" s="255">
        <v>8418925.0999999996</v>
      </c>
      <c r="W310" s="255">
        <v>0</v>
      </c>
      <c r="X310" s="255">
        <v>0</v>
      </c>
      <c r="Y310" s="255">
        <v>5165678.2682147734</v>
      </c>
      <c r="Z310" s="255">
        <v>3611325</v>
      </c>
      <c r="AA310" s="255">
        <v>0</v>
      </c>
      <c r="AB310" s="255">
        <v>0</v>
      </c>
      <c r="AC310" s="255">
        <v>0</v>
      </c>
      <c r="AD310" s="255">
        <v>0</v>
      </c>
      <c r="AE310" s="255">
        <v>0</v>
      </c>
      <c r="AF310" s="255">
        <v>0</v>
      </c>
      <c r="AG310" s="255">
        <v>0</v>
      </c>
      <c r="AH310" s="255">
        <v>0</v>
      </c>
      <c r="AI310" s="255">
        <v>0</v>
      </c>
      <c r="AJ310" s="255">
        <v>0</v>
      </c>
      <c r="AK310" s="255">
        <v>0</v>
      </c>
      <c r="AL310" s="255">
        <v>0</v>
      </c>
      <c r="AM310" s="255">
        <v>0</v>
      </c>
      <c r="AN310" s="255">
        <v>0</v>
      </c>
      <c r="AO310" s="255">
        <v>0</v>
      </c>
      <c r="AP310" s="255"/>
      <c r="AQ310" s="255"/>
      <c r="AR310" s="255"/>
      <c r="AS310" s="255"/>
      <c r="AT310" s="255"/>
      <c r="AU310" s="255"/>
      <c r="AV310" s="255"/>
      <c r="AW310" s="255"/>
      <c r="AX310" s="255"/>
      <c r="AY310" s="255"/>
      <c r="AZ310" s="255"/>
      <c r="BA310" s="255"/>
      <c r="BB310" s="255"/>
      <c r="BC310" s="255"/>
      <c r="BD310" s="255"/>
      <c r="BE310" s="255"/>
      <c r="BF310" s="255"/>
      <c r="BG310" s="255"/>
      <c r="BH310" s="255"/>
      <c r="BI310" s="255"/>
      <c r="BJ310" s="255"/>
      <c r="BK310" s="255"/>
    </row>
    <row r="311" spans="1:63" s="133" customFormat="1" ht="12.75">
      <c r="A311" s="168">
        <v>39994</v>
      </c>
      <c r="B311" s="213" t="str">
        <f>Servicio_internaColumna_título_intereses</f>
        <v>Intereses</v>
      </c>
      <c r="C311" s="256">
        <v>0</v>
      </c>
      <c r="D311" s="257">
        <v>0</v>
      </c>
      <c r="E311" s="257">
        <v>0</v>
      </c>
      <c r="F311" s="257">
        <v>0</v>
      </c>
      <c r="G311" s="257">
        <v>0</v>
      </c>
      <c r="H311" s="257">
        <v>0</v>
      </c>
      <c r="I311" s="257">
        <v>0</v>
      </c>
      <c r="J311" s="257">
        <v>0</v>
      </c>
      <c r="K311" s="257">
        <v>6371559.0918574743</v>
      </c>
      <c r="L311" s="257">
        <v>9842397.709302824</v>
      </c>
      <c r="M311" s="257">
        <v>8464898.4236079175</v>
      </c>
      <c r="N311" s="257">
        <v>7083463.1810612362</v>
      </c>
      <c r="O311" s="257">
        <v>5675878.5521069039</v>
      </c>
      <c r="P311" s="257">
        <v>4636242.7452138811</v>
      </c>
      <c r="Q311" s="257">
        <v>3333339.3156752232</v>
      </c>
      <c r="R311" s="257">
        <v>2152304.1912034764</v>
      </c>
      <c r="S311" s="257">
        <v>2161634.2765063033</v>
      </c>
      <c r="T311" s="257">
        <v>2171277.7357589919</v>
      </c>
      <c r="U311" s="258">
        <v>1628239.1250392622</v>
      </c>
      <c r="V311" s="258">
        <v>1638469.8709604405</v>
      </c>
      <c r="W311" s="258">
        <v>722925.77825925336</v>
      </c>
      <c r="X311" s="258">
        <v>733779.57660703105</v>
      </c>
      <c r="Y311" s="258">
        <v>744958.98890524171</v>
      </c>
      <c r="Z311" s="258">
        <v>361132.5</v>
      </c>
      <c r="AA311" s="258">
        <v>0</v>
      </c>
      <c r="AB311" s="258">
        <v>0</v>
      </c>
      <c r="AC311" s="258">
        <v>0</v>
      </c>
      <c r="AD311" s="259">
        <v>0</v>
      </c>
      <c r="AE311" s="259">
        <v>0</v>
      </c>
      <c r="AF311" s="259">
        <v>0</v>
      </c>
      <c r="AG311" s="259">
        <v>0</v>
      </c>
      <c r="AH311" s="259">
        <v>0</v>
      </c>
      <c r="AI311" s="259">
        <v>0</v>
      </c>
      <c r="AJ311" s="259">
        <v>0</v>
      </c>
      <c r="AK311" s="259">
        <v>0</v>
      </c>
      <c r="AL311" s="259">
        <v>0</v>
      </c>
      <c r="AM311" s="259">
        <v>0</v>
      </c>
      <c r="AN311" s="259">
        <v>0</v>
      </c>
      <c r="AO311" s="259">
        <v>0</v>
      </c>
      <c r="AP311" s="259"/>
      <c r="AQ311" s="259"/>
      <c r="AR311" s="259"/>
      <c r="AS311" s="259"/>
      <c r="AT311" s="259"/>
      <c r="AU311" s="259"/>
      <c r="AV311" s="259"/>
      <c r="AW311" s="259"/>
      <c r="AX311" s="259"/>
      <c r="AY311" s="259"/>
      <c r="AZ311" s="259"/>
      <c r="BA311" s="259"/>
      <c r="BB311" s="259"/>
      <c r="BC311" s="259"/>
      <c r="BD311" s="259"/>
      <c r="BE311" s="259"/>
      <c r="BF311" s="259"/>
      <c r="BG311" s="259"/>
      <c r="BH311" s="259"/>
      <c r="BI311" s="259"/>
      <c r="BJ311" s="259"/>
      <c r="BK311" s="259"/>
    </row>
    <row r="312" spans="1:63" s="133" customFormat="1" ht="12.75">
      <c r="A312" s="169"/>
      <c r="B312" s="307" t="str">
        <f>Servicio_internaColumna_título_total</f>
        <v>Total</v>
      </c>
      <c r="C312" s="308">
        <v>0</v>
      </c>
      <c r="D312" s="309">
        <v>0</v>
      </c>
      <c r="E312" s="309">
        <v>0</v>
      </c>
      <c r="F312" s="309">
        <v>0</v>
      </c>
      <c r="G312" s="309">
        <v>0</v>
      </c>
      <c r="H312" s="309">
        <v>0</v>
      </c>
      <c r="I312" s="309">
        <v>0</v>
      </c>
      <c r="J312" s="309">
        <v>0</v>
      </c>
      <c r="K312" s="309">
        <v>16694201.603727281</v>
      </c>
      <c r="L312" s="309">
        <v>27836749.163696539</v>
      </c>
      <c r="M312" s="309">
        <v>22005754.217037097</v>
      </c>
      <c r="N312" s="309">
        <v>21664580.044663195</v>
      </c>
      <c r="O312" s="309">
        <v>17767627.602551769</v>
      </c>
      <c r="P312" s="309">
        <v>16980922.525588352</v>
      </c>
      <c r="Q312" s="309">
        <v>18468952.027243968</v>
      </c>
      <c r="R312" s="309">
        <v>2231759.6434118282</v>
      </c>
      <c r="S312" s="309">
        <v>2161634.726948875</v>
      </c>
      <c r="T312" s="309">
        <v>7086578.8357589915</v>
      </c>
      <c r="U312" s="309">
        <v>1628239.1250392622</v>
      </c>
      <c r="V312" s="309">
        <v>10057394.97096044</v>
      </c>
      <c r="W312" s="309">
        <v>722925.77825925336</v>
      </c>
      <c r="X312" s="309">
        <v>733779.57660703105</v>
      </c>
      <c r="Y312" s="309">
        <v>5910637.2571200151</v>
      </c>
      <c r="Z312" s="309">
        <v>3972457.5</v>
      </c>
      <c r="AA312" s="309">
        <v>0</v>
      </c>
      <c r="AB312" s="309">
        <v>0</v>
      </c>
      <c r="AC312" s="309">
        <v>0</v>
      </c>
      <c r="AD312" s="309">
        <v>0</v>
      </c>
      <c r="AE312" s="309">
        <v>0</v>
      </c>
      <c r="AF312" s="309">
        <v>0</v>
      </c>
      <c r="AG312" s="309">
        <v>0</v>
      </c>
      <c r="AH312" s="309">
        <v>0</v>
      </c>
      <c r="AI312" s="309">
        <v>0</v>
      </c>
      <c r="AJ312" s="309">
        <v>0</v>
      </c>
      <c r="AK312" s="309">
        <v>0</v>
      </c>
      <c r="AL312" s="309">
        <v>0</v>
      </c>
      <c r="AM312" s="309">
        <v>0</v>
      </c>
      <c r="AN312" s="309">
        <v>0</v>
      </c>
      <c r="AO312" s="309">
        <v>0</v>
      </c>
      <c r="AP312" s="309"/>
      <c r="AQ312" s="309"/>
      <c r="AR312" s="309"/>
      <c r="AS312" s="309"/>
      <c r="AT312" s="309"/>
      <c r="AU312" s="309"/>
      <c r="AV312" s="309"/>
      <c r="AW312" s="309"/>
      <c r="AX312" s="309"/>
      <c r="AY312" s="309"/>
      <c r="AZ312" s="309"/>
      <c r="BA312" s="309"/>
      <c r="BB312" s="309"/>
      <c r="BC312" s="309"/>
      <c r="BD312" s="309"/>
      <c r="BE312" s="309"/>
      <c r="BF312" s="309"/>
      <c r="BG312" s="309"/>
      <c r="BH312" s="309"/>
      <c r="BI312" s="309"/>
      <c r="BJ312" s="309"/>
      <c r="BK312" s="309"/>
    </row>
    <row r="313" spans="1:63" s="80" customFormat="1" ht="12.75">
      <c r="A313" s="167"/>
      <c r="B313" s="210" t="str">
        <f>Servicio_internaColumna_título_amortizaciones</f>
        <v>Amortizaciones</v>
      </c>
      <c r="C313" s="254">
        <v>0</v>
      </c>
      <c r="D313" s="255">
        <v>0</v>
      </c>
      <c r="E313" s="255">
        <v>0</v>
      </c>
      <c r="F313" s="255">
        <v>0</v>
      </c>
      <c r="G313" s="255">
        <v>0</v>
      </c>
      <c r="H313" s="255">
        <v>0</v>
      </c>
      <c r="I313" s="255">
        <v>0</v>
      </c>
      <c r="J313" s="255">
        <v>0</v>
      </c>
      <c r="K313" s="255">
        <v>4173183.2935988749</v>
      </c>
      <c r="L313" s="255">
        <v>18304102.024147455</v>
      </c>
      <c r="M313" s="255">
        <v>13540483.527488152</v>
      </c>
      <c r="N313" s="255">
        <v>15193158.450684451</v>
      </c>
      <c r="O313" s="255">
        <v>12436080.276640313</v>
      </c>
      <c r="P313" s="255">
        <v>12868714.658076985</v>
      </c>
      <c r="Q313" s="255">
        <v>15133504.319896877</v>
      </c>
      <c r="R313" s="255">
        <v>79580.353346526535</v>
      </c>
      <c r="S313" s="255">
        <v>0.45032567789718264</v>
      </c>
      <c r="T313" s="255">
        <v>4915301.0999999996</v>
      </c>
      <c r="U313" s="255">
        <v>0</v>
      </c>
      <c r="V313" s="255">
        <v>8418925.0999999996</v>
      </c>
      <c r="W313" s="255">
        <v>0</v>
      </c>
      <c r="X313" s="255">
        <v>0</v>
      </c>
      <c r="Y313" s="255">
        <v>5327715.3033837518</v>
      </c>
      <c r="Z313" s="255">
        <v>4440073.8</v>
      </c>
      <c r="AA313" s="255">
        <v>0</v>
      </c>
      <c r="AB313" s="255">
        <v>0</v>
      </c>
      <c r="AC313" s="255">
        <v>0</v>
      </c>
      <c r="AD313" s="255">
        <v>0</v>
      </c>
      <c r="AE313" s="255">
        <v>0</v>
      </c>
      <c r="AF313" s="255">
        <v>0</v>
      </c>
      <c r="AG313" s="255">
        <v>0</v>
      </c>
      <c r="AH313" s="255">
        <v>0</v>
      </c>
      <c r="AI313" s="255">
        <v>0</v>
      </c>
      <c r="AJ313" s="255">
        <v>0</v>
      </c>
      <c r="AK313" s="255">
        <v>0</v>
      </c>
      <c r="AL313" s="255">
        <v>0</v>
      </c>
      <c r="AM313" s="255">
        <v>0</v>
      </c>
      <c r="AN313" s="255">
        <v>0</v>
      </c>
      <c r="AO313" s="255">
        <v>0</v>
      </c>
      <c r="AP313" s="255"/>
      <c r="AQ313" s="255"/>
      <c r="AR313" s="255"/>
      <c r="AS313" s="255"/>
      <c r="AT313" s="255"/>
      <c r="AU313" s="255"/>
      <c r="AV313" s="255"/>
      <c r="AW313" s="255"/>
      <c r="AX313" s="255"/>
      <c r="AY313" s="255"/>
      <c r="AZ313" s="255"/>
      <c r="BA313" s="255"/>
      <c r="BB313" s="255"/>
      <c r="BC313" s="255"/>
      <c r="BD313" s="255"/>
      <c r="BE313" s="255"/>
      <c r="BF313" s="255"/>
      <c r="BG313" s="255"/>
      <c r="BH313" s="255"/>
      <c r="BI313" s="255"/>
      <c r="BJ313" s="255"/>
      <c r="BK313" s="255"/>
    </row>
    <row r="314" spans="1:63" s="133" customFormat="1" ht="12.75">
      <c r="A314" s="168">
        <v>40025</v>
      </c>
      <c r="B314" s="213" t="str">
        <f>Servicio_internaColumna_título_intereses</f>
        <v>Intereses</v>
      </c>
      <c r="C314" s="256">
        <v>0</v>
      </c>
      <c r="D314" s="257">
        <v>0</v>
      </c>
      <c r="E314" s="257">
        <v>0</v>
      </c>
      <c r="F314" s="257">
        <v>0</v>
      </c>
      <c r="G314" s="257">
        <v>0</v>
      </c>
      <c r="H314" s="257">
        <v>0</v>
      </c>
      <c r="I314" s="257">
        <v>0</v>
      </c>
      <c r="J314" s="257">
        <v>0</v>
      </c>
      <c r="K314" s="257">
        <v>4401163.8585017733</v>
      </c>
      <c r="L314" s="257">
        <v>10034623.62468829</v>
      </c>
      <c r="M314" s="257">
        <v>8658810.4860753547</v>
      </c>
      <c r="N314" s="257">
        <v>7278471.1823354922</v>
      </c>
      <c r="O314" s="257">
        <v>5815130.2171431277</v>
      </c>
      <c r="P314" s="257">
        <v>4776762.6113862153</v>
      </c>
      <c r="Q314" s="257">
        <v>3425765.0719469562</v>
      </c>
      <c r="R314" s="257">
        <v>2245053.1027371003</v>
      </c>
      <c r="S314" s="257">
        <v>2254678.417728995</v>
      </c>
      <c r="T314" s="257">
        <v>2264626.9548183652</v>
      </c>
      <c r="U314" s="258">
        <v>1721902.5742704156</v>
      </c>
      <c r="V314" s="258">
        <v>1732456.9772685282</v>
      </c>
      <c r="W314" s="258">
        <v>817246.25135658425</v>
      </c>
      <c r="X314" s="258">
        <v>828443.41749728168</v>
      </c>
      <c r="Y314" s="258">
        <v>839976.49862220045</v>
      </c>
      <c r="Z314" s="258">
        <v>444007.37999999989</v>
      </c>
      <c r="AA314" s="258">
        <v>0</v>
      </c>
      <c r="AB314" s="258">
        <v>0</v>
      </c>
      <c r="AC314" s="258">
        <v>0</v>
      </c>
      <c r="AD314" s="259">
        <v>0</v>
      </c>
      <c r="AE314" s="259">
        <v>0</v>
      </c>
      <c r="AF314" s="259">
        <v>0</v>
      </c>
      <c r="AG314" s="259">
        <v>0</v>
      </c>
      <c r="AH314" s="259">
        <v>0</v>
      </c>
      <c r="AI314" s="259">
        <v>0</v>
      </c>
      <c r="AJ314" s="259">
        <v>0</v>
      </c>
      <c r="AK314" s="259">
        <v>0</v>
      </c>
      <c r="AL314" s="259">
        <v>0</v>
      </c>
      <c r="AM314" s="259">
        <v>0</v>
      </c>
      <c r="AN314" s="259">
        <v>0</v>
      </c>
      <c r="AO314" s="259">
        <v>0</v>
      </c>
      <c r="AP314" s="259"/>
      <c r="AQ314" s="259"/>
      <c r="AR314" s="259"/>
      <c r="AS314" s="259"/>
      <c r="AT314" s="259"/>
      <c r="AU314" s="259"/>
      <c r="AV314" s="259"/>
      <c r="AW314" s="259"/>
      <c r="AX314" s="259"/>
      <c r="AY314" s="259"/>
      <c r="AZ314" s="259"/>
      <c r="BA314" s="259"/>
      <c r="BB314" s="259"/>
      <c r="BC314" s="259"/>
      <c r="BD314" s="259"/>
      <c r="BE314" s="259"/>
      <c r="BF314" s="259"/>
      <c r="BG314" s="259"/>
      <c r="BH314" s="259"/>
      <c r="BI314" s="259"/>
      <c r="BJ314" s="259"/>
      <c r="BK314" s="259"/>
    </row>
    <row r="315" spans="1:63" s="133" customFormat="1" ht="12.75">
      <c r="A315" s="169"/>
      <c r="B315" s="307" t="str">
        <f>Servicio_internaColumna_título_total</f>
        <v>Total</v>
      </c>
      <c r="C315" s="308">
        <v>0</v>
      </c>
      <c r="D315" s="309">
        <v>0</v>
      </c>
      <c r="E315" s="309">
        <v>0</v>
      </c>
      <c r="F315" s="309">
        <v>0</v>
      </c>
      <c r="G315" s="309">
        <v>0</v>
      </c>
      <c r="H315" s="309">
        <v>0</v>
      </c>
      <c r="I315" s="309">
        <v>0</v>
      </c>
      <c r="J315" s="309">
        <v>0</v>
      </c>
      <c r="K315" s="309">
        <v>8574347.1521006487</v>
      </c>
      <c r="L315" s="309">
        <v>28338725.648835745</v>
      </c>
      <c r="M315" s="309">
        <v>22199294.013563506</v>
      </c>
      <c r="N315" s="309">
        <v>22471629.633019943</v>
      </c>
      <c r="O315" s="309">
        <v>18251210.49378344</v>
      </c>
      <c r="P315" s="309">
        <v>17645477.2694632</v>
      </c>
      <c r="Q315" s="309">
        <v>18559269.391843833</v>
      </c>
      <c r="R315" s="309">
        <v>2324633.456083627</v>
      </c>
      <c r="S315" s="309">
        <v>2254678.8680546731</v>
      </c>
      <c r="T315" s="309">
        <v>7179928.0548183648</v>
      </c>
      <c r="U315" s="309">
        <v>1721902.5742704156</v>
      </c>
      <c r="V315" s="309">
        <v>10151382.077268528</v>
      </c>
      <c r="W315" s="309">
        <v>817246.25135658425</v>
      </c>
      <c r="X315" s="309">
        <v>828443.41749728168</v>
      </c>
      <c r="Y315" s="309">
        <v>6167691.8020059522</v>
      </c>
      <c r="Z315" s="309">
        <v>4884081.18</v>
      </c>
      <c r="AA315" s="309">
        <v>0</v>
      </c>
      <c r="AB315" s="309">
        <v>0</v>
      </c>
      <c r="AC315" s="309">
        <v>0</v>
      </c>
      <c r="AD315" s="309">
        <v>0</v>
      </c>
      <c r="AE315" s="309">
        <v>0</v>
      </c>
      <c r="AF315" s="309">
        <v>0</v>
      </c>
      <c r="AG315" s="309">
        <v>0</v>
      </c>
      <c r="AH315" s="309">
        <v>0</v>
      </c>
      <c r="AI315" s="309">
        <v>0</v>
      </c>
      <c r="AJ315" s="309">
        <v>0</v>
      </c>
      <c r="AK315" s="309">
        <v>0</v>
      </c>
      <c r="AL315" s="309">
        <v>0</v>
      </c>
      <c r="AM315" s="309">
        <v>0</v>
      </c>
      <c r="AN315" s="309">
        <v>0</v>
      </c>
      <c r="AO315" s="309">
        <v>0</v>
      </c>
      <c r="AP315" s="309"/>
      <c r="AQ315" s="309"/>
      <c r="AR315" s="309"/>
      <c r="AS315" s="309"/>
      <c r="AT315" s="309"/>
      <c r="AU315" s="309"/>
      <c r="AV315" s="309"/>
      <c r="AW315" s="309"/>
      <c r="AX315" s="309"/>
      <c r="AY315" s="309"/>
      <c r="AZ315" s="309"/>
      <c r="BA315" s="309"/>
      <c r="BB315" s="309"/>
      <c r="BC315" s="309"/>
      <c r="BD315" s="309"/>
      <c r="BE315" s="309"/>
      <c r="BF315" s="309"/>
      <c r="BG315" s="309"/>
      <c r="BH315" s="309"/>
      <c r="BI315" s="309"/>
      <c r="BJ315" s="309"/>
      <c r="BK315" s="309"/>
    </row>
    <row r="316" spans="1:63" s="80" customFormat="1" ht="12.75">
      <c r="A316" s="167"/>
      <c r="B316" s="210" t="str">
        <f>Servicio_internaColumna_título_amortizaciones</f>
        <v>Amortizaciones</v>
      </c>
      <c r="C316" s="254">
        <v>0</v>
      </c>
      <c r="D316" s="255">
        <v>0</v>
      </c>
      <c r="E316" s="255">
        <v>0</v>
      </c>
      <c r="F316" s="255">
        <v>0</v>
      </c>
      <c r="G316" s="255">
        <v>0</v>
      </c>
      <c r="H316" s="255">
        <v>0</v>
      </c>
      <c r="I316" s="255">
        <v>0</v>
      </c>
      <c r="J316" s="255">
        <v>0</v>
      </c>
      <c r="K316" s="255">
        <v>2948981.1667714422</v>
      </c>
      <c r="L316" s="255">
        <v>18672268.652429763</v>
      </c>
      <c r="M316" s="255">
        <v>13539291.789874623</v>
      </c>
      <c r="N316" s="255">
        <v>15520479.815643668</v>
      </c>
      <c r="O316" s="255">
        <v>12581989.431985738</v>
      </c>
      <c r="P316" s="255">
        <v>13370724.742690131</v>
      </c>
      <c r="Q316" s="255">
        <v>15129470.119051376</v>
      </c>
      <c r="R316" s="255">
        <v>79640.045067807601</v>
      </c>
      <c r="S316" s="255">
        <v>0.45010201298889735</v>
      </c>
      <c r="T316" s="255">
        <v>4915301.0999999996</v>
      </c>
      <c r="U316" s="255">
        <v>0</v>
      </c>
      <c r="V316" s="255">
        <v>8418925.0999999996</v>
      </c>
      <c r="W316" s="255">
        <v>0</v>
      </c>
      <c r="X316" s="255">
        <v>0</v>
      </c>
      <c r="Y316" s="255">
        <v>5486729.478087713</v>
      </c>
      <c r="Z316" s="255">
        <v>4911244</v>
      </c>
      <c r="AA316" s="255">
        <v>0</v>
      </c>
      <c r="AB316" s="255">
        <v>0</v>
      </c>
      <c r="AC316" s="255">
        <v>0</v>
      </c>
      <c r="AD316" s="255">
        <v>0</v>
      </c>
      <c r="AE316" s="255">
        <v>0</v>
      </c>
      <c r="AF316" s="255">
        <v>0</v>
      </c>
      <c r="AG316" s="255">
        <v>0</v>
      </c>
      <c r="AH316" s="255">
        <v>0</v>
      </c>
      <c r="AI316" s="255">
        <v>0</v>
      </c>
      <c r="AJ316" s="255">
        <v>0</v>
      </c>
      <c r="AK316" s="255">
        <v>0</v>
      </c>
      <c r="AL316" s="255">
        <v>0</v>
      </c>
      <c r="AM316" s="255">
        <v>0</v>
      </c>
      <c r="AN316" s="255">
        <v>0</v>
      </c>
      <c r="AO316" s="255">
        <v>0</v>
      </c>
      <c r="AP316" s="255"/>
      <c r="AQ316" s="255"/>
      <c r="AR316" s="255"/>
      <c r="AS316" s="255"/>
      <c r="AT316" s="255"/>
      <c r="AU316" s="255"/>
      <c r="AV316" s="255"/>
      <c r="AW316" s="255"/>
      <c r="AX316" s="255"/>
      <c r="AY316" s="255"/>
      <c r="AZ316" s="255"/>
      <c r="BA316" s="255"/>
      <c r="BB316" s="255"/>
      <c r="BC316" s="255"/>
      <c r="BD316" s="255"/>
      <c r="BE316" s="255"/>
      <c r="BF316" s="255"/>
      <c r="BG316" s="255"/>
      <c r="BH316" s="255"/>
      <c r="BI316" s="255"/>
      <c r="BJ316" s="255"/>
      <c r="BK316" s="255"/>
    </row>
    <row r="317" spans="1:63" s="133" customFormat="1" ht="12.75">
      <c r="A317" s="168">
        <v>40056</v>
      </c>
      <c r="B317" s="213" t="str">
        <f>Servicio_internaColumna_título_intereses</f>
        <v>Intereses</v>
      </c>
      <c r="C317" s="256">
        <v>0</v>
      </c>
      <c r="D317" s="257">
        <v>0</v>
      </c>
      <c r="E317" s="257">
        <v>0</v>
      </c>
      <c r="F317" s="257">
        <v>0</v>
      </c>
      <c r="G317" s="257">
        <v>0</v>
      </c>
      <c r="H317" s="257">
        <v>0</v>
      </c>
      <c r="I317" s="257">
        <v>0</v>
      </c>
      <c r="J317" s="257">
        <v>0</v>
      </c>
      <c r="K317" s="257">
        <v>3552671.4186306368</v>
      </c>
      <c r="L317" s="257">
        <v>10071065.572912436</v>
      </c>
      <c r="M317" s="257">
        <v>8821802.3258417901</v>
      </c>
      <c r="N317" s="257">
        <v>7441938.9285314344</v>
      </c>
      <c r="O317" s="257">
        <v>5948720.7220835853</v>
      </c>
      <c r="P317" s="257">
        <v>4879507.4893448353</v>
      </c>
      <c r="Q317" s="257">
        <v>3482359.0705630649</v>
      </c>
      <c r="R317" s="257">
        <v>2301945.659391046</v>
      </c>
      <c r="S317" s="257">
        <v>2311862.8099114392</v>
      </c>
      <c r="T317" s="257">
        <v>2322113.3681662828</v>
      </c>
      <c r="U317" s="258">
        <v>1779700.0694187705</v>
      </c>
      <c r="V317" s="258">
        <v>1790574.8866713326</v>
      </c>
      <c r="W317" s="258">
        <v>875694.18744147383</v>
      </c>
      <c r="X317" s="258">
        <v>887231.28106471803</v>
      </c>
      <c r="Y317" s="258">
        <v>899114.48749665916</v>
      </c>
      <c r="Z317" s="258">
        <v>491124.40000000037</v>
      </c>
      <c r="AA317" s="258">
        <v>0</v>
      </c>
      <c r="AB317" s="258">
        <v>0</v>
      </c>
      <c r="AC317" s="258">
        <v>0</v>
      </c>
      <c r="AD317" s="259">
        <v>0</v>
      </c>
      <c r="AE317" s="259">
        <v>0</v>
      </c>
      <c r="AF317" s="259">
        <v>0</v>
      </c>
      <c r="AG317" s="259">
        <v>0</v>
      </c>
      <c r="AH317" s="259">
        <v>0</v>
      </c>
      <c r="AI317" s="259">
        <v>0</v>
      </c>
      <c r="AJ317" s="259">
        <v>0</v>
      </c>
      <c r="AK317" s="259">
        <v>0</v>
      </c>
      <c r="AL317" s="259">
        <v>0</v>
      </c>
      <c r="AM317" s="259">
        <v>0</v>
      </c>
      <c r="AN317" s="259">
        <v>0</v>
      </c>
      <c r="AO317" s="259">
        <v>0</v>
      </c>
      <c r="AP317" s="259"/>
      <c r="AQ317" s="259"/>
      <c r="AR317" s="259"/>
      <c r="AS317" s="259"/>
      <c r="AT317" s="259"/>
      <c r="AU317" s="259"/>
      <c r="AV317" s="259"/>
      <c r="AW317" s="259"/>
      <c r="AX317" s="259"/>
      <c r="AY317" s="259"/>
      <c r="AZ317" s="259"/>
      <c r="BA317" s="259"/>
      <c r="BB317" s="259"/>
      <c r="BC317" s="259"/>
      <c r="BD317" s="259"/>
      <c r="BE317" s="259"/>
      <c r="BF317" s="259"/>
      <c r="BG317" s="259"/>
      <c r="BH317" s="259"/>
      <c r="BI317" s="259"/>
      <c r="BJ317" s="259"/>
      <c r="BK317" s="259"/>
    </row>
    <row r="318" spans="1:63" s="133" customFormat="1" ht="12.75">
      <c r="A318" s="169"/>
      <c r="B318" s="307" t="str">
        <f>Servicio_internaColumna_título_total</f>
        <v>Total</v>
      </c>
      <c r="C318" s="308">
        <v>0</v>
      </c>
      <c r="D318" s="309">
        <v>0</v>
      </c>
      <c r="E318" s="309">
        <v>0</v>
      </c>
      <c r="F318" s="309">
        <v>0</v>
      </c>
      <c r="G318" s="309">
        <v>0</v>
      </c>
      <c r="H318" s="309">
        <v>0</v>
      </c>
      <c r="I318" s="309">
        <v>0</v>
      </c>
      <c r="J318" s="309">
        <v>0</v>
      </c>
      <c r="K318" s="309">
        <v>6501652.5854020789</v>
      </c>
      <c r="L318" s="309">
        <v>28743334.225342199</v>
      </c>
      <c r="M318" s="309">
        <v>22361094.115716413</v>
      </c>
      <c r="N318" s="309">
        <v>22962418.744175103</v>
      </c>
      <c r="O318" s="309">
        <v>18530710.154069323</v>
      </c>
      <c r="P318" s="309">
        <v>18250232.232034966</v>
      </c>
      <c r="Q318" s="309">
        <v>18611829.189614441</v>
      </c>
      <c r="R318" s="309">
        <v>2381585.7044588537</v>
      </c>
      <c r="S318" s="309">
        <v>2311863.2600134523</v>
      </c>
      <c r="T318" s="309">
        <v>7237414.4681662824</v>
      </c>
      <c r="U318" s="309">
        <v>1779700.0694187705</v>
      </c>
      <c r="V318" s="309">
        <v>10209499.986671332</v>
      </c>
      <c r="W318" s="309">
        <v>875694.18744147383</v>
      </c>
      <c r="X318" s="309">
        <v>887231.28106471803</v>
      </c>
      <c r="Y318" s="309">
        <v>6385843.9655843722</v>
      </c>
      <c r="Z318" s="309">
        <v>5402368.4000000004</v>
      </c>
      <c r="AA318" s="309">
        <v>0</v>
      </c>
      <c r="AB318" s="309">
        <v>0</v>
      </c>
      <c r="AC318" s="309">
        <v>0</v>
      </c>
      <c r="AD318" s="309">
        <v>0</v>
      </c>
      <c r="AE318" s="309">
        <v>0</v>
      </c>
      <c r="AF318" s="309">
        <v>0</v>
      </c>
      <c r="AG318" s="309">
        <v>0</v>
      </c>
      <c r="AH318" s="309">
        <v>0</v>
      </c>
      <c r="AI318" s="309">
        <v>0</v>
      </c>
      <c r="AJ318" s="309">
        <v>0</v>
      </c>
      <c r="AK318" s="309">
        <v>0</v>
      </c>
      <c r="AL318" s="309">
        <v>0</v>
      </c>
      <c r="AM318" s="309">
        <v>0</v>
      </c>
      <c r="AN318" s="309">
        <v>0</v>
      </c>
      <c r="AO318" s="309">
        <v>0</v>
      </c>
      <c r="AP318" s="309"/>
      <c r="AQ318" s="309"/>
      <c r="AR318" s="309"/>
      <c r="AS318" s="309"/>
      <c r="AT318" s="309"/>
      <c r="AU318" s="309"/>
      <c r="AV318" s="309"/>
      <c r="AW318" s="309"/>
      <c r="AX318" s="309"/>
      <c r="AY318" s="309"/>
      <c r="AZ318" s="309"/>
      <c r="BA318" s="309"/>
      <c r="BB318" s="309"/>
      <c r="BC318" s="309"/>
      <c r="BD318" s="309"/>
      <c r="BE318" s="309"/>
      <c r="BF318" s="309"/>
      <c r="BG318" s="309"/>
      <c r="BH318" s="309"/>
      <c r="BI318" s="309"/>
      <c r="BJ318" s="309"/>
      <c r="BK318" s="309"/>
    </row>
    <row r="319" spans="1:63" s="80" customFormat="1" ht="12.75">
      <c r="A319" s="167"/>
      <c r="B319" s="210" t="str">
        <f>Servicio_internaColumna_título_amortizaciones</f>
        <v>Amortizaciones</v>
      </c>
      <c r="C319" s="254">
        <v>0</v>
      </c>
      <c r="D319" s="255">
        <v>0</v>
      </c>
      <c r="E319" s="255">
        <v>0</v>
      </c>
      <c r="F319" s="255">
        <v>0</v>
      </c>
      <c r="G319" s="255">
        <v>0</v>
      </c>
      <c r="H319" s="255">
        <v>0</v>
      </c>
      <c r="I319" s="255">
        <v>0</v>
      </c>
      <c r="J319" s="255">
        <v>0</v>
      </c>
      <c r="K319" s="255">
        <v>2517137.4385396866</v>
      </c>
      <c r="L319" s="255">
        <v>19044173.821797647</v>
      </c>
      <c r="M319" s="255">
        <v>13539596.649231773</v>
      </c>
      <c r="N319" s="255">
        <v>15738134.655855626</v>
      </c>
      <c r="O319" s="255">
        <v>12812870.215986492</v>
      </c>
      <c r="P319" s="255">
        <v>13980887.35288915</v>
      </c>
      <c r="Q319" s="255">
        <v>15129522.285442183</v>
      </c>
      <c r="R319" s="255">
        <v>79778.576058016508</v>
      </c>
      <c r="S319" s="255">
        <v>0</v>
      </c>
      <c r="T319" s="255">
        <v>4915301.0999999996</v>
      </c>
      <c r="U319" s="255">
        <v>0</v>
      </c>
      <c r="V319" s="255">
        <v>8418925.0999999996</v>
      </c>
      <c r="W319" s="255">
        <v>0</v>
      </c>
      <c r="X319" s="255">
        <v>0</v>
      </c>
      <c r="Y319" s="255">
        <v>5648903.6068827864</v>
      </c>
      <c r="Z319" s="255">
        <v>5714315.5</v>
      </c>
      <c r="AA319" s="255">
        <v>0</v>
      </c>
      <c r="AB319" s="255">
        <v>0</v>
      </c>
      <c r="AC319" s="255">
        <v>0</v>
      </c>
      <c r="AD319" s="255">
        <v>0</v>
      </c>
      <c r="AE319" s="255">
        <v>0</v>
      </c>
      <c r="AF319" s="255">
        <v>0</v>
      </c>
      <c r="AG319" s="255">
        <v>0</v>
      </c>
      <c r="AH319" s="255">
        <v>0</v>
      </c>
      <c r="AI319" s="255">
        <v>0</v>
      </c>
      <c r="AJ319" s="255">
        <v>0</v>
      </c>
      <c r="AK319" s="255">
        <v>0</v>
      </c>
      <c r="AL319" s="255">
        <v>0</v>
      </c>
      <c r="AM319" s="255">
        <v>0</v>
      </c>
      <c r="AN319" s="255">
        <v>0</v>
      </c>
      <c r="AO319" s="255">
        <v>0</v>
      </c>
      <c r="AP319" s="255"/>
      <c r="AQ319" s="255"/>
      <c r="AR319" s="255"/>
      <c r="AS319" s="255"/>
      <c r="AT319" s="255"/>
      <c r="AU319" s="255"/>
      <c r="AV319" s="255"/>
      <c r="AW319" s="255"/>
      <c r="AX319" s="255"/>
      <c r="AY319" s="255"/>
      <c r="AZ319" s="255"/>
      <c r="BA319" s="255"/>
      <c r="BB319" s="255"/>
      <c r="BC319" s="255"/>
      <c r="BD319" s="255"/>
      <c r="BE319" s="255"/>
      <c r="BF319" s="255"/>
      <c r="BG319" s="255"/>
      <c r="BH319" s="255"/>
      <c r="BI319" s="255"/>
      <c r="BJ319" s="255"/>
      <c r="BK319" s="255"/>
    </row>
    <row r="320" spans="1:63" s="133" customFormat="1" ht="12.75">
      <c r="A320" s="168">
        <v>40086</v>
      </c>
      <c r="B320" s="213" t="str">
        <f>Servicio_internaColumna_título_intereses</f>
        <v>Intereses</v>
      </c>
      <c r="C320" s="256">
        <v>0</v>
      </c>
      <c r="D320" s="257">
        <v>0</v>
      </c>
      <c r="E320" s="257">
        <v>0</v>
      </c>
      <c r="F320" s="257">
        <v>0</v>
      </c>
      <c r="G320" s="257">
        <v>0</v>
      </c>
      <c r="H320" s="257">
        <v>0</v>
      </c>
      <c r="I320" s="257">
        <v>0</v>
      </c>
      <c r="J320" s="257">
        <v>0</v>
      </c>
      <c r="K320" s="257">
        <v>2281426.2105886396</v>
      </c>
      <c r="L320" s="257">
        <v>10373578.686731435</v>
      </c>
      <c r="M320" s="257">
        <v>9000485.0673001669</v>
      </c>
      <c r="N320" s="257">
        <v>7621254.9247690141</v>
      </c>
      <c r="O320" s="257">
        <v>6108573.1230572481</v>
      </c>
      <c r="P320" s="257">
        <v>5025509.5809700117</v>
      </c>
      <c r="Q320" s="257">
        <v>3572191.6620011125</v>
      </c>
      <c r="R320" s="257">
        <v>2392061.3627667213</v>
      </c>
      <c r="S320" s="257">
        <v>2402267.0695982673</v>
      </c>
      <c r="T320" s="257">
        <v>2412820.5411437154</v>
      </c>
      <c r="U320" s="258">
        <v>1870719.2430855269</v>
      </c>
      <c r="V320" s="258">
        <v>1881915.4210480917</v>
      </c>
      <c r="W320" s="258">
        <v>967365.7233495356</v>
      </c>
      <c r="X320" s="258">
        <v>979243.74855002156</v>
      </c>
      <c r="Y320" s="258">
        <v>991478.11450652219</v>
      </c>
      <c r="Z320" s="258">
        <v>571431.54999999981</v>
      </c>
      <c r="AA320" s="258">
        <v>0</v>
      </c>
      <c r="AB320" s="258">
        <v>0</v>
      </c>
      <c r="AC320" s="258">
        <v>0</v>
      </c>
      <c r="AD320" s="259">
        <v>0</v>
      </c>
      <c r="AE320" s="259">
        <v>0</v>
      </c>
      <c r="AF320" s="259">
        <v>0</v>
      </c>
      <c r="AG320" s="259">
        <v>0</v>
      </c>
      <c r="AH320" s="259">
        <v>0</v>
      </c>
      <c r="AI320" s="259">
        <v>0</v>
      </c>
      <c r="AJ320" s="259">
        <v>0</v>
      </c>
      <c r="AK320" s="259">
        <v>0</v>
      </c>
      <c r="AL320" s="259">
        <v>0</v>
      </c>
      <c r="AM320" s="259">
        <v>0</v>
      </c>
      <c r="AN320" s="259">
        <v>0</v>
      </c>
      <c r="AO320" s="259">
        <v>0</v>
      </c>
      <c r="AP320" s="259"/>
      <c r="AQ320" s="259"/>
      <c r="AR320" s="259"/>
      <c r="AS320" s="259"/>
      <c r="AT320" s="259"/>
      <c r="AU320" s="259"/>
      <c r="AV320" s="259"/>
      <c r="AW320" s="259"/>
      <c r="AX320" s="259"/>
      <c r="AY320" s="259"/>
      <c r="AZ320" s="259"/>
      <c r="BA320" s="259"/>
      <c r="BB320" s="259"/>
      <c r="BC320" s="259"/>
      <c r="BD320" s="259"/>
      <c r="BE320" s="259"/>
      <c r="BF320" s="259"/>
      <c r="BG320" s="259"/>
      <c r="BH320" s="259"/>
      <c r="BI320" s="259"/>
      <c r="BJ320" s="259"/>
      <c r="BK320" s="259"/>
    </row>
    <row r="321" spans="1:63" s="133" customFormat="1" ht="12.75">
      <c r="A321" s="169"/>
      <c r="B321" s="307" t="str">
        <f>Servicio_internaColumna_título_total</f>
        <v>Total</v>
      </c>
      <c r="C321" s="308">
        <v>0</v>
      </c>
      <c r="D321" s="309">
        <v>0</v>
      </c>
      <c r="E321" s="309">
        <v>0</v>
      </c>
      <c r="F321" s="309">
        <v>0</v>
      </c>
      <c r="G321" s="309">
        <v>0</v>
      </c>
      <c r="H321" s="309">
        <v>0</v>
      </c>
      <c r="I321" s="309">
        <v>0</v>
      </c>
      <c r="J321" s="309">
        <v>0</v>
      </c>
      <c r="K321" s="309">
        <v>4798563.6491283262</v>
      </c>
      <c r="L321" s="309">
        <v>29417752.508529082</v>
      </c>
      <c r="M321" s="309">
        <v>22540081.71653194</v>
      </c>
      <c r="N321" s="309">
        <v>23359389.58062464</v>
      </c>
      <c r="O321" s="309">
        <v>18921443.33904374</v>
      </c>
      <c r="P321" s="309">
        <v>19006396.933859162</v>
      </c>
      <c r="Q321" s="309">
        <v>18701713.947443295</v>
      </c>
      <c r="R321" s="309">
        <v>2471839.9388247379</v>
      </c>
      <c r="S321" s="309">
        <v>2402267.0695982673</v>
      </c>
      <c r="T321" s="309">
        <v>7328121.641143715</v>
      </c>
      <c r="U321" s="309">
        <v>1870719.2430855269</v>
      </c>
      <c r="V321" s="309">
        <v>10300840.521048091</v>
      </c>
      <c r="W321" s="309">
        <v>967365.7233495356</v>
      </c>
      <c r="X321" s="309">
        <v>979243.74855002156</v>
      </c>
      <c r="Y321" s="309">
        <v>6640381.7213893086</v>
      </c>
      <c r="Z321" s="309">
        <v>6285747.0499999998</v>
      </c>
      <c r="AA321" s="309">
        <v>0</v>
      </c>
      <c r="AB321" s="309">
        <v>0</v>
      </c>
      <c r="AC321" s="309">
        <v>0</v>
      </c>
      <c r="AD321" s="309">
        <v>0</v>
      </c>
      <c r="AE321" s="309">
        <v>0</v>
      </c>
      <c r="AF321" s="309">
        <v>0</v>
      </c>
      <c r="AG321" s="309">
        <v>0</v>
      </c>
      <c r="AH321" s="309">
        <v>0</v>
      </c>
      <c r="AI321" s="309">
        <v>0</v>
      </c>
      <c r="AJ321" s="309">
        <v>0</v>
      </c>
      <c r="AK321" s="309">
        <v>0</v>
      </c>
      <c r="AL321" s="309">
        <v>0</v>
      </c>
      <c r="AM321" s="309">
        <v>0</v>
      </c>
      <c r="AN321" s="309">
        <v>0</v>
      </c>
      <c r="AO321" s="309">
        <v>0</v>
      </c>
      <c r="AP321" s="309"/>
      <c r="AQ321" s="309"/>
      <c r="AR321" s="309"/>
      <c r="AS321" s="309"/>
      <c r="AT321" s="309"/>
      <c r="AU321" s="309"/>
      <c r="AV321" s="309"/>
      <c r="AW321" s="309"/>
      <c r="AX321" s="309"/>
      <c r="AY321" s="309"/>
      <c r="AZ321" s="309"/>
      <c r="BA321" s="309"/>
      <c r="BB321" s="309"/>
      <c r="BC321" s="309"/>
      <c r="BD321" s="309"/>
      <c r="BE321" s="309"/>
      <c r="BF321" s="309"/>
      <c r="BG321" s="309"/>
      <c r="BH321" s="309"/>
      <c r="BI321" s="309"/>
      <c r="BJ321" s="309"/>
      <c r="BK321" s="309"/>
    </row>
    <row r="322" spans="1:63" s="80" customFormat="1" ht="12.75">
      <c r="A322" s="167"/>
      <c r="B322" s="210" t="str">
        <f>Servicio_internaColumna_título_amortizaciones</f>
        <v>Amortizaciones</v>
      </c>
      <c r="C322" s="254">
        <v>0</v>
      </c>
      <c r="D322" s="255">
        <v>0</v>
      </c>
      <c r="E322" s="255">
        <v>0</v>
      </c>
      <c r="F322" s="255">
        <v>0</v>
      </c>
      <c r="G322" s="255">
        <v>0</v>
      </c>
      <c r="H322" s="255">
        <v>0</v>
      </c>
      <c r="I322" s="255">
        <v>0</v>
      </c>
      <c r="J322" s="255">
        <v>0</v>
      </c>
      <c r="K322" s="255">
        <v>1966007.7309401163</v>
      </c>
      <c r="L322" s="255">
        <v>19687215.387185123</v>
      </c>
      <c r="M322" s="255">
        <v>13538643.160284866</v>
      </c>
      <c r="N322" s="255">
        <v>15805251.109720917</v>
      </c>
      <c r="O322" s="255">
        <v>12811233.408730531</v>
      </c>
      <c r="P322" s="255">
        <v>14395627.954745382</v>
      </c>
      <c r="Q322" s="255">
        <v>15126535.759568557</v>
      </c>
      <c r="R322" s="255">
        <v>83096.390564597532</v>
      </c>
      <c r="S322" s="255">
        <v>0</v>
      </c>
      <c r="T322" s="255">
        <v>4915301.0999999996</v>
      </c>
      <c r="U322" s="255">
        <v>0</v>
      </c>
      <c r="V322" s="255">
        <v>8418925.0999999996</v>
      </c>
      <c r="W322" s="255">
        <v>0</v>
      </c>
      <c r="X322" s="255">
        <v>0</v>
      </c>
      <c r="Y322" s="255">
        <v>5646825.551897428</v>
      </c>
      <c r="Z322" s="255">
        <v>6049455.5</v>
      </c>
      <c r="AA322" s="255">
        <v>0</v>
      </c>
      <c r="AB322" s="255">
        <v>0</v>
      </c>
      <c r="AC322" s="255">
        <v>0</v>
      </c>
      <c r="AD322" s="255">
        <v>0</v>
      </c>
      <c r="AE322" s="255">
        <v>0</v>
      </c>
      <c r="AF322" s="255">
        <v>0</v>
      </c>
      <c r="AG322" s="255">
        <v>0</v>
      </c>
      <c r="AH322" s="255">
        <v>0</v>
      </c>
      <c r="AI322" s="255">
        <v>0</v>
      </c>
      <c r="AJ322" s="255">
        <v>0</v>
      </c>
      <c r="AK322" s="255">
        <v>0</v>
      </c>
      <c r="AL322" s="255">
        <v>0</v>
      </c>
      <c r="AM322" s="255">
        <v>0</v>
      </c>
      <c r="AN322" s="255">
        <v>0</v>
      </c>
      <c r="AO322" s="255">
        <v>0</v>
      </c>
      <c r="AP322" s="255"/>
      <c r="AQ322" s="255"/>
      <c r="AR322" s="255"/>
      <c r="AS322" s="255"/>
      <c r="AT322" s="255"/>
      <c r="AU322" s="255"/>
      <c r="AV322" s="255"/>
      <c r="AW322" s="255"/>
      <c r="AX322" s="255"/>
      <c r="AY322" s="255"/>
      <c r="AZ322" s="255"/>
      <c r="BA322" s="255"/>
      <c r="BB322" s="255"/>
      <c r="BC322" s="255"/>
      <c r="BD322" s="255"/>
      <c r="BE322" s="255"/>
      <c r="BF322" s="255"/>
      <c r="BG322" s="255"/>
      <c r="BH322" s="255"/>
      <c r="BI322" s="255"/>
      <c r="BJ322" s="255"/>
      <c r="BK322" s="255"/>
    </row>
    <row r="323" spans="1:63" s="133" customFormat="1" ht="12.75">
      <c r="A323" s="168">
        <v>40117</v>
      </c>
      <c r="B323" s="213" t="str">
        <f>Servicio_internaColumna_título_intereses</f>
        <v>Intereses</v>
      </c>
      <c r="C323" s="256">
        <v>0</v>
      </c>
      <c r="D323" s="257">
        <v>0</v>
      </c>
      <c r="E323" s="257">
        <v>0</v>
      </c>
      <c r="F323" s="257">
        <v>0</v>
      </c>
      <c r="G323" s="257">
        <v>0</v>
      </c>
      <c r="H323" s="257">
        <v>0</v>
      </c>
      <c r="I323" s="257">
        <v>0</v>
      </c>
      <c r="J323" s="257">
        <v>0</v>
      </c>
      <c r="K323" s="257">
        <v>1164446.6228277145</v>
      </c>
      <c r="L323" s="257">
        <v>10450144.858460005</v>
      </c>
      <c r="M323" s="257">
        <v>9078483.5783069246</v>
      </c>
      <c r="N323" s="257">
        <v>7699378.8126442637</v>
      </c>
      <c r="O323" s="257">
        <v>6180425.9989030603</v>
      </c>
      <c r="P323" s="257">
        <v>5097383.9918540046</v>
      </c>
      <c r="Q323" s="257">
        <v>3605774.7146729343</v>
      </c>
      <c r="R323" s="257">
        <v>2425673.9733523116</v>
      </c>
      <c r="S323" s="257">
        <v>2435781.0695982673</v>
      </c>
      <c r="T323" s="257">
        <v>2446334.5411437154</v>
      </c>
      <c r="U323" s="258">
        <v>1904233.2430855269</v>
      </c>
      <c r="V323" s="258">
        <v>1915429.4210480917</v>
      </c>
      <c r="W323" s="258">
        <v>1000879.7233495356</v>
      </c>
      <c r="X323" s="258">
        <v>1012757.7485500216</v>
      </c>
      <c r="Y323" s="258">
        <v>1024992.1145065222</v>
      </c>
      <c r="Z323" s="258">
        <v>604945.54999999981</v>
      </c>
      <c r="AA323" s="258">
        <v>0</v>
      </c>
      <c r="AB323" s="258">
        <v>0</v>
      </c>
      <c r="AC323" s="258">
        <v>0</v>
      </c>
      <c r="AD323" s="259">
        <v>0</v>
      </c>
      <c r="AE323" s="259">
        <v>0</v>
      </c>
      <c r="AF323" s="259">
        <v>0</v>
      </c>
      <c r="AG323" s="259">
        <v>0</v>
      </c>
      <c r="AH323" s="259">
        <v>0</v>
      </c>
      <c r="AI323" s="259">
        <v>0</v>
      </c>
      <c r="AJ323" s="259">
        <v>0</v>
      </c>
      <c r="AK323" s="259">
        <v>0</v>
      </c>
      <c r="AL323" s="259">
        <v>0</v>
      </c>
      <c r="AM323" s="259">
        <v>0</v>
      </c>
      <c r="AN323" s="259">
        <v>0</v>
      </c>
      <c r="AO323" s="259">
        <v>0</v>
      </c>
      <c r="AP323" s="259"/>
      <c r="AQ323" s="259"/>
      <c r="AR323" s="259"/>
      <c r="AS323" s="259"/>
      <c r="AT323" s="259"/>
      <c r="AU323" s="259"/>
      <c r="AV323" s="259"/>
      <c r="AW323" s="259"/>
      <c r="AX323" s="259"/>
      <c r="AY323" s="259"/>
      <c r="AZ323" s="259"/>
      <c r="BA323" s="259"/>
      <c r="BB323" s="259"/>
      <c r="BC323" s="259"/>
      <c r="BD323" s="259"/>
      <c r="BE323" s="259"/>
      <c r="BF323" s="259"/>
      <c r="BG323" s="259"/>
      <c r="BH323" s="259"/>
      <c r="BI323" s="259"/>
      <c r="BJ323" s="259"/>
      <c r="BK323" s="259"/>
    </row>
    <row r="324" spans="1:63" s="133" customFormat="1" ht="12.75">
      <c r="A324" s="169"/>
      <c r="B324" s="307" t="str">
        <f>Servicio_internaColumna_título_total</f>
        <v>Total</v>
      </c>
      <c r="C324" s="308">
        <v>0</v>
      </c>
      <c r="D324" s="309">
        <v>0</v>
      </c>
      <c r="E324" s="309">
        <v>0</v>
      </c>
      <c r="F324" s="309">
        <v>0</v>
      </c>
      <c r="G324" s="309">
        <v>0</v>
      </c>
      <c r="H324" s="309">
        <v>0</v>
      </c>
      <c r="I324" s="309">
        <v>0</v>
      </c>
      <c r="J324" s="309">
        <v>0</v>
      </c>
      <c r="K324" s="309">
        <v>3130454.3537678309</v>
      </c>
      <c r="L324" s="309">
        <v>30137360.245645128</v>
      </c>
      <c r="M324" s="309">
        <v>22617126.73859179</v>
      </c>
      <c r="N324" s="309">
        <v>23504629.922365181</v>
      </c>
      <c r="O324" s="309">
        <v>18991659.407633591</v>
      </c>
      <c r="P324" s="309">
        <v>19493011.946599387</v>
      </c>
      <c r="Q324" s="309">
        <v>18732310.474241491</v>
      </c>
      <c r="R324" s="309">
        <v>2508770.3639169093</v>
      </c>
      <c r="S324" s="309">
        <v>2435781.0695982673</v>
      </c>
      <c r="T324" s="309">
        <v>7361635.641143715</v>
      </c>
      <c r="U324" s="309">
        <v>1904233.2430855269</v>
      </c>
      <c r="V324" s="309">
        <v>10334354.521048091</v>
      </c>
      <c r="W324" s="309">
        <v>1000879.7233495356</v>
      </c>
      <c r="X324" s="309">
        <v>1012757.7485500216</v>
      </c>
      <c r="Y324" s="309">
        <v>6671817.6664039502</v>
      </c>
      <c r="Z324" s="309">
        <v>6654401.0499999998</v>
      </c>
      <c r="AA324" s="309">
        <v>0</v>
      </c>
      <c r="AB324" s="309">
        <v>0</v>
      </c>
      <c r="AC324" s="309">
        <v>0</v>
      </c>
      <c r="AD324" s="309">
        <v>0</v>
      </c>
      <c r="AE324" s="309">
        <v>0</v>
      </c>
      <c r="AF324" s="309">
        <v>0</v>
      </c>
      <c r="AG324" s="309">
        <v>0</v>
      </c>
      <c r="AH324" s="309">
        <v>0</v>
      </c>
      <c r="AI324" s="309">
        <v>0</v>
      </c>
      <c r="AJ324" s="309">
        <v>0</v>
      </c>
      <c r="AK324" s="309">
        <v>0</v>
      </c>
      <c r="AL324" s="309">
        <v>0</v>
      </c>
      <c r="AM324" s="309">
        <v>0</v>
      </c>
      <c r="AN324" s="309">
        <v>0</v>
      </c>
      <c r="AO324" s="309">
        <v>0</v>
      </c>
      <c r="AP324" s="309"/>
      <c r="AQ324" s="309"/>
      <c r="AR324" s="309"/>
      <c r="AS324" s="309"/>
      <c r="AT324" s="309"/>
      <c r="AU324" s="309"/>
      <c r="AV324" s="309"/>
      <c r="AW324" s="309"/>
      <c r="AX324" s="309"/>
      <c r="AY324" s="309"/>
      <c r="AZ324" s="309"/>
      <c r="BA324" s="309"/>
      <c r="BB324" s="309"/>
      <c r="BC324" s="309"/>
      <c r="BD324" s="309"/>
      <c r="BE324" s="309"/>
      <c r="BF324" s="309"/>
      <c r="BG324" s="309"/>
      <c r="BH324" s="309"/>
      <c r="BI324" s="309"/>
      <c r="BJ324" s="309"/>
      <c r="BK324" s="309"/>
    </row>
    <row r="325" spans="1:63" s="80" customFormat="1" ht="12.75">
      <c r="A325" s="167"/>
      <c r="B325" s="210" t="str">
        <f>Servicio_internaColumna_título_amortizaciones</f>
        <v>Amortizaciones</v>
      </c>
      <c r="C325" s="254">
        <v>0</v>
      </c>
      <c r="D325" s="255">
        <v>0</v>
      </c>
      <c r="E325" s="255">
        <v>0</v>
      </c>
      <c r="F325" s="255">
        <v>0</v>
      </c>
      <c r="G325" s="255">
        <v>0</v>
      </c>
      <c r="H325" s="255">
        <v>0</v>
      </c>
      <c r="I325" s="255">
        <v>0</v>
      </c>
      <c r="J325" s="255">
        <v>0</v>
      </c>
      <c r="K325" s="255">
        <v>1293749.0297421578</v>
      </c>
      <c r="L325" s="255">
        <v>18751052.738378011</v>
      </c>
      <c r="M325" s="255">
        <v>13535543.637098802</v>
      </c>
      <c r="N325" s="255">
        <v>15317084.770404609</v>
      </c>
      <c r="O325" s="255">
        <v>14492518.235638959</v>
      </c>
      <c r="P325" s="255">
        <v>14461866.713392699</v>
      </c>
      <c r="Q325" s="255">
        <v>14847441.490859551</v>
      </c>
      <c r="R325" s="255">
        <v>787834.9502778789</v>
      </c>
      <c r="S325" s="255">
        <v>0</v>
      </c>
      <c r="T325" s="255">
        <v>3843801.1</v>
      </c>
      <c r="U325" s="255">
        <v>0</v>
      </c>
      <c r="V325" s="255">
        <v>8418925.0999999996</v>
      </c>
      <c r="W325" s="255">
        <v>0</v>
      </c>
      <c r="X325" s="255">
        <v>0</v>
      </c>
      <c r="Y325" s="255">
        <v>5640149.7624466438</v>
      </c>
      <c r="Z325" s="255">
        <v>7618297.7000000002</v>
      </c>
      <c r="AA325" s="255">
        <v>0</v>
      </c>
      <c r="AB325" s="255">
        <v>0</v>
      </c>
      <c r="AC325" s="255">
        <v>0</v>
      </c>
      <c r="AD325" s="255">
        <v>0</v>
      </c>
      <c r="AE325" s="255">
        <v>0</v>
      </c>
      <c r="AF325" s="255">
        <v>0</v>
      </c>
      <c r="AG325" s="255">
        <v>0</v>
      </c>
      <c r="AH325" s="255">
        <v>0</v>
      </c>
      <c r="AI325" s="255">
        <v>0</v>
      </c>
      <c r="AJ325" s="255">
        <v>0</v>
      </c>
      <c r="AK325" s="255">
        <v>0</v>
      </c>
      <c r="AL325" s="255">
        <v>0</v>
      </c>
      <c r="AM325" s="255">
        <v>0</v>
      </c>
      <c r="AN325" s="255">
        <v>0</v>
      </c>
      <c r="AO325" s="255">
        <v>0</v>
      </c>
      <c r="AP325" s="255"/>
      <c r="AQ325" s="255"/>
      <c r="AR325" s="255"/>
      <c r="AS325" s="255"/>
      <c r="AT325" s="255"/>
      <c r="AU325" s="255"/>
      <c r="AV325" s="255"/>
      <c r="AW325" s="255"/>
      <c r="AX325" s="255"/>
      <c r="AY325" s="255"/>
      <c r="AZ325" s="255"/>
      <c r="BA325" s="255"/>
      <c r="BB325" s="255"/>
      <c r="BC325" s="255"/>
      <c r="BD325" s="255"/>
      <c r="BE325" s="255"/>
      <c r="BF325" s="255"/>
      <c r="BG325" s="255"/>
      <c r="BH325" s="255"/>
      <c r="BI325" s="255"/>
      <c r="BJ325" s="255"/>
      <c r="BK325" s="255"/>
    </row>
    <row r="326" spans="1:63" s="133" customFormat="1" ht="12.75">
      <c r="A326" s="168">
        <v>40147</v>
      </c>
      <c r="B326" s="213" t="str">
        <f>Servicio_internaColumna_título_intereses</f>
        <v>Intereses</v>
      </c>
      <c r="C326" s="256">
        <v>0</v>
      </c>
      <c r="D326" s="257">
        <v>0</v>
      </c>
      <c r="E326" s="257">
        <v>0</v>
      </c>
      <c r="F326" s="257">
        <v>0</v>
      </c>
      <c r="G326" s="257">
        <v>0</v>
      </c>
      <c r="H326" s="257">
        <v>0</v>
      </c>
      <c r="I326" s="257">
        <v>0</v>
      </c>
      <c r="J326" s="257">
        <v>0</v>
      </c>
      <c r="K326" s="257">
        <v>51944.891221779399</v>
      </c>
      <c r="L326" s="257">
        <v>10431751.75607603</v>
      </c>
      <c r="M326" s="257">
        <v>9176712.4577582125</v>
      </c>
      <c r="N326" s="257">
        <v>7797734.951139627</v>
      </c>
      <c r="O326" s="257">
        <v>6338802.9494848233</v>
      </c>
      <c r="P326" s="257">
        <v>5154584.6175870504</v>
      </c>
      <c r="Q326" s="257">
        <v>3671609.0811242219</v>
      </c>
      <c r="R326" s="257">
        <v>2513090.6590446113</v>
      </c>
      <c r="S326" s="257">
        <v>2472121.5395982671</v>
      </c>
      <c r="T326" s="257">
        <v>2482675.0111437156</v>
      </c>
      <c r="U326" s="258">
        <v>2061117.4630855268</v>
      </c>
      <c r="V326" s="258">
        <v>2072313.6410480924</v>
      </c>
      <c r="W326" s="258">
        <v>1157763.9433495356</v>
      </c>
      <c r="X326" s="258">
        <v>1169641.9685500215</v>
      </c>
      <c r="Y326" s="258">
        <v>1181876.3345065219</v>
      </c>
      <c r="Z326" s="258">
        <v>761829.77000000048</v>
      </c>
      <c r="AA326" s="258">
        <v>0</v>
      </c>
      <c r="AB326" s="258">
        <v>0</v>
      </c>
      <c r="AC326" s="258">
        <v>0</v>
      </c>
      <c r="AD326" s="259">
        <v>0</v>
      </c>
      <c r="AE326" s="259">
        <v>0</v>
      </c>
      <c r="AF326" s="259">
        <v>0</v>
      </c>
      <c r="AG326" s="259">
        <v>0</v>
      </c>
      <c r="AH326" s="259">
        <v>0</v>
      </c>
      <c r="AI326" s="259">
        <v>0</v>
      </c>
      <c r="AJ326" s="259">
        <v>0</v>
      </c>
      <c r="AK326" s="259">
        <v>0</v>
      </c>
      <c r="AL326" s="259">
        <v>0</v>
      </c>
      <c r="AM326" s="259">
        <v>0</v>
      </c>
      <c r="AN326" s="259">
        <v>0</v>
      </c>
      <c r="AO326" s="259">
        <v>0</v>
      </c>
      <c r="AP326" s="259"/>
      <c r="AQ326" s="259"/>
      <c r="AR326" s="259"/>
      <c r="AS326" s="259"/>
      <c r="AT326" s="259"/>
      <c r="AU326" s="259"/>
      <c r="AV326" s="259"/>
      <c r="AW326" s="259"/>
      <c r="AX326" s="259"/>
      <c r="AY326" s="259"/>
      <c r="AZ326" s="259"/>
      <c r="BA326" s="259"/>
      <c r="BB326" s="259"/>
      <c r="BC326" s="259"/>
      <c r="BD326" s="259"/>
      <c r="BE326" s="259"/>
      <c r="BF326" s="259"/>
      <c r="BG326" s="259"/>
      <c r="BH326" s="259"/>
      <c r="BI326" s="259"/>
      <c r="BJ326" s="259"/>
      <c r="BK326" s="259"/>
    </row>
    <row r="327" spans="1:63" s="133" customFormat="1" ht="12.75">
      <c r="A327" s="169"/>
      <c r="B327" s="307" t="str">
        <f>Servicio_internaColumna_título_total</f>
        <v>Total</v>
      </c>
      <c r="C327" s="308">
        <v>0</v>
      </c>
      <c r="D327" s="309">
        <v>0</v>
      </c>
      <c r="E327" s="309">
        <v>0</v>
      </c>
      <c r="F327" s="309">
        <v>0</v>
      </c>
      <c r="G327" s="309">
        <v>0</v>
      </c>
      <c r="H327" s="309">
        <v>0</v>
      </c>
      <c r="I327" s="309">
        <v>0</v>
      </c>
      <c r="J327" s="309">
        <v>0</v>
      </c>
      <c r="K327" s="309">
        <v>1345693.9209639372</v>
      </c>
      <c r="L327" s="309">
        <v>29182804.494454041</v>
      </c>
      <c r="M327" s="309">
        <v>22712256.094857015</v>
      </c>
      <c r="N327" s="309">
        <v>23114819.721544236</v>
      </c>
      <c r="O327" s="309">
        <v>20831321.185123783</v>
      </c>
      <c r="P327" s="309">
        <v>19616451.33097975</v>
      </c>
      <c r="Q327" s="309">
        <v>18519050.571983773</v>
      </c>
      <c r="R327" s="309">
        <v>3300925.6093224902</v>
      </c>
      <c r="S327" s="309">
        <v>2472121.5395982671</v>
      </c>
      <c r="T327" s="309">
        <v>6326476.1111437157</v>
      </c>
      <c r="U327" s="309">
        <v>2061117.4630855268</v>
      </c>
      <c r="V327" s="309">
        <v>10491238.741048092</v>
      </c>
      <c r="W327" s="309">
        <v>1157763.9433495356</v>
      </c>
      <c r="X327" s="309">
        <v>1169641.9685500215</v>
      </c>
      <c r="Y327" s="309">
        <v>6822026.0969531657</v>
      </c>
      <c r="Z327" s="309">
        <v>8380127.4700000007</v>
      </c>
      <c r="AA327" s="309">
        <v>0</v>
      </c>
      <c r="AB327" s="309">
        <v>0</v>
      </c>
      <c r="AC327" s="309">
        <v>0</v>
      </c>
      <c r="AD327" s="309">
        <v>0</v>
      </c>
      <c r="AE327" s="309">
        <v>0</v>
      </c>
      <c r="AF327" s="309">
        <v>0</v>
      </c>
      <c r="AG327" s="309">
        <v>0</v>
      </c>
      <c r="AH327" s="309">
        <v>0</v>
      </c>
      <c r="AI327" s="309">
        <v>0</v>
      </c>
      <c r="AJ327" s="309">
        <v>0</v>
      </c>
      <c r="AK327" s="309">
        <v>0</v>
      </c>
      <c r="AL327" s="309">
        <v>0</v>
      </c>
      <c r="AM327" s="309">
        <v>0</v>
      </c>
      <c r="AN327" s="309">
        <v>0</v>
      </c>
      <c r="AO327" s="309">
        <v>0</v>
      </c>
      <c r="AP327" s="309"/>
      <c r="AQ327" s="309"/>
      <c r="AR327" s="309"/>
      <c r="AS327" s="309"/>
      <c r="AT327" s="309"/>
      <c r="AU327" s="309"/>
      <c r="AV327" s="309"/>
      <c r="AW327" s="309"/>
      <c r="AX327" s="309"/>
      <c r="AY327" s="309"/>
      <c r="AZ327" s="309"/>
      <c r="BA327" s="309"/>
      <c r="BB327" s="309"/>
      <c r="BC327" s="309"/>
      <c r="BD327" s="309"/>
      <c r="BE327" s="309"/>
      <c r="BF327" s="309"/>
      <c r="BG327" s="309"/>
      <c r="BH327" s="309"/>
      <c r="BI327" s="309"/>
      <c r="BJ327" s="309"/>
      <c r="BK327" s="309"/>
    </row>
    <row r="328" spans="1:63" s="80" customFormat="1" ht="12.75">
      <c r="A328" s="167"/>
      <c r="B328" s="210" t="str">
        <f>Servicio_internaColumna_título_amortizaciones</f>
        <v>Amortizaciones</v>
      </c>
      <c r="C328" s="254">
        <v>0</v>
      </c>
      <c r="D328" s="255">
        <v>0</v>
      </c>
      <c r="E328" s="255">
        <v>0</v>
      </c>
      <c r="F328" s="255">
        <v>0</v>
      </c>
      <c r="G328" s="255">
        <v>0</v>
      </c>
      <c r="H328" s="255">
        <v>0</v>
      </c>
      <c r="I328" s="255">
        <v>0</v>
      </c>
      <c r="J328" s="255">
        <v>0</v>
      </c>
      <c r="K328" s="255">
        <v>0</v>
      </c>
      <c r="L328" s="255">
        <v>16909178.496704344</v>
      </c>
      <c r="M328" s="255">
        <v>14361747.581570052</v>
      </c>
      <c r="N328" s="255">
        <v>15486204.787171733</v>
      </c>
      <c r="O328" s="255">
        <v>15362678.609478155</v>
      </c>
      <c r="P328" s="255">
        <v>14416551.211254105</v>
      </c>
      <c r="Q328" s="255">
        <v>14818257.887918293</v>
      </c>
      <c r="R328" s="255">
        <v>2084936.8128000423</v>
      </c>
      <c r="S328" s="255">
        <v>83135.774339613708</v>
      </c>
      <c r="T328" s="255">
        <v>3843801.1</v>
      </c>
      <c r="U328" s="255">
        <v>0</v>
      </c>
      <c r="V328" s="255">
        <v>8418925.0999999996</v>
      </c>
      <c r="W328" s="255">
        <v>0</v>
      </c>
      <c r="X328" s="255">
        <v>0</v>
      </c>
      <c r="Y328" s="255">
        <v>5634444.9419191508</v>
      </c>
      <c r="Z328" s="255">
        <v>7928748</v>
      </c>
      <c r="AA328" s="255">
        <v>0</v>
      </c>
      <c r="AB328" s="255">
        <v>0</v>
      </c>
      <c r="AC328" s="255">
        <v>0</v>
      </c>
      <c r="AD328" s="255">
        <v>0</v>
      </c>
      <c r="AE328" s="255">
        <v>0</v>
      </c>
      <c r="AF328" s="255">
        <v>0</v>
      </c>
      <c r="AG328" s="255">
        <v>0</v>
      </c>
      <c r="AH328" s="255">
        <v>0</v>
      </c>
      <c r="AI328" s="255">
        <v>0</v>
      </c>
      <c r="AJ328" s="255">
        <v>0</v>
      </c>
      <c r="AK328" s="255">
        <v>0</v>
      </c>
      <c r="AL328" s="255">
        <v>0</v>
      </c>
      <c r="AM328" s="255">
        <v>0</v>
      </c>
      <c r="AN328" s="255">
        <v>0</v>
      </c>
      <c r="AO328" s="255">
        <v>0</v>
      </c>
      <c r="AP328" s="255"/>
      <c r="AQ328" s="255"/>
      <c r="AR328" s="255"/>
      <c r="AS328" s="255"/>
      <c r="AT328" s="255"/>
      <c r="AU328" s="255"/>
      <c r="AV328" s="255"/>
      <c r="AW328" s="255"/>
      <c r="AX328" s="255"/>
      <c r="AY328" s="255"/>
      <c r="AZ328" s="255"/>
      <c r="BA328" s="255"/>
      <c r="BB328" s="255"/>
      <c r="BC328" s="255"/>
      <c r="BD328" s="255"/>
      <c r="BE328" s="255"/>
      <c r="BF328" s="255"/>
      <c r="BG328" s="255"/>
      <c r="BH328" s="255"/>
      <c r="BI328" s="255"/>
      <c r="BJ328" s="255"/>
      <c r="BK328" s="255"/>
    </row>
    <row r="329" spans="1:63" s="133" customFormat="1" ht="12.75">
      <c r="A329" s="168">
        <v>40178</v>
      </c>
      <c r="B329" s="213" t="str">
        <f>Servicio_internaColumna_título_intereses</f>
        <v>Intereses</v>
      </c>
      <c r="C329" s="256">
        <v>0</v>
      </c>
      <c r="D329" s="257">
        <v>0</v>
      </c>
      <c r="E329" s="257">
        <v>0</v>
      </c>
      <c r="F329" s="257">
        <v>0</v>
      </c>
      <c r="G329" s="257">
        <v>0</v>
      </c>
      <c r="H329" s="257">
        <v>0</v>
      </c>
      <c r="I329" s="257">
        <v>0</v>
      </c>
      <c r="J329" s="257">
        <v>0</v>
      </c>
      <c r="K329" s="257">
        <v>0</v>
      </c>
      <c r="L329" s="257">
        <v>10394636.934975781</v>
      </c>
      <c r="M329" s="257">
        <v>9250842.8937318064</v>
      </c>
      <c r="N329" s="257">
        <v>7870753.292497661</v>
      </c>
      <c r="O329" s="257">
        <v>6418845.6014335435</v>
      </c>
      <c r="P329" s="257">
        <v>5191301.7523415349</v>
      </c>
      <c r="Q329" s="257">
        <v>3707532.0180728324</v>
      </c>
      <c r="R329" s="257">
        <v>2567987.4833201561</v>
      </c>
      <c r="S329" s="257">
        <v>2487812.0061945487</v>
      </c>
      <c r="T329" s="257">
        <v>2498299.0794156888</v>
      </c>
      <c r="U329" s="258">
        <v>2076278.9025056593</v>
      </c>
      <c r="V329" s="258">
        <v>2086998.5727508292</v>
      </c>
      <c r="W329" s="258">
        <v>1171958.0721033541</v>
      </c>
      <c r="X329" s="258">
        <v>1183330.5702664547</v>
      </c>
      <c r="Y329" s="258">
        <v>1195044.2433744483</v>
      </c>
      <c r="Z329" s="258">
        <v>792874.80000000075</v>
      </c>
      <c r="AA329" s="258">
        <v>0</v>
      </c>
      <c r="AB329" s="258">
        <v>0</v>
      </c>
      <c r="AC329" s="258">
        <v>0</v>
      </c>
      <c r="AD329" s="259">
        <v>0</v>
      </c>
      <c r="AE329" s="259">
        <v>0</v>
      </c>
      <c r="AF329" s="259">
        <v>0</v>
      </c>
      <c r="AG329" s="259">
        <v>0</v>
      </c>
      <c r="AH329" s="259">
        <v>0</v>
      </c>
      <c r="AI329" s="259">
        <v>0</v>
      </c>
      <c r="AJ329" s="259">
        <v>0</v>
      </c>
      <c r="AK329" s="259">
        <v>0</v>
      </c>
      <c r="AL329" s="259">
        <v>0</v>
      </c>
      <c r="AM329" s="259">
        <v>0</v>
      </c>
      <c r="AN329" s="259">
        <v>0</v>
      </c>
      <c r="AO329" s="259">
        <v>0</v>
      </c>
      <c r="AP329" s="259"/>
      <c r="AQ329" s="259"/>
      <c r="AR329" s="259"/>
      <c r="AS329" s="259"/>
      <c r="AT329" s="259"/>
      <c r="AU329" s="259"/>
      <c r="AV329" s="259"/>
      <c r="AW329" s="259"/>
      <c r="AX329" s="259"/>
      <c r="AY329" s="259"/>
      <c r="AZ329" s="259"/>
      <c r="BA329" s="259"/>
      <c r="BB329" s="259"/>
      <c r="BC329" s="259"/>
      <c r="BD329" s="259"/>
      <c r="BE329" s="259"/>
      <c r="BF329" s="259"/>
      <c r="BG329" s="259"/>
      <c r="BH329" s="259"/>
      <c r="BI329" s="259"/>
      <c r="BJ329" s="259"/>
      <c r="BK329" s="259"/>
    </row>
    <row r="330" spans="1:63" s="133" customFormat="1" ht="12.75">
      <c r="A330" s="169"/>
      <c r="B330" s="307" t="str">
        <f>Servicio_internaColumna_título_total</f>
        <v>Total</v>
      </c>
      <c r="C330" s="308">
        <v>0</v>
      </c>
      <c r="D330" s="309">
        <v>0</v>
      </c>
      <c r="E330" s="309">
        <v>0</v>
      </c>
      <c r="F330" s="309">
        <v>0</v>
      </c>
      <c r="G330" s="309">
        <v>0</v>
      </c>
      <c r="H330" s="309">
        <v>0</v>
      </c>
      <c r="I330" s="309">
        <v>0</v>
      </c>
      <c r="J330" s="309">
        <v>0</v>
      </c>
      <c r="K330" s="309">
        <v>0</v>
      </c>
      <c r="L330" s="309">
        <v>27303815.431680124</v>
      </c>
      <c r="M330" s="309">
        <v>23612590.475301858</v>
      </c>
      <c r="N330" s="309">
        <v>23356958.079669394</v>
      </c>
      <c r="O330" s="309">
        <v>21781524.210911699</v>
      </c>
      <c r="P330" s="309">
        <v>19607852.96359564</v>
      </c>
      <c r="Q330" s="309">
        <v>18525789.905991126</v>
      </c>
      <c r="R330" s="309">
        <v>4652924.2961201984</v>
      </c>
      <c r="S330" s="309">
        <v>2570947.7805341622</v>
      </c>
      <c r="T330" s="309">
        <v>6342100.1794156888</v>
      </c>
      <c r="U330" s="309">
        <v>2076278.9025056593</v>
      </c>
      <c r="V330" s="309">
        <v>10505923.672750829</v>
      </c>
      <c r="W330" s="309">
        <v>1171958.0721033541</v>
      </c>
      <c r="X330" s="309">
        <v>1183330.5702664547</v>
      </c>
      <c r="Y330" s="309">
        <v>6829489.185293599</v>
      </c>
      <c r="Z330" s="309">
        <v>8721622.8000000007</v>
      </c>
      <c r="AA330" s="309">
        <v>0</v>
      </c>
      <c r="AB330" s="309">
        <v>0</v>
      </c>
      <c r="AC330" s="309">
        <v>0</v>
      </c>
      <c r="AD330" s="309">
        <v>0</v>
      </c>
      <c r="AE330" s="309">
        <v>0</v>
      </c>
      <c r="AF330" s="309">
        <v>0</v>
      </c>
      <c r="AG330" s="309">
        <v>0</v>
      </c>
      <c r="AH330" s="309">
        <v>0</v>
      </c>
      <c r="AI330" s="309">
        <v>0</v>
      </c>
      <c r="AJ330" s="309">
        <v>0</v>
      </c>
      <c r="AK330" s="309">
        <v>0</v>
      </c>
      <c r="AL330" s="309">
        <v>0</v>
      </c>
      <c r="AM330" s="309">
        <v>0</v>
      </c>
      <c r="AN330" s="309">
        <v>0</v>
      </c>
      <c r="AO330" s="309">
        <v>0</v>
      </c>
      <c r="AP330" s="309"/>
      <c r="AQ330" s="309"/>
      <c r="AR330" s="309"/>
      <c r="AS330" s="309"/>
      <c r="AT330" s="309"/>
      <c r="AU330" s="309"/>
      <c r="AV330" s="309"/>
      <c r="AW330" s="309"/>
      <c r="AX330" s="309"/>
      <c r="AY330" s="309"/>
      <c r="AZ330" s="309"/>
      <c r="BA330" s="309"/>
      <c r="BB330" s="309"/>
      <c r="BC330" s="309"/>
      <c r="BD330" s="309"/>
      <c r="BE330" s="309"/>
      <c r="BF330" s="309"/>
      <c r="BG330" s="309"/>
      <c r="BH330" s="309"/>
      <c r="BI330" s="309"/>
      <c r="BJ330" s="309"/>
      <c r="BK330" s="309"/>
    </row>
    <row r="331" spans="1:63" s="80" customFormat="1" ht="12.75">
      <c r="A331" s="167"/>
      <c r="B331" s="210" t="str">
        <f>Servicio_internaColumna_título_amortizaciones</f>
        <v>Amortizaciones</v>
      </c>
      <c r="C331" s="254">
        <v>0</v>
      </c>
      <c r="D331" s="255">
        <v>0</v>
      </c>
      <c r="E331" s="255">
        <v>0</v>
      </c>
      <c r="F331" s="255">
        <v>0</v>
      </c>
      <c r="G331" s="255">
        <v>0</v>
      </c>
      <c r="H331" s="255">
        <v>0</v>
      </c>
      <c r="I331" s="255">
        <v>0</v>
      </c>
      <c r="J331" s="255">
        <v>0</v>
      </c>
      <c r="K331" s="255">
        <v>0</v>
      </c>
      <c r="L331" s="255">
        <v>23650055.648359247</v>
      </c>
      <c r="M331" s="255">
        <v>13867817.705483822</v>
      </c>
      <c r="N331" s="255">
        <v>15313870.728500089</v>
      </c>
      <c r="O331" s="255">
        <v>17001707.688546773</v>
      </c>
      <c r="P331" s="255">
        <v>14461158.208810303</v>
      </c>
      <c r="Q331" s="255">
        <v>15077413.55530636</v>
      </c>
      <c r="R331" s="255">
        <v>1878782.5437496917</v>
      </c>
      <c r="S331" s="255">
        <v>836.89901625999994</v>
      </c>
      <c r="T331" s="255">
        <v>3843801.1</v>
      </c>
      <c r="U331" s="255">
        <v>0</v>
      </c>
      <c r="V331" s="255">
        <v>8418925.0999999996</v>
      </c>
      <c r="W331" s="255">
        <v>0</v>
      </c>
      <c r="X331" s="255">
        <v>0</v>
      </c>
      <c r="Y331" s="255">
        <v>5728293.6471924111</v>
      </c>
      <c r="Z331" s="255">
        <v>8486358.5999999996</v>
      </c>
      <c r="AA331" s="255">
        <v>0</v>
      </c>
      <c r="AB331" s="255">
        <v>0</v>
      </c>
      <c r="AC331" s="255">
        <v>0</v>
      </c>
      <c r="AD331" s="255">
        <v>0</v>
      </c>
      <c r="AE331" s="255">
        <v>0</v>
      </c>
      <c r="AF331" s="255">
        <v>0</v>
      </c>
      <c r="AG331" s="255">
        <v>0</v>
      </c>
      <c r="AH331" s="255">
        <v>0</v>
      </c>
      <c r="AI331" s="255">
        <v>0</v>
      </c>
      <c r="AJ331" s="255">
        <v>0</v>
      </c>
      <c r="AK331" s="255">
        <v>0</v>
      </c>
      <c r="AL331" s="255">
        <v>0</v>
      </c>
      <c r="AM331" s="255">
        <v>0</v>
      </c>
      <c r="AN331" s="255">
        <v>0</v>
      </c>
      <c r="AO331" s="255">
        <v>0</v>
      </c>
      <c r="AP331" s="255"/>
      <c r="AQ331" s="255"/>
      <c r="AR331" s="255"/>
      <c r="AS331" s="255"/>
      <c r="AT331" s="255"/>
      <c r="AU331" s="255"/>
      <c r="AV331" s="255"/>
      <c r="AW331" s="255"/>
      <c r="AX331" s="255"/>
      <c r="AY331" s="255"/>
      <c r="AZ331" s="255"/>
      <c r="BA331" s="255"/>
      <c r="BB331" s="255"/>
      <c r="BC331" s="255"/>
      <c r="BD331" s="255"/>
      <c r="BE331" s="255"/>
      <c r="BF331" s="255"/>
      <c r="BG331" s="255"/>
      <c r="BH331" s="255"/>
      <c r="BI331" s="255"/>
      <c r="BJ331" s="255"/>
      <c r="BK331" s="255"/>
    </row>
    <row r="332" spans="1:63" s="133" customFormat="1" ht="12.75">
      <c r="A332" s="168">
        <v>40209</v>
      </c>
      <c r="B332" s="213" t="str">
        <f>Servicio_internaColumna_título_intereses</f>
        <v>Intereses</v>
      </c>
      <c r="C332" s="256">
        <v>0</v>
      </c>
      <c r="D332" s="257">
        <v>0</v>
      </c>
      <c r="E332" s="257">
        <v>0</v>
      </c>
      <c r="F332" s="257">
        <v>0</v>
      </c>
      <c r="G332" s="257">
        <v>0</v>
      </c>
      <c r="H332" s="257">
        <v>0</v>
      </c>
      <c r="I332" s="257">
        <v>0</v>
      </c>
      <c r="J332" s="257">
        <v>0</v>
      </c>
      <c r="K332" s="257">
        <v>0</v>
      </c>
      <c r="L332" s="257">
        <v>10406330.201220112</v>
      </c>
      <c r="M332" s="257">
        <v>9449981.3228964973</v>
      </c>
      <c r="N332" s="257">
        <v>8070314.8212249856</v>
      </c>
      <c r="O332" s="257">
        <v>6618726.8837986123</v>
      </c>
      <c r="P332" s="257">
        <v>5292534.4965760522</v>
      </c>
      <c r="Q332" s="257">
        <v>3808908.5652784826</v>
      </c>
      <c r="R332" s="257">
        <v>2669505.3546340168</v>
      </c>
      <c r="S332" s="257">
        <v>2549160.9699167856</v>
      </c>
      <c r="T332" s="257">
        <v>2559830.4873323268</v>
      </c>
      <c r="U332" s="258">
        <v>2137983.4208597965</v>
      </c>
      <c r="V332" s="258">
        <v>2148881.3948555905</v>
      </c>
      <c r="W332" s="258">
        <v>1234024.5470712581</v>
      </c>
      <c r="X332" s="258">
        <v>1245586.2076833958</v>
      </c>
      <c r="Y332" s="258">
        <v>1257494.7181138974</v>
      </c>
      <c r="Z332" s="258">
        <v>848635.8599999994</v>
      </c>
      <c r="AA332" s="258">
        <v>0</v>
      </c>
      <c r="AB332" s="258">
        <v>0</v>
      </c>
      <c r="AC332" s="258">
        <v>0</v>
      </c>
      <c r="AD332" s="259">
        <v>0</v>
      </c>
      <c r="AE332" s="259">
        <v>0</v>
      </c>
      <c r="AF332" s="259">
        <v>0</v>
      </c>
      <c r="AG332" s="259">
        <v>0</v>
      </c>
      <c r="AH332" s="259">
        <v>0</v>
      </c>
      <c r="AI332" s="259">
        <v>0</v>
      </c>
      <c r="AJ332" s="259">
        <v>0</v>
      </c>
      <c r="AK332" s="259">
        <v>0</v>
      </c>
      <c r="AL332" s="259">
        <v>0</v>
      </c>
      <c r="AM332" s="259">
        <v>0</v>
      </c>
      <c r="AN332" s="259">
        <v>0</v>
      </c>
      <c r="AO332" s="259">
        <v>0</v>
      </c>
      <c r="AP332" s="259"/>
      <c r="AQ332" s="259"/>
      <c r="AR332" s="259"/>
      <c r="AS332" s="259"/>
      <c r="AT332" s="259"/>
      <c r="AU332" s="259"/>
      <c r="AV332" s="259"/>
      <c r="AW332" s="259"/>
      <c r="AX332" s="259"/>
      <c r="AY332" s="259"/>
      <c r="AZ332" s="259"/>
      <c r="BA332" s="259"/>
      <c r="BB332" s="259"/>
      <c r="BC332" s="259"/>
      <c r="BD332" s="259"/>
      <c r="BE332" s="259"/>
      <c r="BF332" s="259"/>
      <c r="BG332" s="259"/>
      <c r="BH332" s="259"/>
      <c r="BI332" s="259"/>
      <c r="BJ332" s="259"/>
      <c r="BK332" s="259"/>
    </row>
    <row r="333" spans="1:63" s="133" customFormat="1" ht="12.75">
      <c r="A333" s="169"/>
      <c r="B333" s="307" t="str">
        <f>Servicio_internaColumna_título_total</f>
        <v>Total</v>
      </c>
      <c r="C333" s="308">
        <v>0</v>
      </c>
      <c r="D333" s="309">
        <v>0</v>
      </c>
      <c r="E333" s="309">
        <v>0</v>
      </c>
      <c r="F333" s="309">
        <v>0</v>
      </c>
      <c r="G333" s="309">
        <v>0</v>
      </c>
      <c r="H333" s="309">
        <v>0</v>
      </c>
      <c r="I333" s="309">
        <v>0</v>
      </c>
      <c r="J333" s="309">
        <v>0</v>
      </c>
      <c r="K333" s="309">
        <v>0</v>
      </c>
      <c r="L333" s="309">
        <v>34056385.849579357</v>
      </c>
      <c r="M333" s="309">
        <v>23317799.028380319</v>
      </c>
      <c r="N333" s="309">
        <v>23384185.549725074</v>
      </c>
      <c r="O333" s="309">
        <v>23620434.572345383</v>
      </c>
      <c r="P333" s="309">
        <v>19753692.705386356</v>
      </c>
      <c r="Q333" s="309">
        <v>18886322.120584842</v>
      </c>
      <c r="R333" s="309">
        <v>4548287.8983837087</v>
      </c>
      <c r="S333" s="309">
        <v>2549997.8689330458</v>
      </c>
      <c r="T333" s="309">
        <v>6403631.5873323269</v>
      </c>
      <c r="U333" s="309">
        <v>2137983.4208597965</v>
      </c>
      <c r="V333" s="309">
        <v>10567806.49485559</v>
      </c>
      <c r="W333" s="309">
        <v>1234024.5470712581</v>
      </c>
      <c r="X333" s="309">
        <v>1245586.2076833958</v>
      </c>
      <c r="Y333" s="309">
        <v>6985788.3653063085</v>
      </c>
      <c r="Z333" s="309">
        <v>9334994.459999999</v>
      </c>
      <c r="AA333" s="309">
        <v>0</v>
      </c>
      <c r="AB333" s="309">
        <v>0</v>
      </c>
      <c r="AC333" s="309">
        <v>0</v>
      </c>
      <c r="AD333" s="309">
        <v>0</v>
      </c>
      <c r="AE333" s="309">
        <v>0</v>
      </c>
      <c r="AF333" s="309">
        <v>0</v>
      </c>
      <c r="AG333" s="309">
        <v>0</v>
      </c>
      <c r="AH333" s="309">
        <v>0</v>
      </c>
      <c r="AI333" s="309">
        <v>0</v>
      </c>
      <c r="AJ333" s="309">
        <v>0</v>
      </c>
      <c r="AK333" s="309">
        <v>0</v>
      </c>
      <c r="AL333" s="309">
        <v>0</v>
      </c>
      <c r="AM333" s="309">
        <v>0</v>
      </c>
      <c r="AN333" s="309">
        <v>0</v>
      </c>
      <c r="AO333" s="309">
        <v>0</v>
      </c>
      <c r="AP333" s="309"/>
      <c r="AQ333" s="309"/>
      <c r="AR333" s="309"/>
      <c r="AS333" s="309"/>
      <c r="AT333" s="309"/>
      <c r="AU333" s="309"/>
      <c r="AV333" s="309"/>
      <c r="AW333" s="309"/>
      <c r="AX333" s="309"/>
      <c r="AY333" s="309"/>
      <c r="AZ333" s="309"/>
      <c r="BA333" s="309"/>
      <c r="BB333" s="309"/>
      <c r="BC333" s="309"/>
      <c r="BD333" s="309"/>
      <c r="BE333" s="309"/>
      <c r="BF333" s="309"/>
      <c r="BG333" s="309"/>
      <c r="BH333" s="309"/>
      <c r="BI333" s="309"/>
      <c r="BJ333" s="309"/>
      <c r="BK333" s="309"/>
    </row>
    <row r="334" spans="1:63" s="80" customFormat="1" ht="12.75">
      <c r="A334" s="167"/>
      <c r="B334" s="210" t="str">
        <f>Servicio_internaColumna_título_amortizaciones</f>
        <v>Amortizaciones</v>
      </c>
      <c r="C334" s="254">
        <v>0</v>
      </c>
      <c r="D334" s="255">
        <v>0</v>
      </c>
      <c r="E334" s="255">
        <v>0</v>
      </c>
      <c r="F334" s="255">
        <v>0</v>
      </c>
      <c r="G334" s="255">
        <v>0</v>
      </c>
      <c r="H334" s="255">
        <v>0</v>
      </c>
      <c r="I334" s="255">
        <v>0</v>
      </c>
      <c r="J334" s="255">
        <v>0</v>
      </c>
      <c r="K334" s="255">
        <v>0</v>
      </c>
      <c r="L334" s="255">
        <v>21056985.704781167</v>
      </c>
      <c r="M334" s="255">
        <v>14104865.807613498</v>
      </c>
      <c r="N334" s="255">
        <v>15324443.505226569</v>
      </c>
      <c r="O334" s="255">
        <v>18847991.263278052</v>
      </c>
      <c r="P334" s="255">
        <v>14463768.775188999</v>
      </c>
      <c r="Q334" s="255">
        <v>15034422.153893756</v>
      </c>
      <c r="R334" s="255">
        <v>2595002.0303633418</v>
      </c>
      <c r="S334" s="255">
        <v>0</v>
      </c>
      <c r="T334" s="255">
        <v>3743801.1</v>
      </c>
      <c r="U334" s="255">
        <v>0</v>
      </c>
      <c r="V334" s="255">
        <v>8418925.0999999996</v>
      </c>
      <c r="W334" s="255">
        <v>0</v>
      </c>
      <c r="X334" s="255">
        <v>0</v>
      </c>
      <c r="Y334" s="255">
        <v>5945297.707147331</v>
      </c>
      <c r="Z334" s="255">
        <v>9066742.6999999993</v>
      </c>
      <c r="AA334" s="255">
        <v>0</v>
      </c>
      <c r="AB334" s="255">
        <v>0</v>
      </c>
      <c r="AC334" s="255">
        <v>0</v>
      </c>
      <c r="AD334" s="255">
        <v>0</v>
      </c>
      <c r="AE334" s="255">
        <v>0</v>
      </c>
      <c r="AF334" s="255">
        <v>0</v>
      </c>
      <c r="AG334" s="255">
        <v>0</v>
      </c>
      <c r="AH334" s="255">
        <v>0</v>
      </c>
      <c r="AI334" s="255">
        <v>0</v>
      </c>
      <c r="AJ334" s="255">
        <v>0</v>
      </c>
      <c r="AK334" s="255">
        <v>0</v>
      </c>
      <c r="AL334" s="255">
        <v>0</v>
      </c>
      <c r="AM334" s="255">
        <v>0</v>
      </c>
      <c r="AN334" s="255">
        <v>0</v>
      </c>
      <c r="AO334" s="255">
        <v>0</v>
      </c>
      <c r="AP334" s="255"/>
      <c r="AQ334" s="255"/>
      <c r="AR334" s="255"/>
      <c r="AS334" s="255"/>
      <c r="AT334" s="255"/>
      <c r="AU334" s="255"/>
      <c r="AV334" s="255"/>
      <c r="AW334" s="255"/>
      <c r="AX334" s="255"/>
      <c r="AY334" s="255"/>
      <c r="AZ334" s="255"/>
      <c r="BA334" s="255"/>
      <c r="BB334" s="255"/>
      <c r="BC334" s="255"/>
      <c r="BD334" s="255"/>
      <c r="BE334" s="255"/>
      <c r="BF334" s="255"/>
      <c r="BG334" s="255"/>
      <c r="BH334" s="255"/>
      <c r="BI334" s="255"/>
      <c r="BJ334" s="255"/>
      <c r="BK334" s="255"/>
    </row>
    <row r="335" spans="1:63" s="133" customFormat="1" ht="12.75">
      <c r="A335" s="168">
        <v>40237</v>
      </c>
      <c r="B335" s="213" t="str">
        <f>Servicio_internaColumna_título_intereses</f>
        <v>Intereses</v>
      </c>
      <c r="C335" s="256">
        <v>0</v>
      </c>
      <c r="D335" s="257">
        <v>0</v>
      </c>
      <c r="E335" s="257">
        <v>0</v>
      </c>
      <c r="F335" s="257">
        <v>0</v>
      </c>
      <c r="G335" s="257">
        <v>0</v>
      </c>
      <c r="H335" s="257">
        <v>0</v>
      </c>
      <c r="I335" s="257">
        <v>0</v>
      </c>
      <c r="J335" s="257">
        <v>0</v>
      </c>
      <c r="K335" s="257">
        <v>0</v>
      </c>
      <c r="L335" s="257">
        <v>9279391.8658654653</v>
      </c>
      <c r="M335" s="257">
        <v>9674215.8588655982</v>
      </c>
      <c r="N335" s="257">
        <v>8295678.60144528</v>
      </c>
      <c r="O335" s="257">
        <v>6844835.2840281632</v>
      </c>
      <c r="P335" s="257">
        <v>5395899.488713935</v>
      </c>
      <c r="Q335" s="257">
        <v>3912586.5798021769</v>
      </c>
      <c r="R335" s="257">
        <v>2779480.0568737844</v>
      </c>
      <c r="S335" s="257">
        <v>2607636.4925115057</v>
      </c>
      <c r="T335" s="257">
        <v>2618652.9215342053</v>
      </c>
      <c r="U335" s="258">
        <v>2208416.8757877317</v>
      </c>
      <c r="V335" s="258">
        <v>2219686.7011313643</v>
      </c>
      <c r="W335" s="258">
        <v>1305212.8602353046</v>
      </c>
      <c r="X335" s="258">
        <v>1317169.0179423639</v>
      </c>
      <c r="Y335" s="258">
        <v>1329483.8603806347</v>
      </c>
      <c r="Z335" s="258">
        <v>906674.26999999955</v>
      </c>
      <c r="AA335" s="258">
        <v>0</v>
      </c>
      <c r="AB335" s="258">
        <v>0</v>
      </c>
      <c r="AC335" s="258">
        <v>0</v>
      </c>
      <c r="AD335" s="259">
        <v>0</v>
      </c>
      <c r="AE335" s="259">
        <v>0</v>
      </c>
      <c r="AF335" s="259">
        <v>0</v>
      </c>
      <c r="AG335" s="259">
        <v>0</v>
      </c>
      <c r="AH335" s="259">
        <v>0</v>
      </c>
      <c r="AI335" s="259">
        <v>0</v>
      </c>
      <c r="AJ335" s="259">
        <v>0</v>
      </c>
      <c r="AK335" s="259">
        <v>0</v>
      </c>
      <c r="AL335" s="259">
        <v>0</v>
      </c>
      <c r="AM335" s="259">
        <v>0</v>
      </c>
      <c r="AN335" s="259">
        <v>0</v>
      </c>
      <c r="AO335" s="259">
        <v>0</v>
      </c>
      <c r="AP335" s="259"/>
      <c r="AQ335" s="259"/>
      <c r="AR335" s="259"/>
      <c r="AS335" s="259"/>
      <c r="AT335" s="259"/>
      <c r="AU335" s="259"/>
      <c r="AV335" s="259"/>
      <c r="AW335" s="259"/>
      <c r="AX335" s="259"/>
      <c r="AY335" s="259"/>
      <c r="AZ335" s="259"/>
      <c r="BA335" s="259"/>
      <c r="BB335" s="259"/>
      <c r="BC335" s="259"/>
      <c r="BD335" s="259"/>
      <c r="BE335" s="259"/>
      <c r="BF335" s="259"/>
      <c r="BG335" s="259"/>
      <c r="BH335" s="259"/>
      <c r="BI335" s="259"/>
      <c r="BJ335" s="259"/>
      <c r="BK335" s="259"/>
    </row>
    <row r="336" spans="1:63" s="133" customFormat="1" ht="12.75">
      <c r="A336" s="169"/>
      <c r="B336" s="307" t="str">
        <f>Servicio_internaColumna_título_total</f>
        <v>Total</v>
      </c>
      <c r="C336" s="308">
        <v>0</v>
      </c>
      <c r="D336" s="309">
        <v>0</v>
      </c>
      <c r="E336" s="309">
        <v>0</v>
      </c>
      <c r="F336" s="309">
        <v>0</v>
      </c>
      <c r="G336" s="309">
        <v>0</v>
      </c>
      <c r="H336" s="309">
        <v>0</v>
      </c>
      <c r="I336" s="309">
        <v>0</v>
      </c>
      <c r="J336" s="309">
        <v>0</v>
      </c>
      <c r="K336" s="309">
        <v>0</v>
      </c>
      <c r="L336" s="309">
        <v>30336377.570646632</v>
      </c>
      <c r="M336" s="309">
        <v>23779081.666479096</v>
      </c>
      <c r="N336" s="309">
        <v>23620122.106671847</v>
      </c>
      <c r="O336" s="309">
        <v>25692826.547306217</v>
      </c>
      <c r="P336" s="309">
        <v>19859668.263902932</v>
      </c>
      <c r="Q336" s="309">
        <v>18947008.733695932</v>
      </c>
      <c r="R336" s="309">
        <v>5374482.0872371262</v>
      </c>
      <c r="S336" s="309">
        <v>2607636.4925115057</v>
      </c>
      <c r="T336" s="309">
        <v>6362454.0215342054</v>
      </c>
      <c r="U336" s="309">
        <v>2208416.8757877317</v>
      </c>
      <c r="V336" s="309">
        <v>10638611.801131364</v>
      </c>
      <c r="W336" s="309">
        <v>1305212.8602353046</v>
      </c>
      <c r="X336" s="309">
        <v>1317169.0179423639</v>
      </c>
      <c r="Y336" s="309">
        <v>7274781.5675279656</v>
      </c>
      <c r="Z336" s="309">
        <v>9973416.9699999988</v>
      </c>
      <c r="AA336" s="309">
        <v>0</v>
      </c>
      <c r="AB336" s="309">
        <v>0</v>
      </c>
      <c r="AC336" s="309">
        <v>0</v>
      </c>
      <c r="AD336" s="309">
        <v>0</v>
      </c>
      <c r="AE336" s="309">
        <v>0</v>
      </c>
      <c r="AF336" s="309">
        <v>0</v>
      </c>
      <c r="AG336" s="309">
        <v>0</v>
      </c>
      <c r="AH336" s="309">
        <v>0</v>
      </c>
      <c r="AI336" s="309">
        <v>0</v>
      </c>
      <c r="AJ336" s="309">
        <v>0</v>
      </c>
      <c r="AK336" s="309">
        <v>0</v>
      </c>
      <c r="AL336" s="309">
        <v>0</v>
      </c>
      <c r="AM336" s="309">
        <v>0</v>
      </c>
      <c r="AN336" s="309">
        <v>0</v>
      </c>
      <c r="AO336" s="309">
        <v>0</v>
      </c>
      <c r="AP336" s="309"/>
      <c r="AQ336" s="309"/>
      <c r="AR336" s="309"/>
      <c r="AS336" s="309"/>
      <c r="AT336" s="309"/>
      <c r="AU336" s="309"/>
      <c r="AV336" s="309"/>
      <c r="AW336" s="309"/>
      <c r="AX336" s="309"/>
      <c r="AY336" s="309"/>
      <c r="AZ336" s="309"/>
      <c r="BA336" s="309"/>
      <c r="BB336" s="309"/>
      <c r="BC336" s="309"/>
      <c r="BD336" s="309"/>
      <c r="BE336" s="309"/>
      <c r="BF336" s="309"/>
      <c r="BG336" s="309"/>
      <c r="BH336" s="309"/>
      <c r="BI336" s="309"/>
      <c r="BJ336" s="309"/>
      <c r="BK336" s="309"/>
    </row>
    <row r="337" spans="1:63" s="80" customFormat="1" ht="12.75">
      <c r="A337" s="167"/>
      <c r="B337" s="210" t="str">
        <f>IF(SUM(F337:Z337)&gt;0,Servicio_internaColumna_título_amortizaciones,"")</f>
        <v>Amortizaciones</v>
      </c>
      <c r="C337" s="254">
        <v>0</v>
      </c>
      <c r="D337" s="255">
        <v>0</v>
      </c>
      <c r="E337" s="255">
        <v>0</v>
      </c>
      <c r="F337" s="255">
        <v>0</v>
      </c>
      <c r="G337" s="255">
        <v>0</v>
      </c>
      <c r="H337" s="255">
        <v>0</v>
      </c>
      <c r="I337" s="255">
        <v>0</v>
      </c>
      <c r="J337" s="255">
        <v>0</v>
      </c>
      <c r="K337" s="255">
        <v>0</v>
      </c>
      <c r="L337" s="255">
        <v>18877673.374493338</v>
      </c>
      <c r="M337" s="255">
        <v>14353522.26812226</v>
      </c>
      <c r="N337" s="255">
        <v>15351757.640092429</v>
      </c>
      <c r="O337" s="255">
        <v>19875531.11300328</v>
      </c>
      <c r="P337" s="255">
        <v>14469517.723167585</v>
      </c>
      <c r="Q337" s="255">
        <v>15102867.794951599</v>
      </c>
      <c r="R337" s="255">
        <v>3402429.8764867741</v>
      </c>
      <c r="S337" s="255">
        <v>0</v>
      </c>
      <c r="T337" s="255">
        <v>3743801.1</v>
      </c>
      <c r="U337" s="255">
        <v>0</v>
      </c>
      <c r="V337" s="255">
        <v>8418925.0999999996</v>
      </c>
      <c r="W337" s="255">
        <v>0</v>
      </c>
      <c r="X337" s="255">
        <v>0</v>
      </c>
      <c r="Y337" s="255">
        <v>6116631.3743057391</v>
      </c>
      <c r="Z337" s="255">
        <v>9487230.9000000004</v>
      </c>
      <c r="AA337" s="255">
        <v>0</v>
      </c>
      <c r="AB337" s="255">
        <v>0</v>
      </c>
      <c r="AC337" s="255">
        <v>0</v>
      </c>
      <c r="AD337" s="255">
        <v>0</v>
      </c>
      <c r="AE337" s="255">
        <v>0</v>
      </c>
      <c r="AF337" s="255">
        <v>0</v>
      </c>
      <c r="AG337" s="255">
        <v>0</v>
      </c>
      <c r="AH337" s="255">
        <v>0</v>
      </c>
      <c r="AI337" s="255">
        <v>0</v>
      </c>
      <c r="AJ337" s="255">
        <v>0</v>
      </c>
      <c r="AK337" s="255">
        <v>0</v>
      </c>
      <c r="AL337" s="255">
        <v>0</v>
      </c>
      <c r="AM337" s="255">
        <v>0</v>
      </c>
      <c r="AN337" s="255">
        <v>0</v>
      </c>
      <c r="AO337" s="255">
        <v>0</v>
      </c>
      <c r="AP337" s="255"/>
      <c r="AQ337" s="255"/>
      <c r="AR337" s="255"/>
      <c r="AS337" s="255"/>
      <c r="AT337" s="255"/>
      <c r="AU337" s="255"/>
      <c r="AV337" s="255"/>
      <c r="AW337" s="255"/>
      <c r="AX337" s="255"/>
      <c r="AY337" s="255"/>
      <c r="AZ337" s="255"/>
      <c r="BA337" s="255"/>
      <c r="BB337" s="255"/>
      <c r="BC337" s="255"/>
      <c r="BD337" s="255"/>
      <c r="BE337" s="255"/>
      <c r="BF337" s="255"/>
      <c r="BG337" s="255"/>
      <c r="BH337" s="255"/>
      <c r="BI337" s="255"/>
      <c r="BJ337" s="255"/>
      <c r="BK337" s="255"/>
    </row>
    <row r="338" spans="1:63" s="133" customFormat="1" ht="12.75">
      <c r="A338" s="168">
        <v>40268</v>
      </c>
      <c r="B338" s="213" t="str">
        <f>IF(SUM(F338:Z338)&gt;0,Servicio_internaColumna_título_intereses,"")</f>
        <v>Intereses</v>
      </c>
      <c r="C338" s="256">
        <v>0</v>
      </c>
      <c r="D338" s="257">
        <v>0</v>
      </c>
      <c r="E338" s="257">
        <v>0</v>
      </c>
      <c r="F338" s="257">
        <v>0</v>
      </c>
      <c r="G338" s="257">
        <v>0</v>
      </c>
      <c r="H338" s="257">
        <v>0</v>
      </c>
      <c r="I338" s="257">
        <v>0</v>
      </c>
      <c r="J338" s="257">
        <v>0</v>
      </c>
      <c r="K338" s="257">
        <v>0</v>
      </c>
      <c r="L338" s="257">
        <v>9130713.4789392296</v>
      </c>
      <c r="M338" s="257">
        <v>9839617.5560053699</v>
      </c>
      <c r="N338" s="257">
        <v>8461399.8194445148</v>
      </c>
      <c r="O338" s="257">
        <v>7011069.2688029595</v>
      </c>
      <c r="P338" s="257">
        <v>5503395.8275033962</v>
      </c>
      <c r="Q338" s="257">
        <v>4020303.9237140925</v>
      </c>
      <c r="R338" s="257">
        <v>2887159.4554134468</v>
      </c>
      <c r="S338" s="257">
        <v>2657051.8308107411</v>
      </c>
      <c r="T338" s="257">
        <v>2668241.1323635313</v>
      </c>
      <c r="U338" s="258">
        <v>2258231.2683419366</v>
      </c>
      <c r="V338" s="258">
        <v>2269734.0608621947</v>
      </c>
      <c r="W338" s="258">
        <v>1355500.1761580603</v>
      </c>
      <c r="X338" s="258">
        <v>1367703.4887428023</v>
      </c>
      <c r="Y338" s="258">
        <v>1380272.9007050861</v>
      </c>
      <c r="Z338" s="258">
        <v>948723.08999999985</v>
      </c>
      <c r="AA338" s="258">
        <v>0</v>
      </c>
      <c r="AB338" s="258">
        <v>0</v>
      </c>
      <c r="AC338" s="258">
        <v>0</v>
      </c>
      <c r="AD338" s="259">
        <v>0</v>
      </c>
      <c r="AE338" s="259">
        <v>0</v>
      </c>
      <c r="AF338" s="259">
        <v>0</v>
      </c>
      <c r="AG338" s="259">
        <v>0</v>
      </c>
      <c r="AH338" s="259">
        <v>0</v>
      </c>
      <c r="AI338" s="259">
        <v>0</v>
      </c>
      <c r="AJ338" s="259">
        <v>0</v>
      </c>
      <c r="AK338" s="259">
        <v>0</v>
      </c>
      <c r="AL338" s="259">
        <v>0</v>
      </c>
      <c r="AM338" s="259">
        <v>0</v>
      </c>
      <c r="AN338" s="259">
        <v>0</v>
      </c>
      <c r="AO338" s="259">
        <v>0</v>
      </c>
      <c r="AP338" s="259"/>
      <c r="AQ338" s="259"/>
      <c r="AR338" s="259"/>
      <c r="AS338" s="259"/>
      <c r="AT338" s="259"/>
      <c r="AU338" s="259"/>
      <c r="AV338" s="259"/>
      <c r="AW338" s="259"/>
      <c r="AX338" s="259"/>
      <c r="AY338" s="259"/>
      <c r="AZ338" s="259"/>
      <c r="BA338" s="259"/>
      <c r="BB338" s="259"/>
      <c r="BC338" s="259"/>
      <c r="BD338" s="259"/>
      <c r="BE338" s="259"/>
      <c r="BF338" s="259"/>
      <c r="BG338" s="259"/>
      <c r="BH338" s="259"/>
      <c r="BI338" s="259"/>
      <c r="BJ338" s="259"/>
      <c r="BK338" s="259"/>
    </row>
    <row r="339" spans="1:63" s="133" customFormat="1" ht="12.75">
      <c r="A339" s="169"/>
      <c r="B339" s="307" t="str">
        <f>IF(SUM(F339:Z339)&gt;0,Servicio_internaColumna_título_total,"")</f>
        <v>Total</v>
      </c>
      <c r="C339" s="308">
        <v>0</v>
      </c>
      <c r="D339" s="309">
        <v>0</v>
      </c>
      <c r="E339" s="309">
        <v>0</v>
      </c>
      <c r="F339" s="309">
        <v>0</v>
      </c>
      <c r="G339" s="309">
        <v>0</v>
      </c>
      <c r="H339" s="309">
        <v>0</v>
      </c>
      <c r="I339" s="309">
        <v>0</v>
      </c>
      <c r="J339" s="309">
        <v>0</v>
      </c>
      <c r="K339" s="309">
        <v>0</v>
      </c>
      <c r="L339" s="309">
        <v>28008386.853432566</v>
      </c>
      <c r="M339" s="309">
        <v>24193139.824127629</v>
      </c>
      <c r="N339" s="309">
        <v>23813157.459536944</v>
      </c>
      <c r="O339" s="309">
        <v>26886600.381806239</v>
      </c>
      <c r="P339" s="309">
        <v>19972913.550670981</v>
      </c>
      <c r="Q339" s="309">
        <v>19123171.718665693</v>
      </c>
      <c r="R339" s="309">
        <v>6289589.3319002204</v>
      </c>
      <c r="S339" s="309">
        <v>2657051.8308107411</v>
      </c>
      <c r="T339" s="309">
        <v>6412042.2323635314</v>
      </c>
      <c r="U339" s="309">
        <v>2258231.2683419366</v>
      </c>
      <c r="V339" s="309">
        <v>10688659.160862194</v>
      </c>
      <c r="W339" s="309">
        <v>1355500.1761580603</v>
      </c>
      <c r="X339" s="309">
        <v>1367703.4887428023</v>
      </c>
      <c r="Y339" s="309">
        <v>7496904.2750108251</v>
      </c>
      <c r="Z339" s="309">
        <v>10435953.99</v>
      </c>
      <c r="AA339" s="309">
        <v>0</v>
      </c>
      <c r="AB339" s="309">
        <v>0</v>
      </c>
      <c r="AC339" s="309">
        <v>0</v>
      </c>
      <c r="AD339" s="309">
        <v>0</v>
      </c>
      <c r="AE339" s="309">
        <v>0</v>
      </c>
      <c r="AF339" s="309">
        <v>0</v>
      </c>
      <c r="AG339" s="309">
        <v>0</v>
      </c>
      <c r="AH339" s="309">
        <v>0</v>
      </c>
      <c r="AI339" s="309">
        <v>0</v>
      </c>
      <c r="AJ339" s="309">
        <v>0</v>
      </c>
      <c r="AK339" s="309">
        <v>0</v>
      </c>
      <c r="AL339" s="309">
        <v>0</v>
      </c>
      <c r="AM339" s="309">
        <v>0</v>
      </c>
      <c r="AN339" s="309">
        <v>0</v>
      </c>
      <c r="AO339" s="309">
        <v>0</v>
      </c>
      <c r="AP339" s="309"/>
      <c r="AQ339" s="309"/>
      <c r="AR339" s="309"/>
      <c r="AS339" s="309"/>
      <c r="AT339" s="309"/>
      <c r="AU339" s="309"/>
      <c r="AV339" s="309"/>
      <c r="AW339" s="309"/>
      <c r="AX339" s="309"/>
      <c r="AY339" s="309"/>
      <c r="AZ339" s="309"/>
      <c r="BA339" s="309"/>
      <c r="BB339" s="309"/>
      <c r="BC339" s="309"/>
      <c r="BD339" s="309"/>
      <c r="BE339" s="309"/>
      <c r="BF339" s="309"/>
      <c r="BG339" s="309"/>
      <c r="BH339" s="309"/>
      <c r="BI339" s="309"/>
      <c r="BJ339" s="309"/>
      <c r="BK339" s="309"/>
    </row>
    <row r="340" spans="1:63" s="80" customFormat="1" ht="12.75">
      <c r="A340" s="167"/>
      <c r="B340" s="210" t="str">
        <f>Servicio_internaColumna_título_amortizaciones</f>
        <v>Amortizaciones</v>
      </c>
      <c r="C340" s="254">
        <v>0</v>
      </c>
      <c r="D340" s="255">
        <v>0</v>
      </c>
      <c r="E340" s="255">
        <v>0</v>
      </c>
      <c r="F340" s="255">
        <v>0</v>
      </c>
      <c r="G340" s="255">
        <v>0</v>
      </c>
      <c r="H340" s="255">
        <v>0</v>
      </c>
      <c r="I340" s="255">
        <v>0</v>
      </c>
      <c r="J340" s="255">
        <v>0</v>
      </c>
      <c r="K340" s="255">
        <v>0</v>
      </c>
      <c r="L340" s="255">
        <v>15521766.283173054</v>
      </c>
      <c r="M340" s="255">
        <v>14623974.577777993</v>
      </c>
      <c r="N340" s="255">
        <v>14268930.925160538</v>
      </c>
      <c r="O340" s="255">
        <v>21985740.610355008</v>
      </c>
      <c r="P340" s="255">
        <v>14426436.411889179</v>
      </c>
      <c r="Q340" s="255">
        <v>14463633.469753247</v>
      </c>
      <c r="R340" s="255">
        <v>4089331.6679092431</v>
      </c>
      <c r="S340" s="255">
        <v>1168688.4534763999</v>
      </c>
      <c r="T340" s="255">
        <v>3743801.1</v>
      </c>
      <c r="U340" s="255">
        <v>0</v>
      </c>
      <c r="V340" s="255">
        <v>8418925.0999999996</v>
      </c>
      <c r="W340" s="255">
        <v>0</v>
      </c>
      <c r="X340" s="255">
        <v>0</v>
      </c>
      <c r="Y340" s="255">
        <v>6754848.9443552233</v>
      </c>
      <c r="Z340" s="255">
        <v>10026559.9</v>
      </c>
      <c r="AA340" s="255">
        <v>0</v>
      </c>
      <c r="AB340" s="255">
        <v>0</v>
      </c>
      <c r="AC340" s="255">
        <v>0</v>
      </c>
      <c r="AD340" s="255">
        <v>0</v>
      </c>
      <c r="AE340" s="255">
        <v>0</v>
      </c>
      <c r="AF340" s="255">
        <v>0</v>
      </c>
      <c r="AG340" s="255">
        <v>0</v>
      </c>
      <c r="AH340" s="255">
        <v>0</v>
      </c>
      <c r="AI340" s="255">
        <v>0</v>
      </c>
      <c r="AJ340" s="255">
        <v>0</v>
      </c>
      <c r="AK340" s="255">
        <v>0</v>
      </c>
      <c r="AL340" s="255">
        <v>0</v>
      </c>
      <c r="AM340" s="255">
        <v>0</v>
      </c>
      <c r="AN340" s="255">
        <v>0</v>
      </c>
      <c r="AO340" s="255">
        <v>0</v>
      </c>
      <c r="AP340" s="255"/>
      <c r="AQ340" s="255"/>
      <c r="AR340" s="255"/>
      <c r="AS340" s="255"/>
      <c r="AT340" s="255"/>
      <c r="AU340" s="255"/>
      <c r="AV340" s="255"/>
      <c r="AW340" s="255"/>
      <c r="AX340" s="255"/>
      <c r="AY340" s="255"/>
      <c r="AZ340" s="255"/>
      <c r="BA340" s="255"/>
      <c r="BB340" s="255"/>
      <c r="BC340" s="255"/>
      <c r="BD340" s="255"/>
      <c r="BE340" s="255"/>
      <c r="BF340" s="255"/>
      <c r="BG340" s="255"/>
      <c r="BH340" s="255"/>
      <c r="BI340" s="255"/>
      <c r="BJ340" s="255"/>
      <c r="BK340" s="255"/>
    </row>
    <row r="341" spans="1:63" s="133" customFormat="1" ht="12.75">
      <c r="A341" s="168">
        <v>40298</v>
      </c>
      <c r="B341" s="213" t="str">
        <f>Servicio_internaColumna_título_intereses</f>
        <v>Intereses</v>
      </c>
      <c r="C341" s="256">
        <v>0</v>
      </c>
      <c r="D341" s="257">
        <v>0</v>
      </c>
      <c r="E341" s="257">
        <v>0</v>
      </c>
      <c r="F341" s="257">
        <v>0</v>
      </c>
      <c r="G341" s="257">
        <v>0</v>
      </c>
      <c r="H341" s="257">
        <v>0</v>
      </c>
      <c r="I341" s="257">
        <v>0</v>
      </c>
      <c r="J341" s="257">
        <v>0</v>
      </c>
      <c r="K341" s="257">
        <v>0</v>
      </c>
      <c r="L341" s="257">
        <v>8296161.97272815</v>
      </c>
      <c r="M341" s="257">
        <v>9969910.3060622141</v>
      </c>
      <c r="N341" s="257">
        <v>8601892.2502930835</v>
      </c>
      <c r="O341" s="257">
        <v>7248095.6576786386</v>
      </c>
      <c r="P341" s="257">
        <v>5637018.0827388521</v>
      </c>
      <c r="Q341" s="257">
        <v>4160929.9741566167</v>
      </c>
      <c r="R341" s="257">
        <v>3085118.4668692462</v>
      </c>
      <c r="S341" s="257">
        <v>2808068.4329102137</v>
      </c>
      <c r="T341" s="257">
        <v>2758863.9208606738</v>
      </c>
      <c r="U341" s="258">
        <v>2349954.7534939945</v>
      </c>
      <c r="V341" s="258">
        <v>2362591.2635688148</v>
      </c>
      <c r="W341" s="258">
        <v>1449525.1079458788</v>
      </c>
      <c r="X341" s="258">
        <v>1462931.181484255</v>
      </c>
      <c r="Y341" s="258">
        <v>1476739.4372287821</v>
      </c>
      <c r="Z341" s="258">
        <v>1002655.9900000002</v>
      </c>
      <c r="AA341" s="258">
        <v>0</v>
      </c>
      <c r="AB341" s="258">
        <v>0</v>
      </c>
      <c r="AC341" s="258">
        <v>0</v>
      </c>
      <c r="AD341" s="259">
        <v>0</v>
      </c>
      <c r="AE341" s="259">
        <v>0</v>
      </c>
      <c r="AF341" s="259">
        <v>0</v>
      </c>
      <c r="AG341" s="259">
        <v>0</v>
      </c>
      <c r="AH341" s="259">
        <v>0</v>
      </c>
      <c r="AI341" s="259">
        <v>0</v>
      </c>
      <c r="AJ341" s="259">
        <v>0</v>
      </c>
      <c r="AK341" s="259">
        <v>0</v>
      </c>
      <c r="AL341" s="259">
        <v>0</v>
      </c>
      <c r="AM341" s="259">
        <v>0</v>
      </c>
      <c r="AN341" s="259">
        <v>0</v>
      </c>
      <c r="AO341" s="259">
        <v>0</v>
      </c>
      <c r="AP341" s="259"/>
      <c r="AQ341" s="259"/>
      <c r="AR341" s="259"/>
      <c r="AS341" s="259"/>
      <c r="AT341" s="259"/>
      <c r="AU341" s="259"/>
      <c r="AV341" s="259"/>
      <c r="AW341" s="259"/>
      <c r="AX341" s="259"/>
      <c r="AY341" s="259"/>
      <c r="AZ341" s="259"/>
      <c r="BA341" s="259"/>
      <c r="BB341" s="259"/>
      <c r="BC341" s="259"/>
      <c r="BD341" s="259"/>
      <c r="BE341" s="259"/>
      <c r="BF341" s="259"/>
      <c r="BG341" s="259"/>
      <c r="BH341" s="259"/>
      <c r="BI341" s="259"/>
      <c r="BJ341" s="259"/>
      <c r="BK341" s="259"/>
    </row>
    <row r="342" spans="1:63" s="133" customFormat="1" ht="12.75">
      <c r="A342" s="169"/>
      <c r="B342" s="307" t="str">
        <f>Servicio_internaColumna_título_total</f>
        <v>Total</v>
      </c>
      <c r="C342" s="308">
        <v>0</v>
      </c>
      <c r="D342" s="309">
        <v>0</v>
      </c>
      <c r="E342" s="309">
        <v>0</v>
      </c>
      <c r="F342" s="309">
        <v>0</v>
      </c>
      <c r="G342" s="309">
        <v>0</v>
      </c>
      <c r="H342" s="309">
        <v>0</v>
      </c>
      <c r="I342" s="309">
        <v>0</v>
      </c>
      <c r="J342" s="309">
        <v>0</v>
      </c>
      <c r="K342" s="309">
        <v>0</v>
      </c>
      <c r="L342" s="309">
        <v>23817928.255901203</v>
      </c>
      <c r="M342" s="309">
        <v>24593884.883840207</v>
      </c>
      <c r="N342" s="309">
        <v>22870823.175453622</v>
      </c>
      <c r="O342" s="309">
        <v>29233836.268033646</v>
      </c>
      <c r="P342" s="309">
        <v>20063454.494628031</v>
      </c>
      <c r="Q342" s="309">
        <v>18624563.443909865</v>
      </c>
      <c r="R342" s="309">
        <v>7174450.1347784894</v>
      </c>
      <c r="S342" s="309">
        <v>3976756.8863866134</v>
      </c>
      <c r="T342" s="309">
        <v>6502665.0208606739</v>
      </c>
      <c r="U342" s="309">
        <v>2349954.7534939945</v>
      </c>
      <c r="V342" s="309">
        <v>10781516.363568814</v>
      </c>
      <c r="W342" s="309">
        <v>1449525.1079458788</v>
      </c>
      <c r="X342" s="309">
        <v>1462931.181484255</v>
      </c>
      <c r="Y342" s="309">
        <v>8231588.3815840054</v>
      </c>
      <c r="Z342" s="309">
        <v>11029215.890000001</v>
      </c>
      <c r="AA342" s="309">
        <v>0</v>
      </c>
      <c r="AB342" s="309">
        <v>0</v>
      </c>
      <c r="AC342" s="309">
        <v>0</v>
      </c>
      <c r="AD342" s="309">
        <v>0</v>
      </c>
      <c r="AE342" s="309">
        <v>0</v>
      </c>
      <c r="AF342" s="309">
        <v>0</v>
      </c>
      <c r="AG342" s="309">
        <v>0</v>
      </c>
      <c r="AH342" s="309">
        <v>0</v>
      </c>
      <c r="AI342" s="309">
        <v>0</v>
      </c>
      <c r="AJ342" s="309">
        <v>0</v>
      </c>
      <c r="AK342" s="309">
        <v>0</v>
      </c>
      <c r="AL342" s="309">
        <v>0</v>
      </c>
      <c r="AM342" s="309">
        <v>0</v>
      </c>
      <c r="AN342" s="309">
        <v>0</v>
      </c>
      <c r="AO342" s="309">
        <v>0</v>
      </c>
      <c r="AP342" s="309"/>
      <c r="AQ342" s="309"/>
      <c r="AR342" s="309"/>
      <c r="AS342" s="309"/>
      <c r="AT342" s="309"/>
      <c r="AU342" s="309"/>
      <c r="AV342" s="309"/>
      <c r="AW342" s="309"/>
      <c r="AX342" s="309"/>
      <c r="AY342" s="309"/>
      <c r="AZ342" s="309"/>
      <c r="BA342" s="309"/>
      <c r="BB342" s="309"/>
      <c r="BC342" s="309"/>
      <c r="BD342" s="309"/>
      <c r="BE342" s="309"/>
      <c r="BF342" s="309"/>
      <c r="BG342" s="309"/>
      <c r="BH342" s="309"/>
      <c r="BI342" s="309"/>
      <c r="BJ342" s="309"/>
      <c r="BK342" s="309"/>
    </row>
    <row r="343" spans="1:63" s="80" customFormat="1" ht="12.75">
      <c r="A343" s="167"/>
      <c r="B343" s="210" t="str">
        <f>Servicio_internaColumna_título_amortizaciones</f>
        <v>Amortizaciones</v>
      </c>
      <c r="C343" s="254">
        <v>0</v>
      </c>
      <c r="D343" s="255">
        <v>0</v>
      </c>
      <c r="E343" s="255">
        <v>0</v>
      </c>
      <c r="F343" s="255">
        <v>0</v>
      </c>
      <c r="G343" s="255">
        <v>0</v>
      </c>
      <c r="H343" s="255">
        <v>0</v>
      </c>
      <c r="I343" s="255">
        <v>0</v>
      </c>
      <c r="J343" s="255">
        <v>0</v>
      </c>
      <c r="K343" s="255">
        <v>0</v>
      </c>
      <c r="L343" s="255">
        <v>12804187.634392137</v>
      </c>
      <c r="M343" s="255">
        <v>14828213.632017812</v>
      </c>
      <c r="N343" s="255">
        <v>14278803.752921659</v>
      </c>
      <c r="O343" s="255">
        <v>22167702.769355554</v>
      </c>
      <c r="P343" s="255">
        <v>14522095.481727336</v>
      </c>
      <c r="Q343" s="255">
        <v>14497412.787817096</v>
      </c>
      <c r="R343" s="255">
        <v>5153505.9177647941</v>
      </c>
      <c r="S343" s="255">
        <v>1453678.6591950001</v>
      </c>
      <c r="T343" s="255">
        <v>3743801.1</v>
      </c>
      <c r="U343" s="255">
        <v>0</v>
      </c>
      <c r="V343" s="255">
        <v>8418925.0999999996</v>
      </c>
      <c r="W343" s="255">
        <v>0</v>
      </c>
      <c r="X343" s="255">
        <v>0</v>
      </c>
      <c r="Y343" s="255">
        <v>7019543.3643267807</v>
      </c>
      <c r="Z343" s="255">
        <v>10520597.800000001</v>
      </c>
      <c r="AA343" s="255">
        <v>0</v>
      </c>
      <c r="AB343" s="255">
        <v>0</v>
      </c>
      <c r="AC343" s="255">
        <v>0</v>
      </c>
      <c r="AD343" s="255">
        <v>0</v>
      </c>
      <c r="AE343" s="255">
        <v>0</v>
      </c>
      <c r="AF343" s="255">
        <v>0</v>
      </c>
      <c r="AG343" s="255">
        <v>0</v>
      </c>
      <c r="AH343" s="255">
        <v>0</v>
      </c>
      <c r="AI343" s="255">
        <v>0</v>
      </c>
      <c r="AJ343" s="255">
        <v>0</v>
      </c>
      <c r="AK343" s="255">
        <v>0</v>
      </c>
      <c r="AL343" s="255">
        <v>0</v>
      </c>
      <c r="AM343" s="255">
        <v>0</v>
      </c>
      <c r="AN343" s="255">
        <v>0</v>
      </c>
      <c r="AO343" s="255">
        <v>0</v>
      </c>
      <c r="AP343" s="255"/>
      <c r="AQ343" s="255"/>
      <c r="AR343" s="255"/>
      <c r="AS343" s="255"/>
      <c r="AT343" s="255"/>
      <c r="AU343" s="255"/>
      <c r="AV343" s="255"/>
      <c r="AW343" s="255"/>
      <c r="AX343" s="255"/>
      <c r="AY343" s="255"/>
      <c r="AZ343" s="255"/>
      <c r="BA343" s="255"/>
      <c r="BB343" s="255"/>
      <c r="BC343" s="255"/>
      <c r="BD343" s="255"/>
      <c r="BE343" s="255"/>
      <c r="BF343" s="255"/>
      <c r="BG343" s="255"/>
      <c r="BH343" s="255"/>
      <c r="BI343" s="255"/>
      <c r="BJ343" s="255"/>
      <c r="BK343" s="255"/>
    </row>
    <row r="344" spans="1:63" s="133" customFormat="1" ht="12.75">
      <c r="A344" s="168">
        <v>40329</v>
      </c>
      <c r="B344" s="213" t="str">
        <f>Servicio_internaColumna_título_intereses</f>
        <v>Intereses</v>
      </c>
      <c r="C344" s="256">
        <v>0</v>
      </c>
      <c r="D344" s="257">
        <v>0</v>
      </c>
      <c r="E344" s="257">
        <v>0</v>
      </c>
      <c r="F344" s="257">
        <v>0</v>
      </c>
      <c r="G344" s="257">
        <v>0</v>
      </c>
      <c r="H344" s="257">
        <v>0</v>
      </c>
      <c r="I344" s="257">
        <v>0</v>
      </c>
      <c r="J344" s="257">
        <v>0</v>
      </c>
      <c r="K344" s="257">
        <v>0</v>
      </c>
      <c r="L344" s="257">
        <v>6501776.9941596668</v>
      </c>
      <c r="M344" s="257">
        <v>10135400.60991529</v>
      </c>
      <c r="N344" s="257">
        <v>8771796.7508918736</v>
      </c>
      <c r="O344" s="257">
        <v>7418658.9577154769</v>
      </c>
      <c r="P344" s="257">
        <v>5798866.7867464805</v>
      </c>
      <c r="Q344" s="257">
        <v>4314952.6710721422</v>
      </c>
      <c r="R344" s="257">
        <v>3239900.1225885227</v>
      </c>
      <c r="S344" s="257">
        <v>2886599.6160791861</v>
      </c>
      <c r="T344" s="257">
        <v>2822758.4431480556</v>
      </c>
      <c r="U344" s="258">
        <v>2414283.9977499978</v>
      </c>
      <c r="V344" s="258">
        <v>2427368.2714524977</v>
      </c>
      <c r="W344" s="258">
        <v>1514763.3123660726</v>
      </c>
      <c r="X344" s="258">
        <v>1528644.4183370546</v>
      </c>
      <c r="Y344" s="258">
        <v>1542941.9574871659</v>
      </c>
      <c r="Z344" s="258">
        <v>1052059.7799999993</v>
      </c>
      <c r="AA344" s="258">
        <v>0</v>
      </c>
      <c r="AB344" s="258">
        <v>0</v>
      </c>
      <c r="AC344" s="258">
        <v>0</v>
      </c>
      <c r="AD344" s="259">
        <v>0</v>
      </c>
      <c r="AE344" s="259">
        <v>0</v>
      </c>
      <c r="AF344" s="259">
        <v>0</v>
      </c>
      <c r="AG344" s="259">
        <v>0</v>
      </c>
      <c r="AH344" s="259">
        <v>0</v>
      </c>
      <c r="AI344" s="259">
        <v>0</v>
      </c>
      <c r="AJ344" s="259">
        <v>0</v>
      </c>
      <c r="AK344" s="259">
        <v>0</v>
      </c>
      <c r="AL344" s="259">
        <v>0</v>
      </c>
      <c r="AM344" s="259">
        <v>0</v>
      </c>
      <c r="AN344" s="259">
        <v>0</v>
      </c>
      <c r="AO344" s="259">
        <v>0</v>
      </c>
      <c r="AP344" s="259"/>
      <c r="AQ344" s="259"/>
      <c r="AR344" s="259"/>
      <c r="AS344" s="259"/>
      <c r="AT344" s="259"/>
      <c r="AU344" s="259"/>
      <c r="AV344" s="259"/>
      <c r="AW344" s="259"/>
      <c r="AX344" s="259"/>
      <c r="AY344" s="259"/>
      <c r="AZ344" s="259"/>
      <c r="BA344" s="259"/>
      <c r="BB344" s="259"/>
      <c r="BC344" s="259"/>
      <c r="BD344" s="259"/>
      <c r="BE344" s="259"/>
      <c r="BF344" s="259"/>
      <c r="BG344" s="259"/>
      <c r="BH344" s="259"/>
      <c r="BI344" s="259"/>
      <c r="BJ344" s="259"/>
      <c r="BK344" s="259"/>
    </row>
    <row r="345" spans="1:63" s="133" customFormat="1" ht="12.75">
      <c r="A345" s="169"/>
      <c r="B345" s="307" t="str">
        <f>Servicio_internaColumna_título_total</f>
        <v>Total</v>
      </c>
      <c r="C345" s="308">
        <v>0</v>
      </c>
      <c r="D345" s="309">
        <v>0</v>
      </c>
      <c r="E345" s="309">
        <v>0</v>
      </c>
      <c r="F345" s="309">
        <v>0</v>
      </c>
      <c r="G345" s="309">
        <v>0</v>
      </c>
      <c r="H345" s="309">
        <v>0</v>
      </c>
      <c r="I345" s="309">
        <v>0</v>
      </c>
      <c r="J345" s="309">
        <v>0</v>
      </c>
      <c r="K345" s="309">
        <v>0</v>
      </c>
      <c r="L345" s="309">
        <v>19305964.628551804</v>
      </c>
      <c r="M345" s="309">
        <v>24963614.2419331</v>
      </c>
      <c r="N345" s="309">
        <v>23050600.503813535</v>
      </c>
      <c r="O345" s="309">
        <v>29586361.727071032</v>
      </c>
      <c r="P345" s="309">
        <v>20320962.268473815</v>
      </c>
      <c r="Q345" s="309">
        <v>18812365.458889239</v>
      </c>
      <c r="R345" s="309">
        <v>8393406.0403533168</v>
      </c>
      <c r="S345" s="309">
        <v>4340278.2752741864</v>
      </c>
      <c r="T345" s="309">
        <v>6566559.5431480557</v>
      </c>
      <c r="U345" s="309">
        <v>2414283.9977499978</v>
      </c>
      <c r="V345" s="309">
        <v>10846293.371452497</v>
      </c>
      <c r="W345" s="309">
        <v>1514763.3123660726</v>
      </c>
      <c r="X345" s="309">
        <v>1528644.4183370546</v>
      </c>
      <c r="Y345" s="309">
        <v>8562485.3218139466</v>
      </c>
      <c r="Z345" s="309">
        <v>11572657.58</v>
      </c>
      <c r="AA345" s="309">
        <v>0</v>
      </c>
      <c r="AB345" s="309">
        <v>0</v>
      </c>
      <c r="AC345" s="309">
        <v>0</v>
      </c>
      <c r="AD345" s="309">
        <v>0</v>
      </c>
      <c r="AE345" s="309">
        <v>0</v>
      </c>
      <c r="AF345" s="309">
        <v>0</v>
      </c>
      <c r="AG345" s="309">
        <v>0</v>
      </c>
      <c r="AH345" s="309">
        <v>0</v>
      </c>
      <c r="AI345" s="309">
        <v>0</v>
      </c>
      <c r="AJ345" s="309">
        <v>0</v>
      </c>
      <c r="AK345" s="309">
        <v>0</v>
      </c>
      <c r="AL345" s="309">
        <v>0</v>
      </c>
      <c r="AM345" s="309">
        <v>0</v>
      </c>
      <c r="AN345" s="309">
        <v>0</v>
      </c>
      <c r="AO345" s="309">
        <v>0</v>
      </c>
      <c r="AP345" s="309"/>
      <c r="AQ345" s="309"/>
      <c r="AR345" s="309"/>
      <c r="AS345" s="309"/>
      <c r="AT345" s="309"/>
      <c r="AU345" s="309"/>
      <c r="AV345" s="309"/>
      <c r="AW345" s="309"/>
      <c r="AX345" s="309"/>
      <c r="AY345" s="309"/>
      <c r="AZ345" s="309"/>
      <c r="BA345" s="309"/>
      <c r="BB345" s="309"/>
      <c r="BC345" s="309"/>
      <c r="BD345" s="309"/>
      <c r="BE345" s="309"/>
      <c r="BF345" s="309"/>
      <c r="BG345" s="309"/>
      <c r="BH345" s="309"/>
      <c r="BI345" s="309"/>
      <c r="BJ345" s="309"/>
      <c r="BK345" s="309"/>
    </row>
    <row r="346" spans="1:63" s="80" customFormat="1" ht="12.75">
      <c r="A346" s="167"/>
      <c r="B346" s="210" t="str">
        <f>Servicio_internaColumna_título_amortizaciones</f>
        <v>Amortizaciones</v>
      </c>
      <c r="C346" s="254">
        <v>0</v>
      </c>
      <c r="D346" s="255">
        <v>0</v>
      </c>
      <c r="E346" s="255">
        <v>0</v>
      </c>
      <c r="F346" s="255">
        <v>0</v>
      </c>
      <c r="G346" s="255">
        <v>0</v>
      </c>
      <c r="H346" s="255">
        <v>0</v>
      </c>
      <c r="I346" s="255">
        <v>0</v>
      </c>
      <c r="J346" s="255">
        <v>0</v>
      </c>
      <c r="K346" s="255">
        <v>0</v>
      </c>
      <c r="L346" s="255">
        <v>12763986.969760535</v>
      </c>
      <c r="M346" s="255">
        <v>15091407.056188093</v>
      </c>
      <c r="N346" s="255">
        <v>14286216.459901059</v>
      </c>
      <c r="O346" s="255">
        <v>22186336.658070378</v>
      </c>
      <c r="P346" s="255">
        <v>14524091.162636667</v>
      </c>
      <c r="Q346" s="255">
        <v>14519931.279848207</v>
      </c>
      <c r="R346" s="255">
        <v>5890324.1570077501</v>
      </c>
      <c r="S346" s="255">
        <v>1703124.0019989999</v>
      </c>
      <c r="T346" s="255">
        <v>3743801.1</v>
      </c>
      <c r="U346" s="255">
        <v>0</v>
      </c>
      <c r="V346" s="255">
        <v>8418925.0999999996</v>
      </c>
      <c r="W346" s="255">
        <v>0</v>
      </c>
      <c r="X346" s="255">
        <v>0</v>
      </c>
      <c r="Y346" s="255">
        <v>7275822.2558838967</v>
      </c>
      <c r="Z346" s="255">
        <v>10933914.199999999</v>
      </c>
      <c r="AA346" s="255">
        <v>0</v>
      </c>
      <c r="AB346" s="255">
        <v>0</v>
      </c>
      <c r="AC346" s="255">
        <v>0</v>
      </c>
      <c r="AD346" s="255">
        <v>0</v>
      </c>
      <c r="AE346" s="255">
        <v>0</v>
      </c>
      <c r="AF346" s="255">
        <v>0</v>
      </c>
      <c r="AG346" s="255">
        <v>0</v>
      </c>
      <c r="AH346" s="255">
        <v>0</v>
      </c>
      <c r="AI346" s="255">
        <v>0</v>
      </c>
      <c r="AJ346" s="255">
        <v>0</v>
      </c>
      <c r="AK346" s="255">
        <v>0</v>
      </c>
      <c r="AL346" s="255">
        <v>0</v>
      </c>
      <c r="AM346" s="255">
        <v>0</v>
      </c>
      <c r="AN346" s="255">
        <v>0</v>
      </c>
      <c r="AO346" s="255">
        <v>0</v>
      </c>
      <c r="AP346" s="255"/>
      <c r="AQ346" s="255"/>
      <c r="AR346" s="255"/>
      <c r="AS346" s="255"/>
      <c r="AT346" s="255"/>
      <c r="AU346" s="255"/>
      <c r="AV346" s="255"/>
      <c r="AW346" s="255"/>
      <c r="AX346" s="255"/>
      <c r="AY346" s="255"/>
      <c r="AZ346" s="255"/>
      <c r="BA346" s="255"/>
      <c r="BB346" s="255"/>
      <c r="BC346" s="255"/>
      <c r="BD346" s="255"/>
      <c r="BE346" s="255"/>
      <c r="BF346" s="255"/>
      <c r="BG346" s="255"/>
      <c r="BH346" s="255"/>
      <c r="BI346" s="255"/>
      <c r="BJ346" s="255"/>
      <c r="BK346" s="255"/>
    </row>
    <row r="347" spans="1:63" s="133" customFormat="1" ht="12.75">
      <c r="A347" s="168">
        <v>40330</v>
      </c>
      <c r="B347" s="213" t="str">
        <f>Servicio_internaColumna_título_intereses</f>
        <v>Intereses</v>
      </c>
      <c r="C347" s="256">
        <v>0</v>
      </c>
      <c r="D347" s="257">
        <v>0</v>
      </c>
      <c r="E347" s="257">
        <v>0</v>
      </c>
      <c r="F347" s="257">
        <v>0</v>
      </c>
      <c r="G347" s="257">
        <v>0</v>
      </c>
      <c r="H347" s="257">
        <v>0</v>
      </c>
      <c r="I347" s="257">
        <v>0</v>
      </c>
      <c r="J347" s="257">
        <v>0</v>
      </c>
      <c r="K347" s="257">
        <v>0</v>
      </c>
      <c r="L347" s="257">
        <v>5797174.499477447</v>
      </c>
      <c r="M347" s="257">
        <v>10251647.304916767</v>
      </c>
      <c r="N347" s="257">
        <v>8889293.23151334</v>
      </c>
      <c r="O347" s="257">
        <v>7536808.7790925289</v>
      </c>
      <c r="P347" s="257">
        <v>5917712.2474499047</v>
      </c>
      <c r="Q347" s="257">
        <v>4434517.841098832</v>
      </c>
      <c r="R347" s="257">
        <v>3360188.3815231756</v>
      </c>
      <c r="S347" s="257">
        <v>2954185.5003355374</v>
      </c>
      <c r="T347" s="257">
        <v>2878357.0338037903</v>
      </c>
      <c r="U347" s="258">
        <v>2470310.596925403</v>
      </c>
      <c r="V347" s="258">
        <v>2483835.7194031645</v>
      </c>
      <c r="W347" s="258">
        <v>1571684.8345552604</v>
      </c>
      <c r="X347" s="258">
        <v>1586033.6369919181</v>
      </c>
      <c r="Y347" s="258">
        <v>1600812.9035016764</v>
      </c>
      <c r="Z347" s="258">
        <v>1093391.42</v>
      </c>
      <c r="AA347" s="258">
        <v>0</v>
      </c>
      <c r="AB347" s="258">
        <v>0</v>
      </c>
      <c r="AC347" s="258">
        <v>0</v>
      </c>
      <c r="AD347" s="259">
        <v>0</v>
      </c>
      <c r="AE347" s="259">
        <v>0</v>
      </c>
      <c r="AF347" s="259">
        <v>0</v>
      </c>
      <c r="AG347" s="259">
        <v>0</v>
      </c>
      <c r="AH347" s="259">
        <v>0</v>
      </c>
      <c r="AI347" s="259">
        <v>0</v>
      </c>
      <c r="AJ347" s="259">
        <v>0</v>
      </c>
      <c r="AK347" s="259">
        <v>0</v>
      </c>
      <c r="AL347" s="259">
        <v>0</v>
      </c>
      <c r="AM347" s="259">
        <v>0</v>
      </c>
      <c r="AN347" s="259">
        <v>0</v>
      </c>
      <c r="AO347" s="259">
        <v>0</v>
      </c>
      <c r="AP347" s="259"/>
      <c r="AQ347" s="259"/>
      <c r="AR347" s="259"/>
      <c r="AS347" s="259"/>
      <c r="AT347" s="259"/>
      <c r="AU347" s="259"/>
      <c r="AV347" s="259"/>
      <c r="AW347" s="259"/>
      <c r="AX347" s="259"/>
      <c r="AY347" s="259"/>
      <c r="AZ347" s="259"/>
      <c r="BA347" s="259"/>
      <c r="BB347" s="259"/>
      <c r="BC347" s="259"/>
      <c r="BD347" s="259"/>
      <c r="BE347" s="259"/>
      <c r="BF347" s="259"/>
      <c r="BG347" s="259"/>
      <c r="BH347" s="259"/>
      <c r="BI347" s="259"/>
      <c r="BJ347" s="259"/>
      <c r="BK347" s="259"/>
    </row>
    <row r="348" spans="1:63" s="133" customFormat="1" ht="12.75">
      <c r="A348" s="169"/>
      <c r="B348" s="307" t="str">
        <f>Servicio_internaColumna_título_total</f>
        <v>Total</v>
      </c>
      <c r="C348" s="308">
        <v>0</v>
      </c>
      <c r="D348" s="309">
        <v>0</v>
      </c>
      <c r="E348" s="309">
        <v>0</v>
      </c>
      <c r="F348" s="309">
        <v>0</v>
      </c>
      <c r="G348" s="309">
        <v>0</v>
      </c>
      <c r="H348" s="309">
        <v>0</v>
      </c>
      <c r="I348" s="309">
        <v>0</v>
      </c>
      <c r="J348" s="309">
        <v>0</v>
      </c>
      <c r="K348" s="309">
        <v>0</v>
      </c>
      <c r="L348" s="309">
        <v>18561161.469237983</v>
      </c>
      <c r="M348" s="309">
        <v>25343054.361104861</v>
      </c>
      <c r="N348" s="309">
        <v>23175509.691414401</v>
      </c>
      <c r="O348" s="309">
        <v>29723145.437162906</v>
      </c>
      <c r="P348" s="309">
        <v>20441803.410086572</v>
      </c>
      <c r="Q348" s="309">
        <v>18954449.120947041</v>
      </c>
      <c r="R348" s="309">
        <v>9250512.5385309253</v>
      </c>
      <c r="S348" s="309">
        <v>4657309.502334537</v>
      </c>
      <c r="T348" s="309">
        <v>6622158.1338037904</v>
      </c>
      <c r="U348" s="309">
        <v>2470310.596925403</v>
      </c>
      <c r="V348" s="309">
        <v>10902760.819403164</v>
      </c>
      <c r="W348" s="309">
        <v>1571684.8345552604</v>
      </c>
      <c r="X348" s="309">
        <v>1586033.6369919181</v>
      </c>
      <c r="Y348" s="309">
        <v>8876635.1593855731</v>
      </c>
      <c r="Z348" s="309">
        <v>12027305.619999999</v>
      </c>
      <c r="AA348" s="309">
        <v>0</v>
      </c>
      <c r="AB348" s="309">
        <v>0</v>
      </c>
      <c r="AC348" s="309">
        <v>0</v>
      </c>
      <c r="AD348" s="309">
        <v>0</v>
      </c>
      <c r="AE348" s="309">
        <v>0</v>
      </c>
      <c r="AF348" s="309">
        <v>0</v>
      </c>
      <c r="AG348" s="309">
        <v>0</v>
      </c>
      <c r="AH348" s="309">
        <v>0</v>
      </c>
      <c r="AI348" s="309">
        <v>0</v>
      </c>
      <c r="AJ348" s="309">
        <v>0</v>
      </c>
      <c r="AK348" s="309">
        <v>0</v>
      </c>
      <c r="AL348" s="309">
        <v>0</v>
      </c>
      <c r="AM348" s="309">
        <v>0</v>
      </c>
      <c r="AN348" s="309">
        <v>0</v>
      </c>
      <c r="AO348" s="309">
        <v>0</v>
      </c>
      <c r="AP348" s="309"/>
      <c r="AQ348" s="309"/>
      <c r="AR348" s="309"/>
      <c r="AS348" s="309"/>
      <c r="AT348" s="309"/>
      <c r="AU348" s="309"/>
      <c r="AV348" s="309"/>
      <c r="AW348" s="309"/>
      <c r="AX348" s="309"/>
      <c r="AY348" s="309"/>
      <c r="AZ348" s="309"/>
      <c r="BA348" s="309"/>
      <c r="BB348" s="309"/>
      <c r="BC348" s="309"/>
      <c r="BD348" s="309"/>
      <c r="BE348" s="309"/>
      <c r="BF348" s="309"/>
      <c r="BG348" s="309"/>
      <c r="BH348" s="309"/>
      <c r="BI348" s="309"/>
      <c r="BJ348" s="309"/>
      <c r="BK348" s="309"/>
    </row>
    <row r="349" spans="1:63" s="80" customFormat="1" ht="12.75">
      <c r="A349" s="167"/>
      <c r="B349" s="210" t="str">
        <f>IF(SUM(F349:Z349)&gt;0,Servicio_internaColumna_título_amortizaciones,"")</f>
        <v>Amortizaciones</v>
      </c>
      <c r="C349" s="254">
        <v>0</v>
      </c>
      <c r="D349" s="255">
        <v>0</v>
      </c>
      <c r="E349" s="255">
        <v>0</v>
      </c>
      <c r="F349" s="255">
        <v>0</v>
      </c>
      <c r="G349" s="255">
        <v>0</v>
      </c>
      <c r="H349" s="255">
        <v>0</v>
      </c>
      <c r="I349" s="255">
        <v>0</v>
      </c>
      <c r="J349" s="255">
        <v>0</v>
      </c>
      <c r="K349" s="255">
        <v>0</v>
      </c>
      <c r="L349" s="255">
        <v>12036802.15579576</v>
      </c>
      <c r="M349" s="255">
        <v>15642673.567046992</v>
      </c>
      <c r="N349" s="255">
        <v>14289145.91075011</v>
      </c>
      <c r="O349" s="255">
        <v>22193570.590626627</v>
      </c>
      <c r="P349" s="255">
        <v>14524875.180136764</v>
      </c>
      <c r="Q349" s="255">
        <v>14528777.830289003</v>
      </c>
      <c r="R349" s="255">
        <v>7207028.5891389111</v>
      </c>
      <c r="S349" s="255">
        <v>1846644.7326560002</v>
      </c>
      <c r="T349" s="255">
        <v>3743801.1</v>
      </c>
      <c r="U349" s="255">
        <v>0</v>
      </c>
      <c r="V349" s="255">
        <v>8418925.0999999996</v>
      </c>
      <c r="W349" s="255">
        <v>0</v>
      </c>
      <c r="X349" s="255">
        <v>0</v>
      </c>
      <c r="Y349" s="255">
        <v>7419072.7435235148</v>
      </c>
      <c r="Z349" s="255">
        <v>11701101.1</v>
      </c>
      <c r="AA349" s="255">
        <v>0</v>
      </c>
      <c r="AB349" s="255">
        <v>0</v>
      </c>
      <c r="AC349" s="255">
        <v>0</v>
      </c>
      <c r="AD349" s="255">
        <v>0</v>
      </c>
      <c r="AE349" s="255">
        <v>0</v>
      </c>
      <c r="AF349" s="255">
        <v>0</v>
      </c>
      <c r="AG349" s="255">
        <v>0</v>
      </c>
      <c r="AH349" s="255">
        <v>0</v>
      </c>
      <c r="AI349" s="255">
        <v>0</v>
      </c>
      <c r="AJ349" s="255">
        <v>0</v>
      </c>
      <c r="AK349" s="255">
        <v>0</v>
      </c>
      <c r="AL349" s="255">
        <v>0</v>
      </c>
      <c r="AM349" s="255">
        <v>0</v>
      </c>
      <c r="AN349" s="255">
        <v>0</v>
      </c>
      <c r="AO349" s="255">
        <v>0</v>
      </c>
      <c r="AP349" s="255"/>
      <c r="AQ349" s="255"/>
      <c r="AR349" s="255"/>
      <c r="AS349" s="255"/>
      <c r="AT349" s="255"/>
      <c r="AU349" s="255"/>
      <c r="AV349" s="255"/>
      <c r="AW349" s="255"/>
      <c r="AX349" s="255"/>
      <c r="AY349" s="255"/>
      <c r="AZ349" s="255"/>
      <c r="BA349" s="255"/>
      <c r="BB349" s="255"/>
      <c r="BC349" s="255"/>
      <c r="BD349" s="255"/>
      <c r="BE349" s="255"/>
      <c r="BF349" s="255"/>
      <c r="BG349" s="255"/>
      <c r="BH349" s="255"/>
      <c r="BI349" s="255"/>
      <c r="BJ349" s="255"/>
      <c r="BK349" s="255"/>
    </row>
    <row r="350" spans="1:63" s="133" customFormat="1" ht="12.75">
      <c r="A350" s="168">
        <v>40360</v>
      </c>
      <c r="B350" s="213" t="str">
        <f>IF(SUM(F350:Z350)&gt;0,Servicio_internaColumna_título_intereses,"")</f>
        <v>Intereses</v>
      </c>
      <c r="C350" s="256">
        <v>0</v>
      </c>
      <c r="D350" s="257">
        <v>0</v>
      </c>
      <c r="E350" s="257">
        <v>0</v>
      </c>
      <c r="F350" s="257">
        <v>0</v>
      </c>
      <c r="G350" s="257">
        <v>0</v>
      </c>
      <c r="H350" s="257">
        <v>0</v>
      </c>
      <c r="I350" s="257">
        <v>0</v>
      </c>
      <c r="J350" s="257">
        <v>0</v>
      </c>
      <c r="K350" s="257">
        <v>0</v>
      </c>
      <c r="L350" s="257">
        <v>3777237.186479474</v>
      </c>
      <c r="M350" s="257">
        <v>10436423.836959481</v>
      </c>
      <c r="N350" s="257">
        <v>9074658.0049890317</v>
      </c>
      <c r="O350" s="257">
        <v>7722573.8731537405</v>
      </c>
      <c r="P350" s="257">
        <v>6103886.8822764056</v>
      </c>
      <c r="Q350" s="257">
        <v>4621113.5098616462</v>
      </c>
      <c r="R350" s="257">
        <v>3547220.6810411024</v>
      </c>
      <c r="S350" s="257">
        <v>3046209.8415367622</v>
      </c>
      <c r="T350" s="257">
        <v>2963217.6156827169</v>
      </c>
      <c r="U350" s="258">
        <v>2555415.4355606982</v>
      </c>
      <c r="V350" s="258">
        <v>2569192.142497519</v>
      </c>
      <c r="W350" s="258">
        <v>1657300.3896424447</v>
      </c>
      <c r="X350" s="258">
        <v>1671916.0980317178</v>
      </c>
      <c r="Y350" s="258">
        <v>1686970.2776726699</v>
      </c>
      <c r="Z350" s="258">
        <v>1170110.1099999994</v>
      </c>
      <c r="AA350" s="258">
        <v>0</v>
      </c>
      <c r="AB350" s="258">
        <v>0</v>
      </c>
      <c r="AC350" s="258">
        <v>0</v>
      </c>
      <c r="AD350" s="259">
        <v>0</v>
      </c>
      <c r="AE350" s="259">
        <v>0</v>
      </c>
      <c r="AF350" s="259">
        <v>0</v>
      </c>
      <c r="AG350" s="259">
        <v>0</v>
      </c>
      <c r="AH350" s="259">
        <v>0</v>
      </c>
      <c r="AI350" s="259">
        <v>0</v>
      </c>
      <c r="AJ350" s="259">
        <v>0</v>
      </c>
      <c r="AK350" s="259">
        <v>0</v>
      </c>
      <c r="AL350" s="259">
        <v>0</v>
      </c>
      <c r="AM350" s="259">
        <v>0</v>
      </c>
      <c r="AN350" s="259">
        <v>0</v>
      </c>
      <c r="AO350" s="259">
        <v>0</v>
      </c>
      <c r="AP350" s="259"/>
      <c r="AQ350" s="259"/>
      <c r="AR350" s="259"/>
      <c r="AS350" s="259"/>
      <c r="AT350" s="259"/>
      <c r="AU350" s="259"/>
      <c r="AV350" s="259"/>
      <c r="AW350" s="259"/>
      <c r="AX350" s="259"/>
      <c r="AY350" s="259"/>
      <c r="AZ350" s="259"/>
      <c r="BA350" s="259"/>
      <c r="BB350" s="259"/>
      <c r="BC350" s="259"/>
      <c r="BD350" s="259"/>
      <c r="BE350" s="259"/>
      <c r="BF350" s="259"/>
      <c r="BG350" s="259"/>
      <c r="BH350" s="259"/>
      <c r="BI350" s="259"/>
      <c r="BJ350" s="259"/>
      <c r="BK350" s="259"/>
    </row>
    <row r="351" spans="1:63" s="133" customFormat="1" ht="12.75">
      <c r="A351" s="169"/>
      <c r="B351" s="307" t="str">
        <f>IF(SUM(F351:Z351)&gt;0,Servicio_internaColumna_título_total,"")</f>
        <v>Total</v>
      </c>
      <c r="C351" s="308">
        <v>0</v>
      </c>
      <c r="D351" s="309">
        <v>0</v>
      </c>
      <c r="E351" s="309">
        <v>0</v>
      </c>
      <c r="F351" s="309">
        <v>0</v>
      </c>
      <c r="G351" s="309">
        <v>0</v>
      </c>
      <c r="H351" s="309">
        <v>0</v>
      </c>
      <c r="I351" s="309">
        <v>0</v>
      </c>
      <c r="J351" s="309">
        <v>0</v>
      </c>
      <c r="K351" s="309">
        <v>0</v>
      </c>
      <c r="L351" s="309">
        <v>15814039.342275234</v>
      </c>
      <c r="M351" s="309">
        <v>26078529.055353474</v>
      </c>
      <c r="N351" s="309">
        <v>23363803.915739141</v>
      </c>
      <c r="O351" s="309">
        <v>29916144.463780366</v>
      </c>
      <c r="P351" s="309">
        <v>20628762.062413171</v>
      </c>
      <c r="Q351" s="309">
        <v>19149891.340150647</v>
      </c>
      <c r="R351" s="309">
        <v>10754250.001704654</v>
      </c>
      <c r="S351" s="309">
        <v>4892854.5741927624</v>
      </c>
      <c r="T351" s="309">
        <v>6707018.715682717</v>
      </c>
      <c r="U351" s="309">
        <v>2555415.4355606982</v>
      </c>
      <c r="V351" s="309">
        <v>10988117.242497519</v>
      </c>
      <c r="W351" s="309">
        <v>1657300.3896424447</v>
      </c>
      <c r="X351" s="309">
        <v>1671916.0980317178</v>
      </c>
      <c r="Y351" s="309">
        <v>9106043.0211961847</v>
      </c>
      <c r="Z351" s="309">
        <v>12871211.209999999</v>
      </c>
      <c r="AA351" s="309">
        <v>0</v>
      </c>
      <c r="AB351" s="309">
        <v>0</v>
      </c>
      <c r="AC351" s="309">
        <v>0</v>
      </c>
      <c r="AD351" s="309">
        <v>0</v>
      </c>
      <c r="AE351" s="309">
        <v>0</v>
      </c>
      <c r="AF351" s="309">
        <v>0</v>
      </c>
      <c r="AG351" s="309">
        <v>0</v>
      </c>
      <c r="AH351" s="309">
        <v>0</v>
      </c>
      <c r="AI351" s="309">
        <v>0</v>
      </c>
      <c r="AJ351" s="309">
        <v>0</v>
      </c>
      <c r="AK351" s="309">
        <v>0</v>
      </c>
      <c r="AL351" s="309">
        <v>0</v>
      </c>
      <c r="AM351" s="309">
        <v>0</v>
      </c>
      <c r="AN351" s="309">
        <v>0</v>
      </c>
      <c r="AO351" s="309">
        <v>0</v>
      </c>
      <c r="AP351" s="309"/>
      <c r="AQ351" s="309"/>
      <c r="AR351" s="309"/>
      <c r="AS351" s="309"/>
      <c r="AT351" s="309"/>
      <c r="AU351" s="309"/>
      <c r="AV351" s="309"/>
      <c r="AW351" s="309"/>
      <c r="AX351" s="309"/>
      <c r="AY351" s="309"/>
      <c r="AZ351" s="309"/>
      <c r="BA351" s="309"/>
      <c r="BB351" s="309"/>
      <c r="BC351" s="309"/>
      <c r="BD351" s="309"/>
      <c r="BE351" s="309"/>
      <c r="BF351" s="309"/>
      <c r="BG351" s="309"/>
      <c r="BH351" s="309"/>
      <c r="BI351" s="309"/>
      <c r="BJ351" s="309"/>
      <c r="BK351" s="309"/>
    </row>
    <row r="352" spans="1:63" s="80" customFormat="1" ht="12.75">
      <c r="A352" s="167"/>
      <c r="B352" s="210" t="str">
        <f>Servicio_internaColumna_título_amortizaciones</f>
        <v>Amortizaciones</v>
      </c>
      <c r="C352" s="254">
        <v>0</v>
      </c>
      <c r="D352" s="255">
        <v>0</v>
      </c>
      <c r="E352" s="255">
        <v>0</v>
      </c>
      <c r="F352" s="255">
        <v>0</v>
      </c>
      <c r="G352" s="255">
        <v>0</v>
      </c>
      <c r="H352" s="255">
        <v>0</v>
      </c>
      <c r="I352" s="255">
        <v>0</v>
      </c>
      <c r="J352" s="255">
        <v>0</v>
      </c>
      <c r="K352" s="255">
        <v>0</v>
      </c>
      <c r="L352" s="255">
        <v>11557826.817980556</v>
      </c>
      <c r="M352" s="255">
        <v>16082073.101196567</v>
      </c>
      <c r="N352" s="255">
        <v>14290029.292561539</v>
      </c>
      <c r="O352" s="255">
        <v>22195778.095352639</v>
      </c>
      <c r="P352" s="255">
        <v>14525114.430685934</v>
      </c>
      <c r="Q352" s="255">
        <v>14531477.441013195</v>
      </c>
      <c r="R352" s="255">
        <v>8604760.982655419</v>
      </c>
      <c r="S352" s="255">
        <v>2152419.5388598</v>
      </c>
      <c r="T352" s="255">
        <v>3743801.1</v>
      </c>
      <c r="U352" s="255">
        <v>0</v>
      </c>
      <c r="V352" s="255">
        <v>8418925.0999999996</v>
      </c>
      <c r="W352" s="255">
        <v>0</v>
      </c>
      <c r="X352" s="255">
        <v>0</v>
      </c>
      <c r="Y352" s="255">
        <v>7684299.1868462637</v>
      </c>
      <c r="Z352" s="255">
        <v>12578142.5</v>
      </c>
      <c r="AA352" s="255">
        <v>0</v>
      </c>
      <c r="AB352" s="255">
        <v>0</v>
      </c>
      <c r="AC352" s="255">
        <v>0</v>
      </c>
      <c r="AD352" s="255">
        <v>0</v>
      </c>
      <c r="AE352" s="255">
        <v>0</v>
      </c>
      <c r="AF352" s="255">
        <v>0</v>
      </c>
      <c r="AG352" s="255">
        <v>0</v>
      </c>
      <c r="AH352" s="255">
        <v>0</v>
      </c>
      <c r="AI352" s="255">
        <v>0</v>
      </c>
      <c r="AJ352" s="255">
        <v>0</v>
      </c>
      <c r="AK352" s="255">
        <v>0</v>
      </c>
      <c r="AL352" s="255"/>
      <c r="AM352" s="255"/>
      <c r="AN352" s="255"/>
      <c r="AO352" s="255"/>
      <c r="AP352" s="255"/>
      <c r="AQ352" s="255"/>
      <c r="AR352" s="255"/>
      <c r="AS352" s="255"/>
      <c r="AT352" s="255"/>
      <c r="AU352" s="255"/>
      <c r="AV352" s="255"/>
      <c r="AW352" s="255"/>
      <c r="AX352" s="255"/>
      <c r="AY352" s="255"/>
      <c r="AZ352" s="255"/>
      <c r="BA352" s="255"/>
      <c r="BB352" s="255"/>
      <c r="BC352" s="255"/>
      <c r="BD352" s="255"/>
      <c r="BE352" s="255"/>
      <c r="BF352" s="255"/>
      <c r="BG352" s="255"/>
      <c r="BH352" s="255"/>
      <c r="BI352" s="255"/>
      <c r="BJ352" s="255"/>
      <c r="BK352" s="255"/>
    </row>
    <row r="353" spans="1:63" s="133" customFormat="1" ht="12.75">
      <c r="A353" s="168">
        <v>40391</v>
      </c>
      <c r="B353" s="213" t="str">
        <f>Servicio_internaColumna_título_intereses</f>
        <v>Intereses</v>
      </c>
      <c r="C353" s="256">
        <v>0</v>
      </c>
      <c r="D353" s="257">
        <v>0</v>
      </c>
      <c r="E353" s="257">
        <v>0</v>
      </c>
      <c r="F353" s="257">
        <v>0</v>
      </c>
      <c r="G353" s="257">
        <v>0</v>
      </c>
      <c r="H353" s="257">
        <v>0</v>
      </c>
      <c r="I353" s="257">
        <v>0</v>
      </c>
      <c r="J353" s="257">
        <v>0</v>
      </c>
      <c r="K353" s="257">
        <v>0</v>
      </c>
      <c r="L353" s="257">
        <v>2988104.4979500128</v>
      </c>
      <c r="M353" s="257">
        <v>10651616.970158301</v>
      </c>
      <c r="N353" s="257">
        <v>9290665.4221551698</v>
      </c>
      <c r="O353" s="257">
        <v>7939387.3825697461</v>
      </c>
      <c r="P353" s="257">
        <v>6321530.6506875614</v>
      </c>
      <c r="Q353" s="257">
        <v>4839613.9554970041</v>
      </c>
      <c r="R353" s="257">
        <v>3766599.0465294416</v>
      </c>
      <c r="S353" s="257">
        <v>3165163.0733468612</v>
      </c>
      <c r="T353" s="257">
        <v>3066710.2883941471</v>
      </c>
      <c r="U353" s="258">
        <v>2659381.7642534706</v>
      </c>
      <c r="V353" s="258">
        <v>2673646.3368510753</v>
      </c>
      <c r="W353" s="258">
        <v>1762257.0856266071</v>
      </c>
      <c r="X353" s="258">
        <v>1777390.3706954054</v>
      </c>
      <c r="Y353" s="258">
        <v>1792977.654316267</v>
      </c>
      <c r="Z353" s="258">
        <v>1257814.25</v>
      </c>
      <c r="AA353" s="258">
        <v>0</v>
      </c>
      <c r="AB353" s="258">
        <v>0</v>
      </c>
      <c r="AC353" s="258">
        <v>0</v>
      </c>
      <c r="AD353" s="259">
        <v>0</v>
      </c>
      <c r="AE353" s="259">
        <v>0</v>
      </c>
      <c r="AF353" s="259">
        <v>0</v>
      </c>
      <c r="AG353" s="259">
        <v>0</v>
      </c>
      <c r="AH353" s="259">
        <v>0</v>
      </c>
      <c r="AI353" s="259">
        <v>0</v>
      </c>
      <c r="AJ353" s="259">
        <v>0</v>
      </c>
      <c r="AK353" s="259">
        <v>0</v>
      </c>
      <c r="AL353" s="259"/>
      <c r="AM353" s="259"/>
      <c r="AN353" s="259"/>
      <c r="AO353" s="259"/>
      <c r="AP353" s="259"/>
      <c r="AQ353" s="259"/>
      <c r="AR353" s="259"/>
      <c r="AS353" s="259"/>
      <c r="AT353" s="259"/>
      <c r="AU353" s="259"/>
      <c r="AV353" s="259"/>
      <c r="AW353" s="259"/>
      <c r="AX353" s="259"/>
      <c r="AY353" s="259"/>
      <c r="AZ353" s="259"/>
      <c r="BA353" s="259"/>
      <c r="BB353" s="259"/>
      <c r="BC353" s="259"/>
      <c r="BD353" s="259"/>
      <c r="BE353" s="259"/>
      <c r="BF353" s="259"/>
      <c r="BG353" s="259"/>
      <c r="BH353" s="259"/>
      <c r="BI353" s="259"/>
      <c r="BJ353" s="259"/>
      <c r="BK353" s="259"/>
    </row>
    <row r="354" spans="1:63" s="133" customFormat="1" ht="12.75">
      <c r="A354" s="169"/>
      <c r="B354" s="307" t="str">
        <f>Servicio_internaColumna_título_total</f>
        <v>Total</v>
      </c>
      <c r="C354" s="308">
        <v>0</v>
      </c>
      <c r="D354" s="309">
        <v>0</v>
      </c>
      <c r="E354" s="309">
        <v>0</v>
      </c>
      <c r="F354" s="309">
        <v>0</v>
      </c>
      <c r="G354" s="309">
        <v>0</v>
      </c>
      <c r="H354" s="309">
        <v>0</v>
      </c>
      <c r="I354" s="309">
        <v>0</v>
      </c>
      <c r="J354" s="309">
        <v>0</v>
      </c>
      <c r="K354" s="309">
        <v>0</v>
      </c>
      <c r="L354" s="309">
        <v>14545931.315930568</v>
      </c>
      <c r="M354" s="309">
        <v>26733690.071354866</v>
      </c>
      <c r="N354" s="309">
        <v>23580694.71471671</v>
      </c>
      <c r="O354" s="309">
        <v>30135165.477922384</v>
      </c>
      <c r="P354" s="309">
        <v>20846645.081373494</v>
      </c>
      <c r="Q354" s="309">
        <v>19371091.396510199</v>
      </c>
      <c r="R354" s="309">
        <v>12371360.029184861</v>
      </c>
      <c r="S354" s="309">
        <v>5317582.6122066611</v>
      </c>
      <c r="T354" s="309">
        <v>6810511.3883941472</v>
      </c>
      <c r="U354" s="309">
        <v>2659381.7642534706</v>
      </c>
      <c r="V354" s="309">
        <v>11092571.436851075</v>
      </c>
      <c r="W354" s="309">
        <v>1762257.0856266071</v>
      </c>
      <c r="X354" s="309">
        <v>1777390.3706954054</v>
      </c>
      <c r="Y354" s="309">
        <v>9477276.8411625307</v>
      </c>
      <c r="Z354" s="309">
        <v>13835956.75</v>
      </c>
      <c r="AA354" s="309">
        <v>0</v>
      </c>
      <c r="AB354" s="309">
        <v>0</v>
      </c>
      <c r="AC354" s="309">
        <v>0</v>
      </c>
      <c r="AD354" s="309">
        <v>0</v>
      </c>
      <c r="AE354" s="309">
        <v>0</v>
      </c>
      <c r="AF354" s="309">
        <v>0</v>
      </c>
      <c r="AG354" s="309">
        <v>0</v>
      </c>
      <c r="AH354" s="309">
        <v>0</v>
      </c>
      <c r="AI354" s="309">
        <v>0</v>
      </c>
      <c r="AJ354" s="309">
        <v>0</v>
      </c>
      <c r="AK354" s="309">
        <v>0</v>
      </c>
      <c r="AL354" s="309"/>
      <c r="AM354" s="309"/>
      <c r="AN354" s="309"/>
      <c r="AO354" s="309"/>
      <c r="AP354" s="309"/>
      <c r="AQ354" s="309"/>
      <c r="AR354" s="309"/>
      <c r="AS354" s="309"/>
      <c r="AT354" s="309"/>
      <c r="AU354" s="309"/>
      <c r="AV354" s="309"/>
      <c r="AW354" s="309"/>
      <c r="AX354" s="309"/>
      <c r="AY354" s="309"/>
      <c r="AZ354" s="309"/>
      <c r="BA354" s="309"/>
      <c r="BB354" s="309"/>
      <c r="BC354" s="309"/>
      <c r="BD354" s="309"/>
      <c r="BE354" s="309"/>
      <c r="BF354" s="309"/>
      <c r="BG354" s="309"/>
      <c r="BH354" s="309"/>
      <c r="BI354" s="309"/>
      <c r="BJ354" s="309"/>
      <c r="BK354" s="309"/>
    </row>
    <row r="355" spans="1:63" s="80" customFormat="1" ht="12.75">
      <c r="A355" s="167"/>
      <c r="B355" s="210" t="str">
        <f>Servicio_internaColumna_título_amortizaciones</f>
        <v>Amortizaciones</v>
      </c>
      <c r="C355" s="254">
        <v>0</v>
      </c>
      <c r="D355" s="255">
        <v>0</v>
      </c>
      <c r="E355" s="255">
        <v>0</v>
      </c>
      <c r="F355" s="255">
        <v>0</v>
      </c>
      <c r="G355" s="255">
        <v>0</v>
      </c>
      <c r="H355" s="255">
        <v>0</v>
      </c>
      <c r="I355" s="255">
        <v>0</v>
      </c>
      <c r="J355" s="255">
        <v>0</v>
      </c>
      <c r="K355" s="255">
        <v>0</v>
      </c>
      <c r="L355" s="255">
        <v>6777123.3921277095</v>
      </c>
      <c r="M355" s="255">
        <v>16932641.428643141</v>
      </c>
      <c r="N355" s="255">
        <v>14291005.17880594</v>
      </c>
      <c r="O355" s="255">
        <v>22216332.235011313</v>
      </c>
      <c r="P355" s="255">
        <v>14525376.411963606</v>
      </c>
      <c r="Q355" s="255">
        <v>14534433.536492182</v>
      </c>
      <c r="R355" s="255">
        <v>9341979.0302471593</v>
      </c>
      <c r="S355" s="255">
        <v>2395630.3017740999</v>
      </c>
      <c r="T355" s="255">
        <v>3743801.1</v>
      </c>
      <c r="U355" s="255">
        <v>0</v>
      </c>
      <c r="V355" s="255">
        <v>8418925.0999999996</v>
      </c>
      <c r="W355" s="255">
        <v>0</v>
      </c>
      <c r="X355" s="255">
        <v>0</v>
      </c>
      <c r="Y355" s="255">
        <v>7862546.1255734805</v>
      </c>
      <c r="Z355" s="255">
        <v>13240643.300000001</v>
      </c>
      <c r="AA355" s="255">
        <v>0</v>
      </c>
      <c r="AB355" s="255">
        <v>0</v>
      </c>
      <c r="AC355" s="255">
        <v>0</v>
      </c>
      <c r="AD355" s="255">
        <v>0</v>
      </c>
      <c r="AE355" s="255">
        <v>0</v>
      </c>
      <c r="AF355" s="255">
        <v>0</v>
      </c>
      <c r="AG355" s="255">
        <v>0</v>
      </c>
      <c r="AH355" s="255">
        <v>0</v>
      </c>
      <c r="AI355" s="255">
        <v>0</v>
      </c>
      <c r="AJ355" s="255">
        <v>0</v>
      </c>
      <c r="AK355" s="255">
        <v>0</v>
      </c>
      <c r="AL355" s="255"/>
      <c r="AM355" s="255"/>
      <c r="AN355" s="255"/>
      <c r="AO355" s="255"/>
      <c r="AP355" s="255"/>
      <c r="AQ355" s="255"/>
      <c r="AR355" s="255"/>
      <c r="AS355" s="255"/>
      <c r="AT355" s="255"/>
      <c r="AU355" s="255"/>
      <c r="AV355" s="255"/>
      <c r="AW355" s="255"/>
      <c r="AX355" s="255"/>
      <c r="AY355" s="255"/>
      <c r="AZ355" s="255"/>
      <c r="BA355" s="255"/>
      <c r="BB355" s="255"/>
      <c r="BC355" s="255"/>
      <c r="BD355" s="255"/>
      <c r="BE355" s="255"/>
      <c r="BF355" s="255"/>
      <c r="BG355" s="255"/>
      <c r="BH355" s="255"/>
      <c r="BI355" s="255"/>
      <c r="BJ355" s="255"/>
      <c r="BK355" s="255"/>
    </row>
    <row r="356" spans="1:63" s="133" customFormat="1" ht="12.75">
      <c r="A356" s="168">
        <v>40422</v>
      </c>
      <c r="B356" s="213" t="str">
        <f>Servicio_internaColumna_título_intereses</f>
        <v>Intereses</v>
      </c>
      <c r="C356" s="256">
        <v>0</v>
      </c>
      <c r="D356" s="257">
        <v>0</v>
      </c>
      <c r="E356" s="257">
        <v>0</v>
      </c>
      <c r="F356" s="257">
        <v>0</v>
      </c>
      <c r="G356" s="257">
        <v>0</v>
      </c>
      <c r="H356" s="257">
        <v>0</v>
      </c>
      <c r="I356" s="257">
        <v>0</v>
      </c>
      <c r="J356" s="257">
        <v>0</v>
      </c>
      <c r="K356" s="257">
        <v>0</v>
      </c>
      <c r="L356" s="257">
        <v>1897385.1099006259</v>
      </c>
      <c r="M356" s="257">
        <v>10779815.997911818</v>
      </c>
      <c r="N356" s="257">
        <v>9431097.4270108081</v>
      </c>
      <c r="O356" s="257">
        <v>8080444.7967106281</v>
      </c>
      <c r="P356" s="257">
        <v>6462162.388082915</v>
      </c>
      <c r="Q356" s="257">
        <v>4980875.2578348462</v>
      </c>
      <c r="R356" s="257">
        <v>3908513.2584460019</v>
      </c>
      <c r="S356" s="257">
        <v>3254299.2930063079</v>
      </c>
      <c r="T356" s="257">
        <v>3143500.4236063673</v>
      </c>
      <c r="U356" s="258">
        <v>2736488.1011220585</v>
      </c>
      <c r="V356" s="258">
        <v>2751078.3614257202</v>
      </c>
      <c r="W356" s="258">
        <v>1840024.5685384918</v>
      </c>
      <c r="X356" s="258">
        <v>1855503.3756946467</v>
      </c>
      <c r="Y356" s="258">
        <v>1871446.5470654871</v>
      </c>
      <c r="Z356" s="258">
        <v>1324064.33</v>
      </c>
      <c r="AA356" s="258">
        <v>0</v>
      </c>
      <c r="AB356" s="258">
        <v>0</v>
      </c>
      <c r="AC356" s="258">
        <v>0</v>
      </c>
      <c r="AD356" s="259">
        <v>0</v>
      </c>
      <c r="AE356" s="259">
        <v>0</v>
      </c>
      <c r="AF356" s="259">
        <v>0</v>
      </c>
      <c r="AG356" s="259">
        <v>0</v>
      </c>
      <c r="AH356" s="259">
        <v>0</v>
      </c>
      <c r="AI356" s="259">
        <v>0</v>
      </c>
      <c r="AJ356" s="259">
        <v>0</v>
      </c>
      <c r="AK356" s="259">
        <v>0</v>
      </c>
      <c r="AL356" s="259"/>
      <c r="AM356" s="259"/>
      <c r="AN356" s="259"/>
      <c r="AO356" s="259"/>
      <c r="AP356" s="259"/>
      <c r="AQ356" s="259"/>
      <c r="AR356" s="259"/>
      <c r="AS356" s="259"/>
      <c r="AT356" s="259"/>
      <c r="AU356" s="259"/>
      <c r="AV356" s="259"/>
      <c r="AW356" s="259"/>
      <c r="AX356" s="259"/>
      <c r="AY356" s="259"/>
      <c r="AZ356" s="259"/>
      <c r="BA356" s="259"/>
      <c r="BB356" s="259"/>
      <c r="BC356" s="259"/>
      <c r="BD356" s="259"/>
      <c r="BE356" s="259"/>
      <c r="BF356" s="259"/>
      <c r="BG356" s="259"/>
      <c r="BH356" s="259"/>
      <c r="BI356" s="259"/>
      <c r="BJ356" s="259"/>
      <c r="BK356" s="259"/>
    </row>
    <row r="357" spans="1:63" s="133" customFormat="1" ht="12.75">
      <c r="A357" s="169"/>
      <c r="B357" s="307" t="str">
        <f>Servicio_internaColumna_título_total</f>
        <v>Total</v>
      </c>
      <c r="C357" s="308">
        <v>0</v>
      </c>
      <c r="D357" s="309">
        <v>0</v>
      </c>
      <c r="E357" s="309">
        <v>0</v>
      </c>
      <c r="F357" s="309">
        <v>0</v>
      </c>
      <c r="G357" s="309">
        <v>0</v>
      </c>
      <c r="H357" s="309">
        <v>0</v>
      </c>
      <c r="I357" s="309">
        <v>0</v>
      </c>
      <c r="J357" s="309">
        <v>0</v>
      </c>
      <c r="K357" s="309">
        <v>0</v>
      </c>
      <c r="L357" s="309">
        <f>+L355+L356</f>
        <v>8674508.5020283349</v>
      </c>
      <c r="M357" s="309">
        <f t="shared" ref="M357:AN357" si="0">+M355+M356</f>
        <v>27712457.426554959</v>
      </c>
      <c r="N357" s="309">
        <f t="shared" si="0"/>
        <v>23722102.605816748</v>
      </c>
      <c r="O357" s="309">
        <f t="shared" si="0"/>
        <v>30296777.031721942</v>
      </c>
      <c r="P357" s="309">
        <f t="shared" si="0"/>
        <v>20987538.800046522</v>
      </c>
      <c r="Q357" s="309">
        <f t="shared" si="0"/>
        <v>19515308.794327028</v>
      </c>
      <c r="R357" s="309">
        <f t="shared" si="0"/>
        <v>13250492.288693162</v>
      </c>
      <c r="S357" s="309">
        <f t="shared" si="0"/>
        <v>5649929.5947804078</v>
      </c>
      <c r="T357" s="309">
        <f t="shared" si="0"/>
        <v>6887301.5236063674</v>
      </c>
      <c r="U357" s="309">
        <f t="shared" si="0"/>
        <v>2736488.1011220585</v>
      </c>
      <c r="V357" s="309">
        <f t="shared" si="0"/>
        <v>11170003.46142572</v>
      </c>
      <c r="W357" s="309">
        <f t="shared" si="0"/>
        <v>1840024.5685384918</v>
      </c>
      <c r="X357" s="309">
        <f t="shared" si="0"/>
        <v>1855503.3756946467</v>
      </c>
      <c r="Y357" s="309">
        <f t="shared" si="0"/>
        <v>9733992.6726389676</v>
      </c>
      <c r="Z357" s="309">
        <f t="shared" si="0"/>
        <v>14564707.630000001</v>
      </c>
      <c r="AA357" s="309">
        <f t="shared" si="0"/>
        <v>0</v>
      </c>
      <c r="AB357" s="309">
        <f t="shared" si="0"/>
        <v>0</v>
      </c>
      <c r="AC357" s="309">
        <f t="shared" si="0"/>
        <v>0</v>
      </c>
      <c r="AD357" s="309">
        <f t="shared" si="0"/>
        <v>0</v>
      </c>
      <c r="AE357" s="309">
        <f t="shared" si="0"/>
        <v>0</v>
      </c>
      <c r="AF357" s="309">
        <f t="shared" si="0"/>
        <v>0</v>
      </c>
      <c r="AG357" s="309">
        <f t="shared" si="0"/>
        <v>0</v>
      </c>
      <c r="AH357" s="309">
        <f t="shared" si="0"/>
        <v>0</v>
      </c>
      <c r="AI357" s="309">
        <f t="shared" si="0"/>
        <v>0</v>
      </c>
      <c r="AJ357" s="309">
        <f t="shared" si="0"/>
        <v>0</v>
      </c>
      <c r="AK357" s="309">
        <f t="shared" si="0"/>
        <v>0</v>
      </c>
      <c r="AL357" s="309">
        <f t="shared" si="0"/>
        <v>0</v>
      </c>
      <c r="AM357" s="309">
        <f t="shared" si="0"/>
        <v>0</v>
      </c>
      <c r="AN357" s="309">
        <f t="shared" si="0"/>
        <v>0</v>
      </c>
      <c r="AO357" s="309">
        <f>+AO355+AO356</f>
        <v>0</v>
      </c>
      <c r="AP357" s="309"/>
      <c r="AQ357" s="309"/>
      <c r="AR357" s="309"/>
      <c r="AS357" s="309"/>
      <c r="AT357" s="309"/>
      <c r="AU357" s="309"/>
      <c r="AV357" s="309"/>
      <c r="AW357" s="309"/>
      <c r="AX357" s="309"/>
      <c r="AY357" s="309"/>
      <c r="AZ357" s="309"/>
      <c r="BA357" s="309"/>
      <c r="BB357" s="309"/>
      <c r="BC357" s="309"/>
      <c r="BD357" s="309"/>
      <c r="BE357" s="309"/>
      <c r="BF357" s="309"/>
      <c r="BG357" s="309"/>
      <c r="BH357" s="309"/>
      <c r="BI357" s="309"/>
      <c r="BJ357" s="309"/>
      <c r="BK357" s="309"/>
    </row>
    <row r="358" spans="1:63" s="80" customFormat="1" ht="12.75">
      <c r="A358" s="167"/>
      <c r="B358" s="210" t="str">
        <f>Servicio_internaColumna_título_amortizaciones</f>
        <v>Amortizaciones</v>
      </c>
      <c r="C358" s="254">
        <v>0</v>
      </c>
      <c r="D358" s="255">
        <v>0</v>
      </c>
      <c r="E358" s="255">
        <v>0</v>
      </c>
      <c r="F358" s="255">
        <v>0</v>
      </c>
      <c r="G358" s="255">
        <v>0</v>
      </c>
      <c r="H358" s="255">
        <v>0</v>
      </c>
      <c r="I358" s="255">
        <v>0</v>
      </c>
      <c r="J358" s="255">
        <v>0</v>
      </c>
      <c r="K358" s="255">
        <v>0</v>
      </c>
      <c r="L358" s="255">
        <v>5952212.8814725997</v>
      </c>
      <c r="M358" s="255">
        <v>17861023.360263031</v>
      </c>
      <c r="N358" s="255">
        <v>14490177.414275208</v>
      </c>
      <c r="O358" s="255">
        <v>22671950.066635143</v>
      </c>
      <c r="P358" s="255">
        <v>14612167.788724035</v>
      </c>
      <c r="Q358" s="255">
        <v>14536544.338317594</v>
      </c>
      <c r="R358" s="255">
        <v>10105115.973986873</v>
      </c>
      <c r="S358" s="255">
        <v>2535642.5664959997</v>
      </c>
      <c r="T358" s="255">
        <v>3743801.1</v>
      </c>
      <c r="U358" s="255">
        <v>0</v>
      </c>
      <c r="V358" s="255">
        <v>8418925.0999999996</v>
      </c>
      <c r="W358" s="255">
        <v>0</v>
      </c>
      <c r="X358" s="255">
        <v>0</v>
      </c>
      <c r="Y358" s="255">
        <v>7996649.7617585277</v>
      </c>
      <c r="Z358" s="255">
        <v>13516364.800000001</v>
      </c>
      <c r="AA358" s="255">
        <v>0</v>
      </c>
      <c r="AB358" s="255">
        <v>0</v>
      </c>
      <c r="AC358" s="255">
        <v>0</v>
      </c>
      <c r="AD358" s="255">
        <v>0</v>
      </c>
      <c r="AE358" s="255">
        <v>0</v>
      </c>
      <c r="AF358" s="255">
        <v>0</v>
      </c>
      <c r="AG358" s="255">
        <v>0</v>
      </c>
      <c r="AH358" s="255">
        <v>0</v>
      </c>
      <c r="AI358" s="255">
        <v>0</v>
      </c>
      <c r="AJ358" s="255">
        <v>0</v>
      </c>
      <c r="AK358" s="255">
        <v>0</v>
      </c>
      <c r="AL358" s="255"/>
      <c r="AM358" s="255"/>
      <c r="AN358" s="255"/>
      <c r="AO358" s="255"/>
      <c r="AP358" s="255"/>
      <c r="AQ358" s="255"/>
      <c r="AR358" s="255"/>
      <c r="AS358" s="255"/>
      <c r="AT358" s="255"/>
      <c r="AU358" s="255"/>
      <c r="AV358" s="255"/>
      <c r="AW358" s="255"/>
      <c r="AX358" s="255"/>
      <c r="AY358" s="255"/>
      <c r="AZ358" s="255"/>
      <c r="BA358" s="255"/>
      <c r="BB358" s="255"/>
      <c r="BC358" s="255"/>
      <c r="BD358" s="255"/>
      <c r="BE358" s="255"/>
      <c r="BF358" s="255"/>
      <c r="BG358" s="255"/>
      <c r="BH358" s="255"/>
      <c r="BI358" s="255"/>
      <c r="BJ358" s="255"/>
      <c r="BK358" s="255"/>
    </row>
    <row r="359" spans="1:63" s="133" customFormat="1" ht="12.75">
      <c r="A359" s="168">
        <v>40452</v>
      </c>
      <c r="B359" s="213" t="str">
        <f>Servicio_internaColumna_título_intereses</f>
        <v>Intereses</v>
      </c>
      <c r="C359" s="256">
        <v>0</v>
      </c>
      <c r="D359" s="257">
        <v>0</v>
      </c>
      <c r="E359" s="257">
        <v>0</v>
      </c>
      <c r="F359" s="257">
        <v>0</v>
      </c>
      <c r="G359" s="257">
        <v>0</v>
      </c>
      <c r="H359" s="257">
        <v>0</v>
      </c>
      <c r="I359" s="257">
        <v>0</v>
      </c>
      <c r="J359" s="257">
        <v>0</v>
      </c>
      <c r="K359" s="257">
        <v>0</v>
      </c>
      <c r="L359" s="257">
        <v>990256.75358314463</v>
      </c>
      <c r="M359" s="257">
        <v>10930460.987492949</v>
      </c>
      <c r="N359" s="257">
        <v>9582160.1015242822</v>
      </c>
      <c r="O359" s="257">
        <v>8213408.5520845335</v>
      </c>
      <c r="P359" s="257">
        <v>6568117.5369435698</v>
      </c>
      <c r="Q359" s="257">
        <v>5078142.7004822697</v>
      </c>
      <c r="R359" s="257">
        <v>4006197.5565887927</v>
      </c>
      <c r="S359" s="257">
        <v>3297085.5799149717</v>
      </c>
      <c r="T359" s="257">
        <v>3179209.2700630347</v>
      </c>
      <c r="U359" s="258">
        <v>2772441.0484724259</v>
      </c>
      <c r="V359" s="258">
        <v>2787282.7326965984</v>
      </c>
      <c r="W359" s="258">
        <v>1876487.9064474963</v>
      </c>
      <c r="X359" s="258">
        <v>1892233.4492409211</v>
      </c>
      <c r="Y359" s="258">
        <v>1908451.3583181491</v>
      </c>
      <c r="Z359" s="258">
        <v>1351636.48</v>
      </c>
      <c r="AA359" s="258">
        <v>0</v>
      </c>
      <c r="AB359" s="258">
        <v>0</v>
      </c>
      <c r="AC359" s="258">
        <v>0</v>
      </c>
      <c r="AD359" s="259">
        <v>0</v>
      </c>
      <c r="AE359" s="259">
        <v>0</v>
      </c>
      <c r="AF359" s="259">
        <v>0</v>
      </c>
      <c r="AG359" s="259">
        <v>0</v>
      </c>
      <c r="AH359" s="259">
        <v>0</v>
      </c>
      <c r="AI359" s="259">
        <v>0</v>
      </c>
      <c r="AJ359" s="259">
        <v>0</v>
      </c>
      <c r="AK359" s="259">
        <v>0</v>
      </c>
      <c r="AL359" s="259"/>
      <c r="AM359" s="259"/>
      <c r="AN359" s="259"/>
      <c r="AO359" s="259"/>
      <c r="AP359" s="259"/>
      <c r="AQ359" s="259"/>
      <c r="AR359" s="259"/>
      <c r="AS359" s="259"/>
      <c r="AT359" s="259"/>
      <c r="AU359" s="259"/>
      <c r="AV359" s="259"/>
      <c r="AW359" s="259"/>
      <c r="AX359" s="259"/>
      <c r="AY359" s="259"/>
      <c r="AZ359" s="259"/>
      <c r="BA359" s="259"/>
      <c r="BB359" s="259"/>
      <c r="BC359" s="259"/>
      <c r="BD359" s="259"/>
      <c r="BE359" s="259"/>
      <c r="BF359" s="259"/>
      <c r="BG359" s="259"/>
      <c r="BH359" s="259"/>
      <c r="BI359" s="259"/>
      <c r="BJ359" s="259"/>
      <c r="BK359" s="259"/>
    </row>
    <row r="360" spans="1:63" s="133" customFormat="1" ht="12.75">
      <c r="A360" s="169"/>
      <c r="B360" s="307" t="str">
        <f>Servicio_internaColumna_título_total</f>
        <v>Total</v>
      </c>
      <c r="C360" s="308">
        <v>0</v>
      </c>
      <c r="D360" s="309">
        <v>0</v>
      </c>
      <c r="E360" s="309">
        <v>0</v>
      </c>
      <c r="F360" s="309">
        <v>0</v>
      </c>
      <c r="G360" s="309">
        <v>0</v>
      </c>
      <c r="H360" s="309">
        <v>0</v>
      </c>
      <c r="I360" s="309">
        <v>0</v>
      </c>
      <c r="J360" s="309">
        <v>0</v>
      </c>
      <c r="K360" s="309">
        <v>0</v>
      </c>
      <c r="L360" s="309">
        <f>+L358+L359</f>
        <v>6942469.6350557441</v>
      </c>
      <c r="M360" s="309">
        <f t="shared" ref="M360:Z360" si="1">+M358+M359</f>
        <v>28791484.34775598</v>
      </c>
      <c r="N360" s="309">
        <f t="shared" si="1"/>
        <v>24072337.515799493</v>
      </c>
      <c r="O360" s="309">
        <f t="shared" si="1"/>
        <v>30885358.618719675</v>
      </c>
      <c r="P360" s="309">
        <f t="shared" si="1"/>
        <v>21180285.325667605</v>
      </c>
      <c r="Q360" s="309">
        <f t="shared" si="1"/>
        <v>19614687.038799863</v>
      </c>
      <c r="R360" s="309">
        <f t="shared" si="1"/>
        <v>14111313.530575667</v>
      </c>
      <c r="S360" s="309">
        <f t="shared" si="1"/>
        <v>5832728.1464109719</v>
      </c>
      <c r="T360" s="309">
        <f t="shared" si="1"/>
        <v>6923010.3700630348</v>
      </c>
      <c r="U360" s="309">
        <f t="shared" si="1"/>
        <v>2772441.0484724259</v>
      </c>
      <c r="V360" s="309">
        <f t="shared" si="1"/>
        <v>11206207.832696598</v>
      </c>
      <c r="W360" s="309">
        <f t="shared" si="1"/>
        <v>1876487.9064474963</v>
      </c>
      <c r="X360" s="309">
        <f t="shared" si="1"/>
        <v>1892233.4492409211</v>
      </c>
      <c r="Y360" s="309">
        <f t="shared" si="1"/>
        <v>9905101.1200766768</v>
      </c>
      <c r="Z360" s="309">
        <f t="shared" si="1"/>
        <v>14868001.280000001</v>
      </c>
      <c r="AA360" s="309"/>
      <c r="AB360" s="309"/>
      <c r="AC360" s="309"/>
      <c r="AD360" s="309"/>
      <c r="AE360" s="309"/>
      <c r="AF360" s="309"/>
      <c r="AG360" s="309"/>
      <c r="AH360" s="309"/>
      <c r="AI360" s="309"/>
      <c r="AJ360" s="309"/>
      <c r="AK360" s="309"/>
      <c r="AL360" s="309">
        <f>+AL358+AL359</f>
        <v>0</v>
      </c>
      <c r="AM360" s="309">
        <f>+AM358+AM359</f>
        <v>0</v>
      </c>
      <c r="AN360" s="309">
        <f>+AN358+AN359</f>
        <v>0</v>
      </c>
      <c r="AO360" s="309">
        <f>+AO358+AO359</f>
        <v>0</v>
      </c>
      <c r="AP360" s="309"/>
      <c r="AQ360" s="309"/>
      <c r="AR360" s="309"/>
      <c r="AS360" s="309"/>
      <c r="AT360" s="309"/>
      <c r="AU360" s="309"/>
      <c r="AV360" s="309"/>
      <c r="AW360" s="309"/>
      <c r="AX360" s="309"/>
      <c r="AY360" s="309"/>
      <c r="AZ360" s="309"/>
      <c r="BA360" s="309"/>
      <c r="BB360" s="309"/>
      <c r="BC360" s="309"/>
      <c r="BD360" s="309"/>
      <c r="BE360" s="309"/>
      <c r="BF360" s="309"/>
      <c r="BG360" s="309"/>
      <c r="BH360" s="309"/>
      <c r="BI360" s="309"/>
      <c r="BJ360" s="309"/>
      <c r="BK360" s="309"/>
    </row>
    <row r="361" spans="1:63" s="80" customFormat="1" ht="12.75">
      <c r="A361" s="167"/>
      <c r="B361" s="210" t="str">
        <f>IF(SUM(F361:Z361)&gt;0,Servicio_internaColumna_título_amortizaciones,"")</f>
        <v>Amortizaciones</v>
      </c>
      <c r="C361" s="254">
        <v>0</v>
      </c>
      <c r="D361" s="255">
        <v>0</v>
      </c>
      <c r="E361" s="255">
        <v>0</v>
      </c>
      <c r="F361" s="255">
        <v>0</v>
      </c>
      <c r="G361" s="255">
        <v>0</v>
      </c>
      <c r="H361" s="255">
        <v>0</v>
      </c>
      <c r="I361" s="255">
        <v>0</v>
      </c>
      <c r="J361" s="255">
        <v>0</v>
      </c>
      <c r="K361" s="255">
        <v>0</v>
      </c>
      <c r="L361" s="255">
        <v>3748308.0765898405</v>
      </c>
      <c r="M361" s="255">
        <v>18819592.920684148</v>
      </c>
      <c r="N361" s="255">
        <v>14789687.506560218</v>
      </c>
      <c r="O361" s="255">
        <v>23003632.425807666</v>
      </c>
      <c r="P361" s="255">
        <v>14687575.409766929</v>
      </c>
      <c r="Q361" s="255">
        <v>14729184.118367212</v>
      </c>
      <c r="R361" s="255">
        <v>10813542.170655968</v>
      </c>
      <c r="S361" s="255">
        <v>2662410.9140623999</v>
      </c>
      <c r="T361" s="255">
        <v>3743801.1</v>
      </c>
      <c r="U361" s="255">
        <v>0</v>
      </c>
      <c r="V361" s="255">
        <v>8418925.0999999996</v>
      </c>
      <c r="W361" s="255">
        <v>0</v>
      </c>
      <c r="X361" s="255">
        <v>0</v>
      </c>
      <c r="Y361" s="255">
        <v>8150808.7440942796</v>
      </c>
      <c r="Z361" s="255">
        <v>13840963.5</v>
      </c>
      <c r="AA361" s="255">
        <v>0</v>
      </c>
      <c r="AB361" s="255">
        <v>0</v>
      </c>
      <c r="AC361" s="255">
        <v>0</v>
      </c>
      <c r="AD361" s="255">
        <v>0</v>
      </c>
      <c r="AE361" s="255">
        <v>0</v>
      </c>
      <c r="AF361" s="255">
        <v>0</v>
      </c>
      <c r="AG361" s="255">
        <v>0</v>
      </c>
      <c r="AH361" s="255">
        <v>0</v>
      </c>
      <c r="AI361" s="255">
        <v>0</v>
      </c>
      <c r="AJ361" s="255">
        <v>0</v>
      </c>
      <c r="AK361" s="255">
        <v>0</v>
      </c>
      <c r="AL361" s="255">
        <v>0</v>
      </c>
      <c r="AM361" s="255">
        <v>0</v>
      </c>
      <c r="AN361" s="255">
        <v>0</v>
      </c>
      <c r="AO361" s="255">
        <v>0</v>
      </c>
      <c r="AP361" s="255"/>
      <c r="AQ361" s="255"/>
      <c r="AR361" s="255"/>
      <c r="AS361" s="255"/>
      <c r="AT361" s="255"/>
      <c r="AU361" s="255"/>
      <c r="AV361" s="255"/>
      <c r="AW361" s="255"/>
      <c r="AX361" s="255"/>
      <c r="AY361" s="255"/>
      <c r="AZ361" s="255"/>
      <c r="BA361" s="255"/>
      <c r="BB361" s="255"/>
      <c r="BC361" s="255"/>
      <c r="BD361" s="255"/>
      <c r="BE361" s="255"/>
      <c r="BF361" s="255"/>
      <c r="BG361" s="255"/>
      <c r="BH361" s="255"/>
      <c r="BI361" s="255"/>
      <c r="BJ361" s="255"/>
      <c r="BK361" s="255"/>
    </row>
    <row r="362" spans="1:63" s="133" customFormat="1" ht="12.75">
      <c r="A362" s="168">
        <v>40483</v>
      </c>
      <c r="B362" s="213" t="str">
        <f>IF(SUM(F362:Z362)&gt;0,Servicio_internaColumna_título_intereses,"")</f>
        <v>Intereses</v>
      </c>
      <c r="C362" s="256">
        <v>0</v>
      </c>
      <c r="D362" s="257">
        <v>0</v>
      </c>
      <c r="E362" s="257">
        <v>0</v>
      </c>
      <c r="F362" s="257">
        <v>0</v>
      </c>
      <c r="G362" s="257">
        <v>0</v>
      </c>
      <c r="H362" s="257">
        <v>0</v>
      </c>
      <c r="I362" s="257">
        <v>0</v>
      </c>
      <c r="J362" s="257">
        <v>0</v>
      </c>
      <c r="K362" s="257">
        <v>0</v>
      </c>
      <c r="L362" s="257">
        <v>2131.0620374711575</v>
      </c>
      <c r="M362" s="257">
        <v>11099569.550494427</v>
      </c>
      <c r="N362" s="257">
        <v>9751716.6498511843</v>
      </c>
      <c r="O362" s="257">
        <v>8355341.7762553301</v>
      </c>
      <c r="P362" s="257">
        <v>6690100.7627144968</v>
      </c>
      <c r="Q362" s="257">
        <v>5193510.2994781453</v>
      </c>
      <c r="R362" s="257">
        <v>4105819.0161002842</v>
      </c>
      <c r="S362" s="257">
        <v>3345799.7697611866</v>
      </c>
      <c r="T362" s="257">
        <v>3221481.2397748469</v>
      </c>
      <c r="U362" s="258">
        <v>2815007.3811755925</v>
      </c>
      <c r="V362" s="258">
        <v>2830152.2592808604</v>
      </c>
      <c r="W362" s="258">
        <v>1919669.7227292864</v>
      </c>
      <c r="X362" s="258">
        <v>1935736.923911165</v>
      </c>
      <c r="Y362" s="258">
        <v>1952286.1411285</v>
      </c>
      <c r="Z362" s="258">
        <v>1384096.3499999996</v>
      </c>
      <c r="AA362" s="258">
        <v>0</v>
      </c>
      <c r="AB362" s="258">
        <v>0</v>
      </c>
      <c r="AC362" s="258">
        <v>0</v>
      </c>
      <c r="AD362" s="259">
        <v>0</v>
      </c>
      <c r="AE362" s="259">
        <v>0</v>
      </c>
      <c r="AF362" s="259">
        <v>0</v>
      </c>
      <c r="AG362" s="259">
        <v>0</v>
      </c>
      <c r="AH362" s="259">
        <v>0</v>
      </c>
      <c r="AI362" s="259">
        <v>0</v>
      </c>
      <c r="AJ362" s="259">
        <v>0</v>
      </c>
      <c r="AK362" s="259">
        <v>0</v>
      </c>
      <c r="AL362" s="259"/>
      <c r="AM362" s="259"/>
      <c r="AN362" s="259"/>
      <c r="AO362" s="259"/>
      <c r="AP362" s="259"/>
      <c r="AQ362" s="259"/>
      <c r="AR362" s="259"/>
      <c r="AS362" s="259"/>
      <c r="AT362" s="259"/>
      <c r="AU362" s="259"/>
      <c r="AV362" s="259"/>
      <c r="AW362" s="259"/>
      <c r="AX362" s="259"/>
      <c r="AY362" s="259"/>
      <c r="AZ362" s="259"/>
      <c r="BA362" s="259"/>
      <c r="BB362" s="259"/>
      <c r="BC362" s="259"/>
      <c r="BD362" s="259"/>
      <c r="BE362" s="259"/>
      <c r="BF362" s="259"/>
      <c r="BG362" s="259"/>
      <c r="BH362" s="259"/>
      <c r="BI362" s="259"/>
      <c r="BJ362" s="259"/>
      <c r="BK362" s="259"/>
    </row>
    <row r="363" spans="1:63" s="133" customFormat="1" ht="12.75">
      <c r="A363" s="169"/>
      <c r="B363" s="307" t="str">
        <f>IF(SUM(F363:Z363)&gt;0,Servicio_internaColumna_título_total,"")</f>
        <v>Total</v>
      </c>
      <c r="C363" s="308">
        <v>0</v>
      </c>
      <c r="D363" s="309">
        <v>0</v>
      </c>
      <c r="E363" s="309">
        <v>0</v>
      </c>
      <c r="F363" s="309">
        <v>0</v>
      </c>
      <c r="G363" s="309">
        <v>0</v>
      </c>
      <c r="H363" s="309">
        <v>0</v>
      </c>
      <c r="I363" s="309">
        <v>0</v>
      </c>
      <c r="J363" s="309">
        <v>0</v>
      </c>
      <c r="K363" s="309">
        <v>0</v>
      </c>
      <c r="L363" s="309">
        <f>+L361+L362</f>
        <v>3750439.1386273117</v>
      </c>
      <c r="M363" s="309">
        <f t="shared" ref="M363:Z363" si="2">+M361+M362</f>
        <v>29919162.471178576</v>
      </c>
      <c r="N363" s="309">
        <f t="shared" si="2"/>
        <v>24541404.156411402</v>
      </c>
      <c r="O363" s="309">
        <f t="shared" si="2"/>
        <v>31358974.202062994</v>
      </c>
      <c r="P363" s="309">
        <f t="shared" si="2"/>
        <v>21377676.172481425</v>
      </c>
      <c r="Q363" s="309">
        <f t="shared" si="2"/>
        <v>19922694.417845357</v>
      </c>
      <c r="R363" s="309">
        <f t="shared" si="2"/>
        <v>14919361.186756251</v>
      </c>
      <c r="S363" s="309">
        <f t="shared" si="2"/>
        <v>6008210.6838235864</v>
      </c>
      <c r="T363" s="309">
        <f t="shared" si="2"/>
        <v>6965282.339774847</v>
      </c>
      <c r="U363" s="309">
        <f t="shared" si="2"/>
        <v>2815007.3811755925</v>
      </c>
      <c r="V363" s="309">
        <f t="shared" si="2"/>
        <v>11249077.35928086</v>
      </c>
      <c r="W363" s="309">
        <f t="shared" si="2"/>
        <v>1919669.7227292864</v>
      </c>
      <c r="X363" s="309">
        <f t="shared" si="2"/>
        <v>1935736.923911165</v>
      </c>
      <c r="Y363" s="309">
        <f t="shared" si="2"/>
        <v>10103094.88522278</v>
      </c>
      <c r="Z363" s="309">
        <f t="shared" si="2"/>
        <v>15225059.85</v>
      </c>
      <c r="AA363" s="309"/>
      <c r="AB363" s="309"/>
      <c r="AC363" s="309"/>
      <c r="AD363" s="309"/>
      <c r="AE363" s="309"/>
      <c r="AF363" s="309"/>
      <c r="AG363" s="309"/>
      <c r="AH363" s="309"/>
      <c r="AI363" s="309"/>
      <c r="AJ363" s="309"/>
      <c r="AK363" s="309"/>
      <c r="AL363" s="309">
        <f>+AL361+AL362</f>
        <v>0</v>
      </c>
      <c r="AM363" s="309">
        <f>+AM361+AM362</f>
        <v>0</v>
      </c>
      <c r="AN363" s="309">
        <f>+AN361+AN362</f>
        <v>0</v>
      </c>
      <c r="AO363" s="309">
        <f>+AO361+AO362</f>
        <v>0</v>
      </c>
      <c r="AP363" s="309"/>
      <c r="AQ363" s="309"/>
      <c r="AR363" s="309"/>
      <c r="AS363" s="309"/>
      <c r="AT363" s="309"/>
      <c r="AU363" s="309"/>
      <c r="AV363" s="309"/>
      <c r="AW363" s="309"/>
      <c r="AX363" s="309"/>
      <c r="AY363" s="309"/>
      <c r="AZ363" s="309"/>
      <c r="BA363" s="309"/>
      <c r="BB363" s="309"/>
      <c r="BC363" s="309"/>
      <c r="BD363" s="309"/>
      <c r="BE363" s="309"/>
      <c r="BF363" s="309"/>
      <c r="BG363" s="309"/>
      <c r="BH363" s="309"/>
      <c r="BI363" s="309"/>
      <c r="BJ363" s="309"/>
      <c r="BK363" s="309"/>
    </row>
    <row r="364" spans="1:63" s="80" customFormat="1" ht="12.75">
      <c r="A364" s="167"/>
      <c r="B364" s="210" t="str">
        <f>Servicio_internaColumna_título_amortizaciones</f>
        <v>Amortizaciones</v>
      </c>
      <c r="C364" s="254">
        <v>0</v>
      </c>
      <c r="D364" s="255">
        <v>0</v>
      </c>
      <c r="E364" s="255">
        <v>0</v>
      </c>
      <c r="F364" s="255">
        <v>0</v>
      </c>
      <c r="G364" s="255">
        <v>0</v>
      </c>
      <c r="H364" s="255">
        <v>0</v>
      </c>
      <c r="I364" s="255">
        <v>0</v>
      </c>
      <c r="J364" s="255">
        <v>0</v>
      </c>
      <c r="K364" s="255">
        <v>0</v>
      </c>
      <c r="L364" s="255">
        <v>0</v>
      </c>
      <c r="M364" s="255">
        <v>27767984.82540765</v>
      </c>
      <c r="N364" s="255">
        <v>15223458.869171247</v>
      </c>
      <c r="O364" s="255">
        <v>23017513.110089928</v>
      </c>
      <c r="P364" s="255">
        <v>14686899.440135429</v>
      </c>
      <c r="Q364" s="255">
        <v>14462162.647706727</v>
      </c>
      <c r="R364" s="255">
        <v>11943749.604865586</v>
      </c>
      <c r="S364" s="255">
        <v>2799386.7037199531</v>
      </c>
      <c r="T364" s="255">
        <v>3743801.1</v>
      </c>
      <c r="U364" s="255">
        <v>0</v>
      </c>
      <c r="V364" s="255">
        <v>8418925.0999999996</v>
      </c>
      <c r="W364" s="255">
        <v>0</v>
      </c>
      <c r="X364" s="255">
        <v>0</v>
      </c>
      <c r="Y364" s="255">
        <v>8209225.6937068487</v>
      </c>
      <c r="Z364" s="255">
        <v>13861986.4</v>
      </c>
      <c r="AA364" s="255">
        <v>0</v>
      </c>
      <c r="AB364" s="255">
        <v>0</v>
      </c>
      <c r="AC364" s="255">
        <v>0</v>
      </c>
      <c r="AD364" s="255">
        <v>0</v>
      </c>
      <c r="AE364" s="255">
        <v>0</v>
      </c>
      <c r="AF364" s="255">
        <v>0</v>
      </c>
      <c r="AG364" s="255">
        <v>0</v>
      </c>
      <c r="AH364" s="255">
        <v>0</v>
      </c>
      <c r="AI364" s="255">
        <v>0</v>
      </c>
      <c r="AJ364" s="255">
        <v>0</v>
      </c>
      <c r="AK364" s="255">
        <v>0</v>
      </c>
      <c r="AL364" s="255">
        <v>0</v>
      </c>
      <c r="AM364" s="255">
        <v>0</v>
      </c>
      <c r="AN364" s="255">
        <v>0</v>
      </c>
      <c r="AO364" s="255">
        <v>0</v>
      </c>
      <c r="AP364" s="255"/>
      <c r="AQ364" s="255"/>
      <c r="AR364" s="255"/>
      <c r="AS364" s="255"/>
      <c r="AT364" s="255"/>
      <c r="AU364" s="255"/>
      <c r="AV364" s="255"/>
      <c r="AW364" s="255"/>
      <c r="AX364" s="255"/>
      <c r="AY364" s="255"/>
      <c r="AZ364" s="255"/>
      <c r="BA364" s="255"/>
      <c r="BB364" s="255"/>
      <c r="BC364" s="255"/>
      <c r="BD364" s="255"/>
      <c r="BE364" s="255"/>
      <c r="BF364" s="255"/>
      <c r="BG364" s="255"/>
      <c r="BH364" s="255"/>
      <c r="BI364" s="255"/>
      <c r="BJ364" s="255"/>
      <c r="BK364" s="255"/>
    </row>
    <row r="365" spans="1:63" s="133" customFormat="1" ht="12.75">
      <c r="A365" s="168">
        <v>40513</v>
      </c>
      <c r="B365" s="213" t="str">
        <f>Servicio_internaColumna_título_intereses</f>
        <v>Intereses</v>
      </c>
      <c r="C365" s="256">
        <v>0</v>
      </c>
      <c r="D365" s="257">
        <v>0</v>
      </c>
      <c r="E365" s="257">
        <v>0</v>
      </c>
      <c r="F365" s="257">
        <v>0</v>
      </c>
      <c r="G365" s="257">
        <v>0</v>
      </c>
      <c r="H365" s="257">
        <v>0</v>
      </c>
      <c r="I365" s="257">
        <v>0</v>
      </c>
      <c r="J365" s="257">
        <v>0</v>
      </c>
      <c r="K365" s="257">
        <v>0</v>
      </c>
      <c r="L365" s="257">
        <v>0</v>
      </c>
      <c r="M365" s="257">
        <v>11153066.717301046</v>
      </c>
      <c r="N365" s="257">
        <v>9804669.344813494</v>
      </c>
      <c r="O365" s="257">
        <v>8383126.8930900786</v>
      </c>
      <c r="P365" s="257">
        <v>6717032.0349885626</v>
      </c>
      <c r="Q365" s="257">
        <v>5216390.2173073487</v>
      </c>
      <c r="R365" s="257">
        <v>4128268.1937557398</v>
      </c>
      <c r="S365" s="257">
        <v>3354178.4524662658</v>
      </c>
      <c r="T365" s="257">
        <v>3226473.0752197406</v>
      </c>
      <c r="U365" s="258">
        <v>2821297.1582834469</v>
      </c>
      <c r="V365" s="258">
        <v>2836567.6610019505</v>
      </c>
      <c r="W365" s="258">
        <v>1926214.5178020089</v>
      </c>
      <c r="X365" s="258">
        <v>1942414.994136069</v>
      </c>
      <c r="Y365" s="258">
        <v>1959101.4847601512</v>
      </c>
      <c r="Z365" s="258">
        <v>1386198.6400000006</v>
      </c>
      <c r="AA365" s="258">
        <v>0</v>
      </c>
      <c r="AB365" s="258">
        <v>0</v>
      </c>
      <c r="AC365" s="258">
        <v>0</v>
      </c>
      <c r="AD365" s="259">
        <v>0</v>
      </c>
      <c r="AE365" s="259">
        <v>0</v>
      </c>
      <c r="AF365" s="259">
        <v>0</v>
      </c>
      <c r="AG365" s="259">
        <v>0</v>
      </c>
      <c r="AH365" s="259">
        <v>0</v>
      </c>
      <c r="AI365" s="259">
        <v>0</v>
      </c>
      <c r="AJ365" s="259">
        <v>0</v>
      </c>
      <c r="AK365" s="259">
        <v>0</v>
      </c>
      <c r="AL365" s="259">
        <v>0</v>
      </c>
      <c r="AM365" s="259"/>
      <c r="AN365" s="259"/>
      <c r="AO365" s="259"/>
      <c r="AP365" s="259"/>
      <c r="AQ365" s="259"/>
      <c r="AR365" s="259"/>
      <c r="AS365" s="259"/>
      <c r="AT365" s="259"/>
      <c r="AU365" s="259"/>
      <c r="AV365" s="259"/>
      <c r="AW365" s="259"/>
      <c r="AX365" s="259"/>
      <c r="AY365" s="259"/>
      <c r="AZ365" s="259"/>
      <c r="BA365" s="259"/>
      <c r="BB365" s="259"/>
      <c r="BC365" s="259"/>
      <c r="BD365" s="259"/>
      <c r="BE365" s="259"/>
      <c r="BF365" s="259"/>
      <c r="BG365" s="259"/>
      <c r="BH365" s="259"/>
      <c r="BI365" s="259"/>
      <c r="BJ365" s="259"/>
      <c r="BK365" s="259"/>
    </row>
    <row r="366" spans="1:63" s="133" customFormat="1" ht="12.75">
      <c r="A366" s="169"/>
      <c r="B366" s="307" t="str">
        <f>Servicio_internaColumna_título_total</f>
        <v>Total</v>
      </c>
      <c r="C366" s="308">
        <f>+C365+C364</f>
        <v>0</v>
      </c>
      <c r="D366" s="309">
        <f t="shared" ref="D366:AN366" si="3">+D365+D364</f>
        <v>0</v>
      </c>
      <c r="E366" s="309">
        <f t="shared" si="3"/>
        <v>0</v>
      </c>
      <c r="F366" s="309">
        <f t="shared" si="3"/>
        <v>0</v>
      </c>
      <c r="G366" s="309">
        <f t="shared" si="3"/>
        <v>0</v>
      </c>
      <c r="H366" s="309">
        <f t="shared" si="3"/>
        <v>0</v>
      </c>
      <c r="I366" s="309">
        <f t="shared" si="3"/>
        <v>0</v>
      </c>
      <c r="J366" s="309">
        <f t="shared" si="3"/>
        <v>0</v>
      </c>
      <c r="K366" s="309">
        <f t="shared" si="3"/>
        <v>0</v>
      </c>
      <c r="L366" s="309">
        <f t="shared" si="3"/>
        <v>0</v>
      </c>
      <c r="M366" s="309">
        <f t="shared" si="3"/>
        <v>38921051.542708695</v>
      </c>
      <c r="N366" s="309">
        <f t="shared" si="3"/>
        <v>25028128.213984743</v>
      </c>
      <c r="O366" s="309">
        <f t="shared" si="3"/>
        <v>31400640.003180005</v>
      </c>
      <c r="P366" s="309">
        <f t="shared" si="3"/>
        <v>21403931.47512399</v>
      </c>
      <c r="Q366" s="309">
        <f t="shared" si="3"/>
        <v>19678552.865014076</v>
      </c>
      <c r="R366" s="309">
        <f t="shared" si="3"/>
        <v>16072017.798621327</v>
      </c>
      <c r="S366" s="309">
        <f t="shared" si="3"/>
        <v>6153565.1561862193</v>
      </c>
      <c r="T366" s="309">
        <f t="shared" si="3"/>
        <v>6970274.1752197407</v>
      </c>
      <c r="U366" s="309">
        <f t="shared" si="3"/>
        <v>2821297.1582834469</v>
      </c>
      <c r="V366" s="309">
        <f t="shared" si="3"/>
        <v>11255492.76100195</v>
      </c>
      <c r="W366" s="309">
        <f t="shared" si="3"/>
        <v>1926214.5178020089</v>
      </c>
      <c r="X366" s="309">
        <f t="shared" si="3"/>
        <v>1942414.994136069</v>
      </c>
      <c r="Y366" s="309">
        <f t="shared" si="3"/>
        <v>10168327.178467</v>
      </c>
      <c r="Z366" s="309">
        <f t="shared" si="3"/>
        <v>15248185.040000001</v>
      </c>
      <c r="AA366" s="309">
        <f t="shared" si="3"/>
        <v>0</v>
      </c>
      <c r="AB366" s="309">
        <f t="shared" si="3"/>
        <v>0</v>
      </c>
      <c r="AC366" s="309">
        <f t="shared" si="3"/>
        <v>0</v>
      </c>
      <c r="AD366" s="309">
        <f t="shared" si="3"/>
        <v>0</v>
      </c>
      <c r="AE366" s="309">
        <f t="shared" si="3"/>
        <v>0</v>
      </c>
      <c r="AF366" s="309">
        <f t="shared" si="3"/>
        <v>0</v>
      </c>
      <c r="AG366" s="309">
        <f t="shared" si="3"/>
        <v>0</v>
      </c>
      <c r="AH366" s="309">
        <f t="shared" si="3"/>
        <v>0</v>
      </c>
      <c r="AI366" s="309">
        <f t="shared" si="3"/>
        <v>0</v>
      </c>
      <c r="AJ366" s="309">
        <f t="shared" si="3"/>
        <v>0</v>
      </c>
      <c r="AK366" s="309">
        <f t="shared" si="3"/>
        <v>0</v>
      </c>
      <c r="AL366" s="309">
        <f t="shared" si="3"/>
        <v>0</v>
      </c>
      <c r="AM366" s="309">
        <f t="shared" si="3"/>
        <v>0</v>
      </c>
      <c r="AN366" s="309">
        <f t="shared" si="3"/>
        <v>0</v>
      </c>
      <c r="AO366" s="309">
        <f>+AO365+AO364</f>
        <v>0</v>
      </c>
      <c r="AP366" s="309"/>
      <c r="AQ366" s="309"/>
      <c r="AR366" s="309"/>
      <c r="AS366" s="309"/>
      <c r="AT366" s="309"/>
      <c r="AU366" s="309"/>
      <c r="AV366" s="309"/>
      <c r="AW366" s="309"/>
      <c r="AX366" s="309"/>
      <c r="AY366" s="309"/>
      <c r="AZ366" s="309"/>
      <c r="BA366" s="309"/>
      <c r="BB366" s="309"/>
      <c r="BC366" s="309"/>
      <c r="BD366" s="309"/>
      <c r="BE366" s="309"/>
      <c r="BF366" s="309"/>
      <c r="BG366" s="309"/>
      <c r="BH366" s="309"/>
      <c r="BI366" s="309"/>
      <c r="BJ366" s="309"/>
      <c r="BK366" s="309"/>
    </row>
    <row r="367" spans="1:63" s="80" customFormat="1" ht="12.75">
      <c r="A367" s="167"/>
      <c r="B367" s="210" t="str">
        <f>Servicio_internaColumna_título_amortizaciones</f>
        <v>Amortizaciones</v>
      </c>
      <c r="C367" s="254"/>
      <c r="D367" s="255"/>
      <c r="E367" s="255"/>
      <c r="F367" s="255"/>
      <c r="G367" s="255"/>
      <c r="H367" s="255"/>
      <c r="I367" s="255"/>
      <c r="J367" s="255"/>
      <c r="K367" s="255"/>
      <c r="L367" s="255"/>
      <c r="M367" s="255">
        <v>19985254.103726178</v>
      </c>
      <c r="N367" s="255">
        <v>15429151.548008762</v>
      </c>
      <c r="O367" s="255">
        <v>23051758.615480475</v>
      </c>
      <c r="P367" s="255">
        <v>15262457.695744555</v>
      </c>
      <c r="Q367" s="255">
        <v>14497061.081539042</v>
      </c>
      <c r="R367" s="255">
        <v>11947425.499920832</v>
      </c>
      <c r="S367" s="255">
        <v>3015095.3417216223</v>
      </c>
      <c r="T367" s="255">
        <v>4053789.4</v>
      </c>
      <c r="U367" s="255">
        <v>0</v>
      </c>
      <c r="V367" s="255">
        <v>8418925.0999999996</v>
      </c>
      <c r="W367" s="255">
        <v>0</v>
      </c>
      <c r="X367" s="255">
        <v>0</v>
      </c>
      <c r="Y367" s="255">
        <v>8423164.3914083838</v>
      </c>
      <c r="Z367" s="255">
        <v>14172090</v>
      </c>
      <c r="AA367" s="255">
        <v>0</v>
      </c>
      <c r="AB367" s="255">
        <v>0</v>
      </c>
      <c r="AC367" s="255">
        <v>0</v>
      </c>
      <c r="AD367" s="255">
        <v>0</v>
      </c>
      <c r="AE367" s="255">
        <v>0</v>
      </c>
      <c r="AF367" s="255">
        <v>0</v>
      </c>
      <c r="AG367" s="255">
        <v>0</v>
      </c>
      <c r="AH367" s="255">
        <v>0</v>
      </c>
      <c r="AI367" s="255">
        <v>0</v>
      </c>
      <c r="AJ367" s="255">
        <v>0</v>
      </c>
      <c r="AK367" s="255">
        <v>0</v>
      </c>
      <c r="AL367" s="255">
        <v>0</v>
      </c>
      <c r="AM367" s="255"/>
      <c r="AN367" s="255"/>
      <c r="AO367" s="255"/>
      <c r="AP367" s="255"/>
      <c r="AQ367" s="255"/>
      <c r="AR367" s="255"/>
      <c r="AS367" s="255"/>
      <c r="AT367" s="255"/>
      <c r="AU367" s="255"/>
      <c r="AV367" s="255"/>
      <c r="AW367" s="255"/>
      <c r="AX367" s="255"/>
      <c r="AY367" s="255"/>
      <c r="AZ367" s="255"/>
      <c r="BA367" s="255"/>
      <c r="BB367" s="255"/>
      <c r="BC367" s="255"/>
      <c r="BD367" s="255"/>
      <c r="BE367" s="255"/>
      <c r="BF367" s="255"/>
      <c r="BG367" s="255"/>
      <c r="BH367" s="255"/>
      <c r="BI367" s="255"/>
      <c r="BJ367" s="255"/>
      <c r="BK367" s="255"/>
    </row>
    <row r="368" spans="1:63" s="133" customFormat="1" ht="12.75">
      <c r="A368" s="168">
        <v>40544</v>
      </c>
      <c r="B368" s="213" t="str">
        <f>Servicio_internaColumna_título_intereses</f>
        <v>Intereses</v>
      </c>
      <c r="C368" s="256"/>
      <c r="D368" s="257"/>
      <c r="E368" s="257"/>
      <c r="F368" s="257"/>
      <c r="G368" s="257"/>
      <c r="H368" s="257"/>
      <c r="I368" s="257"/>
      <c r="J368" s="257"/>
      <c r="K368" s="257"/>
      <c r="L368" s="257"/>
      <c r="M368" s="257">
        <v>11143186.659092305</v>
      </c>
      <c r="N368" s="257">
        <v>9941730.1344178896</v>
      </c>
      <c r="O368" s="257">
        <v>8520677.6254346836</v>
      </c>
      <c r="P368" s="257">
        <v>6855307.063346169</v>
      </c>
      <c r="Q368" s="257">
        <v>5302062.7066058852</v>
      </c>
      <c r="R368" s="257">
        <v>4214524.4431099305</v>
      </c>
      <c r="S368" s="257">
        <v>3441001.8679695562</v>
      </c>
      <c r="T368" s="257">
        <v>3302984.0842431169</v>
      </c>
      <c r="U368" s="258">
        <v>2863351.524948745</v>
      </c>
      <c r="V368" s="258">
        <v>2878953.3478672076</v>
      </c>
      <c r="W368" s="258">
        <v>1968941.4644732233</v>
      </c>
      <c r="X368" s="258">
        <v>1985493.4384074202</v>
      </c>
      <c r="Y368" s="258">
        <v>2002541.9715596437</v>
      </c>
      <c r="Z368" s="258">
        <v>1417209</v>
      </c>
      <c r="AA368" s="258">
        <v>0</v>
      </c>
      <c r="AB368" s="258">
        <v>0</v>
      </c>
      <c r="AC368" s="258">
        <v>0</v>
      </c>
      <c r="AD368" s="259">
        <v>0</v>
      </c>
      <c r="AE368" s="259">
        <v>0</v>
      </c>
      <c r="AF368" s="259">
        <v>0</v>
      </c>
      <c r="AG368" s="259">
        <v>0</v>
      </c>
      <c r="AH368" s="259">
        <v>0</v>
      </c>
      <c r="AI368" s="259">
        <v>0</v>
      </c>
      <c r="AJ368" s="259">
        <v>0</v>
      </c>
      <c r="AK368" s="259">
        <v>0</v>
      </c>
      <c r="AL368" s="259">
        <v>0</v>
      </c>
      <c r="AM368" s="259"/>
      <c r="AN368" s="259"/>
      <c r="AO368" s="259"/>
      <c r="AP368" s="259"/>
      <c r="AQ368" s="259"/>
      <c r="AR368" s="259"/>
      <c r="AS368" s="259"/>
      <c r="AT368" s="259"/>
      <c r="AU368" s="259"/>
      <c r="AV368" s="259"/>
      <c r="AW368" s="259"/>
      <c r="AX368" s="259"/>
      <c r="AY368" s="259"/>
      <c r="AZ368" s="259"/>
      <c r="BA368" s="259"/>
      <c r="BB368" s="259"/>
      <c r="BC368" s="259"/>
      <c r="BD368" s="259"/>
      <c r="BE368" s="259"/>
      <c r="BF368" s="259"/>
      <c r="BG368" s="259"/>
      <c r="BH368" s="259"/>
      <c r="BI368" s="259"/>
      <c r="BJ368" s="259"/>
      <c r="BK368" s="259"/>
    </row>
    <row r="369" spans="1:63" s="133" customFormat="1" ht="12.75">
      <c r="A369" s="169"/>
      <c r="B369" s="307" t="str">
        <f>Servicio_internaColumna_título_total</f>
        <v>Total</v>
      </c>
      <c r="C369" s="308">
        <f>+C368+C367</f>
        <v>0</v>
      </c>
      <c r="D369" s="309">
        <f t="shared" ref="D369:AN369" si="4">+D368+D367</f>
        <v>0</v>
      </c>
      <c r="E369" s="309">
        <f t="shared" si="4"/>
        <v>0</v>
      </c>
      <c r="F369" s="309">
        <f t="shared" si="4"/>
        <v>0</v>
      </c>
      <c r="G369" s="309">
        <f t="shared" si="4"/>
        <v>0</v>
      </c>
      <c r="H369" s="309">
        <f t="shared" si="4"/>
        <v>0</v>
      </c>
      <c r="I369" s="309">
        <f t="shared" si="4"/>
        <v>0</v>
      </c>
      <c r="J369" s="309">
        <f t="shared" si="4"/>
        <v>0</v>
      </c>
      <c r="K369" s="309">
        <f t="shared" si="4"/>
        <v>0</v>
      </c>
      <c r="L369" s="309">
        <f t="shared" si="4"/>
        <v>0</v>
      </c>
      <c r="M369" s="309">
        <f t="shared" si="4"/>
        <v>31128440.762818485</v>
      </c>
      <c r="N369" s="309">
        <f t="shared" si="4"/>
        <v>25370881.682426654</v>
      </c>
      <c r="O369" s="309">
        <f t="shared" si="4"/>
        <v>31572436.240915157</v>
      </c>
      <c r="P369" s="309">
        <f t="shared" si="4"/>
        <v>22117764.759090725</v>
      </c>
      <c r="Q369" s="309">
        <f t="shared" si="4"/>
        <v>19799123.788144927</v>
      </c>
      <c r="R369" s="309">
        <f t="shared" si="4"/>
        <v>16161949.943030763</v>
      </c>
      <c r="S369" s="309">
        <f t="shared" si="4"/>
        <v>6456097.2096911781</v>
      </c>
      <c r="T369" s="309">
        <f t="shared" si="4"/>
        <v>7356773.4842431173</v>
      </c>
      <c r="U369" s="309">
        <f t="shared" si="4"/>
        <v>2863351.524948745</v>
      </c>
      <c r="V369" s="309">
        <f t="shared" si="4"/>
        <v>11297878.447867207</v>
      </c>
      <c r="W369" s="309">
        <f t="shared" si="4"/>
        <v>1968941.4644732233</v>
      </c>
      <c r="X369" s="309">
        <f t="shared" si="4"/>
        <v>1985493.4384074202</v>
      </c>
      <c r="Y369" s="309">
        <f t="shared" si="4"/>
        <v>10425706.362968028</v>
      </c>
      <c r="Z369" s="309">
        <f t="shared" si="4"/>
        <v>15589299</v>
      </c>
      <c r="AA369" s="309">
        <f t="shared" si="4"/>
        <v>0</v>
      </c>
      <c r="AB369" s="309">
        <f t="shared" si="4"/>
        <v>0</v>
      </c>
      <c r="AC369" s="309">
        <f t="shared" si="4"/>
        <v>0</v>
      </c>
      <c r="AD369" s="309">
        <f t="shared" si="4"/>
        <v>0</v>
      </c>
      <c r="AE369" s="309">
        <f t="shared" si="4"/>
        <v>0</v>
      </c>
      <c r="AF369" s="309">
        <f t="shared" si="4"/>
        <v>0</v>
      </c>
      <c r="AG369" s="309">
        <f t="shared" si="4"/>
        <v>0</v>
      </c>
      <c r="AH369" s="309">
        <f t="shared" si="4"/>
        <v>0</v>
      </c>
      <c r="AI369" s="309">
        <f t="shared" si="4"/>
        <v>0</v>
      </c>
      <c r="AJ369" s="309">
        <f t="shared" si="4"/>
        <v>0</v>
      </c>
      <c r="AK369" s="309">
        <f t="shared" si="4"/>
        <v>0</v>
      </c>
      <c r="AL369" s="309">
        <f t="shared" si="4"/>
        <v>0</v>
      </c>
      <c r="AM369" s="309">
        <f t="shared" si="4"/>
        <v>0</v>
      </c>
      <c r="AN369" s="309">
        <f t="shared" si="4"/>
        <v>0</v>
      </c>
      <c r="AO369" s="309">
        <f>+AO368+AO367</f>
        <v>0</v>
      </c>
      <c r="AP369" s="309"/>
      <c r="AQ369" s="309"/>
      <c r="AR369" s="309"/>
      <c r="AS369" s="309"/>
      <c r="AT369" s="309"/>
      <c r="AU369" s="309"/>
      <c r="AV369" s="309"/>
      <c r="AW369" s="309"/>
      <c r="AX369" s="309"/>
      <c r="AY369" s="309"/>
      <c r="AZ369" s="309"/>
      <c r="BA369" s="309"/>
      <c r="BB369" s="309"/>
      <c r="BC369" s="309"/>
      <c r="BD369" s="309"/>
      <c r="BE369" s="309"/>
      <c r="BF369" s="309"/>
      <c r="BG369" s="309"/>
      <c r="BH369" s="309"/>
      <c r="BI369" s="309"/>
      <c r="BJ369" s="309"/>
      <c r="BK369" s="309"/>
    </row>
    <row r="370" spans="1:63" s="80" customFormat="1" ht="12.75">
      <c r="A370" s="167"/>
      <c r="B370" s="210" t="str">
        <f>Servicio_internaColumna_título_amortizaciones</f>
        <v>Amortizaciones</v>
      </c>
      <c r="C370" s="254"/>
      <c r="D370" s="255"/>
      <c r="E370" s="255"/>
      <c r="F370" s="255"/>
      <c r="G370" s="255"/>
      <c r="H370" s="255"/>
      <c r="I370" s="255"/>
      <c r="J370" s="255"/>
      <c r="K370" s="255"/>
      <c r="L370" s="255"/>
      <c r="M370" s="255">
        <v>19669025.777520783</v>
      </c>
      <c r="N370" s="255">
        <v>15541498.034600006</v>
      </c>
      <c r="O370" s="255">
        <v>23103588.457935374</v>
      </c>
      <c r="P370" s="255">
        <v>16130429.935175408</v>
      </c>
      <c r="Q370" s="255">
        <v>14721433.013284406</v>
      </c>
      <c r="R370" s="255">
        <v>12055662.822433162</v>
      </c>
      <c r="S370" s="255">
        <v>3260952.2054865076</v>
      </c>
      <c r="T370" s="255">
        <v>4428414.0999999996</v>
      </c>
      <c r="U370" s="255">
        <v>0</v>
      </c>
      <c r="V370" s="255">
        <v>8418925.0999999996</v>
      </c>
      <c r="W370" s="255">
        <v>0</v>
      </c>
      <c r="X370" s="255">
        <v>0</v>
      </c>
      <c r="Y370" s="255">
        <v>8574284.5689514298</v>
      </c>
      <c r="Z370" s="255">
        <v>14387506.300000001</v>
      </c>
      <c r="AA370" s="255">
        <v>0</v>
      </c>
      <c r="AB370" s="255">
        <v>0</v>
      </c>
      <c r="AC370" s="255">
        <v>0</v>
      </c>
      <c r="AD370" s="255">
        <v>0</v>
      </c>
      <c r="AE370" s="255">
        <v>0</v>
      </c>
      <c r="AF370" s="255">
        <v>0</v>
      </c>
      <c r="AG370" s="255">
        <v>0</v>
      </c>
      <c r="AH370" s="255">
        <v>0</v>
      </c>
      <c r="AI370" s="255">
        <v>0</v>
      </c>
      <c r="AJ370" s="255">
        <v>0</v>
      </c>
      <c r="AK370" s="255">
        <v>0</v>
      </c>
      <c r="AL370" s="255">
        <v>0</v>
      </c>
      <c r="AM370" s="255">
        <v>0</v>
      </c>
      <c r="AN370" s="255">
        <v>0</v>
      </c>
      <c r="AO370" s="255">
        <v>0</v>
      </c>
      <c r="AP370" s="255"/>
      <c r="AQ370" s="255"/>
      <c r="AR370" s="255"/>
      <c r="AS370" s="255"/>
      <c r="AT370" s="255"/>
      <c r="AU370" s="255"/>
      <c r="AV370" s="255"/>
      <c r="AW370" s="255"/>
      <c r="AX370" s="255"/>
      <c r="AY370" s="255"/>
      <c r="AZ370" s="255"/>
      <c r="BA370" s="255"/>
      <c r="BB370" s="255"/>
      <c r="BC370" s="255"/>
      <c r="BD370" s="255"/>
      <c r="BE370" s="255"/>
      <c r="BF370" s="255"/>
      <c r="BG370" s="255"/>
      <c r="BH370" s="255"/>
      <c r="BI370" s="255"/>
      <c r="BJ370" s="255"/>
      <c r="BK370" s="255"/>
    </row>
    <row r="371" spans="1:63" s="133" customFormat="1" ht="12.75">
      <c r="A371" s="168">
        <v>40575</v>
      </c>
      <c r="B371" s="213" t="str">
        <f>Servicio_internaColumna_título_intereses</f>
        <v>Intereses</v>
      </c>
      <c r="C371" s="256"/>
      <c r="D371" s="257"/>
      <c r="E371" s="257"/>
      <c r="F371" s="257"/>
      <c r="G371" s="257"/>
      <c r="H371" s="257"/>
      <c r="I371" s="257"/>
      <c r="J371" s="257"/>
      <c r="K371" s="257"/>
      <c r="L371" s="257"/>
      <c r="M371" s="257">
        <v>10261205.253696147</v>
      </c>
      <c r="N371" s="257">
        <v>10111532.200952381</v>
      </c>
      <c r="O371" s="257">
        <v>8691322.2048739418</v>
      </c>
      <c r="P371" s="257">
        <v>7026889.1812346745</v>
      </c>
      <c r="Q371" s="257">
        <v>5394669.4826061875</v>
      </c>
      <c r="R371" s="257">
        <v>4294461.3084487785</v>
      </c>
      <c r="S371" s="257">
        <v>3521476.2474081335</v>
      </c>
      <c r="T371" s="257">
        <v>3372066.163268547</v>
      </c>
      <c r="U371" s="258">
        <v>2890351.6592335752</v>
      </c>
      <c r="V371" s="258">
        <v>2906117.237280583</v>
      </c>
      <c r="W371" s="258">
        <v>1996274.0216690002</v>
      </c>
      <c r="X371" s="258">
        <v>2012999.7234190702</v>
      </c>
      <c r="Y371" s="258">
        <v>2030227.1962216422</v>
      </c>
      <c r="Z371" s="258">
        <v>1438750.6300000008</v>
      </c>
      <c r="AA371" s="258">
        <v>0</v>
      </c>
      <c r="AB371" s="258">
        <v>0</v>
      </c>
      <c r="AC371" s="258">
        <v>0</v>
      </c>
      <c r="AD371" s="259">
        <v>0</v>
      </c>
      <c r="AE371" s="259">
        <v>0</v>
      </c>
      <c r="AF371" s="259">
        <v>0</v>
      </c>
      <c r="AG371" s="259">
        <v>0</v>
      </c>
      <c r="AH371" s="259">
        <v>0</v>
      </c>
      <c r="AI371" s="259">
        <v>0</v>
      </c>
      <c r="AJ371" s="259">
        <v>0</v>
      </c>
      <c r="AK371" s="259">
        <v>0</v>
      </c>
      <c r="AL371" s="259">
        <v>0</v>
      </c>
      <c r="AM371" s="259"/>
      <c r="AN371" s="259"/>
      <c r="AO371" s="259"/>
      <c r="AP371" s="259"/>
      <c r="AQ371" s="259"/>
      <c r="AR371" s="259"/>
      <c r="AS371" s="259"/>
      <c r="AT371" s="259"/>
      <c r="AU371" s="259"/>
      <c r="AV371" s="259"/>
      <c r="AW371" s="259"/>
      <c r="AX371" s="259"/>
      <c r="AY371" s="259"/>
      <c r="AZ371" s="259"/>
      <c r="BA371" s="259"/>
      <c r="BB371" s="259"/>
      <c r="BC371" s="259"/>
      <c r="BD371" s="259"/>
      <c r="BE371" s="259"/>
      <c r="BF371" s="259"/>
      <c r="BG371" s="259"/>
      <c r="BH371" s="259"/>
      <c r="BI371" s="259"/>
      <c r="BJ371" s="259"/>
      <c r="BK371" s="259"/>
    </row>
    <row r="372" spans="1:63" s="133" customFormat="1" ht="12.75">
      <c r="A372" s="169"/>
      <c r="B372" s="307" t="str">
        <f>Servicio_internaColumna_título_total</f>
        <v>Total</v>
      </c>
      <c r="C372" s="308">
        <f>+C371+C370</f>
        <v>0</v>
      </c>
      <c r="D372" s="309">
        <f t="shared" ref="D372:AN372" si="5">+D371+D370</f>
        <v>0</v>
      </c>
      <c r="E372" s="309">
        <f t="shared" si="5"/>
        <v>0</v>
      </c>
      <c r="F372" s="309">
        <f t="shared" si="5"/>
        <v>0</v>
      </c>
      <c r="G372" s="309">
        <f t="shared" si="5"/>
        <v>0</v>
      </c>
      <c r="H372" s="309">
        <f t="shared" si="5"/>
        <v>0</v>
      </c>
      <c r="I372" s="309">
        <f t="shared" si="5"/>
        <v>0</v>
      </c>
      <c r="J372" s="309">
        <f t="shared" si="5"/>
        <v>0</v>
      </c>
      <c r="K372" s="309">
        <f t="shared" si="5"/>
        <v>0</v>
      </c>
      <c r="L372" s="309">
        <f t="shared" si="5"/>
        <v>0</v>
      </c>
      <c r="M372" s="309">
        <f t="shared" si="5"/>
        <v>29930231.031216931</v>
      </c>
      <c r="N372" s="309">
        <f t="shared" si="5"/>
        <v>25653030.235552385</v>
      </c>
      <c r="O372" s="309">
        <f t="shared" si="5"/>
        <v>31794910.662809316</v>
      </c>
      <c r="P372" s="309">
        <f t="shared" si="5"/>
        <v>23157319.116410084</v>
      </c>
      <c r="Q372" s="309">
        <f t="shared" si="5"/>
        <v>20116102.495890595</v>
      </c>
      <c r="R372" s="309">
        <f t="shared" si="5"/>
        <v>16350124.130881941</v>
      </c>
      <c r="S372" s="309">
        <f t="shared" si="5"/>
        <v>6782428.4528946411</v>
      </c>
      <c r="T372" s="309">
        <f t="shared" si="5"/>
        <v>7800480.2632685471</v>
      </c>
      <c r="U372" s="309">
        <f t="shared" si="5"/>
        <v>2890351.6592335752</v>
      </c>
      <c r="V372" s="309">
        <f t="shared" si="5"/>
        <v>11325042.337280583</v>
      </c>
      <c r="W372" s="309">
        <f t="shared" si="5"/>
        <v>1996274.0216690002</v>
      </c>
      <c r="X372" s="309">
        <f t="shared" si="5"/>
        <v>2012999.7234190702</v>
      </c>
      <c r="Y372" s="309">
        <f t="shared" si="5"/>
        <v>10604511.765173072</v>
      </c>
      <c r="Z372" s="309">
        <f t="shared" si="5"/>
        <v>15826256.930000002</v>
      </c>
      <c r="AA372" s="309">
        <f t="shared" si="5"/>
        <v>0</v>
      </c>
      <c r="AB372" s="309">
        <f t="shared" si="5"/>
        <v>0</v>
      </c>
      <c r="AC372" s="309">
        <f t="shared" si="5"/>
        <v>0</v>
      </c>
      <c r="AD372" s="309">
        <f t="shared" si="5"/>
        <v>0</v>
      </c>
      <c r="AE372" s="309">
        <f t="shared" si="5"/>
        <v>0</v>
      </c>
      <c r="AF372" s="309">
        <f t="shared" si="5"/>
        <v>0</v>
      </c>
      <c r="AG372" s="309">
        <f t="shared" si="5"/>
        <v>0</v>
      </c>
      <c r="AH372" s="309">
        <f t="shared" si="5"/>
        <v>0</v>
      </c>
      <c r="AI372" s="309">
        <f t="shared" si="5"/>
        <v>0</v>
      </c>
      <c r="AJ372" s="309">
        <f t="shared" si="5"/>
        <v>0</v>
      </c>
      <c r="AK372" s="309">
        <f t="shared" si="5"/>
        <v>0</v>
      </c>
      <c r="AL372" s="309">
        <f t="shared" si="5"/>
        <v>0</v>
      </c>
      <c r="AM372" s="309">
        <f t="shared" si="5"/>
        <v>0</v>
      </c>
      <c r="AN372" s="309">
        <f t="shared" si="5"/>
        <v>0</v>
      </c>
      <c r="AO372" s="309">
        <f>+AO371+AO370</f>
        <v>0</v>
      </c>
      <c r="AP372" s="309"/>
      <c r="AQ372" s="309"/>
      <c r="AR372" s="309"/>
      <c r="AS372" s="309"/>
      <c r="AT372" s="309"/>
      <c r="AU372" s="309"/>
      <c r="AV372" s="309"/>
      <c r="AW372" s="309"/>
      <c r="AX372" s="309"/>
      <c r="AY372" s="309"/>
      <c r="AZ372" s="309"/>
      <c r="BA372" s="309"/>
      <c r="BB372" s="309"/>
      <c r="BC372" s="309"/>
      <c r="BD372" s="309"/>
      <c r="BE372" s="309"/>
      <c r="BF372" s="309"/>
      <c r="BG372" s="309"/>
      <c r="BH372" s="309"/>
      <c r="BI372" s="309"/>
      <c r="BJ372" s="309"/>
      <c r="BK372" s="309"/>
    </row>
    <row r="373" spans="1:63" s="80" customFormat="1" ht="12.75">
      <c r="A373" s="167"/>
      <c r="B373" s="210" t="str">
        <f>IF(SUM(F373:Z373)&gt;0,Servicio_internaColumna_título_amortizaciones,"")</f>
        <v>Amortizaciones</v>
      </c>
      <c r="C373" s="254"/>
      <c r="D373" s="255"/>
      <c r="E373" s="255"/>
      <c r="F373" s="255"/>
      <c r="G373" s="255"/>
      <c r="H373" s="255"/>
      <c r="I373" s="255"/>
      <c r="J373" s="255"/>
      <c r="K373" s="255"/>
      <c r="L373" s="255"/>
      <c r="M373" s="255">
        <v>18735335.041959018</v>
      </c>
      <c r="N373" s="255">
        <v>16061382.431369537</v>
      </c>
      <c r="O373" s="255">
        <v>23221144.691799335</v>
      </c>
      <c r="P373" s="255">
        <v>16962246.439134832</v>
      </c>
      <c r="Q373" s="255">
        <v>15037203.692530036</v>
      </c>
      <c r="R373" s="255">
        <v>11305235.938534427</v>
      </c>
      <c r="S373" s="255">
        <v>3396340.0616832599</v>
      </c>
      <c r="T373" s="255">
        <v>5085662.7</v>
      </c>
      <c r="U373" s="255">
        <v>0</v>
      </c>
      <c r="V373" s="255">
        <v>8418925.0999999996</v>
      </c>
      <c r="W373" s="255">
        <v>0</v>
      </c>
      <c r="X373" s="255">
        <v>0</v>
      </c>
      <c r="Y373" s="255">
        <v>8876134.5178966466</v>
      </c>
      <c r="Z373" s="255">
        <v>14819146.6</v>
      </c>
      <c r="AA373" s="255">
        <v>0</v>
      </c>
      <c r="AB373" s="255">
        <v>0</v>
      </c>
      <c r="AC373" s="255">
        <v>0</v>
      </c>
      <c r="AD373" s="255">
        <v>0</v>
      </c>
      <c r="AE373" s="255">
        <v>0</v>
      </c>
      <c r="AF373" s="255">
        <v>0</v>
      </c>
      <c r="AG373" s="255">
        <v>0</v>
      </c>
      <c r="AH373" s="255">
        <v>0</v>
      </c>
      <c r="AI373" s="255">
        <v>0</v>
      </c>
      <c r="AJ373" s="255">
        <v>0</v>
      </c>
      <c r="AK373" s="255">
        <v>0</v>
      </c>
      <c r="AL373" s="255">
        <v>0</v>
      </c>
      <c r="AM373" s="255"/>
      <c r="AN373" s="255"/>
      <c r="AO373" s="255"/>
      <c r="AP373" s="255"/>
      <c r="AQ373" s="255"/>
      <c r="AR373" s="255"/>
      <c r="AS373" s="255"/>
      <c r="AT373" s="255"/>
      <c r="AU373" s="255"/>
      <c r="AV373" s="255"/>
      <c r="AW373" s="255"/>
      <c r="AX373" s="255"/>
      <c r="AY373" s="255"/>
      <c r="AZ373" s="255"/>
      <c r="BA373" s="255"/>
      <c r="BB373" s="255"/>
      <c r="BC373" s="255"/>
      <c r="BD373" s="255"/>
      <c r="BE373" s="255"/>
      <c r="BF373" s="255"/>
      <c r="BG373" s="255"/>
      <c r="BH373" s="255"/>
      <c r="BI373" s="255"/>
      <c r="BJ373" s="255"/>
      <c r="BK373" s="255"/>
    </row>
    <row r="374" spans="1:63" s="133" customFormat="1" ht="12.75">
      <c r="A374" s="168">
        <v>40603</v>
      </c>
      <c r="B374" s="213" t="str">
        <f>IF(SUM(F374:Z374)&gt;0,Servicio_internaColumna_título_intereses,"")</f>
        <v>Intereses</v>
      </c>
      <c r="C374" s="256"/>
      <c r="D374" s="257"/>
      <c r="E374" s="257"/>
      <c r="F374" s="257"/>
      <c r="G374" s="257"/>
      <c r="H374" s="257"/>
      <c r="I374" s="257"/>
      <c r="J374" s="257"/>
      <c r="K374" s="257"/>
      <c r="L374" s="257"/>
      <c r="M374" s="257">
        <v>10062120.59148165</v>
      </c>
      <c r="N374" s="257">
        <v>10341441.305185305</v>
      </c>
      <c r="O374" s="257">
        <v>8921654.5702954642</v>
      </c>
      <c r="P374" s="257">
        <v>7250005.4457178777</v>
      </c>
      <c r="Q374" s="257">
        <v>5546560.4109880095</v>
      </c>
      <c r="R374" s="257">
        <v>4436417.8863390721</v>
      </c>
      <c r="S374" s="257">
        <v>3662000.9098914536</v>
      </c>
      <c r="T374" s="257">
        <v>3502932.3095104434</v>
      </c>
      <c r="U374" s="258">
        <v>2947713.6337908069</v>
      </c>
      <c r="V374" s="258">
        <v>2963905.1501745302</v>
      </c>
      <c r="W374" s="258">
        <v>2054500.6510497672</v>
      </c>
      <c r="X374" s="258">
        <v>2071678.2307812602</v>
      </c>
      <c r="Y374" s="258">
        <v>2089371.137904698</v>
      </c>
      <c r="Z374" s="258">
        <v>1481914.6600000001</v>
      </c>
      <c r="AA374" s="258">
        <v>0</v>
      </c>
      <c r="AB374" s="258">
        <v>0</v>
      </c>
      <c r="AC374" s="258">
        <v>0</v>
      </c>
      <c r="AD374" s="259">
        <v>0</v>
      </c>
      <c r="AE374" s="259">
        <v>0</v>
      </c>
      <c r="AF374" s="259">
        <v>0</v>
      </c>
      <c r="AG374" s="259">
        <v>0</v>
      </c>
      <c r="AH374" s="259">
        <v>0</v>
      </c>
      <c r="AI374" s="259">
        <v>0</v>
      </c>
      <c r="AJ374" s="259">
        <v>0</v>
      </c>
      <c r="AK374" s="259">
        <v>0</v>
      </c>
      <c r="AL374" s="259">
        <v>0</v>
      </c>
      <c r="AM374" s="259">
        <v>0</v>
      </c>
      <c r="AN374" s="259">
        <v>0</v>
      </c>
      <c r="AO374" s="259">
        <v>0</v>
      </c>
      <c r="AP374" s="259"/>
      <c r="AQ374" s="259"/>
      <c r="AR374" s="259"/>
      <c r="AS374" s="259"/>
      <c r="AT374" s="259"/>
      <c r="AU374" s="259"/>
      <c r="AV374" s="259"/>
      <c r="AW374" s="259"/>
      <c r="AX374" s="259"/>
      <c r="AY374" s="259"/>
      <c r="AZ374" s="259"/>
      <c r="BA374" s="259"/>
      <c r="BB374" s="259"/>
      <c r="BC374" s="259"/>
      <c r="BD374" s="259"/>
      <c r="BE374" s="259"/>
      <c r="BF374" s="259"/>
      <c r="BG374" s="259"/>
      <c r="BH374" s="259"/>
      <c r="BI374" s="259"/>
      <c r="BJ374" s="259"/>
      <c r="BK374" s="259"/>
    </row>
    <row r="375" spans="1:63" s="133" customFormat="1" ht="12.75">
      <c r="A375" s="169"/>
      <c r="B375" s="307" t="str">
        <f>IF(SUM(F375:Z375)&gt;0,Servicio_internaColumna_título_total,"")</f>
        <v>Total</v>
      </c>
      <c r="C375" s="308"/>
      <c r="D375" s="309"/>
      <c r="E375" s="309"/>
      <c r="F375" s="309"/>
      <c r="G375" s="309"/>
      <c r="H375" s="309"/>
      <c r="I375" s="309"/>
      <c r="J375" s="309"/>
      <c r="K375" s="309"/>
      <c r="L375" s="309"/>
      <c r="M375" s="309">
        <v>28797455.633440666</v>
      </c>
      <c r="N375" s="309">
        <v>26402823.736554842</v>
      </c>
      <c r="O375" s="309">
        <v>32142799.262094799</v>
      </c>
      <c r="P375" s="309">
        <v>24212251.884852711</v>
      </c>
      <c r="Q375" s="309">
        <v>20583764.103518046</v>
      </c>
      <c r="R375" s="309">
        <v>15741653.8248735</v>
      </c>
      <c r="S375" s="309">
        <v>7058340.9715747135</v>
      </c>
      <c r="T375" s="309">
        <v>8588595.0095104426</v>
      </c>
      <c r="U375" s="309">
        <v>2947713.6337908069</v>
      </c>
      <c r="V375" s="309">
        <v>11382830.25017453</v>
      </c>
      <c r="W375" s="309">
        <v>2054500.6510497672</v>
      </c>
      <c r="X375" s="309">
        <v>2071678.2307812602</v>
      </c>
      <c r="Y375" s="309">
        <v>10965505.655801345</v>
      </c>
      <c r="Z375" s="309">
        <v>16301061.26</v>
      </c>
      <c r="AA375" s="309">
        <v>0</v>
      </c>
      <c r="AB375" s="309">
        <v>0</v>
      </c>
      <c r="AC375" s="309">
        <v>0</v>
      </c>
      <c r="AD375" s="309">
        <v>0</v>
      </c>
      <c r="AE375" s="309">
        <v>0</v>
      </c>
      <c r="AF375" s="309">
        <v>0</v>
      </c>
      <c r="AG375" s="309">
        <v>0</v>
      </c>
      <c r="AH375" s="309">
        <v>0</v>
      </c>
      <c r="AI375" s="309">
        <v>0</v>
      </c>
      <c r="AJ375" s="309">
        <v>0</v>
      </c>
      <c r="AK375" s="309">
        <v>0</v>
      </c>
      <c r="AL375" s="309">
        <v>0</v>
      </c>
      <c r="AM375" s="309">
        <f>AM373+AM374</f>
        <v>0</v>
      </c>
      <c r="AN375" s="309">
        <f>AN373+AN374</f>
        <v>0</v>
      </c>
      <c r="AO375" s="309">
        <f>AO373+AO374</f>
        <v>0</v>
      </c>
      <c r="AP375" s="309"/>
      <c r="AQ375" s="309"/>
      <c r="AR375" s="309"/>
      <c r="AS375" s="309"/>
      <c r="AT375" s="309"/>
      <c r="AU375" s="309"/>
      <c r="AV375" s="309"/>
      <c r="AW375" s="309"/>
      <c r="AX375" s="309"/>
      <c r="AY375" s="309"/>
      <c r="AZ375" s="309"/>
      <c r="BA375" s="309"/>
      <c r="BB375" s="309"/>
      <c r="BC375" s="309"/>
      <c r="BD375" s="309"/>
      <c r="BE375" s="309"/>
      <c r="BF375" s="309"/>
      <c r="BG375" s="309"/>
      <c r="BH375" s="309"/>
      <c r="BI375" s="309"/>
      <c r="BJ375" s="309"/>
      <c r="BK375" s="309"/>
    </row>
    <row r="376" spans="1:63" s="80" customFormat="1" ht="12.75">
      <c r="A376" s="167"/>
      <c r="B376" s="210" t="str">
        <f>Servicio_internaColumna_título_amortizaciones</f>
        <v>Amortizaciones</v>
      </c>
      <c r="C376" s="254"/>
      <c r="D376" s="255"/>
      <c r="E376" s="255"/>
      <c r="F376" s="255"/>
      <c r="G376" s="255"/>
      <c r="H376" s="255"/>
      <c r="I376" s="255"/>
      <c r="J376" s="255"/>
      <c r="K376" s="255"/>
      <c r="L376" s="255"/>
      <c r="M376" s="255">
        <v>18428789.397732791</v>
      </c>
      <c r="N376" s="255">
        <v>16323292.226460958</v>
      </c>
      <c r="O376" s="255">
        <v>23250635.33694867</v>
      </c>
      <c r="P376" s="255">
        <v>18094748.234857578</v>
      </c>
      <c r="Q376" s="255">
        <v>15459709.823392842</v>
      </c>
      <c r="R376" s="255">
        <v>11305584.512319796</v>
      </c>
      <c r="S376" s="255">
        <v>3611255.8621533606</v>
      </c>
      <c r="T376" s="255">
        <v>5990299.5999999996</v>
      </c>
      <c r="U376" s="255">
        <v>0</v>
      </c>
      <c r="V376" s="255">
        <v>8418925.0999999996</v>
      </c>
      <c r="W376" s="255">
        <v>0</v>
      </c>
      <c r="X376" s="255">
        <v>0</v>
      </c>
      <c r="Y376" s="255">
        <v>9102575.1966475453</v>
      </c>
      <c r="Z376" s="255">
        <v>15276455.9</v>
      </c>
      <c r="AA376" s="255">
        <v>0</v>
      </c>
      <c r="AB376" s="255">
        <v>0</v>
      </c>
      <c r="AC376" s="255">
        <v>0</v>
      </c>
      <c r="AD376" s="255">
        <v>0</v>
      </c>
      <c r="AE376" s="255">
        <v>0</v>
      </c>
      <c r="AF376" s="255">
        <v>0</v>
      </c>
      <c r="AG376" s="255">
        <v>0</v>
      </c>
      <c r="AH376" s="255">
        <v>0</v>
      </c>
      <c r="AI376" s="255">
        <v>0</v>
      </c>
      <c r="AJ376" s="255">
        <v>0</v>
      </c>
      <c r="AK376" s="255">
        <v>0</v>
      </c>
      <c r="AL376" s="255">
        <v>0</v>
      </c>
      <c r="AM376" s="255"/>
      <c r="AN376" s="255"/>
      <c r="AO376" s="255"/>
      <c r="AP376" s="255"/>
      <c r="AQ376" s="255"/>
      <c r="AR376" s="255"/>
      <c r="AS376" s="255"/>
      <c r="AT376" s="255"/>
      <c r="AU376" s="255"/>
      <c r="AV376" s="255"/>
      <c r="AW376" s="255"/>
      <c r="AX376" s="255"/>
      <c r="AY376" s="255"/>
      <c r="AZ376" s="255"/>
      <c r="BA376" s="255"/>
      <c r="BB376" s="255"/>
      <c r="BC376" s="255"/>
      <c r="BD376" s="255"/>
      <c r="BE376" s="255"/>
      <c r="BF376" s="255"/>
      <c r="BG376" s="255"/>
      <c r="BH376" s="255"/>
      <c r="BI376" s="255"/>
      <c r="BJ376" s="255"/>
      <c r="BK376" s="255"/>
    </row>
    <row r="377" spans="1:63" s="133" customFormat="1" ht="12.75">
      <c r="A377" s="168">
        <v>40634</v>
      </c>
      <c r="B377" s="213" t="str">
        <f>Servicio_internaColumna_título_intereses</f>
        <v>Intereses</v>
      </c>
      <c r="C377" s="256"/>
      <c r="D377" s="257"/>
      <c r="E377" s="257"/>
      <c r="F377" s="257"/>
      <c r="G377" s="257"/>
      <c r="H377" s="257"/>
      <c r="I377" s="257"/>
      <c r="J377" s="257"/>
      <c r="K377" s="257"/>
      <c r="L377" s="257"/>
      <c r="M377" s="257">
        <v>9500163.1441687234</v>
      </c>
      <c r="N377" s="257">
        <v>10639321.903488465</v>
      </c>
      <c r="O377" s="257">
        <v>9220971.3583036233</v>
      </c>
      <c r="P377" s="257">
        <v>7550828.9523353614</v>
      </c>
      <c r="Q377" s="257">
        <v>5744432.2888810793</v>
      </c>
      <c r="R377" s="257">
        <v>4604352.7683830271</v>
      </c>
      <c r="S377" s="257">
        <v>3830612.7735302784</v>
      </c>
      <c r="T377" s="257">
        <v>3661649.9585825549</v>
      </c>
      <c r="U377" s="258">
        <v>3004869.9907125924</v>
      </c>
      <c r="V377" s="258">
        <v>3021404.2699039709</v>
      </c>
      <c r="W377" s="258">
        <v>2112352.8164710896</v>
      </c>
      <c r="X377" s="258">
        <v>2129894.0332652223</v>
      </c>
      <c r="Y377" s="258">
        <v>2147961.4865631778</v>
      </c>
      <c r="Z377" s="258">
        <v>1527645.5900000017</v>
      </c>
      <c r="AA377" s="258">
        <v>0</v>
      </c>
      <c r="AB377" s="258">
        <v>0</v>
      </c>
      <c r="AC377" s="258">
        <v>0</v>
      </c>
      <c r="AD377" s="259">
        <v>0</v>
      </c>
      <c r="AE377" s="259">
        <v>0</v>
      </c>
      <c r="AF377" s="259">
        <v>0</v>
      </c>
      <c r="AG377" s="259">
        <v>0</v>
      </c>
      <c r="AH377" s="259">
        <v>0</v>
      </c>
      <c r="AI377" s="259">
        <v>0</v>
      </c>
      <c r="AJ377" s="259">
        <v>0</v>
      </c>
      <c r="AK377" s="259">
        <v>0</v>
      </c>
      <c r="AL377" s="259">
        <v>0</v>
      </c>
      <c r="AM377" s="259">
        <v>0</v>
      </c>
      <c r="AN377" s="259">
        <v>0</v>
      </c>
      <c r="AO377" s="259">
        <v>0</v>
      </c>
      <c r="AP377" s="259"/>
      <c r="AQ377" s="259"/>
      <c r="AR377" s="259"/>
      <c r="AS377" s="259"/>
      <c r="AT377" s="259"/>
      <c r="AU377" s="259"/>
      <c r="AV377" s="259"/>
      <c r="AW377" s="259"/>
      <c r="AX377" s="259"/>
      <c r="AY377" s="259"/>
      <c r="AZ377" s="259"/>
      <c r="BA377" s="259"/>
      <c r="BB377" s="259"/>
      <c r="BC377" s="259"/>
      <c r="BD377" s="259"/>
      <c r="BE377" s="259"/>
      <c r="BF377" s="259"/>
      <c r="BG377" s="259"/>
      <c r="BH377" s="259"/>
      <c r="BI377" s="259"/>
      <c r="BJ377" s="259"/>
      <c r="BK377" s="259"/>
    </row>
    <row r="378" spans="1:63" s="133" customFormat="1" ht="12.75">
      <c r="A378" s="169"/>
      <c r="B378" s="307" t="str">
        <f>Servicio_internaColumna_título_total</f>
        <v>Total</v>
      </c>
      <c r="C378" s="308"/>
      <c r="D378" s="309"/>
      <c r="E378" s="309"/>
      <c r="F378" s="309"/>
      <c r="G378" s="309"/>
      <c r="H378" s="309"/>
      <c r="I378" s="309"/>
      <c r="J378" s="309"/>
      <c r="K378" s="309"/>
      <c r="L378" s="309"/>
      <c r="M378" s="309">
        <v>27928952.541901514</v>
      </c>
      <c r="N378" s="309">
        <v>26962614.129949421</v>
      </c>
      <c r="O378" s="309">
        <v>32471606.695252292</v>
      </c>
      <c r="P378" s="309">
        <v>25645577.187192939</v>
      </c>
      <c r="Q378" s="309">
        <v>21204142.11227392</v>
      </c>
      <c r="R378" s="309">
        <v>15909937.280702822</v>
      </c>
      <c r="S378" s="309">
        <v>7441868.635683639</v>
      </c>
      <c r="T378" s="309">
        <v>9651949.5585825555</v>
      </c>
      <c r="U378" s="309">
        <v>3004869.9907125924</v>
      </c>
      <c r="V378" s="309">
        <v>11440329.369903971</v>
      </c>
      <c r="W378" s="309">
        <v>2112352.8164710896</v>
      </c>
      <c r="X378" s="309">
        <v>2129894.0332652223</v>
      </c>
      <c r="Y378" s="309">
        <v>11250536.683210723</v>
      </c>
      <c r="Z378" s="309">
        <v>16804101.490000002</v>
      </c>
      <c r="AA378" s="309">
        <v>0</v>
      </c>
      <c r="AB378" s="309">
        <v>0</v>
      </c>
      <c r="AC378" s="309">
        <v>0</v>
      </c>
      <c r="AD378" s="309">
        <v>0</v>
      </c>
      <c r="AE378" s="309">
        <v>0</v>
      </c>
      <c r="AF378" s="309">
        <v>0</v>
      </c>
      <c r="AG378" s="309">
        <v>0</v>
      </c>
      <c r="AH378" s="309">
        <v>0</v>
      </c>
      <c r="AI378" s="309">
        <v>0</v>
      </c>
      <c r="AJ378" s="309">
        <v>0</v>
      </c>
      <c r="AK378" s="309">
        <v>0</v>
      </c>
      <c r="AL378" s="309">
        <v>0</v>
      </c>
      <c r="AM378" s="309">
        <f>AM376+AM377</f>
        <v>0</v>
      </c>
      <c r="AN378" s="309">
        <f>AN376+AN377</f>
        <v>0</v>
      </c>
      <c r="AO378" s="309">
        <f>AO376+AO377</f>
        <v>0</v>
      </c>
      <c r="AP378" s="309"/>
      <c r="AQ378" s="309"/>
      <c r="AR378" s="309"/>
      <c r="AS378" s="309"/>
      <c r="AT378" s="309"/>
      <c r="AU378" s="309"/>
      <c r="AV378" s="309"/>
      <c r="AW378" s="309"/>
      <c r="AX378" s="309"/>
      <c r="AY378" s="309"/>
      <c r="AZ378" s="309"/>
      <c r="BA378" s="309"/>
      <c r="BB378" s="309"/>
      <c r="BC378" s="309"/>
      <c r="BD378" s="309"/>
      <c r="BE378" s="309"/>
      <c r="BF378" s="309"/>
      <c r="BG378" s="309"/>
      <c r="BH378" s="309"/>
      <c r="BI378" s="309"/>
      <c r="BJ378" s="309"/>
      <c r="BK378" s="309"/>
    </row>
    <row r="379" spans="1:63" s="80" customFormat="1" ht="12.75">
      <c r="A379" s="167"/>
      <c r="B379" s="210" t="str">
        <f>Servicio_internaColumna_título_amortizaciones</f>
        <v>Amortizaciones</v>
      </c>
      <c r="C379" s="254"/>
      <c r="D379" s="255"/>
      <c r="E379" s="255"/>
      <c r="F379" s="255"/>
      <c r="G379" s="255"/>
      <c r="H379" s="255"/>
      <c r="I379" s="255"/>
      <c r="J379" s="255"/>
      <c r="K379" s="255"/>
      <c r="L379" s="255"/>
      <c r="M379" s="255">
        <v>9227172.9868911374</v>
      </c>
      <c r="N379" s="255">
        <v>16568748.188310672</v>
      </c>
      <c r="O379" s="255">
        <v>23293350.589853507</v>
      </c>
      <c r="P379" s="255">
        <v>19563565.040675942</v>
      </c>
      <c r="Q379" s="255">
        <v>16216411.767817322</v>
      </c>
      <c r="R379" s="255">
        <v>11262676.373591989</v>
      </c>
      <c r="S379" s="255">
        <v>3900871.65892831</v>
      </c>
      <c r="T379" s="255">
        <v>6685124.5</v>
      </c>
      <c r="U379" s="255">
        <v>0</v>
      </c>
      <c r="V379" s="255">
        <v>8418925.0999999996</v>
      </c>
      <c r="W379" s="255">
        <v>0</v>
      </c>
      <c r="X379" s="255">
        <v>0</v>
      </c>
      <c r="Y379" s="255">
        <v>9396171.2494593021</v>
      </c>
      <c r="Z379" s="255">
        <v>15674384.699999999</v>
      </c>
      <c r="AA379" s="255">
        <v>0</v>
      </c>
      <c r="AB379" s="255">
        <v>0</v>
      </c>
      <c r="AC379" s="255">
        <v>0</v>
      </c>
      <c r="AD379" s="255">
        <v>0</v>
      </c>
      <c r="AE379" s="255">
        <v>0</v>
      </c>
      <c r="AF379" s="255">
        <v>0</v>
      </c>
      <c r="AG379" s="255">
        <v>0</v>
      </c>
      <c r="AH379" s="255">
        <v>0</v>
      </c>
      <c r="AI379" s="255">
        <v>0</v>
      </c>
      <c r="AJ379" s="255">
        <v>0</v>
      </c>
      <c r="AK379" s="255">
        <v>0</v>
      </c>
      <c r="AL379" s="255">
        <v>0</v>
      </c>
      <c r="AM379" s="255"/>
      <c r="AN379" s="255"/>
      <c r="AO379" s="255"/>
      <c r="AP379" s="255"/>
      <c r="AQ379" s="255"/>
      <c r="AR379" s="255"/>
      <c r="AS379" s="255"/>
      <c r="AT379" s="255"/>
      <c r="AU379" s="255"/>
      <c r="AV379" s="255"/>
      <c r="AW379" s="255"/>
      <c r="AX379" s="255"/>
      <c r="AY379" s="255"/>
      <c r="AZ379" s="255"/>
      <c r="BA379" s="255"/>
      <c r="BB379" s="255"/>
      <c r="BC379" s="255"/>
      <c r="BD379" s="255"/>
      <c r="BE379" s="255"/>
      <c r="BF379" s="255"/>
      <c r="BG379" s="255"/>
      <c r="BH379" s="255"/>
      <c r="BI379" s="255"/>
      <c r="BJ379" s="255"/>
      <c r="BK379" s="255"/>
    </row>
    <row r="380" spans="1:63" s="133" customFormat="1" ht="12.75">
      <c r="A380" s="168">
        <v>40664</v>
      </c>
      <c r="B380" s="213" t="str">
        <f>Servicio_internaColumna_título_intereses</f>
        <v>Intereses</v>
      </c>
      <c r="C380" s="256"/>
      <c r="D380" s="257"/>
      <c r="E380" s="257"/>
      <c r="F380" s="257"/>
      <c r="G380" s="257"/>
      <c r="H380" s="257"/>
      <c r="I380" s="257"/>
      <c r="J380" s="257"/>
      <c r="K380" s="257"/>
      <c r="L380" s="257"/>
      <c r="M380" s="257">
        <v>7325346.0579421259</v>
      </c>
      <c r="N380" s="257">
        <v>10988348.833660977</v>
      </c>
      <c r="O380" s="257">
        <v>9571633.6950683929</v>
      </c>
      <c r="P380" s="257">
        <v>7901075.4631644171</v>
      </c>
      <c r="Q380" s="257">
        <v>5953174.1920869648</v>
      </c>
      <c r="R380" s="257">
        <v>4755178.7101015756</v>
      </c>
      <c r="S380" s="257">
        <v>3978907.0531158559</v>
      </c>
      <c r="T380" s="257">
        <v>3796060.434214172</v>
      </c>
      <c r="U380" s="258">
        <v>3061321.4876792817</v>
      </c>
      <c r="V380" s="258">
        <v>3078355.5253796596</v>
      </c>
      <c r="W380" s="258">
        <v>2169818.8232110506</v>
      </c>
      <c r="X380" s="258">
        <v>2187890.2338073817</v>
      </c>
      <c r="Y380" s="258">
        <v>2206503.7867216039</v>
      </c>
      <c r="Z380" s="258">
        <v>1567438.4699999988</v>
      </c>
      <c r="AA380" s="258">
        <v>0</v>
      </c>
      <c r="AB380" s="258">
        <v>0</v>
      </c>
      <c r="AC380" s="258">
        <v>0</v>
      </c>
      <c r="AD380" s="259">
        <v>0</v>
      </c>
      <c r="AE380" s="259">
        <v>0</v>
      </c>
      <c r="AF380" s="259">
        <v>0</v>
      </c>
      <c r="AG380" s="259">
        <v>0</v>
      </c>
      <c r="AH380" s="259">
        <v>0</v>
      </c>
      <c r="AI380" s="259">
        <v>0</v>
      </c>
      <c r="AJ380" s="259">
        <v>0</v>
      </c>
      <c r="AK380" s="259">
        <v>0</v>
      </c>
      <c r="AL380" s="259">
        <v>0</v>
      </c>
      <c r="AM380" s="259">
        <v>0</v>
      </c>
      <c r="AN380" s="259">
        <v>0</v>
      </c>
      <c r="AO380" s="259">
        <v>0</v>
      </c>
      <c r="AP380" s="259"/>
      <c r="AQ380" s="259"/>
      <c r="AR380" s="259"/>
      <c r="AS380" s="259"/>
      <c r="AT380" s="259"/>
      <c r="AU380" s="259"/>
      <c r="AV380" s="259"/>
      <c r="AW380" s="259"/>
      <c r="AX380" s="259"/>
      <c r="AY380" s="259"/>
      <c r="AZ380" s="259"/>
      <c r="BA380" s="259"/>
      <c r="BB380" s="259"/>
      <c r="BC380" s="259"/>
      <c r="BD380" s="259"/>
      <c r="BE380" s="259"/>
      <c r="BF380" s="259"/>
      <c r="BG380" s="259"/>
      <c r="BH380" s="259"/>
      <c r="BI380" s="259"/>
      <c r="BJ380" s="259"/>
      <c r="BK380" s="259"/>
    </row>
    <row r="381" spans="1:63" s="133" customFormat="1" ht="12.75">
      <c r="A381" s="169"/>
      <c r="B381" s="307" t="str">
        <f>Servicio_internaColumna_título_total</f>
        <v>Total</v>
      </c>
      <c r="C381" s="308"/>
      <c r="D381" s="309"/>
      <c r="E381" s="309"/>
      <c r="F381" s="309"/>
      <c r="G381" s="309"/>
      <c r="H381" s="309"/>
      <c r="I381" s="309"/>
      <c r="J381" s="309"/>
      <c r="K381" s="309"/>
      <c r="L381" s="309"/>
      <c r="M381" s="309">
        <v>16552519.044833263</v>
      </c>
      <c r="N381" s="309">
        <v>27557097.02197165</v>
      </c>
      <c r="O381" s="309">
        <v>32864984.284921899</v>
      </c>
      <c r="P381" s="309">
        <v>27464640.503840357</v>
      </c>
      <c r="Q381" s="309">
        <v>22169585.959904287</v>
      </c>
      <c r="R381" s="309">
        <v>16017855.083693564</v>
      </c>
      <c r="S381" s="309">
        <v>7879778.7120441664</v>
      </c>
      <c r="T381" s="309">
        <v>10481184.934214171</v>
      </c>
      <c r="U381" s="309">
        <v>3061321.4876792817</v>
      </c>
      <c r="V381" s="309">
        <v>11497280.625379659</v>
      </c>
      <c r="W381" s="309">
        <v>2169818.8232110506</v>
      </c>
      <c r="X381" s="309">
        <v>2187890.2338073817</v>
      </c>
      <c r="Y381" s="309">
        <v>11602675.036180906</v>
      </c>
      <c r="Z381" s="309">
        <v>17241823.169999998</v>
      </c>
      <c r="AA381" s="309">
        <v>0</v>
      </c>
      <c r="AB381" s="309">
        <v>0</v>
      </c>
      <c r="AC381" s="309">
        <v>0</v>
      </c>
      <c r="AD381" s="309">
        <v>0</v>
      </c>
      <c r="AE381" s="309">
        <v>0</v>
      </c>
      <c r="AF381" s="309">
        <v>0</v>
      </c>
      <c r="AG381" s="309">
        <v>0</v>
      </c>
      <c r="AH381" s="309">
        <v>0</v>
      </c>
      <c r="AI381" s="309">
        <v>0</v>
      </c>
      <c r="AJ381" s="309">
        <v>0</v>
      </c>
      <c r="AK381" s="309">
        <v>0</v>
      </c>
      <c r="AL381" s="309">
        <v>0</v>
      </c>
      <c r="AM381" s="309">
        <f>AM379+AM380</f>
        <v>0</v>
      </c>
      <c r="AN381" s="309">
        <f>AN379+AN380</f>
        <v>0</v>
      </c>
      <c r="AO381" s="309">
        <f>AO379+AO380</f>
        <v>0</v>
      </c>
      <c r="AP381" s="309"/>
      <c r="AQ381" s="309"/>
      <c r="AR381" s="309"/>
      <c r="AS381" s="309"/>
      <c r="AT381" s="309"/>
      <c r="AU381" s="309"/>
      <c r="AV381" s="309"/>
      <c r="AW381" s="309"/>
      <c r="AX381" s="309"/>
      <c r="AY381" s="309"/>
      <c r="AZ381" s="309"/>
      <c r="BA381" s="309"/>
      <c r="BB381" s="309"/>
      <c r="BC381" s="309"/>
      <c r="BD381" s="309"/>
      <c r="BE381" s="309"/>
      <c r="BF381" s="309"/>
      <c r="BG381" s="309"/>
      <c r="BH381" s="309"/>
      <c r="BI381" s="309"/>
      <c r="BJ381" s="309"/>
      <c r="BK381" s="309"/>
    </row>
    <row r="382" spans="1:63" s="80" customFormat="1" ht="12.75">
      <c r="A382" s="167"/>
      <c r="B382" s="210" t="str">
        <f>Servicio_internaColumna_título_amortizaciones</f>
        <v>Amortizaciones</v>
      </c>
      <c r="C382" s="254"/>
      <c r="D382" s="255"/>
      <c r="E382" s="255"/>
      <c r="F382" s="255"/>
      <c r="G382" s="255"/>
      <c r="H382" s="255"/>
      <c r="I382" s="255"/>
      <c r="J382" s="255"/>
      <c r="K382" s="255"/>
      <c r="L382" s="255"/>
      <c r="M382" s="255">
        <v>5532405.9459710624</v>
      </c>
      <c r="N382" s="255">
        <v>17013187.801579677</v>
      </c>
      <c r="O382" s="255">
        <v>23307753.995351169</v>
      </c>
      <c r="P382" s="255">
        <v>19975579.319225263</v>
      </c>
      <c r="Q382" s="255">
        <v>17714452.422335386</v>
      </c>
      <c r="R382" s="255">
        <v>11262839.706993716</v>
      </c>
      <c r="S382" s="255">
        <v>4194614.3442380102</v>
      </c>
      <c r="T382" s="255">
        <v>7413389.7999999998</v>
      </c>
      <c r="U382" s="255">
        <v>0</v>
      </c>
      <c r="V382" s="255">
        <v>8428925.0999999996</v>
      </c>
      <c r="W382" s="255">
        <v>0</v>
      </c>
      <c r="X382" s="255">
        <v>0</v>
      </c>
      <c r="Y382" s="255">
        <v>9717279.2381630745</v>
      </c>
      <c r="Z382" s="255">
        <v>16163357.9</v>
      </c>
      <c r="AA382" s="255">
        <v>0</v>
      </c>
      <c r="AB382" s="255">
        <v>0</v>
      </c>
      <c r="AC382" s="255">
        <v>0</v>
      </c>
      <c r="AD382" s="255">
        <v>0</v>
      </c>
      <c r="AE382" s="255">
        <v>0</v>
      </c>
      <c r="AF382" s="255">
        <v>0</v>
      </c>
      <c r="AG382" s="255">
        <v>0</v>
      </c>
      <c r="AH382" s="255">
        <v>0</v>
      </c>
      <c r="AI382" s="255">
        <v>0</v>
      </c>
      <c r="AJ382" s="255">
        <v>0</v>
      </c>
      <c r="AK382" s="255">
        <v>0</v>
      </c>
      <c r="AL382" s="255">
        <v>0</v>
      </c>
      <c r="AM382" s="255"/>
      <c r="AN382" s="255"/>
      <c r="AO382" s="255"/>
      <c r="AP382" s="255"/>
      <c r="AQ382" s="255"/>
      <c r="AR382" s="255"/>
      <c r="AS382" s="255"/>
      <c r="AT382" s="255"/>
      <c r="AU382" s="255"/>
      <c r="AV382" s="255"/>
      <c r="AW382" s="255"/>
      <c r="AX382" s="255"/>
      <c r="AY382" s="255"/>
      <c r="AZ382" s="255"/>
      <c r="BA382" s="255"/>
      <c r="BB382" s="255"/>
      <c r="BC382" s="255"/>
      <c r="BD382" s="255"/>
      <c r="BE382" s="255"/>
      <c r="BF382" s="255"/>
      <c r="BG382" s="255"/>
      <c r="BH382" s="255"/>
      <c r="BI382" s="255"/>
      <c r="BJ382" s="255"/>
      <c r="BK382" s="255"/>
    </row>
    <row r="383" spans="1:63" s="133" customFormat="1" ht="12.75">
      <c r="A383" s="168">
        <v>40695</v>
      </c>
      <c r="B383" s="213" t="str">
        <f>Servicio_internaColumna_título_intereses</f>
        <v>Intereses</v>
      </c>
      <c r="C383" s="256"/>
      <c r="D383" s="257"/>
      <c r="E383" s="257"/>
      <c r="F383" s="257"/>
      <c r="G383" s="257"/>
      <c r="H383" s="257"/>
      <c r="I383" s="257"/>
      <c r="J383" s="257"/>
      <c r="K383" s="257"/>
      <c r="L383" s="257"/>
      <c r="M383" s="257">
        <v>6386790.5627147695</v>
      </c>
      <c r="N383" s="257">
        <v>11303853.089331364</v>
      </c>
      <c r="O383" s="257">
        <v>9888257.838804204</v>
      </c>
      <c r="P383" s="257">
        <v>8218994.4189359406</v>
      </c>
      <c r="Q383" s="257">
        <v>6233043.4411101695</v>
      </c>
      <c r="R383" s="257">
        <v>4917806.5346228154</v>
      </c>
      <c r="S383" s="257">
        <v>4142245.9990369533</v>
      </c>
      <c r="T383" s="257">
        <v>3945302.1049821479</v>
      </c>
      <c r="U383" s="258">
        <v>3129562.6739275791</v>
      </c>
      <c r="V383" s="258">
        <v>3147144.0276154075</v>
      </c>
      <c r="W383" s="258">
        <v>2238071.0609138687</v>
      </c>
      <c r="X383" s="258">
        <v>2256723.119041285</v>
      </c>
      <c r="Y383" s="258">
        <v>2275934.7389125228</v>
      </c>
      <c r="Z383" s="258">
        <v>1616335.790000001</v>
      </c>
      <c r="AA383" s="258">
        <v>0</v>
      </c>
      <c r="AB383" s="258">
        <v>0</v>
      </c>
      <c r="AC383" s="258">
        <v>0</v>
      </c>
      <c r="AD383" s="259">
        <v>0</v>
      </c>
      <c r="AE383" s="259">
        <v>0</v>
      </c>
      <c r="AF383" s="259">
        <v>0</v>
      </c>
      <c r="AG383" s="259">
        <v>0</v>
      </c>
      <c r="AH383" s="259">
        <v>0</v>
      </c>
      <c r="AI383" s="259">
        <v>0</v>
      </c>
      <c r="AJ383" s="259">
        <v>0</v>
      </c>
      <c r="AK383" s="259">
        <v>0</v>
      </c>
      <c r="AL383" s="259">
        <v>0</v>
      </c>
      <c r="AM383" s="259">
        <v>0</v>
      </c>
      <c r="AN383" s="259">
        <v>0</v>
      </c>
      <c r="AO383" s="259">
        <v>0</v>
      </c>
      <c r="AP383" s="259"/>
      <c r="AQ383" s="259"/>
      <c r="AR383" s="259"/>
      <c r="AS383" s="259"/>
      <c r="AT383" s="259"/>
      <c r="AU383" s="259"/>
      <c r="AV383" s="259"/>
      <c r="AW383" s="259"/>
      <c r="AX383" s="259"/>
      <c r="AY383" s="259"/>
      <c r="AZ383" s="259"/>
      <c r="BA383" s="259"/>
      <c r="BB383" s="259"/>
      <c r="BC383" s="259"/>
      <c r="BD383" s="259"/>
      <c r="BE383" s="259"/>
      <c r="BF383" s="259"/>
      <c r="BG383" s="259"/>
      <c r="BH383" s="259"/>
      <c r="BI383" s="259"/>
      <c r="BJ383" s="259"/>
      <c r="BK383" s="259"/>
    </row>
    <row r="384" spans="1:63" s="133" customFormat="1" ht="12.75">
      <c r="A384" s="169"/>
      <c r="B384" s="307" t="str">
        <f>Servicio_internaColumna_título_total</f>
        <v>Total</v>
      </c>
      <c r="C384" s="308"/>
      <c r="D384" s="309"/>
      <c r="E384" s="309"/>
      <c r="F384" s="309"/>
      <c r="G384" s="309"/>
      <c r="H384" s="309"/>
      <c r="I384" s="309"/>
      <c r="J384" s="309"/>
      <c r="K384" s="309"/>
      <c r="L384" s="309"/>
      <c r="M384" s="309">
        <v>11919196.508685831</v>
      </c>
      <c r="N384" s="309">
        <v>28317040.890911043</v>
      </c>
      <c r="O384" s="309">
        <v>33196011.834155373</v>
      </c>
      <c r="P384" s="309">
        <v>28194573.738161203</v>
      </c>
      <c r="Q384" s="309">
        <v>23947495.863445558</v>
      </c>
      <c r="R384" s="309">
        <v>16180646.241616532</v>
      </c>
      <c r="S384" s="309">
        <v>8336860.343274964</v>
      </c>
      <c r="T384" s="309">
        <v>11358691.904982148</v>
      </c>
      <c r="U384" s="309">
        <v>3129562.6739275791</v>
      </c>
      <c r="V384" s="309">
        <v>11576069.127615407</v>
      </c>
      <c r="W384" s="309">
        <v>2238071.0609138687</v>
      </c>
      <c r="X384" s="309">
        <v>2256723.119041285</v>
      </c>
      <c r="Y384" s="309">
        <v>11993213.977075597</v>
      </c>
      <c r="Z384" s="309">
        <v>17779693.690000001</v>
      </c>
      <c r="AA384" s="309">
        <v>0</v>
      </c>
      <c r="AB384" s="309">
        <v>0</v>
      </c>
      <c r="AC384" s="309">
        <v>0</v>
      </c>
      <c r="AD384" s="309">
        <v>0</v>
      </c>
      <c r="AE384" s="309">
        <v>0</v>
      </c>
      <c r="AF384" s="309">
        <v>0</v>
      </c>
      <c r="AG384" s="309">
        <v>0</v>
      </c>
      <c r="AH384" s="309">
        <v>0</v>
      </c>
      <c r="AI384" s="309">
        <v>0</v>
      </c>
      <c r="AJ384" s="309">
        <v>0</v>
      </c>
      <c r="AK384" s="309">
        <v>0</v>
      </c>
      <c r="AL384" s="309">
        <v>0</v>
      </c>
      <c r="AM384" s="309">
        <f>AM382+AM383</f>
        <v>0</v>
      </c>
      <c r="AN384" s="309">
        <f>AN382+AN383</f>
        <v>0</v>
      </c>
      <c r="AO384" s="309">
        <f>AO382+AO383</f>
        <v>0</v>
      </c>
      <c r="AP384" s="309"/>
      <c r="AQ384" s="309"/>
      <c r="AR384" s="309"/>
      <c r="AS384" s="309"/>
      <c r="AT384" s="309"/>
      <c r="AU384" s="309"/>
      <c r="AV384" s="309"/>
      <c r="AW384" s="309"/>
      <c r="AX384" s="309"/>
      <c r="AY384" s="309"/>
      <c r="AZ384" s="309"/>
      <c r="BA384" s="309"/>
      <c r="BB384" s="309"/>
      <c r="BC384" s="309"/>
      <c r="BD384" s="309"/>
      <c r="BE384" s="309"/>
      <c r="BF384" s="309"/>
      <c r="BG384" s="309"/>
      <c r="BH384" s="309"/>
      <c r="BI384" s="309"/>
      <c r="BJ384" s="309"/>
      <c r="BK384" s="309"/>
    </row>
    <row r="385" spans="1:63" s="80" customFormat="1" ht="12.75">
      <c r="A385" s="167"/>
      <c r="B385" s="210" t="str">
        <f>IF(SUM(F385:Z385)&gt;0,Servicio_internaColumna_título_amortizaciones,"")</f>
        <v>Amortizaciones</v>
      </c>
      <c r="C385" s="254"/>
      <c r="D385" s="255"/>
      <c r="E385" s="255"/>
      <c r="F385" s="255"/>
      <c r="G385" s="255"/>
      <c r="H385" s="255"/>
      <c r="I385" s="255"/>
      <c r="J385" s="255"/>
      <c r="K385" s="255"/>
      <c r="L385" s="255"/>
      <c r="M385" s="255">
        <v>4950237.7182127154</v>
      </c>
      <c r="N385" s="255">
        <v>17541768.785492327</v>
      </c>
      <c r="O385" s="255">
        <v>23328508.400314353</v>
      </c>
      <c r="P385" s="255">
        <v>20022885.910268538</v>
      </c>
      <c r="Q385" s="255">
        <v>18672489.072687976</v>
      </c>
      <c r="R385" s="255">
        <v>11278091.932187455</v>
      </c>
      <c r="S385" s="255">
        <v>4302440.7820875095</v>
      </c>
      <c r="T385" s="255">
        <v>7874427</v>
      </c>
      <c r="U385" s="255">
        <v>0</v>
      </c>
      <c r="V385" s="255">
        <v>8428925.0999999996</v>
      </c>
      <c r="W385" s="255">
        <v>0</v>
      </c>
      <c r="X385" s="255">
        <v>0</v>
      </c>
      <c r="Y385" s="255">
        <v>9898795.439704759</v>
      </c>
      <c r="Z385" s="255">
        <v>16351343.800000001</v>
      </c>
      <c r="AA385" s="255">
        <v>0</v>
      </c>
      <c r="AB385" s="255">
        <v>0</v>
      </c>
      <c r="AC385" s="255">
        <v>0</v>
      </c>
      <c r="AD385" s="255">
        <v>0</v>
      </c>
      <c r="AE385" s="255">
        <v>0</v>
      </c>
      <c r="AF385" s="255">
        <v>0</v>
      </c>
      <c r="AG385" s="255">
        <v>0</v>
      </c>
      <c r="AH385" s="255">
        <v>0</v>
      </c>
      <c r="AI385" s="255">
        <v>0</v>
      </c>
      <c r="AJ385" s="255">
        <v>0</v>
      </c>
      <c r="AK385" s="255">
        <v>0</v>
      </c>
      <c r="AL385" s="255">
        <v>0</v>
      </c>
      <c r="AM385" s="255"/>
      <c r="AN385" s="255"/>
      <c r="AO385" s="255"/>
      <c r="AP385" s="255"/>
      <c r="AQ385" s="255"/>
      <c r="AR385" s="255"/>
      <c r="AS385" s="255"/>
      <c r="AT385" s="255"/>
      <c r="AU385" s="255"/>
      <c r="AV385" s="255"/>
      <c r="AW385" s="255"/>
      <c r="AX385" s="255"/>
      <c r="AY385" s="255"/>
      <c r="AZ385" s="255"/>
      <c r="BA385" s="255"/>
      <c r="BB385" s="255"/>
      <c r="BC385" s="255"/>
      <c r="BD385" s="255"/>
      <c r="BE385" s="255"/>
      <c r="BF385" s="255"/>
      <c r="BG385" s="255"/>
      <c r="BH385" s="255"/>
      <c r="BI385" s="255"/>
      <c r="BJ385" s="255"/>
      <c r="BK385" s="255"/>
    </row>
    <row r="386" spans="1:63" s="133" customFormat="1" ht="12.75">
      <c r="A386" s="168">
        <v>40725</v>
      </c>
      <c r="B386" s="213" t="str">
        <f>IF(SUM(F386:Z386)&gt;0,Servicio_internaColumna_título_intereses,"")</f>
        <v>Intereses</v>
      </c>
      <c r="C386" s="256"/>
      <c r="D386" s="257"/>
      <c r="E386" s="257"/>
      <c r="F386" s="257"/>
      <c r="G386" s="257"/>
      <c r="H386" s="257"/>
      <c r="I386" s="257"/>
      <c r="J386" s="257"/>
      <c r="K386" s="257"/>
      <c r="L386" s="257"/>
      <c r="M386" s="257">
        <v>3962429.790366611</v>
      </c>
      <c r="N386" s="257">
        <v>11464917.295540661</v>
      </c>
      <c r="O386" s="257">
        <v>10049834.930214051</v>
      </c>
      <c r="P386" s="257">
        <v>8381233.8834196711</v>
      </c>
      <c r="Q386" s="257">
        <v>6391583.1094342209</v>
      </c>
      <c r="R386" s="257">
        <v>5002571.9376227967</v>
      </c>
      <c r="S386" s="257">
        <v>4226281.3911222182</v>
      </c>
      <c r="T386" s="257">
        <v>4024766.0604331242</v>
      </c>
      <c r="U386" s="258">
        <v>3157492.2258912148</v>
      </c>
      <c r="V386" s="258">
        <v>3175347.508437952</v>
      </c>
      <c r="W386" s="258">
        <v>2266556.68846109</v>
      </c>
      <c r="X386" s="258">
        <v>2285499.3577149226</v>
      </c>
      <c r="Y386" s="258">
        <v>2305010.3070463706</v>
      </c>
      <c r="Z386" s="258">
        <v>1635134.379999999</v>
      </c>
      <c r="AA386" s="258">
        <v>0</v>
      </c>
      <c r="AB386" s="258">
        <v>0</v>
      </c>
      <c r="AC386" s="258">
        <v>0</v>
      </c>
      <c r="AD386" s="259">
        <v>0</v>
      </c>
      <c r="AE386" s="259">
        <v>0</v>
      </c>
      <c r="AF386" s="259">
        <v>0</v>
      </c>
      <c r="AG386" s="259">
        <v>0</v>
      </c>
      <c r="AH386" s="259">
        <v>0</v>
      </c>
      <c r="AI386" s="259">
        <v>0</v>
      </c>
      <c r="AJ386" s="259">
        <v>0</v>
      </c>
      <c r="AK386" s="259">
        <v>0</v>
      </c>
      <c r="AL386" s="259">
        <v>0</v>
      </c>
      <c r="AM386" s="259">
        <v>0</v>
      </c>
      <c r="AN386" s="259">
        <v>0</v>
      </c>
      <c r="AO386" s="259">
        <v>0</v>
      </c>
      <c r="AP386" s="259"/>
      <c r="AQ386" s="259"/>
      <c r="AR386" s="259"/>
      <c r="AS386" s="259"/>
      <c r="AT386" s="259"/>
      <c r="AU386" s="259"/>
      <c r="AV386" s="259"/>
      <c r="AW386" s="259"/>
      <c r="AX386" s="259"/>
      <c r="AY386" s="259"/>
      <c r="AZ386" s="259"/>
      <c r="BA386" s="259"/>
      <c r="BB386" s="259"/>
      <c r="BC386" s="259"/>
      <c r="BD386" s="259"/>
      <c r="BE386" s="259"/>
      <c r="BF386" s="259"/>
      <c r="BG386" s="259"/>
      <c r="BH386" s="259"/>
      <c r="BI386" s="259"/>
      <c r="BJ386" s="259"/>
      <c r="BK386" s="259"/>
    </row>
    <row r="387" spans="1:63" s="133" customFormat="1" ht="12.75">
      <c r="A387" s="169"/>
      <c r="B387" s="307" t="str">
        <f>IF(SUM(F387:Z387)&gt;0,Servicio_internaColumna_título_total,"")</f>
        <v>Total</v>
      </c>
      <c r="C387" s="308"/>
      <c r="D387" s="309"/>
      <c r="E387" s="309"/>
      <c r="F387" s="309"/>
      <c r="G387" s="309"/>
      <c r="H387" s="309"/>
      <c r="I387" s="309"/>
      <c r="J387" s="309"/>
      <c r="K387" s="309"/>
      <c r="L387" s="309"/>
      <c r="M387" s="309">
        <v>8912667.5085793268</v>
      </c>
      <c r="N387" s="309">
        <v>29006686.081032988</v>
      </c>
      <c r="O387" s="309">
        <v>33378343.330528405</v>
      </c>
      <c r="P387" s="309">
        <v>28404119.793688208</v>
      </c>
      <c r="Q387" s="309">
        <v>25064072.182122197</v>
      </c>
      <c r="R387" s="309">
        <v>16280663.869810252</v>
      </c>
      <c r="S387" s="309">
        <v>8528722.1732097268</v>
      </c>
      <c r="T387" s="309">
        <v>11899193.060433123</v>
      </c>
      <c r="U387" s="309">
        <v>3157492.2258912148</v>
      </c>
      <c r="V387" s="309">
        <v>11604272.608437952</v>
      </c>
      <c r="W387" s="309">
        <v>2266556.68846109</v>
      </c>
      <c r="X387" s="309">
        <v>2285499.3577149226</v>
      </c>
      <c r="Y387" s="309">
        <v>12203805.74675113</v>
      </c>
      <c r="Z387" s="309">
        <v>17986478.18</v>
      </c>
      <c r="AA387" s="309">
        <v>0</v>
      </c>
      <c r="AB387" s="309">
        <v>0</v>
      </c>
      <c r="AC387" s="309">
        <v>0</v>
      </c>
      <c r="AD387" s="309">
        <v>0</v>
      </c>
      <c r="AE387" s="309">
        <v>0</v>
      </c>
      <c r="AF387" s="309">
        <v>0</v>
      </c>
      <c r="AG387" s="309">
        <v>0</v>
      </c>
      <c r="AH387" s="309">
        <v>0</v>
      </c>
      <c r="AI387" s="309">
        <v>0</v>
      </c>
      <c r="AJ387" s="309">
        <v>0</v>
      </c>
      <c r="AK387" s="309">
        <v>0</v>
      </c>
      <c r="AL387" s="309">
        <v>0</v>
      </c>
      <c r="AM387" s="309">
        <f>AM385+AM386</f>
        <v>0</v>
      </c>
      <c r="AN387" s="309">
        <f>AN385+AN386</f>
        <v>0</v>
      </c>
      <c r="AO387" s="309">
        <f>AO385+AO386</f>
        <v>0</v>
      </c>
      <c r="AP387" s="309"/>
      <c r="AQ387" s="309"/>
      <c r="AR387" s="309"/>
      <c r="AS387" s="309"/>
      <c r="AT387" s="309"/>
      <c r="AU387" s="309"/>
      <c r="AV387" s="309"/>
      <c r="AW387" s="309"/>
      <c r="AX387" s="309"/>
      <c r="AY387" s="309"/>
      <c r="AZ387" s="309"/>
      <c r="BA387" s="309"/>
      <c r="BB387" s="309"/>
      <c r="BC387" s="309"/>
      <c r="BD387" s="309"/>
      <c r="BE387" s="309"/>
      <c r="BF387" s="309"/>
      <c r="BG387" s="309"/>
      <c r="BH387" s="309"/>
      <c r="BI387" s="309"/>
      <c r="BJ387" s="309"/>
      <c r="BK387" s="309"/>
    </row>
    <row r="388" spans="1:63" s="80" customFormat="1" ht="12.75">
      <c r="A388" s="167"/>
      <c r="B388" s="210" t="str">
        <f>Servicio_internaColumna_título_amortizaciones</f>
        <v>Amortizaciones</v>
      </c>
      <c r="C388" s="254"/>
      <c r="D388" s="255"/>
      <c r="E388" s="255"/>
      <c r="F388" s="255"/>
      <c r="G388" s="255"/>
      <c r="H388" s="255"/>
      <c r="I388" s="255"/>
      <c r="J388" s="255"/>
      <c r="K388" s="255"/>
      <c r="L388" s="255"/>
      <c r="M388" s="255">
        <v>4388228.597417362</v>
      </c>
      <c r="N388" s="255">
        <v>18091019.944948237</v>
      </c>
      <c r="O388" s="255">
        <v>23344437.055520102</v>
      </c>
      <c r="P388" s="255">
        <v>20057107.666636068</v>
      </c>
      <c r="Q388" s="255">
        <v>19955593.418731354</v>
      </c>
      <c r="R388" s="255">
        <v>11300764.159831299</v>
      </c>
      <c r="S388" s="255">
        <v>4584928.3312832899</v>
      </c>
      <c r="T388" s="255">
        <v>8330710.4000000004</v>
      </c>
      <c r="U388" s="255">
        <v>0</v>
      </c>
      <c r="V388" s="255">
        <v>8428925.0999999996</v>
      </c>
      <c r="W388" s="255">
        <v>0</v>
      </c>
      <c r="X388" s="255">
        <v>0</v>
      </c>
      <c r="Y388" s="255">
        <v>10313328.749218967</v>
      </c>
      <c r="Z388" s="255">
        <v>16707128.300000001</v>
      </c>
      <c r="AA388" s="255">
        <v>0</v>
      </c>
      <c r="AB388" s="255">
        <v>0</v>
      </c>
      <c r="AC388" s="255">
        <v>0</v>
      </c>
      <c r="AD388" s="255">
        <v>0</v>
      </c>
      <c r="AE388" s="255">
        <v>0</v>
      </c>
      <c r="AF388" s="255">
        <v>0</v>
      </c>
      <c r="AG388" s="255">
        <v>0</v>
      </c>
      <c r="AH388" s="255">
        <v>0</v>
      </c>
      <c r="AI388" s="255">
        <v>0</v>
      </c>
      <c r="AJ388" s="255">
        <v>0</v>
      </c>
      <c r="AK388" s="255">
        <v>0</v>
      </c>
      <c r="AL388" s="255">
        <v>0</v>
      </c>
      <c r="AM388" s="255"/>
      <c r="AN388" s="255"/>
      <c r="AO388" s="255"/>
      <c r="AP388" s="255"/>
      <c r="AQ388" s="255"/>
      <c r="AR388" s="255"/>
      <c r="AS388" s="255"/>
      <c r="AT388" s="255"/>
      <c r="AU388" s="255"/>
      <c r="AV388" s="255"/>
      <c r="AW388" s="255"/>
      <c r="AX388" s="255"/>
      <c r="AY388" s="255"/>
      <c r="AZ388" s="255"/>
      <c r="BA388" s="255"/>
      <c r="BB388" s="255"/>
      <c r="BC388" s="255"/>
      <c r="BD388" s="255"/>
      <c r="BE388" s="255"/>
      <c r="BF388" s="255"/>
      <c r="BG388" s="255"/>
      <c r="BH388" s="255"/>
      <c r="BI388" s="255"/>
      <c r="BJ388" s="255"/>
      <c r="BK388" s="255"/>
    </row>
    <row r="389" spans="1:63" s="133" customFormat="1" ht="12.75">
      <c r="A389" s="168">
        <v>40756</v>
      </c>
      <c r="B389" s="213" t="str">
        <f>Servicio_internaColumna_título_intereses</f>
        <v>Intereses</v>
      </c>
      <c r="C389" s="256"/>
      <c r="D389" s="257"/>
      <c r="E389" s="257"/>
      <c r="F389" s="257"/>
      <c r="G389" s="257"/>
      <c r="H389" s="257"/>
      <c r="I389" s="257"/>
      <c r="J389" s="257"/>
      <c r="K389" s="257"/>
      <c r="L389" s="257"/>
      <c r="M389" s="257">
        <v>3236982.4314833735</v>
      </c>
      <c r="N389" s="257">
        <v>11688066.33974418</v>
      </c>
      <c r="O389" s="257">
        <v>10274512.82255511</v>
      </c>
      <c r="P389" s="257">
        <v>8607478.9541095868</v>
      </c>
      <c r="Q389" s="257">
        <v>6615060.180947586</v>
      </c>
      <c r="R389" s="257">
        <v>5126601.3973607393</v>
      </c>
      <c r="S389" s="257">
        <v>4349224.6393611329</v>
      </c>
      <c r="T389" s="257">
        <v>4134588.0345664667</v>
      </c>
      <c r="U389" s="258">
        <v>3216589.9588245717</v>
      </c>
      <c r="V389" s="258">
        <v>3235150.8198593091</v>
      </c>
      <c r="W389" s="258">
        <v>2327086.7457250883</v>
      </c>
      <c r="X389" s="258">
        <v>2346777.9631968411</v>
      </c>
      <c r="Y389" s="258">
        <v>2367059.917192746</v>
      </c>
      <c r="Z389" s="258">
        <v>1670712.8300000019</v>
      </c>
      <c r="AA389" s="258">
        <v>0</v>
      </c>
      <c r="AB389" s="258">
        <v>0</v>
      </c>
      <c r="AC389" s="258">
        <v>0</v>
      </c>
      <c r="AD389" s="259">
        <v>0</v>
      </c>
      <c r="AE389" s="259">
        <v>0</v>
      </c>
      <c r="AF389" s="259">
        <v>0</v>
      </c>
      <c r="AG389" s="259">
        <v>0</v>
      </c>
      <c r="AH389" s="259">
        <v>0</v>
      </c>
      <c r="AI389" s="259">
        <v>0</v>
      </c>
      <c r="AJ389" s="259">
        <v>0</v>
      </c>
      <c r="AK389" s="259">
        <v>0</v>
      </c>
      <c r="AL389" s="259">
        <v>0</v>
      </c>
      <c r="AM389" s="259">
        <v>0</v>
      </c>
      <c r="AN389" s="259">
        <v>0</v>
      </c>
      <c r="AO389" s="259">
        <v>0</v>
      </c>
      <c r="AP389" s="259"/>
      <c r="AQ389" s="259"/>
      <c r="AR389" s="259"/>
      <c r="AS389" s="259"/>
      <c r="AT389" s="259"/>
      <c r="AU389" s="259"/>
      <c r="AV389" s="259"/>
      <c r="AW389" s="259"/>
      <c r="AX389" s="259"/>
      <c r="AY389" s="259"/>
      <c r="AZ389" s="259"/>
      <c r="BA389" s="259"/>
      <c r="BB389" s="259"/>
      <c r="BC389" s="259"/>
      <c r="BD389" s="259"/>
      <c r="BE389" s="259"/>
      <c r="BF389" s="259"/>
      <c r="BG389" s="259"/>
      <c r="BH389" s="259"/>
      <c r="BI389" s="259"/>
      <c r="BJ389" s="259"/>
      <c r="BK389" s="259"/>
    </row>
    <row r="390" spans="1:63" s="133" customFormat="1" ht="12.75">
      <c r="A390" s="169"/>
      <c r="B390" s="307" t="str">
        <f>Servicio_internaColumna_título_total</f>
        <v>Total</v>
      </c>
      <c r="C390" s="308"/>
      <c r="D390" s="309"/>
      <c r="E390" s="309"/>
      <c r="F390" s="309"/>
      <c r="G390" s="309"/>
      <c r="H390" s="309"/>
      <c r="I390" s="309"/>
      <c r="J390" s="309"/>
      <c r="K390" s="309"/>
      <c r="L390" s="309"/>
      <c r="M390" s="309">
        <v>7625211.0289007351</v>
      </c>
      <c r="N390" s="309">
        <v>29779086.284692418</v>
      </c>
      <c r="O390" s="309">
        <v>33618949.878075212</v>
      </c>
      <c r="P390" s="309">
        <v>28664586.620745655</v>
      </c>
      <c r="Q390" s="309">
        <v>26570653.599678941</v>
      </c>
      <c r="R390" s="309">
        <v>16427365.557192039</v>
      </c>
      <c r="S390" s="309">
        <v>8934152.9706444219</v>
      </c>
      <c r="T390" s="309">
        <v>12465298.434566468</v>
      </c>
      <c r="U390" s="309">
        <v>3216589.9588245717</v>
      </c>
      <c r="V390" s="309">
        <v>11664075.919859309</v>
      </c>
      <c r="W390" s="309">
        <v>2327086.7457250883</v>
      </c>
      <c r="X390" s="309">
        <v>2346777.9631968411</v>
      </c>
      <c r="Y390" s="309">
        <v>12680388.666411713</v>
      </c>
      <c r="Z390" s="309">
        <v>18377841.130000003</v>
      </c>
      <c r="AA390" s="309">
        <v>0</v>
      </c>
      <c r="AB390" s="309">
        <v>0</v>
      </c>
      <c r="AC390" s="309">
        <v>0</v>
      </c>
      <c r="AD390" s="309">
        <v>0</v>
      </c>
      <c r="AE390" s="309">
        <v>0</v>
      </c>
      <c r="AF390" s="309">
        <v>0</v>
      </c>
      <c r="AG390" s="309">
        <v>0</v>
      </c>
      <c r="AH390" s="309">
        <v>0</v>
      </c>
      <c r="AI390" s="309">
        <v>0</v>
      </c>
      <c r="AJ390" s="309">
        <v>0</v>
      </c>
      <c r="AK390" s="309">
        <v>0</v>
      </c>
      <c r="AL390" s="309">
        <v>0</v>
      </c>
      <c r="AM390" s="309">
        <f>AM388+AM389</f>
        <v>0</v>
      </c>
      <c r="AN390" s="309">
        <f>AN388+AN389</f>
        <v>0</v>
      </c>
      <c r="AO390" s="309">
        <f>AO388+AO389</f>
        <v>0</v>
      </c>
      <c r="AP390" s="309"/>
      <c r="AQ390" s="309"/>
      <c r="AR390" s="309"/>
      <c r="AS390" s="309"/>
      <c r="AT390" s="309"/>
      <c r="AU390" s="309"/>
      <c r="AV390" s="309"/>
      <c r="AW390" s="309"/>
      <c r="AX390" s="309"/>
      <c r="AY390" s="309"/>
      <c r="AZ390" s="309"/>
      <c r="BA390" s="309"/>
      <c r="BB390" s="309"/>
      <c r="BC390" s="309"/>
      <c r="BD390" s="309"/>
      <c r="BE390" s="309"/>
      <c r="BF390" s="309"/>
      <c r="BG390" s="309"/>
      <c r="BH390" s="309"/>
      <c r="BI390" s="309"/>
      <c r="BJ390" s="309"/>
      <c r="BK390" s="309"/>
    </row>
    <row r="391" spans="1:63" s="80" customFormat="1" ht="12.75">
      <c r="A391" s="167"/>
      <c r="B391" s="210" t="str">
        <f>Servicio_internaColumna_título_amortizaciones</f>
        <v>Amortizaciones</v>
      </c>
      <c r="C391" s="254"/>
      <c r="D391" s="255"/>
      <c r="E391" s="255"/>
      <c r="F391" s="255"/>
      <c r="G391" s="255"/>
      <c r="H391" s="255"/>
      <c r="I391" s="255"/>
      <c r="J391" s="255"/>
      <c r="K391" s="255"/>
      <c r="L391" s="255"/>
      <c r="M391" s="255">
        <v>3128359.2612245991</v>
      </c>
      <c r="N391" s="255">
        <v>17378099.2890408</v>
      </c>
      <c r="O391" s="255">
        <v>21269320.516374607</v>
      </c>
      <c r="P391" s="255">
        <v>17789081.258617692</v>
      </c>
      <c r="Q391" s="255">
        <v>22267193.458710782</v>
      </c>
      <c r="R391" s="255">
        <v>11430346.461565016</v>
      </c>
      <c r="S391" s="255">
        <v>4587330.2292238111</v>
      </c>
      <c r="T391" s="255">
        <v>10231852.199999999</v>
      </c>
      <c r="U391" s="255">
        <v>0</v>
      </c>
      <c r="V391" s="255">
        <v>8428925.0999999996</v>
      </c>
      <c r="W391" s="255">
        <v>0</v>
      </c>
      <c r="X391" s="255">
        <v>0</v>
      </c>
      <c r="Y391" s="255">
        <v>10318761.456840409</v>
      </c>
      <c r="Z391" s="255">
        <v>16806201.5</v>
      </c>
      <c r="AA391" s="255">
        <v>0</v>
      </c>
      <c r="AB391" s="255">
        <v>2298431.4</v>
      </c>
      <c r="AC391" s="255">
        <v>0</v>
      </c>
      <c r="AD391" s="255">
        <v>0</v>
      </c>
      <c r="AE391" s="255">
        <v>0</v>
      </c>
      <c r="AF391" s="255">
        <v>0</v>
      </c>
      <c r="AG391" s="255">
        <v>0</v>
      </c>
      <c r="AH391" s="255">
        <v>0</v>
      </c>
      <c r="AI391" s="255">
        <v>0</v>
      </c>
      <c r="AJ391" s="255">
        <v>0</v>
      </c>
      <c r="AK391" s="255">
        <v>0</v>
      </c>
      <c r="AL391" s="255">
        <v>0</v>
      </c>
      <c r="AM391" s="255"/>
      <c r="AN391" s="255"/>
      <c r="AO391" s="255"/>
      <c r="AP391" s="255"/>
      <c r="AQ391" s="255"/>
      <c r="AR391" s="255"/>
      <c r="AS391" s="255"/>
      <c r="AT391" s="255"/>
      <c r="AU391" s="255"/>
      <c r="AV391" s="255"/>
      <c r="AW391" s="255"/>
      <c r="AX391" s="255"/>
      <c r="AY391" s="255"/>
      <c r="AZ391" s="255"/>
      <c r="BA391" s="255"/>
      <c r="BB391" s="255"/>
      <c r="BC391" s="255"/>
      <c r="BD391" s="255"/>
      <c r="BE391" s="255"/>
      <c r="BF391" s="255"/>
      <c r="BG391" s="255"/>
      <c r="BH391" s="255"/>
      <c r="BI391" s="255"/>
      <c r="BJ391" s="255"/>
      <c r="BK391" s="255"/>
    </row>
    <row r="392" spans="1:63" s="133" customFormat="1" ht="12.75">
      <c r="A392" s="168">
        <v>40787</v>
      </c>
      <c r="B392" s="213" t="str">
        <f>Servicio_internaColumna_título_intereses</f>
        <v>Intereses</v>
      </c>
      <c r="C392" s="256"/>
      <c r="D392" s="257"/>
      <c r="E392" s="257"/>
      <c r="F392" s="257"/>
      <c r="G392" s="257"/>
      <c r="H392" s="257"/>
      <c r="I392" s="257"/>
      <c r="J392" s="257"/>
      <c r="K392" s="257"/>
      <c r="L392" s="257"/>
      <c r="M392" s="257">
        <v>2706141.8197469916</v>
      </c>
      <c r="N392" s="257">
        <v>11746634.767214824</v>
      </c>
      <c r="O392" s="257">
        <v>10493153.749215176</v>
      </c>
      <c r="P392" s="257">
        <v>8987646.8916672524</v>
      </c>
      <c r="Q392" s="257">
        <v>7204980.6155851521</v>
      </c>
      <c r="R392" s="257">
        <v>5532002.7801579293</v>
      </c>
      <c r="S392" s="257">
        <v>4745260.247657367</v>
      </c>
      <c r="T392" s="257">
        <v>4530597.7042853115</v>
      </c>
      <c r="U392" s="258">
        <v>3398879.633824572</v>
      </c>
      <c r="V392" s="258">
        <v>3417440.4948593099</v>
      </c>
      <c r="W392" s="258">
        <v>2509376.4207250881</v>
      </c>
      <c r="X392" s="258">
        <v>2529067.6381968409</v>
      </c>
      <c r="Y392" s="258">
        <v>2549349.5921927467</v>
      </c>
      <c r="Z392" s="258">
        <v>1853002.504999999</v>
      </c>
      <c r="AA392" s="258">
        <v>172382.35499999998</v>
      </c>
      <c r="AB392" s="258">
        <v>0</v>
      </c>
      <c r="AC392" s="258">
        <v>0</v>
      </c>
      <c r="AD392" s="259">
        <v>0</v>
      </c>
      <c r="AE392" s="259">
        <v>0</v>
      </c>
      <c r="AF392" s="259">
        <v>0</v>
      </c>
      <c r="AG392" s="259">
        <v>0</v>
      </c>
      <c r="AH392" s="259">
        <v>0</v>
      </c>
      <c r="AI392" s="259">
        <v>0</v>
      </c>
      <c r="AJ392" s="259">
        <v>0</v>
      </c>
      <c r="AK392" s="259">
        <v>0</v>
      </c>
      <c r="AL392" s="259">
        <v>0</v>
      </c>
      <c r="AM392" s="259"/>
      <c r="AN392" s="259"/>
      <c r="AO392" s="259"/>
      <c r="AP392" s="259"/>
      <c r="AQ392" s="259"/>
      <c r="AR392" s="259"/>
      <c r="AS392" s="259"/>
      <c r="AT392" s="259"/>
      <c r="AU392" s="259"/>
      <c r="AV392" s="259"/>
      <c r="AW392" s="259"/>
      <c r="AX392" s="259"/>
      <c r="AY392" s="259"/>
      <c r="AZ392" s="259"/>
      <c r="BA392" s="259"/>
      <c r="BB392" s="259"/>
      <c r="BC392" s="259"/>
      <c r="BD392" s="259"/>
      <c r="BE392" s="259"/>
      <c r="BF392" s="259"/>
      <c r="BG392" s="259"/>
      <c r="BH392" s="259"/>
      <c r="BI392" s="259"/>
      <c r="BJ392" s="259"/>
      <c r="BK392" s="259"/>
    </row>
    <row r="393" spans="1:63" s="133" customFormat="1" ht="12.75">
      <c r="A393" s="169"/>
      <c r="B393" s="307" t="str">
        <f>Servicio_internaColumna_título_total</f>
        <v>Total</v>
      </c>
      <c r="C393" s="308"/>
      <c r="D393" s="309"/>
      <c r="E393" s="309"/>
      <c r="F393" s="309"/>
      <c r="G393" s="309"/>
      <c r="H393" s="309"/>
      <c r="I393" s="309"/>
      <c r="J393" s="309"/>
      <c r="K393" s="309"/>
      <c r="L393" s="309"/>
      <c r="M393" s="309">
        <v>5834501.0809715912</v>
      </c>
      <c r="N393" s="309">
        <v>29124734.056255624</v>
      </c>
      <c r="O393" s="309">
        <v>31762474.265589781</v>
      </c>
      <c r="P393" s="309">
        <v>26776728.150284946</v>
      </c>
      <c r="Q393" s="309">
        <v>29472174.074295934</v>
      </c>
      <c r="R393" s="309">
        <v>16962349.241722945</v>
      </c>
      <c r="S393" s="309">
        <v>9332590.4768811781</v>
      </c>
      <c r="T393" s="309">
        <v>14762449.904285312</v>
      </c>
      <c r="U393" s="309">
        <v>3398879.633824572</v>
      </c>
      <c r="V393" s="309">
        <v>11846365.594859309</v>
      </c>
      <c r="W393" s="309">
        <v>2509376.4207250881</v>
      </c>
      <c r="X393" s="309">
        <v>2529067.6381968409</v>
      </c>
      <c r="Y393" s="309">
        <v>12868111.049033156</v>
      </c>
      <c r="Z393" s="309">
        <v>18659204.004999999</v>
      </c>
      <c r="AA393" s="309">
        <v>172382.35499999998</v>
      </c>
      <c r="AB393" s="309">
        <v>2298431.4</v>
      </c>
      <c r="AC393" s="309">
        <v>0</v>
      </c>
      <c r="AD393" s="309">
        <v>0</v>
      </c>
      <c r="AE393" s="309">
        <v>0</v>
      </c>
      <c r="AF393" s="309">
        <v>0</v>
      </c>
      <c r="AG393" s="309">
        <v>0</v>
      </c>
      <c r="AH393" s="309">
        <v>0</v>
      </c>
      <c r="AI393" s="309">
        <v>0</v>
      </c>
      <c r="AJ393" s="309">
        <v>0</v>
      </c>
      <c r="AK393" s="309">
        <v>0</v>
      </c>
      <c r="AL393" s="309">
        <v>0</v>
      </c>
      <c r="AM393" s="309"/>
      <c r="AN393" s="309"/>
      <c r="AO393" s="309"/>
      <c r="AP393" s="309"/>
      <c r="AQ393" s="309"/>
      <c r="AR393" s="309"/>
      <c r="AS393" s="309"/>
      <c r="AT393" s="309"/>
      <c r="AU393" s="309"/>
      <c r="AV393" s="309"/>
      <c r="AW393" s="309"/>
      <c r="AX393" s="309"/>
      <c r="AY393" s="309"/>
      <c r="AZ393" s="309"/>
      <c r="BA393" s="309"/>
      <c r="BB393" s="309"/>
      <c r="BC393" s="309"/>
      <c r="BD393" s="309"/>
      <c r="BE393" s="309"/>
      <c r="BF393" s="309"/>
      <c r="BG393" s="309"/>
      <c r="BH393" s="309"/>
      <c r="BI393" s="309"/>
      <c r="BJ393" s="309"/>
      <c r="BK393" s="309"/>
    </row>
    <row r="394" spans="1:63" s="80" customFormat="1" ht="12.75">
      <c r="A394" s="167"/>
      <c r="B394" s="210" t="str">
        <f>Servicio_internaColumna_título_amortizaciones</f>
        <v>Amortizaciones</v>
      </c>
      <c r="C394" s="254"/>
      <c r="D394" s="255"/>
      <c r="E394" s="255"/>
      <c r="F394" s="255"/>
      <c r="G394" s="255"/>
      <c r="H394" s="255"/>
      <c r="I394" s="255"/>
      <c r="J394" s="255"/>
      <c r="K394" s="255"/>
      <c r="L394" s="255"/>
      <c r="M394" s="255">
        <v>2126588.0272770966</v>
      </c>
      <c r="N394" s="255">
        <v>18093248.429629847</v>
      </c>
      <c r="O394" s="255">
        <v>21279510.721170589</v>
      </c>
      <c r="P394" s="255">
        <v>17790182.735783674</v>
      </c>
      <c r="Q394" s="255">
        <v>22477154.13742093</v>
      </c>
      <c r="R394" s="255">
        <v>11923564.707836755</v>
      </c>
      <c r="S394" s="255">
        <v>4705872.5344840102</v>
      </c>
      <c r="T394" s="255">
        <v>10419006.5</v>
      </c>
      <c r="U394" s="255">
        <v>0</v>
      </c>
      <c r="V394" s="255">
        <v>8428925.0999999996</v>
      </c>
      <c r="W394" s="255">
        <v>0</v>
      </c>
      <c r="X394" s="255">
        <v>0</v>
      </c>
      <c r="Y394" s="255">
        <v>10434861.165801134</v>
      </c>
      <c r="Z394" s="255">
        <v>16813201.5</v>
      </c>
      <c r="AA394" s="255">
        <v>0</v>
      </c>
      <c r="AB394" s="255">
        <v>2793861.8</v>
      </c>
      <c r="AC394" s="255">
        <v>0</v>
      </c>
      <c r="AD394" s="255">
        <v>0</v>
      </c>
      <c r="AE394" s="255">
        <v>0</v>
      </c>
      <c r="AF394" s="255">
        <v>0</v>
      </c>
      <c r="AG394" s="255">
        <v>0</v>
      </c>
      <c r="AH394" s="255">
        <v>0</v>
      </c>
      <c r="AI394" s="255">
        <v>0</v>
      </c>
      <c r="AJ394" s="255">
        <v>0</v>
      </c>
      <c r="AK394" s="255">
        <v>0</v>
      </c>
      <c r="AL394" s="255">
        <v>0</v>
      </c>
      <c r="AM394" s="255"/>
      <c r="AN394" s="255"/>
      <c r="AO394" s="255"/>
      <c r="AP394" s="255"/>
      <c r="AQ394" s="255"/>
      <c r="AR394" s="255"/>
      <c r="AS394" s="255"/>
      <c r="AT394" s="255"/>
      <c r="AU394" s="255"/>
      <c r="AV394" s="255"/>
      <c r="AW394" s="255"/>
      <c r="AX394" s="255"/>
      <c r="AY394" s="255"/>
      <c r="AZ394" s="255"/>
      <c r="BA394" s="255"/>
      <c r="BB394" s="255"/>
      <c r="BC394" s="255"/>
      <c r="BD394" s="255"/>
      <c r="BE394" s="255"/>
      <c r="BF394" s="255"/>
      <c r="BG394" s="255"/>
      <c r="BH394" s="255"/>
      <c r="BI394" s="255"/>
      <c r="BJ394" s="255"/>
      <c r="BK394" s="255"/>
    </row>
    <row r="395" spans="1:63" s="133" customFormat="1" ht="12.75">
      <c r="A395" s="168">
        <v>40817</v>
      </c>
      <c r="B395" s="213" t="str">
        <f>Servicio_internaColumna_título_intereses</f>
        <v>Intereses</v>
      </c>
      <c r="C395" s="256"/>
      <c r="D395" s="257"/>
      <c r="E395" s="257"/>
      <c r="F395" s="257"/>
      <c r="G395" s="257"/>
      <c r="H395" s="257"/>
      <c r="I395" s="257"/>
      <c r="J395" s="257"/>
      <c r="K395" s="257"/>
      <c r="L395" s="257"/>
      <c r="M395" s="257">
        <v>588834.40583357145</v>
      </c>
      <c r="N395" s="257">
        <v>11866929.265579255</v>
      </c>
      <c r="O395" s="257">
        <v>10613924.869550649</v>
      </c>
      <c r="P395" s="257">
        <v>9108811.4144157711</v>
      </c>
      <c r="Q395" s="257">
        <v>7326511.0686897459</v>
      </c>
      <c r="R395" s="257">
        <v>5638300.4603800578</v>
      </c>
      <c r="S395" s="257">
        <v>4816655.831007259</v>
      </c>
      <c r="T395" s="257">
        <v>4596734.5469223298</v>
      </c>
      <c r="U395" s="258">
        <v>3442792.9587625004</v>
      </c>
      <c r="V395" s="258">
        <v>3461535.5011453759</v>
      </c>
      <c r="W395" s="258">
        <v>2553658.5587997367</v>
      </c>
      <c r="X395" s="258">
        <v>2573542.5220137285</v>
      </c>
      <c r="Y395" s="258">
        <v>2594023.0041241404</v>
      </c>
      <c r="Z395" s="258">
        <v>1890859.7850000001</v>
      </c>
      <c r="AA395" s="258">
        <v>209539.63499999998</v>
      </c>
      <c r="AB395" s="258">
        <v>209539.63499999978</v>
      </c>
      <c r="AC395" s="258">
        <v>0</v>
      </c>
      <c r="AD395" s="259">
        <v>0</v>
      </c>
      <c r="AE395" s="259">
        <v>0</v>
      </c>
      <c r="AF395" s="259">
        <v>0</v>
      </c>
      <c r="AG395" s="259">
        <v>0</v>
      </c>
      <c r="AH395" s="259">
        <v>0</v>
      </c>
      <c r="AI395" s="259">
        <v>0</v>
      </c>
      <c r="AJ395" s="259">
        <v>0</v>
      </c>
      <c r="AK395" s="259">
        <v>0</v>
      </c>
      <c r="AL395" s="259">
        <v>0</v>
      </c>
      <c r="AM395" s="259"/>
      <c r="AN395" s="259"/>
      <c r="AO395" s="259"/>
      <c r="AP395" s="259"/>
      <c r="AQ395" s="259"/>
      <c r="AR395" s="259"/>
      <c r="AS395" s="259"/>
      <c r="AT395" s="259"/>
      <c r="AU395" s="259"/>
      <c r="AV395" s="259"/>
      <c r="AW395" s="259"/>
      <c r="AX395" s="259"/>
      <c r="AY395" s="259"/>
      <c r="AZ395" s="259"/>
      <c r="BA395" s="259"/>
      <c r="BB395" s="259"/>
      <c r="BC395" s="259"/>
      <c r="BD395" s="259"/>
      <c r="BE395" s="259"/>
      <c r="BF395" s="259"/>
      <c r="BG395" s="259"/>
      <c r="BH395" s="259"/>
      <c r="BI395" s="259"/>
      <c r="BJ395" s="259"/>
      <c r="BK395" s="259"/>
    </row>
    <row r="396" spans="1:63" s="133" customFormat="1" ht="12.75">
      <c r="A396" s="169"/>
      <c r="B396" s="307" t="str">
        <f>Servicio_internaColumna_título_total</f>
        <v>Total</v>
      </c>
      <c r="C396" s="308"/>
      <c r="D396" s="309"/>
      <c r="E396" s="309"/>
      <c r="F396" s="309"/>
      <c r="G396" s="309"/>
      <c r="H396" s="309"/>
      <c r="I396" s="309"/>
      <c r="J396" s="309"/>
      <c r="K396" s="309"/>
      <c r="L396" s="309"/>
      <c r="M396" s="309">
        <v>2715422.4331106683</v>
      </c>
      <c r="N396" s="309">
        <v>29960177.695209101</v>
      </c>
      <c r="O396" s="309">
        <v>31893435.590721238</v>
      </c>
      <c r="P396" s="309">
        <v>26898994.150199443</v>
      </c>
      <c r="Q396" s="309">
        <v>29803665.206110675</v>
      </c>
      <c r="R396" s="309">
        <v>17561865.168216813</v>
      </c>
      <c r="S396" s="309">
        <v>9522528.3654912692</v>
      </c>
      <c r="T396" s="309">
        <v>15015741.04692233</v>
      </c>
      <c r="U396" s="309">
        <v>3442792.9587625004</v>
      </c>
      <c r="V396" s="309">
        <v>11890460.601145376</v>
      </c>
      <c r="W396" s="309">
        <v>2553658.5587997367</v>
      </c>
      <c r="X396" s="309">
        <v>2573542.5220137285</v>
      </c>
      <c r="Y396" s="309">
        <v>13028884.169925274</v>
      </c>
      <c r="Z396" s="309">
        <v>18704061.285</v>
      </c>
      <c r="AA396" s="309">
        <v>209539.63499999998</v>
      </c>
      <c r="AB396" s="309">
        <v>3003401.4349999996</v>
      </c>
      <c r="AC396" s="309">
        <v>0</v>
      </c>
      <c r="AD396" s="309">
        <v>0</v>
      </c>
      <c r="AE396" s="309">
        <v>0</v>
      </c>
      <c r="AF396" s="309">
        <v>0</v>
      </c>
      <c r="AG396" s="309">
        <v>0</v>
      </c>
      <c r="AH396" s="309">
        <v>0</v>
      </c>
      <c r="AI396" s="309">
        <v>0</v>
      </c>
      <c r="AJ396" s="309">
        <v>0</v>
      </c>
      <c r="AK396" s="309">
        <v>0</v>
      </c>
      <c r="AL396" s="309">
        <v>0</v>
      </c>
      <c r="AM396" s="309"/>
      <c r="AN396" s="309"/>
      <c r="AO396" s="309"/>
      <c r="AP396" s="309"/>
      <c r="AQ396" s="309"/>
      <c r="AR396" s="309"/>
      <c r="AS396" s="309"/>
      <c r="AT396" s="309"/>
      <c r="AU396" s="309"/>
      <c r="AV396" s="309"/>
      <c r="AW396" s="309"/>
      <c r="AX396" s="309"/>
      <c r="AY396" s="309"/>
      <c r="AZ396" s="309"/>
      <c r="BA396" s="309"/>
      <c r="BB396" s="309"/>
      <c r="BC396" s="309"/>
      <c r="BD396" s="309"/>
      <c r="BE396" s="309"/>
      <c r="BF396" s="309"/>
      <c r="BG396" s="309"/>
      <c r="BH396" s="309"/>
      <c r="BI396" s="309"/>
      <c r="BJ396" s="309"/>
      <c r="BK396" s="309"/>
    </row>
    <row r="397" spans="1:63" s="80" customFormat="1" ht="12.75">
      <c r="A397" s="167"/>
      <c r="B397" s="210" t="str">
        <f>IF(SUM(F397:Z397)&gt;0,Servicio_internaColumna_título_amortizaciones,"")</f>
        <v>Amortizaciones</v>
      </c>
      <c r="C397" s="254"/>
      <c r="D397" s="255"/>
      <c r="E397" s="255"/>
      <c r="F397" s="255"/>
      <c r="G397" s="255"/>
      <c r="H397" s="255"/>
      <c r="I397" s="255"/>
      <c r="J397" s="255"/>
      <c r="K397" s="255"/>
      <c r="L397" s="255"/>
      <c r="M397" s="255">
        <v>1322011.2302269668</v>
      </c>
      <c r="N397" s="255">
        <v>18851657.930064064</v>
      </c>
      <c r="O397" s="255">
        <v>21296765.279203936</v>
      </c>
      <c r="P397" s="255">
        <v>17792047.811320756</v>
      </c>
      <c r="Q397" s="255">
        <v>22740436.462852381</v>
      </c>
      <c r="R397" s="255">
        <v>12070501.753412653</v>
      </c>
      <c r="S397" s="255">
        <v>4727303.8718567099</v>
      </c>
      <c r="T397" s="255">
        <v>10624718.300000001</v>
      </c>
      <c r="U397" s="255">
        <v>0</v>
      </c>
      <c r="V397" s="255">
        <v>8448925.0999999996</v>
      </c>
      <c r="W397" s="255">
        <v>0</v>
      </c>
      <c r="X397" s="255">
        <v>0</v>
      </c>
      <c r="Y397" s="255">
        <v>10460421.483657649</v>
      </c>
      <c r="Z397" s="255">
        <v>16843201.5</v>
      </c>
      <c r="AA397" s="255">
        <v>0</v>
      </c>
      <c r="AB397" s="255">
        <v>2853382.6</v>
      </c>
      <c r="AC397" s="255">
        <v>0</v>
      </c>
      <c r="AD397" s="255">
        <v>0</v>
      </c>
      <c r="AE397" s="255">
        <v>0</v>
      </c>
      <c r="AF397" s="255">
        <v>0</v>
      </c>
      <c r="AG397" s="255">
        <v>0</v>
      </c>
      <c r="AH397" s="255">
        <v>0</v>
      </c>
      <c r="AI397" s="255">
        <v>0</v>
      </c>
      <c r="AJ397" s="255">
        <v>0</v>
      </c>
      <c r="AK397" s="255">
        <v>0</v>
      </c>
      <c r="AL397" s="255">
        <v>0</v>
      </c>
      <c r="AM397" s="255"/>
      <c r="AN397" s="255"/>
      <c r="AO397" s="255"/>
      <c r="AP397" s="255"/>
      <c r="AQ397" s="255"/>
      <c r="AR397" s="255"/>
      <c r="AS397" s="255"/>
      <c r="AT397" s="255"/>
      <c r="AU397" s="255"/>
      <c r="AV397" s="255"/>
      <c r="AW397" s="255"/>
      <c r="AX397" s="255"/>
      <c r="AY397" s="255"/>
      <c r="AZ397" s="255"/>
      <c r="BA397" s="255"/>
      <c r="BB397" s="255"/>
      <c r="BC397" s="255"/>
      <c r="BD397" s="255"/>
      <c r="BE397" s="255"/>
      <c r="BF397" s="255"/>
      <c r="BG397" s="255"/>
      <c r="BH397" s="255"/>
      <c r="BI397" s="255"/>
      <c r="BJ397" s="255"/>
      <c r="BK397" s="255"/>
    </row>
    <row r="398" spans="1:63" s="133" customFormat="1" ht="12.75">
      <c r="A398" s="168">
        <v>40848</v>
      </c>
      <c r="B398" s="213" t="str">
        <f>IF(SUM(F398:Z398)&gt;0,Servicio_internaColumna_título_intereses,"")</f>
        <v>Intereses</v>
      </c>
      <c r="C398" s="256"/>
      <c r="D398" s="257"/>
      <c r="E398" s="257"/>
      <c r="F398" s="257"/>
      <c r="G398" s="257"/>
      <c r="H398" s="257"/>
      <c r="I398" s="257"/>
      <c r="J398" s="257"/>
      <c r="K398" s="257"/>
      <c r="L398" s="257"/>
      <c r="M398" s="257">
        <v>2304.2816022691577</v>
      </c>
      <c r="N398" s="257">
        <v>11928944.611421667</v>
      </c>
      <c r="O398" s="257">
        <v>10676008.65727628</v>
      </c>
      <c r="P398" s="257">
        <v>9171055.5810069386</v>
      </c>
      <c r="Q398" s="257">
        <v>7388763.7892218875</v>
      </c>
      <c r="R398" s="257">
        <v>5681854.1146651385</v>
      </c>
      <c r="S398" s="257">
        <v>4849578.2981964555</v>
      </c>
      <c r="T398" s="257">
        <v>4629260.1718574204</v>
      </c>
      <c r="U398" s="258">
        <v>3452167.5758206425</v>
      </c>
      <c r="V398" s="258">
        <v>3470901.4349152613</v>
      </c>
      <c r="W398" s="258">
        <v>2560815.5487827198</v>
      </c>
      <c r="X398" s="258">
        <v>2580690.2998962016</v>
      </c>
      <c r="Y398" s="258">
        <v>2601161.2935430873</v>
      </c>
      <c r="Z398" s="258">
        <v>1898323.8449999988</v>
      </c>
      <c r="AA398" s="258">
        <v>214003.69500000001</v>
      </c>
      <c r="AB398" s="258">
        <v>214003.69499999983</v>
      </c>
      <c r="AC398" s="258">
        <v>0</v>
      </c>
      <c r="AD398" s="259">
        <v>0</v>
      </c>
      <c r="AE398" s="259">
        <v>0</v>
      </c>
      <c r="AF398" s="259">
        <v>0</v>
      </c>
      <c r="AG398" s="259">
        <v>0</v>
      </c>
      <c r="AH398" s="259">
        <v>0</v>
      </c>
      <c r="AI398" s="259">
        <v>0</v>
      </c>
      <c r="AJ398" s="259">
        <v>0</v>
      </c>
      <c r="AK398" s="259">
        <v>0</v>
      </c>
      <c r="AL398" s="259">
        <v>0</v>
      </c>
      <c r="AM398" s="259"/>
      <c r="AN398" s="259"/>
      <c r="AO398" s="259"/>
      <c r="AP398" s="259"/>
      <c r="AQ398" s="259"/>
      <c r="AR398" s="259"/>
      <c r="AS398" s="259"/>
      <c r="AT398" s="259"/>
      <c r="AU398" s="259"/>
      <c r="AV398" s="259"/>
      <c r="AW398" s="259"/>
      <c r="AX398" s="259"/>
      <c r="AY398" s="259"/>
      <c r="AZ398" s="259"/>
      <c r="BA398" s="259"/>
      <c r="BB398" s="259"/>
      <c r="BC398" s="259"/>
      <c r="BD398" s="259"/>
      <c r="BE398" s="259"/>
      <c r="BF398" s="259"/>
      <c r="BG398" s="259"/>
      <c r="BH398" s="259"/>
      <c r="BI398" s="259"/>
      <c r="BJ398" s="259"/>
      <c r="BK398" s="259"/>
    </row>
    <row r="399" spans="1:63" s="133" customFormat="1" ht="12.75">
      <c r="A399" s="169"/>
      <c r="B399" s="307" t="str">
        <f>IF(SUM(F399:Z399)&gt;0,Servicio_internaColumna_título_total,"")</f>
        <v>Total</v>
      </c>
      <c r="C399" s="308"/>
      <c r="D399" s="309"/>
      <c r="E399" s="309"/>
      <c r="F399" s="309"/>
      <c r="G399" s="309"/>
      <c r="H399" s="309"/>
      <c r="I399" s="309"/>
      <c r="J399" s="309"/>
      <c r="K399" s="309"/>
      <c r="L399" s="309"/>
      <c r="M399" s="309">
        <v>1324315.5118292361</v>
      </c>
      <c r="N399" s="309">
        <v>30780602.541485731</v>
      </c>
      <c r="O399" s="309">
        <v>31972773.936480217</v>
      </c>
      <c r="P399" s="309">
        <v>26963103.392327696</v>
      </c>
      <c r="Q399" s="309">
        <v>30129200.252074268</v>
      </c>
      <c r="R399" s="309">
        <v>17752355.868077792</v>
      </c>
      <c r="S399" s="309">
        <v>9576882.1700531654</v>
      </c>
      <c r="T399" s="309">
        <v>15253978.471857421</v>
      </c>
      <c r="U399" s="309">
        <v>3452167.5758206425</v>
      </c>
      <c r="V399" s="309">
        <v>11919826.534915261</v>
      </c>
      <c r="W399" s="309">
        <v>2560815.5487827198</v>
      </c>
      <c r="X399" s="309">
        <v>2580690.2998962016</v>
      </c>
      <c r="Y399" s="309">
        <v>13061582.777200736</v>
      </c>
      <c r="Z399" s="309">
        <v>18741525.344999999</v>
      </c>
      <c r="AA399" s="309">
        <v>214003.69500000001</v>
      </c>
      <c r="AB399" s="309">
        <v>3067386.2949999999</v>
      </c>
      <c r="AC399" s="309">
        <v>0</v>
      </c>
      <c r="AD399" s="309">
        <v>0</v>
      </c>
      <c r="AE399" s="309">
        <v>0</v>
      </c>
      <c r="AF399" s="309">
        <v>0</v>
      </c>
      <c r="AG399" s="309">
        <v>0</v>
      </c>
      <c r="AH399" s="309">
        <v>0</v>
      </c>
      <c r="AI399" s="309">
        <v>0</v>
      </c>
      <c r="AJ399" s="309">
        <v>0</v>
      </c>
      <c r="AK399" s="309">
        <v>0</v>
      </c>
      <c r="AL399" s="309">
        <v>0</v>
      </c>
      <c r="AM399" s="309"/>
      <c r="AN399" s="309"/>
      <c r="AO399" s="309"/>
      <c r="AP399" s="309"/>
      <c r="AQ399" s="309"/>
      <c r="AR399" s="309"/>
      <c r="AS399" s="309"/>
      <c r="AT399" s="309"/>
      <c r="AU399" s="309"/>
      <c r="AV399" s="309"/>
      <c r="AW399" s="309"/>
      <c r="AX399" s="309"/>
      <c r="AY399" s="309"/>
      <c r="AZ399" s="309"/>
      <c r="BA399" s="309"/>
      <c r="BB399" s="309"/>
      <c r="BC399" s="309"/>
      <c r="BD399" s="309"/>
      <c r="BE399" s="309"/>
      <c r="BF399" s="309"/>
      <c r="BG399" s="309"/>
      <c r="BH399" s="309"/>
      <c r="BI399" s="309"/>
      <c r="BJ399" s="309"/>
      <c r="BK399" s="309"/>
    </row>
    <row r="400" spans="1:63" s="80" customFormat="1" ht="12.75">
      <c r="A400" s="167"/>
      <c r="B400" s="210" t="str">
        <f>Servicio_internaColumna_título_amortizaciones</f>
        <v>Amortizaciones</v>
      </c>
      <c r="C400" s="254"/>
      <c r="D400" s="255"/>
      <c r="E400" s="255"/>
      <c r="F400" s="255"/>
      <c r="G400" s="255"/>
      <c r="H400" s="255"/>
      <c r="I400" s="255"/>
      <c r="J400" s="255"/>
      <c r="K400" s="255"/>
      <c r="L400" s="255"/>
      <c r="M400" s="255"/>
      <c r="N400" s="255">
        <v>21373581.340935886</v>
      </c>
      <c r="O400" s="255">
        <v>21373863.649301071</v>
      </c>
      <c r="P400" s="255">
        <v>17746935.546906576</v>
      </c>
      <c r="Q400" s="255">
        <v>22671884.228108075</v>
      </c>
      <c r="R400" s="255">
        <v>12979014.420070359</v>
      </c>
      <c r="S400" s="255">
        <v>4997469.3457984878</v>
      </c>
      <c r="T400" s="255">
        <v>10886266.822703581</v>
      </c>
      <c r="U400" s="255">
        <v>0</v>
      </c>
      <c r="V400" s="255">
        <v>8448925.0999999996</v>
      </c>
      <c r="W400" s="255">
        <v>0</v>
      </c>
      <c r="X400" s="255">
        <v>0</v>
      </c>
      <c r="Y400" s="255">
        <v>10497763.962659195</v>
      </c>
      <c r="Z400" s="255">
        <v>16843201.5</v>
      </c>
      <c r="AA400" s="255">
        <v>0</v>
      </c>
      <c r="AB400" s="255">
        <v>2894390.4</v>
      </c>
      <c r="AC400" s="255">
        <v>0</v>
      </c>
      <c r="AD400" s="255">
        <v>0</v>
      </c>
      <c r="AE400" s="255">
        <v>0</v>
      </c>
      <c r="AF400" s="255">
        <v>0</v>
      </c>
      <c r="AG400" s="255">
        <v>0</v>
      </c>
      <c r="AH400" s="255">
        <v>0</v>
      </c>
      <c r="AI400" s="255">
        <v>0</v>
      </c>
      <c r="AJ400" s="255">
        <v>0</v>
      </c>
      <c r="AK400" s="255">
        <v>0</v>
      </c>
      <c r="AL400" s="255">
        <v>0</v>
      </c>
      <c r="AM400" s="255">
        <v>0</v>
      </c>
      <c r="AN400" s="255"/>
      <c r="AO400" s="255"/>
      <c r="AP400" s="255"/>
      <c r="AQ400" s="255"/>
      <c r="AR400" s="255"/>
      <c r="AS400" s="255"/>
      <c r="AT400" s="255"/>
      <c r="AU400" s="255"/>
      <c r="AV400" s="255"/>
      <c r="AW400" s="255"/>
      <c r="AX400" s="255"/>
      <c r="AY400" s="255"/>
      <c r="AZ400" s="255"/>
      <c r="BA400" s="255"/>
      <c r="BB400" s="255"/>
      <c r="BC400" s="255"/>
      <c r="BD400" s="255"/>
      <c r="BE400" s="255"/>
      <c r="BF400" s="255"/>
      <c r="BG400" s="255"/>
      <c r="BH400" s="255"/>
      <c r="BI400" s="255"/>
      <c r="BJ400" s="255"/>
      <c r="BK400" s="255"/>
    </row>
    <row r="401" spans="1:63" s="133" customFormat="1" ht="12.75">
      <c r="A401" s="168">
        <v>40878</v>
      </c>
      <c r="B401" s="213" t="str">
        <f>Servicio_internaColumna_título_intereses</f>
        <v>Intereses</v>
      </c>
      <c r="C401" s="256"/>
      <c r="D401" s="257"/>
      <c r="E401" s="257"/>
      <c r="F401" s="257"/>
      <c r="G401" s="257"/>
      <c r="H401" s="257"/>
      <c r="I401" s="257"/>
      <c r="J401" s="257"/>
      <c r="K401" s="257"/>
      <c r="L401" s="257"/>
      <c r="M401" s="257"/>
      <c r="N401" s="257">
        <v>12002173.138907421</v>
      </c>
      <c r="O401" s="257">
        <v>10748491.92650922</v>
      </c>
      <c r="P401" s="257">
        <v>9240228.1362343635</v>
      </c>
      <c r="Q401" s="257">
        <v>7459044.5233866097</v>
      </c>
      <c r="R401" s="257">
        <v>5742289.5605934598</v>
      </c>
      <c r="S401" s="257">
        <v>4890713.1200267626</v>
      </c>
      <c r="T401" s="257">
        <v>4668686.3755459953</v>
      </c>
      <c r="U401" s="258">
        <v>3462448.2231948744</v>
      </c>
      <c r="V401" s="258">
        <v>3481398.2341607194</v>
      </c>
      <c r="W401" s="258">
        <v>2571534.9844555422</v>
      </c>
      <c r="X401" s="258">
        <v>2591639.0510892086</v>
      </c>
      <c r="Y401" s="258">
        <v>2612346.239721885</v>
      </c>
      <c r="Z401" s="258">
        <v>1901399.4299999997</v>
      </c>
      <c r="AA401" s="258">
        <v>217079.28</v>
      </c>
      <c r="AB401" s="258">
        <v>217079.2799999998</v>
      </c>
      <c r="AC401" s="258">
        <v>0</v>
      </c>
      <c r="AD401" s="259">
        <v>0</v>
      </c>
      <c r="AE401" s="259">
        <v>0</v>
      </c>
      <c r="AF401" s="259">
        <v>0</v>
      </c>
      <c r="AG401" s="259">
        <v>0</v>
      </c>
      <c r="AH401" s="259">
        <v>0</v>
      </c>
      <c r="AI401" s="259">
        <v>0</v>
      </c>
      <c r="AJ401" s="259">
        <v>0</v>
      </c>
      <c r="AK401" s="259">
        <v>0</v>
      </c>
      <c r="AL401" s="259">
        <v>0</v>
      </c>
      <c r="AM401" s="259">
        <v>0</v>
      </c>
      <c r="AN401" s="259"/>
      <c r="AO401" s="259"/>
      <c r="AP401" s="259"/>
      <c r="AQ401" s="259"/>
      <c r="AR401" s="259"/>
      <c r="AS401" s="259"/>
      <c r="AT401" s="259"/>
      <c r="AU401" s="259"/>
      <c r="AV401" s="259"/>
      <c r="AW401" s="259"/>
      <c r="AX401" s="259"/>
      <c r="AY401" s="259"/>
      <c r="AZ401" s="259"/>
      <c r="BA401" s="259"/>
      <c r="BB401" s="259"/>
      <c r="BC401" s="259"/>
      <c r="BD401" s="259"/>
      <c r="BE401" s="259"/>
      <c r="BF401" s="259"/>
      <c r="BG401" s="259"/>
      <c r="BH401" s="259"/>
      <c r="BI401" s="259"/>
      <c r="BJ401" s="259"/>
      <c r="BK401" s="259"/>
    </row>
    <row r="402" spans="1:63" s="133" customFormat="1" ht="12.75">
      <c r="A402" s="169"/>
      <c r="B402" s="307" t="str">
        <f>Servicio_internaColumna_título_total</f>
        <v>Total</v>
      </c>
      <c r="C402" s="308"/>
      <c r="D402" s="309"/>
      <c r="E402" s="309"/>
      <c r="F402" s="309"/>
      <c r="G402" s="309"/>
      <c r="H402" s="309"/>
      <c r="I402" s="309"/>
      <c r="J402" s="309"/>
      <c r="K402" s="309"/>
      <c r="L402" s="309"/>
      <c r="M402" s="309"/>
      <c r="N402" s="309">
        <v>33375754.479843307</v>
      </c>
      <c r="O402" s="309">
        <v>32122355.575810291</v>
      </c>
      <c r="P402" s="309">
        <v>26987163.683140941</v>
      </c>
      <c r="Q402" s="309">
        <v>30130928.751494683</v>
      </c>
      <c r="R402" s="309">
        <v>18721303.980663821</v>
      </c>
      <c r="S402" s="309">
        <v>9888182.4658252504</v>
      </c>
      <c r="T402" s="309">
        <v>15554953.198249577</v>
      </c>
      <c r="U402" s="309">
        <v>3462448.2231948744</v>
      </c>
      <c r="V402" s="309">
        <v>11930323.334160719</v>
      </c>
      <c r="W402" s="309">
        <v>2571534.9844555422</v>
      </c>
      <c r="X402" s="309">
        <v>2591639.0510892086</v>
      </c>
      <c r="Y402" s="309">
        <v>13110110.20238108</v>
      </c>
      <c r="Z402" s="309">
        <v>18744600.93</v>
      </c>
      <c r="AA402" s="309">
        <v>217079.28</v>
      </c>
      <c r="AB402" s="309">
        <v>3111469.6799999997</v>
      </c>
      <c r="AC402" s="309">
        <v>0</v>
      </c>
      <c r="AD402" s="309">
        <v>0</v>
      </c>
      <c r="AE402" s="309">
        <v>0</v>
      </c>
      <c r="AF402" s="309">
        <v>0</v>
      </c>
      <c r="AG402" s="309">
        <v>0</v>
      </c>
      <c r="AH402" s="309">
        <v>0</v>
      </c>
      <c r="AI402" s="309">
        <v>0</v>
      </c>
      <c r="AJ402" s="309">
        <v>0</v>
      </c>
      <c r="AK402" s="309">
        <v>0</v>
      </c>
      <c r="AL402" s="309">
        <v>0</v>
      </c>
      <c r="AM402" s="309">
        <v>0</v>
      </c>
      <c r="AN402" s="309"/>
      <c r="AO402" s="309"/>
      <c r="AP402" s="309"/>
      <c r="AQ402" s="309"/>
      <c r="AR402" s="309"/>
      <c r="AS402" s="309"/>
      <c r="AT402" s="309"/>
      <c r="AU402" s="309"/>
      <c r="AV402" s="309"/>
      <c r="AW402" s="309"/>
      <c r="AX402" s="309"/>
      <c r="AY402" s="309"/>
      <c r="AZ402" s="309"/>
      <c r="BA402" s="309"/>
      <c r="BB402" s="309"/>
      <c r="BC402" s="309"/>
      <c r="BD402" s="309"/>
      <c r="BE402" s="309"/>
      <c r="BF402" s="309"/>
      <c r="BG402" s="309"/>
      <c r="BH402" s="309"/>
      <c r="BI402" s="309"/>
      <c r="BJ402" s="309"/>
      <c r="BK402" s="309"/>
    </row>
    <row r="403" spans="1:63" s="80" customFormat="1" ht="12.75">
      <c r="A403" s="167"/>
      <c r="B403" s="210" t="str">
        <f>Servicio_internaColumna_título_amortizaciones</f>
        <v>Amortizaciones</v>
      </c>
      <c r="C403" s="254"/>
      <c r="D403" s="255"/>
      <c r="E403" s="255"/>
      <c r="F403" s="255"/>
      <c r="G403" s="255"/>
      <c r="H403" s="255"/>
      <c r="I403" s="255"/>
      <c r="J403" s="255"/>
      <c r="K403" s="255"/>
      <c r="L403" s="255"/>
      <c r="M403" s="255"/>
      <c r="N403" s="255">
        <v>17941943.493816592</v>
      </c>
      <c r="O403" s="255">
        <v>21366079.902379077</v>
      </c>
      <c r="P403" s="255">
        <v>17794796.413095016</v>
      </c>
      <c r="Q403" s="255">
        <v>23192920.64293291</v>
      </c>
      <c r="R403" s="255">
        <v>12759605.180277709</v>
      </c>
      <c r="S403" s="255">
        <v>5133316.2241480593</v>
      </c>
      <c r="T403" s="255">
        <v>11469775.56469805</v>
      </c>
      <c r="U403" s="255">
        <v>0</v>
      </c>
      <c r="V403" s="255">
        <v>8448925.0999999996</v>
      </c>
      <c r="W403" s="255">
        <v>0</v>
      </c>
      <c r="X403" s="255">
        <v>0</v>
      </c>
      <c r="Y403" s="255">
        <v>10652720.43750779</v>
      </c>
      <c r="Z403" s="255">
        <v>16843201.5</v>
      </c>
      <c r="AA403" s="255">
        <v>0</v>
      </c>
      <c r="AB403" s="255">
        <v>3706192.5</v>
      </c>
      <c r="AC403" s="255">
        <v>0</v>
      </c>
      <c r="AD403" s="255">
        <v>0</v>
      </c>
      <c r="AE403" s="255">
        <v>0</v>
      </c>
      <c r="AF403" s="255">
        <v>0</v>
      </c>
      <c r="AG403" s="255">
        <v>0</v>
      </c>
      <c r="AH403" s="255">
        <v>0</v>
      </c>
      <c r="AI403" s="255">
        <v>0</v>
      </c>
      <c r="AJ403" s="255">
        <v>0</v>
      </c>
      <c r="AK403" s="255">
        <v>0</v>
      </c>
      <c r="AL403" s="255">
        <v>0</v>
      </c>
      <c r="AM403" s="255">
        <v>0</v>
      </c>
      <c r="AN403" s="255"/>
      <c r="AO403" s="255"/>
      <c r="AP403" s="255"/>
      <c r="AQ403" s="255"/>
      <c r="AR403" s="255"/>
      <c r="AS403" s="255"/>
      <c r="AT403" s="255"/>
      <c r="AU403" s="255"/>
      <c r="AV403" s="255"/>
      <c r="AW403" s="255"/>
      <c r="AX403" s="255"/>
      <c r="AY403" s="255"/>
      <c r="AZ403" s="255"/>
      <c r="BA403" s="255"/>
      <c r="BB403" s="255"/>
      <c r="BC403" s="255"/>
      <c r="BD403" s="255"/>
      <c r="BE403" s="255"/>
      <c r="BF403" s="255"/>
      <c r="BG403" s="255"/>
      <c r="BH403" s="255"/>
      <c r="BI403" s="255"/>
      <c r="BJ403" s="255"/>
      <c r="BK403" s="255"/>
    </row>
    <row r="404" spans="1:63" s="133" customFormat="1" ht="12.75">
      <c r="A404" s="168">
        <v>40909</v>
      </c>
      <c r="B404" s="213" t="str">
        <f>Servicio_internaColumna_título_intereses</f>
        <v>Intereses</v>
      </c>
      <c r="C404" s="256"/>
      <c r="D404" s="257"/>
      <c r="E404" s="257"/>
      <c r="F404" s="257"/>
      <c r="G404" s="257"/>
      <c r="H404" s="257"/>
      <c r="I404" s="257"/>
      <c r="J404" s="257"/>
      <c r="K404" s="257"/>
      <c r="L404" s="257"/>
      <c r="M404" s="257"/>
      <c r="N404" s="257">
        <v>12137599.888228739</v>
      </c>
      <c r="O404" s="257">
        <v>11100854.095372126</v>
      </c>
      <c r="P404" s="257">
        <v>9588599.4812965859</v>
      </c>
      <c r="Q404" s="257">
        <v>7802201.2000331627</v>
      </c>
      <c r="R404" s="257">
        <v>6051296.7276056102</v>
      </c>
      <c r="S404" s="257">
        <v>5151933.9098329078</v>
      </c>
      <c r="T404" s="257">
        <v>4913704.5542161949</v>
      </c>
      <c r="U404" s="258">
        <v>3636717.139736108</v>
      </c>
      <c r="V404" s="258">
        <v>3650502.4890868128</v>
      </c>
      <c r="W404" s="258">
        <v>2740364.9736397816</v>
      </c>
      <c r="X404" s="258">
        <v>2750434.9730353756</v>
      </c>
      <c r="Y404" s="258">
        <v>2765998.641169955</v>
      </c>
      <c r="Z404" s="258">
        <v>2041214.0533462686</v>
      </c>
      <c r="AA404" s="258">
        <v>351504.31895371998</v>
      </c>
      <c r="AB404" s="258">
        <v>346114.73456116999</v>
      </c>
      <c r="AC404" s="258">
        <v>62760.712668610002</v>
      </c>
      <c r="AD404" s="259">
        <v>57371.128276050003</v>
      </c>
      <c r="AE404" s="259">
        <v>51981.543883489998</v>
      </c>
      <c r="AF404" s="259">
        <v>46591.959490940004</v>
      </c>
      <c r="AG404" s="259">
        <v>41202.37509839001</v>
      </c>
      <c r="AH404" s="259">
        <v>35812.790705809995</v>
      </c>
      <c r="AI404" s="259">
        <v>31700.805456369999</v>
      </c>
      <c r="AJ404" s="259">
        <v>28014.686588030003</v>
      </c>
      <c r="AK404" s="259">
        <v>24328.567719679999</v>
      </c>
      <c r="AL404" s="259">
        <v>20642.448851339999</v>
      </c>
      <c r="AM404" s="259">
        <v>16956.329982700001</v>
      </c>
      <c r="AN404" s="259"/>
      <c r="AO404" s="259"/>
      <c r="AP404" s="259"/>
      <c r="AQ404" s="259"/>
      <c r="AR404" s="259"/>
      <c r="AS404" s="259"/>
      <c r="AT404" s="259"/>
      <c r="AU404" s="259"/>
      <c r="AV404" s="259"/>
      <c r="AW404" s="259"/>
      <c r="AX404" s="259"/>
      <c r="AY404" s="259"/>
      <c r="AZ404" s="259"/>
      <c r="BA404" s="259"/>
      <c r="BB404" s="259"/>
      <c r="BC404" s="259"/>
      <c r="BD404" s="259"/>
      <c r="BE404" s="259"/>
      <c r="BF404" s="259"/>
      <c r="BG404" s="259"/>
      <c r="BH404" s="259"/>
      <c r="BI404" s="259"/>
      <c r="BJ404" s="259"/>
      <c r="BK404" s="259"/>
    </row>
    <row r="405" spans="1:63" s="133" customFormat="1" ht="12.75">
      <c r="A405" s="169"/>
      <c r="B405" s="307" t="str">
        <f>Servicio_internaColumna_título_total</f>
        <v>Total</v>
      </c>
      <c r="C405" s="308"/>
      <c r="D405" s="309"/>
      <c r="E405" s="309"/>
      <c r="F405" s="309"/>
      <c r="G405" s="309"/>
      <c r="H405" s="309"/>
      <c r="I405" s="309"/>
      <c r="J405" s="309"/>
      <c r="K405" s="309"/>
      <c r="L405" s="309"/>
      <c r="M405" s="309"/>
      <c r="N405" s="309">
        <v>30079543.382045329</v>
      </c>
      <c r="O405" s="309">
        <v>32466933.997751202</v>
      </c>
      <c r="P405" s="309">
        <v>27383395.894391604</v>
      </c>
      <c r="Q405" s="309">
        <v>30995121.842966072</v>
      </c>
      <c r="R405" s="309">
        <v>18810901.90788332</v>
      </c>
      <c r="S405" s="309">
        <v>10285250.133980967</v>
      </c>
      <c r="T405" s="309">
        <v>16383480.118914245</v>
      </c>
      <c r="U405" s="309">
        <v>3636717.139736108</v>
      </c>
      <c r="V405" s="309">
        <v>12099427.589086812</v>
      </c>
      <c r="W405" s="309">
        <v>2740364.9736397816</v>
      </c>
      <c r="X405" s="309">
        <v>2750434.9730353756</v>
      </c>
      <c r="Y405" s="309">
        <v>13418719.078677744</v>
      </c>
      <c r="Z405" s="309">
        <v>18884415.553346269</v>
      </c>
      <c r="AA405" s="309">
        <v>351504.31895371998</v>
      </c>
      <c r="AB405" s="309">
        <v>4052307.23456117</v>
      </c>
      <c r="AC405" s="309">
        <v>62760.712668610002</v>
      </c>
      <c r="AD405" s="309">
        <v>57371.128276050003</v>
      </c>
      <c r="AE405" s="309">
        <v>51981.543883489998</v>
      </c>
      <c r="AF405" s="309">
        <v>46591.959490940004</v>
      </c>
      <c r="AG405" s="309">
        <v>41202.37509839001</v>
      </c>
      <c r="AH405" s="309">
        <v>35812.790705809995</v>
      </c>
      <c r="AI405" s="309">
        <v>31700.805456369999</v>
      </c>
      <c r="AJ405" s="309">
        <v>28014.686588030003</v>
      </c>
      <c r="AK405" s="309">
        <v>24328.567719679999</v>
      </c>
      <c r="AL405" s="309">
        <v>20642.448851339999</v>
      </c>
      <c r="AM405" s="309">
        <v>16956.329982700001</v>
      </c>
      <c r="AN405" s="309"/>
      <c r="AO405" s="309"/>
      <c r="AP405" s="309"/>
      <c r="AQ405" s="309"/>
      <c r="AR405" s="309"/>
      <c r="AS405" s="309"/>
      <c r="AT405" s="309"/>
      <c r="AU405" s="309"/>
      <c r="AV405" s="309"/>
      <c r="AW405" s="309"/>
      <c r="AX405" s="309"/>
      <c r="AY405" s="309"/>
      <c r="AZ405" s="309"/>
      <c r="BA405" s="309"/>
      <c r="BB405" s="309"/>
      <c r="BC405" s="309"/>
      <c r="BD405" s="309"/>
      <c r="BE405" s="309"/>
      <c r="BF405" s="309"/>
      <c r="BG405" s="309"/>
      <c r="BH405" s="309"/>
      <c r="BI405" s="309"/>
      <c r="BJ405" s="309"/>
      <c r="BK405" s="309"/>
    </row>
    <row r="406" spans="1:63" s="80" customFormat="1" ht="12.75">
      <c r="A406" s="167"/>
      <c r="B406" s="210" t="str">
        <f>Servicio_internaColumna_título_amortizaciones</f>
        <v>Amortizaciones</v>
      </c>
      <c r="C406" s="254"/>
      <c r="D406" s="255"/>
      <c r="E406" s="255"/>
      <c r="F406" s="255"/>
      <c r="G406" s="255"/>
      <c r="H406" s="255"/>
      <c r="I406" s="255"/>
      <c r="J406" s="255"/>
      <c r="K406" s="255"/>
      <c r="L406" s="255"/>
      <c r="M406" s="255"/>
      <c r="N406" s="255">
        <v>17842663.560390633</v>
      </c>
      <c r="O406" s="255">
        <v>21627069.677298103</v>
      </c>
      <c r="P406" s="255">
        <v>17799054.025015298</v>
      </c>
      <c r="Q406" s="255">
        <v>23534920.55318265</v>
      </c>
      <c r="R406" s="255">
        <v>13476953.376360651</v>
      </c>
      <c r="S406" s="255">
        <v>5395363.1583584696</v>
      </c>
      <c r="T406" s="255">
        <v>11999693.264698049</v>
      </c>
      <c r="U406" s="255">
        <v>0</v>
      </c>
      <c r="V406" s="255">
        <v>8448925.0999999996</v>
      </c>
      <c r="W406" s="255">
        <v>0</v>
      </c>
      <c r="X406" s="255">
        <v>0</v>
      </c>
      <c r="Y406" s="255">
        <v>10856847.244268222</v>
      </c>
      <c r="Z406" s="255">
        <v>16843201.5</v>
      </c>
      <c r="AA406" s="255">
        <v>0</v>
      </c>
      <c r="AB406" s="255">
        <v>4308908.9000000004</v>
      </c>
      <c r="AC406" s="255">
        <v>0</v>
      </c>
      <c r="AD406" s="255">
        <v>0</v>
      </c>
      <c r="AE406" s="255">
        <v>0</v>
      </c>
      <c r="AF406" s="255">
        <v>0</v>
      </c>
      <c r="AG406" s="255">
        <v>0</v>
      </c>
      <c r="AH406" s="255">
        <v>0</v>
      </c>
      <c r="AI406" s="255">
        <v>0</v>
      </c>
      <c r="AJ406" s="255">
        <v>0</v>
      </c>
      <c r="AK406" s="255">
        <v>0</v>
      </c>
      <c r="AL406" s="255">
        <v>0</v>
      </c>
      <c r="AM406" s="255">
        <v>0</v>
      </c>
      <c r="AN406" s="255"/>
      <c r="AO406" s="255"/>
      <c r="AP406" s="255"/>
      <c r="AQ406" s="255"/>
      <c r="AR406" s="255"/>
      <c r="AS406" s="255"/>
      <c r="AT406" s="255"/>
      <c r="AU406" s="255"/>
      <c r="AV406" s="255"/>
      <c r="AW406" s="255"/>
      <c r="AX406" s="255"/>
      <c r="AY406" s="255"/>
      <c r="AZ406" s="255"/>
      <c r="BA406" s="255"/>
      <c r="BB406" s="255"/>
      <c r="BC406" s="255"/>
      <c r="BD406" s="255"/>
      <c r="BE406" s="255"/>
      <c r="BF406" s="255"/>
      <c r="BG406" s="255"/>
      <c r="BH406" s="255"/>
      <c r="BI406" s="255"/>
      <c r="BJ406" s="255"/>
      <c r="BK406" s="255"/>
    </row>
    <row r="407" spans="1:63" s="133" customFormat="1" ht="12.75">
      <c r="A407" s="168">
        <v>40940</v>
      </c>
      <c r="B407" s="213" t="str">
        <f>Servicio_internaColumna_título_intereses</f>
        <v>Intereses</v>
      </c>
      <c r="C407" s="256"/>
      <c r="D407" s="257"/>
      <c r="E407" s="257"/>
      <c r="F407" s="257"/>
      <c r="G407" s="257"/>
      <c r="H407" s="257"/>
      <c r="I407" s="257"/>
      <c r="J407" s="257"/>
      <c r="K407" s="257"/>
      <c r="L407" s="257"/>
      <c r="M407" s="257"/>
      <c r="N407" s="257">
        <v>11022799.238427741</v>
      </c>
      <c r="O407" s="257">
        <v>11296294.857143762</v>
      </c>
      <c r="P407" s="257">
        <v>9784383.0862514563</v>
      </c>
      <c r="Q407" s="257">
        <v>7998842.0991520276</v>
      </c>
      <c r="R407" s="257">
        <v>6226043.5768953469</v>
      </c>
      <c r="S407" s="257">
        <v>5275351.1984141925</v>
      </c>
      <c r="T407" s="257">
        <v>5025737.8351151273</v>
      </c>
      <c r="U407" s="258">
        <v>3689445.66870174</v>
      </c>
      <c r="V407" s="258">
        <v>3703546.8069624365</v>
      </c>
      <c r="W407" s="258">
        <v>2793436.4058373589</v>
      </c>
      <c r="X407" s="258">
        <v>2804136.4518019371</v>
      </c>
      <c r="Y407" s="258">
        <v>2820040.9680414381</v>
      </c>
      <c r="Z407" s="258">
        <v>2085578.6041464789</v>
      </c>
      <c r="AA407" s="258">
        <v>395926.17189159006</v>
      </c>
      <c r="AB407" s="258">
        <v>390593.88963672041</v>
      </c>
      <c r="AC407" s="258">
        <v>62093.439881810002</v>
      </c>
      <c r="AD407" s="259">
        <v>56761.157626939996</v>
      </c>
      <c r="AE407" s="259">
        <v>51428.875372029994</v>
      </c>
      <c r="AF407" s="259">
        <v>46096.593117149998</v>
      </c>
      <c r="AG407" s="259">
        <v>40764.310862260005</v>
      </c>
      <c r="AH407" s="259">
        <v>35432.028607339998</v>
      </c>
      <c r="AI407" s="259">
        <v>31363.762043370003</v>
      </c>
      <c r="AJ407" s="259">
        <v>27716.834043089999</v>
      </c>
      <c r="AK407" s="259">
        <v>24069.906042809998</v>
      </c>
      <c r="AL407" s="259">
        <v>20422.978042530001</v>
      </c>
      <c r="AM407" s="259">
        <v>16776.050041959999</v>
      </c>
      <c r="AN407" s="259"/>
      <c r="AO407" s="259"/>
      <c r="AP407" s="259"/>
      <c r="AQ407" s="259"/>
      <c r="AR407" s="259"/>
      <c r="AS407" s="259"/>
      <c r="AT407" s="259"/>
      <c r="AU407" s="259"/>
      <c r="AV407" s="259"/>
      <c r="AW407" s="259"/>
      <c r="AX407" s="259"/>
      <c r="AY407" s="259"/>
      <c r="AZ407" s="259"/>
      <c r="BA407" s="259"/>
      <c r="BB407" s="259"/>
      <c r="BC407" s="259"/>
      <c r="BD407" s="259"/>
      <c r="BE407" s="259"/>
      <c r="BF407" s="259"/>
      <c r="BG407" s="259"/>
      <c r="BH407" s="259"/>
      <c r="BI407" s="259"/>
      <c r="BJ407" s="259"/>
      <c r="BK407" s="259"/>
    </row>
    <row r="408" spans="1:63" s="133" customFormat="1" ht="12.75">
      <c r="A408" s="169"/>
      <c r="B408" s="307" t="str">
        <f>Servicio_internaColumna_título_total</f>
        <v>Total</v>
      </c>
      <c r="C408" s="308"/>
      <c r="D408" s="309"/>
      <c r="E408" s="309"/>
      <c r="F408" s="309"/>
      <c r="G408" s="309"/>
      <c r="H408" s="309"/>
      <c r="I408" s="309"/>
      <c r="J408" s="309"/>
      <c r="K408" s="309"/>
      <c r="L408" s="309"/>
      <c r="M408" s="309"/>
      <c r="N408" s="309">
        <v>28865462.798818372</v>
      </c>
      <c r="O408" s="309">
        <v>32923364.534441866</v>
      </c>
      <c r="P408" s="309">
        <v>27583437.111266755</v>
      </c>
      <c r="Q408" s="309">
        <v>31533762.652334679</v>
      </c>
      <c r="R408" s="309">
        <v>19702996.953255996</v>
      </c>
      <c r="S408" s="309">
        <v>10670714.356772661</v>
      </c>
      <c r="T408" s="309">
        <v>17025431.099813178</v>
      </c>
      <c r="U408" s="309">
        <v>3689445.66870174</v>
      </c>
      <c r="V408" s="309">
        <v>12152471.906962436</v>
      </c>
      <c r="W408" s="309">
        <v>2793436.4058373589</v>
      </c>
      <c r="X408" s="309">
        <v>2804136.4518019371</v>
      </c>
      <c r="Y408" s="309">
        <v>13676888.21230966</v>
      </c>
      <c r="Z408" s="309">
        <v>18928780.104146481</v>
      </c>
      <c r="AA408" s="309">
        <v>395926.17189159006</v>
      </c>
      <c r="AB408" s="309">
        <v>4699502.7896367209</v>
      </c>
      <c r="AC408" s="309">
        <v>62093.439881810002</v>
      </c>
      <c r="AD408" s="309">
        <v>56761.157626939996</v>
      </c>
      <c r="AE408" s="309">
        <v>51428.875372029994</v>
      </c>
      <c r="AF408" s="309">
        <v>46096.593117149998</v>
      </c>
      <c r="AG408" s="309">
        <v>40764.310862260005</v>
      </c>
      <c r="AH408" s="309">
        <v>35432.028607339998</v>
      </c>
      <c r="AI408" s="309">
        <v>31363.762043370003</v>
      </c>
      <c r="AJ408" s="309">
        <v>27716.834043089999</v>
      </c>
      <c r="AK408" s="309">
        <v>24069.906042809998</v>
      </c>
      <c r="AL408" s="309">
        <v>20422.978042530001</v>
      </c>
      <c r="AM408" s="309">
        <v>16776.050041959999</v>
      </c>
      <c r="AN408" s="309"/>
      <c r="AO408" s="309"/>
      <c r="AP408" s="309"/>
      <c r="AQ408" s="309"/>
      <c r="AR408" s="309"/>
      <c r="AS408" s="309"/>
      <c r="AT408" s="309"/>
      <c r="AU408" s="309"/>
      <c r="AV408" s="309"/>
      <c r="AW408" s="309"/>
      <c r="AX408" s="309"/>
      <c r="AY408" s="309"/>
      <c r="AZ408" s="309"/>
      <c r="BA408" s="309"/>
      <c r="BB408" s="309"/>
      <c r="BC408" s="309"/>
      <c r="BD408" s="309"/>
      <c r="BE408" s="309"/>
      <c r="BF408" s="309"/>
      <c r="BG408" s="309"/>
      <c r="BH408" s="309"/>
      <c r="BI408" s="309"/>
      <c r="BJ408" s="309"/>
      <c r="BK408" s="309"/>
    </row>
    <row r="409" spans="1:63" s="80" customFormat="1" ht="12.75">
      <c r="A409" s="167"/>
      <c r="B409" s="210" t="str">
        <f>IF(SUM(F409:Z409)&gt;0,Servicio_internaColumna_título_amortizaciones,"")</f>
        <v>Amortizaciones</v>
      </c>
      <c r="C409" s="254"/>
      <c r="D409" s="255"/>
      <c r="E409" s="255"/>
      <c r="F409" s="255"/>
      <c r="G409" s="255"/>
      <c r="H409" s="255"/>
      <c r="I409" s="255"/>
      <c r="J409" s="255"/>
      <c r="K409" s="255"/>
      <c r="L409" s="255"/>
      <c r="M409" s="255"/>
      <c r="N409" s="255">
        <v>15847968.72700182</v>
      </c>
      <c r="O409" s="255">
        <v>21676460.861045003</v>
      </c>
      <c r="P409" s="255">
        <v>17804391.639090858</v>
      </c>
      <c r="Q409" s="255">
        <v>23791739.017125569</v>
      </c>
      <c r="R409" s="255">
        <v>14051415.176994029</v>
      </c>
      <c r="S409" s="255">
        <v>5570393.3548995694</v>
      </c>
      <c r="T409" s="255">
        <v>12394091.31869805</v>
      </c>
      <c r="U409" s="255">
        <v>0</v>
      </c>
      <c r="V409" s="255">
        <v>8448925.0999999996</v>
      </c>
      <c r="W409" s="255">
        <v>0</v>
      </c>
      <c r="X409" s="255">
        <v>0</v>
      </c>
      <c r="Y409" s="255">
        <v>11069026.920763841</v>
      </c>
      <c r="Z409" s="255">
        <v>16843201.5</v>
      </c>
      <c r="AA409" s="255">
        <v>0</v>
      </c>
      <c r="AB409" s="255">
        <v>4891561.5999999996</v>
      </c>
      <c r="AC409" s="255">
        <v>0</v>
      </c>
      <c r="AD409" s="255">
        <v>0</v>
      </c>
      <c r="AE409" s="255">
        <v>0</v>
      </c>
      <c r="AF409" s="255">
        <v>0</v>
      </c>
      <c r="AG409" s="255">
        <v>0</v>
      </c>
      <c r="AH409" s="255">
        <v>0</v>
      </c>
      <c r="AI409" s="255">
        <v>0</v>
      </c>
      <c r="AJ409" s="255">
        <v>0</v>
      </c>
      <c r="AK409" s="255">
        <v>0</v>
      </c>
      <c r="AL409" s="255">
        <v>0</v>
      </c>
      <c r="AM409" s="255">
        <v>0</v>
      </c>
      <c r="AN409" s="255"/>
      <c r="AO409" s="255"/>
      <c r="AP409" s="255"/>
      <c r="AQ409" s="255"/>
      <c r="AR409" s="255"/>
      <c r="AS409" s="255"/>
      <c r="AT409" s="255"/>
      <c r="AU409" s="255"/>
      <c r="AV409" s="255"/>
      <c r="AW409" s="255"/>
      <c r="AX409" s="255"/>
      <c r="AY409" s="255"/>
      <c r="AZ409" s="255"/>
      <c r="BA409" s="255"/>
      <c r="BB409" s="255"/>
      <c r="BC409" s="255"/>
      <c r="BD409" s="255"/>
      <c r="BE409" s="255"/>
      <c r="BF409" s="255"/>
      <c r="BG409" s="255"/>
      <c r="BH409" s="255"/>
      <c r="BI409" s="255"/>
      <c r="BJ409" s="255"/>
      <c r="BK409" s="255"/>
    </row>
    <row r="410" spans="1:63" s="133" customFormat="1" ht="12.75">
      <c r="A410" s="168">
        <v>40969</v>
      </c>
      <c r="B410" s="213" t="str">
        <f>IF(SUM(F410:Z410)&gt;0,Servicio_internaColumna_título_intereses,"")</f>
        <v>Intereses</v>
      </c>
      <c r="C410" s="256"/>
      <c r="D410" s="257"/>
      <c r="E410" s="257"/>
      <c r="F410" s="257"/>
      <c r="G410" s="257"/>
      <c r="H410" s="257"/>
      <c r="I410" s="257"/>
      <c r="J410" s="257"/>
      <c r="K410" s="257"/>
      <c r="L410" s="257"/>
      <c r="M410" s="257"/>
      <c r="N410" s="257">
        <v>10745564.253916342</v>
      </c>
      <c r="O410" s="257">
        <v>11453174.439194411</v>
      </c>
      <c r="P410" s="257">
        <v>9941834.0214018021</v>
      </c>
      <c r="Q410" s="257">
        <v>8156875.3376991805</v>
      </c>
      <c r="R410" s="257">
        <v>6370038.0360948844</v>
      </c>
      <c r="S410" s="257">
        <v>5378153.9779510321</v>
      </c>
      <c r="T410" s="257">
        <v>5121820.8814751776</v>
      </c>
      <c r="U410" s="258">
        <v>3741388.6414804887</v>
      </c>
      <c r="V410" s="258">
        <v>3755726.3040502016</v>
      </c>
      <c r="W410" s="258">
        <v>2845969.2895610947</v>
      </c>
      <c r="X410" s="258">
        <v>2856812.4508229485</v>
      </c>
      <c r="Y410" s="258">
        <v>2872976.7322756294</v>
      </c>
      <c r="Z410" s="258">
        <v>2129370.7987797996</v>
      </c>
      <c r="AA410" s="258">
        <v>439711.99962072994</v>
      </c>
      <c r="AB410" s="258">
        <v>434373.35046166013</v>
      </c>
      <c r="AC410" s="258">
        <v>62167.581302589999</v>
      </c>
      <c r="AD410" s="259">
        <v>56828.932143500002</v>
      </c>
      <c r="AE410" s="259">
        <v>51490.282984420002</v>
      </c>
      <c r="AF410" s="259">
        <v>46151.63382535</v>
      </c>
      <c r="AG410" s="259">
        <v>40812.984666279997</v>
      </c>
      <c r="AH410" s="259">
        <v>35474.335507160002</v>
      </c>
      <c r="AI410" s="259">
        <v>31401.211311469997</v>
      </c>
      <c r="AJ410" s="259">
        <v>27749.928770300001</v>
      </c>
      <c r="AK410" s="259">
        <v>24098.646229129998</v>
      </c>
      <c r="AL410" s="259">
        <v>20447.36368794</v>
      </c>
      <c r="AM410" s="259">
        <v>16796.081146460001</v>
      </c>
      <c r="AN410" s="259"/>
      <c r="AO410" s="259"/>
      <c r="AP410" s="259"/>
      <c r="AQ410" s="259"/>
      <c r="AR410" s="259"/>
      <c r="AS410" s="259"/>
      <c r="AT410" s="259"/>
      <c r="AU410" s="259"/>
      <c r="AV410" s="259"/>
      <c r="AW410" s="259"/>
      <c r="AX410" s="259"/>
      <c r="AY410" s="259"/>
      <c r="AZ410" s="259"/>
      <c r="BA410" s="259"/>
      <c r="BB410" s="259"/>
      <c r="BC410" s="259"/>
      <c r="BD410" s="259"/>
      <c r="BE410" s="259"/>
      <c r="BF410" s="259"/>
      <c r="BG410" s="259"/>
      <c r="BH410" s="259"/>
      <c r="BI410" s="259"/>
      <c r="BJ410" s="259"/>
      <c r="BK410" s="259"/>
    </row>
    <row r="411" spans="1:63" s="133" customFormat="1" ht="12.75">
      <c r="A411" s="169"/>
      <c r="B411" s="307" t="str">
        <f>IF(SUM(F411:Z411)&gt;0,Servicio_internaColumna_título_total,"")</f>
        <v>Total</v>
      </c>
      <c r="C411" s="308"/>
      <c r="D411" s="309"/>
      <c r="E411" s="309"/>
      <c r="F411" s="309"/>
      <c r="G411" s="309"/>
      <c r="H411" s="309"/>
      <c r="I411" s="309"/>
      <c r="J411" s="309"/>
      <c r="K411" s="309"/>
      <c r="L411" s="309"/>
      <c r="M411" s="309"/>
      <c r="N411" s="309">
        <v>26593532.980918162</v>
      </c>
      <c r="O411" s="309">
        <v>33129635.300239414</v>
      </c>
      <c r="P411" s="309">
        <v>27746225.660492659</v>
      </c>
      <c r="Q411" s="309">
        <v>31948614.354824752</v>
      </c>
      <c r="R411" s="309">
        <v>20421453.213088915</v>
      </c>
      <c r="S411" s="309">
        <v>10948547.332850602</v>
      </c>
      <c r="T411" s="309">
        <v>17515912.200173229</v>
      </c>
      <c r="U411" s="309">
        <v>3741388.6414804887</v>
      </c>
      <c r="V411" s="309">
        <v>12204651.404050201</v>
      </c>
      <c r="W411" s="309">
        <v>2845969.2895610947</v>
      </c>
      <c r="X411" s="309">
        <v>2856812.4508229485</v>
      </c>
      <c r="Y411" s="309">
        <v>13942003.65303947</v>
      </c>
      <c r="Z411" s="309">
        <v>18972572.298779801</v>
      </c>
      <c r="AA411" s="309">
        <v>439711.99962072994</v>
      </c>
      <c r="AB411" s="309">
        <v>5325934.9504616596</v>
      </c>
      <c r="AC411" s="309">
        <v>62167.581302589999</v>
      </c>
      <c r="AD411" s="309">
        <v>56828.932143500002</v>
      </c>
      <c r="AE411" s="309">
        <v>51490.282984420002</v>
      </c>
      <c r="AF411" s="309">
        <v>46151.63382535</v>
      </c>
      <c r="AG411" s="309">
        <v>40812.984666279997</v>
      </c>
      <c r="AH411" s="309">
        <v>35474.335507160002</v>
      </c>
      <c r="AI411" s="309">
        <v>31401.211311469997</v>
      </c>
      <c r="AJ411" s="309">
        <v>27749.928770300001</v>
      </c>
      <c r="AK411" s="309">
        <v>24098.646229129998</v>
      </c>
      <c r="AL411" s="309">
        <v>20447.36368794</v>
      </c>
      <c r="AM411" s="309">
        <v>16796.081146460001</v>
      </c>
      <c r="AN411" s="309"/>
      <c r="AO411" s="309"/>
      <c r="AP411" s="309"/>
      <c r="AQ411" s="309"/>
      <c r="AR411" s="309"/>
      <c r="AS411" s="309"/>
      <c r="AT411" s="309"/>
      <c r="AU411" s="309"/>
      <c r="AV411" s="309"/>
      <c r="AW411" s="309"/>
      <c r="AX411" s="309"/>
      <c r="AY411" s="309"/>
      <c r="AZ411" s="309"/>
      <c r="BA411" s="309"/>
      <c r="BB411" s="309"/>
      <c r="BC411" s="309"/>
      <c r="BD411" s="309"/>
      <c r="BE411" s="309"/>
      <c r="BF411" s="309"/>
      <c r="BG411" s="309"/>
      <c r="BH411" s="309"/>
      <c r="BI411" s="309"/>
      <c r="BJ411" s="309"/>
      <c r="BK411" s="309"/>
    </row>
    <row r="412" spans="1:63" s="80" customFormat="1" ht="12.75">
      <c r="A412" s="167"/>
      <c r="B412" s="210" t="str">
        <f>Servicio_internaColumna_título_amortizaciones</f>
        <v>Amortizaciones</v>
      </c>
      <c r="C412" s="254"/>
      <c r="D412" s="255"/>
      <c r="E412" s="255"/>
      <c r="F412" s="255"/>
      <c r="G412" s="255"/>
      <c r="H412" s="255"/>
      <c r="I412" s="255"/>
      <c r="J412" s="255"/>
      <c r="K412" s="255"/>
      <c r="L412" s="255"/>
      <c r="M412" s="255"/>
      <c r="N412" s="255">
        <v>12820374.029667592</v>
      </c>
      <c r="O412" s="255">
        <v>21701944.117199596</v>
      </c>
      <c r="P412" s="255">
        <v>17807145.567553859</v>
      </c>
      <c r="Q412" s="255">
        <v>24028908.67553807</v>
      </c>
      <c r="R412" s="255">
        <v>14608455.282855531</v>
      </c>
      <c r="S412" s="255">
        <v>5740815.46136887</v>
      </c>
      <c r="T412" s="255">
        <v>12866860.81869805</v>
      </c>
      <c r="U412" s="255">
        <v>0</v>
      </c>
      <c r="V412" s="255">
        <v>8448925.0999999996</v>
      </c>
      <c r="W412" s="255">
        <v>0</v>
      </c>
      <c r="X412" s="255">
        <v>0</v>
      </c>
      <c r="Y412" s="255">
        <v>11493750.262490472</v>
      </c>
      <c r="Z412" s="255">
        <v>16843201.5</v>
      </c>
      <c r="AA412" s="255">
        <v>0</v>
      </c>
      <c r="AB412" s="255">
        <v>5567991.9000000004</v>
      </c>
      <c r="AC412" s="255">
        <v>0</v>
      </c>
      <c r="AD412" s="255">
        <v>0</v>
      </c>
      <c r="AE412" s="255">
        <v>0</v>
      </c>
      <c r="AF412" s="255">
        <v>0</v>
      </c>
      <c r="AG412" s="255">
        <v>0</v>
      </c>
      <c r="AH412" s="255">
        <v>0</v>
      </c>
      <c r="AI412" s="255">
        <v>0</v>
      </c>
      <c r="AJ412" s="255">
        <v>0</v>
      </c>
      <c r="AK412" s="255">
        <v>0</v>
      </c>
      <c r="AL412" s="255">
        <v>0</v>
      </c>
      <c r="AM412" s="255">
        <v>0</v>
      </c>
      <c r="AN412" s="255"/>
      <c r="AO412" s="255"/>
      <c r="AP412" s="255"/>
      <c r="AQ412" s="255"/>
      <c r="AR412" s="255"/>
      <c r="AS412" s="255"/>
      <c r="AT412" s="255"/>
      <c r="AU412" s="255"/>
      <c r="AV412" s="255"/>
      <c r="AW412" s="255"/>
      <c r="AX412" s="255"/>
      <c r="AY412" s="255"/>
      <c r="AZ412" s="255"/>
      <c r="BA412" s="255"/>
      <c r="BB412" s="255"/>
      <c r="BC412" s="255"/>
      <c r="BD412" s="255"/>
      <c r="BE412" s="255"/>
      <c r="BF412" s="255"/>
      <c r="BG412" s="255"/>
      <c r="BH412" s="255"/>
      <c r="BI412" s="255"/>
      <c r="BJ412" s="255"/>
      <c r="BK412" s="255"/>
    </row>
    <row r="413" spans="1:63" s="133" customFormat="1" ht="12.75">
      <c r="A413" s="168">
        <v>41000</v>
      </c>
      <c r="B413" s="213" t="str">
        <f>Servicio_internaColumna_título_intereses</f>
        <v>Intereses</v>
      </c>
      <c r="C413" s="256"/>
      <c r="D413" s="257"/>
      <c r="E413" s="257"/>
      <c r="F413" s="257"/>
      <c r="G413" s="257"/>
      <c r="H413" s="257"/>
      <c r="I413" s="257"/>
      <c r="J413" s="257"/>
      <c r="K413" s="257"/>
      <c r="L413" s="257"/>
      <c r="M413" s="257"/>
      <c r="N413" s="257">
        <v>10173535.177851975</v>
      </c>
      <c r="O413" s="257">
        <v>11637627.813506087</v>
      </c>
      <c r="P413" s="257">
        <v>10127514.198475583</v>
      </c>
      <c r="Q413" s="257">
        <v>8343833.4795455057</v>
      </c>
      <c r="R413" s="257">
        <v>6542452.1612933204</v>
      </c>
      <c r="S413" s="257">
        <v>5511061.3031698223</v>
      </c>
      <c r="T413" s="257">
        <v>5247837.5815654155</v>
      </c>
      <c r="U413" s="258">
        <v>3814881.6990885013</v>
      </c>
      <c r="V413" s="258">
        <v>3829901.8591330349</v>
      </c>
      <c r="W413" s="258">
        <v>2920629.1767719034</v>
      </c>
      <c r="X413" s="258">
        <v>2932415.7018150766</v>
      </c>
      <c r="Y413" s="258">
        <v>2949326.11262252</v>
      </c>
      <c r="Z413" s="258">
        <v>2180103.0712798005</v>
      </c>
      <c r="AA413" s="258">
        <v>490444.27212073002</v>
      </c>
      <c r="AB413" s="258">
        <v>485105.62296166009</v>
      </c>
      <c r="AC413" s="258">
        <v>62167.581302589999</v>
      </c>
      <c r="AD413" s="259">
        <v>56828.932143500002</v>
      </c>
      <c r="AE413" s="259">
        <v>51490.282984420002</v>
      </c>
      <c r="AF413" s="259">
        <v>46151.63382535</v>
      </c>
      <c r="AG413" s="259">
        <v>40812.984666279997</v>
      </c>
      <c r="AH413" s="259">
        <v>35474.335507160002</v>
      </c>
      <c r="AI413" s="259">
        <v>31401.211311469997</v>
      </c>
      <c r="AJ413" s="259">
        <v>27749.928770300001</v>
      </c>
      <c r="AK413" s="259">
        <v>24098.646229129998</v>
      </c>
      <c r="AL413" s="259">
        <v>20447.36368794</v>
      </c>
      <c r="AM413" s="259">
        <v>16796.081146460001</v>
      </c>
      <c r="AN413" s="259"/>
      <c r="AO413" s="259"/>
      <c r="AP413" s="259"/>
      <c r="AQ413" s="259"/>
      <c r="AR413" s="259"/>
      <c r="AS413" s="259"/>
      <c r="AT413" s="259"/>
      <c r="AU413" s="259"/>
      <c r="AV413" s="259"/>
      <c r="AW413" s="259"/>
      <c r="AX413" s="259"/>
      <c r="AY413" s="259"/>
      <c r="AZ413" s="259"/>
      <c r="BA413" s="259"/>
      <c r="BB413" s="259"/>
      <c r="BC413" s="259"/>
      <c r="BD413" s="259"/>
      <c r="BE413" s="259"/>
      <c r="BF413" s="259"/>
      <c r="BG413" s="259"/>
      <c r="BH413" s="259"/>
      <c r="BI413" s="259"/>
      <c r="BJ413" s="259"/>
      <c r="BK413" s="259"/>
    </row>
    <row r="414" spans="1:63" s="133" customFormat="1" ht="12.75">
      <c r="A414" s="169"/>
      <c r="B414" s="307" t="str">
        <f>Servicio_internaColumna_título_total</f>
        <v>Total</v>
      </c>
      <c r="C414" s="308"/>
      <c r="D414" s="309"/>
      <c r="E414" s="309"/>
      <c r="F414" s="309"/>
      <c r="G414" s="309"/>
      <c r="H414" s="309"/>
      <c r="I414" s="309"/>
      <c r="J414" s="309"/>
      <c r="K414" s="309"/>
      <c r="L414" s="309"/>
      <c r="M414" s="309"/>
      <c r="N414" s="309">
        <v>22993909.207519569</v>
      </c>
      <c r="O414" s="309">
        <v>33339571.930705681</v>
      </c>
      <c r="P414" s="309">
        <v>27934659.76602944</v>
      </c>
      <c r="Q414" s="309">
        <v>32372742.155083574</v>
      </c>
      <c r="R414" s="309">
        <v>21150907.444148853</v>
      </c>
      <c r="S414" s="309">
        <v>11251876.764538692</v>
      </c>
      <c r="T414" s="309">
        <v>18114698.400263466</v>
      </c>
      <c r="U414" s="309">
        <v>3814881.6990885013</v>
      </c>
      <c r="V414" s="309">
        <v>12278826.959133035</v>
      </c>
      <c r="W414" s="309">
        <v>2920629.1767719034</v>
      </c>
      <c r="X414" s="309">
        <v>2932415.7018150766</v>
      </c>
      <c r="Y414" s="309">
        <v>14443076.375112992</v>
      </c>
      <c r="Z414" s="309">
        <v>19023304.571279801</v>
      </c>
      <c r="AA414" s="309">
        <v>490444.27212073002</v>
      </c>
      <c r="AB414" s="309">
        <v>6053097.5229616603</v>
      </c>
      <c r="AC414" s="309">
        <v>62167.581302589999</v>
      </c>
      <c r="AD414" s="309">
        <v>56828.932143500002</v>
      </c>
      <c r="AE414" s="309">
        <v>51490.282984420002</v>
      </c>
      <c r="AF414" s="309">
        <v>46151.63382535</v>
      </c>
      <c r="AG414" s="309">
        <v>40812.984666279997</v>
      </c>
      <c r="AH414" s="309">
        <v>35474.335507160002</v>
      </c>
      <c r="AI414" s="309">
        <v>31401.211311469997</v>
      </c>
      <c r="AJ414" s="309">
        <v>27749.928770300001</v>
      </c>
      <c r="AK414" s="309">
        <v>24098.646229129998</v>
      </c>
      <c r="AL414" s="309">
        <v>20447.36368794</v>
      </c>
      <c r="AM414" s="309">
        <v>16796.081146460001</v>
      </c>
      <c r="AN414" s="309"/>
      <c r="AO414" s="309"/>
      <c r="AP414" s="309"/>
      <c r="AQ414" s="309"/>
      <c r="AR414" s="309"/>
      <c r="AS414" s="309"/>
      <c r="AT414" s="309"/>
      <c r="AU414" s="309"/>
      <c r="AV414" s="309"/>
      <c r="AW414" s="309"/>
      <c r="AX414" s="309"/>
      <c r="AY414" s="309"/>
      <c r="AZ414" s="309"/>
      <c r="BA414" s="309"/>
      <c r="BB414" s="309"/>
      <c r="BC414" s="309"/>
      <c r="BD414" s="309"/>
      <c r="BE414" s="309"/>
      <c r="BF414" s="309"/>
      <c r="BG414" s="309"/>
      <c r="BH414" s="309"/>
      <c r="BI414" s="309"/>
      <c r="BJ414" s="309"/>
      <c r="BK414" s="309"/>
    </row>
    <row r="415" spans="1:63" s="80" customFormat="1" ht="12.75">
      <c r="A415" s="167"/>
      <c r="B415" s="210" t="str">
        <f>Servicio_internaColumna_título_amortizaciones</f>
        <v>Amortizaciones</v>
      </c>
      <c r="C415" s="254"/>
      <c r="D415" s="255"/>
      <c r="E415" s="255"/>
      <c r="F415" s="255"/>
      <c r="G415" s="255"/>
      <c r="H415" s="255"/>
      <c r="I415" s="255"/>
      <c r="J415" s="255"/>
      <c r="K415" s="255"/>
      <c r="L415" s="255"/>
      <c r="M415" s="255"/>
      <c r="N415" s="255">
        <v>10732104.2082617</v>
      </c>
      <c r="O415" s="255">
        <v>21711478.062684003</v>
      </c>
      <c r="P415" s="255">
        <v>17808175.883447357</v>
      </c>
      <c r="Q415" s="255">
        <v>24043500.038805071</v>
      </c>
      <c r="R415" s="255">
        <v>15050561.096237281</v>
      </c>
      <c r="S415" s="255">
        <v>5748174.1036213702</v>
      </c>
      <c r="T415" s="255">
        <v>12992347.718698049</v>
      </c>
      <c r="U415" s="255">
        <v>0</v>
      </c>
      <c r="V415" s="255">
        <v>8448925.0999999996</v>
      </c>
      <c r="W415" s="255">
        <v>0</v>
      </c>
      <c r="X415" s="255">
        <v>1220330.8999999999</v>
      </c>
      <c r="Y415" s="255">
        <v>11508954.590682058</v>
      </c>
      <c r="Z415" s="255">
        <v>16843201.5</v>
      </c>
      <c r="AA415" s="255">
        <v>0</v>
      </c>
      <c r="AB415" s="255">
        <v>5754864.7000000002</v>
      </c>
      <c r="AC415" s="255">
        <v>0</v>
      </c>
      <c r="AD415" s="255">
        <v>0</v>
      </c>
      <c r="AE415" s="255">
        <v>0</v>
      </c>
      <c r="AF415" s="255">
        <v>0</v>
      </c>
      <c r="AG415" s="255">
        <v>0</v>
      </c>
      <c r="AH415" s="255">
        <v>0</v>
      </c>
      <c r="AI415" s="255">
        <v>0</v>
      </c>
      <c r="AJ415" s="255">
        <v>0</v>
      </c>
      <c r="AK415" s="255">
        <v>0</v>
      </c>
      <c r="AL415" s="255">
        <v>0</v>
      </c>
      <c r="AM415" s="255">
        <v>0</v>
      </c>
      <c r="AN415" s="255"/>
      <c r="AO415" s="255"/>
      <c r="AP415" s="255"/>
      <c r="AQ415" s="255"/>
      <c r="AR415" s="255"/>
      <c r="AS415" s="255"/>
      <c r="AT415" s="255"/>
      <c r="AU415" s="255"/>
      <c r="AV415" s="255"/>
      <c r="AW415" s="255"/>
      <c r="AX415" s="255"/>
      <c r="AY415" s="255"/>
      <c r="AZ415" s="255"/>
      <c r="BA415" s="255"/>
      <c r="BB415" s="255"/>
      <c r="BC415" s="255"/>
      <c r="BD415" s="255"/>
      <c r="BE415" s="255"/>
      <c r="BF415" s="255"/>
      <c r="BG415" s="255"/>
      <c r="BH415" s="255"/>
      <c r="BI415" s="255"/>
      <c r="BJ415" s="255"/>
      <c r="BK415" s="255"/>
    </row>
    <row r="416" spans="1:63" s="133" customFormat="1" ht="12.75">
      <c r="A416" s="168">
        <v>41030</v>
      </c>
      <c r="B416" s="213" t="str">
        <f>Servicio_internaColumna_título_intereses</f>
        <v>Intereses</v>
      </c>
      <c r="C416" s="256"/>
      <c r="D416" s="257"/>
      <c r="E416" s="257"/>
      <c r="F416" s="257"/>
      <c r="G416" s="257"/>
      <c r="H416" s="257"/>
      <c r="I416" s="257"/>
      <c r="J416" s="257"/>
      <c r="K416" s="257"/>
      <c r="L416" s="257"/>
      <c r="M416" s="257"/>
      <c r="N416" s="257">
        <v>8819171.7014243528</v>
      </c>
      <c r="O416" s="257">
        <v>11783228.198006088</v>
      </c>
      <c r="P416" s="257">
        <v>10273114.582975587</v>
      </c>
      <c r="Q416" s="257">
        <v>8489433.8640455026</v>
      </c>
      <c r="R416" s="257">
        <v>6688052.5457933191</v>
      </c>
      <c r="S416" s="257">
        <v>5624617.2024198221</v>
      </c>
      <c r="T416" s="257">
        <v>5361393.4808154125</v>
      </c>
      <c r="U416" s="258">
        <v>3914320.3220885014</v>
      </c>
      <c r="V416" s="258">
        <v>3929340.4821330365</v>
      </c>
      <c r="W416" s="258">
        <v>3020059.0704262438</v>
      </c>
      <c r="X416" s="258">
        <v>3031854.3248150768</v>
      </c>
      <c r="Y416" s="258">
        <v>2963341.5726225208</v>
      </c>
      <c r="Z416" s="258">
        <v>2194118.5312798014</v>
      </c>
      <c r="AA416" s="258">
        <v>504459.73212072998</v>
      </c>
      <c r="AB416" s="258">
        <v>499121.08296166005</v>
      </c>
      <c r="AC416" s="258">
        <v>62167.581302589999</v>
      </c>
      <c r="AD416" s="259">
        <v>56828.932143500002</v>
      </c>
      <c r="AE416" s="259">
        <v>51490.282984420002</v>
      </c>
      <c r="AF416" s="259">
        <v>46151.63382535</v>
      </c>
      <c r="AG416" s="259">
        <v>40812.984666279997</v>
      </c>
      <c r="AH416" s="259">
        <v>35474.335507160002</v>
      </c>
      <c r="AI416" s="259">
        <v>31401.211311469997</v>
      </c>
      <c r="AJ416" s="259">
        <v>27749.928770300001</v>
      </c>
      <c r="AK416" s="259">
        <v>24098.646229129998</v>
      </c>
      <c r="AL416" s="259">
        <v>20447.36368794</v>
      </c>
      <c r="AM416" s="259">
        <v>16796.081146460001</v>
      </c>
      <c r="AN416" s="259"/>
      <c r="AO416" s="259"/>
      <c r="AP416" s="259"/>
      <c r="AQ416" s="259"/>
      <c r="AR416" s="259"/>
      <c r="AS416" s="259"/>
      <c r="AT416" s="259"/>
      <c r="AU416" s="259"/>
      <c r="AV416" s="259"/>
      <c r="AW416" s="259"/>
      <c r="AX416" s="259"/>
      <c r="AY416" s="259"/>
      <c r="AZ416" s="259"/>
      <c r="BA416" s="259"/>
      <c r="BB416" s="259"/>
      <c r="BC416" s="259"/>
      <c r="BD416" s="259"/>
      <c r="BE416" s="259"/>
      <c r="BF416" s="259"/>
      <c r="BG416" s="259"/>
      <c r="BH416" s="259"/>
      <c r="BI416" s="259"/>
      <c r="BJ416" s="259"/>
      <c r="BK416" s="259"/>
    </row>
    <row r="417" spans="1:63" s="133" customFormat="1" ht="12.75">
      <c r="A417" s="169"/>
      <c r="B417" s="307" t="str">
        <f>Servicio_internaColumna_título_total</f>
        <v>Total</v>
      </c>
      <c r="C417" s="308"/>
      <c r="D417" s="309"/>
      <c r="E417" s="309"/>
      <c r="F417" s="309"/>
      <c r="G417" s="309"/>
      <c r="H417" s="309"/>
      <c r="I417" s="309"/>
      <c r="J417" s="309"/>
      <c r="K417" s="309"/>
      <c r="L417" s="309"/>
      <c r="M417" s="309"/>
      <c r="N417" s="309">
        <v>19551275.909686051</v>
      </c>
      <c r="O417" s="309">
        <v>33494706.260690093</v>
      </c>
      <c r="P417" s="309">
        <v>28081290.466422945</v>
      </c>
      <c r="Q417" s="309">
        <v>32532933.902850576</v>
      </c>
      <c r="R417" s="309">
        <v>21738613.6420306</v>
      </c>
      <c r="S417" s="309">
        <v>11372791.306041192</v>
      </c>
      <c r="T417" s="309">
        <v>18353741.199513461</v>
      </c>
      <c r="U417" s="309">
        <v>3914320.3220885014</v>
      </c>
      <c r="V417" s="309">
        <v>12378265.582133036</v>
      </c>
      <c r="W417" s="309">
        <v>3020059.0704262438</v>
      </c>
      <c r="X417" s="309">
        <v>4252185.2248150762</v>
      </c>
      <c r="Y417" s="309">
        <v>14472296.163304579</v>
      </c>
      <c r="Z417" s="309">
        <v>19037320.031279802</v>
      </c>
      <c r="AA417" s="309">
        <v>504459.73212072998</v>
      </c>
      <c r="AB417" s="309">
        <v>6253985.7829616601</v>
      </c>
      <c r="AC417" s="309">
        <v>62167.581302589999</v>
      </c>
      <c r="AD417" s="309">
        <v>56828.932143500002</v>
      </c>
      <c r="AE417" s="309">
        <v>51490.282984420002</v>
      </c>
      <c r="AF417" s="309">
        <v>46151.63382535</v>
      </c>
      <c r="AG417" s="309">
        <v>40812.984666279997</v>
      </c>
      <c r="AH417" s="309">
        <v>35474.335507160002</v>
      </c>
      <c r="AI417" s="309">
        <v>31401.211311469997</v>
      </c>
      <c r="AJ417" s="309">
        <v>27749.928770300001</v>
      </c>
      <c r="AK417" s="309">
        <v>24098.646229129998</v>
      </c>
      <c r="AL417" s="309">
        <v>20447.36368794</v>
      </c>
      <c r="AM417" s="309">
        <v>16796.081146460001</v>
      </c>
      <c r="AN417" s="309"/>
      <c r="AO417" s="309"/>
      <c r="AP417" s="309"/>
      <c r="AQ417" s="309"/>
      <c r="AR417" s="309"/>
      <c r="AS417" s="309"/>
      <c r="AT417" s="309"/>
      <c r="AU417" s="309"/>
      <c r="AV417" s="309"/>
      <c r="AW417" s="309"/>
      <c r="AX417" s="309"/>
      <c r="AY417" s="309"/>
      <c r="AZ417" s="309"/>
      <c r="BA417" s="309"/>
      <c r="BB417" s="309"/>
      <c r="BC417" s="309"/>
      <c r="BD417" s="309"/>
      <c r="BE417" s="309"/>
      <c r="BF417" s="309"/>
      <c r="BG417" s="309"/>
      <c r="BH417" s="309"/>
      <c r="BI417" s="309"/>
      <c r="BJ417" s="309"/>
      <c r="BK417" s="309"/>
    </row>
    <row r="418" spans="1:63" s="80" customFormat="1" ht="12.75">
      <c r="A418" s="167"/>
      <c r="B418" s="210" t="str">
        <f>Servicio_internaColumna_título_amortizaciones</f>
        <v>Amortizaciones</v>
      </c>
      <c r="C418" s="254"/>
      <c r="D418" s="255"/>
      <c r="E418" s="255"/>
      <c r="F418" s="255"/>
      <c r="G418" s="255"/>
      <c r="H418" s="255"/>
      <c r="I418" s="255"/>
      <c r="J418" s="255"/>
      <c r="K418" s="255"/>
      <c r="L418" s="255"/>
      <c r="M418" s="255"/>
      <c r="N418" s="255">
        <v>8289287.4305335302</v>
      </c>
      <c r="O418" s="255">
        <v>21726465.068576321</v>
      </c>
      <c r="P418" s="255">
        <v>17809795.501515459</v>
      </c>
      <c r="Q418" s="255">
        <v>24169026.64478517</v>
      </c>
      <c r="R418" s="255">
        <v>15802853.89185233</v>
      </c>
      <c r="S418" s="255">
        <v>5924119.5197358709</v>
      </c>
      <c r="T418" s="255">
        <v>12992347.718698049</v>
      </c>
      <c r="U418" s="255">
        <v>0</v>
      </c>
      <c r="V418" s="255">
        <v>8448925.0999999996</v>
      </c>
      <c r="W418" s="255">
        <v>0</v>
      </c>
      <c r="X418" s="255">
        <v>6154302.7999999998</v>
      </c>
      <c r="Y418" s="255">
        <v>11677655.34707333</v>
      </c>
      <c r="Z418" s="255">
        <v>2393516</v>
      </c>
      <c r="AA418" s="255">
        <v>0</v>
      </c>
      <c r="AB418" s="255">
        <v>16843201.5</v>
      </c>
      <c r="AC418" s="255">
        <v>0</v>
      </c>
      <c r="AD418" s="255">
        <v>0</v>
      </c>
      <c r="AE418" s="255">
        <v>0</v>
      </c>
      <c r="AF418" s="255">
        <v>0</v>
      </c>
      <c r="AG418" s="255">
        <v>0</v>
      </c>
      <c r="AH418" s="255">
        <v>0</v>
      </c>
      <c r="AI418" s="255">
        <v>0</v>
      </c>
      <c r="AJ418" s="255">
        <v>0</v>
      </c>
      <c r="AK418" s="255">
        <v>0</v>
      </c>
      <c r="AL418" s="255">
        <v>0</v>
      </c>
      <c r="AM418" s="255">
        <v>0</v>
      </c>
      <c r="AN418" s="255"/>
      <c r="AO418" s="255"/>
      <c r="AP418" s="255"/>
      <c r="AQ418" s="255"/>
      <c r="AR418" s="255"/>
      <c r="AS418" s="255"/>
      <c r="AT418" s="255"/>
      <c r="AU418" s="255"/>
      <c r="AV418" s="255"/>
      <c r="AW418" s="255"/>
      <c r="AX418" s="255"/>
      <c r="AY418" s="255"/>
      <c r="AZ418" s="255"/>
      <c r="BA418" s="255"/>
      <c r="BB418" s="255"/>
      <c r="BC418" s="255"/>
      <c r="BD418" s="255"/>
      <c r="BE418" s="255"/>
      <c r="BF418" s="255"/>
      <c r="BG418" s="255"/>
      <c r="BH418" s="255"/>
      <c r="BI418" s="255"/>
      <c r="BJ418" s="255"/>
      <c r="BK418" s="255"/>
    </row>
    <row r="419" spans="1:63" s="133" customFormat="1" ht="12.75">
      <c r="A419" s="168">
        <v>41061</v>
      </c>
      <c r="B419" s="213" t="str">
        <f>Servicio_internaColumna_título_intereses</f>
        <v>Intereses</v>
      </c>
      <c r="C419" s="256"/>
      <c r="D419" s="257"/>
      <c r="E419" s="257"/>
      <c r="F419" s="257"/>
      <c r="G419" s="257"/>
      <c r="H419" s="257"/>
      <c r="I419" s="257"/>
      <c r="J419" s="257"/>
      <c r="K419" s="257"/>
      <c r="L419" s="257"/>
      <c r="M419" s="257"/>
      <c r="N419" s="257">
        <v>6948134.5902380254</v>
      </c>
      <c r="O419" s="257">
        <v>11589841.971969701</v>
      </c>
      <c r="P419" s="257">
        <v>10080451.333440574</v>
      </c>
      <c r="Q419" s="257">
        <v>8297511.5839027651</v>
      </c>
      <c r="R419" s="257">
        <v>6488750.9928957717</v>
      </c>
      <c r="S419" s="257">
        <v>5371324.5244296249</v>
      </c>
      <c r="T419" s="257">
        <v>5100255.5466995388</v>
      </c>
      <c r="U419" s="258">
        <v>3653502.1942350976</v>
      </c>
      <c r="V419" s="258">
        <v>3668846.4572538282</v>
      </c>
      <c r="W419" s="258">
        <v>2759927.2430602559</v>
      </c>
      <c r="X419" s="258">
        <v>2772034.8935256633</v>
      </c>
      <c r="Y419" s="258">
        <v>2358493.4911112082</v>
      </c>
      <c r="Z419" s="258">
        <v>1579749.5778133904</v>
      </c>
      <c r="AA419" s="258">
        <v>1335129.3646003599</v>
      </c>
      <c r="AB419" s="258">
        <v>1329860.7513873107</v>
      </c>
      <c r="AC419" s="258">
        <v>61352.02567427</v>
      </c>
      <c r="AD419" s="259">
        <v>56083.412461219996</v>
      </c>
      <c r="AE419" s="259">
        <v>50814.79924819</v>
      </c>
      <c r="AF419" s="259">
        <v>45546.18603515999</v>
      </c>
      <c r="AG419" s="259">
        <v>40277.572822130001</v>
      </c>
      <c r="AH419" s="259">
        <v>35008.959609040001</v>
      </c>
      <c r="AI419" s="259">
        <v>30989.269362250001</v>
      </c>
      <c r="AJ419" s="259">
        <v>27385.886770929999</v>
      </c>
      <c r="AK419" s="259">
        <v>23782.5041796</v>
      </c>
      <c r="AL419" s="259">
        <v>20179.12158829</v>
      </c>
      <c r="AM419" s="259">
        <v>16575.738996669999</v>
      </c>
      <c r="AN419" s="259"/>
      <c r="AO419" s="259"/>
      <c r="AP419" s="259"/>
      <c r="AQ419" s="259"/>
      <c r="AR419" s="259"/>
      <c r="AS419" s="259"/>
      <c r="AT419" s="259"/>
      <c r="AU419" s="259"/>
      <c r="AV419" s="259"/>
      <c r="AW419" s="259"/>
      <c r="AX419" s="259"/>
      <c r="AY419" s="259"/>
      <c r="AZ419" s="259"/>
      <c r="BA419" s="259"/>
      <c r="BB419" s="259"/>
      <c r="BC419" s="259"/>
      <c r="BD419" s="259"/>
      <c r="BE419" s="259"/>
      <c r="BF419" s="259"/>
      <c r="BG419" s="259"/>
      <c r="BH419" s="259"/>
      <c r="BI419" s="259"/>
      <c r="BJ419" s="259"/>
      <c r="BK419" s="259"/>
    </row>
    <row r="420" spans="1:63" s="133" customFormat="1" ht="12.75">
      <c r="A420" s="169"/>
      <c r="B420" s="307" t="str">
        <f>Servicio_internaColumna_título_total</f>
        <v>Total</v>
      </c>
      <c r="C420" s="308"/>
      <c r="D420" s="309"/>
      <c r="E420" s="309"/>
      <c r="F420" s="309"/>
      <c r="G420" s="309"/>
      <c r="H420" s="309"/>
      <c r="I420" s="309"/>
      <c r="J420" s="309"/>
      <c r="K420" s="309"/>
      <c r="L420" s="309"/>
      <c r="M420" s="309"/>
      <c r="N420" s="309">
        <v>15237422.020771556</v>
      </c>
      <c r="O420" s="309">
        <v>33316307.040546022</v>
      </c>
      <c r="P420" s="309">
        <v>27890246.834956035</v>
      </c>
      <c r="Q420" s="309">
        <v>32466538.228687935</v>
      </c>
      <c r="R420" s="309">
        <v>22291604.884748101</v>
      </c>
      <c r="S420" s="309">
        <v>11295444.044165496</v>
      </c>
      <c r="T420" s="309">
        <v>18092603.265397586</v>
      </c>
      <c r="U420" s="309">
        <v>3653502.1942350976</v>
      </c>
      <c r="V420" s="309">
        <v>12117771.557253828</v>
      </c>
      <c r="W420" s="309">
        <v>2759927.2430602559</v>
      </c>
      <c r="X420" s="309">
        <v>8926337.6935256626</v>
      </c>
      <c r="Y420" s="309">
        <v>14036148.838184537</v>
      </c>
      <c r="Z420" s="309">
        <v>3973265.5778133906</v>
      </c>
      <c r="AA420" s="309">
        <v>1335129.3646003599</v>
      </c>
      <c r="AB420" s="309">
        <v>18173062.251387309</v>
      </c>
      <c r="AC420" s="309">
        <v>61352.02567427</v>
      </c>
      <c r="AD420" s="309">
        <v>56083.412461219996</v>
      </c>
      <c r="AE420" s="309">
        <v>50814.79924819</v>
      </c>
      <c r="AF420" s="309">
        <v>45546.18603515999</v>
      </c>
      <c r="AG420" s="309">
        <v>40277.572822130001</v>
      </c>
      <c r="AH420" s="309">
        <v>35008.959609040001</v>
      </c>
      <c r="AI420" s="309">
        <v>30989.269362250001</v>
      </c>
      <c r="AJ420" s="309">
        <v>27385.886770929999</v>
      </c>
      <c r="AK420" s="309">
        <v>23782.5041796</v>
      </c>
      <c r="AL420" s="309">
        <v>20179.12158829</v>
      </c>
      <c r="AM420" s="309">
        <v>16575.738996669999</v>
      </c>
      <c r="AN420" s="309"/>
      <c r="AO420" s="309"/>
      <c r="AP420" s="309"/>
      <c r="AQ420" s="309"/>
      <c r="AR420" s="309"/>
      <c r="AS420" s="309"/>
      <c r="AT420" s="309"/>
      <c r="AU420" s="309"/>
      <c r="AV420" s="309"/>
      <c r="AW420" s="309"/>
      <c r="AX420" s="309"/>
      <c r="AY420" s="309"/>
      <c r="AZ420" s="309"/>
      <c r="BA420" s="309"/>
      <c r="BB420" s="309"/>
      <c r="BC420" s="309"/>
      <c r="BD420" s="309"/>
      <c r="BE420" s="309"/>
      <c r="BF420" s="309"/>
      <c r="BG420" s="309"/>
      <c r="BH420" s="309"/>
      <c r="BI420" s="309"/>
      <c r="BJ420" s="309"/>
      <c r="BK420" s="309"/>
    </row>
    <row r="421" spans="1:63" s="80" customFormat="1" ht="12.75">
      <c r="A421" s="167"/>
      <c r="B421" s="210" t="str">
        <f>IF(SUM(F421:Z421)&gt;0,Servicio_internaColumna_título_amortizaciones,"")</f>
        <v>Amortizaciones</v>
      </c>
      <c r="C421" s="254"/>
      <c r="D421" s="255"/>
      <c r="E421" s="255"/>
      <c r="F421" s="255"/>
      <c r="G421" s="255"/>
      <c r="H421" s="255"/>
      <c r="I421" s="255"/>
      <c r="J421" s="255"/>
      <c r="K421" s="255"/>
      <c r="L421" s="255"/>
      <c r="M421" s="255"/>
      <c r="N421" s="255">
        <v>6812510.1325046392</v>
      </c>
      <c r="O421" s="255">
        <v>21736508.705567524</v>
      </c>
      <c r="P421" s="255">
        <v>17811368.514640339</v>
      </c>
      <c r="Q421" s="255">
        <v>24191510.190090533</v>
      </c>
      <c r="R421" s="255">
        <v>16657283.47998357</v>
      </c>
      <c r="S421" s="255">
        <v>6072800.7524382705</v>
      </c>
      <c r="T421" s="255">
        <v>12992239.78166349</v>
      </c>
      <c r="U421" s="255">
        <v>0</v>
      </c>
      <c r="V421" s="255">
        <v>8448925.0999999996</v>
      </c>
      <c r="W421" s="255">
        <v>780922.63554380008</v>
      </c>
      <c r="X421" s="255">
        <v>3386841.9</v>
      </c>
      <c r="Y421" s="255">
        <v>11720474.485048249</v>
      </c>
      <c r="Z421" s="255">
        <v>16843201.5</v>
      </c>
      <c r="AA421" s="255">
        <v>0</v>
      </c>
      <c r="AB421" s="255">
        <v>6590320.5</v>
      </c>
      <c r="AC421" s="255">
        <v>0</v>
      </c>
      <c r="AD421" s="255">
        <v>0</v>
      </c>
      <c r="AE421" s="255">
        <v>0</v>
      </c>
      <c r="AF421" s="255">
        <v>0</v>
      </c>
      <c r="AG421" s="255">
        <v>0</v>
      </c>
      <c r="AH421" s="255">
        <v>0</v>
      </c>
      <c r="AI421" s="255">
        <v>0</v>
      </c>
      <c r="AJ421" s="255">
        <v>0</v>
      </c>
      <c r="AK421" s="255">
        <v>0</v>
      </c>
      <c r="AL421" s="255">
        <v>0</v>
      </c>
      <c r="AM421" s="255">
        <v>0</v>
      </c>
      <c r="AN421" s="255">
        <v>0</v>
      </c>
      <c r="AO421" s="255">
        <v>0</v>
      </c>
      <c r="AP421" s="255"/>
      <c r="AQ421" s="255"/>
      <c r="AR421" s="255"/>
      <c r="AS421" s="255"/>
      <c r="AT421" s="255"/>
      <c r="AU421" s="255"/>
      <c r="AV421" s="255"/>
      <c r="AW421" s="255"/>
      <c r="AX421" s="255"/>
      <c r="AY421" s="255"/>
      <c r="AZ421" s="255"/>
      <c r="BA421" s="255"/>
      <c r="BB421" s="255"/>
      <c r="BC421" s="255"/>
      <c r="BD421" s="255"/>
      <c r="BE421" s="255"/>
      <c r="BF421" s="255"/>
      <c r="BG421" s="255"/>
      <c r="BH421" s="255"/>
      <c r="BI421" s="255"/>
      <c r="BJ421" s="255"/>
      <c r="BK421" s="255"/>
    </row>
    <row r="422" spans="1:63" s="133" customFormat="1" ht="12.75">
      <c r="A422" s="168">
        <v>41091</v>
      </c>
      <c r="B422" s="213" t="str">
        <f>IF(SUM(F422:Z422)&gt;0,Servicio_internaColumna_título_intereses,"")</f>
        <v>Intereses</v>
      </c>
      <c r="C422" s="256"/>
      <c r="D422" s="257"/>
      <c r="E422" s="257"/>
      <c r="F422" s="257"/>
      <c r="G422" s="257"/>
      <c r="H422" s="257"/>
      <c r="I422" s="257"/>
      <c r="J422" s="257"/>
      <c r="K422" s="257"/>
      <c r="L422" s="257"/>
      <c r="M422" s="257"/>
      <c r="N422" s="257">
        <v>4858143.2507716641</v>
      </c>
      <c r="O422" s="257">
        <v>12236451.17918011</v>
      </c>
      <c r="P422" s="257">
        <v>10662888.453282161</v>
      </c>
      <c r="Q422" s="257">
        <v>8880719.9460432585</v>
      </c>
      <c r="R422" s="257">
        <v>7073011.7778838668</v>
      </c>
      <c r="S422" s="257">
        <v>5894739.8963855868</v>
      </c>
      <c r="T422" s="257">
        <v>5617893.5547323506</v>
      </c>
      <c r="U422" s="258">
        <v>4172085.9495729487</v>
      </c>
      <c r="V422" s="258">
        <v>4188409.629792016</v>
      </c>
      <c r="W422" s="258">
        <v>3279980.8078894238</v>
      </c>
      <c r="X422" s="258">
        <v>3256720.4094886896</v>
      </c>
      <c r="Y422" s="258">
        <v>3036868.4211863428</v>
      </c>
      <c r="Z422" s="258">
        <v>2256777.7162798</v>
      </c>
      <c r="AA422" s="258">
        <v>567118.91712073004</v>
      </c>
      <c r="AB422" s="258">
        <v>561780.26796165959</v>
      </c>
      <c r="AC422" s="258">
        <v>62167.581302589999</v>
      </c>
      <c r="AD422" s="259">
        <v>56828.932143500002</v>
      </c>
      <c r="AE422" s="259">
        <v>51490.282984420002</v>
      </c>
      <c r="AF422" s="259">
        <v>46151.63382535</v>
      </c>
      <c r="AG422" s="259">
        <v>40812.984666279997</v>
      </c>
      <c r="AH422" s="259">
        <v>35474.335507160002</v>
      </c>
      <c r="AI422" s="259">
        <v>31401.211311469997</v>
      </c>
      <c r="AJ422" s="259">
        <v>27749.928770300001</v>
      </c>
      <c r="AK422" s="259">
        <v>24098.646229129998</v>
      </c>
      <c r="AL422" s="259">
        <v>20447.36368794</v>
      </c>
      <c r="AM422" s="259">
        <v>16796.081146460001</v>
      </c>
      <c r="AN422" s="259"/>
      <c r="AO422" s="259"/>
      <c r="AP422" s="259"/>
      <c r="AQ422" s="259"/>
      <c r="AR422" s="259"/>
      <c r="AS422" s="259"/>
      <c r="AT422" s="259"/>
      <c r="AU422" s="259"/>
      <c r="AV422" s="259"/>
      <c r="AW422" s="259"/>
      <c r="AX422" s="259"/>
      <c r="AY422" s="259"/>
      <c r="AZ422" s="259"/>
      <c r="BA422" s="259"/>
      <c r="BB422" s="259"/>
      <c r="BC422" s="259"/>
      <c r="BD422" s="259"/>
      <c r="BE422" s="259"/>
      <c r="BF422" s="259"/>
      <c r="BG422" s="259"/>
      <c r="BH422" s="259"/>
      <c r="BI422" s="259"/>
      <c r="BJ422" s="259"/>
      <c r="BK422" s="259"/>
    </row>
    <row r="423" spans="1:63" s="133" customFormat="1" ht="12.75">
      <c r="A423" s="169"/>
      <c r="B423" s="307" t="str">
        <f>IF(SUM(F423:Z423)&gt;0,Servicio_internaColumna_título_total,"")</f>
        <v>Total</v>
      </c>
      <c r="C423" s="308"/>
      <c r="D423" s="309"/>
      <c r="E423" s="309"/>
      <c r="F423" s="309"/>
      <c r="G423" s="309"/>
      <c r="H423" s="309"/>
      <c r="I423" s="309"/>
      <c r="J423" s="309"/>
      <c r="K423" s="309"/>
      <c r="L423" s="309"/>
      <c r="M423" s="309"/>
      <c r="N423" s="309">
        <v>11670653.383276302</v>
      </c>
      <c r="O423" s="309">
        <v>33972959.884747632</v>
      </c>
      <c r="P423" s="309">
        <v>28474256.967922501</v>
      </c>
      <c r="Q423" s="309">
        <v>33072230.13613379</v>
      </c>
      <c r="R423" s="309">
        <v>23730295.257867437</v>
      </c>
      <c r="S423" s="309">
        <v>11967540.648823857</v>
      </c>
      <c r="T423" s="309">
        <v>18610133.336395841</v>
      </c>
      <c r="U423" s="309">
        <v>4172085.9495729487</v>
      </c>
      <c r="V423" s="309">
        <v>12637334.729792016</v>
      </c>
      <c r="W423" s="309">
        <v>4060903.4434332238</v>
      </c>
      <c r="X423" s="309">
        <v>6643562.3094886895</v>
      </c>
      <c r="Y423" s="309">
        <v>14757342.906234592</v>
      </c>
      <c r="Z423" s="309">
        <v>19099979.216279801</v>
      </c>
      <c r="AA423" s="309">
        <v>567118.91712073004</v>
      </c>
      <c r="AB423" s="309">
        <v>7152100.7679616595</v>
      </c>
      <c r="AC423" s="309">
        <v>62167.581302589999</v>
      </c>
      <c r="AD423" s="309">
        <v>56828.932143500002</v>
      </c>
      <c r="AE423" s="309">
        <v>51490.282984420002</v>
      </c>
      <c r="AF423" s="309">
        <v>46151.63382535</v>
      </c>
      <c r="AG423" s="309">
        <v>40812.984666279997</v>
      </c>
      <c r="AH423" s="309">
        <v>35474.335507160002</v>
      </c>
      <c r="AI423" s="309">
        <v>31401.211311469997</v>
      </c>
      <c r="AJ423" s="309">
        <v>27749.928770300001</v>
      </c>
      <c r="AK423" s="309">
        <v>24098.646229129998</v>
      </c>
      <c r="AL423" s="309">
        <v>20447.36368794</v>
      </c>
      <c r="AM423" s="309">
        <v>16796.081146460001</v>
      </c>
      <c r="AN423" s="309"/>
      <c r="AO423" s="309"/>
      <c r="AP423" s="309"/>
      <c r="AQ423" s="309"/>
      <c r="AR423" s="309"/>
      <c r="AS423" s="309"/>
      <c r="AT423" s="309"/>
      <c r="AU423" s="309"/>
      <c r="AV423" s="309"/>
      <c r="AW423" s="309"/>
      <c r="AX423" s="309"/>
      <c r="AY423" s="309"/>
      <c r="AZ423" s="309"/>
      <c r="BA423" s="309"/>
      <c r="BB423" s="309"/>
      <c r="BC423" s="309"/>
      <c r="BD423" s="309"/>
      <c r="BE423" s="309"/>
      <c r="BF423" s="309"/>
      <c r="BG423" s="309"/>
      <c r="BH423" s="309"/>
      <c r="BI423" s="309"/>
      <c r="BJ423" s="309"/>
      <c r="BK423" s="309"/>
    </row>
    <row r="424" spans="1:63" s="80" customFormat="1" ht="12.75">
      <c r="A424" s="167"/>
      <c r="B424" s="210" t="str">
        <f>Servicio_internaColumna_título_amortizaciones</f>
        <v>Amortizaciones</v>
      </c>
      <c r="C424" s="254"/>
      <c r="D424" s="255"/>
      <c r="E424" s="255"/>
      <c r="F424" s="255"/>
      <c r="G424" s="255"/>
      <c r="H424" s="255"/>
      <c r="I424" s="255"/>
      <c r="J424" s="255"/>
      <c r="K424" s="255"/>
      <c r="L424" s="255"/>
      <c r="M424" s="255"/>
      <c r="N424" s="255">
        <v>1448111.9195313002</v>
      </c>
      <c r="O424" s="255">
        <v>21738366.350945629</v>
      </c>
      <c r="P424" s="255">
        <v>17811590.754741479</v>
      </c>
      <c r="Q424" s="255">
        <v>24194686.734077111</v>
      </c>
      <c r="R424" s="255">
        <v>18028962.435505535</v>
      </c>
      <c r="S424" s="255">
        <v>6078670.25844556</v>
      </c>
      <c r="T424" s="255">
        <v>12992237.61321527</v>
      </c>
      <c r="U424" s="255">
        <v>0</v>
      </c>
      <c r="V424" s="255">
        <v>8448925.0999999996</v>
      </c>
      <c r="W424" s="255">
        <v>1440531.6892784</v>
      </c>
      <c r="X424" s="255">
        <v>4231233.0999999996</v>
      </c>
      <c r="Y424" s="255">
        <v>11723800.731030626</v>
      </c>
      <c r="Z424" s="255">
        <v>16843201.5</v>
      </c>
      <c r="AA424" s="255">
        <v>0</v>
      </c>
      <c r="AB424" s="255">
        <v>6952917.4000000004</v>
      </c>
      <c r="AC424" s="255">
        <v>0</v>
      </c>
      <c r="AD424" s="255">
        <v>0</v>
      </c>
      <c r="AE424" s="255">
        <v>0</v>
      </c>
      <c r="AF424" s="255">
        <v>0</v>
      </c>
      <c r="AG424" s="255">
        <v>0</v>
      </c>
      <c r="AH424" s="255">
        <v>0</v>
      </c>
      <c r="AI424" s="255">
        <v>0</v>
      </c>
      <c r="AJ424" s="255">
        <v>0</v>
      </c>
      <c r="AK424" s="255">
        <v>0</v>
      </c>
      <c r="AL424" s="255">
        <v>0</v>
      </c>
      <c r="AM424" s="255">
        <v>0</v>
      </c>
      <c r="AN424" s="255"/>
      <c r="AO424" s="255"/>
      <c r="AP424" s="255"/>
      <c r="AQ424" s="255"/>
      <c r="AR424" s="255"/>
      <c r="AS424" s="255"/>
      <c r="AT424" s="255"/>
      <c r="AU424" s="255"/>
      <c r="AV424" s="255"/>
      <c r="AW424" s="255"/>
      <c r="AX424" s="255"/>
      <c r="AY424" s="255"/>
      <c r="AZ424" s="255"/>
      <c r="BA424" s="255"/>
      <c r="BB424" s="255"/>
      <c r="BC424" s="255"/>
      <c r="BD424" s="255"/>
      <c r="BE424" s="255"/>
      <c r="BF424" s="255"/>
      <c r="BG424" s="255"/>
      <c r="BH424" s="255"/>
      <c r="BI424" s="255"/>
      <c r="BJ424" s="255"/>
      <c r="BK424" s="255"/>
    </row>
    <row r="425" spans="1:63" s="133" customFormat="1" ht="12.75">
      <c r="A425" s="168">
        <v>41122</v>
      </c>
      <c r="B425" s="213" t="str">
        <f>Servicio_internaColumna_título_intereses</f>
        <v>Intereses</v>
      </c>
      <c r="C425" s="256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57">
        <v>3889055.7001659344</v>
      </c>
      <c r="O425" s="257">
        <v>12430865.432930212</v>
      </c>
      <c r="P425" s="257">
        <v>10861960.199718207</v>
      </c>
      <c r="Q425" s="257">
        <v>9081037.3699333556</v>
      </c>
      <c r="R425" s="257">
        <v>7274533.7050333768</v>
      </c>
      <c r="S425" s="257">
        <v>5998036.7221209658</v>
      </c>
      <c r="T425" s="257">
        <v>5722424.6284301328</v>
      </c>
      <c r="U425" s="258">
        <v>4277873.7774046855</v>
      </c>
      <c r="V425" s="258">
        <v>4295471.6255103759</v>
      </c>
      <c r="W425" s="258">
        <v>3387910.7198798484</v>
      </c>
      <c r="X425" s="258">
        <v>3335239.8047910398</v>
      </c>
      <c r="Y425" s="258">
        <v>3056700.686344923</v>
      </c>
      <c r="Z425" s="258">
        <v>2277030.2352945884</v>
      </c>
      <c r="AA425" s="258">
        <v>587791.68999175995</v>
      </c>
      <c r="AB425" s="258">
        <v>582873.29468890966</v>
      </c>
      <c r="AC425" s="258">
        <v>56486.094386049997</v>
      </c>
      <c r="AD425" s="259">
        <v>51567.69908323</v>
      </c>
      <c r="AE425" s="259">
        <v>46649.303780379996</v>
      </c>
      <c r="AF425" s="259">
        <v>41730.90847753</v>
      </c>
      <c r="AG425" s="259">
        <v>36812.513174709995</v>
      </c>
      <c r="AH425" s="259">
        <v>31894.117871850001</v>
      </c>
      <c r="AI425" s="259">
        <v>28214.174723830001</v>
      </c>
      <c r="AJ425" s="259">
        <v>24947.048960830001</v>
      </c>
      <c r="AK425" s="259">
        <v>21679.923197829998</v>
      </c>
      <c r="AL425" s="259">
        <v>18412.79743482</v>
      </c>
      <c r="AM425" s="259">
        <v>15145.671671799999</v>
      </c>
      <c r="AN425" s="259"/>
      <c r="AO425" s="259"/>
      <c r="AP425" s="259"/>
      <c r="AQ425" s="259"/>
      <c r="AR425" s="259"/>
      <c r="AS425" s="259"/>
      <c r="AT425" s="259"/>
      <c r="AU425" s="259"/>
      <c r="AV425" s="259"/>
      <c r="AW425" s="259"/>
      <c r="AX425" s="259"/>
      <c r="AY425" s="259"/>
      <c r="AZ425" s="259"/>
      <c r="BA425" s="259"/>
      <c r="BB425" s="259"/>
      <c r="BC425" s="259"/>
      <c r="BD425" s="259"/>
      <c r="BE425" s="259"/>
      <c r="BF425" s="259"/>
      <c r="BG425" s="259"/>
      <c r="BH425" s="259"/>
      <c r="BI425" s="259"/>
      <c r="BJ425" s="259"/>
      <c r="BK425" s="259"/>
    </row>
    <row r="426" spans="1:63" s="133" customFormat="1" ht="12.75">
      <c r="A426" s="169"/>
      <c r="B426" s="307" t="str">
        <f>Servicio_internaColumna_título_total</f>
        <v>Total</v>
      </c>
      <c r="C426" s="308"/>
      <c r="D426" s="309"/>
      <c r="E426" s="309"/>
      <c r="F426" s="309"/>
      <c r="G426" s="309"/>
      <c r="H426" s="309"/>
      <c r="I426" s="309"/>
      <c r="J426" s="309"/>
      <c r="K426" s="309"/>
      <c r="L426" s="309"/>
      <c r="M426" s="309"/>
      <c r="N426" s="309">
        <f>N424+N425</f>
        <v>5337167.6196972346</v>
      </c>
      <c r="O426" s="309">
        <f t="shared" ref="O426:AM426" si="6">O424+O425</f>
        <v>34169231.783875838</v>
      </c>
      <c r="P426" s="309">
        <f t="shared" si="6"/>
        <v>28673550.954459686</v>
      </c>
      <c r="Q426" s="309">
        <f t="shared" si="6"/>
        <v>33275724.104010466</v>
      </c>
      <c r="R426" s="309">
        <f t="shared" si="6"/>
        <v>25303496.140538912</v>
      </c>
      <c r="S426" s="309">
        <f t="shared" si="6"/>
        <v>12076706.980566526</v>
      </c>
      <c r="T426" s="309">
        <f t="shared" si="6"/>
        <v>18714662.241645403</v>
      </c>
      <c r="U426" s="309">
        <f t="shared" si="6"/>
        <v>4277873.7774046855</v>
      </c>
      <c r="V426" s="309">
        <f t="shared" si="6"/>
        <v>12744396.725510376</v>
      </c>
      <c r="W426" s="309">
        <f t="shared" si="6"/>
        <v>4828442.4091582485</v>
      </c>
      <c r="X426" s="309">
        <f t="shared" si="6"/>
        <v>7566472.9047910394</v>
      </c>
      <c r="Y426" s="309">
        <f t="shared" si="6"/>
        <v>14780501.41737555</v>
      </c>
      <c r="Z426" s="309">
        <f t="shared" si="6"/>
        <v>19120231.735294588</v>
      </c>
      <c r="AA426" s="309">
        <f t="shared" si="6"/>
        <v>587791.68999175995</v>
      </c>
      <c r="AB426" s="309">
        <f t="shared" si="6"/>
        <v>7535790.6946889097</v>
      </c>
      <c r="AC426" s="309">
        <f t="shared" si="6"/>
        <v>56486.094386049997</v>
      </c>
      <c r="AD426" s="309">
        <f t="shared" si="6"/>
        <v>51567.69908323</v>
      </c>
      <c r="AE426" s="309">
        <f t="shared" si="6"/>
        <v>46649.303780379996</v>
      </c>
      <c r="AF426" s="309">
        <f t="shared" si="6"/>
        <v>41730.90847753</v>
      </c>
      <c r="AG426" s="309">
        <f t="shared" si="6"/>
        <v>36812.513174709995</v>
      </c>
      <c r="AH426" s="309">
        <f t="shared" si="6"/>
        <v>31894.117871850001</v>
      </c>
      <c r="AI426" s="309">
        <f t="shared" si="6"/>
        <v>28214.174723830001</v>
      </c>
      <c r="AJ426" s="309">
        <f t="shared" si="6"/>
        <v>24947.048960830001</v>
      </c>
      <c r="AK426" s="309">
        <f t="shared" si="6"/>
        <v>21679.923197829998</v>
      </c>
      <c r="AL426" s="309">
        <f t="shared" si="6"/>
        <v>18412.79743482</v>
      </c>
      <c r="AM426" s="309">
        <f t="shared" si="6"/>
        <v>15145.671671799999</v>
      </c>
      <c r="AN426" s="309"/>
      <c r="AO426" s="309"/>
      <c r="AP426" s="309"/>
      <c r="AQ426" s="309"/>
      <c r="AR426" s="309"/>
      <c r="AS426" s="309"/>
      <c r="AT426" s="309"/>
      <c r="AU426" s="309"/>
      <c r="AV426" s="309"/>
      <c r="AW426" s="309"/>
      <c r="AX426" s="309"/>
      <c r="AY426" s="309"/>
      <c r="AZ426" s="309"/>
      <c r="BA426" s="309"/>
      <c r="BB426" s="309"/>
      <c r="BC426" s="309"/>
      <c r="BD426" s="309"/>
      <c r="BE426" s="309"/>
      <c r="BF426" s="309"/>
      <c r="BG426" s="309"/>
      <c r="BH426" s="309"/>
      <c r="BI426" s="309"/>
      <c r="BJ426" s="309"/>
      <c r="BK426" s="309"/>
    </row>
    <row r="427" spans="1:63" s="80" customFormat="1" ht="12.75">
      <c r="A427" s="167"/>
      <c r="B427" s="210" t="str">
        <f>Servicio_internaColumna_título_amortizaciones</f>
        <v>Amortizaciones</v>
      </c>
      <c r="C427" s="254"/>
      <c r="D427" s="255"/>
      <c r="E427" s="255"/>
      <c r="F427" s="255"/>
      <c r="G427" s="255"/>
      <c r="H427" s="255"/>
      <c r="I427" s="255"/>
      <c r="J427" s="255"/>
      <c r="K427" s="255"/>
      <c r="L427" s="255"/>
      <c r="M427" s="255"/>
      <c r="N427" s="255">
        <v>1115164.56672158</v>
      </c>
      <c r="O427" s="255">
        <v>21294060.810217302</v>
      </c>
      <c r="P427" s="255">
        <v>17811671.639353678</v>
      </c>
      <c r="Q427" s="255">
        <v>24195842.841940507</v>
      </c>
      <c r="R427" s="255">
        <v>18308156.399733637</v>
      </c>
      <c r="S427" s="255">
        <v>6079278.9153055605</v>
      </c>
      <c r="T427" s="255">
        <v>12992237.61321527</v>
      </c>
      <c r="U427" s="255">
        <v>0</v>
      </c>
      <c r="V427" s="255">
        <v>8448925.0999999996</v>
      </c>
      <c r="W427" s="255">
        <v>1766292.144384</v>
      </c>
      <c r="X427" s="255">
        <v>4618715.2</v>
      </c>
      <c r="Y427" s="255">
        <v>12013008.859783929</v>
      </c>
      <c r="Z427" s="255">
        <v>16843201.5</v>
      </c>
      <c r="AA427" s="255">
        <v>0</v>
      </c>
      <c r="AB427" s="255">
        <v>7090812.4000000004</v>
      </c>
      <c r="AC427" s="255">
        <v>0</v>
      </c>
      <c r="AD427" s="255">
        <v>0</v>
      </c>
      <c r="AE427" s="255">
        <v>0</v>
      </c>
      <c r="AF427" s="255">
        <v>0</v>
      </c>
      <c r="AG427" s="255">
        <v>0</v>
      </c>
      <c r="AH427" s="255">
        <v>0</v>
      </c>
      <c r="AI427" s="255">
        <v>0</v>
      </c>
      <c r="AJ427" s="255">
        <v>0</v>
      </c>
      <c r="AK427" s="255">
        <v>0</v>
      </c>
      <c r="AL427" s="255">
        <v>0</v>
      </c>
      <c r="AM427" s="255">
        <v>0</v>
      </c>
      <c r="AN427" s="255"/>
      <c r="AO427" s="255"/>
      <c r="AP427" s="255"/>
      <c r="AQ427" s="255"/>
      <c r="AR427" s="255"/>
      <c r="AS427" s="255"/>
      <c r="AT427" s="255"/>
      <c r="AU427" s="255"/>
      <c r="AV427" s="255"/>
      <c r="AW427" s="255"/>
      <c r="AX427" s="255"/>
      <c r="AY427" s="255"/>
      <c r="AZ427" s="255"/>
      <c r="BA427" s="255"/>
      <c r="BB427" s="255"/>
      <c r="BC427" s="255"/>
      <c r="BD427" s="255"/>
      <c r="BE427" s="255"/>
      <c r="BF427" s="255"/>
      <c r="BG427" s="255"/>
      <c r="BH427" s="255"/>
      <c r="BI427" s="255"/>
      <c r="BJ427" s="255"/>
      <c r="BK427" s="255"/>
    </row>
    <row r="428" spans="1:63" s="133" customFormat="1" ht="12.75">
      <c r="A428" s="168">
        <v>41182</v>
      </c>
      <c r="B428" s="213" t="str">
        <f>Servicio_internaColumna_título_intereses</f>
        <v>Intereses</v>
      </c>
      <c r="C428" s="256"/>
      <c r="D428" s="257"/>
      <c r="E428" s="257"/>
      <c r="F428" s="257"/>
      <c r="G428" s="257"/>
      <c r="H428" s="257"/>
      <c r="I428" s="257"/>
      <c r="J428" s="257"/>
      <c r="K428" s="257"/>
      <c r="L428" s="257"/>
      <c r="M428" s="257"/>
      <c r="N428" s="257">
        <v>3088178.0699694441</v>
      </c>
      <c r="O428" s="257">
        <v>12449470.661367252</v>
      </c>
      <c r="P428" s="257">
        <v>10946408.076389577</v>
      </c>
      <c r="Q428" s="257">
        <v>9166281.4638493657</v>
      </c>
      <c r="R428" s="257">
        <v>7360603.9180143699</v>
      </c>
      <c r="S428" s="257">
        <v>6064716.9179888852</v>
      </c>
      <c r="T428" s="257">
        <v>5789981.2540140906</v>
      </c>
      <c r="U428" s="258">
        <v>4346333.125596161</v>
      </c>
      <c r="V428" s="258">
        <v>4364860.7779875956</v>
      </c>
      <c r="W428" s="258">
        <v>3458092.6047519958</v>
      </c>
      <c r="X428" s="258">
        <v>3391181.3816018021</v>
      </c>
      <c r="Y428" s="258">
        <v>3086072.787300007</v>
      </c>
      <c r="Z428" s="258">
        <v>2287372.3602945884</v>
      </c>
      <c r="AA428" s="258">
        <v>598133.81499176007</v>
      </c>
      <c r="AB428" s="258">
        <v>593215.41968890966</v>
      </c>
      <c r="AC428" s="258">
        <v>56486.094386049997</v>
      </c>
      <c r="AD428" s="259">
        <v>51567.69908323</v>
      </c>
      <c r="AE428" s="259">
        <v>46649.303780379996</v>
      </c>
      <c r="AF428" s="259">
        <v>41730.90847753</v>
      </c>
      <c r="AG428" s="259">
        <v>36812.513174709995</v>
      </c>
      <c r="AH428" s="259">
        <v>31894.117871850001</v>
      </c>
      <c r="AI428" s="259">
        <v>28214.174723830001</v>
      </c>
      <c r="AJ428" s="259">
        <v>24947.048960830001</v>
      </c>
      <c r="AK428" s="259">
        <v>21679.923197829998</v>
      </c>
      <c r="AL428" s="259">
        <v>18412.79743482</v>
      </c>
      <c r="AM428" s="259">
        <v>15145.671671799999</v>
      </c>
      <c r="AN428" s="259"/>
      <c r="AO428" s="259"/>
      <c r="AP428" s="259"/>
      <c r="AQ428" s="259"/>
      <c r="AR428" s="259"/>
      <c r="AS428" s="259"/>
      <c r="AT428" s="259"/>
      <c r="AU428" s="259"/>
      <c r="AV428" s="259"/>
      <c r="AW428" s="259"/>
      <c r="AX428" s="259"/>
      <c r="AY428" s="259"/>
      <c r="AZ428" s="259"/>
      <c r="BA428" s="259"/>
      <c r="BB428" s="259"/>
      <c r="BC428" s="259"/>
      <c r="BD428" s="259"/>
      <c r="BE428" s="259"/>
      <c r="BF428" s="259"/>
      <c r="BG428" s="259"/>
      <c r="BH428" s="259"/>
      <c r="BI428" s="259"/>
      <c r="BJ428" s="259"/>
      <c r="BK428" s="259"/>
    </row>
    <row r="429" spans="1:63" s="133" customFormat="1" ht="12.75">
      <c r="A429" s="169"/>
      <c r="B429" s="307" t="str">
        <f>Servicio_internaColumna_título_total</f>
        <v>Total</v>
      </c>
      <c r="C429" s="308"/>
      <c r="D429" s="309"/>
      <c r="E429" s="309"/>
      <c r="F429" s="309"/>
      <c r="G429" s="309"/>
      <c r="H429" s="309"/>
      <c r="I429" s="309"/>
      <c r="J429" s="309"/>
      <c r="K429" s="309"/>
      <c r="L429" s="309"/>
      <c r="M429" s="309"/>
      <c r="N429" s="309">
        <v>4203342.6366910245</v>
      </c>
      <c r="O429" s="309">
        <v>33743531.471584558</v>
      </c>
      <c r="P429" s="309">
        <v>28758079.715743255</v>
      </c>
      <c r="Q429" s="309">
        <v>33362124.305789873</v>
      </c>
      <c r="R429" s="309">
        <v>25668760.317748006</v>
      </c>
      <c r="S429" s="309">
        <v>12143995.833294446</v>
      </c>
      <c r="T429" s="309">
        <v>18782218.867229361</v>
      </c>
      <c r="U429" s="309">
        <v>4346333.125596161</v>
      </c>
      <c r="V429" s="309">
        <v>12813785.877987595</v>
      </c>
      <c r="W429" s="309">
        <v>5224384.7491359953</v>
      </c>
      <c r="X429" s="309">
        <v>8009896.5816018023</v>
      </c>
      <c r="Y429" s="309">
        <v>15099081.647083936</v>
      </c>
      <c r="Z429" s="309">
        <v>19130573.860294588</v>
      </c>
      <c r="AA429" s="309">
        <v>598133.81499176007</v>
      </c>
      <c r="AB429" s="309">
        <v>7684027.8196889097</v>
      </c>
      <c r="AC429" s="309">
        <v>56486.094386049997</v>
      </c>
      <c r="AD429" s="309">
        <v>51567.69908323</v>
      </c>
      <c r="AE429" s="309">
        <v>46649.303780379996</v>
      </c>
      <c r="AF429" s="309">
        <v>41730.90847753</v>
      </c>
      <c r="AG429" s="309">
        <v>36812.513174709995</v>
      </c>
      <c r="AH429" s="309">
        <v>31894.117871850001</v>
      </c>
      <c r="AI429" s="309">
        <v>28214.174723830001</v>
      </c>
      <c r="AJ429" s="309">
        <v>24947.048960830001</v>
      </c>
      <c r="AK429" s="309">
        <v>21679.923197829998</v>
      </c>
      <c r="AL429" s="309">
        <v>18412.79743482</v>
      </c>
      <c r="AM429" s="309">
        <v>15145.671671799999</v>
      </c>
      <c r="AN429" s="309"/>
      <c r="AO429" s="309"/>
      <c r="AP429" s="309"/>
      <c r="AQ429" s="309"/>
      <c r="AR429" s="309"/>
      <c r="AS429" s="309"/>
      <c r="AT429" s="309"/>
      <c r="AU429" s="309"/>
      <c r="AV429" s="309"/>
      <c r="AW429" s="309"/>
      <c r="AX429" s="309"/>
      <c r="AY429" s="309"/>
      <c r="AZ429" s="309"/>
      <c r="BA429" s="309"/>
      <c r="BB429" s="309"/>
      <c r="BC429" s="309"/>
      <c r="BD429" s="309"/>
      <c r="BE429" s="309"/>
      <c r="BF429" s="309"/>
      <c r="BG429" s="309"/>
      <c r="BH429" s="309"/>
      <c r="BI429" s="309"/>
      <c r="BJ429" s="309"/>
      <c r="BK429" s="309"/>
    </row>
    <row r="430" spans="1:63" s="80" customFormat="1" ht="12.75">
      <c r="A430" s="167"/>
      <c r="B430" s="210" t="str">
        <f>Servicio_internaColumna_título_amortizaciones</f>
        <v>Amortizaciones</v>
      </c>
      <c r="C430" s="254"/>
      <c r="D430" s="255"/>
      <c r="E430" s="255"/>
      <c r="F430" s="255"/>
      <c r="G430" s="255"/>
      <c r="H430" s="255"/>
      <c r="I430" s="255"/>
      <c r="J430" s="255"/>
      <c r="K430" s="255"/>
      <c r="L430" s="255"/>
      <c r="M430" s="255"/>
      <c r="N430" s="255">
        <v>881369.84554626001</v>
      </c>
      <c r="O430" s="255">
        <v>21088726.355171375</v>
      </c>
      <c r="P430" s="255">
        <v>17789481.523743838</v>
      </c>
      <c r="Q430" s="255">
        <v>23878672.907530032</v>
      </c>
      <c r="R430" s="255">
        <v>18679884.462070316</v>
      </c>
      <c r="S430" s="255">
        <v>5912298.253313561</v>
      </c>
      <c r="T430" s="255">
        <v>12992237.61321527</v>
      </c>
      <c r="U430" s="255">
        <v>0</v>
      </c>
      <c r="V430" s="255">
        <v>8448925.0999999996</v>
      </c>
      <c r="W430" s="255">
        <v>1842375.3594480003</v>
      </c>
      <c r="X430" s="255">
        <v>4976536</v>
      </c>
      <c r="Y430" s="255">
        <v>11672733.870929934</v>
      </c>
      <c r="Z430" s="255">
        <v>16843201.5</v>
      </c>
      <c r="AA430" s="255">
        <v>0</v>
      </c>
      <c r="AB430" s="255">
        <v>7136598</v>
      </c>
      <c r="AC430" s="255">
        <v>0</v>
      </c>
      <c r="AD430" s="255">
        <v>0</v>
      </c>
      <c r="AE430" s="255">
        <v>0</v>
      </c>
      <c r="AF430" s="255">
        <v>0</v>
      </c>
      <c r="AG430" s="255">
        <v>0</v>
      </c>
      <c r="AH430" s="255">
        <v>0</v>
      </c>
      <c r="AI430" s="255">
        <v>0</v>
      </c>
      <c r="AJ430" s="255">
        <v>0</v>
      </c>
      <c r="AK430" s="255">
        <v>0</v>
      </c>
      <c r="AL430" s="255">
        <v>0</v>
      </c>
      <c r="AM430" s="255">
        <v>0</v>
      </c>
      <c r="AN430" s="255"/>
      <c r="AO430" s="255"/>
      <c r="AP430" s="255"/>
      <c r="AQ430" s="255"/>
      <c r="AR430" s="255"/>
      <c r="AS430" s="255"/>
      <c r="AT430" s="255"/>
      <c r="AU430" s="255"/>
      <c r="AV430" s="255"/>
      <c r="AW430" s="255"/>
      <c r="AX430" s="255"/>
      <c r="AY430" s="255"/>
      <c r="AZ430" s="255"/>
      <c r="BA430" s="255"/>
      <c r="BB430" s="255"/>
      <c r="BC430" s="255"/>
      <c r="BD430" s="255"/>
      <c r="BE430" s="255"/>
      <c r="BF430" s="255"/>
      <c r="BG430" s="255"/>
      <c r="BH430" s="255"/>
      <c r="BI430" s="255"/>
      <c r="BJ430" s="255"/>
      <c r="BK430" s="255"/>
    </row>
    <row r="431" spans="1:63" s="133" customFormat="1" ht="12.75">
      <c r="A431" s="168">
        <v>41213</v>
      </c>
      <c r="B431" s="213" t="str">
        <f>Servicio_internaColumna_título_intereses</f>
        <v>Intereses</v>
      </c>
      <c r="C431" s="256"/>
      <c r="D431" s="257"/>
      <c r="E431" s="257"/>
      <c r="F431" s="257"/>
      <c r="G431" s="257"/>
      <c r="H431" s="257"/>
      <c r="I431" s="257"/>
      <c r="J431" s="257"/>
      <c r="K431" s="257"/>
      <c r="L431" s="257"/>
      <c r="M431" s="257"/>
      <c r="N431" s="257">
        <v>587062.87680600991</v>
      </c>
      <c r="O431" s="257">
        <v>12509351.924230926</v>
      </c>
      <c r="P431" s="257">
        <v>11006857.059100259</v>
      </c>
      <c r="Q431" s="257">
        <v>9226877.9327174947</v>
      </c>
      <c r="R431" s="257">
        <v>7421350.0418860428</v>
      </c>
      <c r="S431" s="257">
        <v>6098490.5937642129</v>
      </c>
      <c r="T431" s="257">
        <v>5823913.6987826759</v>
      </c>
      <c r="U431" s="258">
        <v>4380429.102427803</v>
      </c>
      <c r="V431" s="258">
        <v>4399125.1928441878</v>
      </c>
      <c r="W431" s="258">
        <v>3492305.7234204742</v>
      </c>
      <c r="X431" s="258">
        <v>3419662.7576018013</v>
      </c>
      <c r="Y431" s="258">
        <v>3089506.7073000069</v>
      </c>
      <c r="Z431" s="258">
        <v>2290806.2802945902</v>
      </c>
      <c r="AA431" s="258">
        <v>601567.73499175999</v>
      </c>
      <c r="AB431" s="258">
        <v>596649.33968890959</v>
      </c>
      <c r="AC431" s="258">
        <v>56486.094386049997</v>
      </c>
      <c r="AD431" s="259">
        <v>51567.69908323</v>
      </c>
      <c r="AE431" s="259">
        <v>46649.303780379996</v>
      </c>
      <c r="AF431" s="259">
        <v>41730.90847753</v>
      </c>
      <c r="AG431" s="259">
        <v>36812.513174709995</v>
      </c>
      <c r="AH431" s="259">
        <v>31894.117871850001</v>
      </c>
      <c r="AI431" s="259">
        <v>28214.174723830001</v>
      </c>
      <c r="AJ431" s="259">
        <v>24947.048960830001</v>
      </c>
      <c r="AK431" s="259">
        <v>21679.923197829998</v>
      </c>
      <c r="AL431" s="259">
        <v>18412.79743482</v>
      </c>
      <c r="AM431" s="259">
        <v>15145.671671799999</v>
      </c>
      <c r="AN431" s="259"/>
      <c r="AO431" s="259"/>
      <c r="AP431" s="259"/>
      <c r="AQ431" s="259"/>
      <c r="AR431" s="259"/>
      <c r="AS431" s="259"/>
      <c r="AT431" s="259"/>
      <c r="AU431" s="259"/>
      <c r="AV431" s="259"/>
      <c r="AW431" s="259"/>
      <c r="AX431" s="259"/>
      <c r="AY431" s="259"/>
      <c r="AZ431" s="259"/>
      <c r="BA431" s="259"/>
      <c r="BB431" s="259"/>
      <c r="BC431" s="259"/>
      <c r="BD431" s="259"/>
      <c r="BE431" s="259"/>
      <c r="BF431" s="259"/>
      <c r="BG431" s="259"/>
      <c r="BH431" s="259"/>
      <c r="BI431" s="259"/>
      <c r="BJ431" s="259"/>
      <c r="BK431" s="259"/>
    </row>
    <row r="432" spans="1:63" s="133" customFormat="1" ht="12.75">
      <c r="A432" s="169"/>
      <c r="B432" s="307" t="str">
        <f>Servicio_internaColumna_título_total</f>
        <v>Total</v>
      </c>
      <c r="C432" s="308"/>
      <c r="D432" s="309"/>
      <c r="E432" s="309"/>
      <c r="F432" s="309"/>
      <c r="G432" s="309"/>
      <c r="H432" s="309"/>
      <c r="I432" s="309"/>
      <c r="J432" s="309"/>
      <c r="K432" s="309"/>
      <c r="L432" s="309"/>
      <c r="M432" s="309"/>
      <c r="N432" s="309">
        <v>1468432.72235227</v>
      </c>
      <c r="O432" s="309">
        <v>33598078.279402301</v>
      </c>
      <c r="P432" s="309">
        <v>28796338.582844097</v>
      </c>
      <c r="Q432" s="309">
        <v>33105550.840247527</v>
      </c>
      <c r="R432" s="309">
        <v>26101234.503956359</v>
      </c>
      <c r="S432" s="309">
        <v>12010788.847077774</v>
      </c>
      <c r="T432" s="309">
        <v>18816151.311997946</v>
      </c>
      <c r="U432" s="309">
        <v>4380429.102427803</v>
      </c>
      <c r="V432" s="309">
        <v>12848050.292844187</v>
      </c>
      <c r="W432" s="309">
        <v>5334681.0828684745</v>
      </c>
      <c r="X432" s="309">
        <v>8396198.7576018013</v>
      </c>
      <c r="Y432" s="309">
        <v>14762240.578229941</v>
      </c>
      <c r="Z432" s="309">
        <v>19134007.78029459</v>
      </c>
      <c r="AA432" s="309">
        <v>601567.73499175999</v>
      </c>
      <c r="AB432" s="309">
        <v>7733247.3396889092</v>
      </c>
      <c r="AC432" s="309">
        <v>56486.094386049997</v>
      </c>
      <c r="AD432" s="309">
        <v>51567.69908323</v>
      </c>
      <c r="AE432" s="309">
        <v>46649.303780379996</v>
      </c>
      <c r="AF432" s="309">
        <v>41730.90847753</v>
      </c>
      <c r="AG432" s="309">
        <v>36812.513174709995</v>
      </c>
      <c r="AH432" s="309">
        <v>31894.117871850001</v>
      </c>
      <c r="AI432" s="309">
        <v>28214.174723830001</v>
      </c>
      <c r="AJ432" s="309">
        <v>24947.048960830001</v>
      </c>
      <c r="AK432" s="309">
        <v>21679.923197829998</v>
      </c>
      <c r="AL432" s="309">
        <v>18412.79743482</v>
      </c>
      <c r="AM432" s="309">
        <v>15145.671671799999</v>
      </c>
      <c r="AN432" s="309"/>
      <c r="AO432" s="309"/>
      <c r="AP432" s="309"/>
      <c r="AQ432" s="309"/>
      <c r="AR432" s="309"/>
      <c r="AS432" s="309"/>
      <c r="AT432" s="309"/>
      <c r="AU432" s="309"/>
      <c r="AV432" s="309"/>
      <c r="AW432" s="309"/>
      <c r="AX432" s="309"/>
      <c r="AY432" s="309"/>
      <c r="AZ432" s="309"/>
      <c r="BA432" s="309"/>
      <c r="BB432" s="309"/>
      <c r="BC432" s="309"/>
      <c r="BD432" s="309"/>
      <c r="BE432" s="309"/>
      <c r="BF432" s="309"/>
      <c r="BG432" s="309"/>
      <c r="BH432" s="309"/>
      <c r="BI432" s="309"/>
      <c r="BJ432" s="309"/>
      <c r="BK432" s="309"/>
    </row>
    <row r="433" spans="1:63" s="80" customFormat="1" ht="12.75">
      <c r="A433" s="167"/>
      <c r="B433" s="210" t="str">
        <f>IF(SUM(F433:Z433)&gt;0,Servicio_internaColumna_título_amortizaciones,"")</f>
        <v>Amortizaciones</v>
      </c>
      <c r="C433" s="254"/>
      <c r="D433" s="255"/>
      <c r="E433" s="255"/>
      <c r="F433" s="255"/>
      <c r="G433" s="255"/>
      <c r="H433" s="255"/>
      <c r="I433" s="255"/>
      <c r="J433" s="255"/>
      <c r="K433" s="255"/>
      <c r="L433" s="255"/>
      <c r="M433" s="255"/>
      <c r="N433" s="255">
        <v>669751.67363725998</v>
      </c>
      <c r="O433" s="255">
        <v>21322352.570686553</v>
      </c>
      <c r="P433" s="255">
        <v>18704596.777694836</v>
      </c>
      <c r="Q433" s="255">
        <v>24784529.219177026</v>
      </c>
      <c r="R433" s="255">
        <v>19001437.567555819</v>
      </c>
      <c r="S433" s="255">
        <v>6102286.1446135603</v>
      </c>
      <c r="T433" s="255">
        <v>12992237.61321527</v>
      </c>
      <c r="U433" s="255">
        <v>0</v>
      </c>
      <c r="V433" s="255">
        <v>8448925.0999999996</v>
      </c>
      <c r="W433" s="255">
        <v>1903482.9703980002</v>
      </c>
      <c r="X433" s="255">
        <v>4992032.2</v>
      </c>
      <c r="Y433" s="255">
        <v>12059893.239106346</v>
      </c>
      <c r="Z433" s="255">
        <v>16843201.5</v>
      </c>
      <c r="AA433" s="255">
        <v>0</v>
      </c>
      <c r="AB433" s="255">
        <v>7136598</v>
      </c>
      <c r="AC433" s="255">
        <v>0</v>
      </c>
      <c r="AD433" s="255">
        <v>0</v>
      </c>
      <c r="AE433" s="255">
        <v>0</v>
      </c>
      <c r="AF433" s="255">
        <v>0</v>
      </c>
      <c r="AG433" s="255">
        <v>0</v>
      </c>
      <c r="AH433" s="255">
        <v>0</v>
      </c>
      <c r="AI433" s="255">
        <v>0</v>
      </c>
      <c r="AJ433" s="255">
        <v>0</v>
      </c>
      <c r="AK433" s="255">
        <v>0</v>
      </c>
      <c r="AL433" s="255">
        <v>0</v>
      </c>
      <c r="AM433" s="255">
        <v>0</v>
      </c>
      <c r="AN433" s="255"/>
      <c r="AO433" s="255"/>
      <c r="AP433" s="255"/>
      <c r="AQ433" s="255"/>
      <c r="AR433" s="255"/>
      <c r="AS433" s="255"/>
      <c r="AT433" s="255"/>
      <c r="AU433" s="255"/>
      <c r="AV433" s="255"/>
      <c r="AW433" s="255"/>
      <c r="AX433" s="255"/>
      <c r="AY433" s="255"/>
      <c r="AZ433" s="255"/>
      <c r="BA433" s="255"/>
      <c r="BB433" s="255"/>
      <c r="BC433" s="255"/>
      <c r="BD433" s="255"/>
      <c r="BE433" s="255"/>
      <c r="BF433" s="255"/>
      <c r="BG433" s="255"/>
      <c r="BH433" s="255"/>
      <c r="BI433" s="255"/>
      <c r="BJ433" s="255"/>
      <c r="BK433" s="255"/>
    </row>
    <row r="434" spans="1:63" s="133" customFormat="1" ht="12.75">
      <c r="A434" s="168">
        <v>41243</v>
      </c>
      <c r="B434" s="213" t="str">
        <f>IF(SUM(F434:Z434)&gt;0,Servicio_internaColumna_título_intereses,"")</f>
        <v>Intereses</v>
      </c>
      <c r="C434" s="256"/>
      <c r="D434" s="257"/>
      <c r="E434" s="257"/>
      <c r="F434" s="257"/>
      <c r="G434" s="257"/>
      <c r="H434" s="257"/>
      <c r="I434" s="257"/>
      <c r="J434" s="257"/>
      <c r="K434" s="257"/>
      <c r="L434" s="257"/>
      <c r="M434" s="257"/>
      <c r="N434" s="257">
        <v>430.39557359998639</v>
      </c>
      <c r="O434" s="257">
        <v>12605089.254122932</v>
      </c>
      <c r="P434" s="257">
        <v>11103020.435575262</v>
      </c>
      <c r="Q434" s="257">
        <v>9279686.4049674943</v>
      </c>
      <c r="R434" s="257">
        <v>7445546.7753860429</v>
      </c>
      <c r="S434" s="257">
        <v>6099575.3277642112</v>
      </c>
      <c r="T434" s="257">
        <v>5824998.4327826733</v>
      </c>
      <c r="U434" s="258">
        <v>4381513.8364278032</v>
      </c>
      <c r="V434" s="258">
        <v>4400209.9268441871</v>
      </c>
      <c r="W434" s="258">
        <v>3493323.4250503141</v>
      </c>
      <c r="X434" s="258">
        <v>3420747.4916018015</v>
      </c>
      <c r="Y434" s="258">
        <v>3089506.7073000069</v>
      </c>
      <c r="Z434" s="258">
        <v>2290806.2802945902</v>
      </c>
      <c r="AA434" s="258">
        <v>601567.73499175999</v>
      </c>
      <c r="AB434" s="258">
        <v>596649.33968890959</v>
      </c>
      <c r="AC434" s="258">
        <v>56486.094386049997</v>
      </c>
      <c r="AD434" s="259">
        <v>51567.69908323</v>
      </c>
      <c r="AE434" s="259">
        <v>46649.303780379996</v>
      </c>
      <c r="AF434" s="259">
        <v>41730.90847753</v>
      </c>
      <c r="AG434" s="259">
        <v>36812.513174709995</v>
      </c>
      <c r="AH434" s="259">
        <v>31894.117871850001</v>
      </c>
      <c r="AI434" s="259">
        <v>28214.174723830001</v>
      </c>
      <c r="AJ434" s="259">
        <v>24947.048960830001</v>
      </c>
      <c r="AK434" s="259">
        <v>21679.923197829998</v>
      </c>
      <c r="AL434" s="259">
        <v>18412.79743482</v>
      </c>
      <c r="AM434" s="259">
        <v>15145.671671799999</v>
      </c>
      <c r="AN434" s="259"/>
      <c r="AO434" s="259"/>
      <c r="AP434" s="259"/>
      <c r="AQ434" s="259"/>
      <c r="AR434" s="259"/>
      <c r="AS434" s="259"/>
      <c r="AT434" s="259"/>
      <c r="AU434" s="259"/>
      <c r="AV434" s="259"/>
      <c r="AW434" s="259"/>
      <c r="AX434" s="259"/>
      <c r="AY434" s="259"/>
      <c r="AZ434" s="259"/>
      <c r="BA434" s="259"/>
      <c r="BB434" s="259"/>
      <c r="BC434" s="259"/>
      <c r="BD434" s="259"/>
      <c r="BE434" s="259"/>
      <c r="BF434" s="259"/>
      <c r="BG434" s="259"/>
      <c r="BH434" s="259"/>
      <c r="BI434" s="259"/>
      <c r="BJ434" s="259"/>
      <c r="BK434" s="259"/>
    </row>
    <row r="435" spans="1:63" s="133" customFormat="1" ht="12.75">
      <c r="A435" s="169"/>
      <c r="B435" s="307" t="str">
        <f>IF(SUM(F435:Z435)&gt;0,Servicio_internaColumna_título_total,"")</f>
        <v>Total</v>
      </c>
      <c r="C435" s="308"/>
      <c r="D435" s="309"/>
      <c r="E435" s="309"/>
      <c r="F435" s="309"/>
      <c r="G435" s="309"/>
      <c r="H435" s="309"/>
      <c r="I435" s="309"/>
      <c r="J435" s="309"/>
      <c r="K435" s="309"/>
      <c r="L435" s="309"/>
      <c r="M435" s="309"/>
      <c r="N435" s="309">
        <v>670182.06921085995</v>
      </c>
      <c r="O435" s="309">
        <v>33927441.824809484</v>
      </c>
      <c r="P435" s="309">
        <v>29807617.213270098</v>
      </c>
      <c r="Q435" s="309">
        <v>34064215.624144524</v>
      </c>
      <c r="R435" s="309">
        <v>26446984.342941862</v>
      </c>
      <c r="S435" s="309">
        <v>12201861.472377772</v>
      </c>
      <c r="T435" s="309">
        <v>18817236.045997944</v>
      </c>
      <c r="U435" s="309">
        <v>4381513.8364278032</v>
      </c>
      <c r="V435" s="309">
        <v>12849135.026844187</v>
      </c>
      <c r="W435" s="309">
        <v>5396806.395448314</v>
      </c>
      <c r="X435" s="309">
        <v>8412779.6916018017</v>
      </c>
      <c r="Y435" s="309">
        <v>15149399.946406353</v>
      </c>
      <c r="Z435" s="309">
        <v>19134007.78029459</v>
      </c>
      <c r="AA435" s="309">
        <v>601567.73499175999</v>
      </c>
      <c r="AB435" s="309">
        <v>7733247.3396889092</v>
      </c>
      <c r="AC435" s="309">
        <v>56486.094386049997</v>
      </c>
      <c r="AD435" s="309">
        <v>51567.69908323</v>
      </c>
      <c r="AE435" s="309">
        <v>46649.303780379996</v>
      </c>
      <c r="AF435" s="309">
        <v>41730.90847753</v>
      </c>
      <c r="AG435" s="309">
        <v>36812.513174709995</v>
      </c>
      <c r="AH435" s="309">
        <v>31894.117871850001</v>
      </c>
      <c r="AI435" s="309">
        <v>28214.174723830001</v>
      </c>
      <c r="AJ435" s="309">
        <v>24947.048960830001</v>
      </c>
      <c r="AK435" s="309">
        <v>21679.923197829998</v>
      </c>
      <c r="AL435" s="309">
        <v>18412.79743482</v>
      </c>
      <c r="AM435" s="309">
        <v>15145.671671799999</v>
      </c>
      <c r="AN435" s="309"/>
      <c r="AO435" s="309"/>
      <c r="AP435" s="309"/>
      <c r="AQ435" s="309"/>
      <c r="AR435" s="309"/>
      <c r="AS435" s="309"/>
      <c r="AT435" s="309"/>
      <c r="AU435" s="309"/>
      <c r="AV435" s="309"/>
      <c r="AW435" s="309"/>
      <c r="AX435" s="309"/>
      <c r="AY435" s="309"/>
      <c r="AZ435" s="309"/>
      <c r="BA435" s="309"/>
      <c r="BB435" s="309"/>
      <c r="BC435" s="309"/>
      <c r="BD435" s="309"/>
      <c r="BE435" s="309"/>
      <c r="BF435" s="309"/>
      <c r="BG435" s="309"/>
      <c r="BH435" s="309"/>
      <c r="BI435" s="309"/>
      <c r="BJ435" s="309"/>
      <c r="BK435" s="309"/>
    </row>
    <row r="436" spans="1:63" s="80" customFormat="1" ht="12.75">
      <c r="A436" s="167"/>
      <c r="B436" s="210" t="str">
        <f>Servicio_internaColumna_título_amortizaciones</f>
        <v>Amortizaciones</v>
      </c>
      <c r="C436" s="254"/>
      <c r="D436" s="255"/>
      <c r="E436" s="255"/>
      <c r="F436" s="255"/>
      <c r="G436" s="255"/>
      <c r="H436" s="255"/>
      <c r="I436" s="255"/>
      <c r="J436" s="255"/>
      <c r="K436" s="255"/>
      <c r="L436" s="255"/>
      <c r="M436" s="255"/>
      <c r="N436" s="255"/>
      <c r="O436" s="255">
        <v>22794132.850996412</v>
      </c>
      <c r="P436" s="255">
        <v>19122014.535530727</v>
      </c>
      <c r="Q436" s="255">
        <v>24994226.236885726</v>
      </c>
      <c r="R436" s="255">
        <v>19276765.810200367</v>
      </c>
      <c r="S436" s="255">
        <v>5919684.2162220003</v>
      </c>
      <c r="T436" s="255">
        <v>13174770.74112156</v>
      </c>
      <c r="U436" s="255">
        <v>645.10821526999996</v>
      </c>
      <c r="V436" s="255">
        <v>8448925.0999999996</v>
      </c>
      <c r="W436" s="255">
        <v>1903627.4658930001</v>
      </c>
      <c r="X436" s="255">
        <v>5094836.5999999996</v>
      </c>
      <c r="Y436" s="255">
        <v>12060808.718924304</v>
      </c>
      <c r="Z436" s="255">
        <v>16843201.5</v>
      </c>
      <c r="AA436" s="255">
        <v>0</v>
      </c>
      <c r="AB436" s="255">
        <v>7136598</v>
      </c>
      <c r="AC436" s="255">
        <v>0</v>
      </c>
      <c r="AD436" s="255">
        <v>0</v>
      </c>
      <c r="AE436" s="255">
        <v>0</v>
      </c>
      <c r="AF436" s="255">
        <v>0</v>
      </c>
      <c r="AG436" s="255">
        <v>0</v>
      </c>
      <c r="AH436" s="255">
        <v>0</v>
      </c>
      <c r="AI436" s="255">
        <v>0</v>
      </c>
      <c r="AJ436" s="255">
        <v>0</v>
      </c>
      <c r="AK436" s="255">
        <v>0</v>
      </c>
      <c r="AL436" s="255">
        <v>0</v>
      </c>
      <c r="AM436" s="255">
        <v>0</v>
      </c>
      <c r="AN436" s="255">
        <v>0</v>
      </c>
      <c r="AO436" s="255"/>
      <c r="AP436" s="255"/>
      <c r="AQ436" s="255"/>
      <c r="AR436" s="255"/>
      <c r="AS436" s="255"/>
      <c r="AT436" s="255"/>
      <c r="AU436" s="255"/>
      <c r="AV436" s="255"/>
      <c r="AW436" s="255"/>
      <c r="AX436" s="255"/>
      <c r="AY436" s="255"/>
      <c r="AZ436" s="255"/>
      <c r="BA436" s="255"/>
      <c r="BB436" s="255"/>
      <c r="BC436" s="255"/>
      <c r="BD436" s="255"/>
      <c r="BE436" s="255"/>
      <c r="BF436" s="255"/>
      <c r="BG436" s="255"/>
      <c r="BH436" s="255"/>
      <c r="BI436" s="255"/>
      <c r="BJ436" s="255"/>
      <c r="BK436" s="255"/>
    </row>
    <row r="437" spans="1:63" s="80" customFormat="1" ht="12.75">
      <c r="A437" s="168">
        <v>41274</v>
      </c>
      <c r="B437" s="213" t="str">
        <f>Servicio_internaColumna_título_intereses</f>
        <v>Intereses</v>
      </c>
      <c r="C437" s="256"/>
      <c r="D437" s="257"/>
      <c r="E437" s="257"/>
      <c r="F437" s="257"/>
      <c r="G437" s="257"/>
      <c r="H437" s="257"/>
      <c r="I437" s="257"/>
      <c r="J437" s="257"/>
      <c r="K437" s="257"/>
      <c r="L437" s="257"/>
      <c r="M437" s="257"/>
      <c r="N437" s="257"/>
      <c r="O437" s="257">
        <v>12493539.654655538</v>
      </c>
      <c r="P437" s="257">
        <v>11159680.778187759</v>
      </c>
      <c r="Q437" s="257">
        <v>9317807.8304674961</v>
      </c>
      <c r="R437" s="257">
        <v>7472703.9066360407</v>
      </c>
      <c r="S437" s="257">
        <v>6106771.6357642114</v>
      </c>
      <c r="T437" s="257">
        <v>5832194.7407826753</v>
      </c>
      <c r="U437" s="258">
        <v>4388710.1444278033</v>
      </c>
      <c r="V437" s="258">
        <v>4407406.2348441891</v>
      </c>
      <c r="W437" s="258">
        <v>3500437.8657551142</v>
      </c>
      <c r="X437" s="258">
        <v>3427943.7996018026</v>
      </c>
      <c r="Y437" s="258">
        <v>3089506.7073000069</v>
      </c>
      <c r="Z437" s="258">
        <v>2290806.2802945902</v>
      </c>
      <c r="AA437" s="258">
        <v>601567.73499175999</v>
      </c>
      <c r="AB437" s="258">
        <v>596649.33968890959</v>
      </c>
      <c r="AC437" s="258">
        <v>56486.094386049997</v>
      </c>
      <c r="AD437" s="259">
        <v>51567.69908323</v>
      </c>
      <c r="AE437" s="259">
        <v>46649.303780379996</v>
      </c>
      <c r="AF437" s="259">
        <v>41730.90847753</v>
      </c>
      <c r="AG437" s="259">
        <v>36812.513174709995</v>
      </c>
      <c r="AH437" s="259">
        <v>31894.117871850001</v>
      </c>
      <c r="AI437" s="259">
        <v>28214.174723830001</v>
      </c>
      <c r="AJ437" s="259">
        <v>24947.048960830001</v>
      </c>
      <c r="AK437" s="259">
        <v>21679.923197829998</v>
      </c>
      <c r="AL437" s="259">
        <v>18412.79743482</v>
      </c>
      <c r="AM437" s="259">
        <v>15145.671671799999</v>
      </c>
      <c r="AN437" s="259">
        <v>12766.926542609999</v>
      </c>
      <c r="AO437" s="259"/>
      <c r="AP437" s="259"/>
      <c r="AQ437" s="259"/>
      <c r="AR437" s="259"/>
      <c r="AS437" s="259"/>
      <c r="AT437" s="259"/>
      <c r="AU437" s="259"/>
      <c r="AV437" s="259"/>
      <c r="AW437" s="259"/>
      <c r="AX437" s="259"/>
      <c r="AY437" s="259"/>
      <c r="AZ437" s="259"/>
      <c r="BA437" s="259"/>
      <c r="BB437" s="259"/>
      <c r="BC437" s="259"/>
      <c r="BD437" s="259"/>
      <c r="BE437" s="259"/>
      <c r="BF437" s="259"/>
      <c r="BG437" s="259"/>
      <c r="BH437" s="259"/>
      <c r="BI437" s="259"/>
      <c r="BJ437" s="259"/>
      <c r="BK437" s="259"/>
    </row>
    <row r="438" spans="1:63" s="80" customFormat="1" ht="12.75">
      <c r="A438" s="169"/>
      <c r="B438" s="307" t="str">
        <f>Servicio_internaColumna_título_total</f>
        <v>Total</v>
      </c>
      <c r="C438" s="308"/>
      <c r="D438" s="309"/>
      <c r="E438" s="309"/>
      <c r="F438" s="309"/>
      <c r="G438" s="309"/>
      <c r="H438" s="309"/>
      <c r="I438" s="309"/>
      <c r="J438" s="309"/>
      <c r="K438" s="309"/>
      <c r="L438" s="309"/>
      <c r="M438" s="309"/>
      <c r="N438" s="309"/>
      <c r="O438" s="309">
        <v>35287672.505651951</v>
      </c>
      <c r="P438" s="309">
        <v>30281695.313718487</v>
      </c>
      <c r="Q438" s="309">
        <v>34312034.067353219</v>
      </c>
      <c r="R438" s="309">
        <v>26749469.716836408</v>
      </c>
      <c r="S438" s="309">
        <v>12026455.851986211</v>
      </c>
      <c r="T438" s="309">
        <v>19006965.481904235</v>
      </c>
      <c r="U438" s="309">
        <v>4389355.252643073</v>
      </c>
      <c r="V438" s="309">
        <v>12856331.334844189</v>
      </c>
      <c r="W438" s="309">
        <v>5404065.3316481141</v>
      </c>
      <c r="X438" s="309">
        <v>8522780.3996018022</v>
      </c>
      <c r="Y438" s="309">
        <v>15150315.426224312</v>
      </c>
      <c r="Z438" s="309">
        <v>19134007.78029459</v>
      </c>
      <c r="AA438" s="309">
        <v>601567.73499175999</v>
      </c>
      <c r="AB438" s="309">
        <v>7733247.3396889092</v>
      </c>
      <c r="AC438" s="309">
        <v>56486.094386049997</v>
      </c>
      <c r="AD438" s="309">
        <v>51567.69908323</v>
      </c>
      <c r="AE438" s="309">
        <v>46649.303780379996</v>
      </c>
      <c r="AF438" s="309">
        <v>41730.90847753</v>
      </c>
      <c r="AG438" s="309">
        <v>36812.513174709995</v>
      </c>
      <c r="AH438" s="309">
        <v>31894.117871850001</v>
      </c>
      <c r="AI438" s="309">
        <v>28214.174723830001</v>
      </c>
      <c r="AJ438" s="309">
        <v>24947.048960830001</v>
      </c>
      <c r="AK438" s="309">
        <v>21679.923197829998</v>
      </c>
      <c r="AL438" s="309">
        <v>18412.79743482</v>
      </c>
      <c r="AM438" s="309">
        <v>15145.671671799999</v>
      </c>
      <c r="AN438" s="309">
        <v>12766.926542609999</v>
      </c>
      <c r="AO438" s="309"/>
      <c r="AP438" s="309"/>
      <c r="AQ438" s="309"/>
      <c r="AR438" s="309"/>
      <c r="AS438" s="309"/>
      <c r="AT438" s="309"/>
      <c r="AU438" s="309"/>
      <c r="AV438" s="309"/>
      <c r="AW438" s="309"/>
      <c r="AX438" s="309"/>
      <c r="AY438" s="309"/>
      <c r="AZ438" s="309"/>
      <c r="BA438" s="309"/>
      <c r="BB438" s="309"/>
      <c r="BC438" s="309"/>
      <c r="BD438" s="309"/>
      <c r="BE438" s="309"/>
      <c r="BF438" s="309"/>
      <c r="BG438" s="309"/>
      <c r="BH438" s="309"/>
      <c r="BI438" s="309"/>
      <c r="BJ438" s="309"/>
      <c r="BK438" s="309"/>
    </row>
    <row r="439" spans="1:63" s="80" customFormat="1" ht="12.75">
      <c r="A439" s="167"/>
      <c r="B439" s="210" t="str">
        <f>Servicio_internaColumna_título_amortizaciones</f>
        <v>Amortizaciones</v>
      </c>
      <c r="C439" s="254"/>
      <c r="D439" s="255"/>
      <c r="E439" s="255"/>
      <c r="F439" s="255"/>
      <c r="G439" s="255"/>
      <c r="H439" s="255"/>
      <c r="I439" s="255"/>
      <c r="J439" s="255"/>
      <c r="K439" s="255"/>
      <c r="L439" s="255"/>
      <c r="M439" s="255"/>
      <c r="N439" s="255"/>
      <c r="O439" s="255">
        <v>18372304.614790287</v>
      </c>
      <c r="P439" s="255">
        <v>19703072.394392863</v>
      </c>
      <c r="Q439" s="255">
        <v>25258955.437634468</v>
      </c>
      <c r="R439" s="255">
        <v>20609969.445496239</v>
      </c>
      <c r="S439" s="255">
        <v>6079532.89802041</v>
      </c>
      <c r="T439" s="255">
        <v>13175050.847121561</v>
      </c>
      <c r="U439" s="255">
        <v>1412.9132152699999</v>
      </c>
      <c r="V439" s="255">
        <v>8448925.0999999996</v>
      </c>
      <c r="W439" s="255">
        <v>1903221.0140490001</v>
      </c>
      <c r="X439" s="255">
        <v>5262326</v>
      </c>
      <c r="Y439" s="255">
        <v>12058233.562791202</v>
      </c>
      <c r="Z439" s="255">
        <v>16843201.5</v>
      </c>
      <c r="AA439" s="255">
        <v>0</v>
      </c>
      <c r="AB439" s="255">
        <v>7136598</v>
      </c>
      <c r="AC439" s="255">
        <v>0</v>
      </c>
      <c r="AD439" s="255">
        <v>2236028.5</v>
      </c>
      <c r="AE439" s="255">
        <v>0</v>
      </c>
      <c r="AF439" s="255">
        <v>0</v>
      </c>
      <c r="AG439" s="255">
        <v>0</v>
      </c>
      <c r="AH439" s="255">
        <v>0</v>
      </c>
      <c r="AI439" s="255">
        <v>0</v>
      </c>
      <c r="AJ439" s="255">
        <v>0</v>
      </c>
      <c r="AK439" s="255">
        <v>0</v>
      </c>
      <c r="AL439" s="255">
        <v>0</v>
      </c>
      <c r="AM439" s="255">
        <v>0</v>
      </c>
      <c r="AN439" s="255">
        <v>0</v>
      </c>
      <c r="AO439" s="255"/>
      <c r="AP439" s="255"/>
      <c r="AQ439" s="255"/>
      <c r="AR439" s="255"/>
      <c r="AS439" s="255"/>
      <c r="AT439" s="255"/>
      <c r="AU439" s="255"/>
      <c r="AV439" s="255"/>
      <c r="AW439" s="255"/>
      <c r="AX439" s="255"/>
      <c r="AY439" s="255"/>
      <c r="AZ439" s="255"/>
      <c r="BA439" s="255"/>
      <c r="BB439" s="255"/>
      <c r="BC439" s="255"/>
      <c r="BD439" s="255"/>
      <c r="BE439" s="255"/>
      <c r="BF439" s="255"/>
      <c r="BG439" s="255"/>
      <c r="BH439" s="255"/>
      <c r="BI439" s="255"/>
      <c r="BJ439" s="255"/>
      <c r="BK439" s="255"/>
    </row>
    <row r="440" spans="1:63" s="80" customFormat="1" ht="12.75">
      <c r="A440" s="168">
        <v>41305</v>
      </c>
      <c r="B440" s="213" t="str">
        <f>Servicio_internaColumna_título_intereses</f>
        <v>Intereses</v>
      </c>
      <c r="C440" s="256"/>
      <c r="D440" s="257"/>
      <c r="E440" s="257"/>
      <c r="F440" s="257"/>
      <c r="G440" s="257"/>
      <c r="H440" s="257"/>
      <c r="I440" s="257"/>
      <c r="J440" s="257"/>
      <c r="K440" s="257"/>
      <c r="L440" s="257"/>
      <c r="M440" s="257"/>
      <c r="N440" s="257"/>
      <c r="O440" s="257">
        <v>12543851.767980644</v>
      </c>
      <c r="P440" s="257">
        <v>11331887.725927537</v>
      </c>
      <c r="Q440" s="257">
        <v>9519569.2109290119</v>
      </c>
      <c r="R440" s="257">
        <v>7658240.0447564702</v>
      </c>
      <c r="S440" s="257">
        <v>6256159.9979966665</v>
      </c>
      <c r="T440" s="257">
        <v>5979543.4481980018</v>
      </c>
      <c r="U440" s="258">
        <v>4535934.1800664952</v>
      </c>
      <c r="V440" s="258">
        <v>4554501.858552956</v>
      </c>
      <c r="W440" s="258">
        <v>3646876.4786631009</v>
      </c>
      <c r="X440" s="258">
        <v>3575258.2250080211</v>
      </c>
      <c r="Y440" s="258">
        <v>3224271.1044693179</v>
      </c>
      <c r="Z440" s="258">
        <v>2429886.3855974409</v>
      </c>
      <c r="AA440" s="258">
        <v>740647.84029458999</v>
      </c>
      <c r="AB440" s="258">
        <v>735729.44499175961</v>
      </c>
      <c r="AC440" s="258">
        <v>730811.0496889099</v>
      </c>
      <c r="AD440" s="259">
        <v>190647.80438604997</v>
      </c>
      <c r="AE440" s="259">
        <v>51567.69908323</v>
      </c>
      <c r="AF440" s="259">
        <v>46649.303780379996</v>
      </c>
      <c r="AG440" s="259">
        <v>41730.90847753</v>
      </c>
      <c r="AH440" s="259">
        <v>36812.513174709995</v>
      </c>
      <c r="AI440" s="259">
        <v>31894.117871850001</v>
      </c>
      <c r="AJ440" s="259">
        <v>28214.174723830001</v>
      </c>
      <c r="AK440" s="259">
        <v>24947.048960830001</v>
      </c>
      <c r="AL440" s="259">
        <v>21679.923197829998</v>
      </c>
      <c r="AM440" s="259">
        <v>18412.79743482</v>
      </c>
      <c r="AN440" s="259">
        <v>15145.671671799999</v>
      </c>
      <c r="AO440" s="259"/>
      <c r="AP440" s="259"/>
      <c r="AQ440" s="259"/>
      <c r="AR440" s="259"/>
      <c r="AS440" s="259"/>
      <c r="AT440" s="259"/>
      <c r="AU440" s="259"/>
      <c r="AV440" s="259"/>
      <c r="AW440" s="259"/>
      <c r="AX440" s="259"/>
      <c r="AY440" s="259"/>
      <c r="AZ440" s="259"/>
      <c r="BA440" s="259"/>
      <c r="BB440" s="259"/>
      <c r="BC440" s="259"/>
      <c r="BD440" s="259"/>
      <c r="BE440" s="259"/>
      <c r="BF440" s="259"/>
      <c r="BG440" s="259"/>
      <c r="BH440" s="259"/>
      <c r="BI440" s="259"/>
      <c r="BJ440" s="259"/>
      <c r="BK440" s="259"/>
    </row>
    <row r="441" spans="1:63" s="80" customFormat="1" ht="12.75">
      <c r="A441" s="169"/>
      <c r="B441" s="307" t="str">
        <f>Servicio_internaColumna_título_total</f>
        <v>Total</v>
      </c>
      <c r="C441" s="308"/>
      <c r="D441" s="309"/>
      <c r="E441" s="309"/>
      <c r="F441" s="309"/>
      <c r="G441" s="309"/>
      <c r="H441" s="309"/>
      <c r="I441" s="309"/>
      <c r="J441" s="309"/>
      <c r="K441" s="309"/>
      <c r="L441" s="309"/>
      <c r="M441" s="309"/>
      <c r="N441" s="309"/>
      <c r="O441" s="309">
        <f>O439+O440</f>
        <v>30916156.382770933</v>
      </c>
      <c r="P441" s="309">
        <f t="shared" ref="P441:AN441" si="7">P439+P440</f>
        <v>31034960.120320402</v>
      </c>
      <c r="Q441" s="309">
        <f t="shared" si="7"/>
        <v>34778524.648563482</v>
      </c>
      <c r="R441" s="309">
        <f t="shared" si="7"/>
        <v>28268209.490252711</v>
      </c>
      <c r="S441" s="309">
        <f t="shared" si="7"/>
        <v>12335692.896017076</v>
      </c>
      <c r="T441" s="309">
        <f t="shared" si="7"/>
        <v>19154594.295319565</v>
      </c>
      <c r="U441" s="309">
        <f t="shared" si="7"/>
        <v>4537347.0932817655</v>
      </c>
      <c r="V441" s="309">
        <f t="shared" si="7"/>
        <v>13003426.958552957</v>
      </c>
      <c r="W441" s="309">
        <f t="shared" si="7"/>
        <v>5550097.492712101</v>
      </c>
      <c r="X441" s="309">
        <f t="shared" si="7"/>
        <v>8837584.225008022</v>
      </c>
      <c r="Y441" s="309">
        <f t="shared" si="7"/>
        <v>15282504.66726052</v>
      </c>
      <c r="Z441" s="309">
        <f t="shared" si="7"/>
        <v>19273087.885597441</v>
      </c>
      <c r="AA441" s="309">
        <f t="shared" si="7"/>
        <v>740647.84029458999</v>
      </c>
      <c r="AB441" s="309">
        <f t="shared" si="7"/>
        <v>7872327.44499176</v>
      </c>
      <c r="AC441" s="309">
        <f t="shared" si="7"/>
        <v>730811.0496889099</v>
      </c>
      <c r="AD441" s="309">
        <f t="shared" si="7"/>
        <v>2426676.30438605</v>
      </c>
      <c r="AE441" s="309">
        <f t="shared" si="7"/>
        <v>51567.69908323</v>
      </c>
      <c r="AF441" s="309">
        <f t="shared" si="7"/>
        <v>46649.303780379996</v>
      </c>
      <c r="AG441" s="309">
        <f t="shared" si="7"/>
        <v>41730.90847753</v>
      </c>
      <c r="AH441" s="309">
        <f t="shared" si="7"/>
        <v>36812.513174709995</v>
      </c>
      <c r="AI441" s="309">
        <f t="shared" si="7"/>
        <v>31894.117871850001</v>
      </c>
      <c r="AJ441" s="309">
        <f t="shared" si="7"/>
        <v>28214.174723830001</v>
      </c>
      <c r="AK441" s="309">
        <f t="shared" si="7"/>
        <v>24947.048960830001</v>
      </c>
      <c r="AL441" s="309">
        <f t="shared" si="7"/>
        <v>21679.923197829998</v>
      </c>
      <c r="AM441" s="309">
        <f t="shared" si="7"/>
        <v>18412.79743482</v>
      </c>
      <c r="AN441" s="309">
        <f t="shared" si="7"/>
        <v>15145.671671799999</v>
      </c>
      <c r="AO441" s="309"/>
      <c r="AP441" s="309"/>
      <c r="AQ441" s="309"/>
      <c r="AR441" s="309"/>
      <c r="AS441" s="309"/>
      <c r="AT441" s="309"/>
      <c r="AU441" s="309"/>
      <c r="AV441" s="309"/>
      <c r="AW441" s="309"/>
      <c r="AX441" s="309"/>
      <c r="AY441" s="309"/>
      <c r="AZ441" s="309"/>
      <c r="BA441" s="309"/>
      <c r="BB441" s="309"/>
      <c r="BC441" s="309"/>
      <c r="BD441" s="309"/>
      <c r="BE441" s="309"/>
      <c r="BF441" s="309"/>
      <c r="BG441" s="309"/>
      <c r="BH441" s="309"/>
      <c r="BI441" s="309"/>
      <c r="BJ441" s="309"/>
      <c r="BK441" s="309"/>
    </row>
    <row r="442" spans="1:63" s="80" customFormat="1" ht="12.75">
      <c r="A442" s="167"/>
      <c r="B442" s="210" t="str">
        <f>Servicio_internaColumna_título_amortizaciones</f>
        <v>Amortizaciones</v>
      </c>
      <c r="C442" s="254"/>
      <c r="D442" s="255"/>
      <c r="E442" s="255"/>
      <c r="F442" s="255"/>
      <c r="G442" s="255"/>
      <c r="H442" s="255"/>
      <c r="I442" s="255"/>
      <c r="J442" s="255"/>
      <c r="K442" s="255"/>
      <c r="L442" s="255"/>
      <c r="M442" s="255"/>
      <c r="N442" s="255"/>
      <c r="O442" s="255">
        <v>18094175.354784537</v>
      </c>
      <c r="P442" s="255">
        <v>20422134.438777447</v>
      </c>
      <c r="Q442" s="255">
        <v>25845465.325065572</v>
      </c>
      <c r="R442" s="255">
        <v>19781749.736370929</v>
      </c>
      <c r="S442" s="255">
        <v>6000826.585558</v>
      </c>
      <c r="T442" s="255">
        <v>14966964.74112156</v>
      </c>
      <c r="U442" s="255">
        <v>645.10821526999996</v>
      </c>
      <c r="V442" s="255">
        <v>8448925.0999999996</v>
      </c>
      <c r="W442" s="255">
        <v>2770135.3160973</v>
      </c>
      <c r="X442" s="255">
        <v>5519675.4000000004</v>
      </c>
      <c r="Y442" s="255">
        <v>12080275.95427914</v>
      </c>
      <c r="Z442" s="255">
        <v>16843201.5</v>
      </c>
      <c r="AA442" s="255">
        <v>0</v>
      </c>
      <c r="AB442" s="255">
        <v>7302219.2000000002</v>
      </c>
      <c r="AC442" s="255">
        <v>0</v>
      </c>
      <c r="AD442" s="255">
        <v>2540672</v>
      </c>
      <c r="AE442" s="255">
        <v>0</v>
      </c>
      <c r="AF442" s="255">
        <v>0</v>
      </c>
      <c r="AG442" s="255">
        <v>0</v>
      </c>
      <c r="AH442" s="255">
        <v>0</v>
      </c>
      <c r="AI442" s="255">
        <v>0</v>
      </c>
      <c r="AJ442" s="255">
        <v>0</v>
      </c>
      <c r="AK442" s="255">
        <v>0</v>
      </c>
      <c r="AL442" s="255">
        <v>0</v>
      </c>
      <c r="AM442" s="255">
        <v>0</v>
      </c>
      <c r="AN442" s="255">
        <v>0</v>
      </c>
      <c r="AO442" s="255"/>
      <c r="AP442" s="255"/>
      <c r="AQ442" s="255"/>
      <c r="AR442" s="255"/>
      <c r="AS442" s="255"/>
      <c r="AT442" s="255"/>
      <c r="AU442" s="255"/>
      <c r="AV442" s="255"/>
      <c r="AW442" s="255"/>
      <c r="AX442" s="255"/>
      <c r="AY442" s="255"/>
      <c r="AZ442" s="255"/>
      <c r="BA442" s="255"/>
      <c r="BB442" s="255"/>
      <c r="BC442" s="255"/>
      <c r="BD442" s="255"/>
      <c r="BE442" s="255"/>
      <c r="BF442" s="255"/>
      <c r="BG442" s="255"/>
      <c r="BH442" s="255"/>
      <c r="BI442" s="255"/>
      <c r="BJ442" s="255"/>
      <c r="BK442" s="255"/>
    </row>
    <row r="443" spans="1:63" s="80" customFormat="1" ht="12.75">
      <c r="A443" s="168">
        <v>41333</v>
      </c>
      <c r="B443" s="213" t="str">
        <f>Servicio_internaColumna_título_intereses</f>
        <v>Intereses</v>
      </c>
      <c r="C443" s="256"/>
      <c r="D443" s="257"/>
      <c r="E443" s="257"/>
      <c r="F443" s="257"/>
      <c r="G443" s="257"/>
      <c r="H443" s="257"/>
      <c r="I443" s="257"/>
      <c r="J443" s="257"/>
      <c r="K443" s="257"/>
      <c r="L443" s="257"/>
      <c r="M443" s="257"/>
      <c r="N443" s="257"/>
      <c r="O443" s="257">
        <v>11378298.966976549</v>
      </c>
      <c r="P443" s="257">
        <v>11613551.597097855</v>
      </c>
      <c r="Q443" s="257">
        <v>9708887.6313834414</v>
      </c>
      <c r="R443" s="257">
        <v>7825267.5556786805</v>
      </c>
      <c r="S443" s="257">
        <v>6423686.599058128</v>
      </c>
      <c r="T443" s="257">
        <v>6148114.6705103749</v>
      </c>
      <c r="U443" s="258">
        <v>4615971.662267332</v>
      </c>
      <c r="V443" s="258">
        <v>4635647.5794389024</v>
      </c>
      <c r="W443" s="258">
        <v>3729121.2890831609</v>
      </c>
      <c r="X443" s="258">
        <v>3618354.4177051727</v>
      </c>
      <c r="Y443" s="258">
        <v>3250052.9091664772</v>
      </c>
      <c r="Z443" s="258">
        <v>2455668.1902945903</v>
      </c>
      <c r="AA443" s="258">
        <v>766429.64499176003</v>
      </c>
      <c r="AB443" s="258">
        <v>761511.24968890974</v>
      </c>
      <c r="AC443" s="258">
        <v>208926.41438605002</v>
      </c>
      <c r="AD443" s="259">
        <v>204008.01908322982</v>
      </c>
      <c r="AE443" s="259">
        <v>46649.303780379996</v>
      </c>
      <c r="AF443" s="259">
        <v>41730.90847753</v>
      </c>
      <c r="AG443" s="259">
        <v>36812.513174709995</v>
      </c>
      <c r="AH443" s="259">
        <v>31894.117871850001</v>
      </c>
      <c r="AI443" s="259">
        <v>28214.174723830001</v>
      </c>
      <c r="AJ443" s="259">
        <v>24947.048960830001</v>
      </c>
      <c r="AK443" s="259">
        <v>21679.923197829998</v>
      </c>
      <c r="AL443" s="259">
        <v>18412.79743482</v>
      </c>
      <c r="AM443" s="259">
        <v>15145.671671799999</v>
      </c>
      <c r="AN443" s="259">
        <v>12766.926542609999</v>
      </c>
      <c r="AO443" s="259"/>
      <c r="AP443" s="259"/>
      <c r="AQ443" s="259"/>
      <c r="AR443" s="259"/>
      <c r="AS443" s="259"/>
      <c r="AT443" s="259"/>
      <c r="AU443" s="259"/>
      <c r="AV443" s="259"/>
      <c r="AW443" s="259"/>
      <c r="AX443" s="259"/>
      <c r="AY443" s="259"/>
      <c r="AZ443" s="259"/>
      <c r="BA443" s="259"/>
      <c r="BB443" s="259"/>
      <c r="BC443" s="259"/>
      <c r="BD443" s="259"/>
      <c r="BE443" s="259"/>
      <c r="BF443" s="259"/>
      <c r="BG443" s="259"/>
      <c r="BH443" s="259"/>
      <c r="BI443" s="259"/>
      <c r="BJ443" s="259"/>
      <c r="BK443" s="259"/>
    </row>
    <row r="444" spans="1:63" s="80" customFormat="1" ht="12.75">
      <c r="A444" s="169"/>
      <c r="B444" s="307" t="str">
        <f>Servicio_internaColumna_título_total</f>
        <v>Total</v>
      </c>
      <c r="C444" s="308"/>
      <c r="D444" s="309"/>
      <c r="E444" s="309"/>
      <c r="F444" s="309"/>
      <c r="G444" s="309"/>
      <c r="H444" s="309"/>
      <c r="I444" s="309"/>
      <c r="J444" s="309"/>
      <c r="K444" s="309"/>
      <c r="L444" s="309"/>
      <c r="M444" s="309"/>
      <c r="N444" s="309"/>
      <c r="O444" s="309">
        <f>O442+O443</f>
        <v>29472474.321761087</v>
      </c>
      <c r="P444" s="309">
        <f t="shared" ref="P444:AN444" si="8">P442+P443</f>
        <v>32035686.035875302</v>
      </c>
      <c r="Q444" s="309">
        <f t="shared" si="8"/>
        <v>35554352.956449017</v>
      </c>
      <c r="R444" s="309">
        <f t="shared" si="8"/>
        <v>27607017.292049609</v>
      </c>
      <c r="S444" s="309">
        <f t="shared" si="8"/>
        <v>12424513.184616128</v>
      </c>
      <c r="T444" s="309">
        <f t="shared" si="8"/>
        <v>21115079.411631934</v>
      </c>
      <c r="U444" s="309">
        <f t="shared" si="8"/>
        <v>4616616.7704826016</v>
      </c>
      <c r="V444" s="309">
        <f t="shared" si="8"/>
        <v>13084572.679438902</v>
      </c>
      <c r="W444" s="309">
        <f t="shared" si="8"/>
        <v>6499256.605180461</v>
      </c>
      <c r="X444" s="309">
        <f t="shared" si="8"/>
        <v>9138029.817705173</v>
      </c>
      <c r="Y444" s="309">
        <f t="shared" si="8"/>
        <v>15330328.863445617</v>
      </c>
      <c r="Z444" s="309">
        <f t="shared" si="8"/>
        <v>19298869.69029459</v>
      </c>
      <c r="AA444" s="309">
        <f t="shared" si="8"/>
        <v>766429.64499176003</v>
      </c>
      <c r="AB444" s="309">
        <f t="shared" si="8"/>
        <v>8063730.4496889096</v>
      </c>
      <c r="AC444" s="309">
        <f t="shared" si="8"/>
        <v>208926.41438605002</v>
      </c>
      <c r="AD444" s="309">
        <f t="shared" si="8"/>
        <v>2744680.0190832298</v>
      </c>
      <c r="AE444" s="309">
        <f t="shared" si="8"/>
        <v>46649.303780379996</v>
      </c>
      <c r="AF444" s="309">
        <f t="shared" si="8"/>
        <v>41730.90847753</v>
      </c>
      <c r="AG444" s="309">
        <f t="shared" si="8"/>
        <v>36812.513174709995</v>
      </c>
      <c r="AH444" s="309">
        <f t="shared" si="8"/>
        <v>31894.117871850001</v>
      </c>
      <c r="AI444" s="309">
        <f t="shared" si="8"/>
        <v>28214.174723830001</v>
      </c>
      <c r="AJ444" s="309">
        <f t="shared" si="8"/>
        <v>24947.048960830001</v>
      </c>
      <c r="AK444" s="309">
        <f t="shared" si="8"/>
        <v>21679.923197829998</v>
      </c>
      <c r="AL444" s="309">
        <f t="shared" si="8"/>
        <v>18412.79743482</v>
      </c>
      <c r="AM444" s="309">
        <f t="shared" si="8"/>
        <v>15145.671671799999</v>
      </c>
      <c r="AN444" s="309">
        <f t="shared" si="8"/>
        <v>12766.926542609999</v>
      </c>
      <c r="AO444" s="309"/>
      <c r="AP444" s="309"/>
      <c r="AQ444" s="309"/>
      <c r="AR444" s="309"/>
      <c r="AS444" s="309"/>
      <c r="AT444" s="309"/>
      <c r="AU444" s="309"/>
      <c r="AV444" s="309"/>
      <c r="AW444" s="309"/>
      <c r="AX444" s="309"/>
      <c r="AY444" s="309"/>
      <c r="AZ444" s="309"/>
      <c r="BA444" s="309"/>
      <c r="BB444" s="309"/>
      <c r="BC444" s="309"/>
      <c r="BD444" s="309"/>
      <c r="BE444" s="309"/>
      <c r="BF444" s="309"/>
      <c r="BG444" s="309"/>
      <c r="BH444" s="309"/>
      <c r="BI444" s="309"/>
      <c r="BJ444" s="309"/>
      <c r="BK444" s="309"/>
    </row>
    <row r="445" spans="1:63" s="80" customFormat="1" ht="12.75">
      <c r="A445" s="167"/>
      <c r="B445" s="210" t="str">
        <f>IF(SUM(F445:Z445)&gt;0,Servicio_internaColumna_título_amortizaciones,"")</f>
        <v>Amortizaciones</v>
      </c>
      <c r="C445" s="254"/>
      <c r="D445" s="255"/>
      <c r="E445" s="255"/>
      <c r="F445" s="255"/>
      <c r="G445" s="255"/>
      <c r="H445" s="255"/>
      <c r="I445" s="255"/>
      <c r="J445" s="255"/>
      <c r="K445" s="255"/>
      <c r="L445" s="255"/>
      <c r="M445" s="255"/>
      <c r="N445" s="255"/>
      <c r="O445" s="255">
        <v>16938547.1191216</v>
      </c>
      <c r="P445" s="255">
        <v>20579141.495296817</v>
      </c>
      <c r="Q445" s="255">
        <v>26190213.824041788</v>
      </c>
      <c r="R445" s="255">
        <v>20621809.173309281</v>
      </c>
      <c r="S445" s="255">
        <v>6362578.9185628211</v>
      </c>
      <c r="T445" s="255">
        <v>15456047.35085446</v>
      </c>
      <c r="U445" s="255">
        <v>1356.8317009700002</v>
      </c>
      <c r="V445" s="255">
        <v>8448925.0999999996</v>
      </c>
      <c r="W445" s="255">
        <v>3015569.3843940003</v>
      </c>
      <c r="X445" s="255">
        <v>5908648.9000000004</v>
      </c>
      <c r="Y445" s="255">
        <v>12120255.843877709</v>
      </c>
      <c r="Z445" s="255">
        <v>16843201.5</v>
      </c>
      <c r="AA445" s="255">
        <v>0</v>
      </c>
      <c r="AB445" s="255">
        <v>7302219.2000000002</v>
      </c>
      <c r="AC445" s="255">
        <v>0</v>
      </c>
      <c r="AD445" s="255">
        <v>3006793.6</v>
      </c>
      <c r="AE445" s="255">
        <v>0</v>
      </c>
      <c r="AF445" s="255">
        <v>0</v>
      </c>
      <c r="AG445" s="255">
        <v>0</v>
      </c>
      <c r="AH445" s="255">
        <v>0</v>
      </c>
      <c r="AI445" s="255">
        <v>0</v>
      </c>
      <c r="AJ445" s="255">
        <v>0</v>
      </c>
      <c r="AK445" s="255">
        <v>0</v>
      </c>
      <c r="AL445" s="255">
        <v>0</v>
      </c>
      <c r="AM445" s="255">
        <v>0</v>
      </c>
      <c r="AN445" s="255">
        <v>0</v>
      </c>
      <c r="AO445" s="255"/>
      <c r="AP445" s="255"/>
      <c r="AQ445" s="255"/>
      <c r="AR445" s="255"/>
      <c r="AS445" s="255"/>
      <c r="AT445" s="255"/>
      <c r="AU445" s="255"/>
      <c r="AV445" s="255"/>
      <c r="AW445" s="255"/>
      <c r="AX445" s="255"/>
      <c r="AY445" s="255"/>
      <c r="AZ445" s="255"/>
      <c r="BA445" s="255"/>
      <c r="BB445" s="255"/>
      <c r="BC445" s="255"/>
      <c r="BD445" s="255"/>
      <c r="BE445" s="255"/>
      <c r="BF445" s="255"/>
      <c r="BG445" s="255"/>
      <c r="BH445" s="255"/>
      <c r="BI445" s="255"/>
      <c r="BJ445" s="255"/>
      <c r="BK445" s="255"/>
    </row>
    <row r="446" spans="1:63" s="80" customFormat="1" ht="12.75">
      <c r="A446" s="168">
        <v>41334</v>
      </c>
      <c r="B446" s="213" t="str">
        <f>IF(SUM(F446:Z446)&gt;0,Servicio_internaColumna_título_intereses,"")</f>
        <v>Intereses</v>
      </c>
      <c r="C446" s="256"/>
      <c r="D446" s="257"/>
      <c r="E446" s="257"/>
      <c r="F446" s="257"/>
      <c r="G446" s="257"/>
      <c r="H446" s="257"/>
      <c r="I446" s="257"/>
      <c r="J446" s="257"/>
      <c r="K446" s="257"/>
      <c r="L446" s="257"/>
      <c r="M446" s="257"/>
      <c r="N446" s="257"/>
      <c r="O446" s="257">
        <v>10943175.18755468</v>
      </c>
      <c r="P446" s="257">
        <v>11695626.459064657</v>
      </c>
      <c r="Q446" s="257">
        <v>9836150.6784221139</v>
      </c>
      <c r="R446" s="257">
        <v>7930530.0189193692</v>
      </c>
      <c r="S446" s="257">
        <v>6529583.6249069525</v>
      </c>
      <c r="T446" s="257">
        <v>6242006.690341875</v>
      </c>
      <c r="U446" s="258">
        <v>4686160.591404683</v>
      </c>
      <c r="V446" s="258">
        <v>4706138.7613612888</v>
      </c>
      <c r="W446" s="258">
        <v>3799848.7142245332</v>
      </c>
      <c r="X446" s="258">
        <v>3678468.2540080221</v>
      </c>
      <c r="Y446" s="258">
        <v>3282938.6004693191</v>
      </c>
      <c r="Z446" s="258">
        <v>2488553.8815974402</v>
      </c>
      <c r="AA446" s="258">
        <v>799315.33629459003</v>
      </c>
      <c r="AB446" s="258">
        <v>794396.94099175988</v>
      </c>
      <c r="AC446" s="258">
        <v>241812.10568891</v>
      </c>
      <c r="AD446" s="259">
        <v>236893.71038604993</v>
      </c>
      <c r="AE446" s="259">
        <v>51567.69908323</v>
      </c>
      <c r="AF446" s="259">
        <v>46649.303780379996</v>
      </c>
      <c r="AG446" s="259">
        <v>41730.90847753</v>
      </c>
      <c r="AH446" s="259">
        <v>36812.513174709995</v>
      </c>
      <c r="AI446" s="259">
        <v>31894.117871850001</v>
      </c>
      <c r="AJ446" s="259">
        <v>28214.174723830001</v>
      </c>
      <c r="AK446" s="259">
        <v>24947.048960830001</v>
      </c>
      <c r="AL446" s="259">
        <v>21679.923197829998</v>
      </c>
      <c r="AM446" s="259">
        <v>18412.79743482</v>
      </c>
      <c r="AN446" s="259">
        <v>15145.671671799999</v>
      </c>
      <c r="AO446" s="259"/>
      <c r="AP446" s="259"/>
      <c r="AQ446" s="259"/>
      <c r="AR446" s="259"/>
      <c r="AS446" s="259"/>
      <c r="AT446" s="259"/>
      <c r="AU446" s="259"/>
      <c r="AV446" s="259"/>
      <c r="AW446" s="259"/>
      <c r="AX446" s="259"/>
      <c r="AY446" s="259"/>
      <c r="AZ446" s="259"/>
      <c r="BA446" s="259"/>
      <c r="BB446" s="259"/>
      <c r="BC446" s="259"/>
      <c r="BD446" s="259"/>
      <c r="BE446" s="259"/>
      <c r="BF446" s="259"/>
      <c r="BG446" s="259"/>
      <c r="BH446" s="259"/>
      <c r="BI446" s="259"/>
      <c r="BJ446" s="259"/>
      <c r="BK446" s="259"/>
    </row>
    <row r="447" spans="1:63" s="80" customFormat="1" ht="12.75">
      <c r="A447" s="169"/>
      <c r="B447" s="307" t="str">
        <f>IF(SUM(F447:Z447)&gt;0,Servicio_internaColumna_título_total,"")</f>
        <v>Total</v>
      </c>
      <c r="C447" s="308"/>
      <c r="D447" s="309"/>
      <c r="E447" s="309"/>
      <c r="F447" s="309"/>
      <c r="G447" s="309"/>
      <c r="H447" s="309"/>
      <c r="I447" s="309"/>
      <c r="J447" s="309"/>
      <c r="K447" s="309"/>
      <c r="L447" s="309"/>
      <c r="M447" s="309"/>
      <c r="N447" s="309"/>
      <c r="O447" s="309">
        <f>O445+O446</f>
        <v>27881722.30667628</v>
      </c>
      <c r="P447" s="309">
        <f t="shared" ref="P447:AN447" si="9">P445+P446</f>
        <v>32274767.954361476</v>
      </c>
      <c r="Q447" s="309">
        <f t="shared" si="9"/>
        <v>36026364.5024639</v>
      </c>
      <c r="R447" s="309">
        <f t="shared" si="9"/>
        <v>28552339.192228653</v>
      </c>
      <c r="S447" s="309">
        <f t="shared" si="9"/>
        <v>12892162.543469774</v>
      </c>
      <c r="T447" s="309">
        <f t="shared" si="9"/>
        <v>21698054.041196335</v>
      </c>
      <c r="U447" s="309">
        <f t="shared" si="9"/>
        <v>4687517.4231056534</v>
      </c>
      <c r="V447" s="309">
        <f t="shared" si="9"/>
        <v>13155063.861361288</v>
      </c>
      <c r="W447" s="309">
        <f t="shared" si="9"/>
        <v>6815418.0986185335</v>
      </c>
      <c r="X447" s="309">
        <f t="shared" si="9"/>
        <v>9587117.1540080234</v>
      </c>
      <c r="Y447" s="309">
        <f t="shared" si="9"/>
        <v>15403194.444347028</v>
      </c>
      <c r="Z447" s="309">
        <f t="shared" si="9"/>
        <v>19331755.381597441</v>
      </c>
      <c r="AA447" s="309">
        <f t="shared" si="9"/>
        <v>799315.33629459003</v>
      </c>
      <c r="AB447" s="309">
        <f t="shared" si="9"/>
        <v>8096616.1409917604</v>
      </c>
      <c r="AC447" s="309">
        <f t="shared" si="9"/>
        <v>241812.10568891</v>
      </c>
      <c r="AD447" s="309">
        <f t="shared" si="9"/>
        <v>3243687.31038605</v>
      </c>
      <c r="AE447" s="309">
        <f t="shared" si="9"/>
        <v>51567.69908323</v>
      </c>
      <c r="AF447" s="309">
        <f t="shared" si="9"/>
        <v>46649.303780379996</v>
      </c>
      <c r="AG447" s="309">
        <f t="shared" si="9"/>
        <v>41730.90847753</v>
      </c>
      <c r="AH447" s="309">
        <f t="shared" si="9"/>
        <v>36812.513174709995</v>
      </c>
      <c r="AI447" s="309">
        <f t="shared" si="9"/>
        <v>31894.117871850001</v>
      </c>
      <c r="AJ447" s="309">
        <f t="shared" si="9"/>
        <v>28214.174723830001</v>
      </c>
      <c r="AK447" s="309">
        <f t="shared" si="9"/>
        <v>24947.048960830001</v>
      </c>
      <c r="AL447" s="309">
        <f t="shared" si="9"/>
        <v>21679.923197829998</v>
      </c>
      <c r="AM447" s="309">
        <f t="shared" si="9"/>
        <v>18412.79743482</v>
      </c>
      <c r="AN447" s="309">
        <f t="shared" si="9"/>
        <v>15145.671671799999</v>
      </c>
      <c r="AO447" s="309"/>
      <c r="AP447" s="309"/>
      <c r="AQ447" s="309"/>
      <c r="AR447" s="309"/>
      <c r="AS447" s="309"/>
      <c r="AT447" s="309"/>
      <c r="AU447" s="309"/>
      <c r="AV447" s="309"/>
      <c r="AW447" s="309"/>
      <c r="AX447" s="309"/>
      <c r="AY447" s="309"/>
      <c r="AZ447" s="309"/>
      <c r="BA447" s="309"/>
      <c r="BB447" s="309"/>
      <c r="BC447" s="309"/>
      <c r="BD447" s="309"/>
      <c r="BE447" s="309"/>
      <c r="BF447" s="309"/>
      <c r="BG447" s="309"/>
      <c r="BH447" s="309"/>
      <c r="BI447" s="309"/>
      <c r="BJ447" s="309"/>
      <c r="BK447" s="309"/>
    </row>
    <row r="448" spans="1:63" s="80" customFormat="1" ht="12.75">
      <c r="A448" s="167"/>
      <c r="B448" s="210" t="str">
        <f>Servicio_internaColumna_título_amortizaciones</f>
        <v>Amortizaciones</v>
      </c>
      <c r="C448" s="254"/>
      <c r="D448" s="255"/>
      <c r="E448" s="255"/>
      <c r="F448" s="255"/>
      <c r="G448" s="255"/>
      <c r="H448" s="255"/>
      <c r="I448" s="255"/>
      <c r="J448" s="255"/>
      <c r="K448" s="255"/>
      <c r="L448" s="255"/>
      <c r="M448" s="255"/>
      <c r="N448" s="255"/>
      <c r="O448" s="255">
        <v>11034998.71045194</v>
      </c>
      <c r="P448" s="255">
        <v>21016046.575069655</v>
      </c>
      <c r="Q448" s="255">
        <v>26802995.063837949</v>
      </c>
      <c r="R448" s="255">
        <v>20625275.6390008</v>
      </c>
      <c r="S448" s="255">
        <v>6648994.2547507007</v>
      </c>
      <c r="T448" s="255">
        <v>16680415.25633754</v>
      </c>
      <c r="U448" s="255">
        <v>1320.3579525800001</v>
      </c>
      <c r="V448" s="255">
        <v>8448925.0999999996</v>
      </c>
      <c r="W448" s="255">
        <v>3299801.7983880001</v>
      </c>
      <c r="X448" s="255">
        <v>6634987.9000000004</v>
      </c>
      <c r="Y448" s="255">
        <v>12165663.642848574</v>
      </c>
      <c r="Z448" s="255">
        <v>16843201.5</v>
      </c>
      <c r="AA448" s="255">
        <v>0</v>
      </c>
      <c r="AB448" s="255">
        <v>7302219.2000000002</v>
      </c>
      <c r="AC448" s="255">
        <v>0</v>
      </c>
      <c r="AD448" s="255">
        <v>3921185.3</v>
      </c>
      <c r="AE448" s="255">
        <v>0</v>
      </c>
      <c r="AF448" s="255">
        <v>0</v>
      </c>
      <c r="AG448" s="255">
        <v>0</v>
      </c>
      <c r="AH448" s="255">
        <v>0</v>
      </c>
      <c r="AI448" s="255">
        <v>0</v>
      </c>
      <c r="AJ448" s="255">
        <v>0</v>
      </c>
      <c r="AK448" s="255">
        <v>0</v>
      </c>
      <c r="AL448" s="255">
        <v>0</v>
      </c>
      <c r="AM448" s="255">
        <v>0</v>
      </c>
      <c r="AN448" s="255">
        <v>0</v>
      </c>
      <c r="AO448" s="255"/>
      <c r="AP448" s="255"/>
      <c r="AQ448" s="255"/>
      <c r="AR448" s="255"/>
      <c r="AS448" s="255"/>
      <c r="AT448" s="255"/>
      <c r="AU448" s="255"/>
      <c r="AV448" s="255"/>
      <c r="AW448" s="255"/>
      <c r="AX448" s="255"/>
      <c r="AY448" s="255"/>
      <c r="AZ448" s="255"/>
      <c r="BA448" s="255"/>
      <c r="BB448" s="255"/>
      <c r="BC448" s="255"/>
      <c r="BD448" s="255"/>
      <c r="BE448" s="255"/>
      <c r="BF448" s="255"/>
      <c r="BG448" s="255"/>
      <c r="BH448" s="255"/>
      <c r="BI448" s="255"/>
      <c r="BJ448" s="255"/>
      <c r="BK448" s="255"/>
    </row>
    <row r="449" spans="1:63" s="80" customFormat="1" ht="12.75">
      <c r="A449" s="168">
        <v>41394</v>
      </c>
      <c r="B449" s="213" t="str">
        <f>Servicio_internaColumna_título_intereses</f>
        <v>Intereses</v>
      </c>
      <c r="C449" s="256"/>
      <c r="D449" s="257"/>
      <c r="E449" s="257"/>
      <c r="F449" s="257"/>
      <c r="G449" s="257"/>
      <c r="H449" s="257"/>
      <c r="I449" s="257"/>
      <c r="J449" s="257"/>
      <c r="K449" s="257"/>
      <c r="L449" s="257"/>
      <c r="M449" s="257"/>
      <c r="N449" s="257"/>
      <c r="O449" s="257">
        <v>10641340.330381272</v>
      </c>
      <c r="P449" s="257">
        <v>11937868.53553028</v>
      </c>
      <c r="Q449" s="257">
        <v>10055267.07768834</v>
      </c>
      <c r="R449" s="257">
        <v>8120341.0622535832</v>
      </c>
      <c r="S449" s="257">
        <v>6720084.9217811935</v>
      </c>
      <c r="T449" s="257">
        <v>6420066.860640971</v>
      </c>
      <c r="U449" s="258">
        <v>4803463.1290527508</v>
      </c>
      <c r="V449" s="258">
        <v>4823789.1581788007</v>
      </c>
      <c r="W449" s="258">
        <v>3917823.2192416084</v>
      </c>
      <c r="X449" s="258">
        <v>3784175.4860080201</v>
      </c>
      <c r="Y449" s="258">
        <v>3337802.1024693176</v>
      </c>
      <c r="Z449" s="258">
        <v>2543417.383597441</v>
      </c>
      <c r="AA449" s="258">
        <v>854178.83829459001</v>
      </c>
      <c r="AB449" s="258">
        <v>849260.44299176056</v>
      </c>
      <c r="AC449" s="258">
        <v>296675.60768890998</v>
      </c>
      <c r="AD449" s="259">
        <v>291757.21238605026</v>
      </c>
      <c r="AE449" s="259">
        <v>51567.69908323</v>
      </c>
      <c r="AF449" s="259">
        <v>46649.303780379996</v>
      </c>
      <c r="AG449" s="259">
        <v>41730.90847753</v>
      </c>
      <c r="AH449" s="259">
        <v>36812.513174709995</v>
      </c>
      <c r="AI449" s="259">
        <v>31894.117871850001</v>
      </c>
      <c r="AJ449" s="259">
        <v>28214.174723830001</v>
      </c>
      <c r="AK449" s="259">
        <v>24947.048960830001</v>
      </c>
      <c r="AL449" s="259">
        <v>21679.923197829998</v>
      </c>
      <c r="AM449" s="259">
        <v>18412.79743482</v>
      </c>
      <c r="AN449" s="259">
        <v>15145.671671799999</v>
      </c>
      <c r="AO449" s="259"/>
      <c r="AP449" s="259"/>
      <c r="AQ449" s="259"/>
      <c r="AR449" s="259"/>
      <c r="AS449" s="259"/>
      <c r="AT449" s="259"/>
      <c r="AU449" s="259"/>
      <c r="AV449" s="259"/>
      <c r="AW449" s="259"/>
      <c r="AX449" s="259"/>
      <c r="AY449" s="259"/>
      <c r="AZ449" s="259"/>
      <c r="BA449" s="259"/>
      <c r="BB449" s="259"/>
      <c r="BC449" s="259"/>
      <c r="BD449" s="259"/>
      <c r="BE449" s="259"/>
      <c r="BF449" s="259"/>
      <c r="BG449" s="259"/>
      <c r="BH449" s="259"/>
      <c r="BI449" s="259"/>
      <c r="BJ449" s="259"/>
      <c r="BK449" s="259"/>
    </row>
    <row r="450" spans="1:63" s="80" customFormat="1" ht="12.75">
      <c r="A450" s="169"/>
      <c r="B450" s="307" t="str">
        <f>Servicio_internaColumna_título_total</f>
        <v>Total</v>
      </c>
      <c r="C450" s="308"/>
      <c r="D450" s="309"/>
      <c r="E450" s="309"/>
      <c r="F450" s="309"/>
      <c r="G450" s="309"/>
      <c r="H450" s="309"/>
      <c r="I450" s="309"/>
      <c r="J450" s="309"/>
      <c r="K450" s="309"/>
      <c r="L450" s="309"/>
      <c r="M450" s="309"/>
      <c r="N450" s="309"/>
      <c r="O450" s="309">
        <f>O448+O449</f>
        <v>21676339.040833212</v>
      </c>
      <c r="P450" s="309">
        <f t="shared" ref="P450:AN450" si="10">P448+P449</f>
        <v>32953915.110599935</v>
      </c>
      <c r="Q450" s="309">
        <f t="shared" si="10"/>
        <v>36858262.141526289</v>
      </c>
      <c r="R450" s="309">
        <f t="shared" si="10"/>
        <v>28745616.701254383</v>
      </c>
      <c r="S450" s="309">
        <f t="shared" si="10"/>
        <v>13369079.176531894</v>
      </c>
      <c r="T450" s="309">
        <f t="shared" si="10"/>
        <v>23100482.116978511</v>
      </c>
      <c r="U450" s="309">
        <f t="shared" si="10"/>
        <v>4804783.4870053306</v>
      </c>
      <c r="V450" s="309">
        <f t="shared" si="10"/>
        <v>13272714.2581788</v>
      </c>
      <c r="W450" s="309">
        <f t="shared" si="10"/>
        <v>7217625.0176296085</v>
      </c>
      <c r="X450" s="309">
        <f t="shared" si="10"/>
        <v>10419163.38600802</v>
      </c>
      <c r="Y450" s="309">
        <f t="shared" si="10"/>
        <v>15503465.745317891</v>
      </c>
      <c r="Z450" s="309">
        <f t="shared" si="10"/>
        <v>19386618.883597441</v>
      </c>
      <c r="AA450" s="309">
        <f t="shared" si="10"/>
        <v>854178.83829459001</v>
      </c>
      <c r="AB450" s="309">
        <f t="shared" si="10"/>
        <v>8151479.6429917607</v>
      </c>
      <c r="AC450" s="309">
        <f t="shared" si="10"/>
        <v>296675.60768890998</v>
      </c>
      <c r="AD450" s="309">
        <f t="shared" si="10"/>
        <v>4212942.5123860501</v>
      </c>
      <c r="AE450" s="309">
        <f t="shared" si="10"/>
        <v>51567.69908323</v>
      </c>
      <c r="AF450" s="309">
        <f t="shared" si="10"/>
        <v>46649.303780379996</v>
      </c>
      <c r="AG450" s="309">
        <f t="shared" si="10"/>
        <v>41730.90847753</v>
      </c>
      <c r="AH450" s="309">
        <f t="shared" si="10"/>
        <v>36812.513174709995</v>
      </c>
      <c r="AI450" s="309">
        <f t="shared" si="10"/>
        <v>31894.117871850001</v>
      </c>
      <c r="AJ450" s="309">
        <f t="shared" si="10"/>
        <v>28214.174723830001</v>
      </c>
      <c r="AK450" s="309">
        <f t="shared" si="10"/>
        <v>24947.048960830001</v>
      </c>
      <c r="AL450" s="309">
        <f t="shared" si="10"/>
        <v>21679.923197829998</v>
      </c>
      <c r="AM450" s="309">
        <f t="shared" si="10"/>
        <v>18412.79743482</v>
      </c>
      <c r="AN450" s="309">
        <f t="shared" si="10"/>
        <v>15145.671671799999</v>
      </c>
      <c r="AO450" s="309"/>
      <c r="AP450" s="309"/>
      <c r="AQ450" s="309"/>
      <c r="AR450" s="309"/>
      <c r="AS450" s="309"/>
      <c r="AT450" s="309"/>
      <c r="AU450" s="309"/>
      <c r="AV450" s="309"/>
      <c r="AW450" s="309"/>
      <c r="AX450" s="309"/>
      <c r="AY450" s="309"/>
      <c r="AZ450" s="309"/>
      <c r="BA450" s="309"/>
      <c r="BB450" s="309"/>
      <c r="BC450" s="309"/>
      <c r="BD450" s="309"/>
      <c r="BE450" s="309"/>
      <c r="BF450" s="309"/>
      <c r="BG450" s="309"/>
      <c r="BH450" s="309"/>
      <c r="BI450" s="309"/>
      <c r="BJ450" s="309"/>
      <c r="BK450" s="309"/>
    </row>
    <row r="451" spans="1:63" s="80" customFormat="1" ht="12.75">
      <c r="A451" s="167"/>
      <c r="B451" s="210" t="str">
        <f>Servicio_internaColumna_título_amortizaciones</f>
        <v>Amortizaciones</v>
      </c>
      <c r="C451" s="254"/>
      <c r="D451" s="255"/>
      <c r="E451" s="255"/>
      <c r="F451" s="255"/>
      <c r="G451" s="255"/>
      <c r="H451" s="255"/>
      <c r="I451" s="255"/>
      <c r="J451" s="255"/>
      <c r="K451" s="255"/>
      <c r="L451" s="255"/>
      <c r="M451" s="255"/>
      <c r="N451" s="255"/>
      <c r="O451" s="255">
        <v>8398440.8751448505</v>
      </c>
      <c r="P451" s="255">
        <v>20954819.601547062</v>
      </c>
      <c r="Q451" s="255">
        <v>26829219.121467669</v>
      </c>
      <c r="R451" s="255">
        <v>20627449.39434664</v>
      </c>
      <c r="S451" s="255">
        <v>6934282.0233066101</v>
      </c>
      <c r="T451" s="255">
        <v>17258276.958682951</v>
      </c>
      <c r="U451" s="255">
        <v>1319.5660480000001</v>
      </c>
      <c r="V451" s="255">
        <v>8448925.0999999996</v>
      </c>
      <c r="W451" s="255">
        <v>3583262.0219435999</v>
      </c>
      <c r="X451" s="255">
        <v>7127581.7999999998</v>
      </c>
      <c r="Y451" s="255">
        <v>12194138.018347865</v>
      </c>
      <c r="Z451" s="255">
        <v>16843201.5</v>
      </c>
      <c r="AA451" s="255">
        <v>0</v>
      </c>
      <c r="AB451" s="255">
        <v>7302219.2000000002</v>
      </c>
      <c r="AC451" s="255">
        <v>0</v>
      </c>
      <c r="AD451" s="255">
        <v>4535385.8</v>
      </c>
      <c r="AE451" s="255">
        <v>0</v>
      </c>
      <c r="AF451" s="255">
        <v>0</v>
      </c>
      <c r="AG451" s="255">
        <v>0</v>
      </c>
      <c r="AH451" s="255">
        <v>0</v>
      </c>
      <c r="AI451" s="255">
        <v>0</v>
      </c>
      <c r="AJ451" s="255">
        <v>0</v>
      </c>
      <c r="AK451" s="255">
        <v>0</v>
      </c>
      <c r="AL451" s="255">
        <v>0</v>
      </c>
      <c r="AM451" s="255">
        <v>0</v>
      </c>
      <c r="AN451" s="255">
        <v>0</v>
      </c>
      <c r="AO451" s="255"/>
      <c r="AP451" s="255"/>
      <c r="AQ451" s="255"/>
      <c r="AR451" s="255"/>
      <c r="AS451" s="255"/>
      <c r="AT451" s="255"/>
      <c r="AU451" s="255"/>
      <c r="AV451" s="255"/>
      <c r="AW451" s="255"/>
      <c r="AX451" s="255"/>
      <c r="AY451" s="255"/>
      <c r="AZ451" s="255"/>
      <c r="BA451" s="255"/>
      <c r="BB451" s="255"/>
      <c r="BC451" s="255"/>
      <c r="BD451" s="255"/>
      <c r="BE451" s="255"/>
      <c r="BF451" s="255"/>
      <c r="BG451" s="255"/>
      <c r="BH451" s="255"/>
      <c r="BI451" s="255"/>
      <c r="BJ451" s="255"/>
      <c r="BK451" s="255"/>
    </row>
    <row r="452" spans="1:63" s="80" customFormat="1" ht="12.75">
      <c r="A452" s="168">
        <v>41425</v>
      </c>
      <c r="B452" s="213" t="str">
        <f>Servicio_internaColumna_título_intereses</f>
        <v>Intereses</v>
      </c>
      <c r="C452" s="256"/>
      <c r="D452" s="257"/>
      <c r="E452" s="257"/>
      <c r="F452" s="257"/>
      <c r="G452" s="257"/>
      <c r="H452" s="257"/>
      <c r="I452" s="257"/>
      <c r="J452" s="257"/>
      <c r="K452" s="257"/>
      <c r="L452" s="257"/>
      <c r="M452" s="257"/>
      <c r="N452" s="257"/>
      <c r="O452" s="257">
        <v>8846098.8982055653</v>
      </c>
      <c r="P452" s="257">
        <v>12059996.589173088</v>
      </c>
      <c r="Q452" s="257">
        <v>10178048.795908811</v>
      </c>
      <c r="R452" s="257">
        <v>8243804.3260306623</v>
      </c>
      <c r="S452" s="257">
        <v>6844250.1774815833</v>
      </c>
      <c r="T452" s="257">
        <v>6531476.9910479896</v>
      </c>
      <c r="U452" s="258">
        <v>4886483.7273819838</v>
      </c>
      <c r="V452" s="258">
        <v>4907160.366367911</v>
      </c>
      <c r="W452" s="258">
        <v>4001503.6912803026</v>
      </c>
      <c r="X452" s="258">
        <v>3855509.0890080221</v>
      </c>
      <c r="Y452" s="258">
        <v>3374654.1324693188</v>
      </c>
      <c r="Z452" s="258">
        <v>2580269.413597438</v>
      </c>
      <c r="AA452" s="258">
        <v>891030.86829459004</v>
      </c>
      <c r="AB452" s="258">
        <v>886112.47299176047</v>
      </c>
      <c r="AC452" s="258">
        <v>333527.63768891001</v>
      </c>
      <c r="AD452" s="259">
        <v>328609.24238605006</v>
      </c>
      <c r="AE452" s="259">
        <v>51567.69908323</v>
      </c>
      <c r="AF452" s="259">
        <v>46649.303780379996</v>
      </c>
      <c r="AG452" s="259">
        <v>41730.90847753</v>
      </c>
      <c r="AH452" s="259">
        <v>36812.513174709995</v>
      </c>
      <c r="AI452" s="259">
        <v>31894.117871850001</v>
      </c>
      <c r="AJ452" s="259">
        <v>28214.174723830001</v>
      </c>
      <c r="AK452" s="259">
        <v>24947.048960830001</v>
      </c>
      <c r="AL452" s="259">
        <v>21679.923197829998</v>
      </c>
      <c r="AM452" s="259">
        <v>18412.79743482</v>
      </c>
      <c r="AN452" s="259">
        <v>15145.671671799999</v>
      </c>
      <c r="AO452" s="259"/>
      <c r="AP452" s="259"/>
      <c r="AQ452" s="259"/>
      <c r="AR452" s="259"/>
      <c r="AS452" s="259"/>
      <c r="AT452" s="259"/>
      <c r="AU452" s="259"/>
      <c r="AV452" s="259"/>
      <c r="AW452" s="259"/>
      <c r="AX452" s="259"/>
      <c r="AY452" s="259"/>
      <c r="AZ452" s="259"/>
      <c r="BA452" s="259"/>
      <c r="BB452" s="259"/>
      <c r="BC452" s="259"/>
      <c r="BD452" s="259"/>
      <c r="BE452" s="259"/>
      <c r="BF452" s="259"/>
      <c r="BG452" s="259"/>
      <c r="BH452" s="259"/>
      <c r="BI452" s="259"/>
      <c r="BJ452" s="259"/>
      <c r="BK452" s="259"/>
    </row>
    <row r="453" spans="1:63" s="80" customFormat="1" ht="12.75">
      <c r="A453" s="169"/>
      <c r="B453" s="307" t="str">
        <f>Servicio_internaColumna_título_total</f>
        <v>Total</v>
      </c>
      <c r="C453" s="308"/>
      <c r="D453" s="309"/>
      <c r="E453" s="309"/>
      <c r="F453" s="309"/>
      <c r="G453" s="309"/>
      <c r="H453" s="309"/>
      <c r="I453" s="309"/>
      <c r="J453" s="309"/>
      <c r="K453" s="309"/>
      <c r="L453" s="309"/>
      <c r="M453" s="309"/>
      <c r="N453" s="309"/>
      <c r="O453" s="309">
        <v>17244539.773350418</v>
      </c>
      <c r="P453" s="309">
        <v>33014816.190720148</v>
      </c>
      <c r="Q453" s="309">
        <v>37007267.917376481</v>
      </c>
      <c r="R453" s="309">
        <v>28871253.720377304</v>
      </c>
      <c r="S453" s="309">
        <v>13778532.200788192</v>
      </c>
      <c r="T453" s="309">
        <v>23789753.94973094</v>
      </c>
      <c r="U453" s="309">
        <v>4887803.2934299838</v>
      </c>
      <c r="V453" s="309">
        <v>13356085.466367912</v>
      </c>
      <c r="W453" s="309">
        <v>7584765.7132239025</v>
      </c>
      <c r="X453" s="309">
        <v>10983090.889008023</v>
      </c>
      <c r="Y453" s="309">
        <v>15568792.150817184</v>
      </c>
      <c r="Z453" s="309">
        <v>19423470.913597438</v>
      </c>
      <c r="AA453" s="309">
        <v>891030.86829459004</v>
      </c>
      <c r="AB453" s="309">
        <v>8188331.672991761</v>
      </c>
      <c r="AC453" s="309">
        <v>333527.63768891001</v>
      </c>
      <c r="AD453" s="309">
        <v>4863995.0423860494</v>
      </c>
      <c r="AE453" s="309">
        <v>51567.69908323</v>
      </c>
      <c r="AF453" s="309">
        <v>46649.303780379996</v>
      </c>
      <c r="AG453" s="309">
        <v>41730.90847753</v>
      </c>
      <c r="AH453" s="309">
        <v>36812.513174709995</v>
      </c>
      <c r="AI453" s="309">
        <v>31894.117871850001</v>
      </c>
      <c r="AJ453" s="309">
        <v>28214.174723830001</v>
      </c>
      <c r="AK453" s="309">
        <v>24947.048960830001</v>
      </c>
      <c r="AL453" s="309">
        <v>21679.923197829998</v>
      </c>
      <c r="AM453" s="309">
        <v>18412.79743482</v>
      </c>
      <c r="AN453" s="309">
        <v>15145.671671799999</v>
      </c>
      <c r="AO453" s="309"/>
      <c r="AP453" s="309"/>
      <c r="AQ453" s="309"/>
      <c r="AR453" s="309"/>
      <c r="AS453" s="309"/>
      <c r="AT453" s="309"/>
      <c r="AU453" s="309"/>
      <c r="AV453" s="309"/>
      <c r="AW453" s="309"/>
      <c r="AX453" s="309"/>
      <c r="AY453" s="309"/>
      <c r="AZ453" s="309"/>
      <c r="BA453" s="309"/>
      <c r="BB453" s="309"/>
      <c r="BC453" s="309"/>
      <c r="BD453" s="309"/>
      <c r="BE453" s="309"/>
      <c r="BF453" s="309"/>
      <c r="BG453" s="309"/>
      <c r="BH453" s="309"/>
      <c r="BI453" s="309"/>
      <c r="BJ453" s="309"/>
      <c r="BK453" s="309"/>
    </row>
    <row r="454" spans="1:63" s="80" customFormat="1" ht="12.75">
      <c r="A454" s="167"/>
      <c r="B454" s="210" t="str">
        <f>Servicio_internaColumna_título_amortizaciones</f>
        <v>Amortizaciones</v>
      </c>
      <c r="C454" s="254"/>
      <c r="D454" s="255"/>
      <c r="E454" s="255"/>
      <c r="F454" s="255"/>
      <c r="G454" s="255"/>
      <c r="H454" s="255"/>
      <c r="I454" s="255"/>
      <c r="J454" s="255"/>
      <c r="K454" s="255"/>
      <c r="L454" s="255"/>
      <c r="M454" s="255"/>
      <c r="N454" s="255"/>
      <c r="O454" s="255">
        <v>6601145.43179115</v>
      </c>
      <c r="P454" s="255">
        <v>20880678.48847549</v>
      </c>
      <c r="Q454" s="255">
        <v>26856427.737162311</v>
      </c>
      <c r="R454" s="255">
        <v>20667204.761332721</v>
      </c>
      <c r="S454" s="255">
        <v>6951070.8246920314</v>
      </c>
      <c r="T454" s="255">
        <v>17820833.958682947</v>
      </c>
      <c r="U454" s="255">
        <v>1334.12455172</v>
      </c>
      <c r="V454" s="255">
        <v>8448925.0999999996</v>
      </c>
      <c r="W454" s="255">
        <v>3596082.5771027999</v>
      </c>
      <c r="X454" s="255">
        <v>7804780.9000000004</v>
      </c>
      <c r="Y454" s="255">
        <v>12223681.438021677</v>
      </c>
      <c r="Z454" s="255">
        <v>16843201.5</v>
      </c>
      <c r="AA454" s="255">
        <v>0</v>
      </c>
      <c r="AB454" s="255">
        <v>7302219.2000000002</v>
      </c>
      <c r="AC454" s="255">
        <v>0</v>
      </c>
      <c r="AD454" s="255">
        <v>4925323.8</v>
      </c>
      <c r="AE454" s="255">
        <v>0</v>
      </c>
      <c r="AF454" s="255">
        <v>0</v>
      </c>
      <c r="AG454" s="255">
        <v>0</v>
      </c>
      <c r="AH454" s="255">
        <v>0</v>
      </c>
      <c r="AI454" s="255">
        <v>583496.70427470002</v>
      </c>
      <c r="AJ454" s="255">
        <v>0</v>
      </c>
      <c r="AK454" s="255">
        <v>0</v>
      </c>
      <c r="AL454" s="255">
        <v>0</v>
      </c>
      <c r="AM454" s="255">
        <v>0</v>
      </c>
      <c r="AN454" s="255">
        <v>0</v>
      </c>
      <c r="AO454" s="255"/>
      <c r="AP454" s="255"/>
      <c r="AQ454" s="255"/>
      <c r="AR454" s="255"/>
      <c r="AS454" s="255"/>
      <c r="AT454" s="255"/>
      <c r="AU454" s="255"/>
      <c r="AV454" s="255"/>
      <c r="AW454" s="255"/>
      <c r="AX454" s="255"/>
      <c r="AY454" s="255"/>
      <c r="AZ454" s="255"/>
      <c r="BA454" s="255"/>
      <c r="BB454" s="255"/>
      <c r="BC454" s="255"/>
      <c r="BD454" s="255"/>
      <c r="BE454" s="255"/>
      <c r="BF454" s="255"/>
      <c r="BG454" s="255"/>
      <c r="BH454" s="255"/>
      <c r="BI454" s="255"/>
      <c r="BJ454" s="255"/>
      <c r="BK454" s="255"/>
    </row>
    <row r="455" spans="1:63" s="80" customFormat="1" ht="12.75">
      <c r="A455" s="168">
        <v>41455</v>
      </c>
      <c r="B455" s="213" t="str">
        <f>Servicio_internaColumna_título_intereses</f>
        <v>Intereses</v>
      </c>
      <c r="C455" s="256"/>
      <c r="D455" s="257"/>
      <c r="E455" s="257"/>
      <c r="F455" s="257"/>
      <c r="G455" s="257"/>
      <c r="H455" s="257"/>
      <c r="I455" s="257"/>
      <c r="J455" s="257"/>
      <c r="K455" s="257"/>
      <c r="L455" s="257"/>
      <c r="M455" s="257"/>
      <c r="N455" s="257"/>
      <c r="O455" s="257">
        <v>7446426.7003744645</v>
      </c>
      <c r="P455" s="257">
        <v>12171193.426462641</v>
      </c>
      <c r="Q455" s="257">
        <v>10289533.487250226</v>
      </c>
      <c r="R455" s="257">
        <v>8359513.8705921713</v>
      </c>
      <c r="S455" s="257">
        <v>6957662.8538699392</v>
      </c>
      <c r="T455" s="257">
        <v>6646983.9384252429</v>
      </c>
      <c r="U455" s="258">
        <v>4974360.1911705509</v>
      </c>
      <c r="V455" s="258">
        <v>4995549.1175601343</v>
      </c>
      <c r="W455" s="258">
        <v>4090307.183348692</v>
      </c>
      <c r="X455" s="258">
        <v>3945584.2896101149</v>
      </c>
      <c r="Y455" s="258">
        <v>3417903.645579474</v>
      </c>
      <c r="Z455" s="258">
        <v>2628061.855318747</v>
      </c>
      <c r="AA455" s="258">
        <v>939555.1948675348</v>
      </c>
      <c r="AB455" s="258">
        <v>935390.64096189348</v>
      </c>
      <c r="AC455" s="258">
        <v>382805.8056590432</v>
      </c>
      <c r="AD455" s="259">
        <v>377887.41035618307</v>
      </c>
      <c r="AE455" s="259">
        <v>77449.587053363226</v>
      </c>
      <c r="AF455" s="259">
        <v>72531.19175051323</v>
      </c>
      <c r="AG455" s="259">
        <v>67612.796447663233</v>
      </c>
      <c r="AH455" s="259">
        <v>62694.401144843228</v>
      </c>
      <c r="AI455" s="259">
        <v>57776.00584198322</v>
      </c>
      <c r="AJ455" s="259">
        <v>28214.174723830001</v>
      </c>
      <c r="AK455" s="259">
        <v>24947.048960830001</v>
      </c>
      <c r="AL455" s="259">
        <v>21679.923197829998</v>
      </c>
      <c r="AM455" s="259">
        <v>18412.79743482</v>
      </c>
      <c r="AN455" s="259">
        <v>15145.671671799999</v>
      </c>
      <c r="AO455" s="259"/>
      <c r="AP455" s="259"/>
      <c r="AQ455" s="259"/>
      <c r="AR455" s="259"/>
      <c r="AS455" s="259"/>
      <c r="AT455" s="259"/>
      <c r="AU455" s="259"/>
      <c r="AV455" s="259"/>
      <c r="AW455" s="259"/>
      <c r="AX455" s="259"/>
      <c r="AY455" s="259"/>
      <c r="AZ455" s="259"/>
      <c r="BA455" s="259"/>
      <c r="BB455" s="259"/>
      <c r="BC455" s="259"/>
      <c r="BD455" s="259"/>
      <c r="BE455" s="259"/>
      <c r="BF455" s="259"/>
      <c r="BG455" s="259"/>
      <c r="BH455" s="259"/>
      <c r="BI455" s="259"/>
      <c r="BJ455" s="259"/>
      <c r="BK455" s="259"/>
    </row>
    <row r="456" spans="1:63" s="80" customFormat="1" ht="12.75">
      <c r="A456" s="169"/>
      <c r="B456" s="307" t="str">
        <f>Servicio_internaColumna_título_total</f>
        <v>Total</v>
      </c>
      <c r="C456" s="308"/>
      <c r="D456" s="309"/>
      <c r="E456" s="309"/>
      <c r="F456" s="309"/>
      <c r="G456" s="309"/>
      <c r="H456" s="309"/>
      <c r="I456" s="309"/>
      <c r="J456" s="309"/>
      <c r="K456" s="309"/>
      <c r="L456" s="309"/>
      <c r="M456" s="309"/>
      <c r="N456" s="309"/>
      <c r="O456" s="309">
        <v>14047572.132165615</v>
      </c>
      <c r="P456" s="309">
        <v>33051871.914938129</v>
      </c>
      <c r="Q456" s="309">
        <v>37145961.224412538</v>
      </c>
      <c r="R456" s="309">
        <v>29026718.63192489</v>
      </c>
      <c r="S456" s="309">
        <v>13908733.678561971</v>
      </c>
      <c r="T456" s="309">
        <v>24467817.89710819</v>
      </c>
      <c r="U456" s="309">
        <v>4975694.3157222709</v>
      </c>
      <c r="V456" s="309">
        <v>13444474.217560135</v>
      </c>
      <c r="W456" s="309">
        <v>7686389.7604514919</v>
      </c>
      <c r="X456" s="309">
        <v>11750365.189610116</v>
      </c>
      <c r="Y456" s="309">
        <v>15641585.083601151</v>
      </c>
      <c r="Z456" s="309">
        <v>19471263.355318747</v>
      </c>
      <c r="AA456" s="309">
        <v>939555.1948675348</v>
      </c>
      <c r="AB456" s="309">
        <v>8237609.840961894</v>
      </c>
      <c r="AC456" s="309">
        <v>382805.8056590432</v>
      </c>
      <c r="AD456" s="309">
        <v>5303211.2103561834</v>
      </c>
      <c r="AE456" s="309">
        <v>77449.587053363226</v>
      </c>
      <c r="AF456" s="309">
        <v>72531.19175051323</v>
      </c>
      <c r="AG456" s="309">
        <v>67612.796447663233</v>
      </c>
      <c r="AH456" s="309">
        <v>62694.401144843228</v>
      </c>
      <c r="AI456" s="309">
        <v>641272.71011668327</v>
      </c>
      <c r="AJ456" s="309">
        <v>28214.174723830001</v>
      </c>
      <c r="AK456" s="309">
        <v>24947.048960830001</v>
      </c>
      <c r="AL456" s="309">
        <v>21679.923197829998</v>
      </c>
      <c r="AM456" s="309">
        <v>18412.79743482</v>
      </c>
      <c r="AN456" s="309">
        <v>15145.671671799999</v>
      </c>
      <c r="AO456" s="309"/>
      <c r="AP456" s="309"/>
      <c r="AQ456" s="309"/>
      <c r="AR456" s="309"/>
      <c r="AS456" s="309"/>
      <c r="AT456" s="309"/>
      <c r="AU456" s="309"/>
      <c r="AV456" s="309"/>
      <c r="AW456" s="309"/>
      <c r="AX456" s="309"/>
      <c r="AY456" s="309"/>
      <c r="AZ456" s="309"/>
      <c r="BA456" s="309"/>
      <c r="BB456" s="309"/>
      <c r="BC456" s="309"/>
      <c r="BD456" s="309"/>
      <c r="BE456" s="309"/>
      <c r="BF456" s="309"/>
      <c r="BG456" s="309"/>
      <c r="BH456" s="309"/>
      <c r="BI456" s="309"/>
      <c r="BJ456" s="309"/>
      <c r="BK456" s="309"/>
    </row>
    <row r="457" spans="1:63" s="80" customFormat="1" ht="12.75">
      <c r="A457" s="167"/>
      <c r="B457" s="210" t="str">
        <f>IF(SUM(F457:Z457)&gt;0,Servicio_internaColumna_título_amortizaciones,"")</f>
        <v>Amortizaciones</v>
      </c>
      <c r="C457" s="254"/>
      <c r="D457" s="255"/>
      <c r="E457" s="255"/>
      <c r="F457" s="255"/>
      <c r="G457" s="255"/>
      <c r="H457" s="255"/>
      <c r="I457" s="255"/>
      <c r="J457" s="255"/>
      <c r="K457" s="255"/>
      <c r="L457" s="255"/>
      <c r="M457" s="255"/>
      <c r="N457" s="255"/>
      <c r="O457" s="255">
        <v>6710537.9789507799</v>
      </c>
      <c r="P457" s="255">
        <v>21081791.04549098</v>
      </c>
      <c r="Q457" s="255">
        <v>26887656.178326432</v>
      </c>
      <c r="R457" s="255">
        <v>20964150.957275353</v>
      </c>
      <c r="S457" s="255">
        <v>7022427.8931651404</v>
      </c>
      <c r="T457" s="255">
        <v>18423336.558682948</v>
      </c>
      <c r="U457" s="255">
        <v>1361.1688243200001</v>
      </c>
      <c r="V457" s="255">
        <v>8448925.0999999996</v>
      </c>
      <c r="W457" s="255">
        <v>3736634.3012651997</v>
      </c>
      <c r="X457" s="255">
        <v>8968300.8000000007</v>
      </c>
      <c r="Y457" s="255">
        <v>12257589.629214671</v>
      </c>
      <c r="Z457" s="255">
        <v>16843201.5</v>
      </c>
      <c r="AA457" s="255">
        <v>0</v>
      </c>
      <c r="AB457" s="255">
        <v>7302219.2000000002</v>
      </c>
      <c r="AC457" s="255">
        <v>0</v>
      </c>
      <c r="AD457" s="255">
        <v>5651138.5</v>
      </c>
      <c r="AE457" s="255">
        <v>0</v>
      </c>
      <c r="AF457" s="255">
        <v>0</v>
      </c>
      <c r="AG457" s="255">
        <v>0</v>
      </c>
      <c r="AH457" s="255">
        <v>0</v>
      </c>
      <c r="AI457" s="255">
        <v>1067059.7479085999</v>
      </c>
      <c r="AJ457" s="255">
        <v>0</v>
      </c>
      <c r="AK457" s="255">
        <v>0</v>
      </c>
      <c r="AL457" s="255">
        <v>0</v>
      </c>
      <c r="AM457" s="255">
        <v>0</v>
      </c>
      <c r="AN457" s="255">
        <v>0</v>
      </c>
      <c r="AO457" s="255"/>
      <c r="AP457" s="255"/>
      <c r="AQ457" s="255"/>
      <c r="AR457" s="255"/>
      <c r="AS457" s="255"/>
      <c r="AT457" s="255"/>
      <c r="AU457" s="255"/>
      <c r="AV457" s="255"/>
      <c r="AW457" s="255"/>
      <c r="AX457" s="255"/>
      <c r="AY457" s="255"/>
      <c r="AZ457" s="255"/>
      <c r="BA457" s="255"/>
      <c r="BB457" s="255"/>
      <c r="BC457" s="255"/>
      <c r="BD457" s="255"/>
      <c r="BE457" s="255"/>
      <c r="BF457" s="255"/>
      <c r="BG457" s="255"/>
      <c r="BH457" s="255"/>
      <c r="BI457" s="255"/>
      <c r="BJ457" s="255"/>
      <c r="BK457" s="255"/>
    </row>
    <row r="458" spans="1:63" s="80" customFormat="1" ht="12.75">
      <c r="A458" s="168">
        <v>41486</v>
      </c>
      <c r="B458" s="213" t="str">
        <f>IF(SUM(F458:Z458)&gt;0,Servicio_internaColumna_título_intereses,"")</f>
        <v>Intereses</v>
      </c>
      <c r="C458" s="256"/>
      <c r="D458" s="257"/>
      <c r="E458" s="257"/>
      <c r="F458" s="257"/>
      <c r="G458" s="257"/>
      <c r="H458" s="257"/>
      <c r="I458" s="257"/>
      <c r="J458" s="257"/>
      <c r="K458" s="257"/>
      <c r="L458" s="257"/>
      <c r="M458" s="257"/>
      <c r="N458" s="257"/>
      <c r="O458" s="257">
        <v>4862767.0561489202</v>
      </c>
      <c r="P458" s="257">
        <v>12307578.249927621</v>
      </c>
      <c r="Q458" s="257">
        <v>10488621.851527063</v>
      </c>
      <c r="R458" s="257">
        <v>8559281.0443448182</v>
      </c>
      <c r="S458" s="257">
        <v>7136788.2246326655</v>
      </c>
      <c r="T458" s="257">
        <v>6824252.6262407452</v>
      </c>
      <c r="U458" s="258">
        <v>5122171.7303941287</v>
      </c>
      <c r="V458" s="258">
        <v>5144044.8611401003</v>
      </c>
      <c r="W458" s="258">
        <v>4239471.4155531283</v>
      </c>
      <c r="X458" s="258">
        <v>4089520.5498288563</v>
      </c>
      <c r="Y458" s="258">
        <v>3480961.7423547786</v>
      </c>
      <c r="Z458" s="258">
        <v>2691705.2285373094</v>
      </c>
      <c r="AA458" s="258">
        <v>1003801.4028226553</v>
      </c>
      <c r="AB458" s="258">
        <v>1000257.768695667</v>
      </c>
      <c r="AC458" s="258">
        <v>447672.93339281721</v>
      </c>
      <c r="AD458" s="259">
        <v>442754.53808995755</v>
      </c>
      <c r="AE458" s="259">
        <v>98767.832787137188</v>
      </c>
      <c r="AF458" s="259">
        <v>93849.437484287191</v>
      </c>
      <c r="AG458" s="259">
        <v>88931.042181437195</v>
      </c>
      <c r="AH458" s="259">
        <v>84012.646878617175</v>
      </c>
      <c r="AI458" s="259">
        <v>79094.251575757255</v>
      </c>
      <c r="AJ458" s="259">
        <v>28214.174723830001</v>
      </c>
      <c r="AK458" s="259">
        <v>24947.048960830001</v>
      </c>
      <c r="AL458" s="259">
        <v>21679.923197829998</v>
      </c>
      <c r="AM458" s="259">
        <v>18412.79743482</v>
      </c>
      <c r="AN458" s="259">
        <v>15145.671671799999</v>
      </c>
      <c r="AO458" s="259"/>
      <c r="AP458" s="259"/>
      <c r="AQ458" s="259"/>
      <c r="AR458" s="259"/>
      <c r="AS458" s="259"/>
      <c r="AT458" s="259"/>
      <c r="AU458" s="259"/>
      <c r="AV458" s="259"/>
      <c r="AW458" s="259"/>
      <c r="AX458" s="259"/>
      <c r="AY458" s="259"/>
      <c r="AZ458" s="259"/>
      <c r="BA458" s="259"/>
      <c r="BB458" s="259"/>
      <c r="BC458" s="259"/>
      <c r="BD458" s="259"/>
      <c r="BE458" s="259"/>
      <c r="BF458" s="259"/>
      <c r="BG458" s="259"/>
      <c r="BH458" s="259"/>
      <c r="BI458" s="259"/>
      <c r="BJ458" s="259"/>
      <c r="BK458" s="259"/>
    </row>
    <row r="459" spans="1:63" s="80" customFormat="1" ht="12.75">
      <c r="A459" s="169"/>
      <c r="B459" s="307" t="str">
        <f>IF(SUM(F459:Z459)&gt;0,Servicio_internaColumna_título_total,"")</f>
        <v>Total</v>
      </c>
      <c r="C459" s="308"/>
      <c r="D459" s="309"/>
      <c r="E459" s="309"/>
      <c r="F459" s="309"/>
      <c r="G459" s="309"/>
      <c r="H459" s="309"/>
      <c r="I459" s="309"/>
      <c r="J459" s="309"/>
      <c r="K459" s="309"/>
      <c r="L459" s="309"/>
      <c r="M459" s="309"/>
      <c r="N459" s="309"/>
      <c r="O459" s="309">
        <v>11573305.0350997</v>
      </c>
      <c r="P459" s="309">
        <v>33389369.295418601</v>
      </c>
      <c r="Q459" s="309">
        <v>37376278.029853493</v>
      </c>
      <c r="R459" s="309">
        <v>29523432.001620173</v>
      </c>
      <c r="S459" s="309">
        <v>14159216.117797807</v>
      </c>
      <c r="T459" s="309">
        <v>25247589.184923694</v>
      </c>
      <c r="U459" s="309">
        <v>5123532.8992184484</v>
      </c>
      <c r="V459" s="309">
        <v>13592969.9611401</v>
      </c>
      <c r="W459" s="309">
        <v>7976105.716818328</v>
      </c>
      <c r="X459" s="309">
        <v>13057821.349828858</v>
      </c>
      <c r="Y459" s="309">
        <v>15738551.371569449</v>
      </c>
      <c r="Z459" s="309">
        <v>19534906.72853731</v>
      </c>
      <c r="AA459" s="309">
        <v>1003801.4028226553</v>
      </c>
      <c r="AB459" s="309">
        <v>8302476.9686956676</v>
      </c>
      <c r="AC459" s="309">
        <v>447672.93339281721</v>
      </c>
      <c r="AD459" s="309">
        <v>6093893.0380899571</v>
      </c>
      <c r="AE459" s="309">
        <v>98767.832787137188</v>
      </c>
      <c r="AF459" s="309">
        <v>93849.437484287191</v>
      </c>
      <c r="AG459" s="309">
        <v>88931.042181437195</v>
      </c>
      <c r="AH459" s="309">
        <v>84012.646878617175</v>
      </c>
      <c r="AI459" s="309">
        <v>1146153.9994843572</v>
      </c>
      <c r="AJ459" s="309">
        <v>28214.174723830001</v>
      </c>
      <c r="AK459" s="309">
        <v>24947.048960830001</v>
      </c>
      <c r="AL459" s="309">
        <v>21679.923197829998</v>
      </c>
      <c r="AM459" s="309">
        <v>18412.79743482</v>
      </c>
      <c r="AN459" s="309">
        <v>15145.671671799999</v>
      </c>
      <c r="AO459" s="309"/>
      <c r="AP459" s="309"/>
      <c r="AQ459" s="309"/>
      <c r="AR459" s="309"/>
      <c r="AS459" s="309"/>
      <c r="AT459" s="309"/>
      <c r="AU459" s="309"/>
      <c r="AV459" s="309"/>
      <c r="AW459" s="309"/>
      <c r="AX459" s="309"/>
      <c r="AY459" s="309"/>
      <c r="AZ459" s="309"/>
      <c r="BA459" s="309"/>
      <c r="BB459" s="309"/>
      <c r="BC459" s="309"/>
      <c r="BD459" s="309"/>
      <c r="BE459" s="309"/>
      <c r="BF459" s="309"/>
      <c r="BG459" s="309"/>
      <c r="BH459" s="309"/>
      <c r="BI459" s="309"/>
      <c r="BJ459" s="309"/>
      <c r="BK459" s="309"/>
    </row>
    <row r="460" spans="1:63" s="80" customFormat="1" ht="12.75">
      <c r="A460" s="167"/>
      <c r="B460" s="210" t="str">
        <f>Servicio_internaColumna_título_amortizaciones</f>
        <v>Amortizaciones</v>
      </c>
      <c r="C460" s="254"/>
      <c r="D460" s="255"/>
      <c r="E460" s="255"/>
      <c r="F460" s="255"/>
      <c r="G460" s="255"/>
      <c r="H460" s="255"/>
      <c r="I460" s="255"/>
      <c r="J460" s="255"/>
      <c r="K460" s="255"/>
      <c r="L460" s="255"/>
      <c r="M460" s="255"/>
      <c r="N460" s="255"/>
      <c r="O460" s="255">
        <v>6321689.6740590343</v>
      </c>
      <c r="P460" s="255">
        <v>21783224.94183882</v>
      </c>
      <c r="Q460" s="255">
        <v>26902402.791110948</v>
      </c>
      <c r="R460" s="255">
        <v>21290111.628306795</v>
      </c>
      <c r="S460" s="255">
        <v>7143809.6176769501</v>
      </c>
      <c r="T460" s="255">
        <v>19313499.058682948</v>
      </c>
      <c r="U460" s="255">
        <v>1361.1688243200001</v>
      </c>
      <c r="V460" s="255">
        <v>8448925.0999999996</v>
      </c>
      <c r="W460" s="255">
        <v>3901524.9158009999</v>
      </c>
      <c r="X460" s="255">
        <v>10147231</v>
      </c>
      <c r="Y460" s="255">
        <v>12273601.666546877</v>
      </c>
      <c r="Z460" s="255">
        <v>16843201.5</v>
      </c>
      <c r="AA460" s="255">
        <v>0</v>
      </c>
      <c r="AB460" s="255">
        <v>7302219.2000000002</v>
      </c>
      <c r="AC460" s="255">
        <v>0</v>
      </c>
      <c r="AD460" s="255">
        <v>6049186</v>
      </c>
      <c r="AE460" s="255">
        <v>0</v>
      </c>
      <c r="AF460" s="255">
        <v>0</v>
      </c>
      <c r="AG460" s="255">
        <v>0</v>
      </c>
      <c r="AH460" s="255">
        <v>0</v>
      </c>
      <c r="AI460" s="255">
        <v>1333211.7462589999</v>
      </c>
      <c r="AJ460" s="255">
        <v>0</v>
      </c>
      <c r="AK460" s="255">
        <v>0</v>
      </c>
      <c r="AL460" s="255">
        <v>0</v>
      </c>
      <c r="AM460" s="255">
        <v>0</v>
      </c>
      <c r="AN460" s="255">
        <v>0</v>
      </c>
      <c r="AO460" s="255"/>
      <c r="AP460" s="255"/>
      <c r="AQ460" s="255"/>
      <c r="AR460" s="255"/>
      <c r="AS460" s="255"/>
      <c r="AT460" s="255"/>
      <c r="AU460" s="255"/>
      <c r="AV460" s="255"/>
      <c r="AW460" s="255"/>
      <c r="AX460" s="255"/>
      <c r="AY460" s="255"/>
      <c r="AZ460" s="255"/>
      <c r="BA460" s="255"/>
      <c r="BB460" s="255"/>
      <c r="BC460" s="255"/>
      <c r="BD460" s="255"/>
      <c r="BE460" s="255"/>
      <c r="BF460" s="255"/>
      <c r="BG460" s="255"/>
      <c r="BH460" s="255"/>
      <c r="BI460" s="255"/>
      <c r="BJ460" s="255"/>
      <c r="BK460" s="255"/>
    </row>
    <row r="461" spans="1:63" s="80" customFormat="1" ht="12.75">
      <c r="A461" s="168">
        <v>41517</v>
      </c>
      <c r="B461" s="213" t="str">
        <f>Servicio_internaColumna_título_intereses</f>
        <v>Intereses</v>
      </c>
      <c r="C461" s="256"/>
      <c r="D461" s="257"/>
      <c r="E461" s="257"/>
      <c r="F461" s="257"/>
      <c r="G461" s="257"/>
      <c r="H461" s="257"/>
      <c r="I461" s="257"/>
      <c r="J461" s="257"/>
      <c r="K461" s="257"/>
      <c r="L461" s="257"/>
      <c r="M461" s="257"/>
      <c r="N461" s="257"/>
      <c r="O461" s="257">
        <v>4287111.0446464838</v>
      </c>
      <c r="P461" s="257">
        <v>12500955.526242867</v>
      </c>
      <c r="Q461" s="257">
        <v>10682561.830378613</v>
      </c>
      <c r="R461" s="257">
        <v>8753805.4340894166</v>
      </c>
      <c r="S461" s="257">
        <v>7308371.0308471033</v>
      </c>
      <c r="T461" s="257">
        <v>6990911.6521514691</v>
      </c>
      <c r="U461" s="258">
        <v>5244794.9194121752</v>
      </c>
      <c r="V461" s="258">
        <v>5267154.5069086868</v>
      </c>
      <c r="W461" s="258">
        <v>4362975.1566565838</v>
      </c>
      <c r="X461" s="258">
        <v>4206320.2450639075</v>
      </c>
      <c r="Y461" s="258">
        <v>3515548.075526882</v>
      </c>
      <c r="Z461" s="258">
        <v>2726612.666204575</v>
      </c>
      <c r="AA461" s="258">
        <v>1039039.5781199393</v>
      </c>
      <c r="AB461" s="258">
        <v>1035836.6037518695</v>
      </c>
      <c r="AC461" s="258">
        <v>485018.65201182314</v>
      </c>
      <c r="AD461" s="259">
        <v>481920.14677865012</v>
      </c>
      <c r="AE461" s="259">
        <v>115925.07824760854</v>
      </c>
      <c r="AF461" s="259">
        <v>112937.4043196899</v>
      </c>
      <c r="AG461" s="259">
        <v>110007.6520330192</v>
      </c>
      <c r="AH461" s="259">
        <v>107137.55903686387</v>
      </c>
      <c r="AI461" s="259">
        <v>104328.9151098686</v>
      </c>
      <c r="AJ461" s="259">
        <v>28214.174723830001</v>
      </c>
      <c r="AK461" s="259">
        <v>24947.048960830001</v>
      </c>
      <c r="AL461" s="259">
        <v>21679.923197829998</v>
      </c>
      <c r="AM461" s="259">
        <v>18412.79743482</v>
      </c>
      <c r="AN461" s="259">
        <v>15145.671671799999</v>
      </c>
      <c r="AO461" s="259"/>
      <c r="AP461" s="259"/>
      <c r="AQ461" s="259"/>
      <c r="AR461" s="259"/>
      <c r="AS461" s="259"/>
      <c r="AT461" s="259"/>
      <c r="AU461" s="259"/>
      <c r="AV461" s="259"/>
      <c r="AW461" s="259"/>
      <c r="AX461" s="259"/>
      <c r="AY461" s="259"/>
      <c r="AZ461" s="259"/>
      <c r="BA461" s="259"/>
      <c r="BB461" s="259"/>
      <c r="BC461" s="259"/>
      <c r="BD461" s="259"/>
      <c r="BE461" s="259"/>
      <c r="BF461" s="259"/>
      <c r="BG461" s="259"/>
      <c r="BH461" s="259"/>
      <c r="BI461" s="259"/>
      <c r="BJ461" s="259"/>
      <c r="BK461" s="259"/>
    </row>
    <row r="462" spans="1:63" s="80" customFormat="1" ht="12.75">
      <c r="A462" s="169"/>
      <c r="B462" s="307" t="str">
        <f>Servicio_internaColumna_título_total</f>
        <v>Total</v>
      </c>
      <c r="C462" s="308"/>
      <c r="D462" s="309"/>
      <c r="E462" s="309"/>
      <c r="F462" s="309"/>
      <c r="G462" s="309"/>
      <c r="H462" s="309"/>
      <c r="I462" s="309"/>
      <c r="J462" s="309"/>
      <c r="K462" s="309"/>
      <c r="L462" s="309"/>
      <c r="M462" s="309"/>
      <c r="N462" s="309"/>
      <c r="O462" s="309">
        <v>10608800.718705518</v>
      </c>
      <c r="P462" s="309">
        <v>34284180.468081683</v>
      </c>
      <c r="Q462" s="309">
        <v>37584964.621489562</v>
      </c>
      <c r="R462" s="309">
        <v>30043917.062396213</v>
      </c>
      <c r="S462" s="309">
        <v>14452180.648524053</v>
      </c>
      <c r="T462" s="309">
        <v>26304410.710834417</v>
      </c>
      <c r="U462" s="309">
        <v>5246156.0882364949</v>
      </c>
      <c r="V462" s="309">
        <v>13716079.606908686</v>
      </c>
      <c r="W462" s="309">
        <v>8264500.0724575836</v>
      </c>
      <c r="X462" s="309">
        <v>14353551.245063908</v>
      </c>
      <c r="Y462" s="309">
        <v>15789149.742073759</v>
      </c>
      <c r="Z462" s="309">
        <v>19569814.166204575</v>
      </c>
      <c r="AA462" s="309">
        <v>1039039.5781199393</v>
      </c>
      <c r="AB462" s="309">
        <v>8338055.8037518701</v>
      </c>
      <c r="AC462" s="309">
        <v>485018.65201182314</v>
      </c>
      <c r="AD462" s="309">
        <v>6531106.1467786506</v>
      </c>
      <c r="AE462" s="309">
        <v>115925.07824760854</v>
      </c>
      <c r="AF462" s="309">
        <v>112937.4043196899</v>
      </c>
      <c r="AG462" s="309">
        <v>110007.6520330192</v>
      </c>
      <c r="AH462" s="309">
        <v>107137.55903686387</v>
      </c>
      <c r="AI462" s="309">
        <v>1437540.6613688685</v>
      </c>
      <c r="AJ462" s="309">
        <v>28214.174723830001</v>
      </c>
      <c r="AK462" s="309">
        <v>24947.048960830001</v>
      </c>
      <c r="AL462" s="309">
        <v>21679.923197829998</v>
      </c>
      <c r="AM462" s="309">
        <v>18412.79743482</v>
      </c>
      <c r="AN462" s="309">
        <v>15145.671671799999</v>
      </c>
      <c r="AO462" s="309"/>
      <c r="AP462" s="309"/>
      <c r="AQ462" s="309"/>
      <c r="AR462" s="309"/>
      <c r="AS462" s="309"/>
      <c r="AT462" s="309"/>
      <c r="AU462" s="309"/>
      <c r="AV462" s="309"/>
      <c r="AW462" s="309"/>
      <c r="AX462" s="309"/>
      <c r="AY462" s="309"/>
      <c r="AZ462" s="309"/>
      <c r="BA462" s="309"/>
      <c r="BB462" s="309"/>
      <c r="BC462" s="309"/>
      <c r="BD462" s="309"/>
      <c r="BE462" s="309"/>
      <c r="BF462" s="309"/>
      <c r="BG462" s="309"/>
      <c r="BH462" s="309"/>
      <c r="BI462" s="309"/>
      <c r="BJ462" s="309"/>
      <c r="BK462" s="309"/>
    </row>
    <row r="463" spans="1:63" s="80" customFormat="1" ht="12.75">
      <c r="A463" s="167"/>
      <c r="B463" s="210" t="str">
        <f>Servicio_internaColumna_título_amortizaciones</f>
        <v>Amortizaciones</v>
      </c>
      <c r="C463" s="254"/>
      <c r="D463" s="255"/>
      <c r="E463" s="255"/>
      <c r="F463" s="255"/>
      <c r="G463" s="255"/>
      <c r="H463" s="255"/>
      <c r="I463" s="255"/>
      <c r="J463" s="255"/>
      <c r="K463" s="255"/>
      <c r="L463" s="255"/>
      <c r="M463" s="255"/>
      <c r="N463" s="255"/>
      <c r="O463" s="255">
        <v>6319378.0184070449</v>
      </c>
      <c r="P463" s="255">
        <v>22332467.562348016</v>
      </c>
      <c r="Q463" s="255">
        <v>26909256.620734148</v>
      </c>
      <c r="R463" s="255">
        <v>21390397.553537197</v>
      </c>
      <c r="S463" s="255">
        <v>7568573.6330610495</v>
      </c>
      <c r="T463" s="255">
        <v>20403322.722751606</v>
      </c>
      <c r="U463" s="255">
        <v>1362.6620637300002</v>
      </c>
      <c r="V463" s="255">
        <v>8448925.0999999996</v>
      </c>
      <c r="W463" s="255">
        <v>4255751.802712</v>
      </c>
      <c r="X463" s="255">
        <v>10862350.9</v>
      </c>
      <c r="Y463" s="255">
        <v>12281043.63151869</v>
      </c>
      <c r="Z463" s="255">
        <v>16843201.5</v>
      </c>
      <c r="AA463" s="255">
        <v>0</v>
      </c>
      <c r="AB463" s="255">
        <v>7302219.2000000002</v>
      </c>
      <c r="AC463" s="255">
        <v>0</v>
      </c>
      <c r="AD463" s="255">
        <v>6769843.5999999996</v>
      </c>
      <c r="AE463" s="255">
        <v>0</v>
      </c>
      <c r="AF463" s="255">
        <v>0</v>
      </c>
      <c r="AG463" s="255">
        <v>0</v>
      </c>
      <c r="AH463" s="255">
        <v>0</v>
      </c>
      <c r="AI463" s="255">
        <v>1635501.8835490001</v>
      </c>
      <c r="AJ463" s="255">
        <v>0</v>
      </c>
      <c r="AK463" s="255">
        <v>0</v>
      </c>
      <c r="AL463" s="255">
        <v>0</v>
      </c>
      <c r="AM463" s="255">
        <v>0</v>
      </c>
      <c r="AN463" s="255">
        <v>0</v>
      </c>
      <c r="AO463" s="255"/>
      <c r="AP463" s="255"/>
      <c r="AQ463" s="255"/>
      <c r="AR463" s="255"/>
      <c r="AS463" s="255"/>
      <c r="AT463" s="255"/>
      <c r="AU463" s="255"/>
      <c r="AV463" s="255"/>
      <c r="AW463" s="255"/>
      <c r="AX463" s="255"/>
      <c r="AY463" s="255"/>
      <c r="AZ463" s="255"/>
      <c r="BA463" s="255"/>
      <c r="BB463" s="255"/>
      <c r="BC463" s="255"/>
      <c r="BD463" s="255"/>
      <c r="BE463" s="255"/>
      <c r="BF463" s="255"/>
      <c r="BG463" s="255"/>
      <c r="BH463" s="255"/>
      <c r="BI463" s="255"/>
      <c r="BJ463" s="255"/>
      <c r="BK463" s="255"/>
    </row>
    <row r="464" spans="1:63" s="80" customFormat="1" ht="12.75">
      <c r="A464" s="168">
        <v>41547</v>
      </c>
      <c r="B464" s="213" t="str">
        <f>Servicio_internaColumna_título_intereses</f>
        <v>Intereses</v>
      </c>
      <c r="C464" s="256"/>
      <c r="D464" s="257"/>
      <c r="E464" s="257"/>
      <c r="F464" s="257"/>
      <c r="G464" s="257"/>
      <c r="H464" s="257"/>
      <c r="I464" s="257"/>
      <c r="J464" s="257"/>
      <c r="K464" s="257"/>
      <c r="L464" s="257"/>
      <c r="M464" s="257"/>
      <c r="N464" s="257"/>
      <c r="O464" s="257">
        <v>3540681.446433384</v>
      </c>
      <c r="P464" s="257">
        <v>12696304.792784184</v>
      </c>
      <c r="Q464" s="257">
        <v>10879121.900228163</v>
      </c>
      <c r="R464" s="257">
        <v>8951616.6615994517</v>
      </c>
      <c r="S464" s="257">
        <v>7500241.4102474367</v>
      </c>
      <c r="T464" s="257">
        <v>7163351.0119424164</v>
      </c>
      <c r="U464" s="258">
        <v>5363651.2767768484</v>
      </c>
      <c r="V464" s="258">
        <v>5386777.619524302</v>
      </c>
      <c r="W464" s="258">
        <v>4483341.8266008273</v>
      </c>
      <c r="X464" s="258">
        <v>4311444.0548882885</v>
      </c>
      <c r="Y464" s="258">
        <v>3570968.2711759936</v>
      </c>
      <c r="Z464" s="258">
        <v>2782398.2840431589</v>
      </c>
      <c r="AA464" s="258">
        <v>1095201.5808136819</v>
      </c>
      <c r="AB464" s="258">
        <v>1092386.2828464243</v>
      </c>
      <c r="AC464" s="258">
        <v>541967.63779921492</v>
      </c>
      <c r="AD464" s="259">
        <v>539280.41845966363</v>
      </c>
      <c r="AE464" s="259">
        <v>130469.51839905247</v>
      </c>
      <c r="AF464" s="259">
        <v>127918.17767567713</v>
      </c>
      <c r="AG464" s="259">
        <v>125437.84858968605</v>
      </c>
      <c r="AH464" s="259">
        <v>123030.66149023073</v>
      </c>
      <c r="AI464" s="259">
        <v>120698.81063683631</v>
      </c>
      <c r="AJ464" s="259">
        <v>28214.174723830001</v>
      </c>
      <c r="AK464" s="259">
        <v>24947.048960830001</v>
      </c>
      <c r="AL464" s="259">
        <v>21679.923197829998</v>
      </c>
      <c r="AM464" s="259">
        <v>18412.79743482</v>
      </c>
      <c r="AN464" s="259">
        <v>15145.671671799999</v>
      </c>
      <c r="AO464" s="259"/>
      <c r="AP464" s="259"/>
      <c r="AQ464" s="259"/>
      <c r="AR464" s="259"/>
      <c r="AS464" s="259"/>
      <c r="AT464" s="259"/>
      <c r="AU464" s="259"/>
      <c r="AV464" s="259"/>
      <c r="AW464" s="259"/>
      <c r="AX464" s="259"/>
      <c r="AY464" s="259"/>
      <c r="AZ464" s="259"/>
      <c r="BA464" s="259"/>
      <c r="BB464" s="259"/>
      <c r="BC464" s="259"/>
      <c r="BD464" s="259"/>
      <c r="BE464" s="259"/>
      <c r="BF464" s="259"/>
      <c r="BG464" s="259"/>
      <c r="BH464" s="259"/>
      <c r="BI464" s="259"/>
      <c r="BJ464" s="259"/>
      <c r="BK464" s="259"/>
    </row>
    <row r="465" spans="1:63" s="80" customFormat="1" ht="12.75">
      <c r="A465" s="169"/>
      <c r="B465" s="307" t="str">
        <f>Servicio_internaColumna_título_total</f>
        <v>Total</v>
      </c>
      <c r="C465" s="308"/>
      <c r="D465" s="309"/>
      <c r="E465" s="309"/>
      <c r="F465" s="309"/>
      <c r="G465" s="309"/>
      <c r="H465" s="309"/>
      <c r="I465" s="309"/>
      <c r="J465" s="309"/>
      <c r="K465" s="309"/>
      <c r="L465" s="309"/>
      <c r="M465" s="309"/>
      <c r="N465" s="309"/>
      <c r="O465" s="309">
        <v>9860059.4648404289</v>
      </c>
      <c r="P465" s="309">
        <v>35028772.3551322</v>
      </c>
      <c r="Q465" s="309">
        <v>37788378.520962313</v>
      </c>
      <c r="R465" s="309">
        <v>30342014.215136647</v>
      </c>
      <c r="S465" s="309">
        <v>15068815.043308485</v>
      </c>
      <c r="T465" s="309">
        <v>27566673.734694023</v>
      </c>
      <c r="U465" s="309">
        <v>5365013.9388405783</v>
      </c>
      <c r="V465" s="309">
        <v>13835702.719524302</v>
      </c>
      <c r="W465" s="309">
        <v>8739093.6293128282</v>
      </c>
      <c r="X465" s="309">
        <v>15173794.954888288</v>
      </c>
      <c r="Y465" s="309">
        <v>15852011.902694684</v>
      </c>
      <c r="Z465" s="309">
        <v>19625599.784043159</v>
      </c>
      <c r="AA465" s="309">
        <v>1095201.5808136819</v>
      </c>
      <c r="AB465" s="309">
        <v>8394605.482846424</v>
      </c>
      <c r="AC465" s="309">
        <v>541967.63779921492</v>
      </c>
      <c r="AD465" s="309">
        <v>7309124.0184596628</v>
      </c>
      <c r="AE465" s="309">
        <v>130469.51839905247</v>
      </c>
      <c r="AF465" s="309">
        <v>127918.17767567713</v>
      </c>
      <c r="AG465" s="309">
        <v>125437.84858968605</v>
      </c>
      <c r="AH465" s="309">
        <v>123030.66149023073</v>
      </c>
      <c r="AI465" s="309">
        <v>1756200.6941858365</v>
      </c>
      <c r="AJ465" s="309">
        <v>28214.174723830001</v>
      </c>
      <c r="AK465" s="309">
        <v>24947.048960830001</v>
      </c>
      <c r="AL465" s="309">
        <v>21679.923197829998</v>
      </c>
      <c r="AM465" s="309">
        <v>18412.79743482</v>
      </c>
      <c r="AN465" s="309">
        <v>15145.671671799999</v>
      </c>
      <c r="AO465" s="309"/>
      <c r="AP465" s="309"/>
      <c r="AQ465" s="309"/>
      <c r="AR465" s="309"/>
      <c r="AS465" s="309"/>
      <c r="AT465" s="309"/>
      <c r="AU465" s="309"/>
      <c r="AV465" s="309"/>
      <c r="AW465" s="309"/>
      <c r="AX465" s="309"/>
      <c r="AY465" s="309"/>
      <c r="AZ465" s="309"/>
      <c r="BA465" s="309"/>
      <c r="BB465" s="309"/>
      <c r="BC465" s="309"/>
      <c r="BD465" s="309"/>
      <c r="BE465" s="309"/>
      <c r="BF465" s="309"/>
      <c r="BG465" s="309"/>
      <c r="BH465" s="309"/>
      <c r="BI465" s="309"/>
      <c r="BJ465" s="309"/>
      <c r="BK465" s="309"/>
    </row>
    <row r="466" spans="1:63" s="80" customFormat="1" ht="12.75">
      <c r="A466" s="167"/>
      <c r="B466" s="210" t="str">
        <f>Servicio_internaColumna_título_amortizaciones</f>
        <v>Amortizaciones</v>
      </c>
      <c r="C466" s="254"/>
      <c r="D466" s="255"/>
      <c r="E466" s="255"/>
      <c r="F466" s="255"/>
      <c r="G466" s="255"/>
      <c r="H466" s="255"/>
      <c r="I466" s="255"/>
      <c r="J466" s="255"/>
      <c r="K466" s="255"/>
      <c r="L466" s="255"/>
      <c r="M466" s="255"/>
      <c r="N466" s="255"/>
      <c r="O466" s="255">
        <v>5527813.5886120899</v>
      </c>
      <c r="P466" s="255">
        <v>23034238.608083598</v>
      </c>
      <c r="Q466" s="255">
        <v>27025429.45581691</v>
      </c>
      <c r="R466" s="255">
        <v>21392175.424793918</v>
      </c>
      <c r="S466" s="255">
        <v>7891803.6677540801</v>
      </c>
      <c r="T466" s="255">
        <v>21251567.622751605</v>
      </c>
      <c r="U466" s="255">
        <v>1302.2564264800001</v>
      </c>
      <c r="V466" s="255">
        <v>8448925.0999999996</v>
      </c>
      <c r="W466" s="255">
        <v>4550962.1266224002</v>
      </c>
      <c r="X466" s="255">
        <v>11547106.9</v>
      </c>
      <c r="Y466" s="255">
        <v>12304332.256823339</v>
      </c>
      <c r="Z466" s="255">
        <v>16843201.5</v>
      </c>
      <c r="AA466" s="255">
        <v>0</v>
      </c>
      <c r="AB466" s="255">
        <v>7302219.2000000002</v>
      </c>
      <c r="AC466" s="255">
        <v>0</v>
      </c>
      <c r="AD466" s="255">
        <v>7393167.0999999996</v>
      </c>
      <c r="AE466" s="255">
        <v>0</v>
      </c>
      <c r="AF466" s="255">
        <v>0</v>
      </c>
      <c r="AG466" s="255">
        <v>0</v>
      </c>
      <c r="AH466" s="255">
        <v>0</v>
      </c>
      <c r="AI466" s="255">
        <v>2063940.0408864</v>
      </c>
      <c r="AJ466" s="255">
        <v>0</v>
      </c>
      <c r="AK466" s="255">
        <v>0</v>
      </c>
      <c r="AL466" s="255">
        <v>0</v>
      </c>
      <c r="AM466" s="255">
        <v>0</v>
      </c>
      <c r="AN466" s="255">
        <v>0</v>
      </c>
      <c r="AO466" s="255"/>
      <c r="AP466" s="255"/>
      <c r="AQ466" s="255"/>
      <c r="AR466" s="255"/>
      <c r="AS466" s="255"/>
      <c r="AT466" s="255"/>
      <c r="AU466" s="255"/>
      <c r="AV466" s="255"/>
      <c r="AW466" s="255"/>
      <c r="AX466" s="255"/>
      <c r="AY466" s="255"/>
      <c r="AZ466" s="255"/>
      <c r="BA466" s="255"/>
      <c r="BB466" s="255"/>
      <c r="BC466" s="255"/>
      <c r="BD466" s="255"/>
      <c r="BE466" s="255"/>
      <c r="BF466" s="255"/>
      <c r="BG466" s="255"/>
      <c r="BH466" s="255"/>
      <c r="BI466" s="255"/>
      <c r="BJ466" s="255"/>
      <c r="BK466" s="255"/>
    </row>
    <row r="467" spans="1:63" s="80" customFormat="1" ht="12.75">
      <c r="A467" s="168">
        <v>41578</v>
      </c>
      <c r="B467" s="213" t="str">
        <f>Servicio_internaColumna_título_intereses</f>
        <v>Intereses</v>
      </c>
      <c r="C467" s="256"/>
      <c r="D467" s="257"/>
      <c r="E467" s="257"/>
      <c r="F467" s="257"/>
      <c r="G467" s="257"/>
      <c r="H467" s="257"/>
      <c r="I467" s="257"/>
      <c r="J467" s="257"/>
      <c r="K467" s="257"/>
      <c r="L467" s="257"/>
      <c r="M467" s="257"/>
      <c r="N467" s="257"/>
      <c r="O467" s="257">
        <v>1087029.10577473</v>
      </c>
      <c r="P467" s="257">
        <v>12866046.440590966</v>
      </c>
      <c r="Q467" s="257">
        <v>11049974.268816648</v>
      </c>
      <c r="R467" s="257">
        <v>9118640.0258430894</v>
      </c>
      <c r="S467" s="257">
        <v>7668443.1381683843</v>
      </c>
      <c r="T467" s="257">
        <v>7317544.5025894344</v>
      </c>
      <c r="U467" s="258">
        <v>5476225.98989328</v>
      </c>
      <c r="V467" s="258">
        <v>5500169.6041342262</v>
      </c>
      <c r="W467" s="258">
        <v>4597426.1241921168</v>
      </c>
      <c r="X467" s="258">
        <v>4413429.1180225806</v>
      </c>
      <c r="Y467" s="258">
        <v>3625519.9963043127</v>
      </c>
      <c r="Z467" s="258">
        <v>2837464.5786253284</v>
      </c>
      <c r="AA467" s="258">
        <v>1150797.8819333157</v>
      </c>
      <c r="AB467" s="258">
        <v>1148528.4906996475</v>
      </c>
      <c r="AC467" s="258">
        <v>598672.12958803412</v>
      </c>
      <c r="AD467" s="259">
        <v>596564.06270214776</v>
      </c>
      <c r="AE467" s="259">
        <v>150950.27966881089</v>
      </c>
      <c r="AF467" s="259">
        <v>149013.36178352832</v>
      </c>
      <c r="AG467" s="259">
        <v>147165.88822077279</v>
      </c>
      <c r="AH467" s="259">
        <v>145410.54231025005</v>
      </c>
      <c r="AI467" s="259">
        <v>143750.0878814561</v>
      </c>
      <c r="AJ467" s="259">
        <v>28214.174723830001</v>
      </c>
      <c r="AK467" s="259">
        <v>24947.048960830001</v>
      </c>
      <c r="AL467" s="259">
        <v>21679.923197829998</v>
      </c>
      <c r="AM467" s="259">
        <v>18412.79743482</v>
      </c>
      <c r="AN467" s="259">
        <v>15145.671671799999</v>
      </c>
      <c r="AO467" s="259"/>
      <c r="AP467" s="259"/>
      <c r="AQ467" s="259"/>
      <c r="AR467" s="259"/>
      <c r="AS467" s="259"/>
      <c r="AT467" s="259"/>
      <c r="AU467" s="259"/>
      <c r="AV467" s="259"/>
      <c r="AW467" s="259"/>
      <c r="AX467" s="259"/>
      <c r="AY467" s="259"/>
      <c r="AZ467" s="259"/>
      <c r="BA467" s="259"/>
      <c r="BB467" s="259"/>
      <c r="BC467" s="259"/>
      <c r="BD467" s="259"/>
      <c r="BE467" s="259"/>
      <c r="BF467" s="259"/>
      <c r="BG467" s="259"/>
      <c r="BH467" s="259"/>
      <c r="BI467" s="259"/>
      <c r="BJ467" s="259"/>
      <c r="BK467" s="259"/>
    </row>
    <row r="468" spans="1:63" s="80" customFormat="1" ht="12.75">
      <c r="A468" s="169"/>
      <c r="B468" s="307" t="str">
        <f>Servicio_internaColumna_título_total</f>
        <v>Total</v>
      </c>
      <c r="C468" s="308"/>
      <c r="D468" s="309"/>
      <c r="E468" s="309"/>
      <c r="F468" s="309"/>
      <c r="G468" s="309"/>
      <c r="H468" s="309"/>
      <c r="I468" s="309"/>
      <c r="J468" s="309"/>
      <c r="K468" s="309"/>
      <c r="L468" s="309"/>
      <c r="M468" s="309"/>
      <c r="N468" s="309"/>
      <c r="O468" s="309">
        <v>6614842.6943868194</v>
      </c>
      <c r="P468" s="309">
        <v>35900285.048674569</v>
      </c>
      <c r="Q468" s="309">
        <v>38075403.72463356</v>
      </c>
      <c r="R468" s="309">
        <v>30510815.450637005</v>
      </c>
      <c r="S468" s="309">
        <v>15560246.805922464</v>
      </c>
      <c r="T468" s="309">
        <v>28569112.125341039</v>
      </c>
      <c r="U468" s="309">
        <v>5477528.2463197596</v>
      </c>
      <c r="V468" s="309">
        <v>13949094.704134226</v>
      </c>
      <c r="W468" s="309">
        <v>9148388.2508145161</v>
      </c>
      <c r="X468" s="309">
        <v>15960536.018022582</v>
      </c>
      <c r="Y468" s="309">
        <v>15929852.253127651</v>
      </c>
      <c r="Z468" s="309">
        <v>19680666.078625329</v>
      </c>
      <c r="AA468" s="309">
        <v>1150797.8819333157</v>
      </c>
      <c r="AB468" s="309">
        <v>8450747.6906996481</v>
      </c>
      <c r="AC468" s="309">
        <v>598672.12958803412</v>
      </c>
      <c r="AD468" s="309">
        <v>7989731.1627021469</v>
      </c>
      <c r="AE468" s="309">
        <v>150950.27966881089</v>
      </c>
      <c r="AF468" s="309">
        <v>149013.36178352832</v>
      </c>
      <c r="AG468" s="309">
        <v>147165.88822077279</v>
      </c>
      <c r="AH468" s="309">
        <v>145410.54231025005</v>
      </c>
      <c r="AI468" s="309">
        <v>2207690.1287678559</v>
      </c>
      <c r="AJ468" s="309">
        <v>28214.174723830001</v>
      </c>
      <c r="AK468" s="309">
        <v>24947.048960830001</v>
      </c>
      <c r="AL468" s="309">
        <v>21679.923197829998</v>
      </c>
      <c r="AM468" s="309">
        <v>18412.79743482</v>
      </c>
      <c r="AN468" s="309">
        <v>15145.671671799999</v>
      </c>
      <c r="AO468" s="309"/>
      <c r="AP468" s="309"/>
      <c r="AQ468" s="309"/>
      <c r="AR468" s="309"/>
      <c r="AS468" s="309"/>
      <c r="AT468" s="309"/>
      <c r="AU468" s="309"/>
      <c r="AV468" s="309"/>
      <c r="AW468" s="309"/>
      <c r="AX468" s="309"/>
      <c r="AY468" s="309"/>
      <c r="AZ468" s="309"/>
      <c r="BA468" s="309"/>
      <c r="BB468" s="309"/>
      <c r="BC468" s="309"/>
      <c r="BD468" s="309"/>
      <c r="BE468" s="309"/>
      <c r="BF468" s="309"/>
      <c r="BG468" s="309"/>
      <c r="BH468" s="309"/>
      <c r="BI468" s="309"/>
      <c r="BJ468" s="309"/>
      <c r="BK468" s="309"/>
    </row>
    <row r="469" spans="1:63" s="80" customFormat="1" ht="12.75">
      <c r="A469" s="167"/>
      <c r="B469" s="210" t="str">
        <f>IF(SUM(F469:Z469)&gt;0,Servicio_internaColumna_título_amortizaciones,"")</f>
        <v>Amortizaciones</v>
      </c>
      <c r="C469" s="254"/>
      <c r="D469" s="255"/>
      <c r="E469" s="255"/>
      <c r="F469" s="255"/>
      <c r="G469" s="255"/>
      <c r="H469" s="255"/>
      <c r="I469" s="255"/>
      <c r="J469" s="255"/>
      <c r="K469" s="255"/>
      <c r="L469" s="255"/>
      <c r="M469" s="255"/>
      <c r="N469" s="255"/>
      <c r="O469" s="255">
        <v>1044091.0496700901</v>
      </c>
      <c r="P469" s="255">
        <v>23742920.791573837</v>
      </c>
      <c r="Q469" s="255">
        <v>27419853.84211215</v>
      </c>
      <c r="R469" s="255">
        <v>21514010.459653195</v>
      </c>
      <c r="S469" s="255">
        <v>7892587.3675205484</v>
      </c>
      <c r="T469" s="255">
        <v>22185737.517736237</v>
      </c>
      <c r="U469" s="255">
        <v>1326.4844978000001</v>
      </c>
      <c r="V469" s="255">
        <v>8448925.0999999996</v>
      </c>
      <c r="W469" s="255">
        <v>4551414.3287414992</v>
      </c>
      <c r="X469" s="255">
        <v>11762919.4</v>
      </c>
      <c r="Y469" s="255">
        <v>12305554.865354421</v>
      </c>
      <c r="Z469" s="255">
        <v>16843201.5</v>
      </c>
      <c r="AA469" s="255">
        <v>0</v>
      </c>
      <c r="AB469" s="255">
        <v>7302219.2000000002</v>
      </c>
      <c r="AC469" s="255">
        <v>0</v>
      </c>
      <c r="AD469" s="255">
        <v>7437730.7999999998</v>
      </c>
      <c r="AE469" s="255">
        <v>0</v>
      </c>
      <c r="AF469" s="255">
        <v>0</v>
      </c>
      <c r="AG469" s="255">
        <v>0</v>
      </c>
      <c r="AH469" s="255">
        <v>0</v>
      </c>
      <c r="AI469" s="255">
        <v>2084979.6723689998</v>
      </c>
      <c r="AJ469" s="255">
        <v>0</v>
      </c>
      <c r="AK469" s="255">
        <v>0</v>
      </c>
      <c r="AL469" s="255">
        <v>0</v>
      </c>
      <c r="AM469" s="255">
        <v>0</v>
      </c>
      <c r="AN469" s="255">
        <v>0</v>
      </c>
      <c r="AO469" s="255"/>
      <c r="AP469" s="255"/>
      <c r="AQ469" s="255"/>
      <c r="AR469" s="255"/>
      <c r="AS469" s="255"/>
      <c r="AT469" s="255"/>
      <c r="AU469" s="255"/>
      <c r="AV469" s="255"/>
      <c r="AW469" s="255"/>
      <c r="AX469" s="255"/>
      <c r="AY469" s="255"/>
      <c r="AZ469" s="255"/>
      <c r="BA469" s="255"/>
      <c r="BB469" s="255"/>
      <c r="BC469" s="255"/>
      <c r="BD469" s="255"/>
      <c r="BE469" s="255"/>
      <c r="BF469" s="255"/>
      <c r="BG469" s="255"/>
      <c r="BH469" s="255"/>
      <c r="BI469" s="255"/>
      <c r="BJ469" s="255"/>
      <c r="BK469" s="255"/>
    </row>
    <row r="470" spans="1:63" s="80" customFormat="1" ht="12.75">
      <c r="A470" s="168">
        <v>41608</v>
      </c>
      <c r="B470" s="213" t="str">
        <f>IF(SUM(F470:Z470)&gt;0,Servicio_internaColumna_título_intereses,"")</f>
        <v>Intereses</v>
      </c>
      <c r="C470" s="256"/>
      <c r="D470" s="257"/>
      <c r="E470" s="257"/>
      <c r="F470" s="257"/>
      <c r="G470" s="257"/>
      <c r="H470" s="257"/>
      <c r="I470" s="257"/>
      <c r="J470" s="257"/>
      <c r="K470" s="257"/>
      <c r="L470" s="257"/>
      <c r="M470" s="257"/>
      <c r="N470" s="257"/>
      <c r="O470" s="257">
        <v>344.31608205999964</v>
      </c>
      <c r="P470" s="257">
        <v>12960152.525185762</v>
      </c>
      <c r="Q470" s="257">
        <v>11144317.969499677</v>
      </c>
      <c r="R470" s="257">
        <v>9192422.2813209407</v>
      </c>
      <c r="S470" s="257">
        <v>7733496.2228972102</v>
      </c>
      <c r="T470" s="257">
        <v>7382618.182100594</v>
      </c>
      <c r="U470" s="258">
        <v>5494776.2082331134</v>
      </c>
      <c r="V470" s="258">
        <v>5518734.2242822386</v>
      </c>
      <c r="W470" s="258">
        <v>4615562.5407525348</v>
      </c>
      <c r="X470" s="258">
        <v>4432025.445778043</v>
      </c>
      <c r="Y470" s="258">
        <v>3629033.9179824386</v>
      </c>
      <c r="Z470" s="258">
        <v>2841003.7032937999</v>
      </c>
      <c r="AA470" s="258">
        <v>1154362.9656818407</v>
      </c>
      <c r="AB470" s="258">
        <v>1152120.3123006276</v>
      </c>
      <c r="AC470" s="258">
        <v>602291.49117704434</v>
      </c>
      <c r="AD470" s="259">
        <v>600211.7904788279</v>
      </c>
      <c r="AE470" s="259">
        <v>151953.4026187917</v>
      </c>
      <c r="AF470" s="259">
        <v>150046.57842200855</v>
      </c>
      <c r="AG470" s="259">
        <v>148230.10135840741</v>
      </c>
      <c r="AH470" s="259">
        <v>146506.68184201373</v>
      </c>
      <c r="AI470" s="259">
        <v>144879.1115991729</v>
      </c>
      <c r="AJ470" s="259">
        <v>28214.174723830001</v>
      </c>
      <c r="AK470" s="259">
        <v>24947.048960830001</v>
      </c>
      <c r="AL470" s="259">
        <v>21679.923197829998</v>
      </c>
      <c r="AM470" s="259">
        <v>18412.79743482</v>
      </c>
      <c r="AN470" s="259">
        <v>15145.671671799999</v>
      </c>
      <c r="AO470" s="259"/>
      <c r="AP470" s="259"/>
      <c r="AQ470" s="259"/>
      <c r="AR470" s="259"/>
      <c r="AS470" s="259"/>
      <c r="AT470" s="259"/>
      <c r="AU470" s="259"/>
      <c r="AV470" s="259"/>
      <c r="AW470" s="259"/>
      <c r="AX470" s="259"/>
      <c r="AY470" s="259"/>
      <c r="AZ470" s="259"/>
      <c r="BA470" s="259"/>
      <c r="BB470" s="259"/>
      <c r="BC470" s="259"/>
      <c r="BD470" s="259"/>
      <c r="BE470" s="259"/>
      <c r="BF470" s="259"/>
      <c r="BG470" s="259"/>
      <c r="BH470" s="259"/>
      <c r="BI470" s="259"/>
      <c r="BJ470" s="259"/>
      <c r="BK470" s="259"/>
    </row>
    <row r="471" spans="1:63" s="80" customFormat="1" ht="12.75">
      <c r="A471" s="169"/>
      <c r="B471" s="307" t="str">
        <f>IF(SUM(F471:Z471)&gt;0,Servicio_internaColumna_título_total,"")</f>
        <v>Total</v>
      </c>
      <c r="C471" s="308"/>
      <c r="D471" s="309"/>
      <c r="E471" s="309"/>
      <c r="F471" s="309"/>
      <c r="G471" s="309"/>
      <c r="H471" s="309"/>
      <c r="I471" s="309"/>
      <c r="J471" s="309"/>
      <c r="K471" s="309"/>
      <c r="L471" s="309"/>
      <c r="M471" s="309"/>
      <c r="N471" s="309"/>
      <c r="O471" s="309">
        <f>O469+O470</f>
        <v>1044435.3657521501</v>
      </c>
      <c r="P471" s="309">
        <v>36703073.316759601</v>
      </c>
      <c r="Q471" s="309">
        <v>38564171.811611831</v>
      </c>
      <c r="R471" s="309">
        <v>30706432.740974136</v>
      </c>
      <c r="S471" s="309">
        <v>15626083.590417758</v>
      </c>
      <c r="T471" s="309">
        <v>29568355.699836832</v>
      </c>
      <c r="U471" s="309">
        <v>5496102.6927309129</v>
      </c>
      <c r="V471" s="309">
        <v>13967659.324282238</v>
      </c>
      <c r="W471" s="309">
        <v>9166976.869494034</v>
      </c>
      <c r="X471" s="309">
        <v>16194944.845778044</v>
      </c>
      <c r="Y471" s="309">
        <v>15934588.783336859</v>
      </c>
      <c r="Z471" s="309">
        <v>19684205.2032938</v>
      </c>
      <c r="AA471" s="309">
        <v>1154362.9656818407</v>
      </c>
      <c r="AB471" s="309">
        <v>8454339.5123006273</v>
      </c>
      <c r="AC471" s="309">
        <v>602291.49117704434</v>
      </c>
      <c r="AD471" s="309">
        <v>8037942.5904788282</v>
      </c>
      <c r="AE471" s="309">
        <v>151953.4026187917</v>
      </c>
      <c r="AF471" s="309">
        <v>150046.57842200855</v>
      </c>
      <c r="AG471" s="309">
        <v>148230.10135840741</v>
      </c>
      <c r="AH471" s="309">
        <v>146506.68184201373</v>
      </c>
      <c r="AI471" s="309">
        <v>2229858.7839681725</v>
      </c>
      <c r="AJ471" s="309">
        <v>28214.174723830001</v>
      </c>
      <c r="AK471" s="309">
        <v>24947.048960830001</v>
      </c>
      <c r="AL471" s="309">
        <v>21679.923197829998</v>
      </c>
      <c r="AM471" s="309">
        <v>18412.79743482</v>
      </c>
      <c r="AN471" s="309">
        <v>15145.671671799999</v>
      </c>
      <c r="AO471" s="309"/>
      <c r="AP471" s="309"/>
      <c r="AQ471" s="309"/>
      <c r="AR471" s="309"/>
      <c r="AS471" s="309"/>
      <c r="AT471" s="309"/>
      <c r="AU471" s="309"/>
      <c r="AV471" s="309"/>
      <c r="AW471" s="309"/>
      <c r="AX471" s="309"/>
      <c r="AY471" s="309"/>
      <c r="AZ471" s="309"/>
      <c r="BA471" s="309"/>
      <c r="BB471" s="309"/>
      <c r="BC471" s="309"/>
      <c r="BD471" s="309"/>
      <c r="BE471" s="309"/>
      <c r="BF471" s="309"/>
      <c r="BG471" s="309"/>
      <c r="BH471" s="309"/>
      <c r="BI471" s="309"/>
      <c r="BJ471" s="309"/>
      <c r="BK471" s="309"/>
    </row>
    <row r="472" spans="1:63" s="80" customFormat="1" ht="12.75">
      <c r="A472" s="167"/>
      <c r="B472" s="210" t="str">
        <f>Servicio_internaColumna_título_amortizaciones</f>
        <v>Amortizaciones</v>
      </c>
      <c r="C472" s="254"/>
      <c r="D472" s="255"/>
      <c r="E472" s="255"/>
      <c r="F472" s="255"/>
      <c r="G472" s="255"/>
      <c r="H472" s="255"/>
      <c r="I472" s="255"/>
      <c r="J472" s="255"/>
      <c r="K472" s="255"/>
      <c r="L472" s="255"/>
      <c r="M472" s="255"/>
      <c r="N472" s="255"/>
      <c r="O472" s="255"/>
      <c r="P472" s="255">
        <v>31065198.898915417</v>
      </c>
      <c r="Q472" s="255">
        <v>27720464.482573774</v>
      </c>
      <c r="R472" s="255">
        <v>20741313.647822406</v>
      </c>
      <c r="S472" s="255">
        <v>7782173.2824465996</v>
      </c>
      <c r="T472" s="255">
        <v>22202324.040999997</v>
      </c>
      <c r="U472" s="255">
        <v>204455.38473624003</v>
      </c>
      <c r="V472" s="255">
        <v>8450061.0175854005</v>
      </c>
      <c r="W472" s="255">
        <v>4540329.9154452998</v>
      </c>
      <c r="X472" s="255">
        <v>11921629.9</v>
      </c>
      <c r="Y472" s="255">
        <v>12275586.190539362</v>
      </c>
      <c r="Z472" s="255">
        <v>16843201.5</v>
      </c>
      <c r="AA472" s="255">
        <v>0</v>
      </c>
      <c r="AB472" s="255">
        <v>7302219.2000000002</v>
      </c>
      <c r="AC472" s="255">
        <v>0</v>
      </c>
      <c r="AD472" s="255">
        <v>7469755.2999999998</v>
      </c>
      <c r="AE472" s="255">
        <v>0</v>
      </c>
      <c r="AF472" s="255">
        <v>0</v>
      </c>
      <c r="AG472" s="255">
        <v>0</v>
      </c>
      <c r="AH472" s="255">
        <v>0</v>
      </c>
      <c r="AI472" s="255">
        <v>2121469.5792157999</v>
      </c>
      <c r="AJ472" s="255">
        <v>0</v>
      </c>
      <c r="AK472" s="255">
        <v>0</v>
      </c>
      <c r="AL472" s="255">
        <v>0</v>
      </c>
      <c r="AM472" s="255">
        <v>0</v>
      </c>
      <c r="AN472" s="255">
        <v>0</v>
      </c>
      <c r="AO472" s="255"/>
      <c r="AP472" s="255"/>
      <c r="AQ472" s="255"/>
      <c r="AR472" s="255"/>
      <c r="AS472" s="255"/>
      <c r="AT472" s="255"/>
      <c r="AU472" s="255"/>
      <c r="AV472" s="255"/>
      <c r="AW472" s="255"/>
      <c r="AX472" s="255"/>
      <c r="AY472" s="255"/>
      <c r="AZ472" s="255"/>
      <c r="BA472" s="255"/>
      <c r="BB472" s="255"/>
      <c r="BC472" s="255"/>
      <c r="BD472" s="255"/>
      <c r="BE472" s="255"/>
      <c r="BF472" s="255"/>
      <c r="BG472" s="255"/>
      <c r="BH472" s="255"/>
      <c r="BI472" s="255"/>
      <c r="BJ472" s="255"/>
      <c r="BK472" s="255"/>
    </row>
    <row r="473" spans="1:63" s="80" customFormat="1" ht="12.75">
      <c r="A473" s="168">
        <v>41639</v>
      </c>
      <c r="B473" s="213" t="str">
        <f>Servicio_internaColumna_título_intereses</f>
        <v>Intereses</v>
      </c>
      <c r="C473" s="256"/>
      <c r="D473" s="257"/>
      <c r="E473" s="257"/>
      <c r="F473" s="257"/>
      <c r="G473" s="257"/>
      <c r="H473" s="257"/>
      <c r="I473" s="257"/>
      <c r="J473" s="257"/>
      <c r="K473" s="257"/>
      <c r="L473" s="257"/>
      <c r="M473" s="257"/>
      <c r="N473" s="257"/>
      <c r="O473" s="257"/>
      <c r="P473" s="257">
        <v>12990699.035709277</v>
      </c>
      <c r="Q473" s="257">
        <v>11055491.719368851</v>
      </c>
      <c r="R473" s="257">
        <v>9228721.7087716423</v>
      </c>
      <c r="S473" s="257">
        <v>7763981.1648476236</v>
      </c>
      <c r="T473" s="257">
        <v>7413109.7783691688</v>
      </c>
      <c r="U473" s="258">
        <v>5514248.1615447421</v>
      </c>
      <c r="V473" s="258">
        <v>5538233.7504230849</v>
      </c>
      <c r="W473" s="258">
        <v>4633722.7955879085</v>
      </c>
      <c r="X473" s="258">
        <v>4452953.8680159487</v>
      </c>
      <c r="Y473" s="258">
        <v>3637553.9826415433</v>
      </c>
      <c r="Z473" s="258">
        <v>2849574.1739335805</v>
      </c>
      <c r="AA473" s="258">
        <v>1162985.3544817406</v>
      </c>
      <c r="AB473" s="258">
        <v>1160796.1768054191</v>
      </c>
      <c r="AC473" s="258">
        <v>611022.4356579145</v>
      </c>
      <c r="AD473" s="259">
        <v>608999.46733504941</v>
      </c>
      <c r="AE473" s="259">
        <v>158878.04382157337</v>
      </c>
      <c r="AF473" s="259">
        <v>157031.40700181905</v>
      </c>
      <c r="AG473" s="259">
        <v>155276.92293652671</v>
      </c>
      <c r="AH473" s="259">
        <v>153617.35620836113</v>
      </c>
      <c r="AI473" s="259">
        <v>152055.55433746625</v>
      </c>
      <c r="AJ473" s="259">
        <v>31894.117871850001</v>
      </c>
      <c r="AK473" s="259">
        <v>28214.174723830001</v>
      </c>
      <c r="AL473" s="259">
        <v>24947.048960830001</v>
      </c>
      <c r="AM473" s="259">
        <v>21679.923197829998</v>
      </c>
      <c r="AN473" s="259">
        <v>18412.79743482</v>
      </c>
      <c r="AO473" s="259"/>
      <c r="AP473" s="259"/>
      <c r="AQ473" s="259"/>
      <c r="AR473" s="259"/>
      <c r="AS473" s="259"/>
      <c r="AT473" s="259"/>
      <c r="AU473" s="259"/>
      <c r="AV473" s="259"/>
      <c r="AW473" s="259"/>
      <c r="AX473" s="259"/>
      <c r="AY473" s="259"/>
      <c r="AZ473" s="259"/>
      <c r="BA473" s="259"/>
      <c r="BB473" s="259"/>
      <c r="BC473" s="259"/>
      <c r="BD473" s="259"/>
      <c r="BE473" s="259"/>
      <c r="BF473" s="259"/>
      <c r="BG473" s="259"/>
      <c r="BH473" s="259"/>
      <c r="BI473" s="259"/>
      <c r="BJ473" s="259"/>
      <c r="BK473" s="259"/>
    </row>
    <row r="474" spans="1:63" s="80" customFormat="1" ht="12.75">
      <c r="A474" s="169"/>
      <c r="B474" s="307" t="str">
        <f>Servicio_internaColumna_título_total</f>
        <v>Total</v>
      </c>
      <c r="C474" s="308"/>
      <c r="D474" s="309"/>
      <c r="E474" s="309"/>
      <c r="F474" s="309"/>
      <c r="G474" s="309"/>
      <c r="H474" s="309"/>
      <c r="I474" s="309"/>
      <c r="J474" s="309"/>
      <c r="K474" s="309"/>
      <c r="L474" s="309"/>
      <c r="M474" s="309"/>
      <c r="N474" s="309"/>
      <c r="O474" s="309"/>
      <c r="P474" s="309">
        <f>P472+P473</f>
        <v>44055897.934624694</v>
      </c>
      <c r="Q474" s="309">
        <v>38775956.201942623</v>
      </c>
      <c r="R474" s="309">
        <v>29970035.356594048</v>
      </c>
      <c r="S474" s="309">
        <v>15546154.447294224</v>
      </c>
      <c r="T474" s="309">
        <v>29615433.819369167</v>
      </c>
      <c r="U474" s="309">
        <v>5718703.546280982</v>
      </c>
      <c r="V474" s="309">
        <v>13988294.768008485</v>
      </c>
      <c r="W474" s="309">
        <v>9174052.7110332083</v>
      </c>
      <c r="X474" s="309">
        <v>16374583.768015949</v>
      </c>
      <c r="Y474" s="309">
        <v>15913140.173180904</v>
      </c>
      <c r="Z474" s="309">
        <v>19692775.673933581</v>
      </c>
      <c r="AA474" s="309">
        <v>1162985.3544817406</v>
      </c>
      <c r="AB474" s="309">
        <v>8463015.3768054191</v>
      </c>
      <c r="AC474" s="309">
        <v>611022.4356579145</v>
      </c>
      <c r="AD474" s="309">
        <v>8078754.7673350489</v>
      </c>
      <c r="AE474" s="309">
        <v>158878.04382157337</v>
      </c>
      <c r="AF474" s="309">
        <v>157031.40700181905</v>
      </c>
      <c r="AG474" s="309">
        <v>155276.92293652671</v>
      </c>
      <c r="AH474" s="309">
        <v>153617.35620836113</v>
      </c>
      <c r="AI474" s="309">
        <v>2273525.1335532661</v>
      </c>
      <c r="AJ474" s="309">
        <v>31894.117871850001</v>
      </c>
      <c r="AK474" s="309">
        <v>28214.174723830001</v>
      </c>
      <c r="AL474" s="309">
        <v>24947.048960830001</v>
      </c>
      <c r="AM474" s="309">
        <v>21679.923197829998</v>
      </c>
      <c r="AN474" s="309">
        <v>18412.79743482</v>
      </c>
      <c r="AO474" s="309"/>
      <c r="AP474" s="309"/>
      <c r="AQ474" s="309"/>
      <c r="AR474" s="309"/>
      <c r="AS474" s="309"/>
      <c r="AT474" s="309"/>
      <c r="AU474" s="309"/>
      <c r="AV474" s="309"/>
      <c r="AW474" s="309"/>
      <c r="AX474" s="309"/>
      <c r="AY474" s="309"/>
      <c r="AZ474" s="309"/>
      <c r="BA474" s="309"/>
      <c r="BB474" s="309"/>
      <c r="BC474" s="309"/>
      <c r="BD474" s="309"/>
      <c r="BE474" s="309"/>
      <c r="BF474" s="309"/>
      <c r="BG474" s="309"/>
      <c r="BH474" s="309"/>
      <c r="BI474" s="309"/>
      <c r="BJ474" s="309"/>
      <c r="BK474" s="309"/>
    </row>
    <row r="475" spans="1:63" s="80" customFormat="1" ht="12.75">
      <c r="A475" s="167"/>
      <c r="B475" s="210" t="str">
        <f>Servicio_internaColumna_título_amortizaciones</f>
        <v>Amortizaciones</v>
      </c>
      <c r="C475" s="254"/>
      <c r="D475" s="255"/>
      <c r="E475" s="255"/>
      <c r="F475" s="255"/>
      <c r="G475" s="255"/>
      <c r="H475" s="255"/>
      <c r="I475" s="255"/>
      <c r="J475" s="255"/>
      <c r="K475" s="255"/>
      <c r="L475" s="255"/>
      <c r="M475" s="255"/>
      <c r="N475" s="255"/>
      <c r="O475" s="255"/>
      <c r="P475" s="255">
        <v>23430494.590169922</v>
      </c>
      <c r="Q475" s="255">
        <v>27723602.489631575</v>
      </c>
      <c r="R475" s="255">
        <v>20741337.707870107</v>
      </c>
      <c r="S475" s="255">
        <v>7784307.2362486003</v>
      </c>
      <c r="T475" s="255">
        <v>23224340.840999998</v>
      </c>
      <c r="U475" s="255">
        <v>2263476.00777674</v>
      </c>
      <c r="V475" s="255">
        <v>8450061.0175854005</v>
      </c>
      <c r="W475" s="255">
        <v>4912252.0729863001</v>
      </c>
      <c r="X475" s="255">
        <v>11921629.9</v>
      </c>
      <c r="Y475" s="255">
        <v>12278952.793740897</v>
      </c>
      <c r="Z475" s="255">
        <v>17591363.800000001</v>
      </c>
      <c r="AA475" s="255">
        <v>0</v>
      </c>
      <c r="AB475" s="255">
        <v>7302219.2000000002</v>
      </c>
      <c r="AC475" s="255">
        <v>0</v>
      </c>
      <c r="AD475" s="255">
        <v>7725146.5</v>
      </c>
      <c r="AE475" s="255">
        <v>0</v>
      </c>
      <c r="AF475" s="255">
        <v>0</v>
      </c>
      <c r="AG475" s="255">
        <v>0</v>
      </c>
      <c r="AH475" s="255">
        <v>0</v>
      </c>
      <c r="AI475" s="255">
        <v>2215638.9098235001</v>
      </c>
      <c r="AJ475" s="255">
        <v>0</v>
      </c>
      <c r="AK475" s="255">
        <v>0</v>
      </c>
      <c r="AL475" s="255">
        <v>0</v>
      </c>
      <c r="AM475" s="255">
        <v>0</v>
      </c>
      <c r="AN475" s="255">
        <v>0</v>
      </c>
      <c r="AO475" s="255">
        <v>0</v>
      </c>
      <c r="AP475" s="255"/>
      <c r="AQ475" s="255"/>
      <c r="AR475" s="255"/>
      <c r="AS475" s="255"/>
      <c r="AT475" s="255"/>
      <c r="AU475" s="255"/>
      <c r="AV475" s="255"/>
      <c r="AW475" s="255"/>
      <c r="AX475" s="255"/>
      <c r="AY475" s="255"/>
      <c r="AZ475" s="255"/>
      <c r="BA475" s="255"/>
      <c r="BB475" s="255"/>
      <c r="BC475" s="255"/>
      <c r="BD475" s="255"/>
      <c r="BE475" s="255"/>
      <c r="BF475" s="255"/>
      <c r="BG475" s="255"/>
      <c r="BH475" s="255"/>
      <c r="BI475" s="255"/>
      <c r="BJ475" s="255"/>
      <c r="BK475" s="255"/>
    </row>
    <row r="476" spans="1:63" s="80" customFormat="1" ht="12.75">
      <c r="A476" s="168">
        <v>41670</v>
      </c>
      <c r="B476" s="213" t="str">
        <f>Servicio_internaColumna_título_intereses</f>
        <v>Intereses</v>
      </c>
      <c r="C476" s="256"/>
      <c r="D476" s="257"/>
      <c r="E476" s="257"/>
      <c r="F476" s="257"/>
      <c r="G476" s="257"/>
      <c r="H476" s="257"/>
      <c r="I476" s="257"/>
      <c r="J476" s="257"/>
      <c r="K476" s="257"/>
      <c r="L476" s="257"/>
      <c r="M476" s="257"/>
      <c r="N476" s="257"/>
      <c r="O476" s="257"/>
      <c r="P476" s="257">
        <v>13197666.475548275</v>
      </c>
      <c r="Q476" s="257">
        <v>11335885.88498155</v>
      </c>
      <c r="R476" s="257">
        <v>9449857.7361844052</v>
      </c>
      <c r="S476" s="257">
        <v>8047214.5897693932</v>
      </c>
      <c r="T476" s="257">
        <v>7697651.2841685889</v>
      </c>
      <c r="U476" s="258">
        <v>5749036.1506481469</v>
      </c>
      <c r="V476" s="258">
        <v>5647826.9160871152</v>
      </c>
      <c r="W476" s="258">
        <v>4743899.5651618605</v>
      </c>
      <c r="X476" s="258">
        <v>4546428.9843285345</v>
      </c>
      <c r="Y476" s="258">
        <v>3731475.5361595778</v>
      </c>
      <c r="Z476" s="258">
        <v>2943609.1829971559</v>
      </c>
      <c r="AA476" s="258">
        <v>1182320.9927572228</v>
      </c>
      <c r="AB476" s="258">
        <v>1180252.1800691665</v>
      </c>
      <c r="AC476" s="258">
        <v>630602.41485957371</v>
      </c>
      <c r="AD476" s="259">
        <v>628707.14175275841</v>
      </c>
      <c r="AE476" s="259">
        <v>163393.77231181355</v>
      </c>
      <c r="AF476" s="259">
        <v>161682.60734676642</v>
      </c>
      <c r="AG476" s="259">
        <v>160067.65929182252</v>
      </c>
      <c r="AH476" s="259">
        <v>158551.81465431582</v>
      </c>
      <c r="AI476" s="259">
        <v>157138.04653679917</v>
      </c>
      <c r="AJ476" s="259">
        <v>31894.117871850001</v>
      </c>
      <c r="AK476" s="259">
        <v>28214.174723830001</v>
      </c>
      <c r="AL476" s="259">
        <v>24947.048960830001</v>
      </c>
      <c r="AM476" s="259">
        <v>21679.923197829998</v>
      </c>
      <c r="AN476" s="259">
        <v>18412.79743482</v>
      </c>
      <c r="AO476" s="259">
        <v>15145.671671799999</v>
      </c>
      <c r="AP476" s="259"/>
      <c r="AQ476" s="259"/>
      <c r="AR476" s="259"/>
      <c r="AS476" s="259"/>
      <c r="AT476" s="259"/>
      <c r="AU476" s="259"/>
      <c r="AV476" s="259"/>
      <c r="AW476" s="259"/>
      <c r="AX476" s="259"/>
      <c r="AY476" s="259"/>
      <c r="AZ476" s="259"/>
      <c r="BA476" s="259"/>
      <c r="BB476" s="259"/>
      <c r="BC476" s="259"/>
      <c r="BD476" s="259"/>
      <c r="BE476" s="259"/>
      <c r="BF476" s="259"/>
      <c r="BG476" s="259"/>
      <c r="BH476" s="259"/>
      <c r="BI476" s="259"/>
      <c r="BJ476" s="259"/>
      <c r="BK476" s="259"/>
    </row>
    <row r="477" spans="1:63" s="80" customFormat="1" ht="12.75">
      <c r="A477" s="169"/>
      <c r="B477" s="307" t="str">
        <f>Servicio_internaColumna_título_total</f>
        <v>Total</v>
      </c>
      <c r="C477" s="308"/>
      <c r="D477" s="309"/>
      <c r="E477" s="309"/>
      <c r="F477" s="309"/>
      <c r="G477" s="309"/>
      <c r="H477" s="309"/>
      <c r="I477" s="309"/>
      <c r="J477" s="309"/>
      <c r="K477" s="309"/>
      <c r="L477" s="309"/>
      <c r="M477" s="309"/>
      <c r="N477" s="309"/>
      <c r="O477" s="309"/>
      <c r="P477" s="309">
        <f>P475+P476</f>
        <v>36628161.065718196</v>
      </c>
      <c r="Q477" s="309">
        <v>39059488.374613121</v>
      </c>
      <c r="R477" s="309">
        <v>30191195.444054514</v>
      </c>
      <c r="S477" s="309">
        <v>15831521.826017994</v>
      </c>
      <c r="T477" s="309">
        <v>30921992.125168588</v>
      </c>
      <c r="U477" s="309">
        <v>8012512.1584248869</v>
      </c>
      <c r="V477" s="309">
        <v>14097887.933672516</v>
      </c>
      <c r="W477" s="309">
        <v>9656151.6381481607</v>
      </c>
      <c r="X477" s="309">
        <v>16468058.884328535</v>
      </c>
      <c r="Y477" s="309">
        <v>16010428.329900473</v>
      </c>
      <c r="Z477" s="309">
        <v>20534972.982997157</v>
      </c>
      <c r="AA477" s="309">
        <v>1182320.9927572228</v>
      </c>
      <c r="AB477" s="309">
        <v>8482471.3800691664</v>
      </c>
      <c r="AC477" s="309">
        <v>630602.41485957371</v>
      </c>
      <c r="AD477" s="309">
        <v>8353853.6417527581</v>
      </c>
      <c r="AE477" s="309">
        <v>163393.77231181355</v>
      </c>
      <c r="AF477" s="309">
        <v>161682.60734676642</v>
      </c>
      <c r="AG477" s="309">
        <v>160067.65929182252</v>
      </c>
      <c r="AH477" s="309">
        <v>158551.81465431582</v>
      </c>
      <c r="AI477" s="309">
        <v>2372776.9563602991</v>
      </c>
      <c r="AJ477" s="309">
        <v>31894.117871850001</v>
      </c>
      <c r="AK477" s="309">
        <v>28214.174723830001</v>
      </c>
      <c r="AL477" s="309">
        <v>24947.048960830001</v>
      </c>
      <c r="AM477" s="309">
        <v>21679.923197829998</v>
      </c>
      <c r="AN477" s="309">
        <v>18412.79743482</v>
      </c>
      <c r="AO477" s="309">
        <v>15145.671671799999</v>
      </c>
      <c r="AP477" s="309"/>
      <c r="AQ477" s="309"/>
      <c r="AR477" s="309"/>
      <c r="AS477" s="309"/>
      <c r="AT477" s="309"/>
      <c r="AU477" s="309"/>
      <c r="AV477" s="309"/>
      <c r="AW477" s="309"/>
      <c r="AX477" s="309"/>
      <c r="AY477" s="309"/>
      <c r="AZ477" s="309"/>
      <c r="BA477" s="309"/>
      <c r="BB477" s="309"/>
      <c r="BC477" s="309"/>
      <c r="BD477" s="309"/>
      <c r="BE477" s="309"/>
      <c r="BF477" s="309"/>
      <c r="BG477" s="309"/>
      <c r="BH477" s="309"/>
      <c r="BI477" s="309"/>
      <c r="BJ477" s="309"/>
      <c r="BK477" s="309"/>
    </row>
    <row r="478" spans="1:63" s="80" customFormat="1" ht="12.75">
      <c r="A478" s="167"/>
      <c r="B478" s="210" t="str">
        <f>Servicio_internaColumna_título_amortizaciones</f>
        <v>Amortizaciones</v>
      </c>
      <c r="C478" s="254"/>
      <c r="D478" s="255"/>
      <c r="E478" s="255"/>
      <c r="F478" s="255"/>
      <c r="G478" s="255"/>
      <c r="H478" s="255"/>
      <c r="I478" s="255"/>
      <c r="J478" s="255"/>
      <c r="K478" s="255"/>
      <c r="L478" s="255"/>
      <c r="M478" s="255"/>
      <c r="N478" s="255"/>
      <c r="O478" s="255"/>
      <c r="P478" s="255">
        <v>24356735.636174161</v>
      </c>
      <c r="Q478" s="255">
        <v>27756759.170206401</v>
      </c>
      <c r="R478" s="255">
        <v>20741647.660379339</v>
      </c>
      <c r="S478" s="255">
        <v>7811797.8025083998</v>
      </c>
      <c r="T478" s="255">
        <v>23224340.840999998</v>
      </c>
      <c r="U478" s="255">
        <v>3037602.9830932398</v>
      </c>
      <c r="V478" s="255">
        <v>8450059.9914186802</v>
      </c>
      <c r="W478" s="255">
        <v>5166227.6606387999</v>
      </c>
      <c r="X478" s="255">
        <v>11921629.9</v>
      </c>
      <c r="Y478" s="255">
        <v>12322322.911826624</v>
      </c>
      <c r="Z478" s="255">
        <v>17922058.899999999</v>
      </c>
      <c r="AA478" s="255">
        <v>0</v>
      </c>
      <c r="AB478" s="255">
        <v>7302219.2000000002</v>
      </c>
      <c r="AC478" s="255">
        <v>0</v>
      </c>
      <c r="AD478" s="255">
        <v>8069671.7999999998</v>
      </c>
      <c r="AE478" s="255">
        <v>0</v>
      </c>
      <c r="AF478" s="255">
        <v>0</v>
      </c>
      <c r="AG478" s="255">
        <v>0</v>
      </c>
      <c r="AH478" s="255">
        <v>0</v>
      </c>
      <c r="AI478" s="255">
        <v>2752010.5956070004</v>
      </c>
      <c r="AJ478" s="255">
        <v>0</v>
      </c>
      <c r="AK478" s="255">
        <v>0</v>
      </c>
      <c r="AL478" s="255">
        <v>0</v>
      </c>
      <c r="AM478" s="255">
        <v>0</v>
      </c>
      <c r="AN478" s="255">
        <v>0</v>
      </c>
      <c r="AO478" s="255">
        <v>0</v>
      </c>
      <c r="AP478" s="255"/>
      <c r="AQ478" s="255"/>
      <c r="AR478" s="255"/>
      <c r="AS478" s="255"/>
      <c r="AT478" s="255"/>
      <c r="AU478" s="255"/>
      <c r="AV478" s="255"/>
      <c r="AW478" s="255"/>
      <c r="AX478" s="255"/>
      <c r="AY478" s="255"/>
      <c r="AZ478" s="255"/>
      <c r="BA478" s="255"/>
      <c r="BB478" s="255"/>
      <c r="BC478" s="255"/>
      <c r="BD478" s="255"/>
      <c r="BE478" s="255"/>
      <c r="BF478" s="255"/>
      <c r="BG478" s="255"/>
      <c r="BH478" s="255"/>
      <c r="BI478" s="255"/>
      <c r="BJ478" s="255"/>
      <c r="BK478" s="255"/>
    </row>
    <row r="479" spans="1:63" s="80" customFormat="1" ht="12.75">
      <c r="A479" s="168">
        <v>41698</v>
      </c>
      <c r="B479" s="213" t="str">
        <f>Servicio_internaColumna_título_intereses</f>
        <v>Intereses</v>
      </c>
      <c r="C479" s="256"/>
      <c r="D479" s="257"/>
      <c r="E479" s="257"/>
      <c r="F479" s="257"/>
      <c r="G479" s="257"/>
      <c r="H479" s="257"/>
      <c r="I479" s="257"/>
      <c r="J479" s="257"/>
      <c r="K479" s="257"/>
      <c r="L479" s="257"/>
      <c r="M479" s="257"/>
      <c r="N479" s="257"/>
      <c r="O479" s="257"/>
      <c r="P479" s="257">
        <v>13321803.370749012</v>
      </c>
      <c r="Q479" s="257">
        <v>11461049.146835454</v>
      </c>
      <c r="R479" s="257">
        <v>9576081.1549482588</v>
      </c>
      <c r="S479" s="257">
        <v>8174512.5871961582</v>
      </c>
      <c r="T479" s="257">
        <v>7826056.097618158</v>
      </c>
      <c r="U479" s="258">
        <v>5878580.9846012034</v>
      </c>
      <c r="V479" s="258">
        <v>5731218.1901476737</v>
      </c>
      <c r="W479" s="258">
        <v>4828180.3466042355</v>
      </c>
      <c r="X479" s="258">
        <v>4620816.4883588962</v>
      </c>
      <c r="Y479" s="258">
        <v>3806499.817425183</v>
      </c>
      <c r="Z479" s="258">
        <v>3019271.9618607312</v>
      </c>
      <c r="AA479" s="258">
        <v>1225571.9141467032</v>
      </c>
      <c r="AB479" s="258">
        <v>1224180.4835603305</v>
      </c>
      <c r="AC479" s="258">
        <v>675228.42191547353</v>
      </c>
      <c r="AD479" s="259">
        <v>674051.78348033538</v>
      </c>
      <c r="AE479" s="259">
        <v>188807.08975121763</v>
      </c>
      <c r="AF479" s="259">
        <v>187858.32430935267</v>
      </c>
      <c r="AG479" s="259">
        <v>187028.64776328634</v>
      </c>
      <c r="AH479" s="259">
        <v>186321.63277992353</v>
      </c>
      <c r="AI479" s="259">
        <v>185740.95920617518</v>
      </c>
      <c r="AJ479" s="259">
        <v>31894.117871850001</v>
      </c>
      <c r="AK479" s="259">
        <v>28214.174723830001</v>
      </c>
      <c r="AL479" s="259">
        <v>24947.048960830001</v>
      </c>
      <c r="AM479" s="259">
        <v>21679.923197829998</v>
      </c>
      <c r="AN479" s="259">
        <v>18412.79743482</v>
      </c>
      <c r="AO479" s="259">
        <v>15145.671671799999</v>
      </c>
      <c r="AP479" s="259"/>
      <c r="AQ479" s="259"/>
      <c r="AR479" s="259"/>
      <c r="AS479" s="259"/>
      <c r="AT479" s="259"/>
      <c r="AU479" s="259"/>
      <c r="AV479" s="259"/>
      <c r="AW479" s="259"/>
      <c r="AX479" s="259"/>
      <c r="AY479" s="259"/>
      <c r="AZ479" s="259"/>
      <c r="BA479" s="259"/>
      <c r="BB479" s="259"/>
      <c r="BC479" s="259"/>
      <c r="BD479" s="259"/>
      <c r="BE479" s="259"/>
      <c r="BF479" s="259"/>
      <c r="BG479" s="259"/>
      <c r="BH479" s="259"/>
      <c r="BI479" s="259"/>
      <c r="BJ479" s="259"/>
      <c r="BK479" s="259"/>
    </row>
    <row r="480" spans="1:63" s="80" customFormat="1" ht="12.75">
      <c r="A480" s="169"/>
      <c r="B480" s="307" t="str">
        <f>Servicio_internaColumna_título_total</f>
        <v>Total</v>
      </c>
      <c r="C480" s="308"/>
      <c r="D480" s="309"/>
      <c r="E480" s="309"/>
      <c r="F480" s="309"/>
      <c r="G480" s="309"/>
      <c r="H480" s="309"/>
      <c r="I480" s="309"/>
      <c r="J480" s="309"/>
      <c r="K480" s="309"/>
      <c r="L480" s="309"/>
      <c r="M480" s="309"/>
      <c r="N480" s="309"/>
      <c r="O480" s="309"/>
      <c r="P480" s="309">
        <f>P478+P479</f>
        <v>37678539.006923169</v>
      </c>
      <c r="Q480" s="309">
        <v>39217808.317041859</v>
      </c>
      <c r="R480" s="309">
        <v>30317728.8153276</v>
      </c>
      <c r="S480" s="309">
        <v>15986310.389704559</v>
      </c>
      <c r="T480" s="309">
        <v>31050396.938618157</v>
      </c>
      <c r="U480" s="309">
        <v>8916183.9676944427</v>
      </c>
      <c r="V480" s="309">
        <v>14181278.181566354</v>
      </c>
      <c r="W480" s="309">
        <v>9994408.0072430354</v>
      </c>
      <c r="X480" s="309">
        <v>16542446.388358897</v>
      </c>
      <c r="Y480" s="309">
        <v>16128822.729251806</v>
      </c>
      <c r="Z480" s="309">
        <v>20941330.86186073</v>
      </c>
      <c r="AA480" s="309">
        <v>1225571.9141467032</v>
      </c>
      <c r="AB480" s="309">
        <v>8526399.6835603304</v>
      </c>
      <c r="AC480" s="309">
        <v>675228.42191547353</v>
      </c>
      <c r="AD480" s="309">
        <v>8743723.5834803358</v>
      </c>
      <c r="AE480" s="309">
        <v>188807.08975121763</v>
      </c>
      <c r="AF480" s="309">
        <v>187858.32430935267</v>
      </c>
      <c r="AG480" s="309">
        <v>187028.64776328634</v>
      </c>
      <c r="AH480" s="309">
        <v>186321.63277992353</v>
      </c>
      <c r="AI480" s="309">
        <v>2937751.5548131755</v>
      </c>
      <c r="AJ480" s="309">
        <v>31894.117871850001</v>
      </c>
      <c r="AK480" s="309">
        <v>28214.174723830001</v>
      </c>
      <c r="AL480" s="309">
        <v>24947.048960830001</v>
      </c>
      <c r="AM480" s="309">
        <v>21679.923197829998</v>
      </c>
      <c r="AN480" s="309">
        <v>18412.79743482</v>
      </c>
      <c r="AO480" s="309">
        <v>15145.671671799999</v>
      </c>
      <c r="AP480" s="309"/>
      <c r="AQ480" s="309"/>
      <c r="AR480" s="309"/>
      <c r="AS480" s="309"/>
      <c r="AT480" s="309"/>
      <c r="AU480" s="309"/>
      <c r="AV480" s="309"/>
      <c r="AW480" s="309"/>
      <c r="AX480" s="309"/>
      <c r="AY480" s="309"/>
      <c r="AZ480" s="309"/>
      <c r="BA480" s="309"/>
      <c r="BB480" s="309"/>
      <c r="BC480" s="309"/>
      <c r="BD480" s="309"/>
      <c r="BE480" s="309"/>
      <c r="BF480" s="309"/>
      <c r="BG480" s="309"/>
      <c r="BH480" s="309"/>
      <c r="BI480" s="309"/>
      <c r="BJ480" s="309"/>
      <c r="BK480" s="309"/>
    </row>
    <row r="481" spans="1:63" s="80" customFormat="1" ht="12.75">
      <c r="A481" s="167"/>
      <c r="B481" s="210" t="str">
        <f>IF(SUM(F481:Z481)&gt;0,Servicio_internaColumna_título_amortizaciones,"")</f>
        <v>Amortizaciones</v>
      </c>
      <c r="C481" s="254"/>
      <c r="D481" s="255"/>
      <c r="E481" s="255"/>
      <c r="F481" s="255"/>
      <c r="G481" s="255"/>
      <c r="H481" s="255"/>
      <c r="I481" s="255"/>
      <c r="J481" s="255"/>
      <c r="K481" s="255"/>
      <c r="L481" s="255"/>
      <c r="M481" s="255"/>
      <c r="N481" s="255"/>
      <c r="O481" s="255"/>
      <c r="P481" s="255">
        <v>23735708.45361042</v>
      </c>
      <c r="Q481" s="255">
        <v>27392296.051665887</v>
      </c>
      <c r="R481" s="255">
        <v>20742165.246879157</v>
      </c>
      <c r="S481" s="255">
        <v>8203755.9001016002</v>
      </c>
      <c r="T481" s="255">
        <v>23224342.359999999</v>
      </c>
      <c r="U481" s="255">
        <v>5312223.7349962406</v>
      </c>
      <c r="V481" s="255">
        <v>8450065.4664186798</v>
      </c>
      <c r="W481" s="255">
        <v>6039548.259491601</v>
      </c>
      <c r="X481" s="255">
        <v>11921629.9</v>
      </c>
      <c r="Y481" s="255">
        <v>12394746.224909447</v>
      </c>
      <c r="Z481" s="255">
        <v>19067115.5</v>
      </c>
      <c r="AA481" s="255">
        <v>0</v>
      </c>
      <c r="AB481" s="255">
        <v>7302219.2000000002</v>
      </c>
      <c r="AC481" s="255">
        <v>0</v>
      </c>
      <c r="AD481" s="255">
        <v>9285281.1999999993</v>
      </c>
      <c r="AE481" s="255">
        <v>0</v>
      </c>
      <c r="AF481" s="255">
        <v>0</v>
      </c>
      <c r="AG481" s="255">
        <v>0</v>
      </c>
      <c r="AH481" s="255">
        <v>0</v>
      </c>
      <c r="AI481" s="255">
        <v>3581464.0825256002</v>
      </c>
      <c r="AJ481" s="255">
        <v>0</v>
      </c>
      <c r="AK481" s="255">
        <v>0</v>
      </c>
      <c r="AL481" s="255">
        <v>0</v>
      </c>
      <c r="AM481" s="255">
        <v>0</v>
      </c>
      <c r="AN481" s="255">
        <v>0</v>
      </c>
      <c r="AO481" s="255">
        <v>0</v>
      </c>
      <c r="AP481" s="255"/>
      <c r="AQ481" s="255"/>
      <c r="AR481" s="255"/>
      <c r="AS481" s="255"/>
      <c r="AT481" s="255"/>
      <c r="AU481" s="255"/>
      <c r="AV481" s="255"/>
      <c r="AW481" s="255"/>
      <c r="AX481" s="255"/>
      <c r="AY481" s="255"/>
      <c r="AZ481" s="255"/>
      <c r="BA481" s="255"/>
      <c r="BB481" s="255"/>
      <c r="BC481" s="255"/>
      <c r="BD481" s="255"/>
      <c r="BE481" s="255"/>
      <c r="BF481" s="255"/>
      <c r="BG481" s="255"/>
      <c r="BH481" s="255"/>
      <c r="BI481" s="255"/>
      <c r="BJ481" s="255"/>
      <c r="BK481" s="255"/>
    </row>
    <row r="482" spans="1:63" s="80" customFormat="1" ht="12.75">
      <c r="A482" s="168">
        <v>41729</v>
      </c>
      <c r="B482" s="213" t="str">
        <f>IF(SUM(F482:Z482)&gt;0,Servicio_internaColumna_título_intereses,"")</f>
        <v>Intereses</v>
      </c>
      <c r="C482" s="256"/>
      <c r="D482" s="257"/>
      <c r="E482" s="257"/>
      <c r="F482" s="257"/>
      <c r="G482" s="257"/>
      <c r="H482" s="257"/>
      <c r="I482" s="257"/>
      <c r="J482" s="257"/>
      <c r="K482" s="257"/>
      <c r="L482" s="257"/>
      <c r="M482" s="257"/>
      <c r="N482" s="257"/>
      <c r="O482" s="257"/>
      <c r="P482" s="257">
        <v>13666942.293388119</v>
      </c>
      <c r="Q482" s="257">
        <v>11935741.542952573</v>
      </c>
      <c r="R482" s="257">
        <v>10022673.963723628</v>
      </c>
      <c r="S482" s="257">
        <v>8563543.2381203286</v>
      </c>
      <c r="T482" s="257">
        <v>8201553.1059845537</v>
      </c>
      <c r="U482" s="258">
        <v>6257023.8293308308</v>
      </c>
      <c r="V482" s="258">
        <v>5968063.4019601513</v>
      </c>
      <c r="W482" s="258">
        <v>5067431.6085355952</v>
      </c>
      <c r="X482" s="258">
        <v>4823345.3964187242</v>
      </c>
      <c r="Y482" s="258">
        <v>4011411.9052263293</v>
      </c>
      <c r="Z482" s="258">
        <v>3225601.2800371493</v>
      </c>
      <c r="AA482" s="258">
        <v>1318842.104357796</v>
      </c>
      <c r="AB482" s="258">
        <v>1318927.3865153131</v>
      </c>
      <c r="AC482" s="258">
        <v>771483.12374477484</v>
      </c>
      <c r="AD482" s="259">
        <v>771846.30289836135</v>
      </c>
      <c r="AE482" s="259">
        <v>215237.84203381388</v>
      </c>
      <c r="AF482" s="259">
        <v>215895.8421105702</v>
      </c>
      <c r="AG482" s="259">
        <v>216707.91879684862</v>
      </c>
      <c r="AH482" s="259">
        <v>217678.69439094537</v>
      </c>
      <c r="AI482" s="259">
        <v>219939.58277405548</v>
      </c>
      <c r="AJ482" s="259">
        <v>24281.03146849</v>
      </c>
      <c r="AK482" s="259">
        <v>21305.348445750002</v>
      </c>
      <c r="AL482" s="259">
        <v>18329.665422999999</v>
      </c>
      <c r="AM482" s="259">
        <v>15353.982399299999</v>
      </c>
      <c r="AN482" s="259">
        <v>13173.12429046</v>
      </c>
      <c r="AO482" s="259">
        <v>11257.207820879999</v>
      </c>
      <c r="AP482" s="259"/>
      <c r="AQ482" s="259"/>
      <c r="AR482" s="259"/>
      <c r="AS482" s="259"/>
      <c r="AT482" s="259"/>
      <c r="AU482" s="259"/>
      <c r="AV482" s="259"/>
      <c r="AW482" s="259"/>
      <c r="AX482" s="259"/>
      <c r="AY482" s="259"/>
      <c r="AZ482" s="259"/>
      <c r="BA482" s="259"/>
      <c r="BB482" s="259"/>
      <c r="BC482" s="259"/>
      <c r="BD482" s="259"/>
      <c r="BE482" s="259"/>
      <c r="BF482" s="259"/>
      <c r="BG482" s="259"/>
      <c r="BH482" s="259"/>
      <c r="BI482" s="259"/>
      <c r="BJ482" s="259"/>
      <c r="BK482" s="259"/>
    </row>
    <row r="483" spans="1:63" s="80" customFormat="1" ht="12.75">
      <c r="A483" s="169"/>
      <c r="B483" s="307" t="str">
        <f>IF(SUM(F483:Z483)&gt;0,Servicio_internaColumna_título_total,"")</f>
        <v>Total</v>
      </c>
      <c r="C483" s="308"/>
      <c r="D483" s="309"/>
      <c r="E483" s="309"/>
      <c r="F483" s="309"/>
      <c r="G483" s="309"/>
      <c r="H483" s="309"/>
      <c r="I483" s="309"/>
      <c r="J483" s="309"/>
      <c r="K483" s="309"/>
      <c r="L483" s="309"/>
      <c r="M483" s="309"/>
      <c r="N483" s="309"/>
      <c r="O483" s="309"/>
      <c r="P483" s="309">
        <f>P481+P482</f>
        <v>37402650.746998541</v>
      </c>
      <c r="Q483" s="309">
        <v>39217808.317041859</v>
      </c>
      <c r="R483" s="309">
        <v>30317728.8153276</v>
      </c>
      <c r="S483" s="309">
        <v>15986310.389704559</v>
      </c>
      <c r="T483" s="309">
        <v>31050396.938618157</v>
      </c>
      <c r="U483" s="309">
        <v>8916183.9676944427</v>
      </c>
      <c r="V483" s="309">
        <v>14181278.181566354</v>
      </c>
      <c r="W483" s="309">
        <v>9994408.0072430354</v>
      </c>
      <c r="X483" s="309">
        <v>16542446.388358897</v>
      </c>
      <c r="Y483" s="309">
        <v>16128822.729251806</v>
      </c>
      <c r="Z483" s="309">
        <v>20941330.86186073</v>
      </c>
      <c r="AA483" s="309">
        <v>1225571.9141467032</v>
      </c>
      <c r="AB483" s="309">
        <v>8526399.6835603304</v>
      </c>
      <c r="AC483" s="309">
        <v>675228.42191547353</v>
      </c>
      <c r="AD483" s="309">
        <v>8743723.5834803358</v>
      </c>
      <c r="AE483" s="309">
        <v>188807.08975121763</v>
      </c>
      <c r="AF483" s="309">
        <v>187858.32430935267</v>
      </c>
      <c r="AG483" s="309">
        <v>187028.64776328634</v>
      </c>
      <c r="AH483" s="309">
        <v>186321.63277992353</v>
      </c>
      <c r="AI483" s="309">
        <v>2937751.5548131755</v>
      </c>
      <c r="AJ483" s="309">
        <v>31894.117871850001</v>
      </c>
      <c r="AK483" s="309">
        <v>28214.174723830001</v>
      </c>
      <c r="AL483" s="309">
        <v>24947.048960830001</v>
      </c>
      <c r="AM483" s="309">
        <v>21679.923197829998</v>
      </c>
      <c r="AN483" s="309">
        <v>18412.79743482</v>
      </c>
      <c r="AO483" s="309">
        <v>15145.671671799999</v>
      </c>
      <c r="AP483" s="309"/>
      <c r="AQ483" s="309"/>
      <c r="AR483" s="309"/>
      <c r="AS483" s="309"/>
      <c r="AT483" s="309"/>
      <c r="AU483" s="309"/>
      <c r="AV483" s="309"/>
      <c r="AW483" s="309"/>
      <c r="AX483" s="309"/>
      <c r="AY483" s="309"/>
      <c r="AZ483" s="309"/>
      <c r="BA483" s="309"/>
      <c r="BB483" s="309"/>
      <c r="BC483" s="309"/>
      <c r="BD483" s="309"/>
      <c r="BE483" s="309"/>
      <c r="BF483" s="309"/>
      <c r="BG483" s="309"/>
      <c r="BH483" s="309"/>
      <c r="BI483" s="309"/>
      <c r="BJ483" s="309"/>
      <c r="BK483" s="309"/>
    </row>
    <row r="484" spans="1:63" s="80" customFormat="1" ht="12.75">
      <c r="A484" s="167"/>
      <c r="B484" s="210" t="str">
        <f>Servicio_internaColumna_título_amortizaciones</f>
        <v>Amortizaciones</v>
      </c>
      <c r="C484" s="254"/>
      <c r="D484" s="255"/>
      <c r="E484" s="255"/>
      <c r="F484" s="255"/>
      <c r="G484" s="255"/>
      <c r="H484" s="255"/>
      <c r="I484" s="255"/>
      <c r="J484" s="255"/>
      <c r="K484" s="255"/>
      <c r="L484" s="255"/>
      <c r="M484" s="255"/>
      <c r="N484" s="255"/>
      <c r="O484" s="255"/>
      <c r="P484" s="255">
        <v>22298540.410766244</v>
      </c>
      <c r="Q484" s="255">
        <v>27449862.570753407</v>
      </c>
      <c r="R484" s="255">
        <v>21016797.851756841</v>
      </c>
      <c r="S484" s="255">
        <v>8244750.1212584004</v>
      </c>
      <c r="T484" s="255">
        <v>23224342.359999999</v>
      </c>
      <c r="U484" s="255">
        <v>7400453.8273130413</v>
      </c>
      <c r="V484" s="255">
        <v>8450065.4664186798</v>
      </c>
      <c r="W484" s="255">
        <v>6772988.7154848007</v>
      </c>
      <c r="X484" s="255">
        <v>11921629.9</v>
      </c>
      <c r="Y484" s="255">
        <v>12456691.723817673</v>
      </c>
      <c r="Z484" s="255">
        <v>19939685.300000001</v>
      </c>
      <c r="AA484" s="255">
        <v>0</v>
      </c>
      <c r="AB484" s="255">
        <v>7302219.2000000002</v>
      </c>
      <c r="AC484" s="255">
        <v>0</v>
      </c>
      <c r="AD484" s="255">
        <v>10252278.800000001</v>
      </c>
      <c r="AE484" s="255">
        <v>0</v>
      </c>
      <c r="AF484" s="255">
        <v>0</v>
      </c>
      <c r="AG484" s="255">
        <v>0</v>
      </c>
      <c r="AH484" s="255">
        <v>0</v>
      </c>
      <c r="AI484" s="255">
        <v>4062638.5920316</v>
      </c>
      <c r="AJ484" s="255">
        <v>0</v>
      </c>
      <c r="AK484" s="255">
        <v>0</v>
      </c>
      <c r="AL484" s="255">
        <v>0</v>
      </c>
      <c r="AM484" s="255">
        <v>0</v>
      </c>
      <c r="AN484" s="255">
        <v>0</v>
      </c>
      <c r="AO484" s="255">
        <v>0</v>
      </c>
      <c r="AP484" s="255"/>
      <c r="AQ484" s="255"/>
      <c r="AR484" s="255"/>
      <c r="AS484" s="255"/>
      <c r="AT484" s="255"/>
      <c r="AU484" s="255"/>
      <c r="AV484" s="255"/>
      <c r="AW484" s="255"/>
      <c r="AX484" s="255"/>
      <c r="AY484" s="255"/>
      <c r="AZ484" s="255"/>
      <c r="BA484" s="255"/>
      <c r="BB484" s="255"/>
      <c r="BC484" s="255"/>
      <c r="BD484" s="255"/>
      <c r="BE484" s="255"/>
      <c r="BF484" s="255"/>
      <c r="BG484" s="255"/>
      <c r="BH484" s="255"/>
      <c r="BI484" s="255"/>
      <c r="BJ484" s="255"/>
      <c r="BK484" s="255"/>
    </row>
    <row r="485" spans="1:63" s="80" customFormat="1" ht="12.75">
      <c r="A485" s="168">
        <v>41759</v>
      </c>
      <c r="B485" s="213" t="str">
        <f>Servicio_internaColumna_título_intereses</f>
        <v>Intereses</v>
      </c>
      <c r="C485" s="256"/>
      <c r="D485" s="257"/>
      <c r="E485" s="257"/>
      <c r="F485" s="257"/>
      <c r="G485" s="257"/>
      <c r="H485" s="257"/>
      <c r="I485" s="257"/>
      <c r="J485" s="257"/>
      <c r="K485" s="257"/>
      <c r="L485" s="257"/>
      <c r="M485" s="257"/>
      <c r="N485" s="257"/>
      <c r="O485" s="257"/>
      <c r="P485" s="257">
        <v>13991760.133823974</v>
      </c>
      <c r="Q485" s="257">
        <v>12262584.185107796</v>
      </c>
      <c r="R485" s="257">
        <v>10351532.204641012</v>
      </c>
      <c r="S485" s="257">
        <v>8874598.7780127265</v>
      </c>
      <c r="T485" s="257">
        <v>8514746.9946037307</v>
      </c>
      <c r="U485" s="258">
        <v>6572420.21713858</v>
      </c>
      <c r="V485" s="258">
        <v>6160136.4919640683</v>
      </c>
      <c r="W485" s="258">
        <v>5260908.5861596279</v>
      </c>
      <c r="X485" s="258">
        <v>4986538.4836252239</v>
      </c>
      <c r="Y485" s="258">
        <v>4175142.4799690247</v>
      </c>
      <c r="Z485" s="258">
        <v>3389885.4669421273</v>
      </c>
      <c r="AA485" s="258">
        <v>1396439.5317899222</v>
      </c>
      <c r="AB485" s="258">
        <v>1397112.1410904035</v>
      </c>
      <c r="AC485" s="258">
        <v>850272.82527711743</v>
      </c>
      <c r="AD485" s="259">
        <v>851259.09979667421</v>
      </c>
      <c r="AE485" s="259">
        <v>237272.57115907606</v>
      </c>
      <c r="AF485" s="259">
        <v>238591.61310959025</v>
      </c>
      <c r="AG485" s="259">
        <v>240084.56292583927</v>
      </c>
      <c r="AH485" s="259">
        <v>241756.63784380574</v>
      </c>
      <c r="AI485" s="259">
        <v>244739.86453050171</v>
      </c>
      <c r="AJ485" s="259">
        <v>24281.03146849</v>
      </c>
      <c r="AK485" s="259">
        <v>21305.348445750002</v>
      </c>
      <c r="AL485" s="259">
        <v>18329.665422999999</v>
      </c>
      <c r="AM485" s="259">
        <v>15353.982399299999</v>
      </c>
      <c r="AN485" s="259">
        <v>13173.12429046</v>
      </c>
      <c r="AO485" s="259">
        <v>11257.207820879999</v>
      </c>
      <c r="AP485" s="259"/>
      <c r="AQ485" s="259"/>
      <c r="AR485" s="259"/>
      <c r="AS485" s="259"/>
      <c r="AT485" s="259"/>
      <c r="AU485" s="259"/>
      <c r="AV485" s="259"/>
      <c r="AW485" s="259"/>
      <c r="AX485" s="259"/>
      <c r="AY485" s="259"/>
      <c r="AZ485" s="259"/>
      <c r="BA485" s="259"/>
      <c r="BB485" s="259"/>
      <c r="BC485" s="259"/>
      <c r="BD485" s="259"/>
      <c r="BE485" s="259"/>
      <c r="BF485" s="259"/>
      <c r="BG485" s="259"/>
      <c r="BH485" s="259"/>
      <c r="BI485" s="259"/>
      <c r="BJ485" s="259"/>
      <c r="BK485" s="259"/>
    </row>
    <row r="486" spans="1:63" s="80" customFormat="1" ht="12.75">
      <c r="A486" s="169"/>
      <c r="B486" s="307" t="str">
        <f>Servicio_internaColumna_título_total</f>
        <v>Total</v>
      </c>
      <c r="C486" s="308"/>
      <c r="D486" s="309"/>
      <c r="E486" s="309"/>
      <c r="F486" s="309"/>
      <c r="G486" s="309"/>
      <c r="H486" s="309"/>
      <c r="I486" s="309"/>
      <c r="J486" s="309"/>
      <c r="K486" s="309"/>
      <c r="L486" s="309"/>
      <c r="M486" s="309"/>
      <c r="N486" s="309"/>
      <c r="O486" s="309"/>
      <c r="P486" s="309">
        <f>P484+P485</f>
        <v>36290300.54459022</v>
      </c>
      <c r="Q486" s="309">
        <v>39217808.317041859</v>
      </c>
      <c r="R486" s="309">
        <v>30317728.8153276</v>
      </c>
      <c r="S486" s="309">
        <v>15986310.389704559</v>
      </c>
      <c r="T486" s="309">
        <v>31050396.938618157</v>
      </c>
      <c r="U486" s="309">
        <v>8916183.9676944427</v>
      </c>
      <c r="V486" s="309">
        <v>14181278.181566354</v>
      </c>
      <c r="W486" s="309">
        <v>9994408.0072430354</v>
      </c>
      <c r="X486" s="309">
        <v>16542446.388358897</v>
      </c>
      <c r="Y486" s="309">
        <v>16128822.729251806</v>
      </c>
      <c r="Z486" s="309">
        <v>20941330.86186073</v>
      </c>
      <c r="AA486" s="309">
        <v>1225571.9141467032</v>
      </c>
      <c r="AB486" s="309">
        <v>8526399.6835603304</v>
      </c>
      <c r="AC486" s="309">
        <v>675228.42191547353</v>
      </c>
      <c r="AD486" s="309">
        <v>8743723.5834803358</v>
      </c>
      <c r="AE486" s="309">
        <v>188807.08975121763</v>
      </c>
      <c r="AF486" s="309">
        <v>187858.32430935267</v>
      </c>
      <c r="AG486" s="309">
        <v>187028.64776328634</v>
      </c>
      <c r="AH486" s="309">
        <v>186321.63277992353</v>
      </c>
      <c r="AI486" s="309">
        <v>2937751.5548131755</v>
      </c>
      <c r="AJ486" s="309">
        <v>31894.117871850001</v>
      </c>
      <c r="AK486" s="309">
        <v>28214.174723830001</v>
      </c>
      <c r="AL486" s="309">
        <v>24947.048960830001</v>
      </c>
      <c r="AM486" s="309">
        <v>21679.923197829998</v>
      </c>
      <c r="AN486" s="309">
        <v>18412.79743482</v>
      </c>
      <c r="AO486" s="309">
        <v>15145.671671799999</v>
      </c>
      <c r="AP486" s="309"/>
      <c r="AQ486" s="309"/>
      <c r="AR486" s="309"/>
      <c r="AS486" s="309"/>
      <c r="AT486" s="309"/>
      <c r="AU486" s="309"/>
      <c r="AV486" s="309"/>
      <c r="AW486" s="309"/>
      <c r="AX486" s="309"/>
      <c r="AY486" s="309"/>
      <c r="AZ486" s="309"/>
      <c r="BA486" s="309"/>
      <c r="BB486" s="309"/>
      <c r="BC486" s="309"/>
      <c r="BD486" s="309"/>
      <c r="BE486" s="309"/>
      <c r="BF486" s="309"/>
      <c r="BG486" s="309"/>
      <c r="BH486" s="309"/>
      <c r="BI486" s="309"/>
      <c r="BJ486" s="309"/>
      <c r="BK486" s="309"/>
    </row>
    <row r="487" spans="1:63" s="80" customFormat="1" ht="12.75">
      <c r="A487" s="167"/>
      <c r="B487" s="210" t="str">
        <f>Servicio_internaColumna_título_amortizaciones</f>
        <v>Amortizaciones</v>
      </c>
      <c r="C487" s="254"/>
      <c r="D487" s="255"/>
      <c r="E487" s="255"/>
      <c r="F487" s="255"/>
      <c r="G487" s="255"/>
      <c r="H487" s="255"/>
      <c r="I487" s="255"/>
      <c r="J487" s="255"/>
      <c r="K487" s="255"/>
      <c r="L487" s="255"/>
      <c r="M487" s="255"/>
      <c r="N487" s="255"/>
      <c r="O487" s="255"/>
      <c r="P487" s="255">
        <v>12026075.095974404</v>
      </c>
      <c r="Q487" s="255">
        <v>27499914.924639668</v>
      </c>
      <c r="R487" s="255">
        <v>21017182.77030943</v>
      </c>
      <c r="S487" s="255">
        <v>8280393.3614118006</v>
      </c>
      <c r="T487" s="255">
        <v>23224342.359999999</v>
      </c>
      <c r="U487" s="255">
        <v>8663430.7280632388</v>
      </c>
      <c r="V487" s="255">
        <v>8450065.4664186798</v>
      </c>
      <c r="W487" s="255">
        <v>7027434.009309601</v>
      </c>
      <c r="X487" s="255">
        <v>11921629.9</v>
      </c>
      <c r="Y487" s="255">
        <v>12510551.46872081</v>
      </c>
      <c r="Z487" s="255">
        <v>21080651.399999999</v>
      </c>
      <c r="AA487" s="255">
        <v>0</v>
      </c>
      <c r="AB487" s="255">
        <v>7302219.2000000002</v>
      </c>
      <c r="AC487" s="255">
        <v>0</v>
      </c>
      <c r="AD487" s="255">
        <v>10936385</v>
      </c>
      <c r="AE487" s="255">
        <v>0</v>
      </c>
      <c r="AF487" s="255">
        <v>0</v>
      </c>
      <c r="AG487" s="255">
        <v>0</v>
      </c>
      <c r="AH487" s="255">
        <v>0</v>
      </c>
      <c r="AI487" s="255">
        <v>4351072.1851174999</v>
      </c>
      <c r="AJ487" s="255">
        <v>0</v>
      </c>
      <c r="AK487" s="255">
        <v>0</v>
      </c>
      <c r="AL487" s="255">
        <v>0</v>
      </c>
      <c r="AM487" s="255">
        <v>0</v>
      </c>
      <c r="AN487" s="255">
        <v>0</v>
      </c>
      <c r="AO487" s="255">
        <v>0</v>
      </c>
      <c r="AP487" s="255"/>
      <c r="AQ487" s="255"/>
      <c r="AR487" s="255"/>
      <c r="AS487" s="255"/>
      <c r="AT487" s="255"/>
      <c r="AU487" s="255"/>
      <c r="AV487" s="255"/>
      <c r="AW487" s="255"/>
      <c r="AX487" s="255"/>
      <c r="AY487" s="255"/>
      <c r="AZ487" s="255"/>
      <c r="BA487" s="255"/>
      <c r="BB487" s="255"/>
      <c r="BC487" s="255"/>
      <c r="BD487" s="255"/>
      <c r="BE487" s="255"/>
      <c r="BF487" s="255"/>
      <c r="BG487" s="255"/>
      <c r="BH487" s="255"/>
      <c r="BI487" s="255"/>
      <c r="BJ487" s="255"/>
      <c r="BK487" s="255"/>
    </row>
    <row r="488" spans="1:63" s="80" customFormat="1" ht="12.75">
      <c r="A488" s="168">
        <v>41790</v>
      </c>
      <c r="B488" s="213" t="str">
        <f>Servicio_internaColumna_título_intereses</f>
        <v>Intereses</v>
      </c>
      <c r="C488" s="256"/>
      <c r="D488" s="257"/>
      <c r="E488" s="257"/>
      <c r="F488" s="257"/>
      <c r="G488" s="257"/>
      <c r="H488" s="257"/>
      <c r="I488" s="257"/>
      <c r="J488" s="257"/>
      <c r="K488" s="257"/>
      <c r="L488" s="257"/>
      <c r="M488" s="257"/>
      <c r="N488" s="257"/>
      <c r="O488" s="257"/>
      <c r="P488" s="257">
        <v>13298007.629769189</v>
      </c>
      <c r="Q488" s="257">
        <v>12515111.527769974</v>
      </c>
      <c r="R488" s="257">
        <v>10604792.254213059</v>
      </c>
      <c r="S488" s="257">
        <v>9128613.5157019384</v>
      </c>
      <c r="T488" s="257">
        <v>8769539.0610536151</v>
      </c>
      <c r="U488" s="258">
        <v>6828012.9322119625</v>
      </c>
      <c r="V488" s="258">
        <v>6334645.4393377043</v>
      </c>
      <c r="W488" s="258">
        <v>5435998.5124944737</v>
      </c>
      <c r="X488" s="258">
        <v>5152111.637537783</v>
      </c>
      <c r="Y488" s="258">
        <v>4341028.5390389562</v>
      </c>
      <c r="Z488" s="258">
        <v>3556093.8183241556</v>
      </c>
      <c r="AA488" s="258">
        <v>1448883.2342534142</v>
      </c>
      <c r="AB488" s="258">
        <v>1449897.7634677992</v>
      </c>
      <c r="AC488" s="258">
        <v>903410.62516583619</v>
      </c>
      <c r="AD488" s="259">
        <v>904759.64252205286</v>
      </c>
      <c r="AE488" s="259">
        <v>250100.36700621783</v>
      </c>
      <c r="AF488" s="259">
        <v>251804.24283214624</v>
      </c>
      <c r="AG488" s="259">
        <v>253693.57154007195</v>
      </c>
      <c r="AH488" s="259">
        <v>255773.91671646541</v>
      </c>
      <c r="AI488" s="259">
        <v>259177.66176934057</v>
      </c>
      <c r="AJ488" s="259">
        <v>24281.03146849</v>
      </c>
      <c r="AK488" s="259">
        <v>21305.348445750002</v>
      </c>
      <c r="AL488" s="259">
        <v>18329.665422999999</v>
      </c>
      <c r="AM488" s="259">
        <v>15353.982399299999</v>
      </c>
      <c r="AN488" s="259">
        <v>13173.12429046</v>
      </c>
      <c r="AO488" s="259">
        <v>11257.207820879999</v>
      </c>
      <c r="AP488" s="259"/>
      <c r="AQ488" s="259"/>
      <c r="AR488" s="259"/>
      <c r="AS488" s="259"/>
      <c r="AT488" s="259"/>
      <c r="AU488" s="259"/>
      <c r="AV488" s="259"/>
      <c r="AW488" s="259"/>
      <c r="AX488" s="259"/>
      <c r="AY488" s="259"/>
      <c r="AZ488" s="259"/>
      <c r="BA488" s="259"/>
      <c r="BB488" s="259"/>
      <c r="BC488" s="259"/>
      <c r="BD488" s="259"/>
      <c r="BE488" s="259"/>
      <c r="BF488" s="259"/>
      <c r="BG488" s="259"/>
      <c r="BH488" s="259"/>
      <c r="BI488" s="259"/>
      <c r="BJ488" s="259"/>
      <c r="BK488" s="259"/>
    </row>
    <row r="489" spans="1:63" s="80" customFormat="1" ht="12.75">
      <c r="A489" s="169"/>
      <c r="B489" s="307" t="str">
        <f>Servicio_internaColumna_título_total</f>
        <v>Total</v>
      </c>
      <c r="C489" s="308"/>
      <c r="D489" s="309"/>
      <c r="E489" s="309"/>
      <c r="F489" s="309"/>
      <c r="G489" s="309"/>
      <c r="H489" s="309"/>
      <c r="I489" s="309"/>
      <c r="J489" s="309"/>
      <c r="K489" s="309"/>
      <c r="L489" s="309"/>
      <c r="M489" s="309"/>
      <c r="N489" s="309"/>
      <c r="O489" s="309"/>
      <c r="P489" s="309">
        <f>P487+P488</f>
        <v>25324082.725743592</v>
      </c>
      <c r="Q489" s="309">
        <f t="shared" ref="Q489:AO489" si="11">Q487+Q488</f>
        <v>40015026.45240964</v>
      </c>
      <c r="R489" s="309">
        <f t="shared" si="11"/>
        <v>31621975.024522491</v>
      </c>
      <c r="S489" s="309">
        <f t="shared" si="11"/>
        <v>17409006.877113737</v>
      </c>
      <c r="T489" s="309">
        <f t="shared" si="11"/>
        <v>31993881.421053614</v>
      </c>
      <c r="U489" s="309">
        <f t="shared" si="11"/>
        <v>15491443.660275202</v>
      </c>
      <c r="V489" s="309">
        <f t="shared" si="11"/>
        <v>14784710.905756384</v>
      </c>
      <c r="W489" s="309">
        <f t="shared" si="11"/>
        <v>12463432.521804076</v>
      </c>
      <c r="X489" s="309">
        <f t="shared" si="11"/>
        <v>17073741.537537783</v>
      </c>
      <c r="Y489" s="309">
        <f t="shared" si="11"/>
        <v>16851580.007759765</v>
      </c>
      <c r="Z489" s="309">
        <f t="shared" si="11"/>
        <v>24636745.218324155</v>
      </c>
      <c r="AA489" s="309">
        <f t="shared" si="11"/>
        <v>1448883.2342534142</v>
      </c>
      <c r="AB489" s="309">
        <f t="shared" si="11"/>
        <v>8752116.9634677991</v>
      </c>
      <c r="AC489" s="309">
        <f t="shared" si="11"/>
        <v>903410.62516583619</v>
      </c>
      <c r="AD489" s="309">
        <f t="shared" si="11"/>
        <v>11841144.642522052</v>
      </c>
      <c r="AE489" s="309">
        <f t="shared" si="11"/>
        <v>250100.36700621783</v>
      </c>
      <c r="AF489" s="309">
        <f t="shared" si="11"/>
        <v>251804.24283214624</v>
      </c>
      <c r="AG489" s="309">
        <f t="shared" si="11"/>
        <v>253693.57154007195</v>
      </c>
      <c r="AH489" s="309">
        <f t="shared" si="11"/>
        <v>255773.91671646541</v>
      </c>
      <c r="AI489" s="309">
        <f t="shared" si="11"/>
        <v>4610249.8468868406</v>
      </c>
      <c r="AJ489" s="309">
        <f t="shared" si="11"/>
        <v>24281.03146849</v>
      </c>
      <c r="AK489" s="309">
        <f t="shared" si="11"/>
        <v>21305.348445750002</v>
      </c>
      <c r="AL489" s="309">
        <f t="shared" si="11"/>
        <v>18329.665422999999</v>
      </c>
      <c r="AM489" s="309">
        <f t="shared" si="11"/>
        <v>15353.982399299999</v>
      </c>
      <c r="AN489" s="309">
        <f t="shared" si="11"/>
        <v>13173.12429046</v>
      </c>
      <c r="AO489" s="309">
        <f t="shared" si="11"/>
        <v>11257.207820879999</v>
      </c>
      <c r="AP489" s="309"/>
      <c r="AQ489" s="309"/>
      <c r="AR489" s="309"/>
      <c r="AS489" s="309"/>
      <c r="AT489" s="309"/>
      <c r="AU489" s="309"/>
      <c r="AV489" s="309"/>
      <c r="AW489" s="309"/>
      <c r="AX489" s="309"/>
      <c r="AY489" s="309"/>
      <c r="AZ489" s="309"/>
      <c r="BA489" s="309"/>
      <c r="BB489" s="309"/>
      <c r="BC489" s="309"/>
      <c r="BD489" s="309"/>
      <c r="BE489" s="309"/>
      <c r="BF489" s="309"/>
      <c r="BG489" s="309"/>
      <c r="BH489" s="309"/>
      <c r="BI489" s="309"/>
      <c r="BJ489" s="309"/>
      <c r="BK489" s="309"/>
    </row>
    <row r="490" spans="1:63" s="80" customFormat="1" ht="12.75">
      <c r="A490" s="167"/>
      <c r="B490" s="210" t="str">
        <f>Servicio_internaColumna_título_amortizaciones</f>
        <v>Amortizaciones</v>
      </c>
      <c r="C490" s="254"/>
      <c r="D490" s="255"/>
      <c r="E490" s="255"/>
      <c r="F490" s="255"/>
      <c r="G490" s="255"/>
      <c r="H490" s="255"/>
      <c r="I490" s="255"/>
      <c r="J490" s="255"/>
      <c r="K490" s="255"/>
      <c r="L490" s="255"/>
      <c r="M490" s="255"/>
      <c r="N490" s="255"/>
      <c r="O490" s="255"/>
      <c r="P490" s="255">
        <v>14893058.3706358</v>
      </c>
      <c r="Q490" s="255">
        <v>26286727.472944584</v>
      </c>
      <c r="R490" s="255">
        <v>21017596.349866211</v>
      </c>
      <c r="S490" s="255">
        <v>8446368.2543346006</v>
      </c>
      <c r="T490" s="255">
        <v>23224342.359999999</v>
      </c>
      <c r="U490" s="255">
        <v>10328744.040703539</v>
      </c>
      <c r="V490" s="255">
        <v>8450065.4664186798</v>
      </c>
      <c r="W490" s="255">
        <v>7553555.4442333002</v>
      </c>
      <c r="X490" s="255">
        <v>11921629.9</v>
      </c>
      <c r="Y490" s="255">
        <v>12568421.605858758</v>
      </c>
      <c r="Z490" s="255">
        <v>21697398.199999999</v>
      </c>
      <c r="AA490" s="255">
        <v>0</v>
      </c>
      <c r="AB490" s="255">
        <v>7302219.2000000002</v>
      </c>
      <c r="AC490" s="255">
        <v>0</v>
      </c>
      <c r="AD490" s="255">
        <v>11784415.300000001</v>
      </c>
      <c r="AE490" s="255">
        <v>0</v>
      </c>
      <c r="AF490" s="255">
        <v>0</v>
      </c>
      <c r="AG490" s="255">
        <v>0</v>
      </c>
      <c r="AH490" s="255">
        <v>0</v>
      </c>
      <c r="AI490" s="255">
        <v>4611374.2646829002</v>
      </c>
      <c r="AJ490" s="255">
        <v>0</v>
      </c>
      <c r="AK490" s="255">
        <v>0</v>
      </c>
      <c r="AL490" s="255">
        <v>0</v>
      </c>
      <c r="AM490" s="255">
        <v>0</v>
      </c>
      <c r="AN490" s="255">
        <v>0</v>
      </c>
      <c r="AO490" s="255">
        <v>0</v>
      </c>
      <c r="AP490" s="255"/>
      <c r="AQ490" s="255"/>
      <c r="AR490" s="255"/>
      <c r="AS490" s="255"/>
      <c r="AT490" s="255"/>
      <c r="AU490" s="255"/>
      <c r="AV490" s="255"/>
      <c r="AW490" s="255"/>
      <c r="AX490" s="255"/>
      <c r="AY490" s="255"/>
      <c r="AZ490" s="255"/>
      <c r="BA490" s="255"/>
      <c r="BB490" s="255"/>
      <c r="BC490" s="255"/>
      <c r="BD490" s="255"/>
      <c r="BE490" s="255"/>
      <c r="BF490" s="255"/>
      <c r="BG490" s="255"/>
      <c r="BH490" s="255"/>
      <c r="BI490" s="255"/>
      <c r="BJ490" s="255"/>
      <c r="BK490" s="255"/>
    </row>
    <row r="491" spans="1:63" s="80" customFormat="1" ht="12.75">
      <c r="A491" s="168">
        <v>41820</v>
      </c>
      <c r="B491" s="213" t="str">
        <f>Servicio_internaColumna_título_intereses</f>
        <v>Intereses</v>
      </c>
      <c r="C491" s="256"/>
      <c r="D491" s="257"/>
      <c r="E491" s="257"/>
      <c r="F491" s="257"/>
      <c r="G491" s="257"/>
      <c r="H491" s="257"/>
      <c r="I491" s="257"/>
      <c r="J491" s="257"/>
      <c r="K491" s="257"/>
      <c r="L491" s="257"/>
      <c r="M491" s="257"/>
      <c r="N491" s="257"/>
      <c r="O491" s="257"/>
      <c r="P491" s="257">
        <v>8251950.5544073433</v>
      </c>
      <c r="Q491" s="257">
        <v>12666446.385800101</v>
      </c>
      <c r="R491" s="257">
        <v>10849708.786823496</v>
      </c>
      <c r="S491" s="257">
        <v>9375023.0289006885</v>
      </c>
      <c r="T491" s="257">
        <v>9011326.5866803862</v>
      </c>
      <c r="U491" s="258">
        <v>7071199.5682175374</v>
      </c>
      <c r="V491" s="258">
        <v>6476685.310578729</v>
      </c>
      <c r="W491" s="258">
        <v>5578922.8849327294</v>
      </c>
      <c r="X491" s="258">
        <v>5273873.8662476204</v>
      </c>
      <c r="Y491" s="258">
        <v>4463066.9396700934</v>
      </c>
      <c r="Z491" s="258">
        <v>3678416.6760342256</v>
      </c>
      <c r="AA491" s="258">
        <v>1509824.4027547857</v>
      </c>
      <c r="AB491" s="258">
        <v>1511140.7124842124</v>
      </c>
      <c r="AC491" s="258">
        <v>964964.40811274131</v>
      </c>
      <c r="AD491" s="259">
        <v>966633.58441736596</v>
      </c>
      <c r="AE491" s="259">
        <v>261422.25461838936</v>
      </c>
      <c r="AF491" s="259">
        <v>263465.78707268299</v>
      </c>
      <c r="AG491" s="259">
        <v>265704.96210782474</v>
      </c>
      <c r="AH491" s="259">
        <v>268145.6490012508</v>
      </c>
      <c r="AI491" s="259">
        <v>271920.54602266988</v>
      </c>
      <c r="AJ491" s="259">
        <v>24281.03146849</v>
      </c>
      <c r="AK491" s="259">
        <v>21305.348445750002</v>
      </c>
      <c r="AL491" s="259">
        <v>18329.665422999999</v>
      </c>
      <c r="AM491" s="259">
        <v>15353.982399299999</v>
      </c>
      <c r="AN491" s="259">
        <v>13173.12429046</v>
      </c>
      <c r="AO491" s="259">
        <v>11257.207820879999</v>
      </c>
      <c r="AP491" s="259"/>
      <c r="AQ491" s="259"/>
      <c r="AR491" s="259"/>
      <c r="AS491" s="259"/>
      <c r="AT491" s="259"/>
      <c r="AU491" s="259"/>
      <c r="AV491" s="259"/>
      <c r="AW491" s="259"/>
      <c r="AX491" s="259"/>
      <c r="AY491" s="259"/>
      <c r="AZ491" s="259"/>
      <c r="BA491" s="259"/>
      <c r="BB491" s="259"/>
      <c r="BC491" s="259"/>
      <c r="BD491" s="259"/>
      <c r="BE491" s="259"/>
      <c r="BF491" s="259"/>
      <c r="BG491" s="259"/>
      <c r="BH491" s="259"/>
      <c r="BI491" s="259"/>
      <c r="BJ491" s="259"/>
      <c r="BK491" s="259"/>
    </row>
    <row r="492" spans="1:63" s="80" customFormat="1" ht="12.75">
      <c r="A492" s="169"/>
      <c r="B492" s="307" t="str">
        <f>Servicio_internaColumna_título_total</f>
        <v>Total</v>
      </c>
      <c r="C492" s="308"/>
      <c r="D492" s="309"/>
      <c r="E492" s="309"/>
      <c r="F492" s="309"/>
      <c r="G492" s="309"/>
      <c r="H492" s="309"/>
      <c r="I492" s="309"/>
      <c r="J492" s="309"/>
      <c r="K492" s="309"/>
      <c r="L492" s="309"/>
      <c r="M492" s="309"/>
      <c r="N492" s="309"/>
      <c r="O492" s="309"/>
      <c r="P492" s="309">
        <f>P490+P491</f>
        <v>23145008.925043143</v>
      </c>
      <c r="Q492" s="309">
        <f t="shared" ref="Q492:AO492" si="12">Q490+Q491</f>
        <v>38953173.858744681</v>
      </c>
      <c r="R492" s="309">
        <f t="shared" si="12"/>
        <v>31867305.136689708</v>
      </c>
      <c r="S492" s="309">
        <f t="shared" si="12"/>
        <v>17821391.283235289</v>
      </c>
      <c r="T492" s="309">
        <f t="shared" si="12"/>
        <v>32235668.946680386</v>
      </c>
      <c r="U492" s="309">
        <f t="shared" si="12"/>
        <v>17399943.608921077</v>
      </c>
      <c r="V492" s="309">
        <f t="shared" si="12"/>
        <v>14926750.77699741</v>
      </c>
      <c r="W492" s="309">
        <f t="shared" si="12"/>
        <v>13132478.329166029</v>
      </c>
      <c r="X492" s="309">
        <f t="shared" si="12"/>
        <v>17195503.766247623</v>
      </c>
      <c r="Y492" s="309">
        <f t="shared" si="12"/>
        <v>17031488.545528851</v>
      </c>
      <c r="Z492" s="309">
        <f t="shared" si="12"/>
        <v>25375814.876034226</v>
      </c>
      <c r="AA492" s="309">
        <f t="shared" si="12"/>
        <v>1509824.4027547857</v>
      </c>
      <c r="AB492" s="309">
        <f t="shared" si="12"/>
        <v>8813359.9124842118</v>
      </c>
      <c r="AC492" s="309">
        <f t="shared" si="12"/>
        <v>964964.40811274131</v>
      </c>
      <c r="AD492" s="309">
        <f t="shared" si="12"/>
        <v>12751048.884417366</v>
      </c>
      <c r="AE492" s="309">
        <f t="shared" si="12"/>
        <v>261422.25461838936</v>
      </c>
      <c r="AF492" s="309">
        <f t="shared" si="12"/>
        <v>263465.78707268299</v>
      </c>
      <c r="AG492" s="309">
        <f t="shared" si="12"/>
        <v>265704.96210782474</v>
      </c>
      <c r="AH492" s="309">
        <f t="shared" si="12"/>
        <v>268145.6490012508</v>
      </c>
      <c r="AI492" s="309">
        <f t="shared" si="12"/>
        <v>4883294.8107055705</v>
      </c>
      <c r="AJ492" s="309">
        <f t="shared" si="12"/>
        <v>24281.03146849</v>
      </c>
      <c r="AK492" s="309">
        <f t="shared" si="12"/>
        <v>21305.348445750002</v>
      </c>
      <c r="AL492" s="309">
        <f t="shared" si="12"/>
        <v>18329.665422999999</v>
      </c>
      <c r="AM492" s="309">
        <f t="shared" si="12"/>
        <v>15353.982399299999</v>
      </c>
      <c r="AN492" s="309">
        <f t="shared" si="12"/>
        <v>13173.12429046</v>
      </c>
      <c r="AO492" s="309">
        <f t="shared" si="12"/>
        <v>11257.207820879999</v>
      </c>
      <c r="AP492" s="309"/>
      <c r="AQ492" s="309"/>
      <c r="AR492" s="309"/>
      <c r="AS492" s="309"/>
      <c r="AT492" s="309"/>
      <c r="AU492" s="309"/>
      <c r="AV492" s="309"/>
      <c r="AW492" s="309"/>
      <c r="AX492" s="309"/>
      <c r="AY492" s="309"/>
      <c r="AZ492" s="309"/>
      <c r="BA492" s="309"/>
      <c r="BB492" s="309"/>
      <c r="BC492" s="309"/>
      <c r="BD492" s="309"/>
      <c r="BE492" s="309"/>
      <c r="BF492" s="309"/>
      <c r="BG492" s="309"/>
      <c r="BH492" s="309"/>
      <c r="BI492" s="309"/>
      <c r="BJ492" s="309"/>
      <c r="BK492" s="309"/>
    </row>
    <row r="493" spans="1:63" s="80" customFormat="1" ht="12.75">
      <c r="A493" s="167"/>
      <c r="B493" s="210" t="str">
        <f>IF(SUM(F493:Z493)&gt;0,Servicio_internaColumna_título_amortizaciones,"")</f>
        <v>Amortizaciones</v>
      </c>
      <c r="C493" s="254"/>
      <c r="D493" s="255"/>
      <c r="E493" s="255"/>
      <c r="F493" s="255"/>
      <c r="G493" s="255"/>
      <c r="H493" s="255"/>
      <c r="I493" s="255"/>
      <c r="J493" s="255"/>
      <c r="K493" s="255"/>
      <c r="L493" s="255"/>
      <c r="M493" s="255"/>
      <c r="N493" s="255"/>
      <c r="O493" s="255"/>
      <c r="P493" s="255">
        <v>10720410.288433615</v>
      </c>
      <c r="Q493" s="255">
        <v>27026762.283096239</v>
      </c>
      <c r="R493" s="255">
        <v>21794299.596902333</v>
      </c>
      <c r="S493" s="255">
        <v>8470545.4443658013</v>
      </c>
      <c r="T493" s="255">
        <v>23224342.359999999</v>
      </c>
      <c r="U493" s="255">
        <v>11837442.608004488</v>
      </c>
      <c r="V493" s="255">
        <v>8450001.5837157704</v>
      </c>
      <c r="W493" s="255">
        <v>7956928.8872794006</v>
      </c>
      <c r="X493" s="255">
        <v>11921629.9</v>
      </c>
      <c r="Y493" s="255">
        <v>12604402.915865328</v>
      </c>
      <c r="Z493" s="255">
        <v>22344121.300000001</v>
      </c>
      <c r="AA493" s="255">
        <v>0</v>
      </c>
      <c r="AB493" s="255">
        <v>7302219.2000000002</v>
      </c>
      <c r="AC493" s="255">
        <v>0</v>
      </c>
      <c r="AD493" s="255">
        <v>12440480.6</v>
      </c>
      <c r="AE493" s="255">
        <v>0</v>
      </c>
      <c r="AF493" s="255">
        <v>0</v>
      </c>
      <c r="AG493" s="255">
        <v>0</v>
      </c>
      <c r="AH493" s="255">
        <v>0</v>
      </c>
      <c r="AI493" s="255">
        <v>4892741.3924523005</v>
      </c>
      <c r="AJ493" s="255">
        <v>0</v>
      </c>
      <c r="AK493" s="255">
        <v>0</v>
      </c>
      <c r="AL493" s="255">
        <v>0</v>
      </c>
      <c r="AM493" s="255">
        <v>0</v>
      </c>
      <c r="AN493" s="255">
        <v>0</v>
      </c>
      <c r="AO493" s="255">
        <v>0</v>
      </c>
      <c r="AP493" s="255"/>
      <c r="AQ493" s="255"/>
      <c r="AR493" s="255"/>
      <c r="AS493" s="255"/>
      <c r="AT493" s="255"/>
      <c r="AU493" s="255"/>
      <c r="AV493" s="255"/>
      <c r="AW493" s="255"/>
      <c r="AX493" s="255"/>
      <c r="AY493" s="255"/>
      <c r="AZ493" s="255"/>
      <c r="BA493" s="255"/>
      <c r="BB493" s="255"/>
      <c r="BC493" s="255"/>
      <c r="BD493" s="255"/>
      <c r="BE493" s="255"/>
      <c r="BF493" s="255"/>
      <c r="BG493" s="255"/>
      <c r="BH493" s="255"/>
      <c r="BI493" s="255"/>
      <c r="BJ493" s="255"/>
      <c r="BK493" s="255"/>
    </row>
    <row r="494" spans="1:63" s="80" customFormat="1" ht="12.75">
      <c r="A494" s="168">
        <v>41851</v>
      </c>
      <c r="B494" s="213" t="str">
        <f>IF(SUM(F494:Z494)&gt;0,Servicio_internaColumna_título_intereses,"")</f>
        <v>Intereses</v>
      </c>
      <c r="C494" s="256"/>
      <c r="D494" s="257"/>
      <c r="E494" s="257"/>
      <c r="F494" s="257"/>
      <c r="G494" s="257"/>
      <c r="H494" s="257"/>
      <c r="I494" s="257"/>
      <c r="J494" s="257"/>
      <c r="K494" s="257"/>
      <c r="L494" s="257"/>
      <c r="M494" s="257"/>
      <c r="N494" s="257"/>
      <c r="O494" s="257"/>
      <c r="P494" s="257">
        <v>5162621.4526663385</v>
      </c>
      <c r="Q494" s="257">
        <v>12956805.547306925</v>
      </c>
      <c r="R494" s="257">
        <v>11105309.585470526</v>
      </c>
      <c r="S494" s="257">
        <v>9589237.7715021279</v>
      </c>
      <c r="T494" s="257">
        <v>9226899.3631198704</v>
      </c>
      <c r="U494" s="258">
        <v>7288171.1195102073</v>
      </c>
      <c r="V494" s="258">
        <v>6606427.3833375098</v>
      </c>
      <c r="W494" s="258">
        <v>5709436.1330342731</v>
      </c>
      <c r="X494" s="258">
        <v>5388159.3266333854</v>
      </c>
      <c r="Y494" s="258">
        <v>4577659.8770274315</v>
      </c>
      <c r="Z494" s="258">
        <v>3793326.3146722838</v>
      </c>
      <c r="AA494" s="258">
        <v>1560387.9337119849</v>
      </c>
      <c r="AB494" s="258">
        <v>1562040.2318301275</v>
      </c>
      <c r="AC494" s="258">
        <v>1016209.9954990339</v>
      </c>
      <c r="AD494" s="259">
        <v>1018235.6218852473</v>
      </c>
      <c r="AE494" s="259">
        <v>274027.51767030742</v>
      </c>
      <c r="AF494" s="259">
        <v>276449.20801615855</v>
      </c>
      <c r="AG494" s="259">
        <v>279077.88567960454</v>
      </c>
      <c r="AH494" s="259">
        <v>281919.76028018398</v>
      </c>
      <c r="AI494" s="259">
        <v>286107.88063997112</v>
      </c>
      <c r="AJ494" s="259">
        <v>24281.03146849</v>
      </c>
      <c r="AK494" s="259">
        <v>21305.348445750002</v>
      </c>
      <c r="AL494" s="259">
        <v>18329.665422999999</v>
      </c>
      <c r="AM494" s="259">
        <v>15353.982399299999</v>
      </c>
      <c r="AN494" s="259">
        <v>13173.12429046</v>
      </c>
      <c r="AO494" s="259">
        <v>11257.207820879999</v>
      </c>
      <c r="AP494" s="259"/>
      <c r="AQ494" s="259"/>
      <c r="AR494" s="259"/>
      <c r="AS494" s="259"/>
      <c r="AT494" s="259"/>
      <c r="AU494" s="259"/>
      <c r="AV494" s="259"/>
      <c r="AW494" s="259"/>
      <c r="AX494" s="259"/>
      <c r="AY494" s="259"/>
      <c r="AZ494" s="259"/>
      <c r="BA494" s="259"/>
      <c r="BB494" s="259"/>
      <c r="BC494" s="259"/>
      <c r="BD494" s="259"/>
      <c r="BE494" s="259"/>
      <c r="BF494" s="259"/>
      <c r="BG494" s="259"/>
      <c r="BH494" s="259"/>
      <c r="BI494" s="259"/>
      <c r="BJ494" s="259"/>
      <c r="BK494" s="259"/>
    </row>
    <row r="495" spans="1:63" s="80" customFormat="1" ht="12.75">
      <c r="A495" s="169"/>
      <c r="B495" s="307" t="str">
        <f>IF(SUM(F495:Z495)&gt;0,Servicio_internaColumna_título_total,"")</f>
        <v>Total</v>
      </c>
      <c r="C495" s="308"/>
      <c r="D495" s="309"/>
      <c r="E495" s="309"/>
      <c r="F495" s="309"/>
      <c r="G495" s="309"/>
      <c r="H495" s="309"/>
      <c r="I495" s="309"/>
      <c r="J495" s="309"/>
      <c r="K495" s="309"/>
      <c r="L495" s="309"/>
      <c r="M495" s="309"/>
      <c r="N495" s="309"/>
      <c r="O495" s="309"/>
      <c r="P495" s="309">
        <f>P493+P494</f>
        <v>15883031.741099954</v>
      </c>
      <c r="Q495" s="309">
        <f t="shared" ref="Q495:AO495" si="13">Q493+Q494</f>
        <v>39983567.830403164</v>
      </c>
      <c r="R495" s="309">
        <f t="shared" si="13"/>
        <v>32899609.182372861</v>
      </c>
      <c r="S495" s="309">
        <f t="shared" si="13"/>
        <v>18059783.215867929</v>
      </c>
      <c r="T495" s="309">
        <f t="shared" si="13"/>
        <v>32451241.72311987</v>
      </c>
      <c r="U495" s="309">
        <f t="shared" si="13"/>
        <v>19125613.727514695</v>
      </c>
      <c r="V495" s="309">
        <f t="shared" si="13"/>
        <v>15056428.967053279</v>
      </c>
      <c r="W495" s="309">
        <f t="shared" si="13"/>
        <v>13666365.020313673</v>
      </c>
      <c r="X495" s="309">
        <f t="shared" si="13"/>
        <v>17309789.226633385</v>
      </c>
      <c r="Y495" s="309">
        <f t="shared" si="13"/>
        <v>17182062.792892762</v>
      </c>
      <c r="Z495" s="309">
        <f t="shared" si="13"/>
        <v>26137447.614672285</v>
      </c>
      <c r="AA495" s="309">
        <f t="shared" si="13"/>
        <v>1560387.9337119849</v>
      </c>
      <c r="AB495" s="309">
        <f t="shared" si="13"/>
        <v>8864259.4318301268</v>
      </c>
      <c r="AC495" s="309">
        <f t="shared" si="13"/>
        <v>1016209.9954990339</v>
      </c>
      <c r="AD495" s="309">
        <f t="shared" si="13"/>
        <v>13458716.221885247</v>
      </c>
      <c r="AE495" s="309">
        <f t="shared" si="13"/>
        <v>274027.51767030742</v>
      </c>
      <c r="AF495" s="309">
        <f t="shared" si="13"/>
        <v>276449.20801615855</v>
      </c>
      <c r="AG495" s="309">
        <f t="shared" si="13"/>
        <v>279077.88567960454</v>
      </c>
      <c r="AH495" s="309">
        <f t="shared" si="13"/>
        <v>281919.76028018398</v>
      </c>
      <c r="AI495" s="309">
        <f t="shared" si="13"/>
        <v>5178849.2730922718</v>
      </c>
      <c r="AJ495" s="309">
        <f t="shared" si="13"/>
        <v>24281.03146849</v>
      </c>
      <c r="AK495" s="309">
        <f t="shared" si="13"/>
        <v>21305.348445750002</v>
      </c>
      <c r="AL495" s="309">
        <f t="shared" si="13"/>
        <v>18329.665422999999</v>
      </c>
      <c r="AM495" s="309">
        <f t="shared" si="13"/>
        <v>15353.982399299999</v>
      </c>
      <c r="AN495" s="309">
        <f t="shared" si="13"/>
        <v>13173.12429046</v>
      </c>
      <c r="AO495" s="309">
        <f t="shared" si="13"/>
        <v>11257.207820879999</v>
      </c>
      <c r="AP495" s="309"/>
      <c r="AQ495" s="309"/>
      <c r="AR495" s="309"/>
      <c r="AS495" s="309"/>
      <c r="AT495" s="309"/>
      <c r="AU495" s="309"/>
      <c r="AV495" s="309"/>
      <c r="AW495" s="309"/>
      <c r="AX495" s="309"/>
      <c r="AY495" s="309"/>
      <c r="AZ495" s="309"/>
      <c r="BA495" s="309"/>
      <c r="BB495" s="309"/>
      <c r="BC495" s="309"/>
      <c r="BD495" s="309"/>
      <c r="BE495" s="309"/>
      <c r="BF495" s="309"/>
      <c r="BG495" s="309"/>
      <c r="BH495" s="309"/>
      <c r="BI495" s="309"/>
      <c r="BJ495" s="309"/>
      <c r="BK495" s="309"/>
    </row>
    <row r="496" spans="1:63" s="80" customFormat="1" ht="12.75">
      <c r="A496" s="167"/>
      <c r="B496" s="210" t="str">
        <f>IF(SUM(F496:Z496)&gt;0,Servicio_internaColumna_título_amortizaciones,"")</f>
        <v>Amortizaciones</v>
      </c>
      <c r="C496" s="254"/>
      <c r="D496" s="255"/>
      <c r="E496" s="255"/>
      <c r="F496" s="255"/>
      <c r="G496" s="255"/>
      <c r="H496" s="255"/>
      <c r="I496" s="255"/>
      <c r="J496" s="255"/>
      <c r="K496" s="255"/>
      <c r="L496" s="255"/>
      <c r="M496" s="255"/>
      <c r="N496" s="255"/>
      <c r="O496" s="255"/>
      <c r="P496" s="255">
        <v>9718907.8231498096</v>
      </c>
      <c r="Q496" s="255">
        <v>26754939.653887019</v>
      </c>
      <c r="R496" s="255">
        <v>22783693.242486741</v>
      </c>
      <c r="S496" s="255">
        <v>8989578.8483504001</v>
      </c>
      <c r="T496" s="255">
        <v>23224342.359999999</v>
      </c>
      <c r="U496" s="255">
        <v>13322104.061689379</v>
      </c>
      <c r="V496" s="255">
        <v>8450000.0579639692</v>
      </c>
      <c r="W496" s="255">
        <v>8292485.0562231997</v>
      </c>
      <c r="X496" s="255">
        <v>11921629.9</v>
      </c>
      <c r="Y496" s="255">
        <v>12619647.13141473</v>
      </c>
      <c r="Z496" s="255">
        <v>23117225.5</v>
      </c>
      <c r="AA496" s="255">
        <v>0</v>
      </c>
      <c r="AB496" s="255">
        <v>7302219.2000000002</v>
      </c>
      <c r="AC496" s="255">
        <v>0</v>
      </c>
      <c r="AD496" s="255">
        <v>12995360.5</v>
      </c>
      <c r="AE496" s="255">
        <v>0</v>
      </c>
      <c r="AF496" s="255">
        <v>0</v>
      </c>
      <c r="AG496" s="255">
        <v>0</v>
      </c>
      <c r="AH496" s="255">
        <v>0</v>
      </c>
      <c r="AI496" s="255">
        <v>4976541.5084268004</v>
      </c>
      <c r="AJ496" s="255">
        <v>0</v>
      </c>
      <c r="AK496" s="255">
        <v>0</v>
      </c>
      <c r="AL496" s="255">
        <v>0</v>
      </c>
      <c r="AM496" s="255">
        <v>0</v>
      </c>
      <c r="AN496" s="255">
        <v>0</v>
      </c>
      <c r="AO496" s="255">
        <v>0</v>
      </c>
      <c r="AP496" s="255"/>
      <c r="AQ496" s="255"/>
      <c r="AR496" s="255"/>
      <c r="AS496" s="255"/>
      <c r="AT496" s="255"/>
      <c r="AU496" s="255"/>
      <c r="AV496" s="255"/>
      <c r="AW496" s="255"/>
      <c r="AX496" s="255"/>
      <c r="AY496" s="255"/>
      <c r="AZ496" s="255"/>
      <c r="BA496" s="255"/>
      <c r="BB496" s="255"/>
      <c r="BC496" s="255"/>
      <c r="BD496" s="255"/>
      <c r="BE496" s="255"/>
      <c r="BF496" s="255"/>
      <c r="BG496" s="255"/>
      <c r="BH496" s="255"/>
      <c r="BI496" s="255"/>
      <c r="BJ496" s="255"/>
      <c r="BK496" s="255"/>
    </row>
    <row r="497" spans="1:63" s="80" customFormat="1" ht="12.75">
      <c r="A497" s="168">
        <v>41882</v>
      </c>
      <c r="B497" s="213" t="str">
        <f>IF(SUM(F497:Z497)&gt;0,Servicio_internaColumna_título_intereses,"")</f>
        <v>Intereses</v>
      </c>
      <c r="C497" s="256"/>
      <c r="D497" s="257"/>
      <c r="E497" s="257"/>
      <c r="F497" s="257"/>
      <c r="G497" s="257"/>
      <c r="H497" s="257"/>
      <c r="I497" s="257"/>
      <c r="J497" s="257"/>
      <c r="K497" s="257"/>
      <c r="L497" s="257"/>
      <c r="M497" s="257"/>
      <c r="N497" s="257"/>
      <c r="O497" s="257"/>
      <c r="P497" s="257">
        <v>4562286.8248792561</v>
      </c>
      <c r="Q497" s="257">
        <v>13190742.405305041</v>
      </c>
      <c r="R497" s="257">
        <v>11393955.805823585</v>
      </c>
      <c r="S497" s="257">
        <v>9825194.3112807777</v>
      </c>
      <c r="T497" s="257">
        <v>9440181.7669491749</v>
      </c>
      <c r="U497" s="258">
        <v>7502545.90652439</v>
      </c>
      <c r="V497" s="258">
        <v>6733515.4464361928</v>
      </c>
      <c r="W497" s="258">
        <v>5837018.741605917</v>
      </c>
      <c r="X497" s="258">
        <v>5501735.6044564322</v>
      </c>
      <c r="Y497" s="258">
        <v>4691325.346765168</v>
      </c>
      <c r="Z497" s="258">
        <v>3907083.6520821531</v>
      </c>
      <c r="AA497" s="258">
        <v>1596929.4748241506</v>
      </c>
      <c r="AB497" s="258">
        <v>1598679.2353556582</v>
      </c>
      <c r="AC497" s="258">
        <v>1052949.3853103307</v>
      </c>
      <c r="AD497" s="259">
        <v>1055078.409570883</v>
      </c>
      <c r="AE497" s="259">
        <v>277684.01116651198</v>
      </c>
      <c r="AF497" s="259">
        <v>280215.39631724922</v>
      </c>
      <c r="AG497" s="259">
        <v>282957.05962972797</v>
      </c>
      <c r="AH497" s="259">
        <v>285915.30944881111</v>
      </c>
      <c r="AI497" s="259">
        <v>290223.29628365708</v>
      </c>
      <c r="AJ497" s="259">
        <v>24281.03146849</v>
      </c>
      <c r="AK497" s="259">
        <v>21305.348445750002</v>
      </c>
      <c r="AL497" s="259">
        <v>18329.665422999999</v>
      </c>
      <c r="AM497" s="259">
        <v>15353.982399299999</v>
      </c>
      <c r="AN497" s="259">
        <v>13173.12429046</v>
      </c>
      <c r="AO497" s="259">
        <v>11257.207820879999</v>
      </c>
      <c r="AP497" s="259"/>
      <c r="AQ497" s="259"/>
      <c r="AR497" s="259"/>
      <c r="AS497" s="259"/>
      <c r="AT497" s="259"/>
      <c r="AU497" s="259"/>
      <c r="AV497" s="259"/>
      <c r="AW497" s="259"/>
      <c r="AX497" s="259"/>
      <c r="AY497" s="259"/>
      <c r="AZ497" s="259"/>
      <c r="BA497" s="259"/>
      <c r="BB497" s="259"/>
      <c r="BC497" s="259"/>
      <c r="BD497" s="259"/>
      <c r="BE497" s="259"/>
      <c r="BF497" s="259"/>
      <c r="BG497" s="259"/>
      <c r="BH497" s="259"/>
      <c r="BI497" s="259"/>
      <c r="BJ497" s="259"/>
      <c r="BK497" s="259"/>
    </row>
    <row r="498" spans="1:63" s="80" customFormat="1" ht="12.75">
      <c r="A498" s="169"/>
      <c r="B498" s="307" t="str">
        <f>IF(SUM(F498:Z498)&gt;0,Servicio_internaColumna_título_total,"")</f>
        <v>Total</v>
      </c>
      <c r="C498" s="308"/>
      <c r="D498" s="309"/>
      <c r="E498" s="309"/>
      <c r="F498" s="309"/>
      <c r="G498" s="309"/>
      <c r="H498" s="309"/>
      <c r="I498" s="309"/>
      <c r="J498" s="309"/>
      <c r="K498" s="309"/>
      <c r="L498" s="309"/>
      <c r="M498" s="309"/>
      <c r="N498" s="309"/>
      <c r="O498" s="309"/>
      <c r="P498" s="309">
        <f>P496+P497</f>
        <v>14281194.648029067</v>
      </c>
      <c r="Q498" s="309">
        <f t="shared" ref="Q498:AO498" si="14">Q496+Q497</f>
        <v>39945682.059192061</v>
      </c>
      <c r="R498" s="309">
        <f t="shared" si="14"/>
        <v>34177649.048310325</v>
      </c>
      <c r="S498" s="309">
        <f t="shared" si="14"/>
        <v>18814773.159631178</v>
      </c>
      <c r="T498" s="309">
        <f t="shared" si="14"/>
        <v>32664524.126949176</v>
      </c>
      <c r="U498" s="309">
        <f t="shared" si="14"/>
        <v>20824649.968213767</v>
      </c>
      <c r="V498" s="309">
        <f t="shared" si="14"/>
        <v>15183515.504400162</v>
      </c>
      <c r="W498" s="309">
        <f t="shared" si="14"/>
        <v>14129503.797829118</v>
      </c>
      <c r="X498" s="309">
        <f t="shared" si="14"/>
        <v>17423365.504456431</v>
      </c>
      <c r="Y498" s="309">
        <f t="shared" si="14"/>
        <v>17310972.478179898</v>
      </c>
      <c r="Z498" s="309">
        <f t="shared" si="14"/>
        <v>27024309.152082153</v>
      </c>
      <c r="AA498" s="309">
        <f t="shared" si="14"/>
        <v>1596929.4748241506</v>
      </c>
      <c r="AB498" s="309">
        <f t="shared" si="14"/>
        <v>8900898.4353556577</v>
      </c>
      <c r="AC498" s="309">
        <f t="shared" si="14"/>
        <v>1052949.3853103307</v>
      </c>
      <c r="AD498" s="309">
        <f t="shared" si="14"/>
        <v>14050438.909570884</v>
      </c>
      <c r="AE498" s="309">
        <f t="shared" si="14"/>
        <v>277684.01116651198</v>
      </c>
      <c r="AF498" s="309">
        <f t="shared" si="14"/>
        <v>280215.39631724922</v>
      </c>
      <c r="AG498" s="309">
        <f t="shared" si="14"/>
        <v>282957.05962972797</v>
      </c>
      <c r="AH498" s="309">
        <f t="shared" si="14"/>
        <v>285915.30944881111</v>
      </c>
      <c r="AI498" s="309">
        <f t="shared" si="14"/>
        <v>5266764.8047104571</v>
      </c>
      <c r="AJ498" s="309">
        <f t="shared" si="14"/>
        <v>24281.03146849</v>
      </c>
      <c r="AK498" s="309">
        <f t="shared" si="14"/>
        <v>21305.348445750002</v>
      </c>
      <c r="AL498" s="309">
        <f t="shared" si="14"/>
        <v>18329.665422999999</v>
      </c>
      <c r="AM498" s="309">
        <f t="shared" si="14"/>
        <v>15353.982399299999</v>
      </c>
      <c r="AN498" s="309">
        <f t="shared" si="14"/>
        <v>13173.12429046</v>
      </c>
      <c r="AO498" s="309">
        <f t="shared" si="14"/>
        <v>11257.207820879999</v>
      </c>
      <c r="AP498" s="309"/>
      <c r="AQ498" s="309"/>
      <c r="AR498" s="309"/>
      <c r="AS498" s="309"/>
      <c r="AT498" s="309"/>
      <c r="AU498" s="309"/>
      <c r="AV498" s="309"/>
      <c r="AW498" s="309"/>
      <c r="AX498" s="309"/>
      <c r="AY498" s="309"/>
      <c r="AZ498" s="309"/>
      <c r="BA498" s="309"/>
      <c r="BB498" s="309"/>
      <c r="BC498" s="309"/>
      <c r="BD498" s="309"/>
      <c r="BE498" s="309"/>
      <c r="BF498" s="309"/>
      <c r="BG498" s="309"/>
      <c r="BH498" s="309"/>
      <c r="BI498" s="309"/>
      <c r="BJ498" s="309"/>
      <c r="BK498" s="309"/>
    </row>
    <row r="499" spans="1:63" s="80" customFormat="1" ht="12.75">
      <c r="A499" s="167"/>
      <c r="B499" s="210" t="str">
        <f>IF(SUM(F499:Z499)&gt;0,Servicio_internaColumna_título_amortizaciones,"")</f>
        <v>Amortizaciones</v>
      </c>
      <c r="C499" s="254"/>
      <c r="D499" s="255"/>
      <c r="E499" s="255"/>
      <c r="F499" s="255"/>
      <c r="G499" s="255"/>
      <c r="H499" s="255"/>
      <c r="I499" s="255"/>
      <c r="J499" s="255"/>
      <c r="K499" s="255"/>
      <c r="L499" s="255"/>
      <c r="M499" s="255"/>
      <c r="N499" s="255"/>
      <c r="O499" s="255"/>
      <c r="P499" s="255">
        <v>7743246.9830753505</v>
      </c>
      <c r="Q499" s="255">
        <v>27265676.351173997</v>
      </c>
      <c r="R499" s="255">
        <v>23742782.173005812</v>
      </c>
      <c r="S499" s="255">
        <v>9386158.5124006011</v>
      </c>
      <c r="T499" s="255">
        <v>23224342.359999999</v>
      </c>
      <c r="U499" s="255">
        <v>14454760.806619279</v>
      </c>
      <c r="V499" s="255">
        <v>8450000.0579639692</v>
      </c>
      <c r="W499" s="255">
        <v>8409525.9204009008</v>
      </c>
      <c r="X499" s="255">
        <v>11921629.9</v>
      </c>
      <c r="Y499" s="255">
        <v>12641423.73843939</v>
      </c>
      <c r="Z499" s="255">
        <v>23266362.899999999</v>
      </c>
      <c r="AA499" s="255">
        <v>0</v>
      </c>
      <c r="AB499" s="255">
        <v>7302219.2000000002</v>
      </c>
      <c r="AC499" s="255">
        <v>0</v>
      </c>
      <c r="AD499" s="255">
        <v>13225917.800000001</v>
      </c>
      <c r="AE499" s="255">
        <v>0</v>
      </c>
      <c r="AF499" s="255">
        <v>0</v>
      </c>
      <c r="AG499" s="255">
        <v>0</v>
      </c>
      <c r="AH499" s="255">
        <v>0</v>
      </c>
      <c r="AI499" s="255">
        <v>5013577.803882</v>
      </c>
      <c r="AJ499" s="255">
        <v>0</v>
      </c>
      <c r="AK499" s="255">
        <v>0</v>
      </c>
      <c r="AL499" s="255">
        <v>0</v>
      </c>
      <c r="AM499" s="255">
        <v>0</v>
      </c>
      <c r="AN499" s="255">
        <v>0</v>
      </c>
      <c r="AO499" s="255">
        <v>0</v>
      </c>
      <c r="AP499" s="255"/>
      <c r="AQ499" s="255"/>
      <c r="AR499" s="255"/>
      <c r="AS499" s="255"/>
      <c r="AT499" s="255"/>
      <c r="AU499" s="255"/>
      <c r="AV499" s="255"/>
      <c r="AW499" s="255"/>
      <c r="AX499" s="255"/>
      <c r="AY499" s="255"/>
      <c r="AZ499" s="255"/>
      <c r="BA499" s="255"/>
      <c r="BB499" s="255"/>
      <c r="BC499" s="255"/>
      <c r="BD499" s="255"/>
      <c r="BE499" s="255"/>
      <c r="BF499" s="255"/>
      <c r="BG499" s="255"/>
      <c r="BH499" s="255"/>
      <c r="BI499" s="255"/>
      <c r="BJ499" s="255"/>
      <c r="BK499" s="255"/>
    </row>
    <row r="500" spans="1:63" s="80" customFormat="1" ht="12.75">
      <c r="A500" s="168">
        <v>41912</v>
      </c>
      <c r="B500" s="213" t="str">
        <f>IF(SUM(F500:Z500)&gt;0,Servicio_internaColumna_título_intereses,"")</f>
        <v>Intereses</v>
      </c>
      <c r="C500" s="256"/>
      <c r="D500" s="257"/>
      <c r="E500" s="257"/>
      <c r="F500" s="257"/>
      <c r="G500" s="257"/>
      <c r="H500" s="257"/>
      <c r="I500" s="257"/>
      <c r="J500" s="257"/>
      <c r="K500" s="257"/>
      <c r="L500" s="257"/>
      <c r="M500" s="257"/>
      <c r="N500" s="257"/>
      <c r="O500" s="257"/>
      <c r="P500" s="257">
        <v>3104686.4516238477</v>
      </c>
      <c r="Q500" s="257">
        <v>13375249.884922801</v>
      </c>
      <c r="R500" s="257">
        <v>11570373.887884878</v>
      </c>
      <c r="S500" s="257">
        <v>9949728.9369389098</v>
      </c>
      <c r="T500" s="257">
        <v>9547321.6419828963</v>
      </c>
      <c r="U500" s="258">
        <v>7610047.5503891222</v>
      </c>
      <c r="V500" s="258">
        <v>6767589.6783715207</v>
      </c>
      <c r="W500" s="258">
        <v>5871252.7851593047</v>
      </c>
      <c r="X500" s="258">
        <v>5531566.9025439788</v>
      </c>
      <c r="Y500" s="258">
        <v>4721189.1684553409</v>
      </c>
      <c r="Z500" s="258">
        <v>3936980.9730830309</v>
      </c>
      <c r="AA500" s="258">
        <v>1611947.5601150552</v>
      </c>
      <c r="AB500" s="258">
        <v>1613732.8600652898</v>
      </c>
      <c r="AC500" s="258">
        <v>1068039.6156212511</v>
      </c>
      <c r="AD500" s="259">
        <v>1070206.343651131</v>
      </c>
      <c r="AE500" s="259">
        <v>279017.34212916746</v>
      </c>
      <c r="AF500" s="259">
        <v>281588.72720878437</v>
      </c>
      <c r="AG500" s="259">
        <v>284371.5904480092</v>
      </c>
      <c r="AH500" s="259">
        <v>287372.27619164076</v>
      </c>
      <c r="AI500" s="259">
        <v>291723.97202877159</v>
      </c>
      <c r="AJ500" s="259">
        <v>24281.03146849</v>
      </c>
      <c r="AK500" s="259">
        <v>21305.348445750002</v>
      </c>
      <c r="AL500" s="259">
        <v>18329.665422999999</v>
      </c>
      <c r="AM500" s="259">
        <v>15353.982399299999</v>
      </c>
      <c r="AN500" s="259">
        <v>13173.12429046</v>
      </c>
      <c r="AO500" s="259">
        <v>11257.207820879999</v>
      </c>
      <c r="AP500" s="259"/>
      <c r="AQ500" s="259"/>
      <c r="AR500" s="259"/>
      <c r="AS500" s="259"/>
      <c r="AT500" s="259"/>
      <c r="AU500" s="259"/>
      <c r="AV500" s="259"/>
      <c r="AW500" s="259"/>
      <c r="AX500" s="259"/>
      <c r="AY500" s="259"/>
      <c r="AZ500" s="259"/>
      <c r="BA500" s="259"/>
      <c r="BB500" s="259"/>
      <c r="BC500" s="259"/>
      <c r="BD500" s="259"/>
      <c r="BE500" s="259"/>
      <c r="BF500" s="259"/>
      <c r="BG500" s="259"/>
      <c r="BH500" s="259"/>
      <c r="BI500" s="259"/>
      <c r="BJ500" s="259"/>
      <c r="BK500" s="259"/>
    </row>
    <row r="501" spans="1:63" s="80" customFormat="1" ht="12.75">
      <c r="A501" s="169"/>
      <c r="B501" s="307" t="str">
        <f>IF(SUM(F501:Z501)&gt;0,Servicio_internaColumna_título_total,"")</f>
        <v>Total</v>
      </c>
      <c r="C501" s="308"/>
      <c r="D501" s="309"/>
      <c r="E501" s="309"/>
      <c r="F501" s="309"/>
      <c r="G501" s="309"/>
      <c r="H501" s="309"/>
      <c r="I501" s="309"/>
      <c r="J501" s="309"/>
      <c r="K501" s="309"/>
      <c r="L501" s="309"/>
      <c r="M501" s="309"/>
      <c r="N501" s="309"/>
      <c r="O501" s="309"/>
      <c r="P501" s="309">
        <f>P499+P500</f>
        <v>10847933.434699198</v>
      </c>
      <c r="Q501" s="309">
        <f t="shared" ref="Q501:AO501" si="15">Q499+Q500</f>
        <v>40640926.236096799</v>
      </c>
      <c r="R501" s="309">
        <f t="shared" si="15"/>
        <v>35313156.060890689</v>
      </c>
      <c r="S501" s="309">
        <f t="shared" si="15"/>
        <v>19335887.449339509</v>
      </c>
      <c r="T501" s="309">
        <f t="shared" si="15"/>
        <v>32771664.001982898</v>
      </c>
      <c r="U501" s="309">
        <f t="shared" si="15"/>
        <v>22064808.357008401</v>
      </c>
      <c r="V501" s="309">
        <f t="shared" si="15"/>
        <v>15217589.73633549</v>
      </c>
      <c r="W501" s="309">
        <f t="shared" si="15"/>
        <v>14280778.705560206</v>
      </c>
      <c r="X501" s="309">
        <f t="shared" si="15"/>
        <v>17453196.802543979</v>
      </c>
      <c r="Y501" s="309">
        <f t="shared" si="15"/>
        <v>17362612.906894732</v>
      </c>
      <c r="Z501" s="309">
        <f t="shared" si="15"/>
        <v>27203343.873083029</v>
      </c>
      <c r="AA501" s="309">
        <f t="shared" si="15"/>
        <v>1611947.5601150552</v>
      </c>
      <c r="AB501" s="309">
        <f t="shared" si="15"/>
        <v>8915952.06006529</v>
      </c>
      <c r="AC501" s="309">
        <f t="shared" si="15"/>
        <v>1068039.6156212511</v>
      </c>
      <c r="AD501" s="309">
        <f t="shared" si="15"/>
        <v>14296124.143651132</v>
      </c>
      <c r="AE501" s="309">
        <f t="shared" si="15"/>
        <v>279017.34212916746</v>
      </c>
      <c r="AF501" s="309">
        <f t="shared" si="15"/>
        <v>281588.72720878437</v>
      </c>
      <c r="AG501" s="309">
        <f t="shared" si="15"/>
        <v>284371.5904480092</v>
      </c>
      <c r="AH501" s="309">
        <f t="shared" si="15"/>
        <v>287372.27619164076</v>
      </c>
      <c r="AI501" s="309">
        <f t="shared" si="15"/>
        <v>5305301.7759107715</v>
      </c>
      <c r="AJ501" s="309">
        <f t="shared" si="15"/>
        <v>24281.03146849</v>
      </c>
      <c r="AK501" s="309">
        <f t="shared" si="15"/>
        <v>21305.348445750002</v>
      </c>
      <c r="AL501" s="309">
        <f t="shared" si="15"/>
        <v>18329.665422999999</v>
      </c>
      <c r="AM501" s="309">
        <f t="shared" si="15"/>
        <v>15353.982399299999</v>
      </c>
      <c r="AN501" s="309">
        <f t="shared" si="15"/>
        <v>13173.12429046</v>
      </c>
      <c r="AO501" s="309">
        <f t="shared" si="15"/>
        <v>11257.207820879999</v>
      </c>
      <c r="AP501" s="309"/>
      <c r="AQ501" s="309"/>
      <c r="AR501" s="309"/>
      <c r="AS501" s="309"/>
      <c r="AT501" s="309"/>
      <c r="AU501" s="309"/>
      <c r="AV501" s="309"/>
      <c r="AW501" s="309"/>
      <c r="AX501" s="309"/>
      <c r="AY501" s="309"/>
      <c r="AZ501" s="309"/>
      <c r="BA501" s="309"/>
      <c r="BB501" s="309"/>
      <c r="BC501" s="309"/>
      <c r="BD501" s="309"/>
      <c r="BE501" s="309"/>
      <c r="BF501" s="309"/>
      <c r="BG501" s="309"/>
      <c r="BH501" s="309"/>
      <c r="BI501" s="309"/>
      <c r="BJ501" s="309"/>
      <c r="BK501" s="309"/>
    </row>
    <row r="502" spans="1:63" s="80" customFormat="1" ht="12.75">
      <c r="A502" s="167"/>
      <c r="B502" s="210" t="str">
        <f>IF(SUM(F502:Z502)&gt;0,Servicio_internaColumna_título_amortizaciones,"")</f>
        <v>Amortizaciones</v>
      </c>
      <c r="C502" s="254"/>
      <c r="D502" s="255"/>
      <c r="E502" s="255"/>
      <c r="F502" s="255"/>
      <c r="G502" s="255"/>
      <c r="H502" s="255"/>
      <c r="I502" s="255"/>
      <c r="J502" s="255"/>
      <c r="K502" s="255"/>
      <c r="L502" s="255"/>
      <c r="M502" s="255"/>
      <c r="N502" s="255"/>
      <c r="O502" s="255"/>
      <c r="P502" s="255">
        <v>10444238.919964949</v>
      </c>
      <c r="Q502" s="255">
        <v>24504614.95415058</v>
      </c>
      <c r="R502" s="255">
        <v>25127215.003524881</v>
      </c>
      <c r="S502" s="255">
        <v>11000364.599199202</v>
      </c>
      <c r="T502" s="255">
        <v>19911481.859999999</v>
      </c>
      <c r="U502" s="255">
        <v>15775261.298101578</v>
      </c>
      <c r="V502" s="255">
        <v>11762860.557963969</v>
      </c>
      <c r="W502" s="255">
        <v>8697373.4321832005</v>
      </c>
      <c r="X502" s="255">
        <v>11921629.9</v>
      </c>
      <c r="Y502" s="255">
        <v>12804315.521611249</v>
      </c>
      <c r="Z502" s="255">
        <v>24195424.399999999</v>
      </c>
      <c r="AA502" s="255">
        <v>0</v>
      </c>
      <c r="AB502" s="255">
        <v>7386219.2000000002</v>
      </c>
      <c r="AC502" s="255">
        <v>0</v>
      </c>
      <c r="AD502" s="255">
        <v>13446885.6</v>
      </c>
      <c r="AE502" s="255">
        <v>0</v>
      </c>
      <c r="AF502" s="255">
        <v>0</v>
      </c>
      <c r="AG502" s="255">
        <v>0</v>
      </c>
      <c r="AH502" s="255">
        <v>0</v>
      </c>
      <c r="AI502" s="255">
        <v>5022214.3875359995</v>
      </c>
      <c r="AJ502" s="255">
        <v>0</v>
      </c>
      <c r="AK502" s="255">
        <v>0</v>
      </c>
      <c r="AL502" s="255">
        <v>0</v>
      </c>
      <c r="AM502" s="255">
        <v>0</v>
      </c>
      <c r="AN502" s="255">
        <v>0</v>
      </c>
      <c r="AO502" s="255">
        <v>0</v>
      </c>
      <c r="AP502" s="255"/>
      <c r="AQ502" s="255"/>
      <c r="AR502" s="255"/>
      <c r="AS502" s="255"/>
      <c r="AT502" s="255"/>
      <c r="AU502" s="255"/>
      <c r="AV502" s="255"/>
      <c r="AW502" s="255"/>
      <c r="AX502" s="255"/>
      <c r="AY502" s="255"/>
      <c r="AZ502" s="255"/>
      <c r="BA502" s="255"/>
      <c r="BB502" s="255"/>
      <c r="BC502" s="255"/>
      <c r="BD502" s="255"/>
      <c r="BE502" s="255"/>
      <c r="BF502" s="255"/>
      <c r="BG502" s="255"/>
      <c r="BH502" s="255"/>
      <c r="BI502" s="255"/>
      <c r="BJ502" s="255"/>
      <c r="BK502" s="255"/>
    </row>
    <row r="503" spans="1:63" s="80" customFormat="1" ht="12.75">
      <c r="A503" s="168">
        <v>41943</v>
      </c>
      <c r="B503" s="213" t="str">
        <f>IF(SUM(F503:Z503)&gt;0,Servicio_internaColumna_título_intereses,"")</f>
        <v>Intereses</v>
      </c>
      <c r="C503" s="256"/>
      <c r="D503" s="257"/>
      <c r="E503" s="257"/>
      <c r="F503" s="257"/>
      <c r="G503" s="257"/>
      <c r="H503" s="257"/>
      <c r="I503" s="257"/>
      <c r="J503" s="257"/>
      <c r="K503" s="257"/>
      <c r="L503" s="257"/>
      <c r="M503" s="257"/>
      <c r="N503" s="257"/>
      <c r="O503" s="257"/>
      <c r="P503" s="257">
        <v>768660.10379087611</v>
      </c>
      <c r="Q503" s="257">
        <v>13479091.013887422</v>
      </c>
      <c r="R503" s="257">
        <v>11914855.726384869</v>
      </c>
      <c r="S503" s="257">
        <v>10221341.072511399</v>
      </c>
      <c r="T503" s="257">
        <v>9745777.5649466794</v>
      </c>
      <c r="U503" s="258">
        <v>8182369.1025893195</v>
      </c>
      <c r="V503" s="258">
        <v>7263916.5641711382</v>
      </c>
      <c r="W503" s="258">
        <v>6003748.4563429095</v>
      </c>
      <c r="X503" s="258">
        <v>5652531.0098355785</v>
      </c>
      <c r="Y503" s="258">
        <v>4842408.2724256897</v>
      </c>
      <c r="Z503" s="258">
        <v>4049445.1910830308</v>
      </c>
      <c r="AA503" s="258">
        <v>1631505.6281150552</v>
      </c>
      <c r="AB503" s="258">
        <v>1633290.9280652897</v>
      </c>
      <c r="AC503" s="258">
        <v>1081297.683621251</v>
      </c>
      <c r="AD503" s="259">
        <v>1083464.411651131</v>
      </c>
      <c r="AE503" s="259">
        <v>279017.34212916746</v>
      </c>
      <c r="AF503" s="259">
        <v>281588.72720878437</v>
      </c>
      <c r="AG503" s="259">
        <v>284371.5904480092</v>
      </c>
      <c r="AH503" s="259">
        <v>287372.27619164076</v>
      </c>
      <c r="AI503" s="259">
        <v>291723.97202877159</v>
      </c>
      <c r="AJ503" s="259">
        <v>24281.03146849</v>
      </c>
      <c r="AK503" s="259">
        <v>21305.348445750002</v>
      </c>
      <c r="AL503" s="259">
        <v>18329.665422999999</v>
      </c>
      <c r="AM503" s="259">
        <v>15353.982399299999</v>
      </c>
      <c r="AN503" s="259">
        <v>13173.12429046</v>
      </c>
      <c r="AO503" s="259">
        <v>11257.207820879999</v>
      </c>
      <c r="AP503" s="259"/>
      <c r="AQ503" s="259"/>
      <c r="AR503" s="259"/>
      <c r="AS503" s="259"/>
      <c r="AT503" s="259"/>
      <c r="AU503" s="259"/>
      <c r="AV503" s="259"/>
      <c r="AW503" s="259"/>
      <c r="AX503" s="259"/>
      <c r="AY503" s="259"/>
      <c r="AZ503" s="259"/>
      <c r="BA503" s="259"/>
      <c r="BB503" s="259"/>
      <c r="BC503" s="259"/>
      <c r="BD503" s="259"/>
      <c r="BE503" s="259"/>
      <c r="BF503" s="259"/>
      <c r="BG503" s="259"/>
      <c r="BH503" s="259"/>
      <c r="BI503" s="259"/>
      <c r="BJ503" s="259"/>
      <c r="BK503" s="259"/>
    </row>
    <row r="504" spans="1:63" s="80" customFormat="1" ht="12.75">
      <c r="A504" s="169"/>
      <c r="B504" s="307" t="str">
        <f>IF(SUM(F504:Z504)&gt;0,Servicio_internaColumna_título_total,"")</f>
        <v>Total</v>
      </c>
      <c r="C504" s="308"/>
      <c r="D504" s="309"/>
      <c r="E504" s="309"/>
      <c r="F504" s="309"/>
      <c r="G504" s="309"/>
      <c r="H504" s="309"/>
      <c r="I504" s="309"/>
      <c r="J504" s="309"/>
      <c r="K504" s="309"/>
      <c r="L504" s="309"/>
      <c r="M504" s="309"/>
      <c r="N504" s="309"/>
      <c r="O504" s="309"/>
      <c r="P504" s="309">
        <f>P502+P503</f>
        <v>11212899.023755824</v>
      </c>
      <c r="Q504" s="309">
        <f t="shared" ref="Q504:AO504" si="16">Q502+Q503</f>
        <v>37983705.968038</v>
      </c>
      <c r="R504" s="309">
        <f t="shared" si="16"/>
        <v>37042070.729909748</v>
      </c>
      <c r="S504" s="309">
        <f t="shared" si="16"/>
        <v>21221705.671710603</v>
      </c>
      <c r="T504" s="309">
        <f t="shared" si="16"/>
        <v>29657259.424946681</v>
      </c>
      <c r="U504" s="309">
        <f t="shared" si="16"/>
        <v>23957630.400690898</v>
      </c>
      <c r="V504" s="309">
        <f t="shared" si="16"/>
        <v>19026777.122135106</v>
      </c>
      <c r="W504" s="309">
        <f t="shared" si="16"/>
        <v>14701121.88852611</v>
      </c>
      <c r="X504" s="309">
        <f t="shared" si="16"/>
        <v>17574160.909835577</v>
      </c>
      <c r="Y504" s="309">
        <f t="shared" si="16"/>
        <v>17646723.79403694</v>
      </c>
      <c r="Z504" s="309">
        <f t="shared" si="16"/>
        <v>28244869.591083027</v>
      </c>
      <c r="AA504" s="309">
        <f t="shared" si="16"/>
        <v>1631505.6281150552</v>
      </c>
      <c r="AB504" s="309">
        <f t="shared" si="16"/>
        <v>9019510.1280652899</v>
      </c>
      <c r="AC504" s="309">
        <f t="shared" si="16"/>
        <v>1081297.683621251</v>
      </c>
      <c r="AD504" s="309">
        <f t="shared" si="16"/>
        <v>14530350.01165113</v>
      </c>
      <c r="AE504" s="309">
        <f t="shared" si="16"/>
        <v>279017.34212916746</v>
      </c>
      <c r="AF504" s="309">
        <f t="shared" si="16"/>
        <v>281588.72720878437</v>
      </c>
      <c r="AG504" s="309">
        <f t="shared" si="16"/>
        <v>284371.5904480092</v>
      </c>
      <c r="AH504" s="309">
        <f t="shared" si="16"/>
        <v>287372.27619164076</v>
      </c>
      <c r="AI504" s="309">
        <f t="shared" si="16"/>
        <v>5313938.3595647709</v>
      </c>
      <c r="AJ504" s="309">
        <f t="shared" si="16"/>
        <v>24281.03146849</v>
      </c>
      <c r="AK504" s="309">
        <f t="shared" si="16"/>
        <v>21305.348445750002</v>
      </c>
      <c r="AL504" s="309">
        <f t="shared" si="16"/>
        <v>18329.665422999999</v>
      </c>
      <c r="AM504" s="309">
        <f t="shared" si="16"/>
        <v>15353.982399299999</v>
      </c>
      <c r="AN504" s="309">
        <f t="shared" si="16"/>
        <v>13173.12429046</v>
      </c>
      <c r="AO504" s="309">
        <f t="shared" si="16"/>
        <v>11257.207820879999</v>
      </c>
      <c r="AP504" s="309"/>
      <c r="AQ504" s="309"/>
      <c r="AR504" s="309"/>
      <c r="AS504" s="309"/>
      <c r="AT504" s="309"/>
      <c r="AU504" s="309"/>
      <c r="AV504" s="309"/>
      <c r="AW504" s="309"/>
      <c r="AX504" s="309"/>
      <c r="AY504" s="309"/>
      <c r="AZ504" s="309"/>
      <c r="BA504" s="309"/>
      <c r="BB504" s="309"/>
      <c r="BC504" s="309"/>
      <c r="BD504" s="309"/>
      <c r="BE504" s="309"/>
      <c r="BF504" s="309"/>
      <c r="BG504" s="309"/>
      <c r="BH504" s="309"/>
      <c r="BI504" s="309"/>
      <c r="BJ504" s="309"/>
      <c r="BK504" s="309"/>
    </row>
    <row r="505" spans="1:63" s="80" customFormat="1" ht="12.75">
      <c r="A505" s="167"/>
      <c r="B505" s="210" t="str">
        <f>IF(SUM(F505:Z505)&gt;0,Servicio_internaColumna_título_amortizaciones,"")</f>
        <v>Amortizaciones</v>
      </c>
      <c r="C505" s="254"/>
      <c r="D505" s="255"/>
      <c r="E505" s="255"/>
      <c r="F505" s="255"/>
      <c r="G505" s="255"/>
      <c r="H505" s="255"/>
      <c r="I505" s="255"/>
      <c r="J505" s="255"/>
      <c r="K505" s="255"/>
      <c r="L505" s="255"/>
      <c r="M505" s="255"/>
      <c r="N505" s="255"/>
      <c r="O505" s="255"/>
      <c r="P505" s="255">
        <v>4774336.8420108305</v>
      </c>
      <c r="Q505" s="255">
        <v>25184436.220914975</v>
      </c>
      <c r="R505" s="255">
        <v>25942581.384526748</v>
      </c>
      <c r="S505" s="255">
        <v>11016611.942282502</v>
      </c>
      <c r="T505" s="255">
        <v>19911481.859999999</v>
      </c>
      <c r="U505" s="255">
        <v>16064976.45304694</v>
      </c>
      <c r="V505" s="255">
        <v>11762832.05232629</v>
      </c>
      <c r="W505" s="255">
        <v>8731692.3485575002</v>
      </c>
      <c r="X505" s="255">
        <v>11921629.9</v>
      </c>
      <c r="Y505" s="255">
        <v>12823229.288377484</v>
      </c>
      <c r="Z505" s="255">
        <v>24200741.600000001</v>
      </c>
      <c r="AA505" s="255">
        <v>0</v>
      </c>
      <c r="AB505" s="255">
        <v>7386219.2000000002</v>
      </c>
      <c r="AC505" s="255">
        <v>0</v>
      </c>
      <c r="AD505" s="255">
        <v>13683009.199999999</v>
      </c>
      <c r="AE505" s="255">
        <v>0</v>
      </c>
      <c r="AF505" s="255">
        <v>0</v>
      </c>
      <c r="AG505" s="255">
        <v>0</v>
      </c>
      <c r="AH505" s="255">
        <v>0</v>
      </c>
      <c r="AI505" s="255">
        <v>5040368.7763499999</v>
      </c>
      <c r="AJ505" s="255">
        <v>0</v>
      </c>
      <c r="AK505" s="255">
        <v>0</v>
      </c>
      <c r="AL505" s="255">
        <v>0</v>
      </c>
      <c r="AM505" s="255">
        <v>0</v>
      </c>
      <c r="AN505" s="255">
        <v>0</v>
      </c>
      <c r="AO505" s="255">
        <v>0</v>
      </c>
      <c r="AP505" s="255"/>
      <c r="AQ505" s="255"/>
      <c r="AR505" s="255"/>
      <c r="AS505" s="255"/>
      <c r="AT505" s="255"/>
      <c r="AU505" s="255"/>
      <c r="AV505" s="255"/>
      <c r="AW505" s="255"/>
      <c r="AX505" s="255"/>
      <c r="AY505" s="255"/>
      <c r="AZ505" s="255"/>
      <c r="BA505" s="255"/>
      <c r="BB505" s="255"/>
      <c r="BC505" s="255"/>
      <c r="BD505" s="255"/>
      <c r="BE505" s="255"/>
      <c r="BF505" s="255"/>
      <c r="BG505" s="255"/>
      <c r="BH505" s="255"/>
      <c r="BI505" s="255"/>
      <c r="BJ505" s="255"/>
      <c r="BK505" s="255"/>
    </row>
    <row r="506" spans="1:63" s="80" customFormat="1" ht="12.75">
      <c r="A506" s="168">
        <v>41973</v>
      </c>
      <c r="B506" s="213" t="str">
        <f>IF(SUM(F506:Z506)&gt;0,Servicio_internaColumna_título_intereses,"")</f>
        <v>Intereses</v>
      </c>
      <c r="C506" s="256"/>
      <c r="D506" s="257"/>
      <c r="E506" s="257"/>
      <c r="F506" s="257"/>
      <c r="G506" s="257"/>
      <c r="H506" s="257"/>
      <c r="I506" s="257"/>
      <c r="J506" s="257"/>
      <c r="K506" s="257"/>
      <c r="L506" s="257"/>
      <c r="M506" s="257"/>
      <c r="N506" s="257"/>
      <c r="O506" s="257"/>
      <c r="P506" s="257">
        <v>25.340686035999997</v>
      </c>
      <c r="Q506" s="257">
        <v>13600298.698149422</v>
      </c>
      <c r="R506" s="257">
        <v>11994992.228169726</v>
      </c>
      <c r="S506" s="257">
        <v>10256690.057844808</v>
      </c>
      <c r="T506" s="257">
        <v>9781178.3407900929</v>
      </c>
      <c r="U506" s="258">
        <v>8217823.2226580316</v>
      </c>
      <c r="V506" s="258">
        <v>7279897.0505269114</v>
      </c>
      <c r="W506" s="258">
        <v>6019767.3832093561</v>
      </c>
      <c r="X506" s="258">
        <v>5667637.9612133112</v>
      </c>
      <c r="Y506" s="258">
        <v>4857527.4582647532</v>
      </c>
      <c r="Z506" s="258">
        <v>4064576.9784172657</v>
      </c>
      <c r="AA506" s="258">
        <v>1646118.6749893175</v>
      </c>
      <c r="AB506" s="258">
        <v>1647917.3438657795</v>
      </c>
      <c r="AC506" s="258">
        <v>1095937.8694157558</v>
      </c>
      <c r="AD506" s="259">
        <v>1098118.7805394707</v>
      </c>
      <c r="AE506" s="259">
        <v>279518.90360415785</v>
      </c>
      <c r="AF506" s="259">
        <v>282105.33552802453</v>
      </c>
      <c r="AG506" s="259">
        <v>284903.69701682654</v>
      </c>
      <c r="AH506" s="259">
        <v>287920.34595752263</v>
      </c>
      <c r="AI506" s="259">
        <v>292288.48388763034</v>
      </c>
      <c r="AJ506" s="259">
        <v>24281.03146849</v>
      </c>
      <c r="AK506" s="259">
        <v>21305.348445750002</v>
      </c>
      <c r="AL506" s="259">
        <v>18329.665422999999</v>
      </c>
      <c r="AM506" s="259">
        <v>15353.982399299999</v>
      </c>
      <c r="AN506" s="259">
        <v>13173.12429046</v>
      </c>
      <c r="AO506" s="259">
        <v>11257.207820879999</v>
      </c>
      <c r="AP506" s="259"/>
      <c r="AQ506" s="259"/>
      <c r="AR506" s="259"/>
      <c r="AS506" s="259"/>
      <c r="AT506" s="259"/>
      <c r="AU506" s="259"/>
      <c r="AV506" s="259"/>
      <c r="AW506" s="259"/>
      <c r="AX506" s="259"/>
      <c r="AY506" s="259"/>
      <c r="AZ506" s="259"/>
      <c r="BA506" s="259"/>
      <c r="BB506" s="259"/>
      <c r="BC506" s="259"/>
      <c r="BD506" s="259"/>
      <c r="BE506" s="259"/>
      <c r="BF506" s="259"/>
      <c r="BG506" s="259"/>
      <c r="BH506" s="259"/>
      <c r="BI506" s="259"/>
      <c r="BJ506" s="259"/>
      <c r="BK506" s="259"/>
    </row>
    <row r="507" spans="1:63" s="80" customFormat="1" ht="12.75">
      <c r="A507" s="169"/>
      <c r="B507" s="307" t="str">
        <f>IF(SUM(F507:Z507)&gt;0,Servicio_internaColumna_título_total,"")</f>
        <v>Total</v>
      </c>
      <c r="C507" s="308"/>
      <c r="D507" s="309"/>
      <c r="E507" s="309"/>
      <c r="F507" s="309"/>
      <c r="G507" s="309"/>
      <c r="H507" s="309"/>
      <c r="I507" s="309"/>
      <c r="J507" s="309"/>
      <c r="K507" s="309"/>
      <c r="L507" s="309"/>
      <c r="M507" s="309"/>
      <c r="N507" s="309"/>
      <c r="O507" s="309"/>
      <c r="P507" s="309">
        <f>P505+P506</f>
        <v>4774362.1826968668</v>
      </c>
      <c r="Q507" s="309">
        <f t="shared" ref="Q507:AO507" si="17">Q505+Q506</f>
        <v>38784734.919064395</v>
      </c>
      <c r="R507" s="309">
        <f t="shared" si="17"/>
        <v>37937573.612696476</v>
      </c>
      <c r="S507" s="309">
        <f t="shared" si="17"/>
        <v>21273302.000127308</v>
      </c>
      <c r="T507" s="309">
        <f t="shared" si="17"/>
        <v>29692660.200790092</v>
      </c>
      <c r="U507" s="309">
        <f t="shared" si="17"/>
        <v>24282799.675704971</v>
      </c>
      <c r="V507" s="309">
        <f t="shared" si="17"/>
        <v>19042729.102853201</v>
      </c>
      <c r="W507" s="309">
        <f t="shared" si="17"/>
        <v>14751459.731766857</v>
      </c>
      <c r="X507" s="309">
        <f t="shared" si="17"/>
        <v>17589267.861213312</v>
      </c>
      <c r="Y507" s="309">
        <f t="shared" si="17"/>
        <v>17680756.746642239</v>
      </c>
      <c r="Z507" s="309">
        <f t="shared" si="17"/>
        <v>28265318.578417268</v>
      </c>
      <c r="AA507" s="309">
        <f t="shared" si="17"/>
        <v>1646118.6749893175</v>
      </c>
      <c r="AB507" s="309">
        <f t="shared" si="17"/>
        <v>9034136.5438657794</v>
      </c>
      <c r="AC507" s="309">
        <f t="shared" si="17"/>
        <v>1095937.8694157558</v>
      </c>
      <c r="AD507" s="309">
        <f t="shared" si="17"/>
        <v>14781127.980539471</v>
      </c>
      <c r="AE507" s="309">
        <f t="shared" si="17"/>
        <v>279518.90360415785</v>
      </c>
      <c r="AF507" s="309">
        <f t="shared" si="17"/>
        <v>282105.33552802453</v>
      </c>
      <c r="AG507" s="309">
        <f t="shared" si="17"/>
        <v>284903.69701682654</v>
      </c>
      <c r="AH507" s="309">
        <f t="shared" si="17"/>
        <v>287920.34595752263</v>
      </c>
      <c r="AI507" s="309">
        <f t="shared" si="17"/>
        <v>5332657.2602376305</v>
      </c>
      <c r="AJ507" s="309">
        <f t="shared" si="17"/>
        <v>24281.03146849</v>
      </c>
      <c r="AK507" s="309">
        <f t="shared" si="17"/>
        <v>21305.348445750002</v>
      </c>
      <c r="AL507" s="309">
        <f t="shared" si="17"/>
        <v>18329.665422999999</v>
      </c>
      <c r="AM507" s="309">
        <f t="shared" si="17"/>
        <v>15353.982399299999</v>
      </c>
      <c r="AN507" s="309">
        <f t="shared" si="17"/>
        <v>13173.12429046</v>
      </c>
      <c r="AO507" s="309">
        <f t="shared" si="17"/>
        <v>11257.207820879999</v>
      </c>
      <c r="AP507" s="309"/>
      <c r="AQ507" s="309"/>
      <c r="AR507" s="309"/>
      <c r="AS507" s="309"/>
      <c r="AT507" s="309"/>
      <c r="AU507" s="309"/>
      <c r="AV507" s="309"/>
      <c r="AW507" s="309"/>
      <c r="AX507" s="309"/>
      <c r="AY507" s="309"/>
      <c r="AZ507" s="309"/>
      <c r="BA507" s="309"/>
      <c r="BB507" s="309"/>
      <c r="BC507" s="309"/>
      <c r="BD507" s="309"/>
      <c r="BE507" s="309"/>
      <c r="BF507" s="309"/>
      <c r="BG507" s="309"/>
      <c r="BH507" s="309"/>
      <c r="BI507" s="309"/>
      <c r="BJ507" s="309"/>
      <c r="BK507" s="309"/>
    </row>
    <row r="508" spans="1:63" s="80" customFormat="1" ht="12.75">
      <c r="A508" s="167"/>
      <c r="B508" s="210" t="str">
        <f>IF(SUM(F508:Z508)&gt;0,Servicio_internaColumna_título_amortizaciones,"")</f>
        <v>Amortizaciones</v>
      </c>
      <c r="C508" s="254"/>
      <c r="D508" s="255"/>
      <c r="E508" s="255"/>
      <c r="F508" s="255"/>
      <c r="G508" s="255"/>
      <c r="H508" s="255"/>
      <c r="I508" s="255"/>
      <c r="J508" s="255"/>
      <c r="K508" s="255"/>
      <c r="L508" s="255"/>
      <c r="M508" s="255"/>
      <c r="N508" s="255"/>
      <c r="O508" s="255"/>
      <c r="P508" s="255"/>
      <c r="Q508" s="255">
        <v>31052901.622560851</v>
      </c>
      <c r="R508" s="255">
        <v>25980676.132792059</v>
      </c>
      <c r="S508" s="255">
        <v>11032813.113566702</v>
      </c>
      <c r="T508" s="255">
        <v>19911481.859999999</v>
      </c>
      <c r="U508" s="255">
        <v>16099506.077261601</v>
      </c>
      <c r="V508" s="255">
        <v>11978928.88693944</v>
      </c>
      <c r="W508" s="255">
        <v>8766335.5361019894</v>
      </c>
      <c r="X508" s="255">
        <v>11921629.9</v>
      </c>
      <c r="Y508" s="255">
        <v>12842089.305885464</v>
      </c>
      <c r="Z508" s="255">
        <v>24200741.600000001</v>
      </c>
      <c r="AA508" s="255">
        <v>0</v>
      </c>
      <c r="AB508" s="255">
        <v>7386219.2000000002</v>
      </c>
      <c r="AC508" s="255">
        <v>0</v>
      </c>
      <c r="AD508" s="255">
        <v>13804481</v>
      </c>
      <c r="AE508" s="255">
        <v>0</v>
      </c>
      <c r="AF508" s="255">
        <v>0</v>
      </c>
      <c r="AG508" s="255">
        <v>0</v>
      </c>
      <c r="AH508" s="255">
        <v>0</v>
      </c>
      <c r="AI508" s="255">
        <v>5120893.3201859994</v>
      </c>
      <c r="AJ508" s="255">
        <v>0</v>
      </c>
      <c r="AK508" s="255">
        <v>0</v>
      </c>
      <c r="AL508" s="255">
        <v>0</v>
      </c>
      <c r="AM508" s="255">
        <v>0</v>
      </c>
      <c r="AN508" s="255">
        <v>0</v>
      </c>
      <c r="AO508" s="255">
        <v>0</v>
      </c>
      <c r="AP508" s="255">
        <v>0</v>
      </c>
      <c r="AQ508" s="255"/>
      <c r="AR508" s="255"/>
      <c r="AS508" s="255"/>
      <c r="AT508" s="255"/>
      <c r="AU508" s="255"/>
      <c r="AV508" s="255"/>
      <c r="AW508" s="255"/>
      <c r="AX508" s="255"/>
      <c r="AY508" s="255"/>
      <c r="AZ508" s="255"/>
      <c r="BA508" s="255"/>
      <c r="BB508" s="255"/>
      <c r="BC508" s="255"/>
      <c r="BD508" s="255"/>
      <c r="BE508" s="255"/>
      <c r="BF508" s="255"/>
      <c r="BG508" s="255"/>
      <c r="BH508" s="255"/>
      <c r="BI508" s="255"/>
      <c r="BJ508" s="255"/>
      <c r="BK508" s="255"/>
    </row>
    <row r="509" spans="1:63" s="80" customFormat="1" ht="12.75">
      <c r="A509" s="168">
        <v>42004</v>
      </c>
      <c r="B509" s="213" t="str">
        <f>IF(SUM(F509:Z509)&gt;0,Servicio_internaColumna_título_intereses,"")</f>
        <v>Intereses</v>
      </c>
      <c r="C509" s="256"/>
      <c r="D509" s="257"/>
      <c r="E509" s="257"/>
      <c r="F509" s="257"/>
      <c r="G509" s="257"/>
      <c r="H509" s="257"/>
      <c r="I509" s="257"/>
      <c r="J509" s="257"/>
      <c r="K509" s="257"/>
      <c r="L509" s="257"/>
      <c r="M509" s="257"/>
      <c r="N509" s="257"/>
      <c r="O509" s="257"/>
      <c r="P509" s="257"/>
      <c r="Q509" s="257">
        <v>13519364.063048165</v>
      </c>
      <c r="R509" s="257">
        <v>12027844.956419928</v>
      </c>
      <c r="S509" s="257">
        <v>10288632.90511273</v>
      </c>
      <c r="T509" s="257">
        <v>9813133.7144881785</v>
      </c>
      <c r="U509" s="258">
        <v>8249880.2727656849</v>
      </c>
      <c r="V509" s="258">
        <v>7295179.3220222658</v>
      </c>
      <c r="W509" s="258">
        <v>6035171.2112602759</v>
      </c>
      <c r="X509" s="258">
        <v>5682177.3006898565</v>
      </c>
      <c r="Y509" s="258">
        <v>4872149.9920783862</v>
      </c>
      <c r="Z509" s="258">
        <v>4079285.2023980562</v>
      </c>
      <c r="AA509" s="258">
        <v>1660915.1598422921</v>
      </c>
      <c r="AB509" s="258">
        <v>1662804.7374170939</v>
      </c>
      <c r="AC509" s="258">
        <v>1110918.8989263903</v>
      </c>
      <c r="AD509" s="259">
        <v>1113196.2550881845</v>
      </c>
      <c r="AE509" s="259">
        <v>287407.40854207263</v>
      </c>
      <c r="AF509" s="259">
        <v>290096.15900683729</v>
      </c>
      <c r="AG509" s="259">
        <v>292999.90859278431</v>
      </c>
      <c r="AH509" s="259">
        <v>296125.10727352917</v>
      </c>
      <c r="AI509" s="259">
        <v>299478.39852192585</v>
      </c>
      <c r="AJ509" s="259">
        <v>27256.714491220002</v>
      </c>
      <c r="AK509" s="259">
        <v>24281.03146849</v>
      </c>
      <c r="AL509" s="259">
        <v>21305.348445750002</v>
      </c>
      <c r="AM509" s="259">
        <v>18329.665422999999</v>
      </c>
      <c r="AN509" s="259">
        <v>15353.982399299999</v>
      </c>
      <c r="AO509" s="259">
        <v>13173.12429046</v>
      </c>
      <c r="AP509" s="259">
        <v>11257.207820879999</v>
      </c>
      <c r="AQ509" s="259"/>
      <c r="AR509" s="259"/>
      <c r="AS509" s="259"/>
      <c r="AT509" s="259"/>
      <c r="AU509" s="259"/>
      <c r="AV509" s="259"/>
      <c r="AW509" s="259"/>
      <c r="AX509" s="259"/>
      <c r="AY509" s="259"/>
      <c r="AZ509" s="259"/>
      <c r="BA509" s="259"/>
      <c r="BB509" s="259"/>
      <c r="BC509" s="259"/>
      <c r="BD509" s="259"/>
      <c r="BE509" s="259"/>
      <c r="BF509" s="259"/>
      <c r="BG509" s="259"/>
      <c r="BH509" s="259"/>
      <c r="BI509" s="259"/>
      <c r="BJ509" s="259"/>
      <c r="BK509" s="259"/>
    </row>
    <row r="510" spans="1:63" s="80" customFormat="1" ht="12.75">
      <c r="A510" s="169"/>
      <c r="B510" s="307" t="str">
        <f>IF(SUM(F510:Z510)&gt;0,Servicio_internaColumna_título_total,"")</f>
        <v>Total</v>
      </c>
      <c r="C510" s="308"/>
      <c r="D510" s="309"/>
      <c r="E510" s="309"/>
      <c r="F510" s="309"/>
      <c r="G510" s="309"/>
      <c r="H510" s="309"/>
      <c r="I510" s="309"/>
      <c r="J510" s="309"/>
      <c r="K510" s="309"/>
      <c r="L510" s="309"/>
      <c r="M510" s="309"/>
      <c r="N510" s="309"/>
      <c r="O510" s="309"/>
      <c r="P510" s="309"/>
      <c r="Q510" s="309">
        <f t="shared" ref="Q510:AP510" si="18">Q508+Q509</f>
        <v>44572265.685609013</v>
      </c>
      <c r="R510" s="309">
        <f t="shared" si="18"/>
        <v>38008521.089211985</v>
      </c>
      <c r="S510" s="309">
        <f t="shared" si="18"/>
        <v>21321446.018679433</v>
      </c>
      <c r="T510" s="309">
        <f t="shared" si="18"/>
        <v>29724615.574488178</v>
      </c>
      <c r="U510" s="309">
        <f t="shared" si="18"/>
        <v>24349386.350027286</v>
      </c>
      <c r="V510" s="309">
        <f t="shared" si="18"/>
        <v>19274108.208961707</v>
      </c>
      <c r="W510" s="309">
        <f t="shared" si="18"/>
        <v>14801506.747362265</v>
      </c>
      <c r="X510" s="309">
        <f t="shared" si="18"/>
        <v>17603807.200689856</v>
      </c>
      <c r="Y510" s="309">
        <f t="shared" si="18"/>
        <v>17714239.29796385</v>
      </c>
      <c r="Z510" s="309">
        <f t="shared" si="18"/>
        <v>28280026.802398056</v>
      </c>
      <c r="AA510" s="309">
        <f t="shared" si="18"/>
        <v>1660915.1598422921</v>
      </c>
      <c r="AB510" s="309">
        <f t="shared" si="18"/>
        <v>9049023.9374170937</v>
      </c>
      <c r="AC510" s="309">
        <f t="shared" si="18"/>
        <v>1110918.8989263903</v>
      </c>
      <c r="AD510" s="309">
        <f t="shared" si="18"/>
        <v>14917677.255088184</v>
      </c>
      <c r="AE510" s="309">
        <f t="shared" si="18"/>
        <v>287407.40854207263</v>
      </c>
      <c r="AF510" s="309">
        <f t="shared" si="18"/>
        <v>290096.15900683729</v>
      </c>
      <c r="AG510" s="309">
        <f t="shared" si="18"/>
        <v>292999.90859278431</v>
      </c>
      <c r="AH510" s="309">
        <f t="shared" si="18"/>
        <v>296125.10727352917</v>
      </c>
      <c r="AI510" s="309">
        <f t="shared" si="18"/>
        <v>5420371.7187079256</v>
      </c>
      <c r="AJ510" s="309">
        <f t="shared" si="18"/>
        <v>27256.714491220002</v>
      </c>
      <c r="AK510" s="309">
        <f t="shared" si="18"/>
        <v>24281.03146849</v>
      </c>
      <c r="AL510" s="309">
        <f t="shared" si="18"/>
        <v>21305.348445750002</v>
      </c>
      <c r="AM510" s="309">
        <f t="shared" si="18"/>
        <v>18329.665422999999</v>
      </c>
      <c r="AN510" s="309">
        <f t="shared" si="18"/>
        <v>15353.982399299999</v>
      </c>
      <c r="AO510" s="309">
        <f t="shared" si="18"/>
        <v>13173.12429046</v>
      </c>
      <c r="AP510" s="309">
        <f t="shared" si="18"/>
        <v>11257.207820879999</v>
      </c>
      <c r="AQ510" s="309"/>
      <c r="AR510" s="309"/>
      <c r="AS510" s="309"/>
      <c r="AT510" s="309"/>
      <c r="AU510" s="309"/>
      <c r="AV510" s="309"/>
      <c r="AW510" s="309"/>
      <c r="AX510" s="309"/>
      <c r="AY510" s="309"/>
      <c r="AZ510" s="309"/>
      <c r="BA510" s="309"/>
      <c r="BB510" s="309"/>
      <c r="BC510" s="309"/>
      <c r="BD510" s="309"/>
      <c r="BE510" s="309"/>
      <c r="BF510" s="309"/>
      <c r="BG510" s="309"/>
      <c r="BH510" s="309"/>
      <c r="BI510" s="309"/>
      <c r="BJ510" s="309"/>
      <c r="BK510" s="309"/>
    </row>
    <row r="511" spans="1:63" s="80" customFormat="1" ht="12.75">
      <c r="A511" s="167"/>
      <c r="B511" s="210" t="str">
        <f>IF(SUM(F511:Z511)&gt;0,Servicio_internaColumna_título_amortizaciones,"")</f>
        <v>Amortizaciones</v>
      </c>
      <c r="C511" s="254"/>
      <c r="D511" s="255"/>
      <c r="E511" s="255"/>
      <c r="F511" s="255"/>
      <c r="G511" s="255"/>
      <c r="H511" s="255"/>
      <c r="I511" s="255"/>
      <c r="J511" s="255"/>
      <c r="K511" s="255"/>
      <c r="L511" s="255"/>
      <c r="M511" s="255"/>
      <c r="N511" s="255"/>
      <c r="O511" s="255"/>
      <c r="P511" s="255"/>
      <c r="Q511" s="255">
        <v>25236406.416668613</v>
      </c>
      <c r="R511" s="255">
        <v>25980859.74894556</v>
      </c>
      <c r="S511" s="255">
        <v>11055129.483131701</v>
      </c>
      <c r="T511" s="255">
        <v>19911481.859999999</v>
      </c>
      <c r="U511" s="255">
        <v>17067422.129247699</v>
      </c>
      <c r="V511" s="255">
        <v>11978928.88693944</v>
      </c>
      <c r="W511" s="255">
        <v>9173339.4766410906</v>
      </c>
      <c r="X511" s="255">
        <v>11921629.9</v>
      </c>
      <c r="Y511" s="255">
        <v>12868068.114042435</v>
      </c>
      <c r="Z511" s="255">
        <v>24501632.699999999</v>
      </c>
      <c r="AA511" s="255">
        <v>0</v>
      </c>
      <c r="AB511" s="255">
        <v>7386219.2000000002</v>
      </c>
      <c r="AC511" s="255">
        <v>0</v>
      </c>
      <c r="AD511" s="255">
        <v>13804481</v>
      </c>
      <c r="AE511" s="255">
        <v>0</v>
      </c>
      <c r="AF511" s="255">
        <v>1480441.7</v>
      </c>
      <c r="AG511" s="255">
        <v>0</v>
      </c>
      <c r="AH511" s="255">
        <v>0</v>
      </c>
      <c r="AI511" s="255">
        <v>5526435.8914620997</v>
      </c>
      <c r="AJ511" s="255">
        <v>0</v>
      </c>
      <c r="AK511" s="255">
        <v>0</v>
      </c>
      <c r="AL511" s="255">
        <v>0</v>
      </c>
      <c r="AM511" s="255">
        <v>0</v>
      </c>
      <c r="AN511" s="255">
        <v>0</v>
      </c>
      <c r="AO511" s="255">
        <v>0</v>
      </c>
      <c r="AP511" s="255">
        <v>0</v>
      </c>
      <c r="AQ511" s="255"/>
      <c r="AR511" s="255"/>
      <c r="AS511" s="255"/>
      <c r="AT511" s="255"/>
      <c r="AU511" s="255"/>
      <c r="AV511" s="255"/>
      <c r="AW511" s="255"/>
      <c r="AX511" s="255"/>
      <c r="AY511" s="255"/>
      <c r="AZ511" s="255"/>
      <c r="BA511" s="255"/>
      <c r="BB511" s="255"/>
      <c r="BC511" s="255"/>
      <c r="BD511" s="255"/>
      <c r="BE511" s="255"/>
      <c r="BF511" s="255"/>
      <c r="BG511" s="255"/>
      <c r="BH511" s="255"/>
      <c r="BI511" s="255"/>
      <c r="BJ511" s="255"/>
      <c r="BK511" s="255"/>
    </row>
    <row r="512" spans="1:63" s="80" customFormat="1" ht="12.75">
      <c r="A512" s="168">
        <v>42035</v>
      </c>
      <c r="B512" s="213" t="str">
        <f>IF(SUM(F512:Z512)&gt;0,Servicio_internaColumna_título_intereses,"")</f>
        <v>Intereses</v>
      </c>
      <c r="C512" s="256"/>
      <c r="D512" s="257"/>
      <c r="E512" s="257"/>
      <c r="F512" s="257"/>
      <c r="G512" s="257"/>
      <c r="H512" s="257"/>
      <c r="I512" s="257"/>
      <c r="J512" s="257"/>
      <c r="K512" s="257"/>
      <c r="L512" s="257"/>
      <c r="M512" s="257"/>
      <c r="N512" s="257"/>
      <c r="O512" s="257"/>
      <c r="P512" s="257"/>
      <c r="Q512" s="257">
        <v>13748935.075782608</v>
      </c>
      <c r="R512" s="257">
        <v>12203856.885900889</v>
      </c>
      <c r="S512" s="257">
        <v>10520167.406048516</v>
      </c>
      <c r="T512" s="257">
        <v>10045425.311501957</v>
      </c>
      <c r="U512" s="258">
        <v>8483430.6118873768</v>
      </c>
      <c r="V512" s="258">
        <v>7471495.2322658515</v>
      </c>
      <c r="W512" s="258">
        <v>6212431.8985586669</v>
      </c>
      <c r="X512" s="258">
        <v>5842851.4217750086</v>
      </c>
      <c r="Y512" s="258">
        <v>5033299.6365435943</v>
      </c>
      <c r="Z512" s="258">
        <v>4240180.5919736493</v>
      </c>
      <c r="AA512" s="258">
        <v>1792203.6008526527</v>
      </c>
      <c r="AB512" s="258">
        <v>1794589.8047052654</v>
      </c>
      <c r="AC512" s="258">
        <v>1243215.4912807071</v>
      </c>
      <c r="AD512" s="259">
        <v>1246019.7182606314</v>
      </c>
      <c r="AE512" s="259">
        <v>420773.54865719221</v>
      </c>
      <c r="AF512" s="259">
        <v>424021.25637291046</v>
      </c>
      <c r="AG512" s="259">
        <v>312766.50017733971</v>
      </c>
      <c r="AH512" s="259">
        <v>316484.69660562114</v>
      </c>
      <c r="AI512" s="259">
        <v>320448.77553398121</v>
      </c>
      <c r="AJ512" s="259">
        <v>27256.714491220002</v>
      </c>
      <c r="AK512" s="259">
        <v>24281.03146849</v>
      </c>
      <c r="AL512" s="259">
        <v>21305.348445750002</v>
      </c>
      <c r="AM512" s="259">
        <v>18329.665422999999</v>
      </c>
      <c r="AN512" s="259">
        <v>15353.982399299999</v>
      </c>
      <c r="AO512" s="259">
        <v>13173.12429046</v>
      </c>
      <c r="AP512" s="259">
        <v>11257.207820879999</v>
      </c>
      <c r="AQ512" s="259"/>
      <c r="AR512" s="259"/>
      <c r="AS512" s="259"/>
      <c r="AT512" s="259"/>
      <c r="AU512" s="259"/>
      <c r="AV512" s="259"/>
      <c r="AW512" s="259"/>
      <c r="AX512" s="259"/>
      <c r="AY512" s="259"/>
      <c r="AZ512" s="259"/>
      <c r="BA512" s="259"/>
      <c r="BB512" s="259"/>
      <c r="BC512" s="259"/>
      <c r="BD512" s="259"/>
      <c r="BE512" s="259"/>
      <c r="BF512" s="259"/>
      <c r="BG512" s="259"/>
      <c r="BH512" s="259"/>
      <c r="BI512" s="259"/>
      <c r="BJ512" s="259"/>
      <c r="BK512" s="259"/>
    </row>
    <row r="513" spans="1:63" s="80" customFormat="1" ht="12.75">
      <c r="A513" s="169"/>
      <c r="B513" s="307" t="str">
        <f>IF(SUM(F513:Z513)&gt;0,Servicio_internaColumna_título_total,"")</f>
        <v>Total</v>
      </c>
      <c r="C513" s="308"/>
      <c r="D513" s="309"/>
      <c r="E513" s="309"/>
      <c r="F513" s="309"/>
      <c r="G513" s="309"/>
      <c r="H513" s="309"/>
      <c r="I513" s="309"/>
      <c r="J513" s="309"/>
      <c r="K513" s="309"/>
      <c r="L513" s="309"/>
      <c r="M513" s="309"/>
      <c r="N513" s="309"/>
      <c r="O513" s="309"/>
      <c r="P513" s="309"/>
      <c r="Q513" s="309">
        <f t="shared" ref="Q513:AP513" si="19">Q511+Q512</f>
        <v>38985341.492451221</v>
      </c>
      <c r="R513" s="309">
        <f t="shared" si="19"/>
        <v>38184716.634846449</v>
      </c>
      <c r="S513" s="309">
        <f t="shared" si="19"/>
        <v>21575296.889180217</v>
      </c>
      <c r="T513" s="309">
        <f t="shared" si="19"/>
        <v>29956907.171501957</v>
      </c>
      <c r="U513" s="309">
        <f t="shared" si="19"/>
        <v>25550852.741135076</v>
      </c>
      <c r="V513" s="309">
        <f t="shared" si="19"/>
        <v>19450424.119205292</v>
      </c>
      <c r="W513" s="309">
        <f t="shared" si="19"/>
        <v>15385771.375199758</v>
      </c>
      <c r="X513" s="309">
        <f t="shared" si="19"/>
        <v>17764481.321775008</v>
      </c>
      <c r="Y513" s="309">
        <f t="shared" si="19"/>
        <v>17901367.750586029</v>
      </c>
      <c r="Z513" s="309">
        <f t="shared" si="19"/>
        <v>28741813.29197365</v>
      </c>
      <c r="AA513" s="309">
        <f t="shared" si="19"/>
        <v>1792203.6008526527</v>
      </c>
      <c r="AB513" s="309">
        <f t="shared" si="19"/>
        <v>9180809.0047052652</v>
      </c>
      <c r="AC513" s="309">
        <f t="shared" si="19"/>
        <v>1243215.4912807071</v>
      </c>
      <c r="AD513" s="309">
        <f t="shared" si="19"/>
        <v>15050500.718260631</v>
      </c>
      <c r="AE513" s="309">
        <f t="shared" si="19"/>
        <v>420773.54865719221</v>
      </c>
      <c r="AF513" s="309">
        <f t="shared" si="19"/>
        <v>1904462.9563729104</v>
      </c>
      <c r="AG513" s="309">
        <f t="shared" si="19"/>
        <v>312766.50017733971</v>
      </c>
      <c r="AH513" s="309">
        <f t="shared" si="19"/>
        <v>316484.69660562114</v>
      </c>
      <c r="AI513" s="309">
        <f t="shared" si="19"/>
        <v>5846884.6669960814</v>
      </c>
      <c r="AJ513" s="309">
        <f t="shared" si="19"/>
        <v>27256.714491220002</v>
      </c>
      <c r="AK513" s="309">
        <f t="shared" si="19"/>
        <v>24281.03146849</v>
      </c>
      <c r="AL513" s="309">
        <f t="shared" si="19"/>
        <v>21305.348445750002</v>
      </c>
      <c r="AM513" s="309">
        <f t="shared" si="19"/>
        <v>18329.665422999999</v>
      </c>
      <c r="AN513" s="309">
        <f t="shared" si="19"/>
        <v>15353.982399299999</v>
      </c>
      <c r="AO513" s="309">
        <f t="shared" si="19"/>
        <v>13173.12429046</v>
      </c>
      <c r="AP513" s="309">
        <f t="shared" si="19"/>
        <v>11257.207820879999</v>
      </c>
      <c r="AQ513" s="309"/>
      <c r="AR513" s="309"/>
      <c r="AS513" s="309"/>
      <c r="AT513" s="309"/>
      <c r="AU513" s="309"/>
      <c r="AV513" s="309"/>
      <c r="AW513" s="309"/>
      <c r="AX513" s="309"/>
      <c r="AY513" s="309"/>
      <c r="AZ513" s="309"/>
      <c r="BA513" s="309"/>
      <c r="BB513" s="309"/>
      <c r="BC513" s="309"/>
      <c r="BD513" s="309"/>
      <c r="BE513" s="309"/>
      <c r="BF513" s="309"/>
      <c r="BG513" s="309"/>
      <c r="BH513" s="309"/>
      <c r="BI513" s="309"/>
      <c r="BJ513" s="309"/>
      <c r="BK513" s="309"/>
    </row>
    <row r="514" spans="1:63" s="80" customFormat="1" ht="12.75">
      <c r="A514" s="167"/>
      <c r="B514" s="210" t="str">
        <f>IF(SUM(F514:Z514)&gt;0,Servicio_internaColumna_título_amortizaciones,"")</f>
        <v>Amortizaciones</v>
      </c>
      <c r="C514" s="254"/>
      <c r="D514" s="255"/>
      <c r="E514" s="255"/>
      <c r="F514" s="255"/>
      <c r="G514" s="255"/>
      <c r="H514" s="255"/>
      <c r="I514" s="255"/>
      <c r="J514" s="255"/>
      <c r="K514" s="255"/>
      <c r="L514" s="255"/>
      <c r="M514" s="255"/>
      <c r="N514" s="255"/>
      <c r="O514" s="255"/>
      <c r="P514" s="255"/>
      <c r="Q514" s="255">
        <v>24285977.119412892</v>
      </c>
      <c r="R514" s="255">
        <v>25988620.13501228</v>
      </c>
      <c r="S514" s="255">
        <v>11102394.014810402</v>
      </c>
      <c r="T514" s="255">
        <v>19911481.859999999</v>
      </c>
      <c r="U514" s="255">
        <v>18045284.1232352</v>
      </c>
      <c r="V514" s="255">
        <v>11978928.88693944</v>
      </c>
      <c r="W514" s="255">
        <v>9585717.3242715187</v>
      </c>
      <c r="X514" s="255">
        <v>11921629.9</v>
      </c>
      <c r="Y514" s="255">
        <v>12923089.438076956</v>
      </c>
      <c r="Z514" s="255">
        <v>24835452.199999999</v>
      </c>
      <c r="AA514" s="255">
        <v>0</v>
      </c>
      <c r="AB514" s="255">
        <v>7386219.2000000002</v>
      </c>
      <c r="AC514" s="255">
        <v>0</v>
      </c>
      <c r="AD514" s="255">
        <v>13804481</v>
      </c>
      <c r="AE514" s="255">
        <v>0</v>
      </c>
      <c r="AF514" s="255">
        <v>2614245.4</v>
      </c>
      <c r="AG514" s="255">
        <v>0</v>
      </c>
      <c r="AH514" s="255">
        <v>0</v>
      </c>
      <c r="AI514" s="255">
        <v>5847836.7580304006</v>
      </c>
      <c r="AJ514" s="255">
        <v>0</v>
      </c>
      <c r="AK514" s="255">
        <v>0</v>
      </c>
      <c r="AL514" s="255">
        <v>0</v>
      </c>
      <c r="AM514" s="255">
        <v>0</v>
      </c>
      <c r="AN514" s="255">
        <v>0</v>
      </c>
      <c r="AO514" s="255">
        <v>0</v>
      </c>
      <c r="AP514" s="255">
        <v>0</v>
      </c>
      <c r="AQ514" s="255"/>
      <c r="AR514" s="255"/>
      <c r="AS514" s="255"/>
      <c r="AT514" s="255"/>
      <c r="AU514" s="255"/>
      <c r="AV514" s="255"/>
      <c r="AW514" s="255"/>
      <c r="AX514" s="255"/>
      <c r="AY514" s="255"/>
      <c r="AZ514" s="255"/>
      <c r="BA514" s="255"/>
      <c r="BB514" s="255"/>
      <c r="BC514" s="255"/>
      <c r="BD514" s="255"/>
      <c r="BE514" s="255"/>
      <c r="BF514" s="255"/>
      <c r="BG514" s="255"/>
      <c r="BH514" s="255"/>
      <c r="BI514" s="255"/>
      <c r="BJ514" s="255"/>
      <c r="BK514" s="255"/>
    </row>
    <row r="515" spans="1:63" s="80" customFormat="1" ht="12.75">
      <c r="A515" s="168">
        <v>42063</v>
      </c>
      <c r="B515" s="213" t="str">
        <f>IF(SUM(F515:Z515)&gt;0,Servicio_internaColumna_título_intereses,"")</f>
        <v>Intereses</v>
      </c>
      <c r="C515" s="256"/>
      <c r="D515" s="257"/>
      <c r="E515" s="257"/>
      <c r="F515" s="257"/>
      <c r="G515" s="257"/>
      <c r="H515" s="257"/>
      <c r="I515" s="257"/>
      <c r="J515" s="257"/>
      <c r="K515" s="257"/>
      <c r="L515" s="257"/>
      <c r="M515" s="257"/>
      <c r="N515" s="257"/>
      <c r="O515" s="257"/>
      <c r="P515" s="257"/>
      <c r="Q515" s="257">
        <v>12878318.300620347</v>
      </c>
      <c r="R515" s="257">
        <v>12403385.215125108</v>
      </c>
      <c r="S515" s="257">
        <v>10721381.815677334</v>
      </c>
      <c r="T515" s="257">
        <v>10247740.61483714</v>
      </c>
      <c r="U515" s="258">
        <v>8686879.8357401155</v>
      </c>
      <c r="V515" s="258">
        <v>7618815.5851680627</v>
      </c>
      <c r="W515" s="258">
        <v>6360534.3099454492</v>
      </c>
      <c r="X515" s="258">
        <v>5975337.153604704</v>
      </c>
      <c r="Y515" s="258">
        <v>5166122.3882256765</v>
      </c>
      <c r="Z515" s="258">
        <v>4373350.4741036948</v>
      </c>
      <c r="AA515" s="258">
        <v>1892349.0773440995</v>
      </c>
      <c r="AB515" s="258">
        <v>1895103.5518889553</v>
      </c>
      <c r="AC515" s="258">
        <v>1344108.5572774077</v>
      </c>
      <c r="AD515" s="259">
        <v>1347303.482634733</v>
      </c>
      <c r="AE515" s="259">
        <v>522459.73236001708</v>
      </c>
      <c r="AF515" s="259">
        <v>526121.93198432005</v>
      </c>
      <c r="AG515" s="259">
        <v>327424.31570459163</v>
      </c>
      <c r="AH515" s="259">
        <v>331582.24659869063</v>
      </c>
      <c r="AI515" s="259">
        <v>335999.2520268425</v>
      </c>
      <c r="AJ515" s="259">
        <v>27256.714491220002</v>
      </c>
      <c r="AK515" s="259">
        <v>24281.03146849</v>
      </c>
      <c r="AL515" s="259">
        <v>21305.348445750002</v>
      </c>
      <c r="AM515" s="259">
        <v>18329.665422999999</v>
      </c>
      <c r="AN515" s="259">
        <v>15353.982399299999</v>
      </c>
      <c r="AO515" s="259">
        <v>13173.12429046</v>
      </c>
      <c r="AP515" s="259">
        <v>11257.207820879999</v>
      </c>
      <c r="AQ515" s="259"/>
      <c r="AR515" s="259"/>
      <c r="AS515" s="259"/>
      <c r="AT515" s="259"/>
      <c r="AU515" s="259"/>
      <c r="AV515" s="259"/>
      <c r="AW515" s="259"/>
      <c r="AX515" s="259"/>
      <c r="AY515" s="259"/>
      <c r="AZ515" s="259"/>
      <c r="BA515" s="259"/>
      <c r="BB515" s="259"/>
      <c r="BC515" s="259"/>
      <c r="BD515" s="259"/>
      <c r="BE515" s="259"/>
      <c r="BF515" s="259"/>
      <c r="BG515" s="259"/>
      <c r="BH515" s="259"/>
      <c r="BI515" s="259"/>
      <c r="BJ515" s="259"/>
      <c r="BK515" s="259"/>
    </row>
    <row r="516" spans="1:63" s="80" customFormat="1" ht="12.75">
      <c r="A516" s="169"/>
      <c r="B516" s="307" t="str">
        <f>IF(SUM(F516:Z516)&gt;0,Servicio_internaColumna_título_total,"")</f>
        <v>Total</v>
      </c>
      <c r="C516" s="308"/>
      <c r="D516" s="309"/>
      <c r="E516" s="309"/>
      <c r="F516" s="309"/>
      <c r="G516" s="309"/>
      <c r="H516" s="309"/>
      <c r="I516" s="309"/>
      <c r="J516" s="309"/>
      <c r="K516" s="309"/>
      <c r="L516" s="309"/>
      <c r="M516" s="309"/>
      <c r="N516" s="309"/>
      <c r="O516" s="309"/>
      <c r="P516" s="309"/>
      <c r="Q516" s="309">
        <f t="shared" ref="Q516:AP516" si="20">Q514+Q515</f>
        <v>37164295.420033239</v>
      </c>
      <c r="R516" s="309">
        <f t="shared" si="20"/>
        <v>38392005.35013739</v>
      </c>
      <c r="S516" s="309">
        <f t="shared" si="20"/>
        <v>21823775.830487736</v>
      </c>
      <c r="T516" s="309">
        <f t="shared" si="20"/>
        <v>30159222.474837139</v>
      </c>
      <c r="U516" s="309">
        <f t="shared" si="20"/>
        <v>26732163.958975315</v>
      </c>
      <c r="V516" s="309">
        <f t="shared" si="20"/>
        <v>19597744.472107504</v>
      </c>
      <c r="W516" s="309">
        <f t="shared" si="20"/>
        <v>15946251.634216968</v>
      </c>
      <c r="X516" s="309">
        <f t="shared" si="20"/>
        <v>17896967.053604703</v>
      </c>
      <c r="Y516" s="309">
        <f t="shared" si="20"/>
        <v>18089211.826302633</v>
      </c>
      <c r="Z516" s="309">
        <f t="shared" si="20"/>
        <v>29208802.674103692</v>
      </c>
      <c r="AA516" s="309">
        <f t="shared" si="20"/>
        <v>1892349.0773440995</v>
      </c>
      <c r="AB516" s="309">
        <f t="shared" si="20"/>
        <v>9281322.751888955</v>
      </c>
      <c r="AC516" s="309">
        <f t="shared" si="20"/>
        <v>1344108.5572774077</v>
      </c>
      <c r="AD516" s="309">
        <f t="shared" si="20"/>
        <v>15151784.482634732</v>
      </c>
      <c r="AE516" s="309">
        <f t="shared" si="20"/>
        <v>522459.73236001708</v>
      </c>
      <c r="AF516" s="309">
        <f t="shared" si="20"/>
        <v>3140367.3319843197</v>
      </c>
      <c r="AG516" s="309">
        <f t="shared" si="20"/>
        <v>327424.31570459163</v>
      </c>
      <c r="AH516" s="309">
        <f t="shared" si="20"/>
        <v>331582.24659869063</v>
      </c>
      <c r="AI516" s="309">
        <f t="shared" si="20"/>
        <v>6183836.0100572435</v>
      </c>
      <c r="AJ516" s="309">
        <f t="shared" si="20"/>
        <v>27256.714491220002</v>
      </c>
      <c r="AK516" s="309">
        <f t="shared" si="20"/>
        <v>24281.03146849</v>
      </c>
      <c r="AL516" s="309">
        <f t="shared" si="20"/>
        <v>21305.348445750002</v>
      </c>
      <c r="AM516" s="309">
        <f t="shared" si="20"/>
        <v>18329.665422999999</v>
      </c>
      <c r="AN516" s="309">
        <f t="shared" si="20"/>
        <v>15353.982399299999</v>
      </c>
      <c r="AO516" s="309">
        <f t="shared" si="20"/>
        <v>13173.12429046</v>
      </c>
      <c r="AP516" s="309">
        <f t="shared" si="20"/>
        <v>11257.207820879999</v>
      </c>
      <c r="AQ516" s="309"/>
      <c r="AR516" s="309"/>
      <c r="AS516" s="309"/>
      <c r="AT516" s="309"/>
      <c r="AU516" s="309"/>
      <c r="AV516" s="309"/>
      <c r="AW516" s="309"/>
      <c r="AX516" s="309"/>
      <c r="AY516" s="309"/>
      <c r="AZ516" s="309"/>
      <c r="BA516" s="309"/>
      <c r="BB516" s="309"/>
      <c r="BC516" s="309"/>
      <c r="BD516" s="309"/>
      <c r="BE516" s="309"/>
      <c r="BF516" s="309"/>
      <c r="BG516" s="309"/>
      <c r="BH516" s="309"/>
      <c r="BI516" s="309"/>
      <c r="BJ516" s="309"/>
      <c r="BK516" s="309"/>
    </row>
    <row r="517" spans="1:63" s="80" customFormat="1" ht="12.75">
      <c r="A517" s="167"/>
      <c r="B517" s="210" t="str">
        <f>IF(SUM(F517:Z517)&gt;0,Servicio_internaColumna_título_amortizaciones,"")</f>
        <v>Amortizaciones</v>
      </c>
      <c r="C517" s="254"/>
      <c r="D517" s="255"/>
      <c r="E517" s="255"/>
      <c r="F517" s="255"/>
      <c r="G517" s="255"/>
      <c r="H517" s="255"/>
      <c r="I517" s="255"/>
      <c r="J517" s="255"/>
      <c r="K517" s="255"/>
      <c r="L517" s="255"/>
      <c r="M517" s="255"/>
      <c r="N517" s="255"/>
      <c r="O517" s="255"/>
      <c r="P517" s="255"/>
      <c r="Q517" s="255">
        <v>22320599.942787692</v>
      </c>
      <c r="R517" s="255">
        <v>25986422.056937918</v>
      </c>
      <c r="S517" s="255">
        <v>11206331.864784403</v>
      </c>
      <c r="T517" s="255">
        <v>19911481.859999999</v>
      </c>
      <c r="U517" s="255">
        <v>19151128.4346864</v>
      </c>
      <c r="V517" s="255">
        <v>11983699.40777152</v>
      </c>
      <c r="W517" s="255">
        <v>10017967.68214127</v>
      </c>
      <c r="X517" s="255">
        <v>11921629.9</v>
      </c>
      <c r="Y517" s="255">
        <v>13044084.990550568</v>
      </c>
      <c r="Z517" s="255">
        <v>25628303.300000001</v>
      </c>
      <c r="AA517" s="255">
        <v>0</v>
      </c>
      <c r="AB517" s="255">
        <v>7386219.2000000002</v>
      </c>
      <c r="AC517" s="255">
        <v>0</v>
      </c>
      <c r="AD517" s="255">
        <v>13804481</v>
      </c>
      <c r="AE517" s="255">
        <v>0</v>
      </c>
      <c r="AF517" s="255">
        <v>3585734.3</v>
      </c>
      <c r="AG517" s="255">
        <v>0</v>
      </c>
      <c r="AH517" s="255">
        <v>0</v>
      </c>
      <c r="AI517" s="255">
        <v>6239784.8822868001</v>
      </c>
      <c r="AJ517" s="255">
        <v>0</v>
      </c>
      <c r="AK517" s="255">
        <v>0</v>
      </c>
      <c r="AL517" s="255">
        <v>0</v>
      </c>
      <c r="AM517" s="255">
        <v>0</v>
      </c>
      <c r="AN517" s="255">
        <v>0</v>
      </c>
      <c r="AO517" s="255">
        <v>0</v>
      </c>
      <c r="AP517" s="255">
        <v>0</v>
      </c>
      <c r="AQ517" s="255"/>
      <c r="AR517" s="255"/>
      <c r="AS517" s="255"/>
      <c r="AT517" s="255"/>
      <c r="AU517" s="255"/>
      <c r="AV517" s="255"/>
      <c r="AW517" s="255"/>
      <c r="AX517" s="255"/>
      <c r="AY517" s="255"/>
      <c r="AZ517" s="255"/>
      <c r="BA517" s="255"/>
      <c r="BB517" s="255"/>
      <c r="BC517" s="255"/>
      <c r="BD517" s="255"/>
      <c r="BE517" s="255"/>
      <c r="BF517" s="255"/>
      <c r="BG517" s="255"/>
      <c r="BH517" s="255"/>
      <c r="BI517" s="255"/>
      <c r="BJ517" s="255"/>
      <c r="BK517" s="255"/>
    </row>
    <row r="518" spans="1:63" s="80" customFormat="1" ht="12.75">
      <c r="A518" s="168">
        <v>42094</v>
      </c>
      <c r="B518" s="213" t="str">
        <f>IF(SUM(F518:Z518)&gt;0,Servicio_internaColumna_título_intereses,"")</f>
        <v>Intereses</v>
      </c>
      <c r="C518" s="256"/>
      <c r="D518" s="257"/>
      <c r="E518" s="257"/>
      <c r="F518" s="257"/>
      <c r="G518" s="257"/>
      <c r="H518" s="257"/>
      <c r="I518" s="257"/>
      <c r="J518" s="257"/>
      <c r="K518" s="257"/>
      <c r="L518" s="257"/>
      <c r="M518" s="257"/>
      <c r="N518" s="257"/>
      <c r="O518" s="257"/>
      <c r="P518" s="257"/>
      <c r="Q518" s="257">
        <v>12575284.762394749</v>
      </c>
      <c r="R518" s="257">
        <v>12646077.169088641</v>
      </c>
      <c r="S518" s="257">
        <v>10965093.805841865</v>
      </c>
      <c r="T518" s="257">
        <v>10492460.812554106</v>
      </c>
      <c r="U518" s="258">
        <v>8932638.48723609</v>
      </c>
      <c r="V518" s="258">
        <v>7799348.4851698419</v>
      </c>
      <c r="W518" s="258">
        <v>6541845.9319547787</v>
      </c>
      <c r="X518" s="258">
        <v>6142517.3545250455</v>
      </c>
      <c r="Y518" s="258">
        <v>5333679.3843575064</v>
      </c>
      <c r="Z518" s="258">
        <v>4541296.9151269775</v>
      </c>
      <c r="AA518" s="258">
        <v>1981411.5366055821</v>
      </c>
      <c r="AB518" s="258">
        <v>1984579.1732357829</v>
      </c>
      <c r="AC518" s="258">
        <v>1434009.73557214</v>
      </c>
      <c r="AD518" s="259">
        <v>1437642.9845858072</v>
      </c>
      <c r="AE518" s="259">
        <v>613250.70767712337</v>
      </c>
      <c r="AF518" s="259">
        <v>617377.92486843956</v>
      </c>
      <c r="AG518" s="259">
        <v>343868.88693273475</v>
      </c>
      <c r="AH518" s="259">
        <v>348520.1549636781</v>
      </c>
      <c r="AI518" s="259">
        <v>353445.29764278006</v>
      </c>
      <c r="AJ518" s="259">
        <v>27256.714491220002</v>
      </c>
      <c r="AK518" s="259">
        <v>24281.03146849</v>
      </c>
      <c r="AL518" s="259">
        <v>21305.348445750002</v>
      </c>
      <c r="AM518" s="259">
        <v>18329.665422999999</v>
      </c>
      <c r="AN518" s="259">
        <v>15353.982399299999</v>
      </c>
      <c r="AO518" s="259">
        <v>13173.12429046</v>
      </c>
      <c r="AP518" s="259">
        <v>11257.207820879999</v>
      </c>
      <c r="AQ518" s="259"/>
      <c r="AR518" s="259"/>
      <c r="AS518" s="259"/>
      <c r="AT518" s="259"/>
      <c r="AU518" s="259"/>
      <c r="AV518" s="259"/>
      <c r="AW518" s="259"/>
      <c r="AX518" s="259"/>
      <c r="AY518" s="259"/>
      <c r="AZ518" s="259"/>
      <c r="BA518" s="259"/>
      <c r="BB518" s="259"/>
      <c r="BC518" s="259"/>
      <c r="BD518" s="259"/>
      <c r="BE518" s="259"/>
      <c r="BF518" s="259"/>
      <c r="BG518" s="259"/>
      <c r="BH518" s="259"/>
      <c r="BI518" s="259"/>
      <c r="BJ518" s="259"/>
      <c r="BK518" s="259"/>
    </row>
    <row r="519" spans="1:63" s="80" customFormat="1" ht="12.75">
      <c r="A519" s="169"/>
      <c r="B519" s="307" t="str">
        <f>IF(SUM(F519:Z519)&gt;0,Servicio_internaColumna_título_total,"")</f>
        <v>Total</v>
      </c>
      <c r="C519" s="308"/>
      <c r="D519" s="309"/>
      <c r="E519" s="309"/>
      <c r="F519" s="309"/>
      <c r="G519" s="309"/>
      <c r="H519" s="309"/>
      <c r="I519" s="309"/>
      <c r="J519" s="309"/>
      <c r="K519" s="309"/>
      <c r="L519" s="309"/>
      <c r="M519" s="309"/>
      <c r="N519" s="309"/>
      <c r="O519" s="309"/>
      <c r="P519" s="309"/>
      <c r="Q519" s="309">
        <f t="shared" ref="Q519:AP519" si="21">Q517+Q518</f>
        <v>34895884.705182441</v>
      </c>
      <c r="R519" s="309">
        <f t="shared" si="21"/>
        <v>38632499.226026557</v>
      </c>
      <c r="S519" s="309">
        <f t="shared" si="21"/>
        <v>22171425.670626268</v>
      </c>
      <c r="T519" s="309">
        <f t="shared" si="21"/>
        <v>30403942.672554106</v>
      </c>
      <c r="U519" s="309">
        <f t="shared" si="21"/>
        <v>28083766.92192249</v>
      </c>
      <c r="V519" s="309">
        <f t="shared" si="21"/>
        <v>19783047.892941363</v>
      </c>
      <c r="W519" s="309">
        <f t="shared" si="21"/>
        <v>16559813.614096049</v>
      </c>
      <c r="X519" s="309">
        <f t="shared" si="21"/>
        <v>18064147.254525047</v>
      </c>
      <c r="Y519" s="309">
        <f t="shared" si="21"/>
        <v>18377764.374908075</v>
      </c>
      <c r="Z519" s="309">
        <f t="shared" si="21"/>
        <v>30169600.215126976</v>
      </c>
      <c r="AA519" s="309">
        <f t="shared" si="21"/>
        <v>1981411.5366055821</v>
      </c>
      <c r="AB519" s="309">
        <f t="shared" si="21"/>
        <v>9370798.3732357826</v>
      </c>
      <c r="AC519" s="309">
        <f t="shared" si="21"/>
        <v>1434009.73557214</v>
      </c>
      <c r="AD519" s="309">
        <f t="shared" si="21"/>
        <v>15242123.984585807</v>
      </c>
      <c r="AE519" s="309">
        <f t="shared" si="21"/>
        <v>613250.70767712337</v>
      </c>
      <c r="AF519" s="309">
        <f t="shared" si="21"/>
        <v>4203112.2248684391</v>
      </c>
      <c r="AG519" s="309">
        <f t="shared" si="21"/>
        <v>343868.88693273475</v>
      </c>
      <c r="AH519" s="309">
        <f t="shared" si="21"/>
        <v>348520.1549636781</v>
      </c>
      <c r="AI519" s="309">
        <f t="shared" si="21"/>
        <v>6593230.1799295805</v>
      </c>
      <c r="AJ519" s="309">
        <f t="shared" si="21"/>
        <v>27256.714491220002</v>
      </c>
      <c r="AK519" s="309">
        <f t="shared" si="21"/>
        <v>24281.03146849</v>
      </c>
      <c r="AL519" s="309">
        <f t="shared" si="21"/>
        <v>21305.348445750002</v>
      </c>
      <c r="AM519" s="309">
        <f t="shared" si="21"/>
        <v>18329.665422999999</v>
      </c>
      <c r="AN519" s="309">
        <f t="shared" si="21"/>
        <v>15353.982399299999</v>
      </c>
      <c r="AO519" s="309">
        <f t="shared" si="21"/>
        <v>13173.12429046</v>
      </c>
      <c r="AP519" s="309">
        <f t="shared" si="21"/>
        <v>11257.207820879999</v>
      </c>
      <c r="AQ519" s="309"/>
      <c r="AR519" s="309"/>
      <c r="AS519" s="309"/>
      <c r="AT519" s="309"/>
      <c r="AU519" s="309"/>
      <c r="AV519" s="309"/>
      <c r="AW519" s="309"/>
      <c r="AX519" s="309"/>
      <c r="AY519" s="309"/>
      <c r="AZ519" s="309"/>
      <c r="BA519" s="309"/>
      <c r="BB519" s="309"/>
      <c r="BC519" s="309"/>
      <c r="BD519" s="309"/>
      <c r="BE519" s="309"/>
      <c r="BF519" s="309"/>
      <c r="BG519" s="309"/>
      <c r="BH519" s="309"/>
      <c r="BI519" s="309"/>
      <c r="BJ519" s="309"/>
      <c r="BK519" s="309"/>
    </row>
    <row r="520" spans="1:63" s="80" customFormat="1" ht="12.75">
      <c r="A520" s="167"/>
      <c r="B520" s="210" t="str">
        <f>IF(SUM(F520:Z520)&gt;0,Servicio_internaColumna_título_amortizaciones,"")</f>
        <v>Amortizaciones</v>
      </c>
      <c r="C520" s="254"/>
      <c r="D520" s="255"/>
      <c r="E520" s="255"/>
      <c r="F520" s="255"/>
      <c r="G520" s="255"/>
      <c r="H520" s="255"/>
      <c r="I520" s="255"/>
      <c r="J520" s="255"/>
      <c r="K520" s="255"/>
      <c r="L520" s="255"/>
      <c r="M520" s="255"/>
      <c r="N520" s="255"/>
      <c r="O520" s="255"/>
      <c r="P520" s="255"/>
      <c r="Q520" s="255">
        <v>19119919.867394824</v>
      </c>
      <c r="R520" s="255">
        <v>25989934.119660951</v>
      </c>
      <c r="S520" s="255">
        <v>11301686.890325703</v>
      </c>
      <c r="T520" s="255">
        <v>19911481.859999999</v>
      </c>
      <c r="U520" s="255">
        <v>19263942.951019201</v>
      </c>
      <c r="V520" s="255">
        <v>13039588.40777152</v>
      </c>
      <c r="W520" s="255">
        <v>10103153.01566693</v>
      </c>
      <c r="X520" s="255">
        <v>11921629.9</v>
      </c>
      <c r="Y520" s="255">
        <v>13155089.153128408</v>
      </c>
      <c r="Z520" s="255">
        <v>25828820</v>
      </c>
      <c r="AA520" s="255">
        <v>721076.95229630009</v>
      </c>
      <c r="AB520" s="255">
        <v>8140606</v>
      </c>
      <c r="AC520" s="255">
        <v>0</v>
      </c>
      <c r="AD520" s="255">
        <v>13804481</v>
      </c>
      <c r="AE520" s="255">
        <v>0</v>
      </c>
      <c r="AF520" s="255">
        <v>4755628.2</v>
      </c>
      <c r="AG520" s="255">
        <v>0</v>
      </c>
      <c r="AH520" s="255">
        <v>0</v>
      </c>
      <c r="AI520" s="255">
        <v>6292884.9729428999</v>
      </c>
      <c r="AJ520" s="255">
        <v>0</v>
      </c>
      <c r="AK520" s="255">
        <v>0</v>
      </c>
      <c r="AL520" s="255">
        <v>0</v>
      </c>
      <c r="AM520" s="255">
        <v>0</v>
      </c>
      <c r="AN520" s="255">
        <v>0</v>
      </c>
      <c r="AO520" s="255">
        <v>0</v>
      </c>
      <c r="AP520" s="255">
        <v>0</v>
      </c>
      <c r="AQ520" s="255"/>
      <c r="AR520" s="255"/>
      <c r="AS520" s="255"/>
      <c r="AT520" s="255"/>
      <c r="AU520" s="255"/>
      <c r="AV520" s="255"/>
      <c r="AW520" s="255"/>
      <c r="AX520" s="255"/>
      <c r="AY520" s="255"/>
      <c r="AZ520" s="255"/>
      <c r="BA520" s="255"/>
      <c r="BB520" s="255"/>
      <c r="BC520" s="255"/>
      <c r="BD520" s="255"/>
      <c r="BE520" s="255"/>
      <c r="BF520" s="255"/>
      <c r="BG520" s="255"/>
      <c r="BH520" s="255"/>
      <c r="BI520" s="255"/>
      <c r="BJ520" s="255"/>
      <c r="BK520" s="255"/>
    </row>
    <row r="521" spans="1:63" s="80" customFormat="1" ht="12.75">
      <c r="A521" s="168">
        <v>42124</v>
      </c>
      <c r="B521" s="213" t="str">
        <f>IF(SUM(F521:Z521)&gt;0,Servicio_internaColumna_título_intereses,"")</f>
        <v>Intereses</v>
      </c>
      <c r="C521" s="256"/>
      <c r="D521" s="257"/>
      <c r="E521" s="257"/>
      <c r="F521" s="257"/>
      <c r="G521" s="257"/>
      <c r="H521" s="257"/>
      <c r="I521" s="257"/>
      <c r="J521" s="257"/>
      <c r="K521" s="257"/>
      <c r="L521" s="257"/>
      <c r="M521" s="257"/>
      <c r="N521" s="257"/>
      <c r="O521" s="257"/>
      <c r="P521" s="257"/>
      <c r="Q521" s="257">
        <v>11857430.25996846</v>
      </c>
      <c r="R521" s="257">
        <v>12960104.117005998</v>
      </c>
      <c r="S521" s="257">
        <v>11279922.368281394</v>
      </c>
      <c r="T521" s="257">
        <v>10808096.216149323</v>
      </c>
      <c r="U521" s="258">
        <v>9249104.9372216612</v>
      </c>
      <c r="V521" s="258">
        <v>8112182.3029374769</v>
      </c>
      <c r="W521" s="258">
        <v>6739413.6168379448</v>
      </c>
      <c r="X521" s="258">
        <v>6340993.1462372104</v>
      </c>
      <c r="Y521" s="258">
        <v>5533090.5261035338</v>
      </c>
      <c r="Z521" s="258">
        <v>4741671.4674078841</v>
      </c>
      <c r="AA521" s="258">
        <v>2162726.7317374167</v>
      </c>
      <c r="AB521" s="258">
        <v>2131824.9604857829</v>
      </c>
      <c r="AC521" s="258">
        <v>1524676.51282214</v>
      </c>
      <c r="AD521" s="259">
        <v>1528309.7618358065</v>
      </c>
      <c r="AE521" s="259">
        <v>703917.48492712341</v>
      </c>
      <c r="AF521" s="259">
        <v>708044.70211843937</v>
      </c>
      <c r="AG521" s="259">
        <v>343868.88693273475</v>
      </c>
      <c r="AH521" s="259">
        <v>348520.1549636781</v>
      </c>
      <c r="AI521" s="259">
        <v>353445.29764278006</v>
      </c>
      <c r="AJ521" s="259">
        <v>27256.714491220002</v>
      </c>
      <c r="AK521" s="259">
        <v>24281.03146849</v>
      </c>
      <c r="AL521" s="259">
        <v>21305.348445750002</v>
      </c>
      <c r="AM521" s="259">
        <v>18329.665422999999</v>
      </c>
      <c r="AN521" s="259">
        <v>15353.982399299999</v>
      </c>
      <c r="AO521" s="259">
        <v>13173.12429046</v>
      </c>
      <c r="AP521" s="259">
        <v>11257.207820879999</v>
      </c>
      <c r="AQ521" s="259"/>
      <c r="AR521" s="259"/>
      <c r="AS521" s="259"/>
      <c r="AT521" s="259"/>
      <c r="AU521" s="259"/>
      <c r="AV521" s="259"/>
      <c r="AW521" s="259"/>
      <c r="AX521" s="259"/>
      <c r="AY521" s="259"/>
      <c r="AZ521" s="259"/>
      <c r="BA521" s="259"/>
      <c r="BB521" s="259"/>
      <c r="BC521" s="259"/>
      <c r="BD521" s="259"/>
      <c r="BE521" s="259"/>
      <c r="BF521" s="259"/>
      <c r="BG521" s="259"/>
      <c r="BH521" s="259"/>
      <c r="BI521" s="259"/>
      <c r="BJ521" s="259"/>
      <c r="BK521" s="259"/>
    </row>
    <row r="522" spans="1:63" s="80" customFormat="1" ht="12.75">
      <c r="A522" s="169"/>
      <c r="B522" s="307" t="str">
        <f>IF(SUM(F522:Z522)&gt;0,Servicio_internaColumna_título_total,"")</f>
        <v>Total</v>
      </c>
      <c r="C522" s="308"/>
      <c r="D522" s="309"/>
      <c r="E522" s="309"/>
      <c r="F522" s="309"/>
      <c r="G522" s="309"/>
      <c r="H522" s="309"/>
      <c r="I522" s="309"/>
      <c r="J522" s="309"/>
      <c r="K522" s="309"/>
      <c r="L522" s="309"/>
      <c r="M522" s="309"/>
      <c r="N522" s="309"/>
      <c r="O522" s="309"/>
      <c r="P522" s="309"/>
      <c r="Q522" s="309">
        <f t="shared" ref="Q522:AP522" si="22">Q520+Q521</f>
        <v>30977350.127363283</v>
      </c>
      <c r="R522" s="309">
        <f t="shared" si="22"/>
        <v>38950038.236666948</v>
      </c>
      <c r="S522" s="309">
        <f t="shared" si="22"/>
        <v>22581609.258607097</v>
      </c>
      <c r="T522" s="309">
        <f t="shared" si="22"/>
        <v>30719578.076149322</v>
      </c>
      <c r="U522" s="309">
        <f t="shared" si="22"/>
        <v>28513047.888240863</v>
      </c>
      <c r="V522" s="309">
        <f t="shared" si="22"/>
        <v>21151770.710708998</v>
      </c>
      <c r="W522" s="309">
        <f t="shared" si="22"/>
        <v>16842566.632504873</v>
      </c>
      <c r="X522" s="309">
        <f t="shared" si="22"/>
        <v>18262623.046237212</v>
      </c>
      <c r="Y522" s="309">
        <f t="shared" si="22"/>
        <v>18688179.679231942</v>
      </c>
      <c r="Z522" s="309">
        <f t="shared" si="22"/>
        <v>30570491.467407882</v>
      </c>
      <c r="AA522" s="309">
        <f t="shared" si="22"/>
        <v>2883803.684033717</v>
      </c>
      <c r="AB522" s="309">
        <f t="shared" si="22"/>
        <v>10272430.960485782</v>
      </c>
      <c r="AC522" s="309">
        <f t="shared" si="22"/>
        <v>1524676.51282214</v>
      </c>
      <c r="AD522" s="309">
        <f t="shared" si="22"/>
        <v>15332790.761835806</v>
      </c>
      <c r="AE522" s="309">
        <f t="shared" si="22"/>
        <v>703917.48492712341</v>
      </c>
      <c r="AF522" s="309">
        <f t="shared" si="22"/>
        <v>5463672.9021184398</v>
      </c>
      <c r="AG522" s="309">
        <f t="shared" si="22"/>
        <v>343868.88693273475</v>
      </c>
      <c r="AH522" s="309">
        <f t="shared" si="22"/>
        <v>348520.1549636781</v>
      </c>
      <c r="AI522" s="309">
        <f t="shared" si="22"/>
        <v>6646330.2705856804</v>
      </c>
      <c r="AJ522" s="309">
        <f t="shared" si="22"/>
        <v>27256.714491220002</v>
      </c>
      <c r="AK522" s="309">
        <f t="shared" si="22"/>
        <v>24281.03146849</v>
      </c>
      <c r="AL522" s="309">
        <f t="shared" si="22"/>
        <v>21305.348445750002</v>
      </c>
      <c r="AM522" s="309">
        <f t="shared" si="22"/>
        <v>18329.665422999999</v>
      </c>
      <c r="AN522" s="309">
        <f t="shared" si="22"/>
        <v>15353.982399299999</v>
      </c>
      <c r="AO522" s="309">
        <f t="shared" si="22"/>
        <v>13173.12429046</v>
      </c>
      <c r="AP522" s="309">
        <f t="shared" si="22"/>
        <v>11257.207820879999</v>
      </c>
      <c r="AQ522" s="309"/>
      <c r="AR522" s="309"/>
      <c r="AS522" s="309"/>
      <c r="AT522" s="309"/>
      <c r="AU522" s="309"/>
      <c r="AV522" s="309"/>
      <c r="AW522" s="309"/>
      <c r="AX522" s="309"/>
      <c r="AY522" s="309"/>
      <c r="AZ522" s="309"/>
      <c r="BA522" s="309"/>
      <c r="BB522" s="309"/>
      <c r="BC522" s="309"/>
      <c r="BD522" s="309"/>
      <c r="BE522" s="309"/>
      <c r="BF522" s="309"/>
      <c r="BG522" s="309"/>
      <c r="BH522" s="309"/>
      <c r="BI522" s="309"/>
      <c r="BJ522" s="309"/>
      <c r="BK522" s="309"/>
    </row>
    <row r="523" spans="1:63" s="80" customFormat="1" ht="12.75">
      <c r="A523" s="167"/>
      <c r="B523" s="210" t="str">
        <f>IF(SUM(F523:Z523)&gt;0,Servicio_internaColumna_título_amortizaciones,"")</f>
        <v>Amortizaciones</v>
      </c>
      <c r="C523" s="254"/>
      <c r="D523" s="255"/>
      <c r="E523" s="255"/>
      <c r="F523" s="255"/>
      <c r="G523" s="255"/>
      <c r="H523" s="255"/>
      <c r="I523" s="255"/>
      <c r="J523" s="255"/>
      <c r="K523" s="255"/>
      <c r="L523" s="255"/>
      <c r="M523" s="255"/>
      <c r="N523" s="255"/>
      <c r="O523" s="255"/>
      <c r="P523" s="255"/>
      <c r="Q523" s="255">
        <v>24711054.435449071</v>
      </c>
      <c r="R523" s="255">
        <v>25990435.117391042</v>
      </c>
      <c r="S523" s="255">
        <v>11362577.232938802</v>
      </c>
      <c r="T523" s="255">
        <v>19911481.859999999</v>
      </c>
      <c r="U523" s="255">
        <v>19482615.829092801</v>
      </c>
      <c r="V523" s="255">
        <v>13428540.607771521</v>
      </c>
      <c r="W523" s="255">
        <v>10157589.777060229</v>
      </c>
      <c r="X523" s="255">
        <v>11921629.9</v>
      </c>
      <c r="Y523" s="255">
        <v>13225972.480488194</v>
      </c>
      <c r="Z523" s="255">
        <v>25889987.199999999</v>
      </c>
      <c r="AA523" s="255">
        <v>1476131.4687815998</v>
      </c>
      <c r="AB523" s="255">
        <v>8691812.8000000007</v>
      </c>
      <c r="AC523" s="255">
        <v>0</v>
      </c>
      <c r="AD523" s="255">
        <v>13804481</v>
      </c>
      <c r="AE523" s="255">
        <v>0</v>
      </c>
      <c r="AF523" s="255">
        <v>5413080.4000000004</v>
      </c>
      <c r="AG523" s="255">
        <v>0</v>
      </c>
      <c r="AH523" s="255">
        <v>0</v>
      </c>
      <c r="AI523" s="255">
        <v>6326792.8104635989</v>
      </c>
      <c r="AJ523" s="255">
        <v>0</v>
      </c>
      <c r="AK523" s="255">
        <v>0</v>
      </c>
      <c r="AL523" s="255">
        <v>0</v>
      </c>
      <c r="AM523" s="255">
        <v>0</v>
      </c>
      <c r="AN523" s="255">
        <v>0</v>
      </c>
      <c r="AO523" s="255">
        <v>0</v>
      </c>
      <c r="AP523" s="255">
        <v>0</v>
      </c>
      <c r="AQ523" s="255"/>
      <c r="AR523" s="255"/>
      <c r="AS523" s="255"/>
      <c r="AT523" s="255"/>
      <c r="AU523" s="255"/>
      <c r="AV523" s="255"/>
      <c r="AW523" s="255"/>
      <c r="AX523" s="255"/>
      <c r="AY523" s="255"/>
      <c r="AZ523" s="255"/>
      <c r="BA523" s="255"/>
      <c r="BB523" s="255"/>
      <c r="BC523" s="255"/>
      <c r="BD523" s="255"/>
      <c r="BE523" s="255"/>
      <c r="BF523" s="255"/>
      <c r="BG523" s="255"/>
      <c r="BH523" s="255"/>
      <c r="BI523" s="255"/>
      <c r="BJ523" s="255"/>
      <c r="BK523" s="255"/>
    </row>
    <row r="524" spans="1:63" s="80" customFormat="1" ht="12.75">
      <c r="A524" s="168">
        <v>42155</v>
      </c>
      <c r="B524" s="213" t="str">
        <f>IF(SUM(F524:Z524)&gt;0,Servicio_internaColumna_título_intereses,"")</f>
        <v>Intereses</v>
      </c>
      <c r="C524" s="256"/>
      <c r="D524" s="257"/>
      <c r="E524" s="257"/>
      <c r="F524" s="257"/>
      <c r="G524" s="257"/>
      <c r="H524" s="257"/>
      <c r="I524" s="257"/>
      <c r="J524" s="257"/>
      <c r="K524" s="257"/>
      <c r="L524" s="257"/>
      <c r="M524" s="257"/>
      <c r="N524" s="257"/>
      <c r="O524" s="257"/>
      <c r="P524" s="257"/>
      <c r="Q524" s="257">
        <v>10669465.546001725</v>
      </c>
      <c r="R524" s="257">
        <v>13141464.52745953</v>
      </c>
      <c r="S524" s="257">
        <v>11462114.427965323</v>
      </c>
      <c r="T524" s="257">
        <v>10991124.28367877</v>
      </c>
      <c r="U524" s="258">
        <v>9432994.0928319879</v>
      </c>
      <c r="V524" s="258">
        <v>8283827.765271117</v>
      </c>
      <c r="W524" s="258">
        <v>6869187.8655165918</v>
      </c>
      <c r="X524" s="258">
        <v>6471708.3291112157</v>
      </c>
      <c r="Y524" s="258">
        <v>5664774.8711987603</v>
      </c>
      <c r="Z524" s="258">
        <v>4874354.0495909695</v>
      </c>
      <c r="AA524" s="258">
        <v>2290320.7781209927</v>
      </c>
      <c r="AB524" s="258">
        <v>2224118.0159857837</v>
      </c>
      <c r="AC524" s="258">
        <v>1575629.05832214</v>
      </c>
      <c r="AD524" s="259">
        <v>1579262.3073358075</v>
      </c>
      <c r="AE524" s="259">
        <v>754870.03042712342</v>
      </c>
      <c r="AF524" s="259">
        <v>758997.24761843937</v>
      </c>
      <c r="AG524" s="259">
        <v>343868.88693273475</v>
      </c>
      <c r="AH524" s="259">
        <v>348520.1549636781</v>
      </c>
      <c r="AI524" s="259">
        <v>353445.29764278006</v>
      </c>
      <c r="AJ524" s="259">
        <v>27256.714491220002</v>
      </c>
      <c r="AK524" s="259">
        <v>24281.03146849</v>
      </c>
      <c r="AL524" s="259">
        <v>21305.348445750002</v>
      </c>
      <c r="AM524" s="259">
        <v>18329.665422999999</v>
      </c>
      <c r="AN524" s="259">
        <v>15353.982399299999</v>
      </c>
      <c r="AO524" s="259">
        <v>13173.12429046</v>
      </c>
      <c r="AP524" s="259">
        <v>11257.207820879999</v>
      </c>
      <c r="AQ524" s="259"/>
      <c r="AR524" s="259"/>
      <c r="AS524" s="259"/>
      <c r="AT524" s="259"/>
      <c r="AU524" s="259"/>
      <c r="AV524" s="259"/>
      <c r="AW524" s="259"/>
      <c r="AX524" s="259"/>
      <c r="AY524" s="259"/>
      <c r="AZ524" s="259"/>
      <c r="BA524" s="259"/>
      <c r="BB524" s="259"/>
      <c r="BC524" s="259"/>
      <c r="BD524" s="259"/>
      <c r="BE524" s="259"/>
      <c r="BF524" s="259"/>
      <c r="BG524" s="259"/>
      <c r="BH524" s="259"/>
      <c r="BI524" s="259"/>
      <c r="BJ524" s="259"/>
      <c r="BK524" s="259"/>
    </row>
    <row r="525" spans="1:63" s="80" customFormat="1" ht="12.75">
      <c r="A525" s="169"/>
      <c r="B525" s="307" t="str">
        <f>IF(SUM(F525:Z525)&gt;0,Servicio_internaColumna_título_total,"")</f>
        <v>Total</v>
      </c>
      <c r="C525" s="308"/>
      <c r="D525" s="309"/>
      <c r="E525" s="309"/>
      <c r="F525" s="309"/>
      <c r="G525" s="309"/>
      <c r="H525" s="309"/>
      <c r="I525" s="309"/>
      <c r="J525" s="309"/>
      <c r="K525" s="309"/>
      <c r="L525" s="309"/>
      <c r="M525" s="309"/>
      <c r="N525" s="309"/>
      <c r="O525" s="309"/>
      <c r="P525" s="309"/>
      <c r="Q525" s="309">
        <f t="shared" ref="Q525:AP525" si="23">Q523+Q524</f>
        <v>35380519.981450796</v>
      </c>
      <c r="R525" s="309">
        <f t="shared" si="23"/>
        <v>39131899.644850574</v>
      </c>
      <c r="S525" s="309">
        <f t="shared" si="23"/>
        <v>22824691.660904124</v>
      </c>
      <c r="T525" s="309">
        <f t="shared" si="23"/>
        <v>30902606.143678769</v>
      </c>
      <c r="U525" s="309">
        <f t="shared" si="23"/>
        <v>28915609.921924789</v>
      </c>
      <c r="V525" s="309">
        <f t="shared" si="23"/>
        <v>21712368.373042639</v>
      </c>
      <c r="W525" s="309">
        <f t="shared" si="23"/>
        <v>17026777.642576821</v>
      </c>
      <c r="X525" s="309">
        <f t="shared" si="23"/>
        <v>18393338.229111217</v>
      </c>
      <c r="Y525" s="309">
        <f t="shared" si="23"/>
        <v>18890747.351686954</v>
      </c>
      <c r="Z525" s="309">
        <f t="shared" si="23"/>
        <v>30764341.249590971</v>
      </c>
      <c r="AA525" s="309">
        <f t="shared" si="23"/>
        <v>3766452.2469025925</v>
      </c>
      <c r="AB525" s="309">
        <f t="shared" si="23"/>
        <v>10915930.815985784</v>
      </c>
      <c r="AC525" s="309">
        <f t="shared" si="23"/>
        <v>1575629.05832214</v>
      </c>
      <c r="AD525" s="309">
        <f t="shared" si="23"/>
        <v>15383743.307335807</v>
      </c>
      <c r="AE525" s="309">
        <f t="shared" si="23"/>
        <v>754870.03042712342</v>
      </c>
      <c r="AF525" s="309">
        <f t="shared" si="23"/>
        <v>6172077.64761844</v>
      </c>
      <c r="AG525" s="309">
        <f t="shared" si="23"/>
        <v>343868.88693273475</v>
      </c>
      <c r="AH525" s="309">
        <f t="shared" si="23"/>
        <v>348520.1549636781</v>
      </c>
      <c r="AI525" s="309">
        <f t="shared" si="23"/>
        <v>6680238.1081063794</v>
      </c>
      <c r="AJ525" s="309">
        <f t="shared" si="23"/>
        <v>27256.714491220002</v>
      </c>
      <c r="AK525" s="309">
        <f t="shared" si="23"/>
        <v>24281.03146849</v>
      </c>
      <c r="AL525" s="309">
        <f t="shared" si="23"/>
        <v>21305.348445750002</v>
      </c>
      <c r="AM525" s="309">
        <f t="shared" si="23"/>
        <v>18329.665422999999</v>
      </c>
      <c r="AN525" s="309">
        <f t="shared" si="23"/>
        <v>15353.982399299999</v>
      </c>
      <c r="AO525" s="309">
        <f t="shared" si="23"/>
        <v>13173.12429046</v>
      </c>
      <c r="AP525" s="309">
        <f t="shared" si="23"/>
        <v>11257.207820879999</v>
      </c>
      <c r="AQ525" s="309"/>
      <c r="AR525" s="309"/>
      <c r="AS525" s="309"/>
      <c r="AT525" s="309"/>
      <c r="AU525" s="309"/>
      <c r="AV525" s="309"/>
      <c r="AW525" s="309"/>
      <c r="AX525" s="309"/>
      <c r="AY525" s="309"/>
      <c r="AZ525" s="309"/>
      <c r="BA525" s="309"/>
      <c r="BB525" s="309"/>
      <c r="BC525" s="309"/>
      <c r="BD525" s="309"/>
      <c r="BE525" s="309"/>
      <c r="BF525" s="309"/>
      <c r="BG525" s="309"/>
      <c r="BH525" s="309"/>
      <c r="BI525" s="309"/>
      <c r="BJ525" s="309"/>
      <c r="BK525" s="309"/>
    </row>
    <row r="526" spans="1:63" s="80" customFormat="1" ht="12.75">
      <c r="A526" s="167"/>
      <c r="B526" s="210" t="str">
        <f>IF(SUM(F526:Z526)&gt;0,Servicio_internaColumna_título_amortizaciones,"")</f>
        <v>Amortizaciones</v>
      </c>
      <c r="C526" s="254"/>
      <c r="D526" s="255"/>
      <c r="E526" s="255"/>
      <c r="F526" s="255"/>
      <c r="G526" s="255"/>
      <c r="H526" s="255"/>
      <c r="I526" s="255"/>
      <c r="J526" s="255"/>
      <c r="K526" s="255"/>
      <c r="L526" s="255"/>
      <c r="M526" s="255"/>
      <c r="N526" s="255"/>
      <c r="O526" s="255"/>
      <c r="P526" s="255"/>
      <c r="Q526" s="255">
        <v>18665833.713813573</v>
      </c>
      <c r="R526" s="255">
        <v>25921833.416707002</v>
      </c>
      <c r="S526" s="255">
        <v>11422106.039195202</v>
      </c>
      <c r="T526" s="255">
        <v>19911481.859999999</v>
      </c>
      <c r="U526" s="255">
        <v>19726452.939735997</v>
      </c>
      <c r="V526" s="255">
        <v>14037730.207771521</v>
      </c>
      <c r="W526" s="255">
        <v>10216436.003405429</v>
      </c>
      <c r="X526" s="255">
        <v>11921629.9</v>
      </c>
      <c r="Y526" s="255">
        <v>13282325.591699498</v>
      </c>
      <c r="Z526" s="255">
        <v>25889987.199999999</v>
      </c>
      <c r="AA526" s="255">
        <v>1892376.3889743998</v>
      </c>
      <c r="AB526" s="255">
        <v>9064576.5999999996</v>
      </c>
      <c r="AC526" s="255">
        <v>0</v>
      </c>
      <c r="AD526" s="255">
        <v>13804481</v>
      </c>
      <c r="AE526" s="255">
        <v>0</v>
      </c>
      <c r="AF526" s="255">
        <v>5965725.2999999998</v>
      </c>
      <c r="AG526" s="255">
        <v>0</v>
      </c>
      <c r="AH526" s="255">
        <v>0</v>
      </c>
      <c r="AI526" s="255">
        <v>6595182.8206031993</v>
      </c>
      <c r="AJ526" s="255">
        <v>0</v>
      </c>
      <c r="AK526" s="255">
        <v>0</v>
      </c>
      <c r="AL526" s="255">
        <v>0</v>
      </c>
      <c r="AM526" s="255">
        <v>0</v>
      </c>
      <c r="AN526" s="255">
        <v>0</v>
      </c>
      <c r="AO526" s="255">
        <v>0</v>
      </c>
      <c r="AP526" s="255">
        <v>0</v>
      </c>
      <c r="AQ526" s="255"/>
      <c r="AR526" s="255"/>
      <c r="AS526" s="255"/>
      <c r="AT526" s="255"/>
      <c r="AU526" s="255"/>
      <c r="AV526" s="255"/>
      <c r="AW526" s="255"/>
      <c r="AX526" s="255"/>
      <c r="AY526" s="255"/>
      <c r="AZ526" s="255"/>
      <c r="BA526" s="255"/>
      <c r="BB526" s="255"/>
      <c r="BC526" s="255"/>
      <c r="BD526" s="255"/>
      <c r="BE526" s="255"/>
      <c r="BF526" s="255"/>
      <c r="BG526" s="255"/>
      <c r="BH526" s="255"/>
      <c r="BI526" s="255"/>
      <c r="BJ526" s="255"/>
      <c r="BK526" s="255"/>
    </row>
    <row r="527" spans="1:63" s="80" customFormat="1" ht="12.75">
      <c r="A527" s="168">
        <v>42185</v>
      </c>
      <c r="B527" s="213" t="str">
        <f>IF(SUM(F527:Z527)&gt;0,Servicio_internaColumna_título_intereses,"")</f>
        <v>Intereses</v>
      </c>
      <c r="C527" s="256"/>
      <c r="D527" s="257"/>
      <c r="E527" s="257"/>
      <c r="F527" s="257"/>
      <c r="G527" s="257"/>
      <c r="H527" s="257"/>
      <c r="I527" s="257"/>
      <c r="J527" s="257"/>
      <c r="K527" s="257"/>
      <c r="L527" s="257"/>
      <c r="M527" s="257"/>
      <c r="N527" s="257"/>
      <c r="O527" s="257"/>
      <c r="P527" s="257"/>
      <c r="Q527" s="257">
        <v>10798014.926751725</v>
      </c>
      <c r="R527" s="257">
        <v>13324696.444882788</v>
      </c>
      <c r="S527" s="257">
        <v>11651937.03810453</v>
      </c>
      <c r="T527" s="257">
        <v>11176865.001729418</v>
      </c>
      <c r="U527" s="258">
        <v>9620167.2760016583</v>
      </c>
      <c r="V527" s="258">
        <v>8461181.3132184017</v>
      </c>
      <c r="W527" s="258">
        <v>6980717.2202797942</v>
      </c>
      <c r="X527" s="258">
        <v>6579545.6935843164</v>
      </c>
      <c r="Y527" s="258">
        <v>5773723.7386635523</v>
      </c>
      <c r="Z527" s="258">
        <v>4976496.6529218797</v>
      </c>
      <c r="AA527" s="258">
        <v>2393404.041609331</v>
      </c>
      <c r="AB527" s="258">
        <v>2307525.0897416458</v>
      </c>
      <c r="AC527" s="258">
        <v>1631457.4413481785</v>
      </c>
      <c r="AD527" s="259">
        <v>1635480.6424601269</v>
      </c>
      <c r="AE527" s="259">
        <v>811490.01621267293</v>
      </c>
      <c r="AF527" s="259">
        <v>816030.93358505587</v>
      </c>
      <c r="AG527" s="259">
        <v>358498.70433584915</v>
      </c>
      <c r="AH527" s="259">
        <v>363588.86688888591</v>
      </c>
      <c r="AI527" s="259">
        <v>368966.07092574384</v>
      </c>
      <c r="AJ527" s="259">
        <v>27256.714491220002</v>
      </c>
      <c r="AK527" s="259">
        <v>24281.03146849</v>
      </c>
      <c r="AL527" s="259">
        <v>21305.348445750002</v>
      </c>
      <c r="AM527" s="259">
        <v>18329.665422999999</v>
      </c>
      <c r="AN527" s="259">
        <v>15353.982399299999</v>
      </c>
      <c r="AO527" s="259">
        <v>13173.12429046</v>
      </c>
      <c r="AP527" s="259">
        <v>11257.207820879999</v>
      </c>
      <c r="AQ527" s="259"/>
      <c r="AR527" s="259"/>
      <c r="AS527" s="259"/>
      <c r="AT527" s="259"/>
      <c r="AU527" s="259"/>
      <c r="AV527" s="259"/>
      <c r="AW527" s="259"/>
      <c r="AX527" s="259"/>
      <c r="AY527" s="259"/>
      <c r="AZ527" s="259"/>
      <c r="BA527" s="259"/>
      <c r="BB527" s="259"/>
      <c r="BC527" s="259"/>
      <c r="BD527" s="259"/>
      <c r="BE527" s="259"/>
      <c r="BF527" s="259"/>
      <c r="BG527" s="259"/>
      <c r="BH527" s="259"/>
      <c r="BI527" s="259"/>
      <c r="BJ527" s="259"/>
      <c r="BK527" s="259"/>
    </row>
    <row r="528" spans="1:63" s="80" customFormat="1" ht="12.75">
      <c r="A528" s="169"/>
      <c r="B528" s="307" t="str">
        <f>IF(SUM(F528:Z528)&gt;0,Servicio_internaColumna_título_total,"")</f>
        <v>Total</v>
      </c>
      <c r="C528" s="308"/>
      <c r="D528" s="309"/>
      <c r="E528" s="309"/>
      <c r="F528" s="309"/>
      <c r="G528" s="309"/>
      <c r="H528" s="309"/>
      <c r="I528" s="309"/>
      <c r="J528" s="309"/>
      <c r="K528" s="309"/>
      <c r="L528" s="309"/>
      <c r="M528" s="309"/>
      <c r="N528" s="309"/>
      <c r="O528" s="309"/>
      <c r="P528" s="309"/>
      <c r="Q528" s="309">
        <f t="shared" ref="Q528:AP528" si="24">Q526+Q527</f>
        <v>29463848.640565298</v>
      </c>
      <c r="R528" s="309">
        <f t="shared" si="24"/>
        <v>39246529.861589789</v>
      </c>
      <c r="S528" s="309">
        <f t="shared" si="24"/>
        <v>23074043.077299733</v>
      </c>
      <c r="T528" s="309">
        <f t="shared" si="24"/>
        <v>31088346.861729417</v>
      </c>
      <c r="U528" s="309">
        <f t="shared" si="24"/>
        <v>29346620.215737656</v>
      </c>
      <c r="V528" s="309">
        <f t="shared" si="24"/>
        <v>22498911.520989925</v>
      </c>
      <c r="W528" s="309">
        <f t="shared" si="24"/>
        <v>17197153.223685224</v>
      </c>
      <c r="X528" s="309">
        <f t="shared" si="24"/>
        <v>18501175.593584318</v>
      </c>
      <c r="Y528" s="309">
        <f t="shared" si="24"/>
        <v>19056049.33036305</v>
      </c>
      <c r="Z528" s="309">
        <f t="shared" si="24"/>
        <v>30866483.852921881</v>
      </c>
      <c r="AA528" s="309">
        <f t="shared" si="24"/>
        <v>4285780.4305837303</v>
      </c>
      <c r="AB528" s="309">
        <f t="shared" si="24"/>
        <v>11372101.689741645</v>
      </c>
      <c r="AC528" s="309">
        <f t="shared" si="24"/>
        <v>1631457.4413481785</v>
      </c>
      <c r="AD528" s="309">
        <f t="shared" si="24"/>
        <v>15439961.642460126</v>
      </c>
      <c r="AE528" s="309">
        <f t="shared" si="24"/>
        <v>811490.01621267293</v>
      </c>
      <c r="AF528" s="309">
        <f t="shared" si="24"/>
        <v>6781756.2335850559</v>
      </c>
      <c r="AG528" s="309">
        <f t="shared" si="24"/>
        <v>358498.70433584915</v>
      </c>
      <c r="AH528" s="309">
        <f t="shared" si="24"/>
        <v>363588.86688888591</v>
      </c>
      <c r="AI528" s="309">
        <f t="shared" si="24"/>
        <v>6964148.8915289436</v>
      </c>
      <c r="AJ528" s="309">
        <f t="shared" si="24"/>
        <v>27256.714491220002</v>
      </c>
      <c r="AK528" s="309">
        <f t="shared" si="24"/>
        <v>24281.03146849</v>
      </c>
      <c r="AL528" s="309">
        <f t="shared" si="24"/>
        <v>21305.348445750002</v>
      </c>
      <c r="AM528" s="309">
        <f t="shared" si="24"/>
        <v>18329.665422999999</v>
      </c>
      <c r="AN528" s="309">
        <f t="shared" si="24"/>
        <v>15353.982399299999</v>
      </c>
      <c r="AO528" s="309">
        <f t="shared" si="24"/>
        <v>13173.12429046</v>
      </c>
      <c r="AP528" s="309">
        <f t="shared" si="24"/>
        <v>11257.207820879999</v>
      </c>
      <c r="AQ528" s="309"/>
      <c r="AR528" s="309"/>
      <c r="AS528" s="309"/>
      <c r="AT528" s="309"/>
      <c r="AU528" s="309"/>
      <c r="AV528" s="309"/>
      <c r="AW528" s="309"/>
      <c r="AX528" s="309"/>
      <c r="AY528" s="309"/>
      <c r="AZ528" s="309"/>
      <c r="BA528" s="309"/>
      <c r="BB528" s="309"/>
      <c r="BC528" s="309"/>
      <c r="BD528" s="309"/>
      <c r="BE528" s="309"/>
      <c r="BF528" s="309"/>
      <c r="BG528" s="309"/>
      <c r="BH528" s="309"/>
      <c r="BI528" s="309"/>
      <c r="BJ528" s="309"/>
      <c r="BK528" s="309"/>
    </row>
    <row r="529" spans="1:63" s="80" customFormat="1" ht="12.75">
      <c r="A529" s="167"/>
      <c r="B529" s="210" t="str">
        <f>IF(SUM(F529:Z529)&gt;0,Servicio_internaColumna_título_amortizaciones,"")</f>
        <v>Amortizaciones</v>
      </c>
      <c r="C529" s="254"/>
      <c r="D529" s="255"/>
      <c r="E529" s="255"/>
      <c r="F529" s="255"/>
      <c r="G529" s="255"/>
      <c r="H529" s="255"/>
      <c r="I529" s="255"/>
      <c r="J529" s="255"/>
      <c r="K529" s="255"/>
      <c r="L529" s="255"/>
      <c r="M529" s="255"/>
      <c r="N529" s="255"/>
      <c r="O529" s="255"/>
      <c r="P529" s="255"/>
      <c r="Q529" s="255">
        <v>13017189.20656986</v>
      </c>
      <c r="R529" s="255">
        <v>25768758.109782178</v>
      </c>
      <c r="S529" s="255">
        <v>11545333.932391403</v>
      </c>
      <c r="T529" s="255">
        <v>19911481.859999999</v>
      </c>
      <c r="U529" s="255">
        <v>20211715.463929001</v>
      </c>
      <c r="V529" s="255">
        <v>15483154.28281102</v>
      </c>
      <c r="W529" s="255">
        <v>10353074.02790466</v>
      </c>
      <c r="X529" s="255">
        <v>11921629.9</v>
      </c>
      <c r="Y529" s="255">
        <v>13306441.092236934</v>
      </c>
      <c r="Z529" s="255">
        <v>25889987.199999999</v>
      </c>
      <c r="AA529" s="255">
        <v>2224444.6390502001</v>
      </c>
      <c r="AB529" s="255">
        <v>9896759.5</v>
      </c>
      <c r="AC529" s="255">
        <v>0</v>
      </c>
      <c r="AD529" s="255">
        <v>13804481</v>
      </c>
      <c r="AE529" s="255">
        <v>0</v>
      </c>
      <c r="AF529" s="255">
        <v>6522296.2999999998</v>
      </c>
      <c r="AG529" s="255">
        <v>0</v>
      </c>
      <c r="AH529" s="255">
        <v>0</v>
      </c>
      <c r="AI529" s="255">
        <v>6770708.1824172009</v>
      </c>
      <c r="AJ529" s="255">
        <v>0</v>
      </c>
      <c r="AK529" s="255">
        <v>0</v>
      </c>
      <c r="AL529" s="255">
        <v>0</v>
      </c>
      <c r="AM529" s="255">
        <v>0</v>
      </c>
      <c r="AN529" s="255">
        <v>0</v>
      </c>
      <c r="AO529" s="255">
        <v>0</v>
      </c>
      <c r="AP529" s="255">
        <v>0</v>
      </c>
      <c r="AQ529" s="255"/>
      <c r="AR529" s="255"/>
      <c r="AS529" s="255"/>
      <c r="AT529" s="255"/>
      <c r="AU529" s="255"/>
      <c r="AV529" s="255"/>
      <c r="AW529" s="255"/>
      <c r="AX529" s="255"/>
      <c r="AY529" s="255"/>
      <c r="AZ529" s="255"/>
      <c r="BA529" s="255"/>
      <c r="BB529" s="255"/>
      <c r="BC529" s="255"/>
      <c r="BD529" s="255"/>
      <c r="BE529" s="255"/>
      <c r="BF529" s="255"/>
      <c r="BG529" s="255"/>
      <c r="BH529" s="255"/>
      <c r="BI529" s="255"/>
      <c r="BJ529" s="255"/>
      <c r="BK529" s="255"/>
    </row>
    <row r="530" spans="1:63" s="80" customFormat="1" ht="12.75">
      <c r="A530" s="168">
        <v>42216</v>
      </c>
      <c r="B530" s="213" t="str">
        <f>IF(SUM(F530:Z530)&gt;0,Servicio_internaColumna_título_intereses,"")</f>
        <v>Intereses</v>
      </c>
      <c r="C530" s="256"/>
      <c r="D530" s="257"/>
      <c r="E530" s="257"/>
      <c r="F530" s="257"/>
      <c r="G530" s="257"/>
      <c r="H530" s="257"/>
      <c r="I530" s="257"/>
      <c r="J530" s="257"/>
      <c r="K530" s="257"/>
      <c r="L530" s="257"/>
      <c r="M530" s="257"/>
      <c r="N530" s="257"/>
      <c r="O530" s="257"/>
      <c r="P530" s="257"/>
      <c r="Q530" s="257">
        <v>4715179.1655073855</v>
      </c>
      <c r="R530" s="257">
        <v>13567036.369981587</v>
      </c>
      <c r="S530" s="257">
        <v>11960040.899215261</v>
      </c>
      <c r="T530" s="257">
        <v>11481520.514672741</v>
      </c>
      <c r="U530" s="258">
        <v>9926043.6565232798</v>
      </c>
      <c r="V530" s="258">
        <v>8749019.0566440932</v>
      </c>
      <c r="W530" s="258">
        <v>7110859.34119826</v>
      </c>
      <c r="X530" s="258">
        <v>6705328.7273156503</v>
      </c>
      <c r="Y530" s="258">
        <v>5900113.8243068252</v>
      </c>
      <c r="Z530" s="258">
        <v>5103512.0020344499</v>
      </c>
      <c r="AA530" s="258">
        <v>2521063.4120952785</v>
      </c>
      <c r="AB530" s="258">
        <v>2419883.1811146964</v>
      </c>
      <c r="AC530" s="258">
        <v>1681606.1188624199</v>
      </c>
      <c r="AD530" s="259">
        <v>1685839.7527247951</v>
      </c>
      <c r="AE530" s="259">
        <v>862065.87221028144</v>
      </c>
      <c r="AF530" s="259">
        <v>866830.03768759198</v>
      </c>
      <c r="AG530" s="259">
        <v>366393.50148646213</v>
      </c>
      <c r="AH530" s="259">
        <v>371720.50795401726</v>
      </c>
      <c r="AI530" s="259">
        <v>377341.66122282908</v>
      </c>
      <c r="AJ530" s="259">
        <v>27256.714491220002</v>
      </c>
      <c r="AK530" s="259">
        <v>24281.03146849</v>
      </c>
      <c r="AL530" s="259">
        <v>21305.348445750002</v>
      </c>
      <c r="AM530" s="259">
        <v>18329.665422999999</v>
      </c>
      <c r="AN530" s="259">
        <v>15353.982399299999</v>
      </c>
      <c r="AO530" s="259">
        <v>13173.12429046</v>
      </c>
      <c r="AP530" s="259">
        <v>11257.207820879999</v>
      </c>
      <c r="AQ530" s="259"/>
      <c r="AR530" s="259"/>
      <c r="AS530" s="259"/>
      <c r="AT530" s="259"/>
      <c r="AU530" s="259"/>
      <c r="AV530" s="259"/>
      <c r="AW530" s="259"/>
      <c r="AX530" s="259"/>
      <c r="AY530" s="259"/>
      <c r="AZ530" s="259"/>
      <c r="BA530" s="259"/>
      <c r="BB530" s="259"/>
      <c r="BC530" s="259"/>
      <c r="BD530" s="259"/>
      <c r="BE530" s="259"/>
      <c r="BF530" s="259"/>
      <c r="BG530" s="259"/>
      <c r="BH530" s="259"/>
      <c r="BI530" s="259"/>
      <c r="BJ530" s="259"/>
      <c r="BK530" s="259"/>
    </row>
    <row r="531" spans="1:63" s="80" customFormat="1" ht="12.75">
      <c r="A531" s="169"/>
      <c r="B531" s="307" t="str">
        <f>IF(SUM(F531:Z531)&gt;0,Servicio_internaColumna_título_total,"")</f>
        <v>Total</v>
      </c>
      <c r="C531" s="308"/>
      <c r="D531" s="309"/>
      <c r="E531" s="309"/>
      <c r="F531" s="309"/>
      <c r="G531" s="309"/>
      <c r="H531" s="309"/>
      <c r="I531" s="309"/>
      <c r="J531" s="309"/>
      <c r="K531" s="309"/>
      <c r="L531" s="309"/>
      <c r="M531" s="309"/>
      <c r="N531" s="309"/>
      <c r="O531" s="309"/>
      <c r="P531" s="309"/>
      <c r="Q531" s="309">
        <f t="shared" ref="Q531:AP531" si="25">Q529+Q530</f>
        <v>17732368.372077245</v>
      </c>
      <c r="R531" s="309">
        <f t="shared" si="25"/>
        <v>39335794.479763761</v>
      </c>
      <c r="S531" s="309">
        <f t="shared" si="25"/>
        <v>23505374.831606664</v>
      </c>
      <c r="T531" s="309">
        <f t="shared" si="25"/>
        <v>31393002.374672741</v>
      </c>
      <c r="U531" s="309">
        <f t="shared" si="25"/>
        <v>30137759.120452281</v>
      </c>
      <c r="V531" s="309">
        <f t="shared" si="25"/>
        <v>24232173.339455113</v>
      </c>
      <c r="W531" s="309">
        <f t="shared" si="25"/>
        <v>17463933.369102918</v>
      </c>
      <c r="X531" s="309">
        <f t="shared" si="25"/>
        <v>18626958.627315652</v>
      </c>
      <c r="Y531" s="309">
        <f t="shared" si="25"/>
        <v>19206554.916543759</v>
      </c>
      <c r="Z531" s="309">
        <f t="shared" si="25"/>
        <v>30993499.202034451</v>
      </c>
      <c r="AA531" s="309">
        <f t="shared" si="25"/>
        <v>4745508.0511454791</v>
      </c>
      <c r="AB531" s="309">
        <f t="shared" si="25"/>
        <v>12316642.681114696</v>
      </c>
      <c r="AC531" s="309">
        <f t="shared" si="25"/>
        <v>1681606.1188624199</v>
      </c>
      <c r="AD531" s="309">
        <f t="shared" si="25"/>
        <v>15490320.752724795</v>
      </c>
      <c r="AE531" s="309">
        <f t="shared" si="25"/>
        <v>862065.87221028144</v>
      </c>
      <c r="AF531" s="309">
        <f t="shared" si="25"/>
        <v>7389126.337687592</v>
      </c>
      <c r="AG531" s="309">
        <f t="shared" si="25"/>
        <v>366393.50148646213</v>
      </c>
      <c r="AH531" s="309">
        <f t="shared" si="25"/>
        <v>371720.50795401726</v>
      </c>
      <c r="AI531" s="309">
        <f t="shared" si="25"/>
        <v>7148049.8436400304</v>
      </c>
      <c r="AJ531" s="309">
        <f t="shared" si="25"/>
        <v>27256.714491220002</v>
      </c>
      <c r="AK531" s="309">
        <f t="shared" si="25"/>
        <v>24281.03146849</v>
      </c>
      <c r="AL531" s="309">
        <f t="shared" si="25"/>
        <v>21305.348445750002</v>
      </c>
      <c r="AM531" s="309">
        <f t="shared" si="25"/>
        <v>18329.665422999999</v>
      </c>
      <c r="AN531" s="309">
        <f t="shared" si="25"/>
        <v>15353.982399299999</v>
      </c>
      <c r="AO531" s="309">
        <f t="shared" si="25"/>
        <v>13173.12429046</v>
      </c>
      <c r="AP531" s="309">
        <f t="shared" si="25"/>
        <v>11257.207820879999</v>
      </c>
      <c r="AQ531" s="309"/>
      <c r="AR531" s="309"/>
      <c r="AS531" s="309"/>
      <c r="AT531" s="309"/>
      <c r="AU531" s="309"/>
      <c r="AV531" s="309"/>
      <c r="AW531" s="309"/>
      <c r="AX531" s="309"/>
      <c r="AY531" s="309"/>
      <c r="AZ531" s="309"/>
      <c r="BA531" s="309"/>
      <c r="BB531" s="309"/>
      <c r="BC531" s="309"/>
      <c r="BD531" s="309"/>
      <c r="BE531" s="309"/>
      <c r="BF531" s="309"/>
      <c r="BG531" s="309"/>
      <c r="BH531" s="309"/>
      <c r="BI531" s="309"/>
      <c r="BJ531" s="309"/>
      <c r="BK531" s="309"/>
    </row>
    <row r="532" spans="1:63" s="80" customFormat="1" ht="12.75">
      <c r="A532" s="167"/>
      <c r="B532" s="210" t="str">
        <f>IF(SUM(F532:Z532)&gt;0,Servicio_internaColumna_título_amortizaciones,"")</f>
        <v>Amortizaciones</v>
      </c>
      <c r="C532" s="254"/>
      <c r="D532" s="255"/>
      <c r="E532" s="255"/>
      <c r="F532" s="255"/>
      <c r="G532" s="255"/>
      <c r="H532" s="255"/>
      <c r="I532" s="255"/>
      <c r="J532" s="255"/>
      <c r="K532" s="255"/>
      <c r="L532" s="255"/>
      <c r="M532" s="255"/>
      <c r="N532" s="255"/>
      <c r="O532" s="255"/>
      <c r="P532" s="255"/>
      <c r="Q532" s="255">
        <v>13111716.603870038</v>
      </c>
      <c r="R532" s="255">
        <v>25201945.209302649</v>
      </c>
      <c r="S532" s="255">
        <v>11828886.3931651</v>
      </c>
      <c r="T532" s="255">
        <v>19911481.859999999</v>
      </c>
      <c r="U532" s="255">
        <v>20776187.357684497</v>
      </c>
      <c r="V532" s="255">
        <v>16032323.839000851</v>
      </c>
      <c r="W532" s="255">
        <v>10459753.37469318</v>
      </c>
      <c r="X532" s="255">
        <v>11921629.9</v>
      </c>
      <c r="Y532" s="255">
        <v>13325928.184424562</v>
      </c>
      <c r="Z532" s="255">
        <v>25889987.199999999</v>
      </c>
      <c r="AA532" s="255">
        <v>2447014.0129526998</v>
      </c>
      <c r="AB532" s="255">
        <v>10717673.6</v>
      </c>
      <c r="AC532" s="255">
        <v>0</v>
      </c>
      <c r="AD532" s="255">
        <v>13804481</v>
      </c>
      <c r="AE532" s="255">
        <v>0</v>
      </c>
      <c r="AF532" s="255">
        <v>6899046.2000000002</v>
      </c>
      <c r="AG532" s="255">
        <v>0</v>
      </c>
      <c r="AH532" s="255">
        <v>0</v>
      </c>
      <c r="AI532" s="255">
        <v>6858436.9517420996</v>
      </c>
      <c r="AJ532" s="255">
        <v>0</v>
      </c>
      <c r="AK532" s="255">
        <v>0</v>
      </c>
      <c r="AL532" s="255">
        <v>0</v>
      </c>
      <c r="AM532" s="255">
        <v>0</v>
      </c>
      <c r="AN532" s="255">
        <v>0</v>
      </c>
      <c r="AO532" s="255">
        <v>0</v>
      </c>
      <c r="AP532" s="255">
        <v>0</v>
      </c>
      <c r="AQ532" s="255"/>
      <c r="AR532" s="255"/>
      <c r="AS532" s="255"/>
      <c r="AT532" s="255"/>
      <c r="AU532" s="255"/>
      <c r="AV532" s="255"/>
      <c r="AW532" s="255"/>
      <c r="AX532" s="255"/>
      <c r="AY532" s="255"/>
      <c r="AZ532" s="255"/>
      <c r="BA532" s="255"/>
      <c r="BB532" s="255"/>
      <c r="BC532" s="255"/>
      <c r="BD532" s="255"/>
      <c r="BE532" s="255"/>
      <c r="BF532" s="255"/>
      <c r="BG532" s="255"/>
      <c r="BH532" s="255"/>
      <c r="BI532" s="255"/>
      <c r="BJ532" s="255"/>
      <c r="BK532" s="255"/>
    </row>
    <row r="533" spans="1:63" s="80" customFormat="1" ht="12.75">
      <c r="A533" s="168">
        <v>42247</v>
      </c>
      <c r="B533" s="213" t="str">
        <f>IF(SUM(F533:Z533)&gt;0,Servicio_internaColumna_título_intereses,"")</f>
        <v>Intereses</v>
      </c>
      <c r="C533" s="256"/>
      <c r="D533" s="257"/>
      <c r="E533" s="257"/>
      <c r="F533" s="257"/>
      <c r="G533" s="257"/>
      <c r="H533" s="257"/>
      <c r="I533" s="257"/>
      <c r="J533" s="257"/>
      <c r="K533" s="257"/>
      <c r="L533" s="257"/>
      <c r="M533" s="257"/>
      <c r="N533" s="257"/>
      <c r="O533" s="257"/>
      <c r="P533" s="257"/>
      <c r="Q533" s="257">
        <v>3993640.3202573843</v>
      </c>
      <c r="R533" s="257">
        <v>13722151.068665965</v>
      </c>
      <c r="S533" s="257">
        <v>12157290.23356929</v>
      </c>
      <c r="T533" s="257">
        <v>11667772.344840273</v>
      </c>
      <c r="U533" s="258">
        <v>10113366.614113342</v>
      </c>
      <c r="V533" s="258">
        <v>8914902.1894663498</v>
      </c>
      <c r="W533" s="258">
        <v>7217421.6325226892</v>
      </c>
      <c r="X533" s="258">
        <v>6808421.9931693459</v>
      </c>
      <c r="Y533" s="258">
        <v>6003576.8878936376</v>
      </c>
      <c r="Z533" s="258">
        <v>5207355.9572863635</v>
      </c>
      <c r="AA533" s="258">
        <v>2625299.6857622489</v>
      </c>
      <c r="AB533" s="258">
        <v>2513885.1883943439</v>
      </c>
      <c r="AC533" s="258">
        <v>1714136.6286179563</v>
      </c>
      <c r="AD533" s="259">
        <v>1718470.2342554969</v>
      </c>
      <c r="AE533" s="259">
        <v>894799.32466940489</v>
      </c>
      <c r="AF533" s="259">
        <v>899669.55020298972</v>
      </c>
      <c r="AG533" s="259">
        <v>370144.13860982115</v>
      </c>
      <c r="AH533" s="259">
        <v>375583.66419107706</v>
      </c>
      <c r="AI533" s="259">
        <v>381320.71214700077</v>
      </c>
      <c r="AJ533" s="259">
        <v>27256.714491220002</v>
      </c>
      <c r="AK533" s="259">
        <v>24281.03146849</v>
      </c>
      <c r="AL533" s="259">
        <v>21305.348445750002</v>
      </c>
      <c r="AM533" s="259">
        <v>18329.665422999999</v>
      </c>
      <c r="AN533" s="259">
        <v>15353.982399299999</v>
      </c>
      <c r="AO533" s="259">
        <v>13173.12429046</v>
      </c>
      <c r="AP533" s="259">
        <v>11257.207820879999</v>
      </c>
      <c r="AQ533" s="259"/>
      <c r="AR533" s="259"/>
      <c r="AS533" s="259"/>
      <c r="AT533" s="259"/>
      <c r="AU533" s="259"/>
      <c r="AV533" s="259"/>
      <c r="AW533" s="259"/>
      <c r="AX533" s="259"/>
      <c r="AY533" s="259"/>
      <c r="AZ533" s="259"/>
      <c r="BA533" s="259"/>
      <c r="BB533" s="259"/>
      <c r="BC533" s="259"/>
      <c r="BD533" s="259"/>
      <c r="BE533" s="259"/>
      <c r="BF533" s="259"/>
      <c r="BG533" s="259"/>
      <c r="BH533" s="259"/>
      <c r="BI533" s="259"/>
      <c r="BJ533" s="259"/>
      <c r="BK533" s="259"/>
    </row>
    <row r="534" spans="1:63" s="80" customFormat="1" ht="12.75">
      <c r="A534" s="169"/>
      <c r="B534" s="307" t="str">
        <f>IF(SUM(F534:Z534)&gt;0,Servicio_internaColumna_título_total,"")</f>
        <v>Total</v>
      </c>
      <c r="C534" s="308"/>
      <c r="D534" s="309"/>
      <c r="E534" s="309"/>
      <c r="F534" s="309"/>
      <c r="G534" s="309"/>
      <c r="H534" s="309"/>
      <c r="I534" s="309"/>
      <c r="J534" s="309"/>
      <c r="K534" s="309"/>
      <c r="L534" s="309"/>
      <c r="M534" s="309"/>
      <c r="N534" s="309"/>
      <c r="O534" s="309"/>
      <c r="P534" s="309"/>
      <c r="Q534" s="309">
        <f t="shared" ref="Q534:AP534" si="26">Q532+Q533</f>
        <v>17105356.924127422</v>
      </c>
      <c r="R534" s="309">
        <f t="shared" si="26"/>
        <v>38924096.277968615</v>
      </c>
      <c r="S534" s="309">
        <f t="shared" si="26"/>
        <v>23986176.626734391</v>
      </c>
      <c r="T534" s="309">
        <f t="shared" si="26"/>
        <v>31579254.204840273</v>
      </c>
      <c r="U534" s="309">
        <f t="shared" si="26"/>
        <v>30889553.971797839</v>
      </c>
      <c r="V534" s="309">
        <f t="shared" si="26"/>
        <v>24947226.028467201</v>
      </c>
      <c r="W534" s="309">
        <f t="shared" si="26"/>
        <v>17677175.007215869</v>
      </c>
      <c r="X534" s="309">
        <f t="shared" si="26"/>
        <v>18730051.893169347</v>
      </c>
      <c r="Y534" s="309">
        <f t="shared" si="26"/>
        <v>19329505.0723182</v>
      </c>
      <c r="Z534" s="309">
        <f t="shared" si="26"/>
        <v>31097343.157286361</v>
      </c>
      <c r="AA534" s="309">
        <f t="shared" si="26"/>
        <v>5072313.6987149492</v>
      </c>
      <c r="AB534" s="309">
        <f t="shared" si="26"/>
        <v>13231558.788394343</v>
      </c>
      <c r="AC534" s="309">
        <f t="shared" si="26"/>
        <v>1714136.6286179563</v>
      </c>
      <c r="AD534" s="309">
        <f t="shared" si="26"/>
        <v>15522951.234255496</v>
      </c>
      <c r="AE534" s="309">
        <f t="shared" si="26"/>
        <v>894799.32466940489</v>
      </c>
      <c r="AF534" s="309">
        <f t="shared" si="26"/>
        <v>7798715.7502029901</v>
      </c>
      <c r="AG534" s="309">
        <f t="shared" si="26"/>
        <v>370144.13860982115</v>
      </c>
      <c r="AH534" s="309">
        <f t="shared" si="26"/>
        <v>375583.66419107706</v>
      </c>
      <c r="AI534" s="309">
        <f t="shared" si="26"/>
        <v>7239757.6638891008</v>
      </c>
      <c r="AJ534" s="309">
        <f t="shared" si="26"/>
        <v>27256.714491220002</v>
      </c>
      <c r="AK534" s="309">
        <f t="shared" si="26"/>
        <v>24281.03146849</v>
      </c>
      <c r="AL534" s="309">
        <f t="shared" si="26"/>
        <v>21305.348445750002</v>
      </c>
      <c r="AM534" s="309">
        <f t="shared" si="26"/>
        <v>18329.665422999999</v>
      </c>
      <c r="AN534" s="309">
        <f t="shared" si="26"/>
        <v>15353.982399299999</v>
      </c>
      <c r="AO534" s="309">
        <f t="shared" si="26"/>
        <v>13173.12429046</v>
      </c>
      <c r="AP534" s="309">
        <f t="shared" si="26"/>
        <v>11257.207820879999</v>
      </c>
      <c r="AQ534" s="309"/>
      <c r="AR534" s="309"/>
      <c r="AS534" s="309"/>
      <c r="AT534" s="309"/>
      <c r="AU534" s="309"/>
      <c r="AV534" s="309"/>
      <c r="AW534" s="309"/>
      <c r="AX534" s="309"/>
      <c r="AY534" s="309"/>
      <c r="AZ534" s="309"/>
      <c r="BA534" s="309"/>
      <c r="BB534" s="309"/>
      <c r="BC534" s="309"/>
      <c r="BD534" s="309"/>
      <c r="BE534" s="309"/>
      <c r="BF534" s="309"/>
      <c r="BG534" s="309"/>
      <c r="BH534" s="309"/>
      <c r="BI534" s="309"/>
      <c r="BJ534" s="309"/>
      <c r="BK534" s="309"/>
    </row>
    <row r="535" spans="1:63" s="80" customFormat="1" ht="12.75">
      <c r="A535" s="167"/>
      <c r="B535" s="210" t="str">
        <f>IF(SUM(F535:Z535)&gt;0,Servicio_internaColumna_título_amortizaciones,"")</f>
        <v>Amortizaciones</v>
      </c>
      <c r="C535" s="254"/>
      <c r="D535" s="255"/>
      <c r="E535" s="255"/>
      <c r="F535" s="255"/>
      <c r="G535" s="255"/>
      <c r="H535" s="255"/>
      <c r="I535" s="255"/>
      <c r="J535" s="255"/>
      <c r="K535" s="255"/>
      <c r="L535" s="255"/>
      <c r="M535" s="255"/>
      <c r="N535" s="255"/>
      <c r="O535" s="255"/>
      <c r="P535" s="255"/>
      <c r="Q535" s="255">
        <v>19650945.871077221</v>
      </c>
      <c r="R535" s="255">
        <v>24451991.236659087</v>
      </c>
      <c r="S535" s="255">
        <v>12593488.747224702</v>
      </c>
      <c r="T535" s="255">
        <v>19911481.859999999</v>
      </c>
      <c r="U535" s="255">
        <v>21395495.834828798</v>
      </c>
      <c r="V535" s="255">
        <v>16768568.03900085</v>
      </c>
      <c r="W535" s="255">
        <v>10644455.82173598</v>
      </c>
      <c r="X535" s="255">
        <v>11921629.9</v>
      </c>
      <c r="Y535" s="255">
        <v>13370145.90754967</v>
      </c>
      <c r="Z535" s="255">
        <v>25889987.199999999</v>
      </c>
      <c r="AA535" s="255">
        <v>2769059.6317527001</v>
      </c>
      <c r="AB535" s="255">
        <v>11144359</v>
      </c>
      <c r="AC535" s="255">
        <v>0</v>
      </c>
      <c r="AD535" s="255">
        <v>13804481</v>
      </c>
      <c r="AE535" s="255">
        <v>0</v>
      </c>
      <c r="AF535" s="255">
        <v>7247821</v>
      </c>
      <c r="AG535" s="255">
        <v>0</v>
      </c>
      <c r="AH535" s="255">
        <v>0</v>
      </c>
      <c r="AI535" s="255">
        <v>6982881.4975326005</v>
      </c>
      <c r="AJ535" s="255">
        <v>0</v>
      </c>
      <c r="AK535" s="255">
        <v>0</v>
      </c>
      <c r="AL535" s="255">
        <v>0</v>
      </c>
      <c r="AM535" s="255">
        <v>0</v>
      </c>
      <c r="AN535" s="255">
        <v>0</v>
      </c>
      <c r="AO535" s="255">
        <v>0</v>
      </c>
      <c r="AP535" s="255">
        <v>0</v>
      </c>
      <c r="AQ535" s="255"/>
      <c r="AR535" s="255"/>
      <c r="AS535" s="255"/>
      <c r="AT535" s="255"/>
      <c r="AU535" s="255"/>
      <c r="AV535" s="255"/>
      <c r="AW535" s="255"/>
      <c r="AX535" s="255"/>
      <c r="AY535" s="255"/>
      <c r="AZ535" s="255"/>
      <c r="BA535" s="255"/>
      <c r="BB535" s="255"/>
      <c r="BC535" s="255"/>
      <c r="BD535" s="255"/>
      <c r="BE535" s="255"/>
      <c r="BF535" s="255"/>
      <c r="BG535" s="255"/>
      <c r="BH535" s="255"/>
      <c r="BI535" s="255"/>
      <c r="BJ535" s="255"/>
      <c r="BK535" s="255"/>
    </row>
    <row r="536" spans="1:63" s="80" customFormat="1" ht="12.75">
      <c r="A536" s="168">
        <v>42277</v>
      </c>
      <c r="B536" s="213" t="str">
        <f>IF(SUM(F536:Z536)&gt;0,Servicio_internaColumna_título_intereses,"")</f>
        <v>Intereses</v>
      </c>
      <c r="C536" s="256"/>
      <c r="D536" s="257"/>
      <c r="E536" s="257"/>
      <c r="F536" s="257"/>
      <c r="G536" s="257"/>
      <c r="H536" s="257"/>
      <c r="I536" s="257"/>
      <c r="J536" s="257"/>
      <c r="K536" s="257"/>
      <c r="L536" s="257"/>
      <c r="M536" s="257"/>
      <c r="N536" s="257"/>
      <c r="O536" s="257"/>
      <c r="P536" s="257"/>
      <c r="Q536" s="257">
        <v>2475242.4267573841</v>
      </c>
      <c r="R536" s="257">
        <v>13880699.593489708</v>
      </c>
      <c r="S536" s="257">
        <v>12372441.648686172</v>
      </c>
      <c r="T536" s="257">
        <v>11851561.582429864</v>
      </c>
      <c r="U536" s="258">
        <v>10298468.979410615</v>
      </c>
      <c r="V536" s="258">
        <v>9077233.9918034188</v>
      </c>
      <c r="W536" s="258">
        <v>7299435.9775098693</v>
      </c>
      <c r="X536" s="258">
        <v>6884682.5591936195</v>
      </c>
      <c r="Y536" s="258">
        <v>6080354.3273386341</v>
      </c>
      <c r="Z536" s="258">
        <v>5284665.7763547134</v>
      </c>
      <c r="AA536" s="258">
        <v>2703157.8558426481</v>
      </c>
      <c r="AB536" s="258">
        <v>2577130.6246694014</v>
      </c>
      <c r="AC536" s="258">
        <v>1745507.0794212667</v>
      </c>
      <c r="AD536" s="259">
        <v>1749970.8971729078</v>
      </c>
      <c r="AE536" s="259">
        <v>926434.10606433707</v>
      </c>
      <c r="AF536" s="259">
        <v>931442.47362976964</v>
      </c>
      <c r="AG536" s="259">
        <v>375029.30132940481</v>
      </c>
      <c r="AH536" s="259">
        <v>380615.38179224828</v>
      </c>
      <c r="AI536" s="259">
        <v>386503.38127620664</v>
      </c>
      <c r="AJ536" s="259">
        <v>27256.714491220002</v>
      </c>
      <c r="AK536" s="259">
        <v>24281.03146849</v>
      </c>
      <c r="AL536" s="259">
        <v>21305.348445750002</v>
      </c>
      <c r="AM536" s="259">
        <v>18329.665422999999</v>
      </c>
      <c r="AN536" s="259">
        <v>15353.982399299999</v>
      </c>
      <c r="AO536" s="259">
        <v>13173.12429046</v>
      </c>
      <c r="AP536" s="259">
        <v>11257.207820879999</v>
      </c>
      <c r="AQ536" s="259"/>
      <c r="AR536" s="259"/>
      <c r="AS536" s="259"/>
      <c r="AT536" s="259"/>
      <c r="AU536" s="259"/>
      <c r="AV536" s="259"/>
      <c r="AW536" s="259"/>
      <c r="AX536" s="259"/>
      <c r="AY536" s="259"/>
      <c r="AZ536" s="259"/>
      <c r="BA536" s="259"/>
      <c r="BB536" s="259"/>
      <c r="BC536" s="259"/>
      <c r="BD536" s="259"/>
      <c r="BE536" s="259"/>
      <c r="BF536" s="259"/>
      <c r="BG536" s="259"/>
      <c r="BH536" s="259"/>
      <c r="BI536" s="259"/>
      <c r="BJ536" s="259"/>
      <c r="BK536" s="259"/>
    </row>
    <row r="537" spans="1:63" s="80" customFormat="1" ht="12.75">
      <c r="A537" s="169"/>
      <c r="B537" s="307" t="str">
        <f>IF(SUM(F537:Z537)&gt;0,Servicio_internaColumna_título_total,"")</f>
        <v>Total</v>
      </c>
      <c r="C537" s="308"/>
      <c r="D537" s="309"/>
      <c r="E537" s="309"/>
      <c r="F537" s="309"/>
      <c r="G537" s="309"/>
      <c r="H537" s="309"/>
      <c r="I537" s="309"/>
      <c r="J537" s="309"/>
      <c r="K537" s="309"/>
      <c r="L537" s="309"/>
      <c r="M537" s="309"/>
      <c r="N537" s="309"/>
      <c r="O537" s="309"/>
      <c r="P537" s="309"/>
      <c r="Q537" s="309">
        <f t="shared" ref="Q537:AP537" si="27">Q535+Q536</f>
        <v>22126188.297834605</v>
      </c>
      <c r="R537" s="309">
        <f t="shared" si="27"/>
        <v>38332690.830148794</v>
      </c>
      <c r="S537" s="309">
        <f t="shared" si="27"/>
        <v>24965930.395910874</v>
      </c>
      <c r="T537" s="309">
        <f t="shared" si="27"/>
        <v>31763043.442429863</v>
      </c>
      <c r="U537" s="309">
        <f t="shared" si="27"/>
        <v>31693964.814239413</v>
      </c>
      <c r="V537" s="309">
        <f t="shared" si="27"/>
        <v>25845802.030804269</v>
      </c>
      <c r="W537" s="309">
        <f t="shared" si="27"/>
        <v>17943891.799245849</v>
      </c>
      <c r="X537" s="309">
        <f t="shared" si="27"/>
        <v>18806312.459193621</v>
      </c>
      <c r="Y537" s="309">
        <f t="shared" si="27"/>
        <v>19450500.234888304</v>
      </c>
      <c r="Z537" s="309">
        <f t="shared" si="27"/>
        <v>31174652.976354711</v>
      </c>
      <c r="AA537" s="309">
        <f t="shared" si="27"/>
        <v>5472217.4875953477</v>
      </c>
      <c r="AB537" s="309">
        <f t="shared" si="27"/>
        <v>13721489.624669401</v>
      </c>
      <c r="AC537" s="309">
        <f t="shared" si="27"/>
        <v>1745507.0794212667</v>
      </c>
      <c r="AD537" s="309">
        <f t="shared" si="27"/>
        <v>15554451.897172907</v>
      </c>
      <c r="AE537" s="309">
        <f t="shared" si="27"/>
        <v>926434.10606433707</v>
      </c>
      <c r="AF537" s="309">
        <f t="shared" si="27"/>
        <v>8179263.4736297699</v>
      </c>
      <c r="AG537" s="309">
        <f t="shared" si="27"/>
        <v>375029.30132940481</v>
      </c>
      <c r="AH537" s="309">
        <f t="shared" si="27"/>
        <v>380615.38179224828</v>
      </c>
      <c r="AI537" s="309">
        <f t="shared" si="27"/>
        <v>7369384.8788088076</v>
      </c>
      <c r="AJ537" s="309">
        <f t="shared" si="27"/>
        <v>27256.714491220002</v>
      </c>
      <c r="AK537" s="309">
        <f t="shared" si="27"/>
        <v>24281.03146849</v>
      </c>
      <c r="AL537" s="309">
        <f t="shared" si="27"/>
        <v>21305.348445750002</v>
      </c>
      <c r="AM537" s="309">
        <f t="shared" si="27"/>
        <v>18329.665422999999</v>
      </c>
      <c r="AN537" s="309">
        <f t="shared" si="27"/>
        <v>15353.982399299999</v>
      </c>
      <c r="AO537" s="309">
        <f t="shared" si="27"/>
        <v>13173.12429046</v>
      </c>
      <c r="AP537" s="309">
        <f t="shared" si="27"/>
        <v>11257.207820879999</v>
      </c>
      <c r="AQ537" s="309"/>
      <c r="AR537" s="309"/>
      <c r="AS537" s="309"/>
      <c r="AT537" s="309"/>
      <c r="AU537" s="309"/>
      <c r="AV537" s="309"/>
      <c r="AW537" s="309"/>
      <c r="AX537" s="309"/>
      <c r="AY537" s="309"/>
      <c r="AZ537" s="309"/>
      <c r="BA537" s="309"/>
      <c r="BB537" s="309"/>
      <c r="BC537" s="309"/>
      <c r="BD537" s="309"/>
      <c r="BE537" s="309"/>
      <c r="BF537" s="309"/>
      <c r="BG537" s="309"/>
      <c r="BH537" s="309"/>
      <c r="BI537" s="309"/>
      <c r="BJ537" s="309"/>
      <c r="BK537" s="309"/>
    </row>
    <row r="538" spans="1:63" s="80" customFormat="1" ht="12.75">
      <c r="A538" s="167"/>
      <c r="B538" s="210" t="str">
        <f>IF(SUM(F538:Z538)&gt;0,Servicio_internaColumna_título_amortizaciones,"")</f>
        <v>Amortizaciones</v>
      </c>
      <c r="C538" s="254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>
        <v>10645752.531251099</v>
      </c>
      <c r="R538" s="255">
        <v>21654856.242120598</v>
      </c>
      <c r="S538" s="255">
        <v>12771856.493555602</v>
      </c>
      <c r="T538" s="255">
        <v>19911481.859999999</v>
      </c>
      <c r="U538" s="255">
        <v>21567666.626862399</v>
      </c>
      <c r="V538" s="255">
        <v>17171567.239000849</v>
      </c>
      <c r="W538" s="255">
        <v>10709549.211634681</v>
      </c>
      <c r="X538" s="255">
        <v>11921629.9</v>
      </c>
      <c r="Y538" s="255">
        <v>13451910.473636353</v>
      </c>
      <c r="Z538" s="255">
        <v>25889987.199999999</v>
      </c>
      <c r="AA538" s="255">
        <v>2902502.2665772005</v>
      </c>
      <c r="AB538" s="255">
        <v>11318436</v>
      </c>
      <c r="AC538" s="255">
        <v>0</v>
      </c>
      <c r="AD538" s="255">
        <v>13804481</v>
      </c>
      <c r="AE538" s="255">
        <v>0</v>
      </c>
      <c r="AF538" s="255">
        <v>7247821</v>
      </c>
      <c r="AG538" s="255">
        <v>0</v>
      </c>
      <c r="AH538" s="255">
        <v>0</v>
      </c>
      <c r="AI538" s="255">
        <v>7031216.1262248</v>
      </c>
      <c r="AJ538" s="255">
        <v>0</v>
      </c>
      <c r="AK538" s="255">
        <v>0</v>
      </c>
      <c r="AL538" s="255">
        <v>0</v>
      </c>
      <c r="AM538" s="255">
        <v>0</v>
      </c>
      <c r="AN538" s="255">
        <v>0</v>
      </c>
      <c r="AO538" s="255">
        <v>0</v>
      </c>
      <c r="AP538" s="255">
        <v>0</v>
      </c>
      <c r="AQ538" s="255"/>
      <c r="AR538" s="255"/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</row>
    <row r="539" spans="1:63" s="80" customFormat="1" ht="12.75">
      <c r="A539" s="168">
        <v>42308</v>
      </c>
      <c r="B539" s="213" t="str">
        <f>IF(SUM(F539:Z539)&gt;0,Servicio_internaColumna_título_intereses,"")</f>
        <v>Intereses</v>
      </c>
      <c r="C539" s="256"/>
      <c r="D539" s="257"/>
      <c r="E539" s="257"/>
      <c r="F539" s="257"/>
      <c r="G539" s="257"/>
      <c r="H539" s="257"/>
      <c r="I539" s="257"/>
      <c r="J539" s="257"/>
      <c r="K539" s="257"/>
      <c r="L539" s="257"/>
      <c r="M539" s="257"/>
      <c r="N539" s="257"/>
      <c r="O539" s="257"/>
      <c r="P539" s="257"/>
      <c r="Q539" s="257">
        <v>673155.45900000026</v>
      </c>
      <c r="R539" s="257">
        <v>13765286.868826056</v>
      </c>
      <c r="S539" s="257">
        <v>12460862.655438695</v>
      </c>
      <c r="T539" s="257">
        <v>11931702.149108212</v>
      </c>
      <c r="U539" s="258">
        <v>10379292.19247932</v>
      </c>
      <c r="V539" s="258">
        <v>9151279.3138072398</v>
      </c>
      <c r="W539" s="258">
        <v>7329651.1765638031</v>
      </c>
      <c r="X539" s="258">
        <v>6911881.74256304</v>
      </c>
      <c r="Y539" s="258">
        <v>6107977.8129591402</v>
      </c>
      <c r="Z539" s="258">
        <v>5306340.7010370176</v>
      </c>
      <c r="AA539" s="258">
        <v>2725091.3550154213</v>
      </c>
      <c r="AB539" s="258">
        <v>2592654.7398553253</v>
      </c>
      <c r="AC539" s="258">
        <v>1748049.4698127683</v>
      </c>
      <c r="AD539" s="259">
        <v>1752589.5592761547</v>
      </c>
      <c r="AE539" s="259">
        <v>929131.328030681</v>
      </c>
      <c r="AF539" s="259">
        <v>934220.61225510365</v>
      </c>
      <c r="AG539" s="259">
        <v>377890.78411349899</v>
      </c>
      <c r="AH539" s="259">
        <v>383562.70905986521</v>
      </c>
      <c r="AI539" s="259">
        <v>389539.12836185243</v>
      </c>
      <c r="AJ539" s="259">
        <v>27256.714491220002</v>
      </c>
      <c r="AK539" s="259">
        <v>24281.03146849</v>
      </c>
      <c r="AL539" s="259">
        <v>21305.348445750002</v>
      </c>
      <c r="AM539" s="259">
        <v>18329.665422999999</v>
      </c>
      <c r="AN539" s="259">
        <v>15353.982399299999</v>
      </c>
      <c r="AO539" s="259">
        <v>13173.12429046</v>
      </c>
      <c r="AP539" s="259">
        <v>11257.207820879999</v>
      </c>
      <c r="AQ539" s="259"/>
      <c r="AR539" s="259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</row>
    <row r="540" spans="1:63" s="80" customFormat="1" ht="12.75">
      <c r="A540" s="169"/>
      <c r="B540" s="307" t="str">
        <f>IF(SUM(F540:Z540)&gt;0,Servicio_internaColumna_título_total,"")</f>
        <v>Total</v>
      </c>
      <c r="C540" s="308"/>
      <c r="D540" s="309"/>
      <c r="E540" s="309"/>
      <c r="F540" s="309"/>
      <c r="G540" s="309"/>
      <c r="H540" s="309"/>
      <c r="I540" s="309"/>
      <c r="J540" s="309"/>
      <c r="K540" s="309"/>
      <c r="L540" s="309"/>
      <c r="M540" s="309"/>
      <c r="N540" s="309"/>
      <c r="O540" s="309"/>
      <c r="P540" s="309"/>
      <c r="Q540" s="309">
        <f t="shared" ref="Q540:AP540" si="28">Q538+Q539</f>
        <v>11318907.9902511</v>
      </c>
      <c r="R540" s="309">
        <f t="shared" si="28"/>
        <v>35420143.110946655</v>
      </c>
      <c r="S540" s="309">
        <f t="shared" si="28"/>
        <v>25232719.148994297</v>
      </c>
      <c r="T540" s="309">
        <f t="shared" si="28"/>
        <v>31843184.009108212</v>
      </c>
      <c r="U540" s="309">
        <f t="shared" si="28"/>
        <v>31946958.819341719</v>
      </c>
      <c r="V540" s="309">
        <f t="shared" si="28"/>
        <v>26322846.552808091</v>
      </c>
      <c r="W540" s="309">
        <f t="shared" si="28"/>
        <v>18039200.388198484</v>
      </c>
      <c r="X540" s="309">
        <f t="shared" si="28"/>
        <v>18833511.642563041</v>
      </c>
      <c r="Y540" s="309">
        <f t="shared" si="28"/>
        <v>19559888.286595494</v>
      </c>
      <c r="Z540" s="309">
        <f t="shared" si="28"/>
        <v>31196327.901037015</v>
      </c>
      <c r="AA540" s="309">
        <f t="shared" si="28"/>
        <v>5627593.6215926223</v>
      </c>
      <c r="AB540" s="309">
        <f t="shared" si="28"/>
        <v>13911090.739855325</v>
      </c>
      <c r="AC540" s="309">
        <f t="shared" si="28"/>
        <v>1748049.4698127683</v>
      </c>
      <c r="AD540" s="309">
        <f t="shared" si="28"/>
        <v>15557070.559276154</v>
      </c>
      <c r="AE540" s="309">
        <f t="shared" si="28"/>
        <v>929131.328030681</v>
      </c>
      <c r="AF540" s="309">
        <f t="shared" si="28"/>
        <v>8182041.6122551039</v>
      </c>
      <c r="AG540" s="309">
        <f t="shared" si="28"/>
        <v>377890.78411349899</v>
      </c>
      <c r="AH540" s="309">
        <f t="shared" si="28"/>
        <v>383562.70905986521</v>
      </c>
      <c r="AI540" s="309">
        <f t="shared" si="28"/>
        <v>7420755.2545866529</v>
      </c>
      <c r="AJ540" s="309">
        <f t="shared" si="28"/>
        <v>27256.714491220002</v>
      </c>
      <c r="AK540" s="309">
        <f t="shared" si="28"/>
        <v>24281.03146849</v>
      </c>
      <c r="AL540" s="309">
        <f t="shared" si="28"/>
        <v>21305.348445750002</v>
      </c>
      <c r="AM540" s="309">
        <f t="shared" si="28"/>
        <v>18329.665422999999</v>
      </c>
      <c r="AN540" s="309">
        <f t="shared" si="28"/>
        <v>15353.982399299999</v>
      </c>
      <c r="AO540" s="309">
        <f t="shared" si="28"/>
        <v>13173.12429046</v>
      </c>
      <c r="AP540" s="309">
        <f t="shared" si="28"/>
        <v>11257.207820879999</v>
      </c>
      <c r="AQ540" s="309"/>
      <c r="AR540" s="309"/>
      <c r="AS540" s="309"/>
      <c r="AT540" s="309"/>
      <c r="AU540" s="309"/>
      <c r="AV540" s="309"/>
      <c r="AW540" s="309"/>
      <c r="AX540" s="309"/>
      <c r="AY540" s="309"/>
      <c r="AZ540" s="309"/>
      <c r="BA540" s="309"/>
      <c r="BB540" s="309"/>
      <c r="BC540" s="309"/>
      <c r="BD540" s="309"/>
      <c r="BE540" s="309"/>
      <c r="BF540" s="309"/>
      <c r="BG540" s="309"/>
      <c r="BH540" s="309"/>
      <c r="BI540" s="309"/>
      <c r="BJ540" s="309"/>
      <c r="BK540" s="309"/>
    </row>
    <row r="541" spans="1:63" s="80" customFormat="1" ht="12.75">
      <c r="A541" s="167"/>
      <c r="B541" s="210" t="str">
        <f>IF(SUM(F541:Z541)&gt;0,Servicio_internaColumna_título_amortizaciones,"")</f>
        <v>Amortizaciones</v>
      </c>
      <c r="C541" s="254"/>
      <c r="D541" s="255"/>
      <c r="E541" s="255"/>
      <c r="F541" s="255"/>
      <c r="G541" s="255"/>
      <c r="H541" s="255"/>
      <c r="I541" s="255"/>
      <c r="J541" s="255"/>
      <c r="K541" s="255"/>
      <c r="L541" s="255"/>
      <c r="M541" s="255"/>
      <c r="N541" s="255"/>
      <c r="O541" s="255"/>
      <c r="P541" s="255"/>
      <c r="Q541" s="255">
        <v>7682351.5360920997</v>
      </c>
      <c r="R541" s="255">
        <v>21615551.537366647</v>
      </c>
      <c r="S541" s="255">
        <v>13322993.773755103</v>
      </c>
      <c r="T541" s="255">
        <v>19911481.859999999</v>
      </c>
      <c r="U541" s="255">
        <v>21864171.3765922</v>
      </c>
      <c r="V541" s="255">
        <v>17280471.015395392</v>
      </c>
      <c r="W541" s="255">
        <v>11073484.245228961</v>
      </c>
      <c r="X541" s="255">
        <v>11921629.9</v>
      </c>
      <c r="Y541" s="255">
        <v>13544508.501331484</v>
      </c>
      <c r="Z541" s="255">
        <v>25889987.199999999</v>
      </c>
      <c r="AA541" s="255">
        <v>3161874.9328389</v>
      </c>
      <c r="AB541" s="255">
        <v>11339618.4</v>
      </c>
      <c r="AC541" s="255">
        <v>0</v>
      </c>
      <c r="AD541" s="255">
        <v>13804481</v>
      </c>
      <c r="AE541" s="255">
        <v>0</v>
      </c>
      <c r="AF541" s="255">
        <v>7257821</v>
      </c>
      <c r="AG541" s="255">
        <v>0</v>
      </c>
      <c r="AH541" s="255">
        <v>0</v>
      </c>
      <c r="AI541" s="255">
        <v>7345142.0165484007</v>
      </c>
      <c r="AJ541" s="255">
        <v>0</v>
      </c>
      <c r="AK541" s="255">
        <v>0</v>
      </c>
      <c r="AL541" s="255">
        <v>0</v>
      </c>
      <c r="AM541" s="255">
        <v>0</v>
      </c>
      <c r="AN541" s="255">
        <v>0</v>
      </c>
      <c r="AO541" s="255">
        <v>0</v>
      </c>
      <c r="AP541" s="255">
        <v>0</v>
      </c>
      <c r="AQ541" s="255"/>
      <c r="AR541" s="255"/>
      <c r="AS541" s="255"/>
      <c r="AT541" s="255"/>
      <c r="AU541" s="255"/>
      <c r="AV541" s="255"/>
      <c r="AW541" s="255"/>
      <c r="AX541" s="255"/>
      <c r="AY541" s="255"/>
      <c r="AZ541" s="255"/>
      <c r="BA541" s="255"/>
      <c r="BB541" s="255"/>
      <c r="BC541" s="255"/>
      <c r="BD541" s="255"/>
      <c r="BE541" s="255"/>
      <c r="BF541" s="255"/>
      <c r="BG541" s="255"/>
      <c r="BH541" s="255"/>
      <c r="BI541" s="255"/>
      <c r="BJ541" s="255"/>
      <c r="BK541" s="255"/>
    </row>
    <row r="542" spans="1:63" s="80" customFormat="1" ht="12.75">
      <c r="A542" s="168">
        <v>42338</v>
      </c>
      <c r="B542" s="213" t="str">
        <f>IF(SUM(F542:Z542)&gt;0,Servicio_internaColumna_título_intereses,"")</f>
        <v>Intereses</v>
      </c>
      <c r="C542" s="256"/>
      <c r="D542" s="257"/>
      <c r="E542" s="257"/>
      <c r="F542" s="257"/>
      <c r="G542" s="257"/>
      <c r="H542" s="257"/>
      <c r="I542" s="257"/>
      <c r="J542" s="257"/>
      <c r="K542" s="257"/>
      <c r="L542" s="257"/>
      <c r="M542" s="257"/>
      <c r="N542" s="257"/>
      <c r="O542" s="257"/>
      <c r="P542" s="257"/>
      <c r="Q542" s="257">
        <v>0</v>
      </c>
      <c r="R542" s="257">
        <v>13833897.444989305</v>
      </c>
      <c r="S542" s="257">
        <v>12602004.798726231</v>
      </c>
      <c r="T542" s="257">
        <v>12036878.611611113</v>
      </c>
      <c r="U542" s="258">
        <v>10487217.381267305</v>
      </c>
      <c r="V542" s="258">
        <v>9242387.2216184754</v>
      </c>
      <c r="W542" s="258">
        <v>7411897.181019377</v>
      </c>
      <c r="X542" s="258">
        <v>6969914.28219976</v>
      </c>
      <c r="Y542" s="258">
        <v>6167680.4183849599</v>
      </c>
      <c r="Z542" s="258">
        <v>5342746.0329950955</v>
      </c>
      <c r="AA542" s="258">
        <v>2762517.9365322399</v>
      </c>
      <c r="AB542" s="258">
        <v>2615054.5907632993</v>
      </c>
      <c r="AC542" s="258">
        <v>1769461.7258479823</v>
      </c>
      <c r="AD542" s="259">
        <v>1774620.9329924234</v>
      </c>
      <c r="AE542" s="259">
        <v>951800.39295843965</v>
      </c>
      <c r="AF542" s="259">
        <v>957546.49913069489</v>
      </c>
      <c r="AG542" s="259">
        <v>401118.19759535819</v>
      </c>
      <c r="AH542" s="259">
        <v>407486.94494618021</v>
      </c>
      <c r="AI542" s="259">
        <v>414181.09132475645</v>
      </c>
      <c r="AJ542" s="259">
        <v>27256.714491220002</v>
      </c>
      <c r="AK542" s="259">
        <v>24281.03146849</v>
      </c>
      <c r="AL542" s="259">
        <v>21305.348445750002</v>
      </c>
      <c r="AM542" s="259">
        <v>18329.665422999999</v>
      </c>
      <c r="AN542" s="259">
        <v>15353.982399299999</v>
      </c>
      <c r="AO542" s="259">
        <v>13173.12429046</v>
      </c>
      <c r="AP542" s="259">
        <v>11257.207820879999</v>
      </c>
      <c r="AQ542" s="259"/>
      <c r="AR542" s="259"/>
      <c r="AS542" s="259"/>
      <c r="AT542" s="259"/>
      <c r="AU542" s="259"/>
      <c r="AV542" s="259"/>
      <c r="AW542" s="259"/>
      <c r="AX542" s="259"/>
      <c r="AY542" s="259"/>
      <c r="AZ542" s="259"/>
      <c r="BA542" s="259"/>
      <c r="BB542" s="259"/>
      <c r="BC542" s="259"/>
      <c r="BD542" s="259"/>
      <c r="BE542" s="259"/>
      <c r="BF542" s="259"/>
      <c r="BG542" s="259"/>
      <c r="BH542" s="259"/>
      <c r="BI542" s="259"/>
      <c r="BJ542" s="259"/>
      <c r="BK542" s="259"/>
    </row>
    <row r="543" spans="1:63" s="80" customFormat="1" ht="12.75">
      <c r="A543" s="169"/>
      <c r="B543" s="307" t="str">
        <f>IF(SUM(F543:Z543)&gt;0,Servicio_internaColumna_título_total,"")</f>
        <v>Total</v>
      </c>
      <c r="C543" s="308"/>
      <c r="D543" s="309"/>
      <c r="E543" s="309"/>
      <c r="F543" s="309"/>
      <c r="G543" s="309"/>
      <c r="H543" s="309"/>
      <c r="I543" s="309"/>
      <c r="J543" s="309"/>
      <c r="K543" s="309"/>
      <c r="L543" s="309"/>
      <c r="M543" s="309"/>
      <c r="N543" s="309"/>
      <c r="O543" s="309"/>
      <c r="P543" s="309"/>
      <c r="Q543" s="309">
        <f t="shared" ref="Q543:AP543" si="29">Q541+Q542</f>
        <v>7682351.5360920997</v>
      </c>
      <c r="R543" s="309">
        <f t="shared" si="29"/>
        <v>35449448.982355952</v>
      </c>
      <c r="S543" s="309">
        <f t="shared" si="29"/>
        <v>25924998.572481334</v>
      </c>
      <c r="T543" s="309">
        <f t="shared" si="29"/>
        <v>31948360.471611112</v>
      </c>
      <c r="U543" s="309">
        <f t="shared" si="29"/>
        <v>32351388.757859506</v>
      </c>
      <c r="V543" s="309">
        <f t="shared" si="29"/>
        <v>26522858.237013869</v>
      </c>
      <c r="W543" s="309">
        <f t="shared" si="29"/>
        <v>18485381.426248338</v>
      </c>
      <c r="X543" s="309">
        <f t="shared" si="29"/>
        <v>18891544.182199761</v>
      </c>
      <c r="Y543" s="309">
        <f t="shared" si="29"/>
        <v>19712188.919716444</v>
      </c>
      <c r="Z543" s="309">
        <f t="shared" si="29"/>
        <v>31232733.232995093</v>
      </c>
      <c r="AA543" s="309">
        <f t="shared" si="29"/>
        <v>5924392.8693711404</v>
      </c>
      <c r="AB543" s="309">
        <f t="shared" si="29"/>
        <v>13954672.990763299</v>
      </c>
      <c r="AC543" s="309">
        <f t="shared" si="29"/>
        <v>1769461.7258479823</v>
      </c>
      <c r="AD543" s="309">
        <f t="shared" si="29"/>
        <v>15579101.932992423</v>
      </c>
      <c r="AE543" s="309">
        <f t="shared" si="29"/>
        <v>951800.39295843965</v>
      </c>
      <c r="AF543" s="309">
        <f t="shared" si="29"/>
        <v>8215367.4991306951</v>
      </c>
      <c r="AG543" s="309">
        <f t="shared" si="29"/>
        <v>401118.19759535819</v>
      </c>
      <c r="AH543" s="309">
        <f t="shared" si="29"/>
        <v>407486.94494618021</v>
      </c>
      <c r="AI543" s="309">
        <f t="shared" si="29"/>
        <v>7759323.1078731576</v>
      </c>
      <c r="AJ543" s="309">
        <f t="shared" si="29"/>
        <v>27256.714491220002</v>
      </c>
      <c r="AK543" s="309">
        <f t="shared" si="29"/>
        <v>24281.03146849</v>
      </c>
      <c r="AL543" s="309">
        <f t="shared" si="29"/>
        <v>21305.348445750002</v>
      </c>
      <c r="AM543" s="309">
        <f t="shared" si="29"/>
        <v>18329.665422999999</v>
      </c>
      <c r="AN543" s="309">
        <f t="shared" si="29"/>
        <v>15353.982399299999</v>
      </c>
      <c r="AO543" s="309">
        <f t="shared" si="29"/>
        <v>13173.12429046</v>
      </c>
      <c r="AP543" s="309">
        <f t="shared" si="29"/>
        <v>11257.207820879999</v>
      </c>
      <c r="AQ543" s="309"/>
      <c r="AR543" s="309"/>
      <c r="AS543" s="309"/>
      <c r="AT543" s="309"/>
      <c r="AU543" s="309"/>
      <c r="AV543" s="309"/>
      <c r="AW543" s="309"/>
      <c r="AX543" s="309"/>
      <c r="AY543" s="309"/>
      <c r="AZ543" s="309"/>
      <c r="BA543" s="309"/>
      <c r="BB543" s="309"/>
      <c r="BC543" s="309"/>
      <c r="BD543" s="309"/>
      <c r="BE543" s="309"/>
      <c r="BF543" s="309"/>
      <c r="BG543" s="309"/>
      <c r="BH543" s="309"/>
      <c r="BI543" s="309"/>
      <c r="BJ543" s="309"/>
      <c r="BK543" s="309"/>
    </row>
    <row r="544" spans="1:63" s="80" customFormat="1" ht="12.75">
      <c r="A544" s="167"/>
      <c r="B544" s="210" t="str">
        <f>IF(SUM(F544:Z544)&gt;0,Servicio_internaColumna_título_amortizaciones,"")</f>
        <v>Amortizaciones</v>
      </c>
      <c r="C544" s="254"/>
      <c r="D544" s="255"/>
      <c r="E544" s="255"/>
      <c r="F544" s="255"/>
      <c r="G544" s="255"/>
      <c r="H544" s="255"/>
      <c r="I544" s="255"/>
      <c r="J544" s="255"/>
      <c r="K544" s="255"/>
      <c r="L544" s="255"/>
      <c r="M544" s="255"/>
      <c r="N544" s="255"/>
      <c r="O544" s="255"/>
      <c r="P544" s="255"/>
      <c r="Q544" s="255"/>
      <c r="R544" s="255">
        <v>32803188.664361779</v>
      </c>
      <c r="S544" s="255">
        <v>13754005.018159362</v>
      </c>
      <c r="T544" s="255">
        <v>19911481.859999999</v>
      </c>
      <c r="U544" s="255">
        <v>22031065.4540952</v>
      </c>
      <c r="V544" s="255">
        <v>17066482.131999999</v>
      </c>
      <c r="W544" s="255">
        <v>11480424.32733419</v>
      </c>
      <c r="X544" s="255">
        <v>11921882.261379661</v>
      </c>
      <c r="Y544" s="255">
        <v>13632507.981375841</v>
      </c>
      <c r="Z544" s="255">
        <v>25889987.199999999</v>
      </c>
      <c r="AA544" s="255">
        <v>3182417.8229724001</v>
      </c>
      <c r="AB544" s="255">
        <v>11460661.199999999</v>
      </c>
      <c r="AC544" s="255">
        <v>0</v>
      </c>
      <c r="AD544" s="255">
        <v>13804481</v>
      </c>
      <c r="AE544" s="255">
        <v>0</v>
      </c>
      <c r="AF544" s="255">
        <v>7277821</v>
      </c>
      <c r="AG544" s="255">
        <v>0</v>
      </c>
      <c r="AH544" s="255">
        <v>0</v>
      </c>
      <c r="AI544" s="255">
        <v>7392863.8425744008</v>
      </c>
      <c r="AJ544" s="255">
        <v>0</v>
      </c>
      <c r="AK544" s="255">
        <v>0</v>
      </c>
      <c r="AL544" s="255">
        <v>0</v>
      </c>
      <c r="AM544" s="255">
        <v>0</v>
      </c>
      <c r="AN544" s="255">
        <v>0</v>
      </c>
      <c r="AO544" s="255">
        <v>0</v>
      </c>
      <c r="AP544" s="255">
        <v>0</v>
      </c>
      <c r="AQ544" s="255">
        <v>0</v>
      </c>
      <c r="AR544" s="255"/>
      <c r="AS544" s="255"/>
      <c r="AT544" s="255"/>
      <c r="AU544" s="255"/>
      <c r="AV544" s="255"/>
      <c r="AW544" s="255"/>
      <c r="AX544" s="255"/>
      <c r="AY544" s="255"/>
      <c r="AZ544" s="255"/>
      <c r="BA544" s="255"/>
      <c r="BB544" s="255"/>
      <c r="BC544" s="255"/>
      <c r="BD544" s="255"/>
      <c r="BE544" s="255"/>
      <c r="BF544" s="255"/>
      <c r="BG544" s="255"/>
      <c r="BH544" s="255"/>
      <c r="BI544" s="255"/>
      <c r="BJ544" s="255"/>
      <c r="BK544" s="255"/>
    </row>
    <row r="545" spans="1:63" s="80" customFormat="1" ht="12.75">
      <c r="A545" s="168">
        <v>42369</v>
      </c>
      <c r="B545" s="213" t="str">
        <f>IF(SUM(F545:Z545)&gt;0,Servicio_internaColumna_título_intereses,"")</f>
        <v>Intereses</v>
      </c>
      <c r="C545" s="256"/>
      <c r="D545" s="257"/>
      <c r="E545" s="257"/>
      <c r="F545" s="257"/>
      <c r="G545" s="257"/>
      <c r="H545" s="257"/>
      <c r="I545" s="257"/>
      <c r="J545" s="257"/>
      <c r="K545" s="257"/>
      <c r="L545" s="257"/>
      <c r="M545" s="257"/>
      <c r="N545" s="257"/>
      <c r="O545" s="257"/>
      <c r="P545" s="257"/>
      <c r="Q545" s="257"/>
      <c r="R545" s="257">
        <v>13742872.90421471</v>
      </c>
      <c r="S545" s="257">
        <v>12534045.834948644</v>
      </c>
      <c r="T545" s="257">
        <v>12063045.599296419</v>
      </c>
      <c r="U545" s="258">
        <v>10513536.225925297</v>
      </c>
      <c r="V545" s="258">
        <v>9264262.7411258705</v>
      </c>
      <c r="W545" s="258">
        <v>7431078.7942938851</v>
      </c>
      <c r="X545" s="258">
        <v>6985040.4786517378</v>
      </c>
      <c r="Y545" s="258">
        <v>6182787.8219178105</v>
      </c>
      <c r="Z545" s="258">
        <v>5357852.129903093</v>
      </c>
      <c r="AA545" s="258">
        <v>2777624.0334402304</v>
      </c>
      <c r="AB545" s="258">
        <v>2630160.6876712902</v>
      </c>
      <c r="AC545" s="258">
        <v>1775489.6127559624</v>
      </c>
      <c r="AD545" s="259">
        <v>1780648.8199004235</v>
      </c>
      <c r="AE545" s="259">
        <v>957828.27986643964</v>
      </c>
      <c r="AF545" s="259">
        <v>963574.38603867497</v>
      </c>
      <c r="AG545" s="259">
        <v>405596.08450333815</v>
      </c>
      <c r="AH545" s="259">
        <v>411964.83185418026</v>
      </c>
      <c r="AI545" s="259">
        <v>418658.97823276644</v>
      </c>
      <c r="AJ545" s="259">
        <v>30607.948485279998</v>
      </c>
      <c r="AK545" s="259">
        <v>27256.714491220002</v>
      </c>
      <c r="AL545" s="259">
        <v>24281.03146849</v>
      </c>
      <c r="AM545" s="259">
        <v>21305.348445750002</v>
      </c>
      <c r="AN545" s="259">
        <v>18329.665422999999</v>
      </c>
      <c r="AO545" s="259">
        <v>15353.982399299999</v>
      </c>
      <c r="AP545" s="259">
        <v>13173.12429046</v>
      </c>
      <c r="AQ545" s="259">
        <v>11257.207820879999</v>
      </c>
      <c r="AR545" s="259"/>
      <c r="AS545" s="259"/>
      <c r="AT545" s="259"/>
      <c r="AU545" s="259"/>
      <c r="AV545" s="259"/>
      <c r="AW545" s="259"/>
      <c r="AX545" s="259"/>
      <c r="AY545" s="259"/>
      <c r="AZ545" s="259"/>
      <c r="BA545" s="259"/>
      <c r="BB545" s="259"/>
      <c r="BC545" s="259"/>
      <c r="BD545" s="259"/>
      <c r="BE545" s="259"/>
      <c r="BF545" s="259"/>
      <c r="BG545" s="259"/>
      <c r="BH545" s="259"/>
      <c r="BI545" s="259"/>
      <c r="BJ545" s="259"/>
      <c r="BK545" s="259"/>
    </row>
    <row r="546" spans="1:63" s="80" customFormat="1" ht="12.75">
      <c r="A546" s="169"/>
      <c r="B546" s="307" t="str">
        <f>IF(SUM(F546:Z546)&gt;0,Servicio_internaColumna_título_total,"")</f>
        <v>Total</v>
      </c>
      <c r="C546" s="308"/>
      <c r="D546" s="309"/>
      <c r="E546" s="309"/>
      <c r="F546" s="309"/>
      <c r="G546" s="309"/>
      <c r="H546" s="309"/>
      <c r="I546" s="309"/>
      <c r="J546" s="309"/>
      <c r="K546" s="309"/>
      <c r="L546" s="309"/>
      <c r="M546" s="309"/>
      <c r="N546" s="309"/>
      <c r="O546" s="309"/>
      <c r="P546" s="309"/>
      <c r="Q546" s="309"/>
      <c r="R546" s="309">
        <f t="shared" ref="R546:AQ546" si="30">R544+R545</f>
        <v>46546061.568576485</v>
      </c>
      <c r="S546" s="309">
        <f t="shared" si="30"/>
        <v>26288050.853108004</v>
      </c>
      <c r="T546" s="309">
        <f t="shared" si="30"/>
        <v>31974527.45929642</v>
      </c>
      <c r="U546" s="309">
        <f t="shared" si="30"/>
        <v>32544601.680020496</v>
      </c>
      <c r="V546" s="309">
        <f t="shared" si="30"/>
        <v>26330744.87312587</v>
      </c>
      <c r="W546" s="309">
        <f t="shared" si="30"/>
        <v>18911503.121628076</v>
      </c>
      <c r="X546" s="309">
        <f t="shared" si="30"/>
        <v>18906922.740031399</v>
      </c>
      <c r="Y546" s="309">
        <f t="shared" si="30"/>
        <v>19815295.803293653</v>
      </c>
      <c r="Z546" s="309">
        <f t="shared" si="30"/>
        <v>31247839.329903092</v>
      </c>
      <c r="AA546" s="309">
        <f t="shared" si="30"/>
        <v>5960041.8564126305</v>
      </c>
      <c r="AB546" s="309">
        <f t="shared" si="30"/>
        <v>14090821.88767129</v>
      </c>
      <c r="AC546" s="309">
        <f t="shared" si="30"/>
        <v>1775489.6127559624</v>
      </c>
      <c r="AD546" s="309">
        <f t="shared" si="30"/>
        <v>15585129.819900423</v>
      </c>
      <c r="AE546" s="309">
        <f t="shared" si="30"/>
        <v>957828.27986643964</v>
      </c>
      <c r="AF546" s="309">
        <f t="shared" si="30"/>
        <v>8241395.386038675</v>
      </c>
      <c r="AG546" s="309">
        <f t="shared" si="30"/>
        <v>405596.08450333815</v>
      </c>
      <c r="AH546" s="309">
        <f t="shared" si="30"/>
        <v>411964.83185418026</v>
      </c>
      <c r="AI546" s="309">
        <f t="shared" si="30"/>
        <v>7811522.8208071673</v>
      </c>
      <c r="AJ546" s="309">
        <f t="shared" si="30"/>
        <v>30607.948485279998</v>
      </c>
      <c r="AK546" s="309">
        <f t="shared" si="30"/>
        <v>27256.714491220002</v>
      </c>
      <c r="AL546" s="309">
        <f t="shared" si="30"/>
        <v>24281.03146849</v>
      </c>
      <c r="AM546" s="309">
        <f t="shared" si="30"/>
        <v>21305.348445750002</v>
      </c>
      <c r="AN546" s="309">
        <f t="shared" si="30"/>
        <v>18329.665422999999</v>
      </c>
      <c r="AO546" s="309">
        <f t="shared" si="30"/>
        <v>15353.982399299999</v>
      </c>
      <c r="AP546" s="309">
        <f t="shared" si="30"/>
        <v>13173.12429046</v>
      </c>
      <c r="AQ546" s="309">
        <f t="shared" si="30"/>
        <v>11257.207820879999</v>
      </c>
      <c r="AR546" s="309"/>
      <c r="AS546" s="309"/>
      <c r="AT546" s="309"/>
      <c r="AU546" s="309"/>
      <c r="AV546" s="309"/>
      <c r="AW546" s="309"/>
      <c r="AX546" s="309"/>
      <c r="AY546" s="309"/>
      <c r="AZ546" s="309"/>
      <c r="BA546" s="309"/>
      <c r="BB546" s="309"/>
      <c r="BC546" s="309"/>
      <c r="BD546" s="309"/>
      <c r="BE546" s="309"/>
      <c r="BF546" s="309"/>
      <c r="BG546" s="309"/>
      <c r="BH546" s="309"/>
      <c r="BI546" s="309"/>
      <c r="BJ546" s="309"/>
      <c r="BK546" s="309"/>
    </row>
    <row r="547" spans="1:63" s="80" customFormat="1" ht="12.75">
      <c r="A547" s="167"/>
      <c r="B547" s="210" t="str">
        <f>IF(SUM(F547:Z547)&gt;0,Servicio_internaColumna_título_amortizaciones,"")</f>
        <v>Amortizaciones</v>
      </c>
      <c r="C547" s="254"/>
      <c r="D547" s="255"/>
      <c r="E547" s="255"/>
      <c r="F547" s="255"/>
      <c r="G547" s="255"/>
      <c r="H547" s="255"/>
      <c r="I547" s="255"/>
      <c r="J547" s="255"/>
      <c r="K547" s="255"/>
      <c r="L547" s="255"/>
      <c r="M547" s="255"/>
      <c r="N547" s="255"/>
      <c r="O547" s="255"/>
      <c r="P547" s="255"/>
      <c r="Q547" s="255"/>
      <c r="R547" s="255">
        <v>30438954.206423208</v>
      </c>
      <c r="S547" s="255">
        <v>14104714.741057761</v>
      </c>
      <c r="T547" s="255">
        <v>19911481.859999999</v>
      </c>
      <c r="U547" s="255">
        <v>22602458.237399999</v>
      </c>
      <c r="V547" s="255">
        <v>17609681.231999997</v>
      </c>
      <c r="W547" s="255">
        <v>11640940.572885389</v>
      </c>
      <c r="X547" s="255">
        <v>11921882.261379661</v>
      </c>
      <c r="Y547" s="255">
        <v>13710241.353093339</v>
      </c>
      <c r="Z547" s="255">
        <v>25889987.199999999</v>
      </c>
      <c r="AA547" s="255">
        <v>3563699.5917600002</v>
      </c>
      <c r="AB547" s="255">
        <v>12070110.699999999</v>
      </c>
      <c r="AC547" s="255">
        <v>0</v>
      </c>
      <c r="AD547" s="255">
        <v>13804481</v>
      </c>
      <c r="AE547" s="255">
        <v>0</v>
      </c>
      <c r="AF547" s="255">
        <v>7766321</v>
      </c>
      <c r="AG547" s="255">
        <v>0</v>
      </c>
      <c r="AH547" s="255">
        <v>0</v>
      </c>
      <c r="AI547" s="255">
        <v>7649436.7721199999</v>
      </c>
      <c r="AJ547" s="255">
        <v>0</v>
      </c>
      <c r="AK547" s="255">
        <v>0</v>
      </c>
      <c r="AL547" s="255">
        <v>0</v>
      </c>
      <c r="AM547" s="255">
        <v>0</v>
      </c>
      <c r="AN547" s="255">
        <v>0</v>
      </c>
      <c r="AO547" s="255">
        <v>0</v>
      </c>
      <c r="AP547" s="255">
        <v>0</v>
      </c>
      <c r="AQ547" s="255">
        <v>0</v>
      </c>
      <c r="AR547" s="255"/>
      <c r="AS547" s="255"/>
      <c r="AT547" s="255"/>
      <c r="AU547" s="255"/>
      <c r="AV547" s="255"/>
      <c r="AW547" s="255"/>
      <c r="AX547" s="255"/>
      <c r="AY547" s="255"/>
      <c r="AZ547" s="255"/>
      <c r="BA547" s="255"/>
      <c r="BB547" s="255"/>
      <c r="BC547" s="255"/>
      <c r="BD547" s="255"/>
      <c r="BE547" s="255"/>
      <c r="BF547" s="255"/>
      <c r="BG547" s="255"/>
      <c r="BH547" s="255"/>
      <c r="BI547" s="255"/>
      <c r="BJ547" s="255"/>
      <c r="BK547" s="255"/>
    </row>
    <row r="548" spans="1:63" s="80" customFormat="1" ht="12.75">
      <c r="A548" s="168">
        <v>42400</v>
      </c>
      <c r="B548" s="213" t="str">
        <f>IF(SUM(F548:Z548)&gt;0,Servicio_internaColumna_título_intereses,"")</f>
        <v>Intereses</v>
      </c>
      <c r="C548" s="256"/>
      <c r="D548" s="257"/>
      <c r="E548" s="257"/>
      <c r="F548" s="257"/>
      <c r="G548" s="257"/>
      <c r="H548" s="257"/>
      <c r="I548" s="257"/>
      <c r="J548" s="257"/>
      <c r="K548" s="257"/>
      <c r="L548" s="257"/>
      <c r="M548" s="257"/>
      <c r="N548" s="257"/>
      <c r="O548" s="257"/>
      <c r="P548" s="257"/>
      <c r="Q548" s="257"/>
      <c r="R548" s="257">
        <v>13917655.080853947</v>
      </c>
      <c r="S548" s="257">
        <v>12733557.72048706</v>
      </c>
      <c r="T548" s="257">
        <v>12199760.284421392</v>
      </c>
      <c r="U548" s="258">
        <v>10703297.941741627</v>
      </c>
      <c r="V548" s="258">
        <v>9433949.7244212441</v>
      </c>
      <c r="W548" s="258">
        <v>7541804.9051831188</v>
      </c>
      <c r="X548" s="258">
        <v>7092388.8990460653</v>
      </c>
      <c r="Y548" s="258">
        <v>6290849.6710489662</v>
      </c>
      <c r="Z548" s="258">
        <v>5466648.8106331825</v>
      </c>
      <c r="AA548" s="258">
        <v>2887177.5907172225</v>
      </c>
      <c r="AB548" s="258">
        <v>2722722.4545656662</v>
      </c>
      <c r="AC548" s="258">
        <v>1822612.4962821698</v>
      </c>
      <c r="AD548" s="259">
        <v>1828049.6274324174</v>
      </c>
      <c r="AE548" s="259">
        <v>1005515.3491243932</v>
      </c>
      <c r="AF548" s="259">
        <v>1011556.3048743671</v>
      </c>
      <c r="AG548" s="259">
        <v>416022.94840410107</v>
      </c>
      <c r="AH548" s="259">
        <v>422704.50167196605</v>
      </c>
      <c r="AI548" s="259">
        <v>429720.83814508648</v>
      </c>
      <c r="AJ548" s="259">
        <v>30607.948485279998</v>
      </c>
      <c r="AK548" s="259">
        <v>27256.714491220002</v>
      </c>
      <c r="AL548" s="259">
        <v>24281.03146849</v>
      </c>
      <c r="AM548" s="259">
        <v>21305.348445750002</v>
      </c>
      <c r="AN548" s="259">
        <v>18329.665422999999</v>
      </c>
      <c r="AO548" s="259">
        <v>15353.982399299999</v>
      </c>
      <c r="AP548" s="259">
        <v>13173.12429046</v>
      </c>
      <c r="AQ548" s="259">
        <v>11257.207820879999</v>
      </c>
      <c r="AR548" s="259"/>
      <c r="AS548" s="259"/>
      <c r="AT548" s="259"/>
      <c r="AU548" s="259"/>
      <c r="AV548" s="259"/>
      <c r="AW548" s="259"/>
      <c r="AX548" s="259"/>
      <c r="AY548" s="259"/>
      <c r="AZ548" s="259"/>
      <c r="BA548" s="259"/>
      <c r="BB548" s="259"/>
      <c r="BC548" s="259"/>
      <c r="BD548" s="259"/>
      <c r="BE548" s="259"/>
      <c r="BF548" s="259"/>
      <c r="BG548" s="259"/>
      <c r="BH548" s="259"/>
      <c r="BI548" s="259"/>
      <c r="BJ548" s="259"/>
      <c r="BK548" s="259"/>
    </row>
    <row r="549" spans="1:63" s="80" customFormat="1" ht="12.75">
      <c r="A549" s="169"/>
      <c r="B549" s="307" t="str">
        <f>IF(SUM(F549:Z549)&gt;0,Servicio_internaColumna_título_total,"")</f>
        <v>Total</v>
      </c>
      <c r="C549" s="308"/>
      <c r="D549" s="309"/>
      <c r="E549" s="309"/>
      <c r="F549" s="309"/>
      <c r="G549" s="309"/>
      <c r="H549" s="309"/>
      <c r="I549" s="309"/>
      <c r="J549" s="309"/>
      <c r="K549" s="309"/>
      <c r="L549" s="309"/>
      <c r="M549" s="309"/>
      <c r="N549" s="309"/>
      <c r="O549" s="309"/>
      <c r="P549" s="309"/>
      <c r="Q549" s="309"/>
      <c r="R549" s="309">
        <f t="shared" ref="R549:AQ549" si="31">R547+R548</f>
        <v>44356609.287277155</v>
      </c>
      <c r="S549" s="309">
        <f t="shared" si="31"/>
        <v>26838272.461544819</v>
      </c>
      <c r="T549" s="309">
        <f t="shared" si="31"/>
        <v>32111242.144421391</v>
      </c>
      <c r="U549" s="309">
        <f t="shared" si="31"/>
        <v>33305756.179141626</v>
      </c>
      <c r="V549" s="309">
        <f t="shared" si="31"/>
        <v>27043630.956421241</v>
      </c>
      <c r="W549" s="309">
        <f t="shared" si="31"/>
        <v>19182745.478068508</v>
      </c>
      <c r="X549" s="309">
        <f t="shared" si="31"/>
        <v>19014271.160425726</v>
      </c>
      <c r="Y549" s="309">
        <f t="shared" si="31"/>
        <v>20001091.024142306</v>
      </c>
      <c r="Z549" s="309">
        <f t="shared" si="31"/>
        <v>31356636.010633182</v>
      </c>
      <c r="AA549" s="309">
        <f t="shared" si="31"/>
        <v>6450877.1824772228</v>
      </c>
      <c r="AB549" s="309">
        <f t="shared" si="31"/>
        <v>14792833.154565666</v>
      </c>
      <c r="AC549" s="309">
        <f t="shared" si="31"/>
        <v>1822612.4962821698</v>
      </c>
      <c r="AD549" s="309">
        <f t="shared" si="31"/>
        <v>15632530.627432417</v>
      </c>
      <c r="AE549" s="309">
        <f t="shared" si="31"/>
        <v>1005515.3491243932</v>
      </c>
      <c r="AF549" s="309">
        <f t="shared" si="31"/>
        <v>8777877.304874368</v>
      </c>
      <c r="AG549" s="309">
        <f t="shared" si="31"/>
        <v>416022.94840410107</v>
      </c>
      <c r="AH549" s="309">
        <f t="shared" si="31"/>
        <v>422704.50167196605</v>
      </c>
      <c r="AI549" s="309">
        <f t="shared" si="31"/>
        <v>8079157.6102650864</v>
      </c>
      <c r="AJ549" s="309">
        <f t="shared" si="31"/>
        <v>30607.948485279998</v>
      </c>
      <c r="AK549" s="309">
        <f t="shared" si="31"/>
        <v>27256.714491220002</v>
      </c>
      <c r="AL549" s="309">
        <f t="shared" si="31"/>
        <v>24281.03146849</v>
      </c>
      <c r="AM549" s="309">
        <f t="shared" si="31"/>
        <v>21305.348445750002</v>
      </c>
      <c r="AN549" s="309">
        <f t="shared" si="31"/>
        <v>18329.665422999999</v>
      </c>
      <c r="AO549" s="309">
        <f t="shared" si="31"/>
        <v>15353.982399299999</v>
      </c>
      <c r="AP549" s="309">
        <f t="shared" si="31"/>
        <v>13173.12429046</v>
      </c>
      <c r="AQ549" s="309">
        <f t="shared" si="31"/>
        <v>11257.207820879999</v>
      </c>
      <c r="AR549" s="309"/>
      <c r="AS549" s="309"/>
      <c r="AT549" s="309"/>
      <c r="AU549" s="309"/>
      <c r="AV549" s="309"/>
      <c r="AW549" s="309"/>
      <c r="AX549" s="309"/>
      <c r="AY549" s="309"/>
      <c r="AZ549" s="309"/>
      <c r="BA549" s="309"/>
      <c r="BB549" s="309"/>
      <c r="BC549" s="309"/>
      <c r="BD549" s="309"/>
      <c r="BE549" s="309"/>
      <c r="BF549" s="309"/>
      <c r="BG549" s="309"/>
      <c r="BH549" s="309"/>
      <c r="BI549" s="309"/>
      <c r="BJ549" s="309"/>
      <c r="BK549" s="309"/>
    </row>
    <row r="550" spans="1:63">
      <c r="A550" s="167"/>
      <c r="B550" s="210" t="str">
        <f>IF(SUM(F550:Z550)&gt;0,Servicio_internaColumna_título_amortizaciones,"")</f>
        <v>Amortizaciones</v>
      </c>
      <c r="C550" s="254"/>
      <c r="D550" s="255"/>
      <c r="E550" s="255"/>
      <c r="F550" s="255"/>
      <c r="G550" s="255"/>
      <c r="H550" s="255"/>
      <c r="I550" s="255"/>
      <c r="J550" s="255"/>
      <c r="K550" s="255"/>
      <c r="L550" s="255"/>
      <c r="M550" s="255"/>
      <c r="N550" s="255"/>
      <c r="O550" s="255"/>
      <c r="P550" s="255"/>
      <c r="Q550" s="255"/>
      <c r="R550" s="255">
        <v>30944758.225208342</v>
      </c>
      <c r="S550" s="255">
        <v>14799195.625800662</v>
      </c>
      <c r="T550" s="255">
        <v>19911481.859999999</v>
      </c>
      <c r="U550" s="255">
        <v>23111700.864559498</v>
      </c>
      <c r="V550" s="255">
        <v>17732940.031999998</v>
      </c>
      <c r="W550" s="255">
        <v>12207755.49822899</v>
      </c>
      <c r="X550" s="255">
        <v>12470446.375783749</v>
      </c>
      <c r="Y550" s="255">
        <v>13842183.837831717</v>
      </c>
      <c r="Z550" s="255">
        <v>25889987.199999999</v>
      </c>
      <c r="AA550" s="255">
        <v>4210709.9744942002</v>
      </c>
      <c r="AB550" s="255">
        <v>13020210.1</v>
      </c>
      <c r="AC550" s="255">
        <v>0</v>
      </c>
      <c r="AD550" s="255">
        <v>13804481</v>
      </c>
      <c r="AE550" s="255">
        <v>0</v>
      </c>
      <c r="AF550" s="255">
        <v>8558197.1999999993</v>
      </c>
      <c r="AG550" s="255">
        <v>0</v>
      </c>
      <c r="AH550" s="255">
        <v>0</v>
      </c>
      <c r="AI550" s="255">
        <v>8069863.8283481002</v>
      </c>
      <c r="AJ550" s="255">
        <v>0</v>
      </c>
      <c r="AK550" s="255">
        <v>0</v>
      </c>
      <c r="AL550" s="255">
        <v>0</v>
      </c>
      <c r="AM550" s="255">
        <v>0</v>
      </c>
      <c r="AN550" s="255">
        <v>0</v>
      </c>
      <c r="AO550" s="255">
        <v>0</v>
      </c>
      <c r="AP550" s="255">
        <v>0</v>
      </c>
      <c r="AQ550" s="255">
        <v>0</v>
      </c>
      <c r="AR550" s="255"/>
      <c r="AS550" s="255"/>
      <c r="AT550" s="255"/>
      <c r="AU550" s="255"/>
      <c r="AV550" s="255"/>
      <c r="AW550" s="255"/>
      <c r="AX550" s="255"/>
      <c r="AY550" s="255"/>
      <c r="AZ550" s="255"/>
      <c r="BA550" s="255"/>
      <c r="BB550" s="255"/>
      <c r="BC550" s="255"/>
      <c r="BD550" s="255"/>
      <c r="BE550" s="255"/>
      <c r="BF550" s="255"/>
      <c r="BG550" s="255"/>
      <c r="BH550" s="255"/>
      <c r="BI550" s="255"/>
      <c r="BJ550" s="255"/>
      <c r="BK550" s="255"/>
    </row>
    <row r="551" spans="1:63">
      <c r="A551" s="168">
        <v>42429</v>
      </c>
      <c r="B551" s="213" t="str">
        <f>IF(SUM(F551:Z551)&gt;0,Servicio_internaColumna_título_intereses,"")</f>
        <v>Intereses</v>
      </c>
      <c r="C551" s="256"/>
      <c r="D551" s="257"/>
      <c r="E551" s="257"/>
      <c r="F551" s="257"/>
      <c r="G551" s="257"/>
      <c r="H551" s="257"/>
      <c r="I551" s="257"/>
      <c r="J551" s="257"/>
      <c r="K551" s="257"/>
      <c r="L551" s="257"/>
      <c r="M551" s="257"/>
      <c r="N551" s="257"/>
      <c r="O551" s="257"/>
      <c r="P551" s="257"/>
      <c r="Q551" s="257"/>
      <c r="R551" s="257">
        <v>13501981.161744563</v>
      </c>
      <c r="S551" s="257">
        <v>13141001.963989222</v>
      </c>
      <c r="T551" s="257">
        <v>12521120.257158317</v>
      </c>
      <c r="U551" s="258">
        <v>10975888.293852301</v>
      </c>
      <c r="V551" s="258">
        <v>9687282.5504932608</v>
      </c>
      <c r="W551" s="258">
        <v>7783916.1876445757</v>
      </c>
      <c r="X551" s="258">
        <v>7310478.5514316354</v>
      </c>
      <c r="Y551" s="258">
        <v>6472242.6995146256</v>
      </c>
      <c r="Z551" s="258">
        <v>5638547.919923122</v>
      </c>
      <c r="AA551" s="258">
        <v>3060523.5106853493</v>
      </c>
      <c r="AB551" s="258">
        <v>2865189.2767451908</v>
      </c>
      <c r="AC551" s="258">
        <v>1894385.7055265487</v>
      </c>
      <c r="AD551" s="259">
        <v>1900403.594003587</v>
      </c>
      <c r="AE551" s="259">
        <v>1078467.4957421978</v>
      </c>
      <c r="AF551" s="259">
        <v>1085124.5769402054</v>
      </c>
      <c r="AG551" s="259">
        <v>428855.42418137327</v>
      </c>
      <c r="AH551" s="259">
        <v>436190.62493700575</v>
      </c>
      <c r="AI551" s="259">
        <v>445006.87123649736</v>
      </c>
      <c r="AJ551" s="259">
        <v>24281.03146849</v>
      </c>
      <c r="AK551" s="259">
        <v>21305.348445750002</v>
      </c>
      <c r="AL551" s="259">
        <v>18329.665422999999</v>
      </c>
      <c r="AM551" s="259">
        <v>15353.982399299999</v>
      </c>
      <c r="AN551" s="259">
        <v>13173.12429046</v>
      </c>
      <c r="AO551" s="259">
        <v>11257.207820879999</v>
      </c>
      <c r="AP551" s="259">
        <v>9341.2913513000003</v>
      </c>
      <c r="AQ551" s="259">
        <v>7425.3748817100004</v>
      </c>
      <c r="AR551" s="259"/>
      <c r="AS551" s="259"/>
      <c r="AT551" s="259"/>
      <c r="AU551" s="259"/>
      <c r="AV551" s="259"/>
      <c r="AW551" s="259"/>
      <c r="AX551" s="259"/>
      <c r="AY551" s="259"/>
      <c r="AZ551" s="259"/>
      <c r="BA551" s="259"/>
      <c r="BB551" s="259"/>
      <c r="BC551" s="259"/>
      <c r="BD551" s="259"/>
      <c r="BE551" s="259"/>
      <c r="BF551" s="259"/>
      <c r="BG551" s="259"/>
      <c r="BH551" s="259"/>
      <c r="BI551" s="259"/>
      <c r="BJ551" s="259"/>
      <c r="BK551" s="259"/>
    </row>
    <row r="552" spans="1:63">
      <c r="A552" s="169"/>
      <c r="B552" s="307" t="str">
        <f>IF(SUM(F552:Z552)&gt;0,Servicio_internaColumna_título_total,"")</f>
        <v>Total</v>
      </c>
      <c r="C552" s="308"/>
      <c r="D552" s="309"/>
      <c r="E552" s="309"/>
      <c r="F552" s="309"/>
      <c r="G552" s="309"/>
      <c r="H552" s="309"/>
      <c r="I552" s="309"/>
      <c r="J552" s="309"/>
      <c r="K552" s="309"/>
      <c r="L552" s="309"/>
      <c r="M552" s="309"/>
      <c r="N552" s="309"/>
      <c r="O552" s="309"/>
      <c r="P552" s="309"/>
      <c r="Q552" s="309"/>
      <c r="R552" s="309">
        <f>SUM(R550:R551)</f>
        <v>44446739.386952907</v>
      </c>
      <c r="S552" s="309">
        <f>SUM(S550:S551)</f>
        <v>27940197.589789882</v>
      </c>
      <c r="T552" s="309">
        <f t="shared" ref="T552:AQ552" si="32">SUM(T550:T551)</f>
        <v>32432602.117158316</v>
      </c>
      <c r="U552" s="309">
        <f t="shared" si="32"/>
        <v>34087589.158411801</v>
      </c>
      <c r="V552" s="309">
        <f t="shared" si="32"/>
        <v>27420222.582493261</v>
      </c>
      <c r="W552" s="309">
        <f t="shared" si="32"/>
        <v>19991671.685873564</v>
      </c>
      <c r="X552" s="309">
        <f t="shared" si="32"/>
        <v>19780924.927215382</v>
      </c>
      <c r="Y552" s="309">
        <f t="shared" si="32"/>
        <v>20314426.537346341</v>
      </c>
      <c r="Z552" s="309">
        <f t="shared" si="32"/>
        <v>31528535.119923122</v>
      </c>
      <c r="AA552" s="309">
        <f t="shared" si="32"/>
        <v>7271233.4851795491</v>
      </c>
      <c r="AB552" s="309">
        <f t="shared" si="32"/>
        <v>15885399.37674519</v>
      </c>
      <c r="AC552" s="309">
        <f t="shared" si="32"/>
        <v>1894385.7055265487</v>
      </c>
      <c r="AD552" s="309">
        <f t="shared" si="32"/>
        <v>15704884.594003588</v>
      </c>
      <c r="AE552" s="309">
        <f t="shared" si="32"/>
        <v>1078467.4957421978</v>
      </c>
      <c r="AF552" s="309">
        <f t="shared" si="32"/>
        <v>9643321.7769402042</v>
      </c>
      <c r="AG552" s="309">
        <f t="shared" si="32"/>
        <v>428855.42418137327</v>
      </c>
      <c r="AH552" s="309">
        <f t="shared" si="32"/>
        <v>436190.62493700575</v>
      </c>
      <c r="AI552" s="309">
        <f t="shared" si="32"/>
        <v>8514870.6995845977</v>
      </c>
      <c r="AJ552" s="309">
        <f t="shared" si="32"/>
        <v>24281.03146849</v>
      </c>
      <c r="AK552" s="309">
        <f t="shared" si="32"/>
        <v>21305.348445750002</v>
      </c>
      <c r="AL552" s="309">
        <f t="shared" si="32"/>
        <v>18329.665422999999</v>
      </c>
      <c r="AM552" s="309">
        <f t="shared" si="32"/>
        <v>15353.982399299999</v>
      </c>
      <c r="AN552" s="309">
        <f t="shared" si="32"/>
        <v>13173.12429046</v>
      </c>
      <c r="AO552" s="309">
        <f t="shared" si="32"/>
        <v>11257.207820879999</v>
      </c>
      <c r="AP552" s="309">
        <f t="shared" si="32"/>
        <v>9341.2913513000003</v>
      </c>
      <c r="AQ552" s="309">
        <f t="shared" si="32"/>
        <v>7425.3748817100004</v>
      </c>
      <c r="AR552" s="309"/>
      <c r="AS552" s="309"/>
      <c r="AT552" s="309"/>
      <c r="AU552" s="309"/>
      <c r="AV552" s="309"/>
      <c r="AW552" s="309"/>
      <c r="AX552" s="309"/>
      <c r="AY552" s="309"/>
      <c r="AZ552" s="309"/>
      <c r="BA552" s="309"/>
      <c r="BB552" s="309"/>
      <c r="BC552" s="309"/>
      <c r="BD552" s="309"/>
      <c r="BE552" s="309"/>
      <c r="BF552" s="309"/>
      <c r="BG552" s="309"/>
      <c r="BH552" s="309"/>
      <c r="BI552" s="309"/>
      <c r="BJ552" s="309"/>
      <c r="BK552" s="309"/>
    </row>
    <row r="553" spans="1:63">
      <c r="A553" s="167"/>
      <c r="B553" s="210" t="str">
        <f>IF(SUM(F553:Z553)&gt;0,Servicio_internaColumna_título_amortizaciones,"")</f>
        <v>Amortizaciones</v>
      </c>
      <c r="C553" s="254"/>
      <c r="D553" s="255"/>
      <c r="E553" s="255"/>
      <c r="F553" s="255"/>
      <c r="G553" s="255"/>
      <c r="H553" s="255"/>
      <c r="I553" s="255"/>
      <c r="J553" s="255"/>
      <c r="K553" s="255"/>
      <c r="L553" s="255"/>
      <c r="M553" s="255"/>
      <c r="N553" s="255"/>
      <c r="O553" s="255"/>
      <c r="P553" s="255"/>
      <c r="Q553" s="255"/>
      <c r="R553" s="255">
        <v>28815277.357624877</v>
      </c>
      <c r="S553" s="255">
        <v>15584217.205564301</v>
      </c>
      <c r="T553" s="255">
        <v>19911481.859999999</v>
      </c>
      <c r="U553" s="255">
        <v>23236917.601295497</v>
      </c>
      <c r="V553" s="255">
        <v>17732940.031999998</v>
      </c>
      <c r="W553" s="255">
        <v>12525792.813840419</v>
      </c>
      <c r="X553" s="255">
        <v>13577333.90740698</v>
      </c>
      <c r="Y553" s="255">
        <v>14026030.189625777</v>
      </c>
      <c r="Z553" s="255">
        <v>25889987.199999999</v>
      </c>
      <c r="AA553" s="255">
        <v>4531635.2176326001</v>
      </c>
      <c r="AB553" s="255">
        <v>14002211.9</v>
      </c>
      <c r="AC553" s="255">
        <v>0</v>
      </c>
      <c r="AD553" s="255">
        <v>13804481</v>
      </c>
      <c r="AE553" s="255">
        <v>0</v>
      </c>
      <c r="AF553" s="255">
        <v>9924473</v>
      </c>
      <c r="AG553" s="255">
        <v>0</v>
      </c>
      <c r="AH553" s="255">
        <v>0</v>
      </c>
      <c r="AI553" s="255">
        <v>8353144.3598064007</v>
      </c>
      <c r="AJ553" s="255">
        <v>0</v>
      </c>
      <c r="AK553" s="255">
        <v>740870.59239269991</v>
      </c>
      <c r="AL553" s="255">
        <v>0</v>
      </c>
      <c r="AM553" s="255">
        <v>0</v>
      </c>
      <c r="AN553" s="255">
        <v>0</v>
      </c>
      <c r="AO553" s="255">
        <v>0</v>
      </c>
      <c r="AP553" s="255">
        <v>0</v>
      </c>
      <c r="AQ553" s="255">
        <v>0</v>
      </c>
      <c r="AR553" s="255"/>
      <c r="AS553" s="255"/>
      <c r="AT553" s="255"/>
      <c r="AU553" s="255"/>
      <c r="AV553" s="255"/>
      <c r="AW553" s="255"/>
      <c r="AX553" s="255"/>
      <c r="AY553" s="255"/>
      <c r="AZ553" s="255"/>
      <c r="BA553" s="255"/>
      <c r="BB553" s="255"/>
      <c r="BC553" s="255"/>
      <c r="BD553" s="255"/>
      <c r="BE553" s="255"/>
      <c r="BF553" s="255"/>
      <c r="BG553" s="255"/>
      <c r="BH553" s="255"/>
      <c r="BI553" s="255"/>
      <c r="BJ553" s="255"/>
      <c r="BK553" s="255"/>
    </row>
    <row r="554" spans="1:63">
      <c r="A554" s="168">
        <v>42460</v>
      </c>
      <c r="B554" s="213" t="str">
        <f>IF(SUM(F554:Z554)&gt;0,Servicio_internaColumna_título_intereses,"")</f>
        <v>Intereses</v>
      </c>
      <c r="C554" s="256"/>
      <c r="D554" s="257"/>
      <c r="E554" s="257"/>
      <c r="F554" s="257"/>
      <c r="G554" s="257"/>
      <c r="H554" s="257"/>
      <c r="I554" s="257"/>
      <c r="J554" s="257"/>
      <c r="K554" s="257"/>
      <c r="L554" s="257"/>
      <c r="M554" s="257"/>
      <c r="N554" s="257"/>
      <c r="O554" s="257"/>
      <c r="P554" s="257"/>
      <c r="Q554" s="257"/>
      <c r="R554" s="257">
        <v>12976894.936560817</v>
      </c>
      <c r="S554" s="257">
        <v>13384485.152362201</v>
      </c>
      <c r="T554" s="257">
        <v>12815656.67428088</v>
      </c>
      <c r="U554" s="258">
        <v>11324443.332687553</v>
      </c>
      <c r="V554" s="258">
        <v>10034522.7251327</v>
      </c>
      <c r="W554" s="258">
        <v>8133588.5689659221</v>
      </c>
      <c r="X554" s="258">
        <v>7650942.4534339234</v>
      </c>
      <c r="Y554" s="258">
        <v>6737439.4001584603</v>
      </c>
      <c r="Z554" s="258">
        <v>5897602.2169997431</v>
      </c>
      <c r="AA554" s="258">
        <v>3321694.6681747781</v>
      </c>
      <c r="AB554" s="258">
        <v>3113566.0233876645</v>
      </c>
      <c r="AC554" s="258">
        <v>2070908.8510688276</v>
      </c>
      <c r="AD554" s="259">
        <v>2078777.1694626755</v>
      </c>
      <c r="AE554" s="259">
        <v>1258747.0140155579</v>
      </c>
      <c r="AF554" s="259">
        <v>1267367.2163122678</v>
      </c>
      <c r="AG554" s="259">
        <v>507233.70378513786</v>
      </c>
      <c r="AH554" s="259">
        <v>516651.57971443393</v>
      </c>
      <c r="AI554" s="259">
        <v>526486.32852882892</v>
      </c>
      <c r="AJ554" s="259">
        <v>92933.812713033927</v>
      </c>
      <c r="AK554" s="259">
        <v>91452.354645806525</v>
      </c>
      <c r="AL554" s="259">
        <v>24281.03146849</v>
      </c>
      <c r="AM554" s="259">
        <v>21305.348445750002</v>
      </c>
      <c r="AN554" s="259">
        <v>18329.665422999999</v>
      </c>
      <c r="AO554" s="259">
        <v>15353.982399299999</v>
      </c>
      <c r="AP554" s="259">
        <v>13173.12429046</v>
      </c>
      <c r="AQ554" s="259">
        <v>11257.207820879999</v>
      </c>
      <c r="AR554" s="259"/>
      <c r="AS554" s="259"/>
      <c r="AT554" s="259"/>
      <c r="AU554" s="259"/>
      <c r="AV554" s="259"/>
      <c r="AW554" s="259"/>
      <c r="AX554" s="259"/>
      <c r="AY554" s="259"/>
      <c r="AZ554" s="259"/>
      <c r="BA554" s="259"/>
      <c r="BB554" s="259"/>
      <c r="BC554" s="259"/>
      <c r="BD554" s="259"/>
      <c r="BE554" s="259"/>
      <c r="BF554" s="259"/>
      <c r="BG554" s="259"/>
      <c r="BH554" s="259"/>
      <c r="BI554" s="259"/>
      <c r="BJ554" s="259"/>
      <c r="BK554" s="259"/>
    </row>
    <row r="555" spans="1:63">
      <c r="A555" s="169"/>
      <c r="B555" s="307" t="str">
        <f>IF(SUM(F555:Z555)&gt;0,Servicio_internaColumna_título_total,"")</f>
        <v>Total</v>
      </c>
      <c r="C555" s="308"/>
      <c r="D555" s="309"/>
      <c r="E555" s="309"/>
      <c r="F555" s="309"/>
      <c r="G555" s="309"/>
      <c r="H555" s="309"/>
      <c r="I555" s="309"/>
      <c r="J555" s="309"/>
      <c r="K555" s="309"/>
      <c r="L555" s="309"/>
      <c r="M555" s="309"/>
      <c r="N555" s="309"/>
      <c r="O555" s="309"/>
      <c r="P555" s="309"/>
      <c r="Q555" s="309"/>
      <c r="R555" s="309">
        <v>41792172.294185698</v>
      </c>
      <c r="S555" s="309">
        <v>28968702.357926503</v>
      </c>
      <c r="T555" s="309">
        <v>32727138.534280881</v>
      </c>
      <c r="U555" s="309">
        <v>34561360.93398305</v>
      </c>
      <c r="V555" s="309">
        <v>27767462.757132698</v>
      </c>
      <c r="W555" s="309">
        <v>20659381.382806342</v>
      </c>
      <c r="X555" s="309">
        <v>21228276.360840902</v>
      </c>
      <c r="Y555" s="309">
        <v>20763469.589784238</v>
      </c>
      <c r="Z555" s="309">
        <v>31787589.416999742</v>
      </c>
      <c r="AA555" s="309">
        <v>7853329.8858073782</v>
      </c>
      <c r="AB555" s="309">
        <v>17115777.923387665</v>
      </c>
      <c r="AC555" s="309">
        <v>2070908.8510688276</v>
      </c>
      <c r="AD555" s="309">
        <v>15883258.169462675</v>
      </c>
      <c r="AE555" s="309">
        <v>1258747.0140155579</v>
      </c>
      <c r="AF555" s="309">
        <v>11191840.216312267</v>
      </c>
      <c r="AG555" s="309">
        <v>507233.70378513786</v>
      </c>
      <c r="AH555" s="309">
        <v>516651.57971443393</v>
      </c>
      <c r="AI555" s="309">
        <v>8879630.6883352287</v>
      </c>
      <c r="AJ555" s="309">
        <v>92933.812713033927</v>
      </c>
      <c r="AK555" s="309">
        <v>832322.94703850639</v>
      </c>
      <c r="AL555" s="309">
        <v>24281.03146849</v>
      </c>
      <c r="AM555" s="309">
        <v>21305.348445750002</v>
      </c>
      <c r="AN555" s="309">
        <v>18329.665422999999</v>
      </c>
      <c r="AO555" s="309">
        <v>15353.982399299999</v>
      </c>
      <c r="AP555" s="309">
        <v>13173.12429046</v>
      </c>
      <c r="AQ555" s="309">
        <v>11257.207820879999</v>
      </c>
      <c r="AR555" s="309"/>
      <c r="AS555" s="309"/>
      <c r="AT555" s="309"/>
      <c r="AU555" s="309"/>
      <c r="AV555" s="309"/>
      <c r="AW555" s="309"/>
      <c r="AX555" s="309"/>
      <c r="AY555" s="309"/>
      <c r="AZ555" s="309"/>
      <c r="BA555" s="309"/>
      <c r="BB555" s="309"/>
      <c r="BC555" s="309"/>
      <c r="BD555" s="309"/>
      <c r="BE555" s="309"/>
      <c r="BF555" s="309"/>
      <c r="BG555" s="309"/>
      <c r="BH555" s="309"/>
      <c r="BI555" s="309"/>
      <c r="BJ555" s="309"/>
      <c r="BK555" s="309"/>
    </row>
    <row r="556" spans="1:63">
      <c r="A556" s="167"/>
      <c r="B556" s="210" t="str">
        <f>IF(SUM(F556:Z556)&gt;0,Servicio_internaColumna_título_amortizaciones,"")</f>
        <v>Amortizaciones</v>
      </c>
      <c r="C556" s="254"/>
      <c r="D556" s="255"/>
      <c r="E556" s="255"/>
      <c r="F556" s="255"/>
      <c r="G556" s="255"/>
      <c r="H556" s="255"/>
      <c r="I556" s="255"/>
      <c r="J556" s="255"/>
      <c r="K556" s="255"/>
      <c r="L556" s="255"/>
      <c r="M556" s="255"/>
      <c r="N556" s="255"/>
      <c r="O556" s="255"/>
      <c r="P556" s="255"/>
      <c r="Q556" s="255"/>
      <c r="R556" s="255">
        <v>28279293.188841779</v>
      </c>
      <c r="S556" s="255">
        <v>16539371.114065502</v>
      </c>
      <c r="T556" s="255">
        <v>19911481.859999999</v>
      </c>
      <c r="U556" s="255">
        <v>23337948.438972499</v>
      </c>
      <c r="V556" s="255">
        <v>17732940.031999998</v>
      </c>
      <c r="W556" s="255">
        <v>12679398.768111419</v>
      </c>
      <c r="X556" s="255">
        <v>14239684.87032691</v>
      </c>
      <c r="Y556" s="255">
        <v>14174366.198132172</v>
      </c>
      <c r="Z556" s="255">
        <v>25889987.199999999</v>
      </c>
      <c r="AA556" s="255">
        <v>4700604.894777</v>
      </c>
      <c r="AB556" s="255">
        <v>14803920.199999999</v>
      </c>
      <c r="AC556" s="255">
        <v>0</v>
      </c>
      <c r="AD556" s="255">
        <v>13804481</v>
      </c>
      <c r="AE556" s="255">
        <v>0</v>
      </c>
      <c r="AF556" s="255">
        <v>11020915.300000001</v>
      </c>
      <c r="AG556" s="255">
        <v>0</v>
      </c>
      <c r="AH556" s="255">
        <v>0</v>
      </c>
      <c r="AI556" s="255">
        <v>8441485.2571280003</v>
      </c>
      <c r="AJ556" s="255">
        <v>0</v>
      </c>
      <c r="AK556" s="255">
        <v>1735628.5477849999</v>
      </c>
      <c r="AL556" s="255">
        <v>0</v>
      </c>
      <c r="AM556" s="255">
        <v>0</v>
      </c>
      <c r="AN556" s="255">
        <v>0</v>
      </c>
      <c r="AO556" s="255">
        <v>0</v>
      </c>
      <c r="AP556" s="255">
        <v>0</v>
      </c>
      <c r="AQ556" s="255">
        <v>0</v>
      </c>
      <c r="AR556" s="255"/>
      <c r="AS556" s="255"/>
      <c r="AT556" s="255"/>
      <c r="AU556" s="255"/>
      <c r="AV556" s="255"/>
      <c r="AW556" s="255"/>
      <c r="AX556" s="255"/>
      <c r="AY556" s="255"/>
      <c r="AZ556" s="255"/>
      <c r="BA556" s="255"/>
      <c r="BB556" s="255"/>
      <c r="BC556" s="255"/>
      <c r="BD556" s="255"/>
      <c r="BE556" s="255"/>
      <c r="BF556" s="255"/>
      <c r="BG556" s="255"/>
      <c r="BH556" s="255"/>
      <c r="BI556" s="255"/>
      <c r="BJ556" s="255"/>
      <c r="BK556" s="255"/>
    </row>
    <row r="557" spans="1:63">
      <c r="A557" s="168">
        <v>42490</v>
      </c>
      <c r="B557" s="213" t="str">
        <f>IF(SUM(F557:Z557)&gt;0,Servicio_internaColumna_título_intereses,"")</f>
        <v>Intereses</v>
      </c>
      <c r="C557" s="256"/>
      <c r="D557" s="257"/>
      <c r="E557" s="257"/>
      <c r="F557" s="257"/>
      <c r="G557" s="257"/>
      <c r="H557" s="257"/>
      <c r="I557" s="257"/>
      <c r="J557" s="257"/>
      <c r="K557" s="257"/>
      <c r="L557" s="257"/>
      <c r="M557" s="257"/>
      <c r="N557" s="257"/>
      <c r="O557" s="257"/>
      <c r="P557" s="257"/>
      <c r="Q557" s="257"/>
      <c r="R557" s="257">
        <v>11963672.51910634</v>
      </c>
      <c r="S557" s="257">
        <v>13631038.646167107</v>
      </c>
      <c r="T557" s="257">
        <v>13063853.665125512</v>
      </c>
      <c r="U557" s="258">
        <v>11574351.116585303</v>
      </c>
      <c r="V557" s="258">
        <v>10286183.497384883</v>
      </c>
      <c r="W557" s="258">
        <v>8387054.9192231698</v>
      </c>
      <c r="X557" s="258">
        <v>7905247.4720346872</v>
      </c>
      <c r="Y557" s="258">
        <v>6947256.8861547438</v>
      </c>
      <c r="Z557" s="258">
        <v>6109361.1555534191</v>
      </c>
      <c r="AA557" s="258">
        <v>3535453.3028625641</v>
      </c>
      <c r="AB557" s="258">
        <v>3323523.266171969</v>
      </c>
      <c r="AC557" s="258">
        <v>2222683.6166141597</v>
      </c>
      <c r="AD557" s="259">
        <v>2232555.9496268667</v>
      </c>
      <c r="AE557" s="259">
        <v>1414589.9292371762</v>
      </c>
      <c r="AF557" s="259">
        <v>1425336.1906430339</v>
      </c>
      <c r="AG557" s="259">
        <v>582418.24074832734</v>
      </c>
      <c r="AH557" s="259">
        <v>594091.65278651915</v>
      </c>
      <c r="AI557" s="259">
        <v>606249.60379307624</v>
      </c>
      <c r="AJ557" s="259">
        <v>175089.98623520916</v>
      </c>
      <c r="AK557" s="259">
        <v>176073.21337364713</v>
      </c>
      <c r="AL557" s="259">
        <v>24281.03146849</v>
      </c>
      <c r="AM557" s="259">
        <v>21305.348445750002</v>
      </c>
      <c r="AN557" s="259">
        <v>18329.665422999999</v>
      </c>
      <c r="AO557" s="259">
        <v>15353.982399299999</v>
      </c>
      <c r="AP557" s="259">
        <v>13173.12429046</v>
      </c>
      <c r="AQ557" s="259">
        <v>11257.207820879999</v>
      </c>
      <c r="AR557" s="259"/>
      <c r="AS557" s="259"/>
      <c r="AT557" s="259"/>
      <c r="AU557" s="259"/>
      <c r="AV557" s="259"/>
      <c r="AW557" s="259"/>
      <c r="AX557" s="259"/>
      <c r="AY557" s="259"/>
      <c r="AZ557" s="259"/>
      <c r="BA557" s="259"/>
      <c r="BB557" s="259"/>
      <c r="BC557" s="259"/>
      <c r="BD557" s="259"/>
      <c r="BE557" s="259"/>
      <c r="BF557" s="259"/>
      <c r="BG557" s="259"/>
      <c r="BH557" s="259"/>
      <c r="BI557" s="259"/>
      <c r="BJ557" s="259"/>
      <c r="BK557" s="259"/>
    </row>
    <row r="558" spans="1:63">
      <c r="A558" s="169"/>
      <c r="B558" s="307" t="str">
        <f>IF(SUM(F558:Z558)&gt;0,Servicio_internaColumna_título_total,"")</f>
        <v>Total</v>
      </c>
      <c r="C558" s="308"/>
      <c r="D558" s="309"/>
      <c r="E558" s="309"/>
      <c r="F558" s="309"/>
      <c r="G558" s="309"/>
      <c r="H558" s="309"/>
      <c r="I558" s="309"/>
      <c r="J558" s="309"/>
      <c r="K558" s="309"/>
      <c r="L558" s="309"/>
      <c r="M558" s="309"/>
      <c r="N558" s="309"/>
      <c r="O558" s="309"/>
      <c r="P558" s="309"/>
      <c r="Q558" s="309"/>
      <c r="R558" s="309">
        <f>R556+R557</f>
        <v>40242965.707948118</v>
      </c>
      <c r="S558" s="309">
        <f t="shared" ref="S558:AQ558" si="33">S556+S557</f>
        <v>30170409.760232609</v>
      </c>
      <c r="T558" s="309">
        <f t="shared" si="33"/>
        <v>32975335.525125511</v>
      </c>
      <c r="U558" s="309">
        <f t="shared" si="33"/>
        <v>34912299.555557802</v>
      </c>
      <c r="V558" s="309">
        <f t="shared" si="33"/>
        <v>28019123.529384881</v>
      </c>
      <c r="W558" s="309">
        <f t="shared" si="33"/>
        <v>21066453.68733459</v>
      </c>
      <c r="X558" s="309">
        <f t="shared" si="33"/>
        <v>22144932.342361599</v>
      </c>
      <c r="Y558" s="309">
        <f t="shared" si="33"/>
        <v>21121623.084286917</v>
      </c>
      <c r="Z558" s="309">
        <f t="shared" si="33"/>
        <v>31999348.355553418</v>
      </c>
      <c r="AA558" s="309">
        <f t="shared" si="33"/>
        <v>8236058.1976395641</v>
      </c>
      <c r="AB558" s="309">
        <f t="shared" si="33"/>
        <v>18127443.466171969</v>
      </c>
      <c r="AC558" s="309">
        <f t="shared" si="33"/>
        <v>2222683.6166141597</v>
      </c>
      <c r="AD558" s="309">
        <f t="shared" si="33"/>
        <v>16037036.949626867</v>
      </c>
      <c r="AE558" s="309">
        <f t="shared" si="33"/>
        <v>1414589.9292371762</v>
      </c>
      <c r="AF558" s="309">
        <f t="shared" si="33"/>
        <v>12446251.490643036</v>
      </c>
      <c r="AG558" s="309">
        <f t="shared" si="33"/>
        <v>582418.24074832734</v>
      </c>
      <c r="AH558" s="309">
        <f t="shared" si="33"/>
        <v>594091.65278651915</v>
      </c>
      <c r="AI558" s="309">
        <f t="shared" si="33"/>
        <v>9047734.8609210774</v>
      </c>
      <c r="AJ558" s="309">
        <f t="shared" si="33"/>
        <v>175089.98623520916</v>
      </c>
      <c r="AK558" s="309">
        <f t="shared" si="33"/>
        <v>1911701.761158647</v>
      </c>
      <c r="AL558" s="309">
        <f t="shared" si="33"/>
        <v>24281.03146849</v>
      </c>
      <c r="AM558" s="309">
        <f t="shared" si="33"/>
        <v>21305.348445750002</v>
      </c>
      <c r="AN558" s="309">
        <f t="shared" si="33"/>
        <v>18329.665422999999</v>
      </c>
      <c r="AO558" s="309">
        <f t="shared" si="33"/>
        <v>15353.982399299999</v>
      </c>
      <c r="AP558" s="309">
        <f t="shared" si="33"/>
        <v>13173.12429046</v>
      </c>
      <c r="AQ558" s="309">
        <f t="shared" si="33"/>
        <v>11257.207820879999</v>
      </c>
      <c r="AR558" s="309"/>
      <c r="AS558" s="309"/>
      <c r="AT558" s="309"/>
      <c r="AU558" s="309"/>
      <c r="AV558" s="309"/>
      <c r="AW558" s="309"/>
      <c r="AX558" s="309"/>
      <c r="AY558" s="309"/>
      <c r="AZ558" s="309"/>
      <c r="BA558" s="309"/>
      <c r="BB558" s="309"/>
      <c r="BC558" s="309"/>
      <c r="BD558" s="309"/>
      <c r="BE558" s="309"/>
      <c r="BF558" s="309"/>
      <c r="BG558" s="309"/>
      <c r="BH558" s="309"/>
      <c r="BI558" s="309"/>
      <c r="BJ558" s="309"/>
      <c r="BK558" s="309"/>
    </row>
    <row r="559" spans="1:63">
      <c r="A559" s="167"/>
      <c r="B559" s="210" t="str">
        <f>IF(SUM(F559:Z559)&gt;0,Servicio_internaColumna_título_amortizaciones,"")</f>
        <v>Amortizaciones</v>
      </c>
      <c r="C559" s="254"/>
      <c r="D559" s="255"/>
      <c r="E559" s="255"/>
      <c r="F559" s="255"/>
      <c r="G559" s="255"/>
      <c r="H559" s="255"/>
      <c r="I559" s="255"/>
      <c r="J559" s="255"/>
      <c r="K559" s="255"/>
      <c r="L559" s="255"/>
      <c r="M559" s="255"/>
      <c r="N559" s="255"/>
      <c r="O559" s="255"/>
      <c r="P559" s="255"/>
      <c r="Q559" s="255"/>
      <c r="R559" s="255">
        <v>29493881.745056111</v>
      </c>
      <c r="S559" s="255">
        <v>14404101.503299002</v>
      </c>
      <c r="T559" s="255">
        <v>19911481.859999999</v>
      </c>
      <c r="U559" s="255">
        <v>23411250.505394001</v>
      </c>
      <c r="V559" s="255">
        <v>19472940.031999998</v>
      </c>
      <c r="W559" s="255">
        <v>13132112.349112719</v>
      </c>
      <c r="X559" s="255">
        <v>15262507.170326909</v>
      </c>
      <c r="Y559" s="255">
        <v>14281990.129579702</v>
      </c>
      <c r="Z559" s="255">
        <v>26889987.199999999</v>
      </c>
      <c r="AA559" s="255">
        <v>5027561.3400839996</v>
      </c>
      <c r="AB559" s="255">
        <v>15613322.5</v>
      </c>
      <c r="AC559" s="255">
        <v>0</v>
      </c>
      <c r="AD559" s="255">
        <v>13804481</v>
      </c>
      <c r="AE559" s="255">
        <v>0</v>
      </c>
      <c r="AF559" s="255">
        <v>11939106.6</v>
      </c>
      <c r="AG559" s="255">
        <v>0</v>
      </c>
      <c r="AH559" s="255">
        <v>0</v>
      </c>
      <c r="AI559" s="255">
        <v>8505580.2450751998</v>
      </c>
      <c r="AJ559" s="255">
        <v>0</v>
      </c>
      <c r="AK559" s="255">
        <v>2066692.3832416001</v>
      </c>
      <c r="AL559" s="255">
        <v>0</v>
      </c>
      <c r="AM559" s="255">
        <v>0</v>
      </c>
      <c r="AN559" s="255">
        <v>0</v>
      </c>
      <c r="AO559" s="255">
        <v>0</v>
      </c>
      <c r="AP559" s="255">
        <v>0</v>
      </c>
      <c r="AQ559" s="255">
        <v>0</v>
      </c>
      <c r="AR559" s="255"/>
      <c r="AS559" s="255"/>
      <c r="AT559" s="255"/>
      <c r="AU559" s="255"/>
      <c r="AV559" s="255"/>
      <c r="AW559" s="255"/>
      <c r="AX559" s="255"/>
      <c r="AY559" s="255"/>
      <c r="AZ559" s="255"/>
      <c r="BA559" s="255"/>
      <c r="BB559" s="255"/>
      <c r="BC559" s="255"/>
      <c r="BD559" s="255"/>
      <c r="BE559" s="255"/>
      <c r="BF559" s="255"/>
      <c r="BG559" s="255"/>
      <c r="BH559" s="255"/>
      <c r="BI559" s="255"/>
      <c r="BJ559" s="255"/>
      <c r="BK559" s="255"/>
    </row>
    <row r="560" spans="1:63">
      <c r="A560" s="168">
        <v>42521</v>
      </c>
      <c r="B560" s="213" t="str">
        <f>IF(SUM(F560:Z560)&gt;0,Servicio_internaColumna_título_intereses,"")</f>
        <v>Intereses</v>
      </c>
      <c r="C560" s="256"/>
      <c r="D560" s="257"/>
      <c r="E560" s="257"/>
      <c r="F560" s="257"/>
      <c r="G560" s="257"/>
      <c r="H560" s="257"/>
      <c r="I560" s="257"/>
      <c r="J560" s="257"/>
      <c r="K560" s="257"/>
      <c r="L560" s="257"/>
      <c r="M560" s="257"/>
      <c r="N560" s="257"/>
      <c r="O560" s="257"/>
      <c r="P560" s="257"/>
      <c r="Q560" s="257"/>
      <c r="R560" s="257">
        <v>10551225.475250002</v>
      </c>
      <c r="S560" s="257">
        <v>14045379.452768985</v>
      </c>
      <c r="T560" s="257">
        <v>13620254.61063109</v>
      </c>
      <c r="U560" s="258">
        <v>12132607.494859081</v>
      </c>
      <c r="V560" s="258">
        <v>10842630.878535505</v>
      </c>
      <c r="W560" s="258">
        <v>8753949.845030807</v>
      </c>
      <c r="X560" s="258">
        <v>8253531.3785576411</v>
      </c>
      <c r="Y560" s="258">
        <v>7225287.8720958875</v>
      </c>
      <c r="Z560" s="258">
        <v>6380454.9620030448</v>
      </c>
      <c r="AA560" s="258">
        <v>3707723.9735581782</v>
      </c>
      <c r="AB560" s="258">
        <v>3480718.9278639327</v>
      </c>
      <c r="AC560" s="258">
        <v>2319934.025709386</v>
      </c>
      <c r="AD560" s="259">
        <v>2330589.0762224495</v>
      </c>
      <c r="AE560" s="259">
        <v>1513429.2548581269</v>
      </c>
      <c r="AF560" s="259">
        <v>1525005.9012601143</v>
      </c>
      <c r="AG560" s="259">
        <v>611783.42216141906</v>
      </c>
      <c r="AH560" s="259">
        <v>624337.78964200348</v>
      </c>
      <c r="AI560" s="259">
        <v>637403.1247542249</v>
      </c>
      <c r="AJ560" s="259">
        <v>202971.31999389562</v>
      </c>
      <c r="AK560" s="259">
        <v>204790.98714509426</v>
      </c>
      <c r="AL560" s="259">
        <v>24281.03146849</v>
      </c>
      <c r="AM560" s="259">
        <v>21305.348445750002</v>
      </c>
      <c r="AN560" s="259">
        <v>18329.665422999999</v>
      </c>
      <c r="AO560" s="259">
        <v>15353.982399299999</v>
      </c>
      <c r="AP560" s="259">
        <v>13173.12429046</v>
      </c>
      <c r="AQ560" s="259">
        <v>11257.207820879999</v>
      </c>
      <c r="AR560" s="259"/>
      <c r="AS560" s="259"/>
      <c r="AT560" s="259"/>
      <c r="AU560" s="259"/>
      <c r="AV560" s="259"/>
      <c r="AW560" s="259"/>
      <c r="AX560" s="259"/>
      <c r="AY560" s="259"/>
      <c r="AZ560" s="259"/>
      <c r="BA560" s="259"/>
      <c r="BB560" s="259"/>
      <c r="BC560" s="259"/>
      <c r="BD560" s="259"/>
      <c r="BE560" s="259"/>
      <c r="BF560" s="259"/>
      <c r="BG560" s="259"/>
      <c r="BH560" s="259"/>
      <c r="BI560" s="259"/>
      <c r="BJ560" s="259"/>
      <c r="BK560" s="259"/>
    </row>
    <row r="561" spans="1:63">
      <c r="A561" s="169"/>
      <c r="B561" s="307" t="str">
        <f>IF(SUM(F561:Z561)&gt;0,Servicio_internaColumna_título_total,"")</f>
        <v>Total</v>
      </c>
      <c r="C561" s="308"/>
      <c r="D561" s="309"/>
      <c r="E561" s="309"/>
      <c r="F561" s="309"/>
      <c r="G561" s="309"/>
      <c r="H561" s="309"/>
      <c r="I561" s="309"/>
      <c r="J561" s="309"/>
      <c r="K561" s="309"/>
      <c r="L561" s="309"/>
      <c r="M561" s="309"/>
      <c r="N561" s="309"/>
      <c r="O561" s="309"/>
      <c r="P561" s="309"/>
      <c r="Q561" s="309"/>
      <c r="R561" s="309">
        <f>SUM(R559:R560)</f>
        <v>40045107.220306113</v>
      </c>
      <c r="S561" s="309">
        <f t="shared" ref="S561:AQ561" si="34">SUM(S559:S560)</f>
        <v>28449480.956067987</v>
      </c>
      <c r="T561" s="309">
        <f t="shared" si="34"/>
        <v>33531736.470631089</v>
      </c>
      <c r="U561" s="309">
        <f t="shared" si="34"/>
        <v>35543858.000253081</v>
      </c>
      <c r="V561" s="309">
        <f t="shared" si="34"/>
        <v>30315570.910535503</v>
      </c>
      <c r="W561" s="309">
        <f t="shared" si="34"/>
        <v>21886062.194143526</v>
      </c>
      <c r="X561" s="309">
        <f t="shared" si="34"/>
        <v>23516038.548884548</v>
      </c>
      <c r="Y561" s="309">
        <f t="shared" si="34"/>
        <v>21507278.001675591</v>
      </c>
      <c r="Z561" s="309">
        <f t="shared" si="34"/>
        <v>33270442.162003044</v>
      </c>
      <c r="AA561" s="309">
        <f t="shared" si="34"/>
        <v>8735285.3136421777</v>
      </c>
      <c r="AB561" s="309">
        <f t="shared" si="34"/>
        <v>19094041.427863933</v>
      </c>
      <c r="AC561" s="309">
        <f t="shared" si="34"/>
        <v>2319934.025709386</v>
      </c>
      <c r="AD561" s="309">
        <f t="shared" si="34"/>
        <v>16135070.07622245</v>
      </c>
      <c r="AE561" s="309">
        <f t="shared" si="34"/>
        <v>1513429.2548581269</v>
      </c>
      <c r="AF561" s="309">
        <f t="shared" si="34"/>
        <v>13464112.501260113</v>
      </c>
      <c r="AG561" s="309">
        <f t="shared" si="34"/>
        <v>611783.42216141906</v>
      </c>
      <c r="AH561" s="309">
        <f t="shared" si="34"/>
        <v>624337.78964200348</v>
      </c>
      <c r="AI561" s="309">
        <f t="shared" si="34"/>
        <v>9142983.3698294237</v>
      </c>
      <c r="AJ561" s="309">
        <f t="shared" si="34"/>
        <v>202971.31999389562</v>
      </c>
      <c r="AK561" s="309">
        <f t="shared" si="34"/>
        <v>2271483.3703866946</v>
      </c>
      <c r="AL561" s="309">
        <f t="shared" si="34"/>
        <v>24281.03146849</v>
      </c>
      <c r="AM561" s="309">
        <f t="shared" si="34"/>
        <v>21305.348445750002</v>
      </c>
      <c r="AN561" s="309">
        <f t="shared" si="34"/>
        <v>18329.665422999999</v>
      </c>
      <c r="AO561" s="309">
        <f t="shared" si="34"/>
        <v>15353.982399299999</v>
      </c>
      <c r="AP561" s="309">
        <f t="shared" si="34"/>
        <v>13173.12429046</v>
      </c>
      <c r="AQ561" s="309">
        <f t="shared" si="34"/>
        <v>11257.207820879999</v>
      </c>
      <c r="AR561" s="309"/>
      <c r="AS561" s="309"/>
      <c r="AT561" s="309"/>
      <c r="AU561" s="309"/>
      <c r="AV561" s="309"/>
      <c r="AW561" s="309"/>
      <c r="AX561" s="309"/>
      <c r="AY561" s="309"/>
      <c r="AZ561" s="309"/>
      <c r="BA561" s="309"/>
      <c r="BB561" s="309"/>
      <c r="BC561" s="309"/>
      <c r="BD561" s="309"/>
      <c r="BE561" s="309"/>
      <c r="BF561" s="309"/>
      <c r="BG561" s="309"/>
      <c r="BH561" s="309"/>
      <c r="BI561" s="309"/>
      <c r="BJ561" s="309"/>
      <c r="BK561" s="309"/>
    </row>
    <row r="562" spans="1:63">
      <c r="A562" s="167"/>
      <c r="B562" s="210" t="str">
        <f>IF(SUM(F562:Z562)&gt;0,Servicio_internaColumna_título_amortizaciones,"")</f>
        <v>Amortizaciones</v>
      </c>
      <c r="C562" s="254"/>
      <c r="D562" s="255"/>
      <c r="E562" s="255"/>
      <c r="F562" s="255"/>
      <c r="G562" s="255"/>
      <c r="H562" s="255"/>
      <c r="I562" s="255"/>
      <c r="J562" s="255"/>
      <c r="K562" s="255"/>
      <c r="L562" s="255"/>
      <c r="M562" s="255"/>
      <c r="N562" s="255"/>
      <c r="O562" s="255"/>
      <c r="P562" s="255"/>
      <c r="Q562" s="255"/>
      <c r="R562" s="255">
        <v>14716800.502265429</v>
      </c>
      <c r="S562" s="255">
        <v>22836533.280291699</v>
      </c>
      <c r="T562" s="255">
        <v>19911481.859999999</v>
      </c>
      <c r="U562" s="255">
        <v>23516412.795188498</v>
      </c>
      <c r="V562" s="255">
        <v>19472940.031999998</v>
      </c>
      <c r="W562" s="255">
        <v>13585746.927556619</v>
      </c>
      <c r="X562" s="255">
        <v>17082963.570326913</v>
      </c>
      <c r="Y562" s="255">
        <v>14352957.066896778</v>
      </c>
      <c r="Z562" s="255">
        <v>26889987.199999999</v>
      </c>
      <c r="AA562" s="255">
        <v>5590805.6609106995</v>
      </c>
      <c r="AB562" s="255">
        <v>16866109.5</v>
      </c>
      <c r="AC562" s="255">
        <v>0</v>
      </c>
      <c r="AD562" s="255">
        <v>13804481</v>
      </c>
      <c r="AE562" s="255">
        <v>0</v>
      </c>
      <c r="AF562" s="255">
        <v>13295068.699999999</v>
      </c>
      <c r="AG562" s="255">
        <v>0</v>
      </c>
      <c r="AH562" s="255">
        <v>0</v>
      </c>
      <c r="AI562" s="255">
        <v>8547844.3115408011</v>
      </c>
      <c r="AJ562" s="255">
        <v>0</v>
      </c>
      <c r="AK562" s="255">
        <v>2447878.6972470996</v>
      </c>
      <c r="AL562" s="255">
        <v>0</v>
      </c>
      <c r="AM562" s="255">
        <v>0</v>
      </c>
      <c r="AN562" s="255">
        <v>0</v>
      </c>
      <c r="AO562" s="255">
        <v>0</v>
      </c>
      <c r="AP562" s="255">
        <v>0</v>
      </c>
      <c r="AQ562" s="255">
        <v>0</v>
      </c>
      <c r="AR562" s="255"/>
      <c r="AS562" s="255"/>
      <c r="AT562" s="255"/>
      <c r="AU562" s="255"/>
      <c r="AV562" s="255"/>
      <c r="AW562" s="255"/>
      <c r="AX562" s="255"/>
      <c r="AY562" s="255"/>
      <c r="AZ562" s="255"/>
      <c r="BA562" s="255"/>
      <c r="BB562" s="255"/>
      <c r="BC562" s="255"/>
      <c r="BD562" s="255"/>
      <c r="BE562" s="255"/>
      <c r="BF562" s="255"/>
      <c r="BG562" s="255"/>
      <c r="BH562" s="255"/>
      <c r="BI562" s="255"/>
      <c r="BJ562" s="255"/>
      <c r="BK562" s="255"/>
    </row>
    <row r="563" spans="1:63">
      <c r="A563" s="168">
        <v>42551</v>
      </c>
      <c r="B563" s="213" t="str">
        <f>IF(SUM(F563:Z563)&gt;0,Servicio_internaColumna_título_intereses,"")</f>
        <v>Intereses</v>
      </c>
      <c r="C563" s="256"/>
      <c r="D563" s="257"/>
      <c r="E563" s="257"/>
      <c r="F563" s="257"/>
      <c r="G563" s="257"/>
      <c r="H563" s="257"/>
      <c r="I563" s="257"/>
      <c r="J563" s="257"/>
      <c r="K563" s="257"/>
      <c r="L563" s="257"/>
      <c r="M563" s="257"/>
      <c r="N563" s="257"/>
      <c r="O563" s="257"/>
      <c r="P563" s="257"/>
      <c r="Q563" s="257"/>
      <c r="R563" s="257">
        <v>9959329.8582499996</v>
      </c>
      <c r="S563" s="257">
        <v>14428786.901479188</v>
      </c>
      <c r="T563" s="257">
        <v>14005234.34330442</v>
      </c>
      <c r="U563" s="258">
        <v>12519239.14108954</v>
      </c>
      <c r="V563" s="258">
        <v>11226969.89917038</v>
      </c>
      <c r="W563" s="258">
        <v>9140024.6952122264</v>
      </c>
      <c r="X563" s="258">
        <v>8624684.5564635713</v>
      </c>
      <c r="Y563" s="258">
        <v>7470349.3562664976</v>
      </c>
      <c r="Z563" s="258">
        <v>6626896.908066269</v>
      </c>
      <c r="AA563" s="258">
        <v>3955587.7953708023</v>
      </c>
      <c r="AB563" s="258">
        <v>3704064.4059343296</v>
      </c>
      <c r="AC563" s="258">
        <v>2450049.4604893937</v>
      </c>
      <c r="AD563" s="259">
        <v>2461455.3621633574</v>
      </c>
      <c r="AE563" s="259">
        <v>1645068.9174947618</v>
      </c>
      <c r="AF563" s="259">
        <v>1657442.1418933468</v>
      </c>
      <c r="AG563" s="259">
        <v>639953.07538115</v>
      </c>
      <c r="AH563" s="259">
        <v>653352.53245832643</v>
      </c>
      <c r="AI563" s="259">
        <v>667288.30985503737</v>
      </c>
      <c r="AJ563" s="259">
        <v>233753.06064773267</v>
      </c>
      <c r="AK563" s="259">
        <v>236496.18001854635</v>
      </c>
      <c r="AL563" s="259">
        <v>24281.03146849</v>
      </c>
      <c r="AM563" s="259">
        <v>21305.348445750002</v>
      </c>
      <c r="AN563" s="259">
        <v>18329.665422999999</v>
      </c>
      <c r="AO563" s="259">
        <v>15353.982399299999</v>
      </c>
      <c r="AP563" s="259">
        <v>13173.12429046</v>
      </c>
      <c r="AQ563" s="259">
        <v>11257.207820879999</v>
      </c>
      <c r="AR563" s="259"/>
      <c r="AS563" s="259"/>
      <c r="AT563" s="259"/>
      <c r="AU563" s="259"/>
      <c r="AV563" s="259"/>
      <c r="AW563" s="259"/>
      <c r="AX563" s="259"/>
      <c r="AY563" s="259"/>
      <c r="AZ563" s="259"/>
      <c r="BA563" s="259"/>
      <c r="BB563" s="259"/>
      <c r="BC563" s="259"/>
      <c r="BD563" s="259"/>
      <c r="BE563" s="259"/>
      <c r="BF563" s="259"/>
      <c r="BG563" s="259"/>
      <c r="BH563" s="259"/>
      <c r="BI563" s="259"/>
      <c r="BJ563" s="259"/>
      <c r="BK563" s="259"/>
    </row>
    <row r="564" spans="1:63">
      <c r="A564" s="169"/>
      <c r="B564" s="307" t="str">
        <f>IF(SUM(F564:Z564)&gt;0,Servicio_internaColumna_título_total,"")</f>
        <v>Total</v>
      </c>
      <c r="C564" s="308"/>
      <c r="D564" s="309"/>
      <c r="E564" s="309"/>
      <c r="F564" s="309"/>
      <c r="G564" s="309"/>
      <c r="H564" s="309"/>
      <c r="I564" s="309"/>
      <c r="J564" s="309"/>
      <c r="K564" s="309"/>
      <c r="L564" s="309"/>
      <c r="M564" s="309"/>
      <c r="N564" s="309"/>
      <c r="O564" s="309"/>
      <c r="P564" s="309"/>
      <c r="Q564" s="309"/>
      <c r="R564" s="309">
        <f>R563+R562</f>
        <v>24676130.360515431</v>
      </c>
      <c r="S564" s="309">
        <f t="shared" ref="S564:AP564" si="35">S563+S562</f>
        <v>37265320.181770891</v>
      </c>
      <c r="T564" s="309">
        <f t="shared" si="35"/>
        <v>33916716.203304417</v>
      </c>
      <c r="U564" s="309">
        <f t="shared" si="35"/>
        <v>36035651.936278038</v>
      </c>
      <c r="V564" s="309">
        <f t="shared" si="35"/>
        <v>30699909.931170378</v>
      </c>
      <c r="W564" s="309">
        <f t="shared" si="35"/>
        <v>22725771.622768845</v>
      </c>
      <c r="X564" s="309">
        <f t="shared" si="35"/>
        <v>25707648.126790486</v>
      </c>
      <c r="Y564" s="309">
        <f t="shared" si="35"/>
        <v>21823306.423163276</v>
      </c>
      <c r="Z564" s="309">
        <f t="shared" si="35"/>
        <v>33516884.108066268</v>
      </c>
      <c r="AA564" s="309">
        <f t="shared" si="35"/>
        <v>9546393.4562815018</v>
      </c>
      <c r="AB564" s="309">
        <f t="shared" si="35"/>
        <v>20570173.90593433</v>
      </c>
      <c r="AC564" s="309">
        <f t="shared" si="35"/>
        <v>2450049.4604893937</v>
      </c>
      <c r="AD564" s="309">
        <f t="shared" si="35"/>
        <v>16265936.362163357</v>
      </c>
      <c r="AE564" s="309">
        <f t="shared" si="35"/>
        <v>1645068.9174947618</v>
      </c>
      <c r="AF564" s="309">
        <f t="shared" si="35"/>
        <v>14952510.841893345</v>
      </c>
      <c r="AG564" s="309">
        <f t="shared" si="35"/>
        <v>639953.07538115</v>
      </c>
      <c r="AH564" s="309">
        <f t="shared" si="35"/>
        <v>653352.53245832643</v>
      </c>
      <c r="AI564" s="309">
        <f t="shared" si="35"/>
        <v>9215132.6213958375</v>
      </c>
      <c r="AJ564" s="309">
        <f t="shared" si="35"/>
        <v>233753.06064773267</v>
      </c>
      <c r="AK564" s="309">
        <f t="shared" si="35"/>
        <v>2684374.8772656461</v>
      </c>
      <c r="AL564" s="309">
        <f t="shared" si="35"/>
        <v>24281.03146849</v>
      </c>
      <c r="AM564" s="309">
        <f t="shared" si="35"/>
        <v>21305.348445750002</v>
      </c>
      <c r="AN564" s="309">
        <f t="shared" si="35"/>
        <v>18329.665422999999</v>
      </c>
      <c r="AO564" s="309">
        <f t="shared" si="35"/>
        <v>15353.982399299999</v>
      </c>
      <c r="AP564" s="309">
        <f t="shared" si="35"/>
        <v>13173.12429046</v>
      </c>
      <c r="AQ564" s="309">
        <f>AQ563+AQ562</f>
        <v>11257.207820879999</v>
      </c>
      <c r="AR564" s="309"/>
      <c r="AS564" s="309"/>
      <c r="AT564" s="309"/>
      <c r="AU564" s="309"/>
      <c r="AV564" s="309"/>
      <c r="AW564" s="309"/>
      <c r="AX564" s="309"/>
      <c r="AY564" s="309"/>
      <c r="AZ564" s="309"/>
      <c r="BA564" s="309"/>
      <c r="BB564" s="309"/>
      <c r="BC564" s="309"/>
      <c r="BD564" s="309"/>
      <c r="BE564" s="309"/>
      <c r="BF564" s="309"/>
      <c r="BG564" s="309"/>
      <c r="BH564" s="309"/>
      <c r="BI564" s="309"/>
      <c r="BJ564" s="309"/>
      <c r="BK564" s="309"/>
    </row>
    <row r="565" spans="1:63">
      <c r="A565" s="167"/>
      <c r="B565" s="210" t="str">
        <f>IF(SUM(F565:Z565)&gt;0,Servicio_internaColumna_título_amortizaciones,"")</f>
        <v>Amortizaciones</v>
      </c>
      <c r="C565" s="254"/>
      <c r="D565" s="255"/>
      <c r="E565" s="255"/>
      <c r="F565" s="255"/>
      <c r="G565" s="255"/>
      <c r="H565" s="255"/>
      <c r="I565" s="255"/>
      <c r="J565" s="255"/>
      <c r="K565" s="255"/>
      <c r="L565" s="255"/>
      <c r="M565" s="255"/>
      <c r="N565" s="255"/>
      <c r="O565" s="255"/>
      <c r="P565" s="255"/>
      <c r="Q565" s="255"/>
      <c r="R565" s="255">
        <v>6457625.6215884704</v>
      </c>
      <c r="S565" s="255">
        <v>26738236.485914603</v>
      </c>
      <c r="T565" s="255">
        <v>19911481.859999999</v>
      </c>
      <c r="U565" s="255">
        <v>23565561.503282998</v>
      </c>
      <c r="V565" s="255">
        <v>19472940.031999998</v>
      </c>
      <c r="W565" s="255">
        <v>13916315.593414299</v>
      </c>
      <c r="X565" s="255">
        <v>18132809.104611922</v>
      </c>
      <c r="Y565" s="255">
        <v>14425118.432175092</v>
      </c>
      <c r="Z565" s="255">
        <v>26889987.199999999</v>
      </c>
      <c r="AA565" s="255">
        <v>6037540.5299813999</v>
      </c>
      <c r="AB565" s="255">
        <v>18243213.800000001</v>
      </c>
      <c r="AC565" s="255">
        <v>0</v>
      </c>
      <c r="AD565" s="255">
        <v>13804481</v>
      </c>
      <c r="AE565" s="255">
        <v>0</v>
      </c>
      <c r="AF565" s="255">
        <v>14323498.4</v>
      </c>
      <c r="AG565" s="255">
        <v>0</v>
      </c>
      <c r="AH565" s="255">
        <v>0</v>
      </c>
      <c r="AI565" s="255">
        <v>8590819.7146464009</v>
      </c>
      <c r="AJ565" s="255">
        <v>0</v>
      </c>
      <c r="AK565" s="255">
        <v>2768574.5926938001</v>
      </c>
      <c r="AL565" s="255">
        <v>0</v>
      </c>
      <c r="AM565" s="255">
        <v>0</v>
      </c>
      <c r="AN565" s="255">
        <v>0</v>
      </c>
      <c r="AO565" s="255">
        <v>0</v>
      </c>
      <c r="AP565" s="255">
        <v>0</v>
      </c>
      <c r="AQ565" s="255">
        <v>0</v>
      </c>
      <c r="AR565" s="255"/>
      <c r="AS565" s="255"/>
      <c r="AT565" s="255"/>
      <c r="AU565" s="255"/>
      <c r="AV565" s="255"/>
      <c r="AW565" s="255"/>
      <c r="AX565" s="255"/>
      <c r="AY565" s="255"/>
      <c r="AZ565" s="255"/>
      <c r="BA565" s="255"/>
      <c r="BB565" s="255"/>
      <c r="BC565" s="255"/>
      <c r="BD565" s="255"/>
      <c r="BE565" s="255"/>
      <c r="BF565" s="255"/>
      <c r="BG565" s="255"/>
      <c r="BH565" s="255"/>
      <c r="BI565" s="255"/>
      <c r="BJ565" s="255"/>
      <c r="BK565" s="255"/>
    </row>
    <row r="566" spans="1:63">
      <c r="A566" s="168">
        <v>42582</v>
      </c>
      <c r="B566" s="213" t="str">
        <f>IF(SUM(F566:Z566)&gt;0,Servicio_internaColumna_título_intereses,"")</f>
        <v>Intereses</v>
      </c>
      <c r="C566" s="256"/>
      <c r="D566" s="257"/>
      <c r="E566" s="257"/>
      <c r="F566" s="257"/>
      <c r="G566" s="257"/>
      <c r="H566" s="257"/>
      <c r="I566" s="257"/>
      <c r="J566" s="257"/>
      <c r="K566" s="257"/>
      <c r="L566" s="257"/>
      <c r="M566" s="257"/>
      <c r="N566" s="257"/>
      <c r="O566" s="257"/>
      <c r="P566" s="257"/>
      <c r="Q566" s="257"/>
      <c r="R566" s="257">
        <v>5040546.6605000012</v>
      </c>
      <c r="S566" s="257">
        <v>14725459.749762293</v>
      </c>
      <c r="T566" s="257">
        <v>14252535.53981954</v>
      </c>
      <c r="U566" s="258">
        <v>12818359.993069161</v>
      </c>
      <c r="V566" s="258">
        <v>11527370.104411889</v>
      </c>
      <c r="W566" s="258">
        <v>9441742.6343134809</v>
      </c>
      <c r="X566" s="258">
        <v>8916885.2501420435</v>
      </c>
      <c r="Y566" s="258">
        <v>7690132.1794578237</v>
      </c>
      <c r="Z566" s="258">
        <v>6847783.6322258376</v>
      </c>
      <c r="AA566" s="258">
        <v>4177611.5375276553</v>
      </c>
      <c r="AB566" s="258">
        <v>3907152.5350953708</v>
      </c>
      <c r="AC566" s="258">
        <v>2550457.8272977653</v>
      </c>
      <c r="AD566" s="259">
        <v>2562484.8809234798</v>
      </c>
      <c r="AE566" s="259">
        <v>1746738.2227651877</v>
      </c>
      <c r="AF566" s="259">
        <v>1759770.4272693871</v>
      </c>
      <c r="AG566" s="259">
        <v>663256.80851597001</v>
      </c>
      <c r="AH566" s="259">
        <v>677355.37758719106</v>
      </c>
      <c r="AI566" s="259">
        <v>692011.24033776764</v>
      </c>
      <c r="AJ566" s="259">
        <v>259217.67904494508</v>
      </c>
      <c r="AK566" s="259">
        <v>262724.73696767521</v>
      </c>
      <c r="AL566" s="259">
        <v>24281.03146849</v>
      </c>
      <c r="AM566" s="259">
        <v>21305.348445750002</v>
      </c>
      <c r="AN566" s="259">
        <v>18329.665422999999</v>
      </c>
      <c r="AO566" s="259">
        <v>15353.982399299999</v>
      </c>
      <c r="AP566" s="259">
        <v>13173.12429046</v>
      </c>
      <c r="AQ566" s="259">
        <v>11257.207820879999</v>
      </c>
      <c r="AR566" s="259"/>
      <c r="AS566" s="259"/>
      <c r="AT566" s="259"/>
      <c r="AU566" s="259"/>
      <c r="AV566" s="259"/>
      <c r="AW566" s="259"/>
      <c r="AX566" s="259"/>
      <c r="AY566" s="259"/>
      <c r="AZ566" s="259"/>
      <c r="BA566" s="259"/>
      <c r="BB566" s="259"/>
      <c r="BC566" s="259"/>
      <c r="BD566" s="259"/>
      <c r="BE566" s="259"/>
      <c r="BF566" s="259"/>
      <c r="BG566" s="259"/>
      <c r="BH566" s="259"/>
      <c r="BI566" s="259"/>
      <c r="BJ566" s="259"/>
      <c r="BK566" s="259"/>
    </row>
    <row r="567" spans="1:63">
      <c r="A567" s="169"/>
      <c r="B567" s="307" t="str">
        <f>IF(SUM(F567:Z567)&gt;0,Servicio_internaColumna_título_total,"")</f>
        <v>Total</v>
      </c>
      <c r="C567" s="308"/>
      <c r="D567" s="309"/>
      <c r="E567" s="309"/>
      <c r="F567" s="309"/>
      <c r="G567" s="309"/>
      <c r="H567" s="309"/>
      <c r="I567" s="309"/>
      <c r="J567" s="309"/>
      <c r="K567" s="309"/>
      <c r="L567" s="309"/>
      <c r="M567" s="309"/>
      <c r="N567" s="309"/>
      <c r="O567" s="309"/>
      <c r="P567" s="309"/>
      <c r="Q567" s="309"/>
      <c r="R567" s="309">
        <f>R566+R565</f>
        <v>11498172.282088472</v>
      </c>
      <c r="S567" s="309">
        <f t="shared" ref="S567:AP567" si="36">S566+S565</f>
        <v>41463696.2356769</v>
      </c>
      <c r="T567" s="309">
        <f t="shared" si="36"/>
        <v>34164017.399819538</v>
      </c>
      <c r="U567" s="309">
        <f t="shared" si="36"/>
        <v>36383921.496352158</v>
      </c>
      <c r="V567" s="309">
        <f t="shared" si="36"/>
        <v>31000310.136411887</v>
      </c>
      <c r="W567" s="309">
        <f t="shared" si="36"/>
        <v>23358058.227727778</v>
      </c>
      <c r="X567" s="309">
        <f t="shared" si="36"/>
        <v>27049694.354753964</v>
      </c>
      <c r="Y567" s="309">
        <f t="shared" si="36"/>
        <v>22115250.611632917</v>
      </c>
      <c r="Z567" s="309">
        <f t="shared" si="36"/>
        <v>33737770.832225837</v>
      </c>
      <c r="AA567" s="309">
        <f t="shared" si="36"/>
        <v>10215152.067509055</v>
      </c>
      <c r="AB567" s="309">
        <f t="shared" si="36"/>
        <v>22150366.335095372</v>
      </c>
      <c r="AC567" s="309">
        <f t="shared" si="36"/>
        <v>2550457.8272977653</v>
      </c>
      <c r="AD567" s="309">
        <f t="shared" si="36"/>
        <v>16366965.88092348</v>
      </c>
      <c r="AE567" s="309">
        <f t="shared" si="36"/>
        <v>1746738.2227651877</v>
      </c>
      <c r="AF567" s="309">
        <f t="shared" si="36"/>
        <v>16083268.827269387</v>
      </c>
      <c r="AG567" s="309">
        <f t="shared" si="36"/>
        <v>663256.80851597001</v>
      </c>
      <c r="AH567" s="309">
        <f t="shared" si="36"/>
        <v>677355.37758719106</v>
      </c>
      <c r="AI567" s="309">
        <f t="shared" si="36"/>
        <v>9282830.9549841695</v>
      </c>
      <c r="AJ567" s="309">
        <f t="shared" si="36"/>
        <v>259217.67904494508</v>
      </c>
      <c r="AK567" s="309">
        <f t="shared" si="36"/>
        <v>3031299.3296614755</v>
      </c>
      <c r="AL567" s="309">
        <f t="shared" si="36"/>
        <v>24281.03146849</v>
      </c>
      <c r="AM567" s="309">
        <f t="shared" si="36"/>
        <v>21305.348445750002</v>
      </c>
      <c r="AN567" s="309">
        <f t="shared" si="36"/>
        <v>18329.665422999999</v>
      </c>
      <c r="AO567" s="309">
        <f t="shared" si="36"/>
        <v>15353.982399299999</v>
      </c>
      <c r="AP567" s="309">
        <f t="shared" si="36"/>
        <v>13173.12429046</v>
      </c>
      <c r="AQ567" s="309">
        <f>AQ566+AQ565</f>
        <v>11257.207820879999</v>
      </c>
      <c r="AR567" s="309"/>
      <c r="AS567" s="309"/>
      <c r="AT567" s="309"/>
      <c r="AU567" s="309"/>
      <c r="AV567" s="309"/>
      <c r="AW567" s="309"/>
      <c r="AX567" s="309"/>
      <c r="AY567" s="309"/>
      <c r="AZ567" s="309"/>
      <c r="BA567" s="309"/>
      <c r="BB567" s="309"/>
      <c r="BC567" s="309"/>
      <c r="BD567" s="309"/>
      <c r="BE567" s="309"/>
      <c r="BF567" s="309"/>
      <c r="BG567" s="309"/>
      <c r="BH567" s="309"/>
      <c r="BI567" s="309"/>
      <c r="BJ567" s="309"/>
      <c r="BK567" s="309"/>
    </row>
    <row r="568" spans="1:63">
      <c r="A568" s="167"/>
      <c r="B568" s="210" t="str">
        <f>IF(SUM(F568:Z568)&gt;0,Servicio_internaColumna_título_amortizaciones,"")</f>
        <v>Amortizaciones</v>
      </c>
      <c r="C568" s="254"/>
      <c r="D568" s="255"/>
      <c r="E568" s="255"/>
      <c r="F568" s="255"/>
      <c r="G568" s="255"/>
      <c r="H568" s="255"/>
      <c r="I568" s="255"/>
      <c r="J568" s="255"/>
      <c r="K568" s="255"/>
      <c r="L568" s="255"/>
      <c r="M568" s="255"/>
      <c r="N568" s="255"/>
      <c r="O568" s="255"/>
      <c r="P568" s="255"/>
      <c r="Q568" s="255"/>
      <c r="R568" s="255">
        <v>4196356.6618735204</v>
      </c>
      <c r="S568" s="255">
        <v>28827971.914525498</v>
      </c>
      <c r="T568" s="255">
        <v>19911481.859999999</v>
      </c>
      <c r="U568" s="255">
        <v>23614750.887292501</v>
      </c>
      <c r="V568" s="255">
        <v>19472940.031999998</v>
      </c>
      <c r="W568" s="255">
        <v>14124743.101278881</v>
      </c>
      <c r="X568" s="255">
        <v>18738275.918947171</v>
      </c>
      <c r="Y568" s="255">
        <v>14497339.51885147</v>
      </c>
      <c r="Z568" s="255">
        <v>26889987.199999999</v>
      </c>
      <c r="AA568" s="255">
        <v>6340529.7929295003</v>
      </c>
      <c r="AB568" s="255">
        <v>18985746</v>
      </c>
      <c r="AC568" s="255">
        <v>0</v>
      </c>
      <c r="AD568" s="255">
        <v>13804481</v>
      </c>
      <c r="AE568" s="255">
        <v>0</v>
      </c>
      <c r="AF568" s="255">
        <v>15233516.300000001</v>
      </c>
      <c r="AG568" s="255">
        <v>0</v>
      </c>
      <c r="AH568" s="255">
        <v>0</v>
      </c>
      <c r="AI568" s="255">
        <v>8633830.6845840011</v>
      </c>
      <c r="AJ568" s="255">
        <v>0</v>
      </c>
      <c r="AK568" s="255">
        <v>3160132.41096</v>
      </c>
      <c r="AL568" s="255">
        <v>0</v>
      </c>
      <c r="AM568" s="255">
        <v>0</v>
      </c>
      <c r="AN568" s="255">
        <v>0</v>
      </c>
      <c r="AO568" s="255">
        <v>0</v>
      </c>
      <c r="AP568" s="255">
        <v>0</v>
      </c>
      <c r="AQ568" s="255">
        <v>0</v>
      </c>
      <c r="AR568" s="255"/>
      <c r="AS568" s="255"/>
      <c r="AT568" s="255"/>
      <c r="AU568" s="255"/>
      <c r="AV568" s="255"/>
      <c r="AW568" s="255"/>
      <c r="AX568" s="255"/>
      <c r="AY568" s="255"/>
      <c r="AZ568" s="255"/>
      <c r="BA568" s="255"/>
      <c r="BB568" s="255"/>
      <c r="BC568" s="255"/>
      <c r="BD568" s="255"/>
      <c r="BE568" s="255"/>
      <c r="BF568" s="255"/>
      <c r="BG568" s="255"/>
      <c r="BH568" s="255"/>
      <c r="BI568" s="255"/>
      <c r="BJ568" s="255"/>
      <c r="BK568" s="255"/>
    </row>
    <row r="569" spans="1:63">
      <c r="A569" s="168">
        <v>42613</v>
      </c>
      <c r="B569" s="213" t="str">
        <f>IF(SUM(F569:Z569)&gt;0,Servicio_internaColumna_título_intereses,"")</f>
        <v>Intereses</v>
      </c>
      <c r="C569" s="256"/>
      <c r="D569" s="257"/>
      <c r="E569" s="257"/>
      <c r="F569" s="257"/>
      <c r="G569" s="257"/>
      <c r="H569" s="257"/>
      <c r="I569" s="257"/>
      <c r="J569" s="257"/>
      <c r="K569" s="257"/>
      <c r="L569" s="257"/>
      <c r="M569" s="257"/>
      <c r="N569" s="257"/>
      <c r="O569" s="257"/>
      <c r="P569" s="257"/>
      <c r="Q569" s="257"/>
      <c r="R569" s="257">
        <v>3742832.0127499998</v>
      </c>
      <c r="S569" s="257">
        <v>14927732.215267893</v>
      </c>
      <c r="T569" s="257">
        <v>14455801.448691869</v>
      </c>
      <c r="U569" s="258">
        <v>13022683.214873429</v>
      </c>
      <c r="V569" s="258">
        <v>11732765.073682789</v>
      </c>
      <c r="W569" s="258">
        <v>9648241.5034750104</v>
      </c>
      <c r="X569" s="258">
        <v>9118830.8403846901</v>
      </c>
      <c r="Y569" s="258">
        <v>7850696.1842202535</v>
      </c>
      <c r="Z569" s="258">
        <v>7009378.0680636428</v>
      </c>
      <c r="AA569" s="258">
        <v>4340267.3173730914</v>
      </c>
      <c r="AB569" s="258">
        <v>4057865.9476583037</v>
      </c>
      <c r="AC569" s="258">
        <v>2646216.2381700869</v>
      </c>
      <c r="AD569" s="259">
        <v>2659000.2525044717</v>
      </c>
      <c r="AE569" s="259">
        <v>1844033.2638761089</v>
      </c>
      <c r="AF569" s="259">
        <v>1857868.5279961349</v>
      </c>
      <c r="AG569" s="259">
        <v>691655.67339702114</v>
      </c>
      <c r="AH569" s="259">
        <v>706606.20841467369</v>
      </c>
      <c r="AI569" s="259">
        <v>722139.59609007556</v>
      </c>
      <c r="AJ569" s="259">
        <v>290249.88546982146</v>
      </c>
      <c r="AK569" s="259">
        <v>294687.90958529786</v>
      </c>
      <c r="AL569" s="259">
        <v>24281.03146849</v>
      </c>
      <c r="AM569" s="259">
        <v>21305.348445750002</v>
      </c>
      <c r="AN569" s="259">
        <v>18329.665422999999</v>
      </c>
      <c r="AO569" s="259">
        <v>15353.982399299999</v>
      </c>
      <c r="AP569" s="259">
        <v>13173.12429046</v>
      </c>
      <c r="AQ569" s="259">
        <v>11257.207820879999</v>
      </c>
      <c r="AR569" s="259"/>
      <c r="AS569" s="259"/>
      <c r="AT569" s="259"/>
      <c r="AU569" s="259"/>
      <c r="AV569" s="259"/>
      <c r="AW569" s="259"/>
      <c r="AX569" s="259"/>
      <c r="AY569" s="259"/>
      <c r="AZ569" s="259"/>
      <c r="BA569" s="259"/>
      <c r="BB569" s="259"/>
      <c r="BC569" s="259"/>
      <c r="BD569" s="259"/>
      <c r="BE569" s="259"/>
      <c r="BF569" s="259"/>
      <c r="BG569" s="259"/>
      <c r="BH569" s="259"/>
      <c r="BI569" s="259"/>
      <c r="BJ569" s="259"/>
      <c r="BK569" s="259"/>
    </row>
    <row r="570" spans="1:63">
      <c r="A570" s="169"/>
      <c r="B570" s="307" t="str">
        <f>IF(SUM(F570:Z570)&gt;0,Servicio_internaColumna_título_total,"")</f>
        <v>Total</v>
      </c>
      <c r="C570" s="308"/>
      <c r="D570" s="309"/>
      <c r="E570" s="309"/>
      <c r="F570" s="309"/>
      <c r="G570" s="309"/>
      <c r="H570" s="309"/>
      <c r="I570" s="309"/>
      <c r="J570" s="309"/>
      <c r="K570" s="309"/>
      <c r="L570" s="309"/>
      <c r="M570" s="309"/>
      <c r="N570" s="309"/>
      <c r="O570" s="309"/>
      <c r="P570" s="309"/>
      <c r="Q570" s="309"/>
      <c r="R570" s="309">
        <f>R569+R568</f>
        <v>7939188.6746235201</v>
      </c>
      <c r="S570" s="309">
        <f t="shared" ref="S570:AP570" si="37">S569+S568</f>
        <v>43755704.129793391</v>
      </c>
      <c r="T570" s="309">
        <f t="shared" si="37"/>
        <v>34367283.308691867</v>
      </c>
      <c r="U570" s="309">
        <f t="shared" si="37"/>
        <v>36637434.10216593</v>
      </c>
      <c r="V570" s="309">
        <f t="shared" si="37"/>
        <v>31205705.105682787</v>
      </c>
      <c r="W570" s="309">
        <f t="shared" si="37"/>
        <v>23772984.604753889</v>
      </c>
      <c r="X570" s="309">
        <f t="shared" si="37"/>
        <v>27857106.75933186</v>
      </c>
      <c r="Y570" s="309">
        <f t="shared" si="37"/>
        <v>22348035.703071725</v>
      </c>
      <c r="Z570" s="309">
        <f t="shared" si="37"/>
        <v>33899365.268063642</v>
      </c>
      <c r="AA570" s="309">
        <f t="shared" si="37"/>
        <v>10680797.110302592</v>
      </c>
      <c r="AB570" s="309">
        <f t="shared" si="37"/>
        <v>23043611.947658304</v>
      </c>
      <c r="AC570" s="309">
        <f t="shared" si="37"/>
        <v>2646216.2381700869</v>
      </c>
      <c r="AD570" s="309">
        <f t="shared" si="37"/>
        <v>16463481.252504472</v>
      </c>
      <c r="AE570" s="309">
        <f t="shared" si="37"/>
        <v>1844033.2638761089</v>
      </c>
      <c r="AF570" s="309">
        <f t="shared" si="37"/>
        <v>17091384.827996135</v>
      </c>
      <c r="AG570" s="309">
        <f t="shared" si="37"/>
        <v>691655.67339702114</v>
      </c>
      <c r="AH570" s="309">
        <f t="shared" si="37"/>
        <v>706606.20841467369</v>
      </c>
      <c r="AI570" s="309">
        <f t="shared" si="37"/>
        <v>9355970.2806740776</v>
      </c>
      <c r="AJ570" s="309">
        <f t="shared" si="37"/>
        <v>290249.88546982146</v>
      </c>
      <c r="AK570" s="309">
        <f t="shared" si="37"/>
        <v>3454820.320545298</v>
      </c>
      <c r="AL570" s="309">
        <f t="shared" si="37"/>
        <v>24281.03146849</v>
      </c>
      <c r="AM570" s="309">
        <f t="shared" si="37"/>
        <v>21305.348445750002</v>
      </c>
      <c r="AN570" s="309">
        <f t="shared" si="37"/>
        <v>18329.665422999999</v>
      </c>
      <c r="AO570" s="309">
        <f t="shared" si="37"/>
        <v>15353.982399299999</v>
      </c>
      <c r="AP570" s="309">
        <f t="shared" si="37"/>
        <v>13173.12429046</v>
      </c>
      <c r="AQ570" s="309">
        <f>AQ569+AQ568</f>
        <v>11257.207820879999</v>
      </c>
      <c r="AR570" s="309"/>
      <c r="AS570" s="309"/>
      <c r="AT570" s="309"/>
      <c r="AU570" s="309"/>
      <c r="AV570" s="309"/>
      <c r="AW570" s="309"/>
      <c r="AX570" s="309"/>
      <c r="AY570" s="309"/>
      <c r="AZ570" s="309"/>
      <c r="BA570" s="309"/>
      <c r="BB570" s="309"/>
      <c r="BC570" s="309"/>
      <c r="BD570" s="309"/>
      <c r="BE570" s="309"/>
      <c r="BF570" s="309"/>
      <c r="BG570" s="309"/>
      <c r="BH570" s="309"/>
      <c r="BI570" s="309"/>
      <c r="BJ570" s="309"/>
      <c r="BK570" s="309"/>
    </row>
    <row r="571" spans="1:63">
      <c r="A571" s="167"/>
      <c r="B571" s="210" t="str">
        <f>IF(SUM(F571:Z571)&gt;0,Servicio_internaColumna_título_amortizaciones,"")</f>
        <v>Amortizaciones</v>
      </c>
      <c r="C571" s="254"/>
      <c r="D571" s="255"/>
      <c r="E571" s="255"/>
      <c r="F571" s="255"/>
      <c r="G571" s="255"/>
      <c r="H571" s="255"/>
      <c r="I571" s="255"/>
      <c r="J571" s="255"/>
      <c r="K571" s="255"/>
      <c r="L571" s="255"/>
      <c r="M571" s="255"/>
      <c r="N571" s="255"/>
      <c r="O571" s="255"/>
      <c r="P571" s="255"/>
      <c r="Q571" s="255"/>
      <c r="R571" s="255">
        <v>2696144.7733341199</v>
      </c>
      <c r="S571" s="255">
        <v>29652884.1216961</v>
      </c>
      <c r="T571" s="255">
        <v>19911481.859999999</v>
      </c>
      <c r="U571" s="255">
        <v>23623707.723775499</v>
      </c>
      <c r="V571" s="255">
        <v>19472940.031999998</v>
      </c>
      <c r="W571" s="255">
        <v>14412833.391963579</v>
      </c>
      <c r="X571" s="255">
        <v>19656850.33048936</v>
      </c>
      <c r="Y571" s="255">
        <v>14510490.170704721</v>
      </c>
      <c r="Z571" s="255">
        <v>26889987.199999999</v>
      </c>
      <c r="AA571" s="255">
        <v>6952587.4413182996</v>
      </c>
      <c r="AB571" s="255">
        <v>19651527.300000001</v>
      </c>
      <c r="AC571" s="255">
        <v>0</v>
      </c>
      <c r="AD571" s="255">
        <v>13804481</v>
      </c>
      <c r="AE571" s="255">
        <v>0</v>
      </c>
      <c r="AF571" s="255">
        <v>15844737.6</v>
      </c>
      <c r="AG571" s="255">
        <v>0</v>
      </c>
      <c r="AH571" s="255">
        <v>0</v>
      </c>
      <c r="AI571" s="255">
        <v>8641662.5009904001</v>
      </c>
      <c r="AJ571" s="255">
        <v>0</v>
      </c>
      <c r="AK571" s="255">
        <v>3547372.9270910998</v>
      </c>
      <c r="AL571" s="255">
        <v>0</v>
      </c>
      <c r="AM571" s="255">
        <v>0</v>
      </c>
      <c r="AN571" s="255">
        <v>0</v>
      </c>
      <c r="AO571" s="255">
        <v>0</v>
      </c>
      <c r="AP571" s="255">
        <v>0</v>
      </c>
      <c r="AQ571" s="255">
        <v>0</v>
      </c>
      <c r="AR571" s="255"/>
      <c r="AS571" s="255"/>
      <c r="AT571" s="255"/>
      <c r="AU571" s="255"/>
      <c r="AV571" s="255"/>
      <c r="AW571" s="255"/>
      <c r="AX571" s="255"/>
      <c r="AY571" s="255"/>
      <c r="AZ571" s="255"/>
      <c r="BA571" s="255"/>
      <c r="BB571" s="255"/>
      <c r="BC571" s="255"/>
      <c r="BD571" s="255"/>
      <c r="BE571" s="255"/>
      <c r="BF571" s="255"/>
      <c r="BG571" s="255"/>
      <c r="BH571" s="255"/>
      <c r="BI571" s="255"/>
      <c r="BJ571" s="255"/>
      <c r="BK571" s="255"/>
    </row>
    <row r="572" spans="1:63">
      <c r="A572" s="168">
        <v>42643</v>
      </c>
      <c r="B572" s="213" t="str">
        <f>IF(SUM(F572:Z572)&gt;0,Servicio_internaColumna_título_intereses,"")</f>
        <v>Intereses</v>
      </c>
      <c r="C572" s="256"/>
      <c r="D572" s="257"/>
      <c r="E572" s="257"/>
      <c r="F572" s="257"/>
      <c r="G572" s="257"/>
      <c r="H572" s="257"/>
      <c r="I572" s="257"/>
      <c r="J572" s="257"/>
      <c r="K572" s="257"/>
      <c r="L572" s="257"/>
      <c r="M572" s="257"/>
      <c r="N572" s="257"/>
      <c r="O572" s="257"/>
      <c r="P572" s="257"/>
      <c r="Q572" s="257"/>
      <c r="R572" s="257">
        <v>1600399.5975000001</v>
      </c>
      <c r="S572" s="257">
        <v>15140695.752319816</v>
      </c>
      <c r="T572" s="257">
        <v>14670288.916703332</v>
      </c>
      <c r="U572" s="258">
        <v>13238774.544184394</v>
      </c>
      <c r="V572" s="258">
        <v>11950491.021125577</v>
      </c>
      <c r="W572" s="258">
        <v>9867651.1075935792</v>
      </c>
      <c r="X572" s="258">
        <v>9328286.4315310437</v>
      </c>
      <c r="Y572" s="258">
        <v>7997286.5113534937</v>
      </c>
      <c r="Z572" s="258">
        <v>7157447.0075633787</v>
      </c>
      <c r="AA572" s="258">
        <v>4489859.2276103217</v>
      </c>
      <c r="AB572" s="258">
        <v>4180076.797991063</v>
      </c>
      <c r="AC572" s="258">
        <v>2719240.7190653267</v>
      </c>
      <c r="AD572" s="259">
        <v>2732794.3783040699</v>
      </c>
      <c r="AE572" s="259">
        <v>1918620.1239271944</v>
      </c>
      <c r="AF572" s="259">
        <v>1933271.9043262517</v>
      </c>
      <c r="AG572" s="259">
        <v>720530.41074454295</v>
      </c>
      <c r="AH572" s="259">
        <v>736347.18788262119</v>
      </c>
      <c r="AI572" s="259">
        <v>752772.80494206119</v>
      </c>
      <c r="AJ572" s="259">
        <v>321802.0905873669</v>
      </c>
      <c r="AK572" s="259">
        <v>327186.68085636973</v>
      </c>
      <c r="AL572" s="259">
        <v>24281.03146849</v>
      </c>
      <c r="AM572" s="259">
        <v>21305.348445750002</v>
      </c>
      <c r="AN572" s="259">
        <v>18329.665422999999</v>
      </c>
      <c r="AO572" s="259">
        <v>15353.982399299999</v>
      </c>
      <c r="AP572" s="259">
        <v>13173.12429046</v>
      </c>
      <c r="AQ572" s="259">
        <v>11257.207820879999</v>
      </c>
      <c r="AR572" s="259"/>
      <c r="AS572" s="259"/>
      <c r="AT572" s="259"/>
      <c r="AU572" s="259"/>
      <c r="AV572" s="259"/>
      <c r="AW572" s="259"/>
      <c r="AX572" s="259"/>
      <c r="AY572" s="259"/>
      <c r="AZ572" s="259"/>
      <c r="BA572" s="259"/>
      <c r="BB572" s="259"/>
      <c r="BC572" s="259"/>
      <c r="BD572" s="259"/>
      <c r="BE572" s="259"/>
      <c r="BF572" s="259"/>
      <c r="BG572" s="259"/>
      <c r="BH572" s="259"/>
      <c r="BI572" s="259"/>
      <c r="BJ572" s="259"/>
      <c r="BK572" s="259"/>
    </row>
    <row r="573" spans="1:63">
      <c r="A573" s="169"/>
      <c r="B573" s="307" t="str">
        <f>IF(SUM(F573:Z573)&gt;0,Servicio_internaColumna_título_total,"")</f>
        <v>Total</v>
      </c>
      <c r="C573" s="308"/>
      <c r="D573" s="309"/>
      <c r="E573" s="309"/>
      <c r="F573" s="309"/>
      <c r="G573" s="309"/>
      <c r="H573" s="309"/>
      <c r="I573" s="309"/>
      <c r="J573" s="309"/>
      <c r="K573" s="309"/>
      <c r="L573" s="309"/>
      <c r="M573" s="309"/>
      <c r="N573" s="309"/>
      <c r="O573" s="309"/>
      <c r="P573" s="309"/>
      <c r="Q573" s="309"/>
      <c r="R573" s="309">
        <f>R572+R571</f>
        <v>4296544.3708341196</v>
      </c>
      <c r="S573" s="309">
        <f t="shared" ref="S573:AP573" si="38">S572+S571</f>
        <v>44793579.874015912</v>
      </c>
      <c r="T573" s="309">
        <f t="shared" si="38"/>
        <v>34581770.776703328</v>
      </c>
      <c r="U573" s="309">
        <f t="shared" si="38"/>
        <v>36862482.267959893</v>
      </c>
      <c r="V573" s="309">
        <f t="shared" si="38"/>
        <v>31423431.053125575</v>
      </c>
      <c r="W573" s="309">
        <f t="shared" si="38"/>
        <v>24280484.49955716</v>
      </c>
      <c r="X573" s="309">
        <f t="shared" si="38"/>
        <v>28985136.762020402</v>
      </c>
      <c r="Y573" s="309">
        <f t="shared" si="38"/>
        <v>22507776.682058215</v>
      </c>
      <c r="Z573" s="309">
        <f t="shared" si="38"/>
        <v>34047434.207563378</v>
      </c>
      <c r="AA573" s="309">
        <f t="shared" si="38"/>
        <v>11442446.668928621</v>
      </c>
      <c r="AB573" s="309">
        <f t="shared" si="38"/>
        <v>23831604.097991064</v>
      </c>
      <c r="AC573" s="309">
        <f t="shared" si="38"/>
        <v>2719240.7190653267</v>
      </c>
      <c r="AD573" s="309">
        <f t="shared" si="38"/>
        <v>16537275.37830407</v>
      </c>
      <c r="AE573" s="309">
        <f t="shared" si="38"/>
        <v>1918620.1239271944</v>
      </c>
      <c r="AF573" s="309">
        <f t="shared" si="38"/>
        <v>17778009.50432625</v>
      </c>
      <c r="AG573" s="309">
        <f t="shared" si="38"/>
        <v>720530.41074454295</v>
      </c>
      <c r="AH573" s="309">
        <f t="shared" si="38"/>
        <v>736347.18788262119</v>
      </c>
      <c r="AI573" s="309">
        <f t="shared" si="38"/>
        <v>9394435.3059324622</v>
      </c>
      <c r="AJ573" s="309">
        <f t="shared" si="38"/>
        <v>321802.0905873669</v>
      </c>
      <c r="AK573" s="309">
        <f t="shared" si="38"/>
        <v>3874559.6079474697</v>
      </c>
      <c r="AL573" s="309">
        <f t="shared" si="38"/>
        <v>24281.03146849</v>
      </c>
      <c r="AM573" s="309">
        <f t="shared" si="38"/>
        <v>21305.348445750002</v>
      </c>
      <c r="AN573" s="309">
        <f t="shared" si="38"/>
        <v>18329.665422999999</v>
      </c>
      <c r="AO573" s="309">
        <f t="shared" si="38"/>
        <v>15353.982399299999</v>
      </c>
      <c r="AP573" s="309">
        <f t="shared" si="38"/>
        <v>13173.12429046</v>
      </c>
      <c r="AQ573" s="309">
        <f>AQ572+AQ571</f>
        <v>11257.207820879999</v>
      </c>
      <c r="AR573" s="309"/>
      <c r="AS573" s="309"/>
      <c r="AT573" s="309"/>
      <c r="AU573" s="309"/>
      <c r="AV573" s="309"/>
      <c r="AW573" s="309"/>
      <c r="AX573" s="309"/>
      <c r="AY573" s="309"/>
      <c r="AZ573" s="309"/>
      <c r="BA573" s="309"/>
      <c r="BB573" s="309"/>
      <c r="BC573" s="309"/>
      <c r="BD573" s="309"/>
      <c r="BE573" s="309"/>
      <c r="BF573" s="309"/>
      <c r="BG573" s="309"/>
      <c r="BH573" s="309"/>
      <c r="BI573" s="309"/>
      <c r="BJ573" s="309"/>
      <c r="BK573" s="309"/>
    </row>
    <row r="574" spans="1:63">
      <c r="A574" s="167"/>
      <c r="B574" s="210" t="str">
        <f>IF(SUM(F574:Z574)&gt;0,Servicio_internaColumna_título_amortizaciones,"")</f>
        <v>Amortizaciones</v>
      </c>
      <c r="C574" s="254"/>
      <c r="D574" s="255"/>
      <c r="E574" s="255"/>
      <c r="F574" s="255"/>
      <c r="G574" s="255"/>
      <c r="H574" s="255"/>
      <c r="I574" s="255"/>
      <c r="J574" s="255"/>
      <c r="K574" s="255"/>
      <c r="L574" s="255"/>
      <c r="M574" s="255"/>
      <c r="N574" s="255"/>
      <c r="O574" s="255"/>
      <c r="P574" s="255"/>
      <c r="Q574" s="255"/>
      <c r="R574" s="255">
        <v>2688164.9256572798</v>
      </c>
      <c r="S574" s="255">
        <v>31351436.082861997</v>
      </c>
      <c r="T574" s="255">
        <v>19911481.859999999</v>
      </c>
      <c r="U574" s="255">
        <v>23605334.412969999</v>
      </c>
      <c r="V574" s="255">
        <v>19472940.031999998</v>
      </c>
      <c r="W574" s="255">
        <v>14454764.45651488</v>
      </c>
      <c r="X574" s="255">
        <v>20040830.801578958</v>
      </c>
      <c r="Y574" s="255">
        <v>14483514.015200116</v>
      </c>
      <c r="Z574" s="255">
        <v>26889987.199999999</v>
      </c>
      <c r="AA574" s="255">
        <v>7096184.1154739996</v>
      </c>
      <c r="AB574" s="255">
        <v>19807999.300000001</v>
      </c>
      <c r="AC574" s="255">
        <v>0</v>
      </c>
      <c r="AD574" s="255">
        <v>13804481</v>
      </c>
      <c r="AE574" s="255">
        <v>0</v>
      </c>
      <c r="AF574" s="255">
        <v>16101737.6</v>
      </c>
      <c r="AG574" s="255">
        <v>0</v>
      </c>
      <c r="AH574" s="255">
        <v>0</v>
      </c>
      <c r="AI574" s="255">
        <v>8625596.9629760012</v>
      </c>
      <c r="AJ574" s="255">
        <v>0</v>
      </c>
      <c r="AK574" s="255">
        <v>3657186.718634</v>
      </c>
      <c r="AL574" s="255">
        <v>0</v>
      </c>
      <c r="AM574" s="255">
        <v>0</v>
      </c>
      <c r="AN574" s="255">
        <v>0</v>
      </c>
      <c r="AO574" s="255">
        <v>0</v>
      </c>
      <c r="AP574" s="255">
        <v>0</v>
      </c>
      <c r="AQ574" s="255">
        <v>0</v>
      </c>
      <c r="AR574" s="255"/>
      <c r="AS574" s="255"/>
      <c r="AT574" s="255"/>
      <c r="AU574" s="255"/>
      <c r="AV574" s="255"/>
      <c r="AW574" s="255"/>
      <c r="AX574" s="255"/>
      <c r="AY574" s="255"/>
      <c r="AZ574" s="255"/>
      <c r="BA574" s="255"/>
      <c r="BB574" s="255"/>
      <c r="BC574" s="255"/>
      <c r="BD574" s="255"/>
      <c r="BE574" s="255"/>
      <c r="BF574" s="255"/>
      <c r="BG574" s="255"/>
      <c r="BH574" s="255"/>
      <c r="BI574" s="255"/>
      <c r="BJ574" s="255"/>
      <c r="BK574" s="255"/>
    </row>
    <row r="575" spans="1:63">
      <c r="A575" s="168">
        <v>42674</v>
      </c>
      <c r="B575" s="213" t="str">
        <f>IF(SUM(F575:Z575)&gt;0,Servicio_internaColumna_título_intereses,"")</f>
        <v>Intereses</v>
      </c>
      <c r="C575" s="256"/>
      <c r="D575" s="257"/>
      <c r="E575" s="257"/>
      <c r="F575" s="257"/>
      <c r="G575" s="257"/>
      <c r="H575" s="257"/>
      <c r="I575" s="257"/>
      <c r="J575" s="257"/>
      <c r="K575" s="257"/>
      <c r="L575" s="257"/>
      <c r="M575" s="257"/>
      <c r="N575" s="257"/>
      <c r="O575" s="257"/>
      <c r="P575" s="257"/>
      <c r="Q575" s="257"/>
      <c r="R575" s="257">
        <v>511628.625</v>
      </c>
      <c r="S575" s="257">
        <v>15213265.926373154</v>
      </c>
      <c r="T575" s="257">
        <v>14743188.191756949</v>
      </c>
      <c r="U575" s="258">
        <v>13312199.301753983</v>
      </c>
      <c r="V575" s="258">
        <v>12024362.393302251</v>
      </c>
      <c r="W575" s="258">
        <v>9941982.492815556</v>
      </c>
      <c r="X575" s="258">
        <v>9400191.208025204</v>
      </c>
      <c r="Y575" s="258">
        <v>8042707.5990224807</v>
      </c>
      <c r="Z575" s="258">
        <v>7203281.1408624314</v>
      </c>
      <c r="AA575" s="258">
        <v>4536118.7979083462</v>
      </c>
      <c r="AB575" s="258">
        <v>4219287.0794545291</v>
      </c>
      <c r="AC575" s="258">
        <v>2746942.3219727003</v>
      </c>
      <c r="AD575" s="259">
        <v>2760729.5042986646</v>
      </c>
      <c r="AE575" s="259">
        <v>1946795.7787016269</v>
      </c>
      <c r="AF575" s="259">
        <v>1961695.3037439166</v>
      </c>
      <c r="AG575" s="259">
        <v>729291.48714473844</v>
      </c>
      <c r="AH575" s="259">
        <v>745371.09657482256</v>
      </c>
      <c r="AI575" s="259">
        <v>762067.43089502957</v>
      </c>
      <c r="AJ575" s="259">
        <v>331375.55531892332</v>
      </c>
      <c r="AK575" s="259">
        <v>337047.34952987247</v>
      </c>
      <c r="AL575" s="259">
        <v>24281.03146849</v>
      </c>
      <c r="AM575" s="259">
        <v>21305.348445750002</v>
      </c>
      <c r="AN575" s="259">
        <v>18329.665422999999</v>
      </c>
      <c r="AO575" s="259">
        <v>15353.982399299999</v>
      </c>
      <c r="AP575" s="259">
        <v>13173.12429046</v>
      </c>
      <c r="AQ575" s="259">
        <v>11257.207820879999</v>
      </c>
      <c r="AR575" s="259"/>
      <c r="AS575" s="259"/>
      <c r="AT575" s="259"/>
      <c r="AU575" s="259"/>
      <c r="AV575" s="259"/>
      <c r="AW575" s="259"/>
      <c r="AX575" s="259"/>
      <c r="AY575" s="259"/>
      <c r="AZ575" s="259"/>
      <c r="BA575" s="259"/>
      <c r="BB575" s="259"/>
      <c r="BC575" s="259"/>
      <c r="BD575" s="259"/>
      <c r="BE575" s="259"/>
      <c r="BF575" s="259"/>
      <c r="BG575" s="259"/>
      <c r="BH575" s="259"/>
      <c r="BI575" s="259"/>
      <c r="BJ575" s="259"/>
      <c r="BK575" s="259"/>
    </row>
    <row r="576" spans="1:63">
      <c r="A576" s="169"/>
      <c r="B576" s="307" t="str">
        <f>IF(SUM(F576:Z576)&gt;0,Servicio_internaColumna_título_total,"")</f>
        <v>Total</v>
      </c>
      <c r="C576" s="308"/>
      <c r="D576" s="309"/>
      <c r="E576" s="309"/>
      <c r="F576" s="309"/>
      <c r="G576" s="309"/>
      <c r="H576" s="309"/>
      <c r="I576" s="309"/>
      <c r="J576" s="309"/>
      <c r="K576" s="309"/>
      <c r="L576" s="309"/>
      <c r="M576" s="309"/>
      <c r="N576" s="309"/>
      <c r="O576" s="309"/>
      <c r="P576" s="309"/>
      <c r="Q576" s="309"/>
      <c r="R576" s="309">
        <f>R575+R574</f>
        <v>3199793.5506572798</v>
      </c>
      <c r="S576" s="309">
        <f t="shared" ref="S576:AP576" si="39">S575+S574</f>
        <v>46564702.009235151</v>
      </c>
      <c r="T576" s="309">
        <f t="shared" si="39"/>
        <v>34654670.051756948</v>
      </c>
      <c r="U576" s="309">
        <f t="shared" si="39"/>
        <v>36917533.714723982</v>
      </c>
      <c r="V576" s="309">
        <f t="shared" si="39"/>
        <v>31497302.425302248</v>
      </c>
      <c r="W576" s="309">
        <f t="shared" si="39"/>
        <v>24396746.949330434</v>
      </c>
      <c r="X576" s="309">
        <f t="shared" si="39"/>
        <v>29441022.009604163</v>
      </c>
      <c r="Y576" s="309">
        <f t="shared" si="39"/>
        <v>22526221.614222597</v>
      </c>
      <c r="Z576" s="309">
        <f t="shared" si="39"/>
        <v>34093268.340862431</v>
      </c>
      <c r="AA576" s="309">
        <f t="shared" si="39"/>
        <v>11632302.913382346</v>
      </c>
      <c r="AB576" s="309">
        <f t="shared" si="39"/>
        <v>24027286.379454531</v>
      </c>
      <c r="AC576" s="309">
        <f t="shared" si="39"/>
        <v>2746942.3219727003</v>
      </c>
      <c r="AD576" s="309">
        <f t="shared" si="39"/>
        <v>16565210.504298665</v>
      </c>
      <c r="AE576" s="309">
        <f t="shared" si="39"/>
        <v>1946795.7787016269</v>
      </c>
      <c r="AF576" s="309">
        <f t="shared" si="39"/>
        <v>18063432.903743915</v>
      </c>
      <c r="AG576" s="309">
        <f t="shared" si="39"/>
        <v>729291.48714473844</v>
      </c>
      <c r="AH576" s="309">
        <f t="shared" si="39"/>
        <v>745371.09657482256</v>
      </c>
      <c r="AI576" s="309">
        <f t="shared" si="39"/>
        <v>9387664.3938710317</v>
      </c>
      <c r="AJ576" s="309">
        <f t="shared" si="39"/>
        <v>331375.55531892332</v>
      </c>
      <c r="AK576" s="309">
        <f t="shared" si="39"/>
        <v>3994234.0681638727</v>
      </c>
      <c r="AL576" s="309">
        <f t="shared" si="39"/>
        <v>24281.03146849</v>
      </c>
      <c r="AM576" s="309">
        <f t="shared" si="39"/>
        <v>21305.348445750002</v>
      </c>
      <c r="AN576" s="309">
        <f t="shared" si="39"/>
        <v>18329.665422999999</v>
      </c>
      <c r="AO576" s="309">
        <f t="shared" si="39"/>
        <v>15353.982399299999</v>
      </c>
      <c r="AP576" s="309">
        <f t="shared" si="39"/>
        <v>13173.12429046</v>
      </c>
      <c r="AQ576" s="309">
        <f>AQ575+AQ574</f>
        <v>11257.207820879999</v>
      </c>
      <c r="AR576" s="309"/>
      <c r="AS576" s="309"/>
      <c r="AT576" s="309"/>
      <c r="AU576" s="309"/>
      <c r="AV576" s="309"/>
      <c r="AW576" s="309"/>
      <c r="AX576" s="309"/>
      <c r="AY576" s="309"/>
      <c r="AZ576" s="309"/>
      <c r="BA576" s="309"/>
      <c r="BB576" s="309"/>
      <c r="BC576" s="309"/>
      <c r="BD576" s="309"/>
      <c r="BE576" s="309"/>
      <c r="BF576" s="309"/>
      <c r="BG576" s="309"/>
      <c r="BH576" s="309"/>
      <c r="BI576" s="309"/>
      <c r="BJ576" s="309"/>
      <c r="BK576" s="309"/>
    </row>
    <row r="577" spans="1:63">
      <c r="A577" s="167"/>
      <c r="B577" s="210" t="str">
        <f>IF(SUM(F577:Z577)&gt;0,Servicio_internaColumna_título_amortizaciones,"")</f>
        <v>Amortizaciones</v>
      </c>
      <c r="C577" s="254"/>
      <c r="D577" s="255"/>
      <c r="E577" s="255"/>
      <c r="F577" s="255"/>
      <c r="G577" s="255"/>
      <c r="H577" s="255"/>
      <c r="I577" s="255"/>
      <c r="J577" s="255"/>
      <c r="K577" s="255"/>
      <c r="L577" s="255"/>
      <c r="M577" s="255"/>
      <c r="N577" s="255"/>
      <c r="O577" s="255"/>
      <c r="P577" s="255"/>
      <c r="Q577" s="255"/>
      <c r="R577" s="255">
        <v>2688148.0379234497</v>
      </c>
      <c r="S577" s="255">
        <v>32094538.270643398</v>
      </c>
      <c r="T577" s="255">
        <v>19574650.859999999</v>
      </c>
      <c r="U577" s="255">
        <v>23599989.597739</v>
      </c>
      <c r="V577" s="255">
        <v>19472940.031999998</v>
      </c>
      <c r="W577" s="255">
        <v>14575465.88601828</v>
      </c>
      <c r="X577" s="255">
        <v>20793602.801578958</v>
      </c>
      <c r="Y577" s="255">
        <v>14475666.623494769</v>
      </c>
      <c r="Z577" s="255">
        <v>26889987.199999999</v>
      </c>
      <c r="AA577" s="255">
        <v>7364779.1654111994</v>
      </c>
      <c r="AB577" s="255">
        <v>20334013.199999999</v>
      </c>
      <c r="AC577" s="255">
        <v>0</v>
      </c>
      <c r="AD577" s="255">
        <v>13804481</v>
      </c>
      <c r="AE577" s="255">
        <v>0</v>
      </c>
      <c r="AF577" s="255">
        <v>16676086.1</v>
      </c>
      <c r="AG577" s="255">
        <v>0</v>
      </c>
      <c r="AH577" s="255">
        <v>0</v>
      </c>
      <c r="AI577" s="255">
        <v>8620923.4812512007</v>
      </c>
      <c r="AJ577" s="255">
        <v>0</v>
      </c>
      <c r="AK577" s="255">
        <v>3902046.3792905998</v>
      </c>
      <c r="AL577" s="255">
        <v>0</v>
      </c>
      <c r="AM577" s="255">
        <v>0</v>
      </c>
      <c r="AN577" s="255">
        <v>0</v>
      </c>
      <c r="AO577" s="255">
        <v>0</v>
      </c>
      <c r="AP577" s="255">
        <v>0</v>
      </c>
      <c r="AQ577" s="255">
        <v>0</v>
      </c>
      <c r="AR577" s="255"/>
      <c r="AS577" s="255"/>
      <c r="AT577" s="255"/>
      <c r="AU577" s="255"/>
      <c r="AV577" s="255"/>
      <c r="AW577" s="255"/>
      <c r="AX577" s="255"/>
      <c r="AY577" s="255"/>
      <c r="AZ577" s="255"/>
      <c r="BA577" s="255"/>
      <c r="BB577" s="255"/>
      <c r="BC577" s="255"/>
      <c r="BD577" s="255"/>
      <c r="BE577" s="255"/>
      <c r="BF577" s="255"/>
      <c r="BG577" s="255"/>
      <c r="BH577" s="255"/>
      <c r="BI577" s="255"/>
      <c r="BJ577" s="255"/>
      <c r="BK577" s="255"/>
    </row>
    <row r="578" spans="1:63">
      <c r="A578" s="168">
        <v>42704</v>
      </c>
      <c r="B578" s="213" t="str">
        <f>IF(SUM(F578:Z578)&gt;0,Servicio_internaColumna_título_intereses,"")</f>
        <v>Intereses</v>
      </c>
      <c r="C578" s="256"/>
      <c r="D578" s="257"/>
      <c r="E578" s="257"/>
      <c r="F578" s="257"/>
      <c r="G578" s="257"/>
      <c r="H578" s="257"/>
      <c r="I578" s="257"/>
      <c r="J578" s="257"/>
      <c r="K578" s="257"/>
      <c r="L578" s="257"/>
      <c r="M578" s="257"/>
      <c r="N578" s="257"/>
      <c r="O578" s="257"/>
      <c r="P578" s="257"/>
      <c r="Q578" s="257"/>
      <c r="R578" s="257">
        <v>0</v>
      </c>
      <c r="S578" s="257">
        <v>15292705.505266901</v>
      </c>
      <c r="T578" s="257">
        <v>14840193.589385284</v>
      </c>
      <c r="U578" s="258">
        <v>13447050.86704931</v>
      </c>
      <c r="V578" s="258">
        <v>12163999.904417727</v>
      </c>
      <c r="W578" s="258">
        <v>10081709.416526997</v>
      </c>
      <c r="X578" s="258">
        <v>9542005.8484959137</v>
      </c>
      <c r="Y578" s="258">
        <v>8131982.9259698102</v>
      </c>
      <c r="Z578" s="258">
        <v>7303570.6522819661</v>
      </c>
      <c r="AA578" s="258">
        <v>4636898.1031329697</v>
      </c>
      <c r="AB578" s="258">
        <v>4311848.3062818265</v>
      </c>
      <c r="AC578" s="258">
        <v>2800310.4515673141</v>
      </c>
      <c r="AD578" s="259">
        <v>2814363.3175186161</v>
      </c>
      <c r="AE578" s="259">
        <v>2000703.2460556775</v>
      </c>
      <c r="AF578" s="259">
        <v>2015884.634856089</v>
      </c>
      <c r="AG578" s="259">
        <v>739259.12917777593</v>
      </c>
      <c r="AH578" s="259">
        <v>755637.7678688512</v>
      </c>
      <c r="AI578" s="259">
        <v>772642.10232787859</v>
      </c>
      <c r="AJ578" s="259">
        <v>347754.50004442601</v>
      </c>
      <c r="AK578" s="259">
        <v>353917.66259714059</v>
      </c>
      <c r="AL578" s="259">
        <v>24281.03146849</v>
      </c>
      <c r="AM578" s="259">
        <v>21305.348445750002</v>
      </c>
      <c r="AN578" s="259">
        <v>18329.665422999999</v>
      </c>
      <c r="AO578" s="259">
        <v>15353.982399299999</v>
      </c>
      <c r="AP578" s="259">
        <v>13173.12429046</v>
      </c>
      <c r="AQ578" s="259">
        <v>11257.207820879999</v>
      </c>
      <c r="AR578" s="259"/>
      <c r="AS578" s="259"/>
      <c r="AT578" s="259"/>
      <c r="AU578" s="259"/>
      <c r="AV578" s="259"/>
      <c r="AW578" s="259"/>
      <c r="AX578" s="259"/>
      <c r="AY578" s="259"/>
      <c r="AZ578" s="259"/>
      <c r="BA578" s="259"/>
      <c r="BB578" s="259"/>
      <c r="BC578" s="259"/>
      <c r="BD578" s="259"/>
      <c r="BE578" s="259"/>
      <c r="BF578" s="259"/>
      <c r="BG578" s="259"/>
      <c r="BH578" s="259"/>
      <c r="BI578" s="259"/>
      <c r="BJ578" s="259"/>
      <c r="BK578" s="259"/>
    </row>
    <row r="579" spans="1:63">
      <c r="A579" s="169"/>
      <c r="B579" s="307" t="str">
        <f>IF(SUM(F579:Z579)&gt;0,Servicio_internaColumna_título_total,"")</f>
        <v>Total</v>
      </c>
      <c r="C579" s="308"/>
      <c r="D579" s="309"/>
      <c r="E579" s="309"/>
      <c r="F579" s="309"/>
      <c r="G579" s="309"/>
      <c r="H579" s="309"/>
      <c r="I579" s="309"/>
      <c r="J579" s="309"/>
      <c r="K579" s="309"/>
      <c r="L579" s="309"/>
      <c r="M579" s="309"/>
      <c r="N579" s="309"/>
      <c r="O579" s="309"/>
      <c r="P579" s="309"/>
      <c r="Q579" s="309"/>
      <c r="R579" s="309">
        <f>R578+R577</f>
        <v>2688148.0379234497</v>
      </c>
      <c r="S579" s="309">
        <f t="shared" ref="S579:AP579" si="40">S578+S577</f>
        <v>47387243.775910303</v>
      </c>
      <c r="T579" s="309">
        <f t="shared" si="40"/>
        <v>34414844.449385285</v>
      </c>
      <c r="U579" s="309">
        <f t="shared" si="40"/>
        <v>37047040.46478831</v>
      </c>
      <c r="V579" s="309">
        <f t="shared" si="40"/>
        <v>31636939.936417725</v>
      </c>
      <c r="W579" s="309">
        <f t="shared" si="40"/>
        <v>24657175.302545279</v>
      </c>
      <c r="X579" s="309">
        <f t="shared" si="40"/>
        <v>30335608.650074869</v>
      </c>
      <c r="Y579" s="309">
        <f t="shared" si="40"/>
        <v>22607649.54946458</v>
      </c>
      <c r="Z579" s="309">
        <f t="shared" si="40"/>
        <v>34193557.852281965</v>
      </c>
      <c r="AA579" s="309">
        <f t="shared" si="40"/>
        <v>12001677.268544169</v>
      </c>
      <c r="AB579" s="309">
        <f t="shared" si="40"/>
        <v>24645861.506281827</v>
      </c>
      <c r="AC579" s="309">
        <f t="shared" si="40"/>
        <v>2800310.4515673141</v>
      </c>
      <c r="AD579" s="309">
        <f t="shared" si="40"/>
        <v>16618844.317518616</v>
      </c>
      <c r="AE579" s="309">
        <f t="shared" si="40"/>
        <v>2000703.2460556775</v>
      </c>
      <c r="AF579" s="309">
        <f t="shared" si="40"/>
        <v>18691970.734856088</v>
      </c>
      <c r="AG579" s="309">
        <f t="shared" si="40"/>
        <v>739259.12917777593</v>
      </c>
      <c r="AH579" s="309">
        <f t="shared" si="40"/>
        <v>755637.7678688512</v>
      </c>
      <c r="AI579" s="309">
        <f t="shared" si="40"/>
        <v>9393565.5835790783</v>
      </c>
      <c r="AJ579" s="309">
        <f t="shared" si="40"/>
        <v>347754.50004442601</v>
      </c>
      <c r="AK579" s="309">
        <f t="shared" si="40"/>
        <v>4255964.0418877406</v>
      </c>
      <c r="AL579" s="309">
        <f t="shared" si="40"/>
        <v>24281.03146849</v>
      </c>
      <c r="AM579" s="309">
        <f t="shared" si="40"/>
        <v>21305.348445750002</v>
      </c>
      <c r="AN579" s="309">
        <f t="shared" si="40"/>
        <v>18329.665422999999</v>
      </c>
      <c r="AO579" s="309">
        <f t="shared" si="40"/>
        <v>15353.982399299999</v>
      </c>
      <c r="AP579" s="309">
        <f t="shared" si="40"/>
        <v>13173.12429046</v>
      </c>
      <c r="AQ579" s="309">
        <f>AQ578+AQ577</f>
        <v>11257.207820879999</v>
      </c>
      <c r="AR579" s="309"/>
      <c r="AS579" s="309"/>
      <c r="AT579" s="309"/>
      <c r="AU579" s="309"/>
      <c r="AV579" s="309"/>
      <c r="AW579" s="309"/>
      <c r="AX579" s="309"/>
      <c r="AY579" s="309"/>
      <c r="AZ579" s="309"/>
      <c r="BA579" s="309"/>
      <c r="BB579" s="309"/>
      <c r="BC579" s="309"/>
      <c r="BD579" s="309"/>
      <c r="BE579" s="309"/>
      <c r="BF579" s="309"/>
      <c r="BG579" s="309"/>
      <c r="BH579" s="309"/>
      <c r="BI579" s="309"/>
      <c r="BJ579" s="309"/>
      <c r="BK579" s="309"/>
    </row>
    <row r="580" spans="1:63">
      <c r="A580" s="167"/>
      <c r="B580" s="210" t="str">
        <f>IF(SUM(F580:Z580)&gt;0,Servicio_internaColumna_título_amortizaciones,"")</f>
        <v>Amortizaciones</v>
      </c>
      <c r="C580" s="254"/>
      <c r="D580" s="255"/>
      <c r="E580" s="255"/>
      <c r="F580" s="255"/>
      <c r="G580" s="255"/>
      <c r="H580" s="255"/>
      <c r="I580" s="255"/>
      <c r="J580" s="255"/>
      <c r="K580" s="255"/>
      <c r="L580" s="255"/>
      <c r="M580" s="255"/>
      <c r="N580" s="255"/>
      <c r="O580" s="255"/>
      <c r="P580" s="255"/>
      <c r="Q580" s="255"/>
      <c r="R580" s="255"/>
      <c r="S580" s="255">
        <v>32185578.693423443</v>
      </c>
      <c r="T580" s="255">
        <v>19323040.2421</v>
      </c>
      <c r="U580" s="255">
        <v>23602621.329439502</v>
      </c>
      <c r="V580" s="255">
        <v>19472940.031999998</v>
      </c>
      <c r="W580" s="255">
        <v>14491343.2444447</v>
      </c>
      <c r="X580" s="255">
        <v>21293725.88927288</v>
      </c>
      <c r="Y580" s="255">
        <v>14479614.19952834</v>
      </c>
      <c r="Z580" s="255">
        <v>26889987.199999999</v>
      </c>
      <c r="AA580" s="255">
        <v>7532821.7541485997</v>
      </c>
      <c r="AB580" s="255">
        <v>20439513.199999999</v>
      </c>
      <c r="AC580" s="255">
        <v>0</v>
      </c>
      <c r="AD580" s="255">
        <v>13804481</v>
      </c>
      <c r="AE580" s="255">
        <v>0</v>
      </c>
      <c r="AF580" s="255">
        <v>16830586.100000001</v>
      </c>
      <c r="AG580" s="255">
        <v>0</v>
      </c>
      <c r="AH580" s="255">
        <v>0</v>
      </c>
      <c r="AI580" s="255">
        <v>8623224.6552816015</v>
      </c>
      <c r="AJ580" s="255">
        <v>0</v>
      </c>
      <c r="AK580" s="255">
        <v>4046134.2154232999</v>
      </c>
      <c r="AL580" s="255">
        <v>0</v>
      </c>
      <c r="AM580" s="255">
        <v>0</v>
      </c>
      <c r="AN580" s="255">
        <v>0</v>
      </c>
      <c r="AO580" s="255">
        <v>0</v>
      </c>
      <c r="AP580" s="255">
        <v>0</v>
      </c>
      <c r="AQ580" s="255">
        <v>0</v>
      </c>
      <c r="AR580" s="255">
        <v>0</v>
      </c>
      <c r="AS580" s="255"/>
      <c r="AT580" s="255"/>
      <c r="AU580" s="255"/>
      <c r="AV580" s="255"/>
      <c r="AW580" s="255"/>
      <c r="AX580" s="255"/>
      <c r="AY580" s="255"/>
      <c r="AZ580" s="255"/>
      <c r="BA580" s="255"/>
      <c r="BB580" s="255"/>
      <c r="BC580" s="255"/>
      <c r="BD580" s="255"/>
      <c r="BE580" s="255"/>
      <c r="BF580" s="255"/>
      <c r="BG580" s="255"/>
      <c r="BH580" s="255"/>
      <c r="BI580" s="255"/>
      <c r="BJ580" s="255"/>
      <c r="BK580" s="255"/>
    </row>
    <row r="581" spans="1:63">
      <c r="A581" s="168">
        <v>42735</v>
      </c>
      <c r="B581" s="213" t="str">
        <f>IF(SUM(F581:Z581)&gt;0,Servicio_internaColumna_título_intereses,"")</f>
        <v>Intereses</v>
      </c>
      <c r="C581" s="256"/>
      <c r="D581" s="257"/>
      <c r="E581" s="257"/>
      <c r="F581" s="257"/>
      <c r="G581" s="257"/>
      <c r="H581" s="257"/>
      <c r="I581" s="257"/>
      <c r="J581" s="257"/>
      <c r="K581" s="257"/>
      <c r="L581" s="257"/>
      <c r="M581" s="257"/>
      <c r="N581" s="257"/>
      <c r="O581" s="257"/>
      <c r="P581" s="257"/>
      <c r="Q581" s="257"/>
      <c r="R581" s="257"/>
      <c r="S581" s="257">
        <v>15402249.125388198</v>
      </c>
      <c r="T581" s="257">
        <v>14961827.040583182</v>
      </c>
      <c r="U581" s="258">
        <v>13501051.115374917</v>
      </c>
      <c r="V581" s="258">
        <v>12217891.398675242</v>
      </c>
      <c r="W581" s="258">
        <v>10136391.737164518</v>
      </c>
      <c r="X581" s="258">
        <v>9588821.6268123239</v>
      </c>
      <c r="Y581" s="258">
        <v>8162598.9050492384</v>
      </c>
      <c r="Z581" s="258">
        <v>7332704.0040483577</v>
      </c>
      <c r="AA581" s="258">
        <v>4666577.5411668448</v>
      </c>
      <c r="AB581" s="258">
        <v>4333397.1308742166</v>
      </c>
      <c r="AC581" s="258">
        <v>2814265.3266119431</v>
      </c>
      <c r="AD581" s="259">
        <v>2828646.299529043</v>
      </c>
      <c r="AE581" s="259">
        <v>2015324.1782409179</v>
      </c>
      <c r="AF581" s="259">
        <v>2030853.6557213892</v>
      </c>
      <c r="AG581" s="259">
        <v>742612.9313834901</v>
      </c>
      <c r="AH581" s="259">
        <v>759360.85735518613</v>
      </c>
      <c r="AI581" s="259">
        <v>777872.21062722406</v>
      </c>
      <c r="AJ581" s="259">
        <v>353829.92464209959</v>
      </c>
      <c r="AK581" s="259">
        <v>360740.70841456781</v>
      </c>
      <c r="AL581" s="259">
        <v>18329.665422999999</v>
      </c>
      <c r="AM581" s="259">
        <v>15353.982399299999</v>
      </c>
      <c r="AN581" s="259">
        <v>13173.12429046</v>
      </c>
      <c r="AO581" s="259">
        <v>11257.207820879999</v>
      </c>
      <c r="AP581" s="259">
        <v>9341.2913513000003</v>
      </c>
      <c r="AQ581" s="259">
        <v>7425.3748817100004</v>
      </c>
      <c r="AR581" s="259">
        <v>5509.4584121299995</v>
      </c>
      <c r="AS581" s="259"/>
      <c r="AT581" s="259"/>
      <c r="AU581" s="259"/>
      <c r="AV581" s="259"/>
      <c r="AW581" s="259"/>
      <c r="AX581" s="259"/>
      <c r="AY581" s="259"/>
      <c r="AZ581" s="259"/>
      <c r="BA581" s="259"/>
      <c r="BB581" s="259"/>
      <c r="BC581" s="259"/>
      <c r="BD581" s="259"/>
      <c r="BE581" s="259"/>
      <c r="BF581" s="259"/>
      <c r="BG581" s="259"/>
      <c r="BH581" s="259"/>
      <c r="BI581" s="259"/>
      <c r="BJ581" s="259"/>
      <c r="BK581" s="259"/>
    </row>
    <row r="582" spans="1:63">
      <c r="A582" s="169"/>
      <c r="B582" s="307" t="str">
        <f>IF(SUM(F582:Z582)&gt;0,Servicio_internaColumna_título_total,"")</f>
        <v>Total</v>
      </c>
      <c r="C582" s="308"/>
      <c r="D582" s="309"/>
      <c r="E582" s="309"/>
      <c r="F582" s="309"/>
      <c r="G582" s="309"/>
      <c r="H582" s="309"/>
      <c r="I582" s="309"/>
      <c r="J582" s="309"/>
      <c r="K582" s="309"/>
      <c r="L582" s="309"/>
      <c r="M582" s="309"/>
      <c r="N582" s="309"/>
      <c r="O582" s="309"/>
      <c r="P582" s="309"/>
      <c r="Q582" s="309"/>
      <c r="R582" s="309"/>
      <c r="S582" s="309">
        <f t="shared" ref="S582:AP582" si="41">S581+S580</f>
        <v>47587827.81881164</v>
      </c>
      <c r="T582" s="309">
        <f t="shared" si="41"/>
        <v>34284867.282683179</v>
      </c>
      <c r="U582" s="309">
        <f t="shared" si="41"/>
        <v>37103672.444814421</v>
      </c>
      <c r="V582" s="309">
        <f t="shared" si="41"/>
        <v>31690831.430675238</v>
      </c>
      <c r="W582" s="309">
        <f t="shared" si="41"/>
        <v>24627734.981609218</v>
      </c>
      <c r="X582" s="309">
        <f t="shared" si="41"/>
        <v>30882547.516085204</v>
      </c>
      <c r="Y582" s="309">
        <f t="shared" si="41"/>
        <v>22642213.104577579</v>
      </c>
      <c r="Z582" s="309">
        <f t="shared" si="41"/>
        <v>34222691.204048358</v>
      </c>
      <c r="AA582" s="309">
        <f t="shared" si="41"/>
        <v>12199399.295315444</v>
      </c>
      <c r="AB582" s="309">
        <f t="shared" si="41"/>
        <v>24772910.330874216</v>
      </c>
      <c r="AC582" s="309">
        <f t="shared" si="41"/>
        <v>2814265.3266119431</v>
      </c>
      <c r="AD582" s="309">
        <f t="shared" si="41"/>
        <v>16633127.299529042</v>
      </c>
      <c r="AE582" s="309">
        <f t="shared" si="41"/>
        <v>2015324.1782409179</v>
      </c>
      <c r="AF582" s="309">
        <f t="shared" si="41"/>
        <v>18861439.75572139</v>
      </c>
      <c r="AG582" s="309">
        <f t="shared" si="41"/>
        <v>742612.9313834901</v>
      </c>
      <c r="AH582" s="309">
        <f t="shared" si="41"/>
        <v>759360.85735518613</v>
      </c>
      <c r="AI582" s="309">
        <f t="shared" si="41"/>
        <v>9401096.8659088258</v>
      </c>
      <c r="AJ582" s="309">
        <f t="shared" si="41"/>
        <v>353829.92464209959</v>
      </c>
      <c r="AK582" s="309">
        <f t="shared" si="41"/>
        <v>4406874.9238378676</v>
      </c>
      <c r="AL582" s="309">
        <f t="shared" si="41"/>
        <v>18329.665422999999</v>
      </c>
      <c r="AM582" s="309">
        <f t="shared" si="41"/>
        <v>15353.982399299999</v>
      </c>
      <c r="AN582" s="309">
        <f t="shared" si="41"/>
        <v>13173.12429046</v>
      </c>
      <c r="AO582" s="309">
        <f t="shared" si="41"/>
        <v>11257.207820879999</v>
      </c>
      <c r="AP582" s="309">
        <f t="shared" si="41"/>
        <v>9341.2913513000003</v>
      </c>
      <c r="AQ582" s="309">
        <f>AQ581+AQ580</f>
        <v>7425.3748817100004</v>
      </c>
      <c r="AR582" s="309">
        <f>AR581+AR580</f>
        <v>5509.4584121299995</v>
      </c>
      <c r="AS582" s="309"/>
      <c r="AT582" s="309"/>
      <c r="AU582" s="309"/>
      <c r="AV582" s="309"/>
      <c r="AW582" s="309"/>
      <c r="AX582" s="309"/>
      <c r="AY582" s="309"/>
      <c r="AZ582" s="309"/>
      <c r="BA582" s="309"/>
      <c r="BB582" s="309"/>
      <c r="BC582" s="309"/>
      <c r="BD582" s="309"/>
      <c r="BE582" s="309"/>
      <c r="BF582" s="309"/>
      <c r="BG582" s="309"/>
      <c r="BH582" s="309"/>
      <c r="BI582" s="309"/>
      <c r="BJ582" s="309"/>
      <c r="BK582" s="309"/>
    </row>
    <row r="583" spans="1:63">
      <c r="A583" s="167"/>
      <c r="B583" s="210" t="str">
        <f>IF(SUM(F583:Z583)&gt;0,Servicio_internaColumna_título_amortizaciones,"")</f>
        <v>Amortizaciones</v>
      </c>
      <c r="C583" s="254"/>
      <c r="D583" s="255"/>
      <c r="E583" s="255"/>
      <c r="F583" s="255"/>
      <c r="G583" s="255"/>
      <c r="H583" s="255"/>
      <c r="I583" s="255"/>
      <c r="J583" s="255"/>
      <c r="K583" s="255"/>
      <c r="L583" s="255"/>
      <c r="M583" s="255"/>
      <c r="N583" s="255"/>
      <c r="O583" s="255"/>
      <c r="P583" s="255"/>
      <c r="Q583" s="255"/>
      <c r="R583" s="255"/>
      <c r="S583" s="255">
        <v>29208394.670556139</v>
      </c>
      <c r="T583" s="255">
        <v>19047610.784385003</v>
      </c>
      <c r="U583" s="255">
        <v>23629241.230623998</v>
      </c>
      <c r="V583" s="255">
        <v>19472940.902999997</v>
      </c>
      <c r="W583" s="255">
        <v>15210184.474995201</v>
      </c>
      <c r="X583" s="255">
        <v>21468421.489730842</v>
      </c>
      <c r="Y583" s="255">
        <v>14518732.978505256</v>
      </c>
      <c r="Z583" s="255">
        <v>26889987.199999999</v>
      </c>
      <c r="AA583" s="255">
        <v>8016095.4986208007</v>
      </c>
      <c r="AB583" s="255">
        <v>20644763.199999999</v>
      </c>
      <c r="AC583" s="255">
        <v>0</v>
      </c>
      <c r="AD583" s="255">
        <v>13804481</v>
      </c>
      <c r="AE583" s="255">
        <v>0</v>
      </c>
      <c r="AF583" s="255">
        <v>16912586.100000001</v>
      </c>
      <c r="AG583" s="255">
        <v>0</v>
      </c>
      <c r="AH583" s="255">
        <v>1711627.2</v>
      </c>
      <c r="AI583" s="255">
        <v>8646496.0334592015</v>
      </c>
      <c r="AJ583" s="255">
        <v>0</v>
      </c>
      <c r="AK583" s="255">
        <v>4513416.1568016</v>
      </c>
      <c r="AL583" s="255">
        <v>0</v>
      </c>
      <c r="AM583" s="255">
        <v>0</v>
      </c>
      <c r="AN583" s="255">
        <v>0</v>
      </c>
      <c r="AO583" s="255">
        <v>0</v>
      </c>
      <c r="AP583" s="255">
        <v>0</v>
      </c>
      <c r="AQ583" s="255">
        <v>0</v>
      </c>
      <c r="AR583" s="255">
        <v>0</v>
      </c>
      <c r="AS583" s="255"/>
      <c r="AT583" s="255"/>
      <c r="AU583" s="255"/>
      <c r="AV583" s="255"/>
      <c r="AW583" s="255"/>
      <c r="AX583" s="255"/>
      <c r="AY583" s="255"/>
      <c r="AZ583" s="255"/>
      <c r="BA583" s="255"/>
      <c r="BB583" s="255"/>
      <c r="BC583" s="255"/>
      <c r="BD583" s="255"/>
      <c r="BE583" s="255"/>
      <c r="BF583" s="255"/>
      <c r="BG583" s="255"/>
      <c r="BH583" s="255"/>
      <c r="BI583" s="255"/>
      <c r="BJ583" s="255"/>
      <c r="BK583" s="255"/>
    </row>
    <row r="584" spans="1:63">
      <c r="A584" s="168">
        <v>42766</v>
      </c>
      <c r="B584" s="213" t="str">
        <f>IF(SUM(F584:Z584)&gt;0,Servicio_internaColumna_título_intereses,"")</f>
        <v>Intereses</v>
      </c>
      <c r="C584" s="256"/>
      <c r="D584" s="257"/>
      <c r="E584" s="257"/>
      <c r="F584" s="257"/>
      <c r="G584" s="257"/>
      <c r="H584" s="257"/>
      <c r="I584" s="257"/>
      <c r="J584" s="257"/>
      <c r="K584" s="257"/>
      <c r="L584" s="257"/>
      <c r="M584" s="257"/>
      <c r="N584" s="257"/>
      <c r="O584" s="257"/>
      <c r="P584" s="257"/>
      <c r="Q584" s="257"/>
      <c r="R584" s="257"/>
      <c r="S584" s="257">
        <v>15554790.761846356</v>
      </c>
      <c r="T584" s="257">
        <v>15198060.795215029</v>
      </c>
      <c r="U584" s="258">
        <v>13767708.762126287</v>
      </c>
      <c r="V584" s="258">
        <v>12484520.15095247</v>
      </c>
      <c r="W584" s="258">
        <v>10402129.26250769</v>
      </c>
      <c r="X584" s="258">
        <v>9826725.7763112709</v>
      </c>
      <c r="Y584" s="258">
        <v>8387587.2093265262</v>
      </c>
      <c r="Z584" s="258">
        <v>7558246.666759897</v>
      </c>
      <c r="AA584" s="258">
        <v>4890701.4482260151</v>
      </c>
      <c r="AB584" s="258">
        <v>4535165.658859225</v>
      </c>
      <c r="AC584" s="258">
        <v>2998675.9276117957</v>
      </c>
      <c r="AD584" s="259">
        <v>3011117.699588717</v>
      </c>
      <c r="AE584" s="259">
        <v>2195882.1026867041</v>
      </c>
      <c r="AF584" s="259">
        <v>2209524.6016394333</v>
      </c>
      <c r="AG584" s="259">
        <v>913069.19077253493</v>
      </c>
      <c r="AH584" s="259">
        <v>927985.5409739475</v>
      </c>
      <c r="AI584" s="259">
        <v>824504.41413547168</v>
      </c>
      <c r="AJ584" s="259">
        <v>401238.58371216542</v>
      </c>
      <c r="AK584" s="259">
        <v>407939.33590244473</v>
      </c>
      <c r="AL584" s="259">
        <v>26943.075357940004</v>
      </c>
      <c r="AM584" s="259">
        <v>22671.270583179998</v>
      </c>
      <c r="AN584" s="259">
        <v>19476.60423823</v>
      </c>
      <c r="AO584" s="259">
        <v>16640.984036279999</v>
      </c>
      <c r="AP584" s="259">
        <v>13805.363833919999</v>
      </c>
      <c r="AQ584" s="259">
        <v>10969.743631130001</v>
      </c>
      <c r="AR584" s="259">
        <v>8134.1234279199998</v>
      </c>
      <c r="AS584" s="259"/>
      <c r="AT584" s="259"/>
      <c r="AU584" s="259"/>
      <c r="AV584" s="259"/>
      <c r="AW584" s="259"/>
      <c r="AX584" s="259"/>
      <c r="AY584" s="259"/>
      <c r="AZ584" s="259"/>
      <c r="BA584" s="259"/>
      <c r="BB584" s="259"/>
      <c r="BC584" s="259"/>
      <c r="BD584" s="259"/>
      <c r="BE584" s="259"/>
      <c r="BF584" s="259"/>
      <c r="BG584" s="259"/>
      <c r="BH584" s="259"/>
      <c r="BI584" s="259"/>
      <c r="BJ584" s="259"/>
      <c r="BK584" s="259"/>
    </row>
    <row r="585" spans="1:63">
      <c r="A585" s="169"/>
      <c r="B585" s="307" t="str">
        <f>IF(SUM(F585:Z585)&gt;0,Servicio_internaColumna_título_total,"")</f>
        <v>Total</v>
      </c>
      <c r="C585" s="308"/>
      <c r="D585" s="309"/>
      <c r="E585" s="309"/>
      <c r="F585" s="309"/>
      <c r="G585" s="309"/>
      <c r="H585" s="309"/>
      <c r="I585" s="309"/>
      <c r="J585" s="309"/>
      <c r="K585" s="309"/>
      <c r="L585" s="309"/>
      <c r="M585" s="309"/>
      <c r="N585" s="309"/>
      <c r="O585" s="309"/>
      <c r="P585" s="309"/>
      <c r="Q585" s="309"/>
      <c r="R585" s="309"/>
      <c r="S585" s="309">
        <f>S584+S583</f>
        <v>44763185.432402492</v>
      </c>
      <c r="T585" s="309">
        <f t="shared" ref="T585:AP585" si="42">T584+T583</f>
        <v>34245671.579600036</v>
      </c>
      <c r="U585" s="309">
        <f t="shared" si="42"/>
        <v>37396949.992750287</v>
      </c>
      <c r="V585" s="309">
        <f t="shared" si="42"/>
        <v>31957461.053952467</v>
      </c>
      <c r="W585" s="309">
        <f t="shared" si="42"/>
        <v>25612313.737502892</v>
      </c>
      <c r="X585" s="309">
        <f t="shared" si="42"/>
        <v>31295147.266042113</v>
      </c>
      <c r="Y585" s="309">
        <f t="shared" si="42"/>
        <v>22906320.187831782</v>
      </c>
      <c r="Z585" s="309">
        <f t="shared" si="42"/>
        <v>34448233.866759896</v>
      </c>
      <c r="AA585" s="309">
        <f t="shared" si="42"/>
        <v>12906796.946846817</v>
      </c>
      <c r="AB585" s="309">
        <f t="shared" si="42"/>
        <v>25179928.858859226</v>
      </c>
      <c r="AC585" s="309">
        <f t="shared" si="42"/>
        <v>2998675.9276117957</v>
      </c>
      <c r="AD585" s="309">
        <f t="shared" si="42"/>
        <v>16815598.699588716</v>
      </c>
      <c r="AE585" s="309">
        <f t="shared" si="42"/>
        <v>2195882.1026867041</v>
      </c>
      <c r="AF585" s="309">
        <f t="shared" si="42"/>
        <v>19122110.701639436</v>
      </c>
      <c r="AG585" s="309">
        <f t="shared" si="42"/>
        <v>913069.19077253493</v>
      </c>
      <c r="AH585" s="309">
        <f t="shared" si="42"/>
        <v>2639612.7409739476</v>
      </c>
      <c r="AI585" s="309">
        <f t="shared" si="42"/>
        <v>9471000.4475946724</v>
      </c>
      <c r="AJ585" s="309">
        <f t="shared" si="42"/>
        <v>401238.58371216542</v>
      </c>
      <c r="AK585" s="309">
        <f t="shared" si="42"/>
        <v>4921355.492704045</v>
      </c>
      <c r="AL585" s="309">
        <f t="shared" si="42"/>
        <v>26943.075357940004</v>
      </c>
      <c r="AM585" s="309">
        <f t="shared" si="42"/>
        <v>22671.270583179998</v>
      </c>
      <c r="AN585" s="309">
        <f t="shared" si="42"/>
        <v>19476.60423823</v>
      </c>
      <c r="AO585" s="309">
        <f t="shared" si="42"/>
        <v>16640.984036279999</v>
      </c>
      <c r="AP585" s="309">
        <f t="shared" si="42"/>
        <v>13805.363833919999</v>
      </c>
      <c r="AQ585" s="309">
        <f>AQ584+AQ583</f>
        <v>10969.743631130001</v>
      </c>
      <c r="AR585" s="309">
        <f>AR584+AR583</f>
        <v>8134.1234279199998</v>
      </c>
      <c r="AS585" s="309"/>
      <c r="AT585" s="309"/>
      <c r="AU585" s="309"/>
      <c r="AV585" s="309"/>
      <c r="AW585" s="309"/>
      <c r="AX585" s="309"/>
      <c r="AY585" s="309"/>
      <c r="AZ585" s="309"/>
      <c r="BA585" s="309"/>
      <c r="BB585" s="309"/>
      <c r="BC585" s="309"/>
      <c r="BD585" s="309"/>
      <c r="BE585" s="309"/>
      <c r="BF585" s="309"/>
      <c r="BG585" s="309"/>
      <c r="BH585" s="309"/>
      <c r="BI585" s="309"/>
      <c r="BJ585" s="309"/>
      <c r="BK585" s="309"/>
    </row>
    <row r="586" spans="1:63">
      <c r="A586" s="167"/>
      <c r="B586" s="210" t="str">
        <f>IF(SUM(F586:Z586)&gt;0,Servicio_internaColumna_título_amortizaciones,"")</f>
        <v>Amortizaciones</v>
      </c>
      <c r="C586" s="254"/>
      <c r="D586" s="255"/>
      <c r="E586" s="255"/>
      <c r="F586" s="255"/>
      <c r="G586" s="255"/>
      <c r="H586" s="255"/>
      <c r="I586" s="255"/>
      <c r="J586" s="255"/>
      <c r="K586" s="255"/>
      <c r="L586" s="255"/>
      <c r="M586" s="255"/>
      <c r="N586" s="255"/>
      <c r="O586" s="255"/>
      <c r="P586" s="255"/>
      <c r="Q586" s="255"/>
      <c r="R586" s="255"/>
      <c r="S586" s="255">
        <v>29067154.398003321</v>
      </c>
      <c r="T586" s="255">
        <v>18848567.460000001</v>
      </c>
      <c r="U586" s="255">
        <v>23696112.434883997</v>
      </c>
      <c r="V586" s="255">
        <v>19745674.489730839</v>
      </c>
      <c r="W586" s="255">
        <v>15881818.14938</v>
      </c>
      <c r="X586" s="255">
        <v>21836202.703000002</v>
      </c>
      <c r="Y586" s="255">
        <v>14616829.709115274</v>
      </c>
      <c r="Z586" s="255">
        <v>26889987.199999999</v>
      </c>
      <c r="AA586" s="255">
        <v>9025773.6882167999</v>
      </c>
      <c r="AB586" s="255">
        <v>21388944.199999999</v>
      </c>
      <c r="AC586" s="255">
        <v>0</v>
      </c>
      <c r="AD586" s="255">
        <v>13804481</v>
      </c>
      <c r="AE586" s="255">
        <v>0</v>
      </c>
      <c r="AF586" s="255">
        <v>16970086.100000001</v>
      </c>
      <c r="AG586" s="255">
        <v>0</v>
      </c>
      <c r="AH586" s="255">
        <v>2963061.4</v>
      </c>
      <c r="AI586" s="255">
        <v>8704967.9052671995</v>
      </c>
      <c r="AJ586" s="255">
        <v>0</v>
      </c>
      <c r="AK586" s="255">
        <v>4929613.5441671992</v>
      </c>
      <c r="AL586" s="255">
        <v>0</v>
      </c>
      <c r="AM586" s="255">
        <v>0</v>
      </c>
      <c r="AN586" s="255">
        <v>0</v>
      </c>
      <c r="AO586" s="255">
        <v>0</v>
      </c>
      <c r="AP586" s="255">
        <v>0</v>
      </c>
      <c r="AQ586" s="255">
        <v>0</v>
      </c>
      <c r="AR586" s="255">
        <v>0</v>
      </c>
      <c r="AS586" s="255"/>
      <c r="AT586" s="255"/>
      <c r="AU586" s="255"/>
      <c r="AV586" s="255"/>
      <c r="AW586" s="255"/>
      <c r="AX586" s="255"/>
      <c r="AY586" s="255"/>
      <c r="AZ586" s="255"/>
      <c r="BA586" s="255"/>
      <c r="BB586" s="255"/>
      <c r="BC586" s="255"/>
      <c r="BD586" s="255"/>
      <c r="BE586" s="255"/>
      <c r="BF586" s="255"/>
      <c r="BG586" s="255"/>
      <c r="BH586" s="255"/>
      <c r="BI586" s="255"/>
      <c r="BJ586" s="255"/>
      <c r="BK586" s="255"/>
    </row>
    <row r="587" spans="1:63">
      <c r="A587" s="168">
        <v>42794</v>
      </c>
      <c r="B587" s="213" t="str">
        <f>IF(SUM(F587:Z587)&gt;0,Servicio_internaColumna_título_intereses,"")</f>
        <v>Intereses</v>
      </c>
      <c r="C587" s="256"/>
      <c r="D587" s="257"/>
      <c r="E587" s="257"/>
      <c r="F587" s="257"/>
      <c r="G587" s="257"/>
      <c r="H587" s="257"/>
      <c r="I587" s="257"/>
      <c r="J587" s="257"/>
      <c r="K587" s="257"/>
      <c r="L587" s="257"/>
      <c r="M587" s="257"/>
      <c r="N587" s="257"/>
      <c r="O587" s="257"/>
      <c r="P587" s="257"/>
      <c r="Q587" s="257"/>
      <c r="R587" s="257"/>
      <c r="S587" s="257">
        <v>15065895.506354714</v>
      </c>
      <c r="T587" s="257">
        <v>15456209.318371728</v>
      </c>
      <c r="U587" s="258">
        <v>14044578.372652685</v>
      </c>
      <c r="V587" s="258">
        <v>12762989.635287311</v>
      </c>
      <c r="W587" s="258">
        <v>10683171.643722581</v>
      </c>
      <c r="X587" s="258">
        <v>10085192.249483548</v>
      </c>
      <c r="Y587" s="258">
        <v>8603190.4530439749</v>
      </c>
      <c r="Z587" s="258">
        <v>7773807.3629953675</v>
      </c>
      <c r="AA587" s="258">
        <v>5108292.8587785447</v>
      </c>
      <c r="AB587" s="258">
        <v>4709112.2997431662</v>
      </c>
      <c r="AC587" s="258">
        <v>3117591.2861522548</v>
      </c>
      <c r="AD587" s="259">
        <v>3130838.8195653902</v>
      </c>
      <c r="AE587" s="259">
        <v>2316433.1569426772</v>
      </c>
      <c r="AF587" s="259">
        <v>2330930.4882030846</v>
      </c>
      <c r="AG587" s="259">
        <v>1030899.3046130969</v>
      </c>
      <c r="AH587" s="259">
        <v>1046722.546409726</v>
      </c>
      <c r="AI587" s="259">
        <v>856575.12391432258</v>
      </c>
      <c r="AJ587" s="259">
        <v>433222.75032138865</v>
      </c>
      <c r="AK587" s="259">
        <v>440883.02750994515</v>
      </c>
      <c r="AL587" s="259">
        <v>26943.075357940004</v>
      </c>
      <c r="AM587" s="259">
        <v>22671.270583179998</v>
      </c>
      <c r="AN587" s="259">
        <v>19476.60423823</v>
      </c>
      <c r="AO587" s="259">
        <v>16640.984036279999</v>
      </c>
      <c r="AP587" s="259">
        <v>13805.363833919999</v>
      </c>
      <c r="AQ587" s="259">
        <v>10969.743631130001</v>
      </c>
      <c r="AR587" s="259">
        <v>8134.1234279199998</v>
      </c>
      <c r="AS587" s="259"/>
      <c r="AT587" s="259"/>
      <c r="AU587" s="259"/>
      <c r="AV587" s="259"/>
      <c r="AW587" s="259"/>
      <c r="AX587" s="259"/>
      <c r="AY587" s="259"/>
      <c r="AZ587" s="259"/>
      <c r="BA587" s="259"/>
      <c r="BB587" s="259"/>
      <c r="BC587" s="259"/>
      <c r="BD587" s="259"/>
      <c r="BE587" s="259"/>
      <c r="BF587" s="259"/>
      <c r="BG587" s="259"/>
      <c r="BH587" s="259"/>
      <c r="BI587" s="259"/>
      <c r="BJ587" s="259"/>
      <c r="BK587" s="259"/>
    </row>
    <row r="588" spans="1:63">
      <c r="A588" s="169"/>
      <c r="B588" s="307" t="str">
        <f>IF(SUM(F588:Z588)&gt;0,Servicio_internaColumna_título_total,"")</f>
        <v>Total</v>
      </c>
      <c r="C588" s="308"/>
      <c r="D588" s="309"/>
      <c r="E588" s="309"/>
      <c r="F588" s="309"/>
      <c r="G588" s="309"/>
      <c r="H588" s="309"/>
      <c r="I588" s="309"/>
      <c r="J588" s="309"/>
      <c r="K588" s="309"/>
      <c r="L588" s="309"/>
      <c r="M588" s="309"/>
      <c r="N588" s="309"/>
      <c r="O588" s="309"/>
      <c r="P588" s="309"/>
      <c r="Q588" s="309"/>
      <c r="R588" s="309"/>
      <c r="S588" s="309">
        <f>S587+S586</f>
        <v>44133049.904358037</v>
      </c>
      <c r="T588" s="309">
        <f t="shared" ref="T588:AP588" si="43">T587+T586</f>
        <v>34304776.778371729</v>
      </c>
      <c r="U588" s="309">
        <f t="shared" si="43"/>
        <v>37740690.807536684</v>
      </c>
      <c r="V588" s="309">
        <f t="shared" si="43"/>
        <v>32508664.12501815</v>
      </c>
      <c r="W588" s="309">
        <f t="shared" si="43"/>
        <v>26564989.793102581</v>
      </c>
      <c r="X588" s="309">
        <f t="shared" si="43"/>
        <v>31921394.95248355</v>
      </c>
      <c r="Y588" s="309">
        <f t="shared" si="43"/>
        <v>23220020.162159249</v>
      </c>
      <c r="Z588" s="309">
        <f t="shared" si="43"/>
        <v>34663794.562995367</v>
      </c>
      <c r="AA588" s="309">
        <f t="shared" si="43"/>
        <v>14134066.546995346</v>
      </c>
      <c r="AB588" s="309">
        <f t="shared" si="43"/>
        <v>26098056.499743164</v>
      </c>
      <c r="AC588" s="309">
        <f t="shared" si="43"/>
        <v>3117591.2861522548</v>
      </c>
      <c r="AD588" s="309">
        <f t="shared" si="43"/>
        <v>16935319.819565389</v>
      </c>
      <c r="AE588" s="309">
        <f t="shared" si="43"/>
        <v>2316433.1569426772</v>
      </c>
      <c r="AF588" s="309">
        <f t="shared" si="43"/>
        <v>19301016.588203087</v>
      </c>
      <c r="AG588" s="309">
        <f t="shared" si="43"/>
        <v>1030899.3046130969</v>
      </c>
      <c r="AH588" s="309">
        <f t="shared" si="43"/>
        <v>4009783.946409726</v>
      </c>
      <c r="AI588" s="309">
        <f t="shared" si="43"/>
        <v>9561543.0291815214</v>
      </c>
      <c r="AJ588" s="309">
        <f t="shared" si="43"/>
        <v>433222.75032138865</v>
      </c>
      <c r="AK588" s="309">
        <f t="shared" si="43"/>
        <v>5370496.5716771446</v>
      </c>
      <c r="AL588" s="309">
        <f t="shared" si="43"/>
        <v>26943.075357940004</v>
      </c>
      <c r="AM588" s="309">
        <f t="shared" si="43"/>
        <v>22671.270583179998</v>
      </c>
      <c r="AN588" s="309">
        <f t="shared" si="43"/>
        <v>19476.60423823</v>
      </c>
      <c r="AO588" s="309">
        <f t="shared" si="43"/>
        <v>16640.984036279999</v>
      </c>
      <c r="AP588" s="309">
        <f t="shared" si="43"/>
        <v>13805.363833919999</v>
      </c>
      <c r="AQ588" s="309">
        <f>AQ587+AQ586</f>
        <v>10969.743631130001</v>
      </c>
      <c r="AR588" s="309">
        <f>AR587+AR586</f>
        <v>8134.1234279199998</v>
      </c>
      <c r="AS588" s="309"/>
      <c r="AT588" s="309"/>
      <c r="AU588" s="309"/>
      <c r="AV588" s="309"/>
      <c r="AW588" s="309"/>
      <c r="AX588" s="309"/>
      <c r="AY588" s="309"/>
      <c r="AZ588" s="309"/>
      <c r="BA588" s="309"/>
      <c r="BB588" s="309"/>
      <c r="BC588" s="309"/>
      <c r="BD588" s="309"/>
      <c r="BE588" s="309"/>
      <c r="BF588" s="309"/>
      <c r="BG588" s="309"/>
      <c r="BH588" s="309"/>
      <c r="BI588" s="309"/>
      <c r="BJ588" s="309"/>
      <c r="BK588" s="309"/>
    </row>
    <row r="589" spans="1:63">
      <c r="A589" s="167"/>
      <c r="B589" s="210" t="str">
        <f>IF(SUM(F589:Z589)&gt;0,Servicio_internaColumna_título_amortizaciones,"")</f>
        <v>Amortizaciones</v>
      </c>
      <c r="C589" s="254"/>
      <c r="D589" s="255"/>
      <c r="E589" s="255"/>
      <c r="F589" s="255"/>
      <c r="G589" s="255"/>
      <c r="H589" s="255"/>
      <c r="I589" s="255"/>
      <c r="J589" s="255"/>
      <c r="K589" s="255"/>
      <c r="L589" s="255"/>
      <c r="M589" s="255"/>
      <c r="N589" s="255"/>
      <c r="O589" s="255"/>
      <c r="P589" s="255"/>
      <c r="Q589" s="255"/>
      <c r="R589" s="255"/>
      <c r="S589" s="255">
        <v>20976113.352080554</v>
      </c>
      <c r="T589" s="255">
        <v>26690070.333231997</v>
      </c>
      <c r="U589" s="255">
        <v>23802435.2091025</v>
      </c>
      <c r="V589" s="255">
        <v>19745674.489730839</v>
      </c>
      <c r="W589" s="255">
        <v>16113892.554612501</v>
      </c>
      <c r="X589" s="255">
        <v>23108665.003000002</v>
      </c>
      <c r="Y589" s="255">
        <v>14772935.471509537</v>
      </c>
      <c r="Z589" s="255">
        <v>26889987.199999999</v>
      </c>
      <c r="AA589" s="255">
        <v>9331190.1599204987</v>
      </c>
      <c r="AB589" s="255">
        <v>22318423.5</v>
      </c>
      <c r="AC589" s="255">
        <v>1141563.752874</v>
      </c>
      <c r="AD589" s="255">
        <v>13804481</v>
      </c>
      <c r="AE589" s="255">
        <v>0</v>
      </c>
      <c r="AF589" s="255">
        <v>17041086.100000001</v>
      </c>
      <c r="AG589" s="255">
        <v>0</v>
      </c>
      <c r="AH589" s="255">
        <v>3760612.5</v>
      </c>
      <c r="AI589" s="255">
        <v>8797936.0474319998</v>
      </c>
      <c r="AJ589" s="255">
        <v>0</v>
      </c>
      <c r="AK589" s="255">
        <v>5176689.0096194996</v>
      </c>
      <c r="AL589" s="255">
        <v>0</v>
      </c>
      <c r="AM589" s="255">
        <v>0</v>
      </c>
      <c r="AN589" s="255">
        <v>0</v>
      </c>
      <c r="AO589" s="255">
        <v>0</v>
      </c>
      <c r="AP589" s="255">
        <v>0</v>
      </c>
      <c r="AQ589" s="255">
        <v>0</v>
      </c>
      <c r="AR589" s="255">
        <v>0</v>
      </c>
      <c r="AS589" s="255"/>
      <c r="AT589" s="255"/>
      <c r="AU589" s="255"/>
      <c r="AV589" s="255"/>
      <c r="AW589" s="255"/>
      <c r="AX589" s="255"/>
      <c r="AY589" s="255"/>
      <c r="AZ589" s="255"/>
      <c r="BA589" s="255"/>
      <c r="BB589" s="255"/>
      <c r="BC589" s="255"/>
      <c r="BD589" s="255"/>
      <c r="BE589" s="255"/>
      <c r="BF589" s="255"/>
      <c r="BG589" s="255"/>
      <c r="BH589" s="255"/>
      <c r="BI589" s="255"/>
      <c r="BJ589" s="255"/>
      <c r="BK589" s="255"/>
    </row>
    <row r="590" spans="1:63">
      <c r="A590" s="168">
        <v>42825</v>
      </c>
      <c r="B590" s="213" t="str">
        <f>IF(SUM(F590:Z590)&gt;0,Servicio_internaColumna_título_intereses,"")</f>
        <v>Intereses</v>
      </c>
      <c r="C590" s="256"/>
      <c r="D590" s="257"/>
      <c r="E590" s="257"/>
      <c r="F590" s="257"/>
      <c r="G590" s="257"/>
      <c r="H590" s="257"/>
      <c r="I590" s="257"/>
      <c r="J590" s="257"/>
      <c r="K590" s="257"/>
      <c r="L590" s="257"/>
      <c r="M590" s="257"/>
      <c r="N590" s="257"/>
      <c r="O590" s="257"/>
      <c r="P590" s="257"/>
      <c r="Q590" s="257"/>
      <c r="R590" s="257"/>
      <c r="S590" s="257">
        <v>14431331.329756202</v>
      </c>
      <c r="T590" s="257">
        <v>15734713.838768568</v>
      </c>
      <c r="U590" s="258">
        <v>14335912.11963393</v>
      </c>
      <c r="V590" s="258">
        <v>13054950.661818277</v>
      </c>
      <c r="W590" s="258">
        <v>10977288.069484478</v>
      </c>
      <c r="X590" s="258">
        <v>10376387.524000686</v>
      </c>
      <c r="Y590" s="258">
        <v>8807445.7932316232</v>
      </c>
      <c r="Z590" s="258">
        <v>7976874.2244721912</v>
      </c>
      <c r="AA590" s="258">
        <v>5313520.465364675</v>
      </c>
      <c r="AB590" s="258">
        <v>4905188.2029895838</v>
      </c>
      <c r="AC590" s="258">
        <v>3245907.2582610617</v>
      </c>
      <c r="AD590" s="259">
        <v>3207936.6510669412</v>
      </c>
      <c r="AE590" s="259">
        <v>2394003.9910792769</v>
      </c>
      <c r="AF590" s="259">
        <v>2408988.5150537812</v>
      </c>
      <c r="AG590" s="259">
        <v>1103956.6399593153</v>
      </c>
      <c r="AH590" s="259">
        <v>1120296.7445063309</v>
      </c>
      <c r="AI590" s="259">
        <v>874853.11364382575</v>
      </c>
      <c r="AJ590" s="259">
        <v>450338.04765850911</v>
      </c>
      <c r="AK590" s="259">
        <v>458511.78376717929</v>
      </c>
      <c r="AL590" s="259">
        <v>26943.075357940004</v>
      </c>
      <c r="AM590" s="259">
        <v>22671.270583179998</v>
      </c>
      <c r="AN590" s="259">
        <v>19476.60423823</v>
      </c>
      <c r="AO590" s="259">
        <v>16640.984036279999</v>
      </c>
      <c r="AP590" s="259">
        <v>13805.363833919999</v>
      </c>
      <c r="AQ590" s="259">
        <v>10969.743631130001</v>
      </c>
      <c r="AR590" s="259">
        <v>8134.1234279199998</v>
      </c>
      <c r="AS590" s="259"/>
      <c r="AT590" s="259"/>
      <c r="AU590" s="259"/>
      <c r="AV590" s="259"/>
      <c r="AW590" s="259"/>
      <c r="AX590" s="259"/>
      <c r="AY590" s="259"/>
      <c r="AZ590" s="259"/>
      <c r="BA590" s="259"/>
      <c r="BB590" s="259"/>
      <c r="BC590" s="259"/>
      <c r="BD590" s="259"/>
      <c r="BE590" s="259"/>
      <c r="BF590" s="259"/>
      <c r="BG590" s="259"/>
      <c r="BH590" s="259"/>
      <c r="BI590" s="259"/>
      <c r="BJ590" s="259"/>
      <c r="BK590" s="259"/>
    </row>
    <row r="591" spans="1:63">
      <c r="A591" s="169"/>
      <c r="B591" s="307" t="str">
        <f>IF(SUM(F591:Z591)&gt;0,Servicio_internaColumna_título_total,"")</f>
        <v>Total</v>
      </c>
      <c r="C591" s="308"/>
      <c r="D591" s="309"/>
      <c r="E591" s="309"/>
      <c r="F591" s="309"/>
      <c r="G591" s="309"/>
      <c r="H591" s="309"/>
      <c r="I591" s="309"/>
      <c r="J591" s="309"/>
      <c r="K591" s="309"/>
      <c r="L591" s="309"/>
      <c r="M591" s="309"/>
      <c r="N591" s="309"/>
      <c r="O591" s="309"/>
      <c r="P591" s="309"/>
      <c r="Q591" s="309"/>
      <c r="R591" s="309"/>
      <c r="S591" s="309">
        <f>S590+S589</f>
        <v>35407444.681836754</v>
      </c>
      <c r="T591" s="309">
        <f t="shared" ref="T591:AP591" si="44">T590+T589</f>
        <v>42424784.172000565</v>
      </c>
      <c r="U591" s="309">
        <f t="shared" si="44"/>
        <v>38138347.328736432</v>
      </c>
      <c r="V591" s="309">
        <f t="shared" si="44"/>
        <v>32800625.151549116</v>
      </c>
      <c r="W591" s="309">
        <f t="shared" si="44"/>
        <v>27091180.624096978</v>
      </c>
      <c r="X591" s="309">
        <f t="shared" si="44"/>
        <v>33485052.527000688</v>
      </c>
      <c r="Y591" s="309">
        <f t="shared" si="44"/>
        <v>23580381.26474116</v>
      </c>
      <c r="Z591" s="309">
        <f t="shared" si="44"/>
        <v>34866861.42447219</v>
      </c>
      <c r="AA591" s="309">
        <f t="shared" si="44"/>
        <v>14644710.625285175</v>
      </c>
      <c r="AB591" s="309">
        <f t="shared" si="44"/>
        <v>27223611.702989586</v>
      </c>
      <c r="AC591" s="309">
        <f t="shared" si="44"/>
        <v>4387471.0111350622</v>
      </c>
      <c r="AD591" s="309">
        <f t="shared" si="44"/>
        <v>17012417.65106694</v>
      </c>
      <c r="AE591" s="309">
        <f t="shared" si="44"/>
        <v>2394003.9910792769</v>
      </c>
      <c r="AF591" s="309">
        <f t="shared" si="44"/>
        <v>19450074.615053784</v>
      </c>
      <c r="AG591" s="309">
        <f t="shared" si="44"/>
        <v>1103956.6399593153</v>
      </c>
      <c r="AH591" s="309">
        <f t="shared" si="44"/>
        <v>4880909.2445063312</v>
      </c>
      <c r="AI591" s="309">
        <f t="shared" si="44"/>
        <v>9672789.1610758249</v>
      </c>
      <c r="AJ591" s="309">
        <f t="shared" si="44"/>
        <v>450338.04765850911</v>
      </c>
      <c r="AK591" s="309">
        <f t="shared" si="44"/>
        <v>5635200.7933866791</v>
      </c>
      <c r="AL591" s="309">
        <f t="shared" si="44"/>
        <v>26943.075357940004</v>
      </c>
      <c r="AM591" s="309">
        <f t="shared" si="44"/>
        <v>22671.270583179998</v>
      </c>
      <c r="AN591" s="309">
        <f t="shared" si="44"/>
        <v>19476.60423823</v>
      </c>
      <c r="AO591" s="309">
        <f t="shared" si="44"/>
        <v>16640.984036279999</v>
      </c>
      <c r="AP591" s="309">
        <f t="shared" si="44"/>
        <v>13805.363833919999</v>
      </c>
      <c r="AQ591" s="309">
        <f>AQ590+AQ589</f>
        <v>10969.743631130001</v>
      </c>
      <c r="AR591" s="309">
        <f>AR590+AR589</f>
        <v>8134.1234279199998</v>
      </c>
      <c r="AS591" s="309"/>
      <c r="AT591" s="309"/>
      <c r="AU591" s="309"/>
      <c r="AV591" s="309"/>
      <c r="AW591" s="309"/>
      <c r="AX591" s="309"/>
      <c r="AY591" s="309"/>
      <c r="AZ591" s="309"/>
      <c r="BA591" s="309"/>
      <c r="BB591" s="309"/>
      <c r="BC591" s="309"/>
      <c r="BD591" s="309"/>
      <c r="BE591" s="309"/>
      <c r="BF591" s="309"/>
      <c r="BG591" s="309"/>
      <c r="BH591" s="309"/>
      <c r="BI591" s="309"/>
      <c r="BJ591" s="309"/>
      <c r="BK591" s="309"/>
    </row>
    <row r="592" spans="1:63">
      <c r="A592" s="167"/>
      <c r="B592" s="210" t="str">
        <f>IF(SUM(F592:Z592)&gt;0,Servicio_internaColumna_título_amortizaciones,"")</f>
        <v>Amortizaciones</v>
      </c>
      <c r="C592" s="254"/>
      <c r="D592" s="255"/>
      <c r="E592" s="255"/>
      <c r="F592" s="255"/>
      <c r="G592" s="255"/>
      <c r="H592" s="255"/>
      <c r="I592" s="255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>
        <v>17479072.883897163</v>
      </c>
      <c r="T592" s="255">
        <v>27342983.370957997</v>
      </c>
      <c r="U592" s="255">
        <v>23875212.556220498</v>
      </c>
      <c r="V592" s="255">
        <v>19738411.931282178</v>
      </c>
      <c r="W592" s="255">
        <v>16524445.120122502</v>
      </c>
      <c r="X592" s="255">
        <v>24329572.103</v>
      </c>
      <c r="Y592" s="255">
        <v>14879788.996922068</v>
      </c>
      <c r="Z592" s="255">
        <v>26889987.199999999</v>
      </c>
      <c r="AA592" s="255">
        <v>9616692.0179241002</v>
      </c>
      <c r="AB592" s="255">
        <v>23377419</v>
      </c>
      <c r="AC592" s="255">
        <v>1937481.6562614001</v>
      </c>
      <c r="AD592" s="255">
        <v>13804481</v>
      </c>
      <c r="AE592" s="255">
        <v>0</v>
      </c>
      <c r="AF592" s="255">
        <v>17081086.100000001</v>
      </c>
      <c r="AG592" s="255">
        <v>0</v>
      </c>
      <c r="AH592" s="255">
        <v>4671297.8</v>
      </c>
      <c r="AI592" s="255">
        <v>8861572.2232464012</v>
      </c>
      <c r="AJ592" s="255">
        <v>0</v>
      </c>
      <c r="AK592" s="255">
        <v>5305073.1511838995</v>
      </c>
      <c r="AL592" s="255">
        <v>0</v>
      </c>
      <c r="AM592" s="255">
        <v>0</v>
      </c>
      <c r="AN592" s="255">
        <v>0</v>
      </c>
      <c r="AO592" s="255">
        <v>0</v>
      </c>
      <c r="AP592" s="255">
        <v>0</v>
      </c>
      <c r="AQ592" s="255">
        <v>0</v>
      </c>
      <c r="AR592" s="255">
        <v>0</v>
      </c>
      <c r="AS592" s="255"/>
      <c r="AT592" s="255"/>
      <c r="AU592" s="255"/>
      <c r="AV592" s="255"/>
      <c r="AW592" s="255"/>
      <c r="AX592" s="255"/>
      <c r="AY592" s="255"/>
      <c r="AZ592" s="255"/>
      <c r="BA592" s="255"/>
      <c r="BB592" s="255"/>
      <c r="BC592" s="255"/>
      <c r="BD592" s="255"/>
      <c r="BE592" s="255"/>
      <c r="BF592" s="255"/>
      <c r="BG592" s="255"/>
      <c r="BH592" s="255"/>
      <c r="BI592" s="255"/>
      <c r="BJ592" s="255"/>
      <c r="BK592" s="255"/>
    </row>
    <row r="593" spans="1:63">
      <c r="A593" s="168">
        <v>42855</v>
      </c>
      <c r="B593" s="213" t="str">
        <f>IF(SUM(F593:Z593)&gt;0,Servicio_internaColumna_título_intereses,"")</f>
        <v>Intereses</v>
      </c>
      <c r="C593" s="256"/>
      <c r="D593" s="257"/>
      <c r="E593" s="257"/>
      <c r="F593" s="257"/>
      <c r="G593" s="257"/>
      <c r="H593" s="257"/>
      <c r="I593" s="257"/>
      <c r="J593" s="257"/>
      <c r="K593" s="257"/>
      <c r="L593" s="257"/>
      <c r="M593" s="257"/>
      <c r="N593" s="257"/>
      <c r="O593" s="257"/>
      <c r="P593" s="257"/>
      <c r="Q593" s="257"/>
      <c r="R593" s="257"/>
      <c r="S593" s="257">
        <v>13190976.925500447</v>
      </c>
      <c r="T593" s="257">
        <v>15999801.859147716</v>
      </c>
      <c r="U593" s="258">
        <v>14619504.484521957</v>
      </c>
      <c r="V593" s="258">
        <v>13340098.713737939</v>
      </c>
      <c r="W593" s="258">
        <v>11264038.479046723</v>
      </c>
      <c r="X593" s="258">
        <v>10652699.489122458</v>
      </c>
      <c r="Y593" s="258">
        <v>8999631.536392048</v>
      </c>
      <c r="Z593" s="258">
        <v>8170437.3609224297</v>
      </c>
      <c r="AA593" s="258">
        <v>5508502.3169034226</v>
      </c>
      <c r="AB593" s="258">
        <v>5091542.0376401674</v>
      </c>
      <c r="AC593" s="258">
        <v>3354038.866446164</v>
      </c>
      <c r="AD593" s="259">
        <v>3280844.2446998628</v>
      </c>
      <c r="AE593" s="259">
        <v>2467093.3733911831</v>
      </c>
      <c r="AF593" s="259">
        <v>2482265.1397050456</v>
      </c>
      <c r="AG593" s="259">
        <v>1174326.1242201163</v>
      </c>
      <c r="AH593" s="259">
        <v>1190864.8741649564</v>
      </c>
      <c r="AI593" s="259">
        <v>881877.87706220965</v>
      </c>
      <c r="AJ593" s="259">
        <v>457573.55397944432</v>
      </c>
      <c r="AK593" s="259">
        <v>465964.35527774197</v>
      </c>
      <c r="AL593" s="259">
        <v>26943.075357940004</v>
      </c>
      <c r="AM593" s="259">
        <v>22671.270583179998</v>
      </c>
      <c r="AN593" s="259">
        <v>19476.60423823</v>
      </c>
      <c r="AO593" s="259">
        <v>16640.984036279999</v>
      </c>
      <c r="AP593" s="259">
        <v>13805.363833919999</v>
      </c>
      <c r="AQ593" s="259">
        <v>10969.743631130001</v>
      </c>
      <c r="AR593" s="259">
        <v>8134.1234279199998</v>
      </c>
      <c r="AS593" s="259"/>
      <c r="AT593" s="259"/>
      <c r="AU593" s="259"/>
      <c r="AV593" s="259"/>
      <c r="AW593" s="259"/>
      <c r="AX593" s="259"/>
      <c r="AY593" s="259"/>
      <c r="AZ593" s="259"/>
      <c r="BA593" s="259"/>
      <c r="BB593" s="259"/>
      <c r="BC593" s="259"/>
      <c r="BD593" s="259"/>
      <c r="BE593" s="259"/>
      <c r="BF593" s="259"/>
      <c r="BG593" s="259"/>
      <c r="BH593" s="259"/>
      <c r="BI593" s="259"/>
      <c r="BJ593" s="259"/>
      <c r="BK593" s="259"/>
    </row>
    <row r="594" spans="1:63">
      <c r="A594" s="169"/>
      <c r="B594" s="307" t="str">
        <f>IF(SUM(F594:Z594)&gt;0,Servicio_internaColumna_título_total,"")</f>
        <v>Total</v>
      </c>
      <c r="C594" s="308"/>
      <c r="D594" s="309"/>
      <c r="E594" s="309"/>
      <c r="F594" s="309"/>
      <c r="G594" s="309"/>
      <c r="H594" s="309"/>
      <c r="I594" s="309"/>
      <c r="J594" s="309"/>
      <c r="K594" s="309"/>
      <c r="L594" s="309"/>
      <c r="M594" s="309"/>
      <c r="N594" s="309"/>
      <c r="O594" s="309"/>
      <c r="P594" s="309"/>
      <c r="Q594" s="309"/>
      <c r="R594" s="309"/>
      <c r="S594" s="309">
        <f>S593+S592</f>
        <v>30670049.809397608</v>
      </c>
      <c r="T594" s="309">
        <f t="shared" ref="T594:AP594" si="45">T593+T592</f>
        <v>43342785.230105713</v>
      </c>
      <c r="U594" s="309">
        <f t="shared" si="45"/>
        <v>38494717.040742457</v>
      </c>
      <c r="V594" s="309">
        <f t="shared" si="45"/>
        <v>33078510.645020116</v>
      </c>
      <c r="W594" s="309">
        <f t="shared" si="45"/>
        <v>27788483.599169225</v>
      </c>
      <c r="X594" s="309">
        <f t="shared" si="45"/>
        <v>34982271.592122458</v>
      </c>
      <c r="Y594" s="309">
        <f t="shared" si="45"/>
        <v>23879420.533314116</v>
      </c>
      <c r="Z594" s="309">
        <f t="shared" si="45"/>
        <v>35060424.560922429</v>
      </c>
      <c r="AA594" s="309">
        <f t="shared" si="45"/>
        <v>15125194.334827524</v>
      </c>
      <c r="AB594" s="309">
        <f t="shared" si="45"/>
        <v>28468961.037640169</v>
      </c>
      <c r="AC594" s="309">
        <f t="shared" si="45"/>
        <v>5291520.5227075638</v>
      </c>
      <c r="AD594" s="309">
        <f t="shared" si="45"/>
        <v>17085325.244699862</v>
      </c>
      <c r="AE594" s="309">
        <f t="shared" si="45"/>
        <v>2467093.3733911831</v>
      </c>
      <c r="AF594" s="309">
        <f t="shared" si="45"/>
        <v>19563351.239705049</v>
      </c>
      <c r="AG594" s="309">
        <f t="shared" si="45"/>
        <v>1174326.1242201163</v>
      </c>
      <c r="AH594" s="309">
        <f t="shared" si="45"/>
        <v>5862162.6741649564</v>
      </c>
      <c r="AI594" s="309">
        <f t="shared" si="45"/>
        <v>9743450.1003086101</v>
      </c>
      <c r="AJ594" s="309">
        <f t="shared" si="45"/>
        <v>457573.55397944432</v>
      </c>
      <c r="AK594" s="309">
        <f t="shared" si="45"/>
        <v>5771037.5064616418</v>
      </c>
      <c r="AL594" s="309">
        <f t="shared" si="45"/>
        <v>26943.075357940004</v>
      </c>
      <c r="AM594" s="309">
        <f t="shared" si="45"/>
        <v>22671.270583179998</v>
      </c>
      <c r="AN594" s="309">
        <f t="shared" si="45"/>
        <v>19476.60423823</v>
      </c>
      <c r="AO594" s="309">
        <f t="shared" si="45"/>
        <v>16640.984036279999</v>
      </c>
      <c r="AP594" s="309">
        <f t="shared" si="45"/>
        <v>13805.363833919999</v>
      </c>
      <c r="AQ594" s="309">
        <f>AQ593+AQ592</f>
        <v>10969.743631130001</v>
      </c>
      <c r="AR594" s="309">
        <f>AR593+AR592</f>
        <v>8134.1234279199998</v>
      </c>
      <c r="AS594" s="309"/>
      <c r="AT594" s="309"/>
      <c r="AU594" s="309"/>
      <c r="AV594" s="309"/>
      <c r="AW594" s="309"/>
      <c r="AX594" s="309"/>
      <c r="AY594" s="309"/>
      <c r="AZ594" s="309"/>
      <c r="BA594" s="309"/>
      <c r="BB594" s="309"/>
      <c r="BC594" s="309"/>
      <c r="BD594" s="309"/>
      <c r="BE594" s="309"/>
      <c r="BF594" s="309"/>
      <c r="BG594" s="309"/>
      <c r="BH594" s="309"/>
      <c r="BI594" s="309"/>
      <c r="BJ594" s="309"/>
      <c r="BK594" s="309"/>
    </row>
    <row r="595" spans="1:63">
      <c r="A595" s="167"/>
      <c r="B595" s="210" t="str">
        <f>IF(SUM(F595:Z595)&gt;0,Servicio_internaColumna_título_amortizaciones,"")</f>
        <v>Amortizaciones</v>
      </c>
      <c r="C595" s="254"/>
      <c r="D595" s="255"/>
      <c r="E595" s="255"/>
      <c r="F595" s="255"/>
      <c r="G595" s="255"/>
      <c r="H595" s="255"/>
      <c r="I595" s="255"/>
      <c r="J595" s="255"/>
      <c r="K595" s="255"/>
      <c r="L595" s="255"/>
      <c r="M595" s="255"/>
      <c r="N595" s="255"/>
      <c r="O595" s="255"/>
      <c r="P595" s="255"/>
      <c r="Q595" s="255"/>
      <c r="R595" s="255"/>
      <c r="S595" s="255">
        <v>7842461.7876605289</v>
      </c>
      <c r="T595" s="255">
        <v>28342983.370957997</v>
      </c>
      <c r="U595" s="255">
        <v>24032740.527478997</v>
      </c>
      <c r="V595" s="255">
        <v>19746902.772584617</v>
      </c>
      <c r="W595" s="255">
        <v>17284429.433844201</v>
      </c>
      <c r="X595" s="255">
        <v>25100287.203000002</v>
      </c>
      <c r="Y595" s="255">
        <v>14950851.488476042</v>
      </c>
      <c r="Z595" s="255">
        <v>26889987.199999999</v>
      </c>
      <c r="AA595" s="255">
        <v>9662619.2819357999</v>
      </c>
      <c r="AB595" s="255">
        <v>24666030.5</v>
      </c>
      <c r="AC595" s="255">
        <v>3004955.6055898</v>
      </c>
      <c r="AD595" s="255">
        <v>13804481</v>
      </c>
      <c r="AE595" s="255">
        <v>0</v>
      </c>
      <c r="AF595" s="255">
        <v>17081086.100000001</v>
      </c>
      <c r="AG595" s="255">
        <v>0</v>
      </c>
      <c r="AH595" s="255">
        <v>5750973.4000000004</v>
      </c>
      <c r="AI595" s="255">
        <v>8903893.1966431998</v>
      </c>
      <c r="AJ595" s="255">
        <v>0</v>
      </c>
      <c r="AK595" s="255">
        <v>5653675.6941204006</v>
      </c>
      <c r="AL595" s="255">
        <v>0</v>
      </c>
      <c r="AM595" s="255">
        <v>0</v>
      </c>
      <c r="AN595" s="255">
        <v>0</v>
      </c>
      <c r="AO595" s="255">
        <v>0</v>
      </c>
      <c r="AP595" s="255">
        <v>0</v>
      </c>
      <c r="AQ595" s="255">
        <v>0</v>
      </c>
      <c r="AR595" s="255">
        <v>0</v>
      </c>
      <c r="AS595" s="255"/>
      <c r="AT595" s="255"/>
      <c r="AU595" s="255"/>
      <c r="AV595" s="255"/>
      <c r="AW595" s="255"/>
      <c r="AX595" s="255"/>
      <c r="AY595" s="255"/>
      <c r="AZ595" s="255"/>
      <c r="BA595" s="255"/>
      <c r="BB595" s="255"/>
      <c r="BC595" s="255"/>
      <c r="BD595" s="255"/>
      <c r="BE595" s="255"/>
      <c r="BF595" s="255"/>
      <c r="BG595" s="255"/>
      <c r="BH595" s="255"/>
      <c r="BI595" s="255"/>
      <c r="BJ595" s="255"/>
      <c r="BK595" s="255"/>
    </row>
    <row r="596" spans="1:63">
      <c r="A596" s="168">
        <v>42886</v>
      </c>
      <c r="B596" s="213" t="str">
        <f>IF(SUM(F596:Z596)&gt;0,Servicio_internaColumna_título_intereses,"")</f>
        <v>Intereses</v>
      </c>
      <c r="C596" s="256"/>
      <c r="D596" s="257"/>
      <c r="E596" s="257"/>
      <c r="F596" s="257"/>
      <c r="G596" s="257"/>
      <c r="H596" s="257"/>
      <c r="I596" s="257"/>
      <c r="J596" s="257"/>
      <c r="K596" s="257"/>
      <c r="L596" s="257"/>
      <c r="M596" s="257"/>
      <c r="N596" s="257"/>
      <c r="O596" s="257"/>
      <c r="P596" s="257"/>
      <c r="Q596" s="257"/>
      <c r="R596" s="257"/>
      <c r="S596" s="257">
        <v>10910616.225782663</v>
      </c>
      <c r="T596" s="257">
        <v>16310607.021323424</v>
      </c>
      <c r="U596" s="258">
        <v>14932619.43704793</v>
      </c>
      <c r="V596" s="258">
        <v>13647953.811324693</v>
      </c>
      <c r="W596" s="258">
        <v>11574344.033216082</v>
      </c>
      <c r="X596" s="258">
        <v>10937657.584573053</v>
      </c>
      <c r="Y596" s="258">
        <v>9232403.1213611625</v>
      </c>
      <c r="Z596" s="258">
        <v>8405025.3988056146</v>
      </c>
      <c r="AA596" s="258">
        <v>5744961.3012881046</v>
      </c>
      <c r="AB596" s="258">
        <v>5329928.0969213899</v>
      </c>
      <c r="AC596" s="258">
        <v>3497763.9503708249</v>
      </c>
      <c r="AD596" s="259">
        <v>3377859.2696505981</v>
      </c>
      <c r="AE596" s="259">
        <v>2564751.5303304438</v>
      </c>
      <c r="AF596" s="259">
        <v>2580585.7225924828</v>
      </c>
      <c r="AG596" s="259">
        <v>1273329.0058341778</v>
      </c>
      <c r="AH596" s="259">
        <v>1290570.5234674399</v>
      </c>
      <c r="AI596" s="259">
        <v>906730.08508376847</v>
      </c>
      <c r="AJ596" s="259">
        <v>483171.32824164903</v>
      </c>
      <c r="AK596" s="259">
        <v>492330.06276781269</v>
      </c>
      <c r="AL596" s="259">
        <v>26943.075357940004</v>
      </c>
      <c r="AM596" s="259">
        <v>22671.270583179998</v>
      </c>
      <c r="AN596" s="259">
        <v>19476.60423823</v>
      </c>
      <c r="AO596" s="259">
        <v>16640.984036279999</v>
      </c>
      <c r="AP596" s="259">
        <v>13805.363833919999</v>
      </c>
      <c r="AQ596" s="259">
        <v>10969.743631130001</v>
      </c>
      <c r="AR596" s="259">
        <v>8134.1234279199998</v>
      </c>
      <c r="AS596" s="259"/>
      <c r="AT596" s="259"/>
      <c r="AU596" s="259"/>
      <c r="AV596" s="259"/>
      <c r="AW596" s="259"/>
      <c r="AX596" s="259"/>
      <c r="AY596" s="259"/>
      <c r="AZ596" s="259"/>
      <c r="BA596" s="259"/>
      <c r="BB596" s="259"/>
      <c r="BC596" s="259"/>
      <c r="BD596" s="259"/>
      <c r="BE596" s="259"/>
      <c r="BF596" s="259"/>
      <c r="BG596" s="259"/>
      <c r="BH596" s="259"/>
      <c r="BI596" s="259"/>
      <c r="BJ596" s="259"/>
      <c r="BK596" s="259"/>
    </row>
    <row r="597" spans="1:63">
      <c r="A597" s="169"/>
      <c r="B597" s="307" t="str">
        <f>IF(SUM(F597:Z597)&gt;0,Servicio_internaColumna_título_total,"")</f>
        <v>Total</v>
      </c>
      <c r="C597" s="308"/>
      <c r="D597" s="309"/>
      <c r="E597" s="309"/>
      <c r="F597" s="309"/>
      <c r="G597" s="309"/>
      <c r="H597" s="309"/>
      <c r="I597" s="309"/>
      <c r="J597" s="309"/>
      <c r="K597" s="309"/>
      <c r="L597" s="309"/>
      <c r="M597" s="309"/>
      <c r="N597" s="309"/>
      <c r="O597" s="309"/>
      <c r="P597" s="309"/>
      <c r="Q597" s="309"/>
      <c r="R597" s="309"/>
      <c r="S597" s="309">
        <f>S596+S595</f>
        <v>18753078.013443191</v>
      </c>
      <c r="T597" s="309">
        <f t="shared" ref="T597:AP597" si="46">T596+T595</f>
        <v>44653590.392281421</v>
      </c>
      <c r="U597" s="309">
        <f t="shared" si="46"/>
        <v>38965359.964526929</v>
      </c>
      <c r="V597" s="309">
        <f t="shared" si="46"/>
        <v>33394856.58390931</v>
      </c>
      <c r="W597" s="309">
        <f t="shared" si="46"/>
        <v>28858773.467060283</v>
      </c>
      <c r="X597" s="309">
        <f t="shared" si="46"/>
        <v>36037944.787573054</v>
      </c>
      <c r="Y597" s="309">
        <f t="shared" si="46"/>
        <v>24183254.609837204</v>
      </c>
      <c r="Z597" s="309">
        <f t="shared" si="46"/>
        <v>35295012.598805614</v>
      </c>
      <c r="AA597" s="309">
        <f t="shared" si="46"/>
        <v>15407580.583223905</v>
      </c>
      <c r="AB597" s="309">
        <f t="shared" si="46"/>
        <v>29995958.596921392</v>
      </c>
      <c r="AC597" s="309">
        <f t="shared" si="46"/>
        <v>6502719.5559606254</v>
      </c>
      <c r="AD597" s="309">
        <f t="shared" si="46"/>
        <v>17182340.269650597</v>
      </c>
      <c r="AE597" s="309">
        <f t="shared" si="46"/>
        <v>2564751.5303304438</v>
      </c>
      <c r="AF597" s="309">
        <f t="shared" si="46"/>
        <v>19661671.822592486</v>
      </c>
      <c r="AG597" s="309">
        <f t="shared" si="46"/>
        <v>1273329.0058341778</v>
      </c>
      <c r="AH597" s="309">
        <f t="shared" si="46"/>
        <v>7041543.9234674405</v>
      </c>
      <c r="AI597" s="309">
        <f t="shared" si="46"/>
        <v>9810623.2817269675</v>
      </c>
      <c r="AJ597" s="309">
        <f t="shared" si="46"/>
        <v>483171.32824164903</v>
      </c>
      <c r="AK597" s="309">
        <f t="shared" si="46"/>
        <v>6146005.7568882136</v>
      </c>
      <c r="AL597" s="309">
        <f t="shared" si="46"/>
        <v>26943.075357940004</v>
      </c>
      <c r="AM597" s="309">
        <f t="shared" si="46"/>
        <v>22671.270583179998</v>
      </c>
      <c r="AN597" s="309">
        <f t="shared" si="46"/>
        <v>19476.60423823</v>
      </c>
      <c r="AO597" s="309">
        <f t="shared" si="46"/>
        <v>16640.984036279999</v>
      </c>
      <c r="AP597" s="309">
        <f t="shared" si="46"/>
        <v>13805.363833919999</v>
      </c>
      <c r="AQ597" s="309">
        <f>AQ596+AQ595</f>
        <v>10969.743631130001</v>
      </c>
      <c r="AR597" s="309">
        <f>AR596+AR595</f>
        <v>8134.1234279199998</v>
      </c>
      <c r="AS597" s="309"/>
      <c r="AT597" s="309"/>
      <c r="AU597" s="309"/>
      <c r="AV597" s="309"/>
      <c r="AW597" s="309"/>
      <c r="AX597" s="309"/>
      <c r="AY597" s="309"/>
      <c r="AZ597" s="309"/>
      <c r="BA597" s="309"/>
      <c r="BB597" s="309"/>
      <c r="BC597" s="309"/>
      <c r="BD597" s="309"/>
      <c r="BE597" s="309"/>
      <c r="BF597" s="309"/>
      <c r="BG597" s="309"/>
      <c r="BH597" s="309"/>
      <c r="BI597" s="309"/>
      <c r="BJ597" s="309"/>
      <c r="BK597" s="309"/>
    </row>
    <row r="598" spans="1:63">
      <c r="A598" s="167"/>
      <c r="B598" s="210" t="str">
        <f>IF(SUM(F598:Z598)&gt;0,Servicio_internaColumna_título_amortizaciones,"")</f>
        <v>Amortizaciones</v>
      </c>
      <c r="C598" s="254"/>
      <c r="D598" s="255"/>
      <c r="E598" s="255"/>
      <c r="F598" s="255"/>
      <c r="G598" s="255"/>
      <c r="H598" s="255"/>
      <c r="I598" s="255"/>
      <c r="J598" s="255"/>
      <c r="K598" s="255"/>
      <c r="L598" s="255"/>
      <c r="M598" s="255"/>
      <c r="N598" s="255"/>
      <c r="O598" s="255"/>
      <c r="P598" s="255"/>
      <c r="Q598" s="255"/>
      <c r="R598" s="255"/>
      <c r="S598" s="255">
        <v>5250922.9665440507</v>
      </c>
      <c r="T598" s="255">
        <v>25142983.270957999</v>
      </c>
      <c r="U598" s="255">
        <v>24067603.854225498</v>
      </c>
      <c r="V598" s="255">
        <v>19746733.033370536</v>
      </c>
      <c r="W598" s="255">
        <v>17691835.047505699</v>
      </c>
      <c r="X598" s="255">
        <v>25712460.503000002</v>
      </c>
      <c r="Y598" s="255">
        <v>15002038.698754983</v>
      </c>
      <c r="Z598" s="255">
        <v>26889987.199999999</v>
      </c>
      <c r="AA598" s="255">
        <v>9695701.2703251</v>
      </c>
      <c r="AB598" s="255">
        <v>25725953</v>
      </c>
      <c r="AC598" s="255">
        <v>3367005.9212893997</v>
      </c>
      <c r="AD598" s="255">
        <v>13804481</v>
      </c>
      <c r="AE598" s="255">
        <v>0</v>
      </c>
      <c r="AF598" s="255">
        <v>17081086.100000001</v>
      </c>
      <c r="AG598" s="255">
        <v>0</v>
      </c>
      <c r="AH598" s="255">
        <v>6471752.5999999996</v>
      </c>
      <c r="AI598" s="255">
        <v>8934377.5283504017</v>
      </c>
      <c r="AJ598" s="255">
        <v>0</v>
      </c>
      <c r="AK598" s="255">
        <v>5983658.4939025007</v>
      </c>
      <c r="AL598" s="255">
        <v>0</v>
      </c>
      <c r="AM598" s="255">
        <v>0</v>
      </c>
      <c r="AN598" s="255">
        <v>0</v>
      </c>
      <c r="AO598" s="255">
        <v>0</v>
      </c>
      <c r="AP598" s="255">
        <v>0</v>
      </c>
      <c r="AQ598" s="255">
        <v>0</v>
      </c>
      <c r="AR598" s="255">
        <v>0</v>
      </c>
      <c r="AS598" s="255"/>
      <c r="AT598" s="255"/>
      <c r="AU598" s="255"/>
      <c r="AV598" s="255"/>
      <c r="AW598" s="255"/>
      <c r="AX598" s="255"/>
      <c r="AY598" s="255"/>
      <c r="AZ598" s="255"/>
      <c r="BA598" s="255"/>
      <c r="BB598" s="255"/>
      <c r="BC598" s="255"/>
      <c r="BD598" s="255"/>
      <c r="BE598" s="255"/>
      <c r="BF598" s="255"/>
      <c r="BG598" s="255"/>
      <c r="BH598" s="255"/>
      <c r="BI598" s="255"/>
      <c r="BJ598" s="255"/>
      <c r="BK598" s="255"/>
    </row>
    <row r="599" spans="1:63">
      <c r="A599" s="168">
        <v>42916</v>
      </c>
      <c r="B599" s="213" t="str">
        <f>IF(SUM(F599:Z599)&gt;0,Servicio_internaColumna_título_intereses,"")</f>
        <v>Intereses</v>
      </c>
      <c r="C599" s="256"/>
      <c r="D599" s="257"/>
      <c r="E599" s="257"/>
      <c r="F599" s="257"/>
      <c r="G599" s="257"/>
      <c r="H599" s="257"/>
      <c r="I599" s="257"/>
      <c r="J599" s="257"/>
      <c r="K599" s="257"/>
      <c r="L599" s="257"/>
      <c r="M599" s="257"/>
      <c r="N599" s="257"/>
      <c r="O599" s="257"/>
      <c r="P599" s="257"/>
      <c r="Q599" s="257"/>
      <c r="R599" s="257"/>
      <c r="S599" s="257">
        <v>10172758.810315441</v>
      </c>
      <c r="T599" s="257">
        <v>16108565.916156121</v>
      </c>
      <c r="U599" s="258">
        <v>15146529.56410061</v>
      </c>
      <c r="V599" s="258">
        <v>13863097.216313954</v>
      </c>
      <c r="W599" s="258">
        <v>11790757.714480024</v>
      </c>
      <c r="X599" s="258">
        <v>11141177.642619979</v>
      </c>
      <c r="Y599" s="258">
        <v>9393992.6242744904</v>
      </c>
      <c r="Z599" s="258">
        <v>8567564.124861341</v>
      </c>
      <c r="AA599" s="258">
        <v>5908477.7271805042</v>
      </c>
      <c r="AB599" s="258">
        <v>5494451.5536455642</v>
      </c>
      <c r="AC599" s="258">
        <v>3583830.4613517215</v>
      </c>
      <c r="AD599" s="259">
        <v>3448843.0016473429</v>
      </c>
      <c r="AE599" s="259">
        <v>2636351.1379670864</v>
      </c>
      <c r="AF599" s="259">
        <v>2652819.6821382255</v>
      </c>
      <c r="AG599" s="259">
        <v>1346216.3478462927</v>
      </c>
      <c r="AH599" s="259">
        <v>1364130.8494199177</v>
      </c>
      <c r="AI599" s="259">
        <v>930529.0404948208</v>
      </c>
      <c r="AJ599" s="259">
        <v>507684.25231503305</v>
      </c>
      <c r="AK599" s="259">
        <v>517578.37456339848</v>
      </c>
      <c r="AL599" s="259">
        <v>26943.075357940004</v>
      </c>
      <c r="AM599" s="259">
        <v>22671.270583179998</v>
      </c>
      <c r="AN599" s="259">
        <v>19476.60423823</v>
      </c>
      <c r="AO599" s="259">
        <v>16640.984036279999</v>
      </c>
      <c r="AP599" s="259">
        <v>13805.363833919999</v>
      </c>
      <c r="AQ599" s="259">
        <v>10969.743631130001</v>
      </c>
      <c r="AR599" s="259">
        <v>8134.1234279199998</v>
      </c>
      <c r="AS599" s="259"/>
      <c r="AT599" s="259"/>
      <c r="AU599" s="259"/>
      <c r="AV599" s="259"/>
      <c r="AW599" s="259"/>
      <c r="AX599" s="259"/>
      <c r="AY599" s="259"/>
      <c r="AZ599" s="259"/>
      <c r="BA599" s="259"/>
      <c r="BB599" s="259"/>
      <c r="BC599" s="259"/>
      <c r="BD599" s="259"/>
      <c r="BE599" s="259"/>
      <c r="BF599" s="259"/>
      <c r="BG599" s="259"/>
      <c r="BH599" s="259"/>
      <c r="BI599" s="259"/>
      <c r="BJ599" s="259"/>
      <c r="BK599" s="259"/>
    </row>
    <row r="600" spans="1:63">
      <c r="A600" s="169"/>
      <c r="B600" s="307" t="str">
        <f>IF(SUM(F600:Z600)&gt;0,Servicio_internaColumna_título_total,"")</f>
        <v>Total</v>
      </c>
      <c r="C600" s="308"/>
      <c r="D600" s="309"/>
      <c r="E600" s="309"/>
      <c r="F600" s="309"/>
      <c r="G600" s="309"/>
      <c r="H600" s="309"/>
      <c r="I600" s="309"/>
      <c r="J600" s="309"/>
      <c r="K600" s="309"/>
      <c r="L600" s="309"/>
      <c r="M600" s="309"/>
      <c r="N600" s="309"/>
      <c r="O600" s="309"/>
      <c r="P600" s="309"/>
      <c r="Q600" s="309"/>
      <c r="R600" s="309"/>
      <c r="S600" s="309">
        <f>S599+S598</f>
        <v>15423681.776859492</v>
      </c>
      <c r="T600" s="309">
        <f t="shared" ref="T600:AP600" si="47">T599+T598</f>
        <v>41251549.18711412</v>
      </c>
      <c r="U600" s="309">
        <f t="shared" si="47"/>
        <v>39214133.41832611</v>
      </c>
      <c r="V600" s="309">
        <f t="shared" si="47"/>
        <v>33609830.24968449</v>
      </c>
      <c r="W600" s="309">
        <f t="shared" si="47"/>
        <v>29482592.761985723</v>
      </c>
      <c r="X600" s="309">
        <f t="shared" si="47"/>
        <v>36853638.145619981</v>
      </c>
      <c r="Y600" s="309">
        <f t="shared" si="47"/>
        <v>24396031.323029473</v>
      </c>
      <c r="Z600" s="309">
        <f t="shared" si="47"/>
        <v>35457551.32486134</v>
      </c>
      <c r="AA600" s="309">
        <f t="shared" si="47"/>
        <v>15604178.997505605</v>
      </c>
      <c r="AB600" s="309">
        <f t="shared" si="47"/>
        <v>31220404.553645566</v>
      </c>
      <c r="AC600" s="309">
        <f t="shared" si="47"/>
        <v>6950836.3826411217</v>
      </c>
      <c r="AD600" s="309">
        <f t="shared" si="47"/>
        <v>17253324.001647342</v>
      </c>
      <c r="AE600" s="309">
        <f t="shared" si="47"/>
        <v>2636351.1379670864</v>
      </c>
      <c r="AF600" s="309">
        <f t="shared" si="47"/>
        <v>19733905.782138228</v>
      </c>
      <c r="AG600" s="309">
        <f t="shared" si="47"/>
        <v>1346216.3478462927</v>
      </c>
      <c r="AH600" s="309">
        <f t="shared" si="47"/>
        <v>7835883.4494199175</v>
      </c>
      <c r="AI600" s="309">
        <f t="shared" si="47"/>
        <v>9864906.5688452218</v>
      </c>
      <c r="AJ600" s="309">
        <f t="shared" si="47"/>
        <v>507684.25231503305</v>
      </c>
      <c r="AK600" s="309">
        <f t="shared" si="47"/>
        <v>6501236.8684658995</v>
      </c>
      <c r="AL600" s="309">
        <f t="shared" si="47"/>
        <v>26943.075357940004</v>
      </c>
      <c r="AM600" s="309">
        <f t="shared" si="47"/>
        <v>22671.270583179998</v>
      </c>
      <c r="AN600" s="309">
        <f t="shared" si="47"/>
        <v>19476.60423823</v>
      </c>
      <c r="AO600" s="309">
        <f t="shared" si="47"/>
        <v>16640.984036279999</v>
      </c>
      <c r="AP600" s="309">
        <f t="shared" si="47"/>
        <v>13805.363833919999</v>
      </c>
      <c r="AQ600" s="309">
        <f>AQ599+AQ598</f>
        <v>10969.743631130001</v>
      </c>
      <c r="AR600" s="309">
        <f>AR599+AR598</f>
        <v>8134.1234279199998</v>
      </c>
      <c r="AS600" s="309"/>
      <c r="AT600" s="309"/>
      <c r="AU600" s="309"/>
      <c r="AV600" s="309"/>
      <c r="AW600" s="309"/>
      <c r="AX600" s="309"/>
      <c r="AY600" s="309"/>
      <c r="AZ600" s="309"/>
      <c r="BA600" s="309"/>
      <c r="BB600" s="309"/>
      <c r="BC600" s="309"/>
      <c r="BD600" s="309"/>
      <c r="BE600" s="309"/>
      <c r="BF600" s="309"/>
      <c r="BG600" s="309"/>
      <c r="BH600" s="309"/>
      <c r="BI600" s="309"/>
      <c r="BJ600" s="309"/>
      <c r="BK600" s="309"/>
    </row>
    <row r="601" spans="1:63">
      <c r="A601" s="167"/>
      <c r="B601" s="210" t="str">
        <f>IF(SUM(F601:Z601)&gt;0,Servicio_internaColumna_título_amortizaciones,"")</f>
        <v>Amortizaciones</v>
      </c>
      <c r="C601" s="254"/>
      <c r="D601" s="255"/>
      <c r="E601" s="255"/>
      <c r="F601" s="255"/>
      <c r="G601" s="255"/>
      <c r="H601" s="255"/>
      <c r="I601" s="255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>
        <v>5253243.0263241306</v>
      </c>
      <c r="T601" s="255">
        <v>27246170.028492</v>
      </c>
      <c r="U601" s="255">
        <v>24085151.443956498</v>
      </c>
      <c r="V601" s="255">
        <v>19742998.359534316</v>
      </c>
      <c r="W601" s="255">
        <v>18153921.960953303</v>
      </c>
      <c r="X601" s="255">
        <v>26248957.703000002</v>
      </c>
      <c r="Y601" s="255">
        <v>15027802.509878928</v>
      </c>
      <c r="Z601" s="255">
        <v>26889989.827999998</v>
      </c>
      <c r="AA601" s="255">
        <v>9712352.2676312998</v>
      </c>
      <c r="AB601" s="255">
        <v>26407665.399999999</v>
      </c>
      <c r="AC601" s="255">
        <v>3936979.1747307</v>
      </c>
      <c r="AD601" s="255">
        <v>13804481</v>
      </c>
      <c r="AE601" s="255">
        <v>0</v>
      </c>
      <c r="AF601" s="255">
        <v>17081086.100000001</v>
      </c>
      <c r="AG601" s="255">
        <v>0</v>
      </c>
      <c r="AH601" s="255">
        <v>6907802.5</v>
      </c>
      <c r="AI601" s="255">
        <v>8949721.0596751999</v>
      </c>
      <c r="AJ601" s="255">
        <v>0</v>
      </c>
      <c r="AK601" s="255">
        <v>6232228.7305453001</v>
      </c>
      <c r="AL601" s="255">
        <v>0</v>
      </c>
      <c r="AM601" s="255">
        <v>0</v>
      </c>
      <c r="AN601" s="255">
        <v>0</v>
      </c>
      <c r="AO601" s="255">
        <v>0</v>
      </c>
      <c r="AP601" s="255">
        <v>0</v>
      </c>
      <c r="AQ601" s="255">
        <v>0</v>
      </c>
      <c r="AR601" s="255">
        <v>0</v>
      </c>
      <c r="AS601" s="255"/>
      <c r="AT601" s="255"/>
      <c r="AU601" s="255"/>
      <c r="AV601" s="255"/>
      <c r="AW601" s="255"/>
      <c r="AX601" s="255"/>
      <c r="AY601" s="255"/>
      <c r="AZ601" s="255"/>
      <c r="BA601" s="255"/>
      <c r="BB601" s="255"/>
      <c r="BC601" s="255"/>
      <c r="BD601" s="255"/>
      <c r="BE601" s="255"/>
      <c r="BF601" s="255"/>
      <c r="BG601" s="255"/>
      <c r="BH601" s="255"/>
      <c r="BI601" s="255"/>
      <c r="BJ601" s="255"/>
      <c r="BK601" s="255"/>
    </row>
    <row r="602" spans="1:63">
      <c r="A602" s="168">
        <v>42947</v>
      </c>
      <c r="B602" s="213" t="str">
        <f>IF(SUM(F602:Z602)&gt;0,Servicio_internaColumna_título_intereses,"")</f>
        <v>Intereses</v>
      </c>
      <c r="C602" s="256"/>
      <c r="D602" s="257"/>
      <c r="E602" s="257"/>
      <c r="F602" s="257"/>
      <c r="G602" s="257"/>
      <c r="H602" s="257"/>
      <c r="I602" s="257"/>
      <c r="J602" s="257"/>
      <c r="K602" s="257"/>
      <c r="L602" s="257"/>
      <c r="M602" s="257"/>
      <c r="N602" s="257"/>
      <c r="O602" s="257"/>
      <c r="P602" s="257"/>
      <c r="Q602" s="257"/>
      <c r="R602" s="257"/>
      <c r="S602" s="257">
        <v>5315996.2162127895</v>
      </c>
      <c r="T602" s="257">
        <v>16274329.913865618</v>
      </c>
      <c r="U602" s="258">
        <v>15313671.348884681</v>
      </c>
      <c r="V602" s="258">
        <v>14031680.783371601</v>
      </c>
      <c r="W602" s="258">
        <v>11960836.530939251</v>
      </c>
      <c r="X602" s="258">
        <v>11295207.821302457</v>
      </c>
      <c r="Y602" s="258">
        <v>9511513.5129378084</v>
      </c>
      <c r="Z602" s="258">
        <v>8686161.2551740743</v>
      </c>
      <c r="AA602" s="258">
        <v>6028183.2137126131</v>
      </c>
      <c r="AB602" s="258">
        <v>5615298.6470836345</v>
      </c>
      <c r="AC602" s="258">
        <v>3654724.9799029371</v>
      </c>
      <c r="AD602" s="259">
        <v>3495088.2768778289</v>
      </c>
      <c r="AE602" s="259">
        <v>2683068.0666644899</v>
      </c>
      <c r="AF602" s="259">
        <v>2700022.4139065505</v>
      </c>
      <c r="AG602" s="259">
        <v>1393919.4567776679</v>
      </c>
      <c r="AH602" s="259">
        <v>1412349.3468292344</v>
      </c>
      <c r="AI602" s="259">
        <v>948754.89503641683</v>
      </c>
      <c r="AJ602" s="259">
        <v>526456.88249287684</v>
      </c>
      <c r="AK602" s="259">
        <v>536914.18364657811</v>
      </c>
      <c r="AL602" s="259">
        <v>26943.075357940004</v>
      </c>
      <c r="AM602" s="259">
        <v>22671.270583179998</v>
      </c>
      <c r="AN602" s="259">
        <v>19476.60423823</v>
      </c>
      <c r="AO602" s="259">
        <v>16640.984036279999</v>
      </c>
      <c r="AP602" s="259">
        <v>13805.363833919999</v>
      </c>
      <c r="AQ602" s="259">
        <v>10969.743631130001</v>
      </c>
      <c r="AR602" s="259">
        <v>8134.1234279199998</v>
      </c>
      <c r="AS602" s="259"/>
      <c r="AT602" s="259"/>
      <c r="AU602" s="259"/>
      <c r="AV602" s="259"/>
      <c r="AW602" s="259"/>
      <c r="AX602" s="259"/>
      <c r="AY602" s="259"/>
      <c r="AZ602" s="259"/>
      <c r="BA602" s="259"/>
      <c r="BB602" s="259"/>
      <c r="BC602" s="259"/>
      <c r="BD602" s="259"/>
      <c r="BE602" s="259"/>
      <c r="BF602" s="259"/>
      <c r="BG602" s="259"/>
      <c r="BH602" s="259"/>
      <c r="BI602" s="259"/>
      <c r="BJ602" s="259"/>
      <c r="BK602" s="259"/>
    </row>
    <row r="603" spans="1:63">
      <c r="A603" s="169"/>
      <c r="B603" s="307" t="str">
        <f>IF(SUM(F603:Z603)&gt;0,Servicio_internaColumna_título_total,"")</f>
        <v>Total</v>
      </c>
      <c r="C603" s="308"/>
      <c r="D603" s="309"/>
      <c r="E603" s="309"/>
      <c r="F603" s="309"/>
      <c r="G603" s="309"/>
      <c r="H603" s="309"/>
      <c r="I603" s="309"/>
      <c r="J603" s="309"/>
      <c r="K603" s="309"/>
      <c r="L603" s="309"/>
      <c r="M603" s="309"/>
      <c r="N603" s="309"/>
      <c r="O603" s="309"/>
      <c r="P603" s="309"/>
      <c r="Q603" s="309"/>
      <c r="R603" s="309"/>
      <c r="S603" s="309">
        <f>S602+S601</f>
        <v>10569239.242536921</v>
      </c>
      <c r="T603" s="309">
        <f t="shared" ref="T603:AP603" si="48">T602+T601</f>
        <v>43520499.942357615</v>
      </c>
      <c r="U603" s="309">
        <f t="shared" si="48"/>
        <v>39398822.792841181</v>
      </c>
      <c r="V603" s="309">
        <f t="shared" si="48"/>
        <v>33774679.142905921</v>
      </c>
      <c r="W603" s="309">
        <f t="shared" si="48"/>
        <v>30114758.491892554</v>
      </c>
      <c r="X603" s="309">
        <f t="shared" si="48"/>
        <v>37544165.52430246</v>
      </c>
      <c r="Y603" s="309">
        <f t="shared" si="48"/>
        <v>24539316.022816736</v>
      </c>
      <c r="Z603" s="309">
        <f t="shared" si="48"/>
        <v>35576151.083174072</v>
      </c>
      <c r="AA603" s="309">
        <f t="shared" si="48"/>
        <v>15740535.481343914</v>
      </c>
      <c r="AB603" s="309">
        <f t="shared" si="48"/>
        <v>32022964.047083631</v>
      </c>
      <c r="AC603" s="309">
        <f t="shared" si="48"/>
        <v>7591704.1546336375</v>
      </c>
      <c r="AD603" s="309">
        <f t="shared" si="48"/>
        <v>17299569.276877828</v>
      </c>
      <c r="AE603" s="309">
        <f t="shared" si="48"/>
        <v>2683068.0666644899</v>
      </c>
      <c r="AF603" s="309">
        <f t="shared" si="48"/>
        <v>19781108.513906553</v>
      </c>
      <c r="AG603" s="309">
        <f t="shared" si="48"/>
        <v>1393919.4567776679</v>
      </c>
      <c r="AH603" s="309">
        <f t="shared" si="48"/>
        <v>8320151.8468292346</v>
      </c>
      <c r="AI603" s="309">
        <f t="shared" si="48"/>
        <v>9898475.954711616</v>
      </c>
      <c r="AJ603" s="309">
        <f t="shared" si="48"/>
        <v>526456.88249287684</v>
      </c>
      <c r="AK603" s="309">
        <f t="shared" si="48"/>
        <v>6769142.9141918784</v>
      </c>
      <c r="AL603" s="309">
        <f t="shared" si="48"/>
        <v>26943.075357940004</v>
      </c>
      <c r="AM603" s="309">
        <f t="shared" si="48"/>
        <v>22671.270583179998</v>
      </c>
      <c r="AN603" s="309">
        <f t="shared" si="48"/>
        <v>19476.60423823</v>
      </c>
      <c r="AO603" s="309">
        <f t="shared" si="48"/>
        <v>16640.984036279999</v>
      </c>
      <c r="AP603" s="309">
        <f t="shared" si="48"/>
        <v>13805.363833919999</v>
      </c>
      <c r="AQ603" s="309">
        <f>AQ602+AQ601</f>
        <v>10969.743631130001</v>
      </c>
      <c r="AR603" s="309">
        <f>AR602+AR601</f>
        <v>8134.1234279199998</v>
      </c>
      <c r="AS603" s="309"/>
      <c r="AT603" s="309"/>
      <c r="AU603" s="309"/>
      <c r="AV603" s="309"/>
      <c r="AW603" s="309"/>
      <c r="AX603" s="309"/>
      <c r="AY603" s="309"/>
      <c r="AZ603" s="309"/>
      <c r="BA603" s="309"/>
      <c r="BB603" s="309"/>
      <c r="BC603" s="309"/>
      <c r="BD603" s="309"/>
      <c r="BE603" s="309"/>
      <c r="BF603" s="309"/>
      <c r="BG603" s="309"/>
      <c r="BH603" s="309"/>
      <c r="BI603" s="309"/>
      <c r="BJ603" s="309"/>
      <c r="BK603" s="309"/>
    </row>
    <row r="604" spans="1:63">
      <c r="A604" s="167"/>
      <c r="B604" s="210" t="str">
        <f>IF(SUM(F604:Z604)&gt;0,Servicio_internaColumna_título_amortizaciones,"")</f>
        <v>Amortizaciones</v>
      </c>
      <c r="C604" s="254"/>
      <c r="D604" s="255"/>
      <c r="E604" s="255"/>
      <c r="F604" s="255"/>
      <c r="G604" s="255"/>
      <c r="H604" s="255"/>
      <c r="I604" s="255"/>
      <c r="J604" s="255"/>
      <c r="K604" s="255"/>
      <c r="L604" s="255"/>
      <c r="M604" s="255"/>
      <c r="N604" s="255"/>
      <c r="O604" s="255"/>
      <c r="P604" s="255"/>
      <c r="Q604" s="255"/>
      <c r="R604" s="255"/>
      <c r="S604" s="255">
        <v>5253378.6997847194</v>
      </c>
      <c r="T604" s="255">
        <v>28246169.928492002</v>
      </c>
      <c r="U604" s="255">
        <v>24087954.014499996</v>
      </c>
      <c r="V604" s="255">
        <v>19742998.359534316</v>
      </c>
      <c r="W604" s="255">
        <v>18530351.584100001</v>
      </c>
      <c r="X604" s="255">
        <v>27204891.803000003</v>
      </c>
      <c r="Y604" s="255">
        <v>15031917.314205399</v>
      </c>
      <c r="Z604" s="255">
        <v>26889987.199999999</v>
      </c>
      <c r="AA604" s="255">
        <v>9715011.6410999987</v>
      </c>
      <c r="AB604" s="255">
        <v>27339734</v>
      </c>
      <c r="AC604" s="255">
        <v>4320158.1606000001</v>
      </c>
      <c r="AD604" s="255">
        <v>13804481</v>
      </c>
      <c r="AE604" s="255">
        <v>0</v>
      </c>
      <c r="AF604" s="255">
        <v>17081086.100000001</v>
      </c>
      <c r="AG604" s="255">
        <v>0</v>
      </c>
      <c r="AH604" s="255">
        <v>7609303.2999999998</v>
      </c>
      <c r="AI604" s="255">
        <v>8952171.6143999994</v>
      </c>
      <c r="AJ604" s="255">
        <v>0</v>
      </c>
      <c r="AK604" s="255">
        <v>6565335.7523999996</v>
      </c>
      <c r="AL604" s="255">
        <v>0</v>
      </c>
      <c r="AM604" s="255">
        <v>0</v>
      </c>
      <c r="AN604" s="255">
        <v>0</v>
      </c>
      <c r="AO604" s="255">
        <v>0</v>
      </c>
      <c r="AP604" s="255">
        <v>0</v>
      </c>
      <c r="AQ604" s="255">
        <v>0</v>
      </c>
      <c r="AR604" s="255">
        <v>0</v>
      </c>
      <c r="AS604" s="255"/>
      <c r="AT604" s="255"/>
      <c r="AU604" s="255"/>
      <c r="AV604" s="255"/>
      <c r="AW604" s="255"/>
      <c r="AX604" s="255"/>
      <c r="AY604" s="255"/>
      <c r="AZ604" s="255"/>
      <c r="BA604" s="255"/>
      <c r="BB604" s="255"/>
      <c r="BC604" s="255"/>
      <c r="BD604" s="255"/>
      <c r="BE604" s="255"/>
      <c r="BF604" s="255"/>
      <c r="BG604" s="255"/>
      <c r="BH604" s="255"/>
      <c r="BI604" s="255"/>
      <c r="BJ604" s="255"/>
      <c r="BK604" s="255"/>
    </row>
    <row r="605" spans="1:63">
      <c r="A605" s="168">
        <v>42978</v>
      </c>
      <c r="B605" s="213" t="str">
        <f>IF(SUM(F605:Z605)&gt;0,Servicio_internaColumna_título_intereses,"")</f>
        <v>Intereses</v>
      </c>
      <c r="C605" s="256"/>
      <c r="D605" s="257"/>
      <c r="E605" s="257"/>
      <c r="F605" s="257"/>
      <c r="G605" s="257"/>
      <c r="H605" s="257"/>
      <c r="I605" s="257"/>
      <c r="J605" s="257"/>
      <c r="K605" s="257"/>
      <c r="L605" s="257"/>
      <c r="M605" s="257"/>
      <c r="N605" s="257"/>
      <c r="O605" s="257"/>
      <c r="P605" s="257"/>
      <c r="Q605" s="257"/>
      <c r="R605" s="257"/>
      <c r="S605" s="257">
        <v>3333914.0636096802</v>
      </c>
      <c r="T605" s="257">
        <v>16502982.197852958</v>
      </c>
      <c r="U605" s="258">
        <v>15543605.433751622</v>
      </c>
      <c r="V605" s="258">
        <v>14262935.123144619</v>
      </c>
      <c r="W605" s="258">
        <v>12193450.733265411</v>
      </c>
      <c r="X605" s="258">
        <v>11514103.395196965</v>
      </c>
      <c r="Y605" s="258">
        <v>9664482.7994091529</v>
      </c>
      <c r="Z605" s="258">
        <v>8840149.3142095916</v>
      </c>
      <c r="AA605" s="258">
        <v>6183220.6084892312</v>
      </c>
      <c r="AB605" s="258">
        <v>5771416.8576735314</v>
      </c>
      <c r="AC605" s="258">
        <v>3742051.2857805197</v>
      </c>
      <c r="AD605" s="259">
        <v>3566051.9522750797</v>
      </c>
      <c r="AE605" s="259">
        <v>2754687.5006436901</v>
      </c>
      <c r="AF605" s="259">
        <v>2772317.279225132</v>
      </c>
      <c r="AG605" s="259">
        <v>1466910.0163758055</v>
      </c>
      <c r="AH605" s="259">
        <v>1486056.4715353164</v>
      </c>
      <c r="AI605" s="259">
        <v>974095.0258036803</v>
      </c>
      <c r="AJ605" s="259">
        <v>552557.21718315932</v>
      </c>
      <c r="AK605" s="259">
        <v>563797.52837756905</v>
      </c>
      <c r="AL605" s="259">
        <v>26943.075357940004</v>
      </c>
      <c r="AM605" s="259">
        <v>22671.270583179998</v>
      </c>
      <c r="AN605" s="259">
        <v>19476.60423823</v>
      </c>
      <c r="AO605" s="259">
        <v>16640.984036279999</v>
      </c>
      <c r="AP605" s="259">
        <v>13805.363833919999</v>
      </c>
      <c r="AQ605" s="259">
        <v>10969.743631130001</v>
      </c>
      <c r="AR605" s="259">
        <v>8134.1234279199998</v>
      </c>
      <c r="AS605" s="259"/>
      <c r="AT605" s="259"/>
      <c r="AU605" s="259"/>
      <c r="AV605" s="259"/>
      <c r="AW605" s="259"/>
      <c r="AX605" s="259"/>
      <c r="AY605" s="259"/>
      <c r="AZ605" s="259"/>
      <c r="BA605" s="259"/>
      <c r="BB605" s="259"/>
      <c r="BC605" s="259"/>
      <c r="BD605" s="259"/>
      <c r="BE605" s="259"/>
      <c r="BF605" s="259"/>
      <c r="BG605" s="259"/>
      <c r="BH605" s="259"/>
      <c r="BI605" s="259"/>
      <c r="BJ605" s="259"/>
      <c r="BK605" s="259"/>
    </row>
    <row r="606" spans="1:63">
      <c r="A606" s="169"/>
      <c r="B606" s="307" t="str">
        <f>IF(SUM(F606:Z606)&gt;0,Servicio_internaColumna_título_total,"")</f>
        <v>Total</v>
      </c>
      <c r="C606" s="308"/>
      <c r="D606" s="309"/>
      <c r="E606" s="309"/>
      <c r="F606" s="309"/>
      <c r="G606" s="309"/>
      <c r="H606" s="309"/>
      <c r="I606" s="309"/>
      <c r="J606" s="309"/>
      <c r="K606" s="309"/>
      <c r="L606" s="309"/>
      <c r="M606" s="309"/>
      <c r="N606" s="309"/>
      <c r="O606" s="309"/>
      <c r="P606" s="309"/>
      <c r="Q606" s="309"/>
      <c r="R606" s="309"/>
      <c r="S606" s="309">
        <f>S605+S604</f>
        <v>8587292.7633944005</v>
      </c>
      <c r="T606" s="309">
        <f t="shared" ref="T606:AR606" si="49">T605+T604</f>
        <v>44749152.126344964</v>
      </c>
      <c r="U606" s="309">
        <f t="shared" si="49"/>
        <v>39631559.44825162</v>
      </c>
      <c r="V606" s="309">
        <f t="shared" si="49"/>
        <v>34005933.482678935</v>
      </c>
      <c r="W606" s="309">
        <f t="shared" si="49"/>
        <v>30723802.317365412</v>
      </c>
      <c r="X606" s="309">
        <f t="shared" si="49"/>
        <v>38718995.19819697</v>
      </c>
      <c r="Y606" s="309">
        <f t="shared" si="49"/>
        <v>24696400.113614552</v>
      </c>
      <c r="Z606" s="309">
        <f t="shared" si="49"/>
        <v>35730136.514209591</v>
      </c>
      <c r="AA606" s="309">
        <f t="shared" si="49"/>
        <v>15898232.249589231</v>
      </c>
      <c r="AB606" s="309">
        <f t="shared" si="49"/>
        <v>33111150.857673533</v>
      </c>
      <c r="AC606" s="309">
        <f t="shared" si="49"/>
        <v>8062209.4463805202</v>
      </c>
      <c r="AD606" s="309">
        <f t="shared" si="49"/>
        <v>17370532.952275079</v>
      </c>
      <c r="AE606" s="309">
        <f t="shared" si="49"/>
        <v>2754687.5006436901</v>
      </c>
      <c r="AF606" s="309">
        <f t="shared" si="49"/>
        <v>19853403.379225135</v>
      </c>
      <c r="AG606" s="309">
        <f t="shared" si="49"/>
        <v>1466910.0163758055</v>
      </c>
      <c r="AH606" s="309">
        <f t="shared" si="49"/>
        <v>9095359.7715353165</v>
      </c>
      <c r="AI606" s="309">
        <f t="shared" si="49"/>
        <v>9926266.640203679</v>
      </c>
      <c r="AJ606" s="309">
        <f t="shared" si="49"/>
        <v>552557.21718315932</v>
      </c>
      <c r="AK606" s="309">
        <f t="shared" si="49"/>
        <v>7129133.2807775689</v>
      </c>
      <c r="AL606" s="309">
        <f t="shared" si="49"/>
        <v>26943.075357940004</v>
      </c>
      <c r="AM606" s="309">
        <f t="shared" si="49"/>
        <v>22671.270583179998</v>
      </c>
      <c r="AN606" s="309">
        <f t="shared" si="49"/>
        <v>19476.60423823</v>
      </c>
      <c r="AO606" s="309">
        <f t="shared" si="49"/>
        <v>16640.984036279999</v>
      </c>
      <c r="AP606" s="309">
        <f t="shared" si="49"/>
        <v>13805.363833919999</v>
      </c>
      <c r="AQ606" s="309">
        <f t="shared" si="49"/>
        <v>10969.743631130001</v>
      </c>
      <c r="AR606" s="309">
        <f t="shared" si="49"/>
        <v>8134.1234279199998</v>
      </c>
      <c r="AS606" s="309"/>
      <c r="AT606" s="309"/>
      <c r="AU606" s="309"/>
      <c r="AV606" s="309"/>
      <c r="AW606" s="309"/>
      <c r="AX606" s="309"/>
      <c r="AY606" s="309"/>
      <c r="AZ606" s="309"/>
      <c r="BA606" s="309"/>
      <c r="BB606" s="309"/>
      <c r="BC606" s="309"/>
      <c r="BD606" s="309"/>
      <c r="BE606" s="309"/>
      <c r="BF606" s="309"/>
      <c r="BG606" s="309"/>
      <c r="BH606" s="309"/>
      <c r="BI606" s="309"/>
      <c r="BJ606" s="309"/>
      <c r="BK606" s="309"/>
    </row>
    <row r="607" spans="1:63">
      <c r="A607" s="167"/>
      <c r="B607" s="210" t="str">
        <f>IF(SUM(F607:Z607)&gt;0,Servicio_internaColumna_título_amortizaciones,"")</f>
        <v>Amortizaciones</v>
      </c>
      <c r="C607" s="254"/>
      <c r="D607" s="255"/>
      <c r="E607" s="255"/>
      <c r="F607" s="255"/>
      <c r="G607" s="255"/>
      <c r="H607" s="255"/>
      <c r="I607" s="255"/>
      <c r="J607" s="255"/>
      <c r="K607" s="255"/>
      <c r="L607" s="255"/>
      <c r="M607" s="255"/>
      <c r="N607" s="255"/>
      <c r="O607" s="255"/>
      <c r="P607" s="255"/>
      <c r="Q607" s="255"/>
      <c r="R607" s="255"/>
      <c r="S607" s="255">
        <v>2714561.7487056316</v>
      </c>
      <c r="T607" s="255">
        <v>29046169.828492001</v>
      </c>
      <c r="U607" s="255">
        <v>24092159.904111002</v>
      </c>
      <c r="V607" s="255">
        <v>19749549.959534317</v>
      </c>
      <c r="W607" s="255">
        <v>18832840.319767401</v>
      </c>
      <c r="X607" s="255">
        <v>27847732.003000002</v>
      </c>
      <c r="Y607" s="255">
        <v>15038092.506765012</v>
      </c>
      <c r="Z607" s="255">
        <v>26889989.827999998</v>
      </c>
      <c r="AA607" s="255">
        <v>9719002.6311821993</v>
      </c>
      <c r="AB607" s="255">
        <v>28032495.800000001</v>
      </c>
      <c r="AC607" s="255">
        <v>4604234.4857258005</v>
      </c>
      <c r="AD607" s="255">
        <v>13804481</v>
      </c>
      <c r="AE607" s="255">
        <v>0</v>
      </c>
      <c r="AF607" s="255">
        <v>17081086.100000001</v>
      </c>
      <c r="AG607" s="255">
        <v>0</v>
      </c>
      <c r="AH607" s="255">
        <v>8303657.5</v>
      </c>
      <c r="AI607" s="255">
        <v>8955849.2248288002</v>
      </c>
      <c r="AJ607" s="255">
        <v>0</v>
      </c>
      <c r="AK607" s="255">
        <v>6850310.4897864005</v>
      </c>
      <c r="AL607" s="255">
        <v>0</v>
      </c>
      <c r="AM607" s="255">
        <v>0</v>
      </c>
      <c r="AN607" s="255">
        <v>0</v>
      </c>
      <c r="AO607" s="255">
        <v>0</v>
      </c>
      <c r="AP607" s="255">
        <v>0</v>
      </c>
      <c r="AQ607" s="255">
        <v>0</v>
      </c>
      <c r="AR607" s="255">
        <v>0</v>
      </c>
      <c r="AS607" s="255"/>
      <c r="AT607" s="255"/>
      <c r="AU607" s="255"/>
      <c r="AV607" s="255"/>
      <c r="AW607" s="255"/>
      <c r="AX607" s="255"/>
      <c r="AY607" s="255"/>
      <c r="AZ607" s="255"/>
      <c r="BA607" s="255"/>
      <c r="BB607" s="255"/>
      <c r="BC607" s="255"/>
      <c r="BD607" s="255"/>
      <c r="BE607" s="255"/>
      <c r="BF607" s="255"/>
      <c r="BG607" s="255"/>
      <c r="BH607" s="255"/>
      <c r="BI607" s="255"/>
      <c r="BJ607" s="255"/>
      <c r="BK607" s="255"/>
    </row>
    <row r="608" spans="1:63">
      <c r="A608" s="168">
        <v>42979</v>
      </c>
      <c r="B608" s="213" t="str">
        <f>IF(SUM(F608:Z608)&gt;0,Servicio_internaColumna_título_intereses,"")</f>
        <v>Intereses</v>
      </c>
      <c r="C608" s="256"/>
      <c r="D608" s="257"/>
      <c r="E608" s="257"/>
      <c r="F608" s="257"/>
      <c r="G608" s="257"/>
      <c r="H608" s="257"/>
      <c r="I608" s="257"/>
      <c r="J608" s="257"/>
      <c r="K608" s="257"/>
      <c r="L608" s="257"/>
      <c r="M608" s="257"/>
      <c r="N608" s="257"/>
      <c r="O608" s="257"/>
      <c r="P608" s="257"/>
      <c r="Q608" s="257"/>
      <c r="R608" s="257"/>
      <c r="S608" s="257">
        <v>1040630.0668289702</v>
      </c>
      <c r="T608" s="257">
        <v>16683393.011179376</v>
      </c>
      <c r="U608" s="258">
        <v>15725040.128907854</v>
      </c>
      <c r="V608" s="258">
        <v>14445424.416585468</v>
      </c>
      <c r="W608" s="258">
        <v>12376305.586939532</v>
      </c>
      <c r="X608" s="258">
        <v>11686079.808447378</v>
      </c>
      <c r="Y608" s="258">
        <v>9792252.8687670827</v>
      </c>
      <c r="Z608" s="258">
        <v>8968735.6277782284</v>
      </c>
      <c r="AA608" s="258">
        <v>6312647.6535948897</v>
      </c>
      <c r="AB608" s="258">
        <v>5901709.8562623803</v>
      </c>
      <c r="AC608" s="258">
        <v>3821279.0814570426</v>
      </c>
      <c r="AD608" s="259">
        <v>3633267.6569667431</v>
      </c>
      <c r="AE608" s="259">
        <v>2822461.5326560722</v>
      </c>
      <c r="AF608" s="259">
        <v>2840666.3883778811</v>
      </c>
      <c r="AG608" s="259">
        <v>1535851.4549831373</v>
      </c>
      <c r="AH608" s="259">
        <v>1555608.0094808673</v>
      </c>
      <c r="AI608" s="259">
        <v>995670.17206760007</v>
      </c>
      <c r="AJ608" s="259">
        <v>574779.61783499515</v>
      </c>
      <c r="AK608" s="259">
        <v>586686.60104896012</v>
      </c>
      <c r="AL608" s="259">
        <v>26943.075357940004</v>
      </c>
      <c r="AM608" s="259">
        <v>22671.270583179998</v>
      </c>
      <c r="AN608" s="259">
        <v>19476.60423823</v>
      </c>
      <c r="AO608" s="259">
        <v>16640.984036279999</v>
      </c>
      <c r="AP608" s="259">
        <v>13805.363833919999</v>
      </c>
      <c r="AQ608" s="259">
        <v>10969.743631130001</v>
      </c>
      <c r="AR608" s="259">
        <v>8134.1234279199998</v>
      </c>
      <c r="AS608" s="259"/>
      <c r="AT608" s="259"/>
      <c r="AU608" s="259"/>
      <c r="AV608" s="259"/>
      <c r="AW608" s="259"/>
      <c r="AX608" s="259"/>
      <c r="AY608" s="259"/>
      <c r="AZ608" s="259"/>
      <c r="BA608" s="259"/>
      <c r="BB608" s="259"/>
      <c r="BC608" s="259"/>
      <c r="BD608" s="259"/>
      <c r="BE608" s="259"/>
      <c r="BF608" s="259"/>
      <c r="BG608" s="259"/>
      <c r="BH608" s="259"/>
      <c r="BI608" s="259"/>
      <c r="BJ608" s="259"/>
      <c r="BK608" s="259"/>
    </row>
    <row r="609" spans="1:63">
      <c r="A609" s="169"/>
      <c r="B609" s="307" t="str">
        <f>IF(SUM(F609:Z609)&gt;0,Servicio_internaColumna_título_total,"")</f>
        <v>Total</v>
      </c>
      <c r="C609" s="308"/>
      <c r="D609" s="309"/>
      <c r="E609" s="309"/>
      <c r="F609" s="309"/>
      <c r="G609" s="309"/>
      <c r="H609" s="309"/>
      <c r="I609" s="309"/>
      <c r="J609" s="309"/>
      <c r="K609" s="309"/>
      <c r="L609" s="309"/>
      <c r="M609" s="309"/>
      <c r="N609" s="309"/>
      <c r="O609" s="309"/>
      <c r="P609" s="309"/>
      <c r="Q609" s="309"/>
      <c r="R609" s="309"/>
      <c r="S609" s="309">
        <f>S608+S607</f>
        <v>3755191.8155346019</v>
      </c>
      <c r="T609" s="309">
        <f t="shared" ref="T609:AR609" si="50">T608+T607</f>
        <v>45729562.839671373</v>
      </c>
      <c r="U609" s="309">
        <f t="shared" si="50"/>
        <v>39817200.033018857</v>
      </c>
      <c r="V609" s="309">
        <f t="shared" si="50"/>
        <v>34194974.376119785</v>
      </c>
      <c r="W609" s="309">
        <f t="shared" si="50"/>
        <v>31209145.906706933</v>
      </c>
      <c r="X609" s="309">
        <f t="shared" si="50"/>
        <v>39533811.811447382</v>
      </c>
      <c r="Y609" s="309">
        <f t="shared" si="50"/>
        <v>24830345.375532094</v>
      </c>
      <c r="Z609" s="309">
        <f t="shared" si="50"/>
        <v>35858725.455778226</v>
      </c>
      <c r="AA609" s="309">
        <f t="shared" si="50"/>
        <v>16031650.28477709</v>
      </c>
      <c r="AB609" s="309">
        <f t="shared" si="50"/>
        <v>33934205.656262383</v>
      </c>
      <c r="AC609" s="309">
        <f t="shared" si="50"/>
        <v>8425513.5671828426</v>
      </c>
      <c r="AD609" s="309">
        <f t="shared" si="50"/>
        <v>17437748.656966742</v>
      </c>
      <c r="AE609" s="309">
        <f t="shared" si="50"/>
        <v>2822461.5326560722</v>
      </c>
      <c r="AF609" s="309">
        <f t="shared" si="50"/>
        <v>19921752.488377884</v>
      </c>
      <c r="AG609" s="309">
        <f t="shared" si="50"/>
        <v>1535851.4549831373</v>
      </c>
      <c r="AH609" s="309">
        <f t="shared" si="50"/>
        <v>9859265.5094808675</v>
      </c>
      <c r="AI609" s="309">
        <f t="shared" si="50"/>
        <v>9951519.3968963996</v>
      </c>
      <c r="AJ609" s="309">
        <f t="shared" si="50"/>
        <v>574779.61783499515</v>
      </c>
      <c r="AK609" s="309">
        <f t="shared" si="50"/>
        <v>7436997.0908353608</v>
      </c>
      <c r="AL609" s="309">
        <f t="shared" si="50"/>
        <v>26943.075357940004</v>
      </c>
      <c r="AM609" s="309">
        <f t="shared" si="50"/>
        <v>22671.270583179998</v>
      </c>
      <c r="AN609" s="309">
        <f t="shared" si="50"/>
        <v>19476.60423823</v>
      </c>
      <c r="AO609" s="309">
        <f t="shared" si="50"/>
        <v>16640.984036279999</v>
      </c>
      <c r="AP609" s="309">
        <f t="shared" si="50"/>
        <v>13805.363833919999</v>
      </c>
      <c r="AQ609" s="309">
        <f t="shared" si="50"/>
        <v>10969.743631130001</v>
      </c>
      <c r="AR609" s="309">
        <f t="shared" si="50"/>
        <v>8134.1234279199998</v>
      </c>
      <c r="AS609" s="309"/>
      <c r="AT609" s="309"/>
      <c r="AU609" s="309"/>
      <c r="AV609" s="309"/>
      <c r="AW609" s="309"/>
      <c r="AX609" s="309"/>
      <c r="AY609" s="309"/>
      <c r="AZ609" s="309"/>
      <c r="BA609" s="309"/>
      <c r="BB609" s="309"/>
      <c r="BC609" s="309"/>
      <c r="BD609" s="309"/>
      <c r="BE609" s="309"/>
      <c r="BF609" s="309"/>
      <c r="BG609" s="309"/>
      <c r="BH609" s="309"/>
      <c r="BI609" s="309"/>
      <c r="BJ609" s="309"/>
      <c r="BK609" s="309"/>
    </row>
    <row r="610" spans="1:63">
      <c r="A610" s="167"/>
      <c r="B610" s="210" t="str">
        <f>IF(SUM(F610:Z610)&gt;0,Servicio_internaColumna_título_amortizaciones,"")</f>
        <v>Amortizaciones</v>
      </c>
      <c r="C610" s="254"/>
      <c r="D610" s="255"/>
      <c r="E610" s="255"/>
      <c r="F610" s="255"/>
      <c r="G610" s="255"/>
      <c r="H610" s="255"/>
      <c r="I610" s="255"/>
      <c r="J610" s="255"/>
      <c r="K610" s="255"/>
      <c r="L610" s="255"/>
      <c r="M610" s="255"/>
      <c r="N610" s="255"/>
      <c r="O610" s="255"/>
      <c r="P610" s="255"/>
      <c r="Q610" s="255"/>
      <c r="R610" s="255"/>
      <c r="S610" s="255">
        <v>2716785.3857610896</v>
      </c>
      <c r="T610" s="255">
        <v>28546169.728491999</v>
      </c>
      <c r="U610" s="255">
        <v>24101922.123711001</v>
      </c>
      <c r="V610" s="255">
        <v>19754254.159278881</v>
      </c>
      <c r="W610" s="255">
        <v>19052689.383933999</v>
      </c>
      <c r="X610" s="255">
        <v>28483671.103</v>
      </c>
      <c r="Y610" s="255">
        <v>15052425.642299891</v>
      </c>
      <c r="Z610" s="255">
        <v>26889989.827999998</v>
      </c>
      <c r="AA610" s="255">
        <v>9728266.0511021987</v>
      </c>
      <c r="AB610" s="255">
        <v>28500413.199999999</v>
      </c>
      <c r="AC610" s="255">
        <v>4725265.0515182</v>
      </c>
      <c r="AD610" s="255">
        <v>13804481</v>
      </c>
      <c r="AE610" s="255">
        <v>0</v>
      </c>
      <c r="AF610" s="255">
        <v>17081086.100000001</v>
      </c>
      <c r="AG610" s="255">
        <v>0</v>
      </c>
      <c r="AH610" s="255">
        <v>8683750.1999999993</v>
      </c>
      <c r="AI610" s="255">
        <v>8964385.2645088006</v>
      </c>
      <c r="AJ610" s="255">
        <v>0</v>
      </c>
      <c r="AK610" s="255">
        <v>7008443.5418829992</v>
      </c>
      <c r="AL610" s="255">
        <v>0</v>
      </c>
      <c r="AM610" s="255">
        <v>0</v>
      </c>
      <c r="AN610" s="255">
        <v>0</v>
      </c>
      <c r="AO610" s="255">
        <v>0</v>
      </c>
      <c r="AP610" s="255">
        <v>0</v>
      </c>
      <c r="AQ610" s="255">
        <v>0</v>
      </c>
      <c r="AR610" s="255">
        <v>0</v>
      </c>
      <c r="AS610" s="255"/>
      <c r="AT610" s="255"/>
      <c r="AU610" s="255"/>
      <c r="AV610" s="255"/>
      <c r="AW610" s="255"/>
      <c r="AX610" s="255"/>
      <c r="AY610" s="255"/>
      <c r="AZ610" s="255"/>
      <c r="BA610" s="255"/>
      <c r="BB610" s="255"/>
      <c r="BC610" s="255"/>
      <c r="BD610" s="255"/>
      <c r="BE610" s="255"/>
      <c r="BF610" s="255"/>
      <c r="BG610" s="255"/>
      <c r="BH610" s="255"/>
      <c r="BI610" s="255"/>
      <c r="BJ610" s="255"/>
      <c r="BK610" s="255"/>
    </row>
    <row r="611" spans="1:63">
      <c r="A611" s="168">
        <v>43009</v>
      </c>
      <c r="B611" s="213" t="str">
        <f>IF(SUM(F611:Z611)&gt;0,Servicio_internaColumna_título_intereses,"")</f>
        <v>Intereses</v>
      </c>
      <c r="C611" s="256"/>
      <c r="D611" s="257"/>
      <c r="E611" s="257"/>
      <c r="F611" s="257"/>
      <c r="G611" s="257"/>
      <c r="H611" s="257"/>
      <c r="I611" s="257"/>
      <c r="J611" s="257"/>
      <c r="K611" s="257"/>
      <c r="L611" s="257"/>
      <c r="M611" s="257"/>
      <c r="N611" s="257"/>
      <c r="O611" s="257"/>
      <c r="P611" s="257"/>
      <c r="Q611" s="257"/>
      <c r="R611" s="257"/>
      <c r="S611" s="257">
        <v>485588.79841204011</v>
      </c>
      <c r="T611" s="257">
        <v>16639552.689859647</v>
      </c>
      <c r="U611" s="258">
        <v>15850510.617018538</v>
      </c>
      <c r="V611" s="258">
        <v>14571472.538409468</v>
      </c>
      <c r="W611" s="258">
        <v>12502948.671488255</v>
      </c>
      <c r="X611" s="258">
        <v>11805129.111825055</v>
      </c>
      <c r="Y611" s="258">
        <v>9867171.4333160929</v>
      </c>
      <c r="Z611" s="258">
        <v>9044050.7404437028</v>
      </c>
      <c r="AA611" s="258">
        <v>6388371.210820335</v>
      </c>
      <c r="AB611" s="258">
        <v>5977854.1113845874</v>
      </c>
      <c r="AC611" s="258">
        <v>3862762.8504129159</v>
      </c>
      <c r="AD611" s="259">
        <v>3669860.0554299699</v>
      </c>
      <c r="AE611" s="259">
        <v>2859353.5084031955</v>
      </c>
      <c r="AF611" s="259">
        <v>2877866.9287274168</v>
      </c>
      <c r="AG611" s="259">
        <v>1573369.8168731607</v>
      </c>
      <c r="AH611" s="259">
        <v>1593453.7275575919</v>
      </c>
      <c r="AI611" s="259">
        <v>1007246.5780166246</v>
      </c>
      <c r="AJ611" s="259">
        <v>586703.31596249156</v>
      </c>
      <c r="AK611" s="259">
        <v>598968.01012028079</v>
      </c>
      <c r="AL611" s="259">
        <v>26943.075357940004</v>
      </c>
      <c r="AM611" s="259">
        <v>22671.270583179998</v>
      </c>
      <c r="AN611" s="259">
        <v>19476.60423823</v>
      </c>
      <c r="AO611" s="259">
        <v>16640.984036279999</v>
      </c>
      <c r="AP611" s="259">
        <v>13805.363833919999</v>
      </c>
      <c r="AQ611" s="259">
        <v>10969.743631130001</v>
      </c>
      <c r="AR611" s="259">
        <v>8134.1234279199998</v>
      </c>
      <c r="AS611" s="259"/>
      <c r="AT611" s="259"/>
      <c r="AU611" s="259"/>
      <c r="AV611" s="259"/>
      <c r="AW611" s="259"/>
      <c r="AX611" s="259"/>
      <c r="AY611" s="259"/>
      <c r="AZ611" s="259"/>
      <c r="BA611" s="259"/>
      <c r="BB611" s="259"/>
      <c r="BC611" s="259"/>
      <c r="BD611" s="259"/>
      <c r="BE611" s="259"/>
      <c r="BF611" s="259"/>
      <c r="BG611" s="259"/>
      <c r="BH611" s="259"/>
      <c r="BI611" s="259"/>
      <c r="BJ611" s="259"/>
      <c r="BK611" s="259"/>
    </row>
    <row r="612" spans="1:63">
      <c r="A612" s="169"/>
      <c r="B612" s="307" t="str">
        <f>IF(SUM(F612:Z612)&gt;0,Servicio_internaColumna_título_total,"")</f>
        <v>Total</v>
      </c>
      <c r="C612" s="308"/>
      <c r="D612" s="309"/>
      <c r="E612" s="309"/>
      <c r="F612" s="309"/>
      <c r="G612" s="309"/>
      <c r="H612" s="309"/>
      <c r="I612" s="309"/>
      <c r="J612" s="309"/>
      <c r="K612" s="309"/>
      <c r="L612" s="309"/>
      <c r="M612" s="309"/>
      <c r="N612" s="309"/>
      <c r="O612" s="309"/>
      <c r="P612" s="309"/>
      <c r="Q612" s="309"/>
      <c r="R612" s="309"/>
      <c r="S612" s="309">
        <f>S611+S610</f>
        <v>3202374.1841731295</v>
      </c>
      <c r="T612" s="309">
        <f t="shared" ref="T612:AR612" si="51">T611+T610</f>
        <v>45185722.41835165</v>
      </c>
      <c r="U612" s="309">
        <f t="shared" si="51"/>
        <v>39952432.740729541</v>
      </c>
      <c r="V612" s="309">
        <f t="shared" si="51"/>
        <v>34325726.697688349</v>
      </c>
      <c r="W612" s="309">
        <f t="shared" si="51"/>
        <v>31555638.055422254</v>
      </c>
      <c r="X612" s="309">
        <f t="shared" si="51"/>
        <v>40288800.214825056</v>
      </c>
      <c r="Y612" s="309">
        <f t="shared" si="51"/>
        <v>24919597.075615983</v>
      </c>
      <c r="Z612" s="309">
        <f t="shared" si="51"/>
        <v>35934040.568443701</v>
      </c>
      <c r="AA612" s="309">
        <f t="shared" si="51"/>
        <v>16116637.261922535</v>
      </c>
      <c r="AB612" s="309">
        <f t="shared" si="51"/>
        <v>34478267.311384588</v>
      </c>
      <c r="AC612" s="309">
        <f t="shared" si="51"/>
        <v>8588027.9019311164</v>
      </c>
      <c r="AD612" s="309">
        <f t="shared" si="51"/>
        <v>17474341.055429969</v>
      </c>
      <c r="AE612" s="309">
        <f t="shared" si="51"/>
        <v>2859353.5084031955</v>
      </c>
      <c r="AF612" s="309">
        <f t="shared" si="51"/>
        <v>19958953.02872742</v>
      </c>
      <c r="AG612" s="309">
        <f t="shared" si="51"/>
        <v>1573369.8168731607</v>
      </c>
      <c r="AH612" s="309">
        <f t="shared" si="51"/>
        <v>10277203.927557591</v>
      </c>
      <c r="AI612" s="309">
        <f t="shared" si="51"/>
        <v>9971631.8425254244</v>
      </c>
      <c r="AJ612" s="309">
        <f t="shared" si="51"/>
        <v>586703.31596249156</v>
      </c>
      <c r="AK612" s="309">
        <f t="shared" si="51"/>
        <v>7607411.5520032803</v>
      </c>
      <c r="AL612" s="309">
        <f t="shared" si="51"/>
        <v>26943.075357940004</v>
      </c>
      <c r="AM612" s="309">
        <f t="shared" si="51"/>
        <v>22671.270583179998</v>
      </c>
      <c r="AN612" s="309">
        <f t="shared" si="51"/>
        <v>19476.60423823</v>
      </c>
      <c r="AO612" s="309">
        <f t="shared" si="51"/>
        <v>16640.984036279999</v>
      </c>
      <c r="AP612" s="309">
        <f t="shared" si="51"/>
        <v>13805.363833919999</v>
      </c>
      <c r="AQ612" s="309">
        <f t="shared" si="51"/>
        <v>10969.743631130001</v>
      </c>
      <c r="AR612" s="309">
        <f t="shared" si="51"/>
        <v>8134.1234279199998</v>
      </c>
      <c r="AS612" s="309"/>
      <c r="AT612" s="309"/>
      <c r="AU612" s="309"/>
      <c r="AV612" s="309"/>
      <c r="AW612" s="309"/>
      <c r="AX612" s="309"/>
      <c r="AY612" s="309"/>
      <c r="AZ612" s="309"/>
      <c r="BA612" s="309"/>
      <c r="BB612" s="309"/>
      <c r="BC612" s="309"/>
      <c r="BD612" s="309"/>
      <c r="BE612" s="309"/>
      <c r="BF612" s="309"/>
      <c r="BG612" s="309"/>
      <c r="BH612" s="309"/>
      <c r="BI612" s="309"/>
      <c r="BJ612" s="309"/>
      <c r="BK612" s="309"/>
    </row>
    <row r="613" spans="1:63">
      <c r="A613" s="167"/>
      <c r="B613" s="210" t="str">
        <f>IF(SUM(F613:Z613)&gt;0,Servicio_internaColumna_título_amortizaciones,"")</f>
        <v>Amortizaciones</v>
      </c>
      <c r="C613" s="254"/>
      <c r="D613" s="255"/>
      <c r="E613" s="255"/>
      <c r="F613" s="255"/>
      <c r="G613" s="255"/>
      <c r="H613" s="255"/>
      <c r="I613" s="255"/>
      <c r="J613" s="255"/>
      <c r="K613" s="255"/>
      <c r="L613" s="255"/>
      <c r="M613" s="255"/>
      <c r="N613" s="255"/>
      <c r="O613" s="255"/>
      <c r="P613" s="255"/>
      <c r="Q613" s="255"/>
      <c r="R613" s="255"/>
      <c r="S613" s="255">
        <v>2662744.53839191</v>
      </c>
      <c r="T613" s="255">
        <v>29346169.528492004</v>
      </c>
      <c r="U613" s="255">
        <v>24104932.141421001</v>
      </c>
      <c r="V613" s="255">
        <v>19763758.564378362</v>
      </c>
      <c r="W613" s="255">
        <v>19201434.985159203</v>
      </c>
      <c r="X613" s="255">
        <v>28515397.303000003</v>
      </c>
      <c r="Y613" s="255">
        <v>15056845.02575648</v>
      </c>
      <c r="Z613" s="255">
        <v>26889989.827999998</v>
      </c>
      <c r="AA613" s="255">
        <v>9731122.2722442001</v>
      </c>
      <c r="AB613" s="255">
        <v>28716404</v>
      </c>
      <c r="AC613" s="255">
        <v>4924866.8381828004</v>
      </c>
      <c r="AD613" s="255">
        <v>13804481</v>
      </c>
      <c r="AE613" s="255">
        <v>0</v>
      </c>
      <c r="AF613" s="255">
        <v>17183236.100000001</v>
      </c>
      <c r="AG613" s="255">
        <v>0</v>
      </c>
      <c r="AH613" s="255">
        <v>8827162.3000000007</v>
      </c>
      <c r="AI613" s="255">
        <v>9083399.3921473995</v>
      </c>
      <c r="AJ613" s="255">
        <v>0</v>
      </c>
      <c r="AK613" s="255">
        <v>7111063.0377336005</v>
      </c>
      <c r="AL613" s="255">
        <v>0</v>
      </c>
      <c r="AM613" s="255">
        <v>0</v>
      </c>
      <c r="AN613" s="255">
        <v>0</v>
      </c>
      <c r="AO613" s="255">
        <v>0</v>
      </c>
      <c r="AP613" s="255">
        <v>0</v>
      </c>
      <c r="AQ613" s="255">
        <v>0</v>
      </c>
      <c r="AR613" s="255">
        <v>0</v>
      </c>
      <c r="AS613" s="255"/>
      <c r="AT613" s="255"/>
      <c r="AU613" s="255"/>
      <c r="AV613" s="255"/>
      <c r="AW613" s="255"/>
      <c r="AX613" s="255"/>
      <c r="AY613" s="255"/>
      <c r="AZ613" s="255"/>
      <c r="BA613" s="255"/>
      <c r="BB613" s="255"/>
      <c r="BC613" s="255"/>
      <c r="BD613" s="255"/>
      <c r="BE613" s="255"/>
      <c r="BF613" s="255"/>
      <c r="BG613" s="255"/>
      <c r="BH613" s="255"/>
      <c r="BI613" s="255"/>
      <c r="BJ613" s="255"/>
      <c r="BK613" s="255"/>
    </row>
    <row r="614" spans="1:63">
      <c r="A614" s="168">
        <v>43040</v>
      </c>
      <c r="B614" s="213" t="str">
        <f>IF(SUM(F614:Z614)&gt;0,Servicio_internaColumna_título_intereses,"")</f>
        <v>Intereses</v>
      </c>
      <c r="C614" s="256"/>
      <c r="D614" s="257"/>
      <c r="E614" s="257"/>
      <c r="F614" s="257"/>
      <c r="G614" s="257"/>
      <c r="H614" s="257"/>
      <c r="I614" s="257"/>
      <c r="J614" s="257"/>
      <c r="K614" s="257"/>
      <c r="L614" s="257"/>
      <c r="M614" s="257"/>
      <c r="N614" s="257"/>
      <c r="O614" s="257"/>
      <c r="P614" s="257"/>
      <c r="Q614" s="257"/>
      <c r="R614" s="257"/>
      <c r="S614" s="257">
        <v>7.9306166699999974</v>
      </c>
      <c r="T614" s="257">
        <v>16696491.07524753</v>
      </c>
      <c r="U614" s="258">
        <v>15908062.338978054</v>
      </c>
      <c r="V614" s="258">
        <v>14629655.997037768</v>
      </c>
      <c r="W614" s="258">
        <v>12561664.601885408</v>
      </c>
      <c r="X614" s="258">
        <v>11858698.27046336</v>
      </c>
      <c r="Y614" s="258">
        <v>9919035.5642335434</v>
      </c>
      <c r="Z614" s="258">
        <v>9096446.1518286802</v>
      </c>
      <c r="AA614" s="258">
        <v>6441313.8410868617</v>
      </c>
      <c r="AB614" s="258">
        <v>6031360.3770991098</v>
      </c>
      <c r="AC614" s="258">
        <v>3900650.3506388743</v>
      </c>
      <c r="AD614" s="259">
        <v>3699277.6413537832</v>
      </c>
      <c r="AE614" s="259">
        <v>2889114.9577447232</v>
      </c>
      <c r="AF614" s="259">
        <v>2907982.5573891909</v>
      </c>
      <c r="AG614" s="259">
        <v>1595933.6252347871</v>
      </c>
      <c r="AH614" s="259">
        <v>1616393.284760067</v>
      </c>
      <c r="AI614" s="259">
        <v>1020534.3095251739</v>
      </c>
      <c r="AJ614" s="259">
        <v>594610.21780009475</v>
      </c>
      <c r="AK614" s="259">
        <v>607112.11901301215</v>
      </c>
      <c r="AL614" s="259">
        <v>26943.075357940004</v>
      </c>
      <c r="AM614" s="259">
        <v>22671.270583179998</v>
      </c>
      <c r="AN614" s="259">
        <v>19476.60423823</v>
      </c>
      <c r="AO614" s="259">
        <v>16640.984036279999</v>
      </c>
      <c r="AP614" s="259">
        <v>13805.363833919999</v>
      </c>
      <c r="AQ614" s="259">
        <v>10969.743631130001</v>
      </c>
      <c r="AR614" s="259">
        <v>8134.1234279199998</v>
      </c>
      <c r="AS614" s="259"/>
      <c r="AT614" s="259"/>
      <c r="AU614" s="259"/>
      <c r="AV614" s="259"/>
      <c r="AW614" s="259"/>
      <c r="AX614" s="259"/>
      <c r="AY614" s="259"/>
      <c r="AZ614" s="259"/>
      <c r="BA614" s="259"/>
      <c r="BB614" s="259"/>
      <c r="BC614" s="259"/>
      <c r="BD614" s="259"/>
      <c r="BE614" s="259"/>
      <c r="BF614" s="259"/>
      <c r="BG614" s="259"/>
      <c r="BH614" s="259"/>
      <c r="BI614" s="259"/>
      <c r="BJ614" s="259"/>
      <c r="BK614" s="259"/>
    </row>
    <row r="615" spans="1:63">
      <c r="A615" s="169"/>
      <c r="B615" s="307" t="str">
        <f>IF(SUM(F615:Z615)&gt;0,Servicio_internaColumna_título_total,"")</f>
        <v>Total</v>
      </c>
      <c r="C615" s="308"/>
      <c r="D615" s="309"/>
      <c r="E615" s="309"/>
      <c r="F615" s="309"/>
      <c r="G615" s="309"/>
      <c r="H615" s="309"/>
      <c r="I615" s="309"/>
      <c r="J615" s="309"/>
      <c r="K615" s="309"/>
      <c r="L615" s="309"/>
      <c r="M615" s="309"/>
      <c r="N615" s="309"/>
      <c r="O615" s="309"/>
      <c r="P615" s="309"/>
      <c r="Q615" s="309"/>
      <c r="R615" s="309"/>
      <c r="S615" s="309">
        <f>S614+S613</f>
        <v>2662752.4690085799</v>
      </c>
      <c r="T615" s="309">
        <f>T614+T613</f>
        <v>46042660.60373953</v>
      </c>
      <c r="U615" s="309">
        <f>U614+U613</f>
        <v>40012994.480399057</v>
      </c>
      <c r="V615" s="309">
        <f>V614+V613</f>
        <v>34393414.561416134</v>
      </c>
      <c r="W615" s="309">
        <f t="shared" ref="W615:AR615" si="52">W614+W613</f>
        <v>31763099.587044612</v>
      </c>
      <c r="X615" s="309">
        <f t="shared" si="52"/>
        <v>40374095.573463365</v>
      </c>
      <c r="Y615" s="309">
        <f t="shared" si="52"/>
        <v>24975880.589990024</v>
      </c>
      <c r="Z615" s="309">
        <f t="shared" si="52"/>
        <v>35986435.979828678</v>
      </c>
      <c r="AA615" s="309">
        <f t="shared" si="52"/>
        <v>16172436.113331061</v>
      </c>
      <c r="AB615" s="309">
        <f t="shared" si="52"/>
        <v>34747764.377099112</v>
      </c>
      <c r="AC615" s="309">
        <f t="shared" si="52"/>
        <v>8825517.1888216753</v>
      </c>
      <c r="AD615" s="309">
        <f t="shared" si="52"/>
        <v>17503758.641353782</v>
      </c>
      <c r="AE615" s="309">
        <f t="shared" si="52"/>
        <v>2889114.9577447232</v>
      </c>
      <c r="AF615" s="309">
        <f t="shared" si="52"/>
        <v>20091218.657389194</v>
      </c>
      <c r="AG615" s="309">
        <f t="shared" si="52"/>
        <v>1595933.6252347871</v>
      </c>
      <c r="AH615" s="309">
        <f t="shared" si="52"/>
        <v>10443555.584760068</v>
      </c>
      <c r="AI615" s="309">
        <f t="shared" si="52"/>
        <v>10103933.701672573</v>
      </c>
      <c r="AJ615" s="309">
        <f t="shared" si="52"/>
        <v>594610.21780009475</v>
      </c>
      <c r="AK615" s="309">
        <f t="shared" si="52"/>
        <v>7718175.1567466129</v>
      </c>
      <c r="AL615" s="309">
        <f t="shared" si="52"/>
        <v>26943.075357940004</v>
      </c>
      <c r="AM615" s="309">
        <f t="shared" si="52"/>
        <v>22671.270583179998</v>
      </c>
      <c r="AN615" s="309">
        <f t="shared" si="52"/>
        <v>19476.60423823</v>
      </c>
      <c r="AO615" s="309">
        <f t="shared" si="52"/>
        <v>16640.984036279999</v>
      </c>
      <c r="AP615" s="309">
        <f t="shared" si="52"/>
        <v>13805.363833919999</v>
      </c>
      <c r="AQ615" s="309">
        <f t="shared" si="52"/>
        <v>10969.743631130001</v>
      </c>
      <c r="AR615" s="309">
        <f t="shared" si="52"/>
        <v>8134.1234279199998</v>
      </c>
      <c r="AS615" s="309"/>
      <c r="AT615" s="309"/>
      <c r="AU615" s="309"/>
      <c r="AV615" s="309"/>
      <c r="AW615" s="309"/>
      <c r="AX615" s="309"/>
      <c r="AY615" s="309"/>
      <c r="AZ615" s="309"/>
      <c r="BA615" s="309"/>
      <c r="BB615" s="309"/>
      <c r="BC615" s="309"/>
      <c r="BD615" s="309"/>
      <c r="BE615" s="309"/>
      <c r="BF615" s="309"/>
      <c r="BG615" s="309"/>
      <c r="BH615" s="309"/>
      <c r="BI615" s="309"/>
      <c r="BJ615" s="309"/>
      <c r="BK615" s="309"/>
    </row>
    <row r="616" spans="1:63">
      <c r="A616" s="167"/>
      <c r="B616" s="210" t="str">
        <f>IF(SUM(F616:Z616)&gt;0,Servicio_internaColumna_título_amortizaciones,"")</f>
        <v>Amortizaciones</v>
      </c>
      <c r="C616" s="254"/>
      <c r="D616" s="255"/>
      <c r="E616" s="255"/>
      <c r="F616" s="255"/>
      <c r="G616" s="255"/>
      <c r="H616" s="255"/>
      <c r="I616" s="255"/>
      <c r="J616" s="255"/>
      <c r="K616" s="255"/>
      <c r="L616" s="255"/>
      <c r="M616" s="255"/>
      <c r="N616" s="255"/>
      <c r="O616" s="255"/>
      <c r="P616" s="255"/>
      <c r="Q616" s="255"/>
      <c r="R616" s="255"/>
      <c r="S616" s="257"/>
      <c r="T616" s="258">
        <v>35523889.671101563</v>
      </c>
      <c r="U616" s="258">
        <v>24114303.060462497</v>
      </c>
      <c r="V616" s="258">
        <v>19480567.202999998</v>
      </c>
      <c r="W616" s="258">
        <v>19636182.17986336</v>
      </c>
      <c r="X616" s="258">
        <v>28567698.203000002</v>
      </c>
      <c r="Y616" s="258">
        <v>15070586.919450546</v>
      </c>
      <c r="Z616" s="258">
        <v>26889990.110799998</v>
      </c>
      <c r="AA616" s="258">
        <v>9740003.5760925002</v>
      </c>
      <c r="AB616" s="258">
        <v>28747404</v>
      </c>
      <c r="AC616" s="258">
        <v>5114342.1756974999</v>
      </c>
      <c r="AD616" s="259">
        <v>13804481</v>
      </c>
      <c r="AE616" s="259">
        <v>0</v>
      </c>
      <c r="AF616" s="259">
        <v>17274552.300000001</v>
      </c>
      <c r="AG616" s="259">
        <v>0</v>
      </c>
      <c r="AH616" s="259">
        <v>8963972.4000000004</v>
      </c>
      <c r="AI616" s="259">
        <v>9196979.0096224993</v>
      </c>
      <c r="AJ616" s="259">
        <v>0</v>
      </c>
      <c r="AK616" s="259">
        <v>7208836.0149024995</v>
      </c>
      <c r="AL616" s="259">
        <v>0</v>
      </c>
      <c r="AM616" s="259">
        <v>0</v>
      </c>
      <c r="AN616" s="259">
        <v>0</v>
      </c>
      <c r="AO616" s="259">
        <v>0</v>
      </c>
      <c r="AP616" s="259">
        <v>0</v>
      </c>
      <c r="AQ616" s="259">
        <v>0</v>
      </c>
      <c r="AR616" s="259">
        <v>0</v>
      </c>
      <c r="AS616" s="259">
        <v>0</v>
      </c>
      <c r="AT616" s="259"/>
      <c r="AU616" s="259"/>
      <c r="AV616" s="259"/>
      <c r="AW616" s="259"/>
      <c r="AX616" s="259"/>
      <c r="AY616" s="259"/>
      <c r="AZ616" s="259"/>
      <c r="BA616" s="259"/>
      <c r="BB616" s="259"/>
      <c r="BC616" s="259"/>
      <c r="BD616" s="259"/>
      <c r="BE616" s="259"/>
      <c r="BF616" s="259"/>
      <c r="BG616" s="259"/>
      <c r="BH616" s="259"/>
      <c r="BI616" s="259"/>
      <c r="BJ616" s="259"/>
      <c r="BK616" s="259"/>
    </row>
    <row r="617" spans="1:63">
      <c r="A617" s="168">
        <v>43070</v>
      </c>
      <c r="B617" s="213" t="str">
        <f>IF(SUM(F617:Z617)&gt;0,Servicio_internaColumna_título_intereses,"")</f>
        <v>Intereses</v>
      </c>
      <c r="C617" s="256"/>
      <c r="D617" s="257"/>
      <c r="E617" s="257"/>
      <c r="F617" s="257"/>
      <c r="G617" s="257"/>
      <c r="H617" s="257"/>
      <c r="I617" s="257"/>
      <c r="J617" s="257"/>
      <c r="K617" s="257"/>
      <c r="L617" s="257"/>
      <c r="M617" s="257"/>
      <c r="N617" s="257"/>
      <c r="O617" s="257"/>
      <c r="P617" s="257"/>
      <c r="Q617" s="257"/>
      <c r="R617" s="257"/>
      <c r="S617" s="257"/>
      <c r="T617" s="258">
        <v>16733771.09580357</v>
      </c>
      <c r="U617" s="258">
        <v>15941316.142023064</v>
      </c>
      <c r="V617" s="258">
        <v>14663536.676626563</v>
      </c>
      <c r="W617" s="258">
        <v>16733771.09580357</v>
      </c>
      <c r="X617" s="258">
        <v>11888421.73727376</v>
      </c>
      <c r="Y617" s="258">
        <v>9932281.2504939865</v>
      </c>
      <c r="Z617" s="258">
        <v>9123154.2725644857</v>
      </c>
      <c r="AA617" s="258">
        <v>6469731.372528661</v>
      </c>
      <c r="AB617" s="258">
        <v>6059871.4753616825</v>
      </c>
      <c r="AC617" s="258">
        <v>3928355.4610061795</v>
      </c>
      <c r="AD617" s="259">
        <v>3719407.2854199549</v>
      </c>
      <c r="AE617" s="259">
        <v>2911661.2173034442</v>
      </c>
      <c r="AF617" s="259">
        <v>2934336.5000532572</v>
      </c>
      <c r="AG617" s="259">
        <v>1612871.1794016198</v>
      </c>
      <c r="AH617" s="259">
        <v>1634649.7681156609</v>
      </c>
      <c r="AI617" s="259">
        <v>1030470.4523397621</v>
      </c>
      <c r="AJ617" s="259">
        <v>601153.72204995551</v>
      </c>
      <c r="AK617" s="259">
        <v>612445.22641074029</v>
      </c>
      <c r="AL617" s="259">
        <v>23846.592708710003</v>
      </c>
      <c r="AM617" s="259">
        <v>18909.73721295</v>
      </c>
      <c r="AN617" s="259">
        <v>18379.618277250003</v>
      </c>
      <c r="AO617" s="259">
        <v>14831.397089659999</v>
      </c>
      <c r="AP617" s="259">
        <v>12303.28486802</v>
      </c>
      <c r="AQ617" s="259">
        <v>9775.1726463899995</v>
      </c>
      <c r="AR617" s="259">
        <v>7247.0604247399997</v>
      </c>
      <c r="AS617" s="259">
        <v>4718.9482031099997</v>
      </c>
      <c r="AT617" s="259"/>
      <c r="AU617" s="259"/>
      <c r="AV617" s="259"/>
      <c r="AW617" s="259"/>
      <c r="AX617" s="259"/>
      <c r="AY617" s="259"/>
      <c r="AZ617" s="259"/>
      <c r="BA617" s="259"/>
      <c r="BB617" s="259"/>
      <c r="BC617" s="259"/>
      <c r="BD617" s="259"/>
      <c r="BE617" s="259"/>
      <c r="BF617" s="259"/>
      <c r="BG617" s="259"/>
      <c r="BH617" s="259"/>
      <c r="BI617" s="259"/>
      <c r="BJ617" s="259"/>
      <c r="BK617" s="259"/>
    </row>
    <row r="618" spans="1:63">
      <c r="A618" s="169"/>
      <c r="B618" s="307" t="str">
        <f>IF(SUM(F618:Z618)&gt;0,Servicio_internaColumna_título_total,"")</f>
        <v>Total</v>
      </c>
      <c r="C618" s="308"/>
      <c r="D618" s="309"/>
      <c r="E618" s="309"/>
      <c r="F618" s="309"/>
      <c r="G618" s="309"/>
      <c r="H618" s="309"/>
      <c r="I618" s="309"/>
      <c r="J618" s="309"/>
      <c r="K618" s="309"/>
      <c r="L618" s="309"/>
      <c r="M618" s="309"/>
      <c r="N618" s="309"/>
      <c r="O618" s="309"/>
      <c r="P618" s="309"/>
      <c r="Q618" s="309"/>
      <c r="R618" s="309"/>
      <c r="S618" s="309"/>
      <c r="T618" s="309">
        <f t="shared" ref="T618:AA618" si="53">T617+T616</f>
        <v>52257660.766905129</v>
      </c>
      <c r="U618" s="309">
        <f t="shared" si="53"/>
        <v>40055619.202485561</v>
      </c>
      <c r="V618" s="309">
        <f t="shared" si="53"/>
        <v>34144103.879626557</v>
      </c>
      <c r="W618" s="309">
        <f t="shared" si="53"/>
        <v>36369953.27566693</v>
      </c>
      <c r="X618" s="309">
        <f t="shared" si="53"/>
        <v>40456119.940273762</v>
      </c>
      <c r="Y618" s="309">
        <f t="shared" si="53"/>
        <v>25002868.169944532</v>
      </c>
      <c r="Z618" s="309">
        <f t="shared" si="53"/>
        <v>36013144.383364484</v>
      </c>
      <c r="AA618" s="309">
        <f t="shared" si="53"/>
        <v>16209734.948621161</v>
      </c>
      <c r="AB618" s="309">
        <f t="shared" ref="AB618:AS618" si="54">AB617+AB616</f>
        <v>34807275.475361682</v>
      </c>
      <c r="AC618" s="309">
        <f t="shared" si="54"/>
        <v>9042697.6367036793</v>
      </c>
      <c r="AD618" s="309">
        <f t="shared" si="54"/>
        <v>17523888.285419956</v>
      </c>
      <c r="AE618" s="309">
        <f t="shared" si="54"/>
        <v>2911661.2173034442</v>
      </c>
      <c r="AF618" s="309">
        <f t="shared" si="54"/>
        <v>20208888.800053257</v>
      </c>
      <c r="AG618" s="309">
        <f t="shared" si="54"/>
        <v>1612871.1794016198</v>
      </c>
      <c r="AH618" s="309">
        <f t="shared" si="54"/>
        <v>10598622.168115661</v>
      </c>
      <c r="AI618" s="309">
        <f t="shared" si="54"/>
        <v>10227449.461962262</v>
      </c>
      <c r="AJ618" s="309">
        <f t="shared" si="54"/>
        <v>601153.72204995551</v>
      </c>
      <c r="AK618" s="309">
        <f t="shared" si="54"/>
        <v>7821281.2413132396</v>
      </c>
      <c r="AL618" s="309">
        <f t="shared" si="54"/>
        <v>23846.592708710003</v>
      </c>
      <c r="AM618" s="309">
        <f t="shared" si="54"/>
        <v>18909.73721295</v>
      </c>
      <c r="AN618" s="309">
        <f t="shared" si="54"/>
        <v>18379.618277250003</v>
      </c>
      <c r="AO618" s="309">
        <f t="shared" si="54"/>
        <v>14831.397089659999</v>
      </c>
      <c r="AP618" s="309">
        <f t="shared" si="54"/>
        <v>12303.28486802</v>
      </c>
      <c r="AQ618" s="309">
        <f>AQ617+AQ616</f>
        <v>9775.1726463899995</v>
      </c>
      <c r="AR618" s="309">
        <f t="shared" si="54"/>
        <v>7247.0604247399997</v>
      </c>
      <c r="AS618" s="309">
        <f t="shared" si="54"/>
        <v>4718.9482031099997</v>
      </c>
      <c r="AT618" s="309"/>
      <c r="AU618" s="309"/>
      <c r="AV618" s="309"/>
      <c r="AW618" s="309"/>
      <c r="AX618" s="309"/>
      <c r="AY618" s="309"/>
      <c r="AZ618" s="309"/>
      <c r="BA618" s="309"/>
      <c r="BB618" s="309"/>
      <c r="BC618" s="309"/>
      <c r="BD618" s="309"/>
      <c r="BE618" s="309"/>
      <c r="BF618" s="309"/>
      <c r="BG618" s="309"/>
      <c r="BH618" s="309"/>
      <c r="BI618" s="309"/>
      <c r="BJ618" s="309"/>
      <c r="BK618" s="309"/>
    </row>
    <row r="619" spans="1:63">
      <c r="A619" s="167"/>
      <c r="B619" s="210" t="str">
        <f>IF(SUM(F619:Z619)&gt;0,Servicio_internaColumna_título_amortizaciones,"")</f>
        <v>Amortizaciones</v>
      </c>
      <c r="C619" s="254"/>
      <c r="D619" s="255"/>
      <c r="E619" s="255"/>
      <c r="F619" s="255"/>
      <c r="G619" s="255"/>
      <c r="H619" s="255"/>
      <c r="I619" s="255"/>
      <c r="J619" s="255"/>
      <c r="K619" s="255"/>
      <c r="L619" s="255"/>
      <c r="M619" s="255"/>
      <c r="N619" s="255"/>
      <c r="O619" s="255"/>
      <c r="P619" s="255"/>
      <c r="Q619" s="255"/>
      <c r="R619" s="255"/>
      <c r="S619" s="257"/>
      <c r="T619" s="258">
        <v>35611249.484079272</v>
      </c>
      <c r="U619" s="258">
        <v>24144565.941222496</v>
      </c>
      <c r="V619" s="258">
        <v>19500567.203000002</v>
      </c>
      <c r="W619" s="258">
        <v>19709780.389175687</v>
      </c>
      <c r="X619" s="258">
        <v>28595936.303000003</v>
      </c>
      <c r="Y619" s="258">
        <v>15519018.971215673</v>
      </c>
      <c r="Z619" s="258">
        <v>26889990.110799998</v>
      </c>
      <c r="AA619" s="258">
        <v>11631676.952844501</v>
      </c>
      <c r="AB619" s="258">
        <v>28768493.899999999</v>
      </c>
      <c r="AC619" s="258">
        <v>5362290.1051399997</v>
      </c>
      <c r="AD619" s="259">
        <v>13834481</v>
      </c>
      <c r="AE619" s="259">
        <v>0</v>
      </c>
      <c r="AF619" s="259">
        <v>17294552.300000001</v>
      </c>
      <c r="AG619" s="259">
        <v>0</v>
      </c>
      <c r="AH619" s="259">
        <v>9003972.4000000004</v>
      </c>
      <c r="AI619" s="259">
        <v>9224094.6037264988</v>
      </c>
      <c r="AJ619" s="259">
        <v>0</v>
      </c>
      <c r="AK619" s="259">
        <v>7493816.8475714996</v>
      </c>
      <c r="AL619" s="259">
        <v>0</v>
      </c>
      <c r="AM619" s="259">
        <v>0</v>
      </c>
      <c r="AN619" s="259">
        <v>0</v>
      </c>
      <c r="AO619" s="259">
        <v>0</v>
      </c>
      <c r="AP619" s="259">
        <v>0</v>
      </c>
      <c r="AQ619" s="259">
        <v>0</v>
      </c>
      <c r="AR619" s="259">
        <v>0</v>
      </c>
      <c r="AS619" s="259">
        <v>0</v>
      </c>
      <c r="AT619" s="259"/>
      <c r="AU619" s="259"/>
      <c r="AV619" s="259"/>
      <c r="AW619" s="259"/>
      <c r="AX619" s="259"/>
      <c r="AY619" s="259"/>
      <c r="AZ619" s="259"/>
      <c r="BA619" s="259"/>
      <c r="BB619" s="259"/>
      <c r="BC619" s="259"/>
      <c r="BD619" s="259"/>
      <c r="BE619" s="259"/>
      <c r="BF619" s="259"/>
      <c r="BG619" s="259"/>
      <c r="BH619" s="259"/>
      <c r="BI619" s="259"/>
      <c r="BJ619" s="259"/>
      <c r="BK619" s="259"/>
    </row>
    <row r="620" spans="1:63">
      <c r="A620" s="168">
        <v>43101</v>
      </c>
      <c r="B620" s="213" t="str">
        <f>IF(SUM(F620:Z620)&gt;0,Servicio_internaColumna_título_intereses,"")</f>
        <v>Intereses</v>
      </c>
      <c r="C620" s="256"/>
      <c r="D620" s="257"/>
      <c r="E620" s="257"/>
      <c r="F620" s="257"/>
      <c r="G620" s="257"/>
      <c r="H620" s="257"/>
      <c r="I620" s="257"/>
      <c r="J620" s="257"/>
      <c r="K620" s="257"/>
      <c r="L620" s="257"/>
      <c r="M620" s="257"/>
      <c r="N620" s="257"/>
      <c r="O620" s="257"/>
      <c r="P620" s="257"/>
      <c r="Q620" s="257"/>
      <c r="R620" s="257"/>
      <c r="S620" s="257"/>
      <c r="T620" s="258">
        <v>16874133.514543299</v>
      </c>
      <c r="U620" s="258">
        <v>16149840.56421461</v>
      </c>
      <c r="V620" s="258">
        <v>14874585.171886358</v>
      </c>
      <c r="W620" s="258">
        <v>12808733.132662395</v>
      </c>
      <c r="X620" s="258">
        <v>12102085.502224758</v>
      </c>
      <c r="Y620" s="258">
        <v>10146712.601796016</v>
      </c>
      <c r="Z620" s="258">
        <v>9316800.4492647052</v>
      </c>
      <c r="AA620" s="258">
        <v>6665390.0617184574</v>
      </c>
      <c r="AB620" s="258">
        <v>6142618.7768801749</v>
      </c>
      <c r="AC620" s="258">
        <v>4011771.4867952215</v>
      </c>
      <c r="AD620" s="259">
        <v>3794499.1517013749</v>
      </c>
      <c r="AE620" s="259">
        <v>2987021.339573306</v>
      </c>
      <c r="AF620" s="259">
        <v>3011826.9259912153</v>
      </c>
      <c r="AG620" s="259">
        <v>1691005.8181177163</v>
      </c>
      <c r="AH620" s="259">
        <v>1715044.4459932416</v>
      </c>
      <c r="AI620" s="259">
        <v>1110392.9705536694</v>
      </c>
      <c r="AJ620" s="259">
        <v>683473.91581027966</v>
      </c>
      <c r="AK620" s="259">
        <v>697235.02598387399</v>
      </c>
      <c r="AL620" s="259">
        <v>89204.079697331952</v>
      </c>
      <c r="AM620" s="259">
        <v>86227.948811230614</v>
      </c>
      <c r="AN620" s="259">
        <v>87717.376223479034</v>
      </c>
      <c r="AO620" s="259">
        <v>86249.287774275901</v>
      </c>
      <c r="AP620" s="259">
        <v>85863.712273174373</v>
      </c>
      <c r="AQ620" s="259">
        <v>83335.600051544374</v>
      </c>
      <c r="AR620" s="259">
        <v>80807.48782989438</v>
      </c>
      <c r="AS620" s="259">
        <v>78279.375608264381</v>
      </c>
      <c r="AT620" s="259"/>
      <c r="AU620" s="259"/>
      <c r="AV620" s="259"/>
      <c r="AW620" s="259"/>
      <c r="AX620" s="259"/>
      <c r="AY620" s="259"/>
      <c r="AZ620" s="259"/>
      <c r="BA620" s="259"/>
      <c r="BB620" s="259"/>
      <c r="BC620" s="259"/>
      <c r="BD620" s="259"/>
      <c r="BE620" s="259"/>
      <c r="BF620" s="259"/>
      <c r="BG620" s="259"/>
      <c r="BH620" s="259"/>
      <c r="BI620" s="259"/>
      <c r="BJ620" s="259"/>
      <c r="BK620" s="259"/>
    </row>
    <row r="621" spans="1:63">
      <c r="A621" s="169"/>
      <c r="B621" s="307" t="str">
        <f>IF(SUM(F621:Z621)&gt;0,Servicio_internaColumna_título_total,"")</f>
        <v>Total</v>
      </c>
      <c r="C621" s="308"/>
      <c r="D621" s="309"/>
      <c r="E621" s="309"/>
      <c r="F621" s="309"/>
      <c r="G621" s="309"/>
      <c r="H621" s="309"/>
      <c r="I621" s="309"/>
      <c r="J621" s="309"/>
      <c r="K621" s="309"/>
      <c r="L621" s="309"/>
      <c r="M621" s="309"/>
      <c r="N621" s="309"/>
      <c r="O621" s="309"/>
      <c r="P621" s="309"/>
      <c r="Q621" s="309"/>
      <c r="R621" s="309"/>
      <c r="S621" s="309"/>
      <c r="T621" s="309">
        <f t="shared" ref="T621:Z621" si="55">T620+T619</f>
        <v>52485382.998622566</v>
      </c>
      <c r="U621" s="309">
        <f t="shared" si="55"/>
        <v>40294406.505437106</v>
      </c>
      <c r="V621" s="309">
        <f t="shared" si="55"/>
        <v>34375152.374886364</v>
      </c>
      <c r="W621" s="309">
        <f t="shared" si="55"/>
        <v>32518513.521838084</v>
      </c>
      <c r="X621" s="309">
        <f t="shared" si="55"/>
        <v>40698021.805224761</v>
      </c>
      <c r="Y621" s="309">
        <f t="shared" si="55"/>
        <v>25665731.573011689</v>
      </c>
      <c r="Z621" s="309">
        <f t="shared" si="55"/>
        <v>36206790.560064703</v>
      </c>
      <c r="AA621" s="309">
        <f t="shared" ref="AA621:AP621" si="56">AA620+AA619</f>
        <v>18297067.014562957</v>
      </c>
      <c r="AB621" s="309">
        <f t="shared" si="56"/>
        <v>34911112.676880173</v>
      </c>
      <c r="AC621" s="309">
        <f t="shared" si="56"/>
        <v>9374061.5919352211</v>
      </c>
      <c r="AD621" s="309">
        <f t="shared" si="56"/>
        <v>17628980.151701376</v>
      </c>
      <c r="AE621" s="309">
        <f t="shared" si="56"/>
        <v>2987021.339573306</v>
      </c>
      <c r="AF621" s="309">
        <f t="shared" si="56"/>
        <v>20306379.225991216</v>
      </c>
      <c r="AG621" s="309">
        <f t="shared" si="56"/>
        <v>1691005.8181177163</v>
      </c>
      <c r="AH621" s="309">
        <f t="shared" si="56"/>
        <v>10719016.845993241</v>
      </c>
      <c r="AI621" s="309">
        <f t="shared" si="56"/>
        <v>10334487.574280169</v>
      </c>
      <c r="AJ621" s="309">
        <f t="shared" si="56"/>
        <v>683473.91581027966</v>
      </c>
      <c r="AK621" s="309">
        <f t="shared" si="56"/>
        <v>8191051.8735553734</v>
      </c>
      <c r="AL621" s="309">
        <f t="shared" si="56"/>
        <v>89204.079697331952</v>
      </c>
      <c r="AM621" s="309">
        <f t="shared" si="56"/>
        <v>86227.948811230614</v>
      </c>
      <c r="AN621" s="309">
        <f t="shared" si="56"/>
        <v>87717.376223479034</v>
      </c>
      <c r="AO621" s="309">
        <f t="shared" si="56"/>
        <v>86249.287774275901</v>
      </c>
      <c r="AP621" s="309">
        <f t="shared" si="56"/>
        <v>85863.712273174373</v>
      </c>
      <c r="AQ621" s="309">
        <f>AQ620+AQ619</f>
        <v>83335.600051544374</v>
      </c>
      <c r="AR621" s="309">
        <f>AR620+AR619</f>
        <v>80807.48782989438</v>
      </c>
      <c r="AS621" s="309">
        <f>AS620+AS619</f>
        <v>78279.375608264381</v>
      </c>
      <c r="AT621" s="309"/>
      <c r="AU621" s="309"/>
      <c r="AV621" s="309"/>
      <c r="AW621" s="309"/>
      <c r="AX621" s="309"/>
      <c r="AY621" s="309"/>
      <c r="AZ621" s="309"/>
      <c r="BA621" s="309"/>
      <c r="BB621" s="309"/>
      <c r="BC621" s="309"/>
      <c r="BD621" s="309"/>
      <c r="BE621" s="309"/>
      <c r="BF621" s="309"/>
      <c r="BG621" s="309"/>
      <c r="BH621" s="309"/>
      <c r="BI621" s="309"/>
      <c r="BJ621" s="309"/>
      <c r="BK621" s="309"/>
    </row>
    <row r="622" spans="1:63">
      <c r="A622" s="167"/>
      <c r="B622" s="210" t="str">
        <f>IF(SUM(F622:Z622)&gt;0,Servicio_internaColumna_título_amortizaciones,"")</f>
        <v>Amortizaciones</v>
      </c>
      <c r="C622" s="254"/>
      <c r="D622" s="255"/>
      <c r="E622" s="255"/>
      <c r="F622" s="255"/>
      <c r="G622" s="255"/>
      <c r="H622" s="255"/>
      <c r="I622" s="255"/>
      <c r="J622" s="255"/>
      <c r="K622" s="255"/>
      <c r="L622" s="255"/>
      <c r="M622" s="255"/>
      <c r="N622" s="255"/>
      <c r="O622" s="255"/>
      <c r="P622" s="255"/>
      <c r="Q622" s="255"/>
      <c r="R622" s="255"/>
      <c r="S622" s="257"/>
      <c r="T622" s="258">
        <v>36988669.60186027</v>
      </c>
      <c r="U622" s="258">
        <v>24193592.621571995</v>
      </c>
      <c r="V622" s="258">
        <v>19500567.202999998</v>
      </c>
      <c r="W622" s="258">
        <v>19802270.827539489</v>
      </c>
      <c r="X622" s="258">
        <v>28595936.303000003</v>
      </c>
      <c r="Y622" s="258">
        <v>15820403.547242401</v>
      </c>
      <c r="Z622" s="258">
        <v>26889990.110799998</v>
      </c>
      <c r="AA622" s="258">
        <v>12831729.4446344</v>
      </c>
      <c r="AB622" s="258">
        <v>28778993.899999999</v>
      </c>
      <c r="AC622" s="258">
        <v>5750809.7328144005</v>
      </c>
      <c r="AD622" s="259">
        <v>14234689</v>
      </c>
      <c r="AE622" s="259">
        <v>0</v>
      </c>
      <c r="AF622" s="259">
        <v>17294552.300000001</v>
      </c>
      <c r="AG622" s="259">
        <v>0</v>
      </c>
      <c r="AH622" s="259">
        <v>10055876.199999999</v>
      </c>
      <c r="AI622" s="259">
        <v>9268022.5950887986</v>
      </c>
      <c r="AJ622" s="259">
        <v>0</v>
      </c>
      <c r="AK622" s="259">
        <v>8075224.8910223991</v>
      </c>
      <c r="AL622" s="259">
        <v>0</v>
      </c>
      <c r="AM622" s="259">
        <v>0</v>
      </c>
      <c r="AN622" s="259">
        <v>0</v>
      </c>
      <c r="AO622" s="259">
        <v>0</v>
      </c>
      <c r="AP622" s="259">
        <v>0</v>
      </c>
      <c r="AQ622" s="259">
        <v>0</v>
      </c>
      <c r="AR622" s="259">
        <v>0</v>
      </c>
      <c r="AS622" s="259">
        <v>0</v>
      </c>
      <c r="AT622" s="259"/>
      <c r="AU622" s="259"/>
      <c r="AV622" s="259"/>
      <c r="AW622" s="259"/>
      <c r="AX622" s="259"/>
      <c r="AY622" s="259"/>
      <c r="AZ622" s="259"/>
      <c r="BA622" s="259"/>
      <c r="BB622" s="259"/>
      <c r="BC622" s="259"/>
      <c r="BD622" s="259"/>
      <c r="BE622" s="259"/>
      <c r="BF622" s="259"/>
      <c r="BG622" s="259"/>
      <c r="BH622" s="259"/>
      <c r="BI622" s="259"/>
      <c r="BJ622" s="259"/>
      <c r="BK622" s="259"/>
    </row>
    <row r="623" spans="1:63">
      <c r="A623" s="168">
        <v>43132</v>
      </c>
      <c r="B623" s="213" t="str">
        <f>IF(SUM(F623:Z623)&gt;0,Servicio_internaColumna_título_intereses,"")</f>
        <v>Intereses</v>
      </c>
      <c r="C623" s="256"/>
      <c r="D623" s="257"/>
      <c r="E623" s="257"/>
      <c r="F623" s="257"/>
      <c r="G623" s="257"/>
      <c r="H623" s="257"/>
      <c r="I623" s="257"/>
      <c r="J623" s="257"/>
      <c r="K623" s="257"/>
      <c r="L623" s="257"/>
      <c r="M623" s="257"/>
      <c r="N623" s="257"/>
      <c r="O623" s="257"/>
      <c r="P623" s="257"/>
      <c r="Q623" s="257"/>
      <c r="R623" s="257"/>
      <c r="S623" s="257"/>
      <c r="T623" s="258">
        <v>16323901.887276843</v>
      </c>
      <c r="U623" s="258">
        <v>16371800.176232696</v>
      </c>
      <c r="V623" s="258">
        <v>15098088.269572482</v>
      </c>
      <c r="W623" s="258">
        <v>13033826.020586604</v>
      </c>
      <c r="X623" s="258">
        <v>12328815.874094196</v>
      </c>
      <c r="Y623" s="258">
        <v>10375129.582129033</v>
      </c>
      <c r="Z623" s="258">
        <v>9533722.6674223691</v>
      </c>
      <c r="AA623" s="258">
        <v>6883704.6437283503</v>
      </c>
      <c r="AB623" s="258">
        <v>6290290.6499078646</v>
      </c>
      <c r="AC623" s="258">
        <v>4160133.0186337428</v>
      </c>
      <c r="AD623" s="259">
        <v>3927872.4448414398</v>
      </c>
      <c r="AE623" s="259">
        <v>3097453.9791275705</v>
      </c>
      <c r="AF623" s="259">
        <v>3123363.5467521069</v>
      </c>
      <c r="AG623" s="259">
        <v>1803679.539521436</v>
      </c>
      <c r="AH623" s="259">
        <v>1828889.3810590717</v>
      </c>
      <c r="AI623" s="259">
        <v>1151810.9896914747</v>
      </c>
      <c r="AJ623" s="259">
        <v>726134.47552221979</v>
      </c>
      <c r="AK623" s="259">
        <v>741175.40248717205</v>
      </c>
      <c r="AL623" s="259">
        <v>89204.079697331952</v>
      </c>
      <c r="AM623" s="259">
        <v>86227.948811230614</v>
      </c>
      <c r="AN623" s="259">
        <v>87717.376223479034</v>
      </c>
      <c r="AO623" s="259">
        <v>86249.287774275901</v>
      </c>
      <c r="AP623" s="259">
        <v>85863.712273174373</v>
      </c>
      <c r="AQ623" s="259">
        <v>83335.600051544374</v>
      </c>
      <c r="AR623" s="259">
        <v>80807.48782989438</v>
      </c>
      <c r="AS623" s="259">
        <v>78279.375608264381</v>
      </c>
      <c r="AT623" s="259"/>
      <c r="AU623" s="259"/>
      <c r="AV623" s="259"/>
      <c r="AW623" s="259"/>
      <c r="AX623" s="259"/>
      <c r="AY623" s="259"/>
      <c r="AZ623" s="259"/>
      <c r="BA623" s="259"/>
      <c r="BB623" s="259"/>
      <c r="BC623" s="259"/>
      <c r="BD623" s="259"/>
      <c r="BE623" s="259"/>
      <c r="BF623" s="259"/>
      <c r="BG623" s="259"/>
      <c r="BH623" s="259"/>
      <c r="BI623" s="259"/>
      <c r="BJ623" s="259"/>
      <c r="BK623" s="259"/>
    </row>
    <row r="624" spans="1:63">
      <c r="A624" s="169"/>
      <c r="B624" s="307" t="str">
        <f>IF(SUM(F624:Z624)&gt;0,Servicio_internaColumna_título_total,"")</f>
        <v>Total</v>
      </c>
      <c r="C624" s="308"/>
      <c r="D624" s="309"/>
      <c r="E624" s="309"/>
      <c r="F624" s="309"/>
      <c r="G624" s="309"/>
      <c r="H624" s="309"/>
      <c r="I624" s="309"/>
      <c r="J624" s="309"/>
      <c r="K624" s="309"/>
      <c r="L624" s="309"/>
      <c r="M624" s="309"/>
      <c r="N624" s="309"/>
      <c r="O624" s="309"/>
      <c r="P624" s="309"/>
      <c r="Q624" s="309"/>
      <c r="R624" s="309"/>
      <c r="S624" s="309"/>
      <c r="T624" s="309">
        <f>T623+T622</f>
        <v>53312571.489137113</v>
      </c>
      <c r="U624" s="309">
        <f>U623+U622</f>
        <v>40565392.797804691</v>
      </c>
      <c r="V624" s="309">
        <f t="shared" ref="V624:AP624" si="57">V623+V622</f>
        <v>34598655.472572476</v>
      </c>
      <c r="W624" s="309">
        <f t="shared" si="57"/>
        <v>32836096.848126091</v>
      </c>
      <c r="X624" s="309">
        <f t="shared" si="57"/>
        <v>40924752.177094199</v>
      </c>
      <c r="Y624" s="309">
        <f t="shared" si="57"/>
        <v>26195533.129371434</v>
      </c>
      <c r="Z624" s="309">
        <f t="shared" si="57"/>
        <v>36423712.778222367</v>
      </c>
      <c r="AA624" s="309">
        <f t="shared" si="57"/>
        <v>19715434.08836275</v>
      </c>
      <c r="AB624" s="309">
        <f t="shared" si="57"/>
        <v>35069284.549907863</v>
      </c>
      <c r="AC624" s="309">
        <f t="shared" si="57"/>
        <v>9910942.7514481433</v>
      </c>
      <c r="AD624" s="309">
        <f t="shared" si="57"/>
        <v>18162561.444841441</v>
      </c>
      <c r="AE624" s="309">
        <f t="shared" si="57"/>
        <v>3097453.9791275705</v>
      </c>
      <c r="AF624" s="309">
        <f t="shared" si="57"/>
        <v>20417915.846752107</v>
      </c>
      <c r="AG624" s="309">
        <f t="shared" si="57"/>
        <v>1803679.539521436</v>
      </c>
      <c r="AH624" s="309">
        <f t="shared" si="57"/>
        <v>11884765.58105907</v>
      </c>
      <c r="AI624" s="309">
        <f t="shared" si="57"/>
        <v>10419833.584780274</v>
      </c>
      <c r="AJ624" s="309">
        <f t="shared" si="57"/>
        <v>726134.47552221979</v>
      </c>
      <c r="AK624" s="309">
        <f t="shared" si="57"/>
        <v>8816400.2935095709</v>
      </c>
      <c r="AL624" s="309">
        <f t="shared" si="57"/>
        <v>89204.079697331952</v>
      </c>
      <c r="AM624" s="309">
        <f t="shared" si="57"/>
        <v>86227.948811230614</v>
      </c>
      <c r="AN624" s="309">
        <f t="shared" si="57"/>
        <v>87717.376223479034</v>
      </c>
      <c r="AO624" s="309">
        <f t="shared" si="57"/>
        <v>86249.287774275901</v>
      </c>
      <c r="AP624" s="309">
        <f t="shared" si="57"/>
        <v>85863.712273174373</v>
      </c>
      <c r="AQ624" s="309">
        <f>AQ623+AQ622</f>
        <v>83335.600051544374</v>
      </c>
      <c r="AR624" s="309">
        <f>AR623+AR622</f>
        <v>80807.48782989438</v>
      </c>
      <c r="AS624" s="309">
        <f>AS623+AS622</f>
        <v>78279.375608264381</v>
      </c>
      <c r="AT624" s="309"/>
      <c r="AU624" s="309"/>
      <c r="AV624" s="309"/>
      <c r="AW624" s="309"/>
      <c r="AX624" s="309"/>
      <c r="AY624" s="309"/>
      <c r="AZ624" s="309"/>
      <c r="BA624" s="309"/>
      <c r="BB624" s="309"/>
      <c r="BC624" s="309"/>
      <c r="BD624" s="309"/>
      <c r="BE624" s="309"/>
      <c r="BF624" s="309"/>
      <c r="BG624" s="309"/>
      <c r="BH624" s="309"/>
      <c r="BI624" s="309"/>
      <c r="BJ624" s="309"/>
      <c r="BK624" s="309"/>
    </row>
    <row r="625" spans="1:63">
      <c r="A625" s="167"/>
      <c r="B625" s="210" t="str">
        <f>IF(SUM(F625:Z625)&gt;0,Servicio_internaColumna_título_amortizaciones,"")</f>
        <v>Amortizaciones</v>
      </c>
      <c r="C625" s="254"/>
      <c r="D625" s="255"/>
      <c r="E625" s="255"/>
      <c r="F625" s="255"/>
      <c r="G625" s="255"/>
      <c r="H625" s="255"/>
      <c r="I625" s="255"/>
      <c r="J625" s="255"/>
      <c r="K625" s="255"/>
      <c r="L625" s="255"/>
      <c r="M625" s="255"/>
      <c r="N625" s="255"/>
      <c r="O625" s="255"/>
      <c r="P625" s="255"/>
      <c r="Q625" s="255"/>
      <c r="R625" s="255"/>
      <c r="S625" s="257"/>
      <c r="T625" s="258">
        <v>34249938.690772504</v>
      </c>
      <c r="U625" s="258">
        <v>24973798.356050998</v>
      </c>
      <c r="V625" s="258">
        <v>19500567.202999998</v>
      </c>
      <c r="W625" s="258">
        <v>19859255.31233909</v>
      </c>
      <c r="X625" s="258">
        <v>28595936.303000003</v>
      </c>
      <c r="Y625" s="258">
        <v>16213890.494433042</v>
      </c>
      <c r="Z625" s="258">
        <v>26889990.110799998</v>
      </c>
      <c r="AA625" s="258">
        <v>13398682.2597702</v>
      </c>
      <c r="AB625" s="258">
        <v>28778993.899999999</v>
      </c>
      <c r="AC625" s="258">
        <v>6025811.3130908003</v>
      </c>
      <c r="AD625" s="259">
        <v>14716902.4</v>
      </c>
      <c r="AE625" s="259">
        <v>0</v>
      </c>
      <c r="AF625" s="259">
        <v>17294552.300000001</v>
      </c>
      <c r="AG625" s="259">
        <v>0</v>
      </c>
      <c r="AH625" s="259">
        <v>10970827.699999999</v>
      </c>
      <c r="AI625" s="259">
        <v>9295087.1652253997</v>
      </c>
      <c r="AJ625" s="259">
        <v>0</v>
      </c>
      <c r="AK625" s="259">
        <v>8797533.6051988006</v>
      </c>
      <c r="AL625" s="259">
        <v>0</v>
      </c>
      <c r="AM625" s="259">
        <v>0</v>
      </c>
      <c r="AN625" s="259">
        <v>0</v>
      </c>
      <c r="AO625" s="259">
        <v>0</v>
      </c>
      <c r="AP625" s="259">
        <v>0</v>
      </c>
      <c r="AQ625" s="259">
        <v>0</v>
      </c>
      <c r="AR625" s="259">
        <v>0</v>
      </c>
      <c r="AS625" s="259">
        <v>0</v>
      </c>
      <c r="AT625" s="259"/>
      <c r="AU625" s="259"/>
      <c r="AV625" s="259"/>
      <c r="AW625" s="259"/>
      <c r="AX625" s="259"/>
      <c r="AY625" s="259"/>
      <c r="AZ625" s="259"/>
      <c r="BA625" s="259"/>
      <c r="BB625" s="259"/>
      <c r="BC625" s="259"/>
      <c r="BD625" s="259"/>
      <c r="BE625" s="259"/>
      <c r="BF625" s="259"/>
      <c r="BG625" s="259"/>
      <c r="BH625" s="259"/>
      <c r="BI625" s="259"/>
      <c r="BJ625" s="259"/>
      <c r="BK625" s="259"/>
    </row>
    <row r="626" spans="1:63">
      <c r="A626" s="168">
        <v>43160</v>
      </c>
      <c r="B626" s="213" t="str">
        <f>IF(SUM(F626:Z626)&gt;0,Servicio_internaColumna_título_intereses,"")</f>
        <v>Intereses</v>
      </c>
      <c r="C626" s="256"/>
      <c r="D626" s="257"/>
      <c r="E626" s="257"/>
      <c r="F626" s="257"/>
      <c r="G626" s="257"/>
      <c r="H626" s="257"/>
      <c r="I626" s="257"/>
      <c r="J626" s="257"/>
      <c r="K626" s="257"/>
      <c r="L626" s="257"/>
      <c r="M626" s="257"/>
      <c r="N626" s="257"/>
      <c r="O626" s="257"/>
      <c r="P626" s="257"/>
      <c r="Q626" s="257"/>
      <c r="R626" s="257"/>
      <c r="S626" s="257"/>
      <c r="T626" s="258">
        <v>15305488.288205573</v>
      </c>
      <c r="U626" s="258">
        <v>16566350.083616309</v>
      </c>
      <c r="V626" s="258">
        <v>15293875.79332646</v>
      </c>
      <c r="W626" s="258">
        <v>13231688.841658199</v>
      </c>
      <c r="X626" s="258">
        <v>12527214.007624619</v>
      </c>
      <c r="Y626" s="258">
        <v>10575681.331270371</v>
      </c>
      <c r="Z626" s="258">
        <v>9714439.195814617</v>
      </c>
      <c r="AA626" s="258">
        <v>7066044.3395773666</v>
      </c>
      <c r="AB626" s="258">
        <v>6439757.7358270213</v>
      </c>
      <c r="AC626" s="258">
        <v>4311294.734860477</v>
      </c>
      <c r="AD626" s="259">
        <v>4068514.2333128462</v>
      </c>
      <c r="AE626" s="259">
        <v>3210592.8349831221</v>
      </c>
      <c r="AF626" s="259">
        <v>3237975.1701333267</v>
      </c>
      <c r="AG626" s="259">
        <v>1919808.1134540907</v>
      </c>
      <c r="AH626" s="259">
        <v>1946580.4140597067</v>
      </c>
      <c r="AI626" s="259">
        <v>1207064.7505321291</v>
      </c>
      <c r="AJ626" s="259">
        <v>782115.87047422794</v>
      </c>
      <c r="AK626" s="259">
        <v>798836.23928774172</v>
      </c>
      <c r="AL626" s="259">
        <v>89336.909975095594</v>
      </c>
      <c r="AM626" s="259">
        <v>86364.763997327173</v>
      </c>
      <c r="AN626" s="259">
        <v>87858.295865158492</v>
      </c>
      <c r="AO626" s="259">
        <v>86394.435005205727</v>
      </c>
      <c r="AP626" s="259">
        <v>86013.213921032104</v>
      </c>
      <c r="AQ626" s="259">
        <v>83485.101699402105</v>
      </c>
      <c r="AR626" s="259">
        <v>80956.989477752111</v>
      </c>
      <c r="AS626" s="259">
        <v>78428.877256122112</v>
      </c>
      <c r="AT626" s="259"/>
      <c r="AU626" s="259"/>
      <c r="AV626" s="259"/>
      <c r="AW626" s="259"/>
      <c r="AX626" s="259"/>
      <c r="AY626" s="259"/>
      <c r="AZ626" s="259"/>
      <c r="BA626" s="259"/>
      <c r="BB626" s="259"/>
      <c r="BC626" s="259"/>
      <c r="BD626" s="259"/>
      <c r="BE626" s="259"/>
      <c r="BF626" s="259"/>
      <c r="BG626" s="259"/>
      <c r="BH626" s="259"/>
      <c r="BI626" s="259"/>
      <c r="BJ626" s="259"/>
      <c r="BK626" s="259"/>
    </row>
    <row r="627" spans="1:63">
      <c r="A627" s="169"/>
      <c r="B627" s="307" t="str">
        <f>IF(SUM(F627:Z627)&gt;0,Servicio_internaColumna_título_total,"")</f>
        <v>Total</v>
      </c>
      <c r="C627" s="308"/>
      <c r="D627" s="309"/>
      <c r="E627" s="309"/>
      <c r="F627" s="309"/>
      <c r="G627" s="309"/>
      <c r="H627" s="309"/>
      <c r="I627" s="309"/>
      <c r="J627" s="309"/>
      <c r="K627" s="309"/>
      <c r="L627" s="309"/>
      <c r="M627" s="309"/>
      <c r="N627" s="309"/>
      <c r="O627" s="309"/>
      <c r="P627" s="309"/>
      <c r="Q627" s="309"/>
      <c r="R627" s="309"/>
      <c r="S627" s="309"/>
      <c r="T627" s="309">
        <f>T626+T625</f>
        <v>49555426.978978075</v>
      </c>
      <c r="U627" s="309">
        <f t="shared" ref="U627:AS627" si="58">U626+U625</f>
        <v>41540148.439667307</v>
      </c>
      <c r="V627" s="309">
        <f t="shared" si="58"/>
        <v>34794442.996326461</v>
      </c>
      <c r="W627" s="309">
        <f t="shared" si="58"/>
        <v>33090944.153997287</v>
      </c>
      <c r="X627" s="309">
        <f t="shared" si="58"/>
        <v>41123150.310624622</v>
      </c>
      <c r="Y627" s="309">
        <f t="shared" si="58"/>
        <v>26789571.825703412</v>
      </c>
      <c r="Z627" s="309">
        <f t="shared" si="58"/>
        <v>36604429.306614615</v>
      </c>
      <c r="AA627" s="309">
        <f t="shared" si="58"/>
        <v>20464726.599347565</v>
      </c>
      <c r="AB627" s="309">
        <f t="shared" si="58"/>
        <v>35218751.63582702</v>
      </c>
      <c r="AC627" s="309">
        <f t="shared" si="58"/>
        <v>10337106.047951277</v>
      </c>
      <c r="AD627" s="309">
        <f t="shared" si="58"/>
        <v>18785416.633312847</v>
      </c>
      <c r="AE627" s="309">
        <f t="shared" si="58"/>
        <v>3210592.8349831221</v>
      </c>
      <c r="AF627" s="309">
        <f t="shared" si="58"/>
        <v>20532527.470133327</v>
      </c>
      <c r="AG627" s="309">
        <f t="shared" si="58"/>
        <v>1919808.1134540907</v>
      </c>
      <c r="AH627" s="309">
        <f t="shared" si="58"/>
        <v>12917408.114059705</v>
      </c>
      <c r="AI627" s="309">
        <f t="shared" si="58"/>
        <v>10502151.915757529</v>
      </c>
      <c r="AJ627" s="309">
        <f t="shared" si="58"/>
        <v>782115.87047422794</v>
      </c>
      <c r="AK627" s="309">
        <f t="shared" si="58"/>
        <v>9596369.844486542</v>
      </c>
      <c r="AL627" s="309">
        <f t="shared" si="58"/>
        <v>89336.909975095594</v>
      </c>
      <c r="AM627" s="309">
        <f t="shared" si="58"/>
        <v>86364.763997327173</v>
      </c>
      <c r="AN627" s="309">
        <f t="shared" si="58"/>
        <v>87858.295865158492</v>
      </c>
      <c r="AO627" s="309">
        <f t="shared" si="58"/>
        <v>86394.435005205727</v>
      </c>
      <c r="AP627" s="309">
        <f t="shared" si="58"/>
        <v>86013.213921032104</v>
      </c>
      <c r="AQ627" s="309">
        <f t="shared" si="58"/>
        <v>83485.101699402105</v>
      </c>
      <c r="AR627" s="309">
        <f t="shared" si="58"/>
        <v>80956.989477752111</v>
      </c>
      <c r="AS627" s="309">
        <f t="shared" si="58"/>
        <v>78428.877256122112</v>
      </c>
      <c r="AT627" s="309"/>
      <c r="AU627" s="309"/>
      <c r="AV627" s="309"/>
      <c r="AW627" s="309"/>
      <c r="AX627" s="309"/>
      <c r="AY627" s="309"/>
      <c r="AZ627" s="309"/>
      <c r="BA627" s="309"/>
      <c r="BB627" s="309"/>
      <c r="BC627" s="309"/>
      <c r="BD627" s="309"/>
      <c r="BE627" s="309"/>
      <c r="BF627" s="309"/>
      <c r="BG627" s="309"/>
      <c r="BH627" s="309"/>
      <c r="BI627" s="309"/>
      <c r="BJ627" s="309"/>
      <c r="BK627" s="309"/>
    </row>
    <row r="628" spans="1:63">
      <c r="A628" s="167"/>
      <c r="B628" s="210" t="str">
        <f>IF(SUM(F628:Z628)&gt;0,Servicio_internaColumna_título_amortizaciones,"")</f>
        <v>Amortizaciones</v>
      </c>
      <c r="C628" s="254"/>
      <c r="D628" s="255"/>
      <c r="E628" s="255"/>
      <c r="F628" s="255"/>
      <c r="G628" s="255"/>
      <c r="H628" s="255"/>
      <c r="I628" s="255"/>
      <c r="J628" s="255"/>
      <c r="K628" s="255"/>
      <c r="L628" s="255"/>
      <c r="M628" s="255"/>
      <c r="N628" s="255"/>
      <c r="O628" s="255"/>
      <c r="P628" s="255"/>
      <c r="Q628" s="255"/>
      <c r="R628" s="255"/>
      <c r="S628" s="257"/>
      <c r="T628" s="258">
        <v>22658276.381984532</v>
      </c>
      <c r="U628" s="258">
        <v>38874559.242288999</v>
      </c>
      <c r="V628" s="258">
        <v>19500567.198999997</v>
      </c>
      <c r="W628" s="258">
        <v>20027267.69582475</v>
      </c>
      <c r="X628" s="258">
        <v>28595936.303000003</v>
      </c>
      <c r="Y628" s="258">
        <v>16870402.20583576</v>
      </c>
      <c r="Z628" s="258">
        <v>26890004.213999998</v>
      </c>
      <c r="AA628" s="258">
        <v>14260893.429708799</v>
      </c>
      <c r="AB628" s="258">
        <v>28778993.899999999</v>
      </c>
      <c r="AC628" s="258">
        <v>6409431.9839871991</v>
      </c>
      <c r="AD628" s="259">
        <v>15138390.9</v>
      </c>
      <c r="AE628" s="259">
        <v>0</v>
      </c>
      <c r="AF628" s="259">
        <v>17294552.300000001</v>
      </c>
      <c r="AG628" s="259">
        <v>0</v>
      </c>
      <c r="AH628" s="259">
        <v>11589984.5</v>
      </c>
      <c r="AI628" s="259">
        <v>9376514.1280575991</v>
      </c>
      <c r="AJ628" s="259">
        <v>0</v>
      </c>
      <c r="AK628" s="259">
        <v>9730594.6382655986</v>
      </c>
      <c r="AL628" s="259">
        <v>0</v>
      </c>
      <c r="AM628" s="259">
        <v>0</v>
      </c>
      <c r="AN628" s="259">
        <v>0</v>
      </c>
      <c r="AO628" s="259">
        <v>0</v>
      </c>
      <c r="AP628" s="259">
        <v>0</v>
      </c>
      <c r="AQ628" s="259">
        <v>0</v>
      </c>
      <c r="AR628" s="259">
        <v>0</v>
      </c>
      <c r="AS628" s="259">
        <v>0</v>
      </c>
      <c r="AT628" s="259"/>
      <c r="AU628" s="259"/>
      <c r="AV628" s="259"/>
      <c r="AW628" s="259"/>
      <c r="AX628" s="259"/>
      <c r="AY628" s="259"/>
      <c r="AZ628" s="259"/>
      <c r="BA628" s="259"/>
      <c r="BB628" s="259"/>
      <c r="BC628" s="259"/>
      <c r="BD628" s="259"/>
      <c r="BE628" s="259"/>
      <c r="BF628" s="259"/>
      <c r="BG628" s="259"/>
      <c r="BH628" s="259"/>
      <c r="BI628" s="259"/>
      <c r="BJ628" s="259"/>
      <c r="BK628" s="259"/>
    </row>
    <row r="629" spans="1:63">
      <c r="A629" s="168">
        <v>43191</v>
      </c>
      <c r="B629" s="213" t="str">
        <f>IF(SUM(F629:Z629)&gt;0,Servicio_internaColumna_título_intereses,"")</f>
        <v>Intereses</v>
      </c>
      <c r="C629" s="256"/>
      <c r="D629" s="257"/>
      <c r="E629" s="257"/>
      <c r="F629" s="257"/>
      <c r="G629" s="257"/>
      <c r="H629" s="257"/>
      <c r="I629" s="257"/>
      <c r="J629" s="257"/>
      <c r="K629" s="257"/>
      <c r="L629" s="257"/>
      <c r="M629" s="257"/>
      <c r="N629" s="257"/>
      <c r="O629" s="257"/>
      <c r="P629" s="257"/>
      <c r="Q629" s="257"/>
      <c r="R629" s="257"/>
      <c r="S629" s="257"/>
      <c r="T629" s="258">
        <v>13735595.669260964</v>
      </c>
      <c r="U629" s="258">
        <v>16776503.837587291</v>
      </c>
      <c r="V629" s="258">
        <v>15507233.352512425</v>
      </c>
      <c r="W629" s="258">
        <v>13448898.738413587</v>
      </c>
      <c r="X629" s="258">
        <v>12749899.123609202</v>
      </c>
      <c r="Y629" s="258">
        <v>10816829.400572609</v>
      </c>
      <c r="Z629" s="258">
        <v>9917649.2359017953</v>
      </c>
      <c r="AA629" s="258">
        <v>7272721.7444259692</v>
      </c>
      <c r="AB629" s="258">
        <v>6602392.5676646037</v>
      </c>
      <c r="AC629" s="258">
        <v>4477593.3436156502</v>
      </c>
      <c r="AD629" s="259">
        <v>4224220.7921510907</v>
      </c>
      <c r="AE629" s="259">
        <v>3343292.5006732526</v>
      </c>
      <c r="AF629" s="259">
        <v>3371660.0486018267</v>
      </c>
      <c r="AG629" s="259">
        <v>2060721.9502490398</v>
      </c>
      <c r="AH629" s="259">
        <v>2091164.4768239646</v>
      </c>
      <c r="AI629" s="259">
        <v>1312318.2845495408</v>
      </c>
      <c r="AJ629" s="259">
        <v>889804.25278879656</v>
      </c>
      <c r="AK629" s="259">
        <v>912340.24116722285</v>
      </c>
      <c r="AL629" s="259">
        <v>137915.94133726243</v>
      </c>
      <c r="AM629" s="259">
        <v>137379.7243263842</v>
      </c>
      <c r="AN629" s="259">
        <v>137629.01096050232</v>
      </c>
      <c r="AO629" s="259">
        <v>138920.92827725809</v>
      </c>
      <c r="AP629" s="259">
        <v>140321.28644274312</v>
      </c>
      <c r="AQ629" s="259">
        <v>137998.50880253312</v>
      </c>
      <c r="AR629" s="259">
        <v>135675.73116230313</v>
      </c>
      <c r="AS629" s="259">
        <v>133352.95352210314</v>
      </c>
      <c r="AT629" s="259"/>
      <c r="AU629" s="259"/>
      <c r="AV629" s="259"/>
      <c r="AW629" s="259"/>
      <c r="AX629" s="259"/>
      <c r="AY629" s="259"/>
      <c r="AZ629" s="259"/>
      <c r="BA629" s="259"/>
      <c r="BB629" s="259"/>
      <c r="BC629" s="259"/>
      <c r="BD629" s="259"/>
      <c r="BE629" s="259"/>
      <c r="BF629" s="259"/>
      <c r="BG629" s="259"/>
      <c r="BH629" s="259"/>
      <c r="BI629" s="259"/>
      <c r="BJ629" s="259"/>
      <c r="BK629" s="259"/>
    </row>
    <row r="630" spans="1:63">
      <c r="A630" s="169"/>
      <c r="B630" s="307" t="str">
        <f>IF(SUM(F630:Z630)&gt;0,Servicio_internaColumna_título_total,"")</f>
        <v>Total</v>
      </c>
      <c r="C630" s="308"/>
      <c r="D630" s="309"/>
      <c r="E630" s="309"/>
      <c r="F630" s="309"/>
      <c r="G630" s="309"/>
      <c r="H630" s="309"/>
      <c r="I630" s="309"/>
      <c r="J630" s="309"/>
      <c r="K630" s="309"/>
      <c r="L630" s="309"/>
      <c r="M630" s="309"/>
      <c r="N630" s="309"/>
      <c r="O630" s="309"/>
      <c r="P630" s="309"/>
      <c r="Q630" s="309"/>
      <c r="R630" s="309"/>
      <c r="S630" s="309"/>
      <c r="T630" s="309">
        <f>T629+T628</f>
        <v>36393872.051245496</v>
      </c>
      <c r="U630" s="309">
        <f t="shared" ref="U630:AS630" si="59">U629+U628</f>
        <v>55651063.079876289</v>
      </c>
      <c r="V630" s="309">
        <f t="shared" si="59"/>
        <v>35007800.55151242</v>
      </c>
      <c r="W630" s="309">
        <f t="shared" si="59"/>
        <v>33476166.434238337</v>
      </c>
      <c r="X630" s="309">
        <f t="shared" si="59"/>
        <v>41345835.426609203</v>
      </c>
      <c r="Y630" s="309">
        <f t="shared" si="59"/>
        <v>27687231.606408369</v>
      </c>
      <c r="Z630" s="309">
        <f t="shared" si="59"/>
        <v>36807653.449901789</v>
      </c>
      <c r="AA630" s="309">
        <f t="shared" si="59"/>
        <v>21533615.174134769</v>
      </c>
      <c r="AB630" s="309">
        <f t="shared" si="59"/>
        <v>35381386.467664599</v>
      </c>
      <c r="AC630" s="309">
        <f t="shared" si="59"/>
        <v>10887025.327602848</v>
      </c>
      <c r="AD630" s="309">
        <f t="shared" si="59"/>
        <v>19362611.692151092</v>
      </c>
      <c r="AE630" s="309">
        <f t="shared" si="59"/>
        <v>3343292.5006732526</v>
      </c>
      <c r="AF630" s="309">
        <f t="shared" si="59"/>
        <v>20666212.348601826</v>
      </c>
      <c r="AG630" s="309">
        <f t="shared" si="59"/>
        <v>2060721.9502490398</v>
      </c>
      <c r="AH630" s="309">
        <f t="shared" si="59"/>
        <v>13681148.976823965</v>
      </c>
      <c r="AI630" s="309">
        <f t="shared" si="59"/>
        <v>10688832.412607141</v>
      </c>
      <c r="AJ630" s="309">
        <f t="shared" si="59"/>
        <v>889804.25278879656</v>
      </c>
      <c r="AK630" s="309">
        <f t="shared" si="59"/>
        <v>10642934.879432822</v>
      </c>
      <c r="AL630" s="309">
        <f t="shared" si="59"/>
        <v>137915.94133726243</v>
      </c>
      <c r="AM630" s="309">
        <f t="shared" si="59"/>
        <v>137379.7243263842</v>
      </c>
      <c r="AN630" s="309">
        <f t="shared" si="59"/>
        <v>137629.01096050232</v>
      </c>
      <c r="AO630" s="309">
        <f t="shared" si="59"/>
        <v>138920.92827725809</v>
      </c>
      <c r="AP630" s="309">
        <f t="shared" si="59"/>
        <v>140321.28644274312</v>
      </c>
      <c r="AQ630" s="309">
        <f t="shared" si="59"/>
        <v>137998.50880253312</v>
      </c>
      <c r="AR630" s="309">
        <f t="shared" si="59"/>
        <v>135675.73116230313</v>
      </c>
      <c r="AS630" s="309">
        <f t="shared" si="59"/>
        <v>133352.95352210314</v>
      </c>
      <c r="AT630" s="309"/>
      <c r="AU630" s="309"/>
      <c r="AV630" s="309"/>
      <c r="AW630" s="309"/>
      <c r="AX630" s="309"/>
      <c r="AY630" s="309"/>
      <c r="AZ630" s="309"/>
      <c r="BA630" s="309"/>
      <c r="BB630" s="309"/>
      <c r="BC630" s="309"/>
      <c r="BD630" s="309"/>
      <c r="BE630" s="309"/>
      <c r="BF630" s="309"/>
      <c r="BG630" s="309"/>
      <c r="BH630" s="309"/>
      <c r="BI630" s="309"/>
      <c r="BJ630" s="309"/>
      <c r="BK630" s="309"/>
    </row>
    <row r="631" spans="1:63">
      <c r="A631" s="167"/>
      <c r="B631" s="210" t="str">
        <f>IF(SUM(F631:Z631)&gt;0,Servicio_internaColumna_título_amortizaciones,"")</f>
        <v>Amortizaciones</v>
      </c>
      <c r="C631" s="254"/>
      <c r="D631" s="255"/>
      <c r="E631" s="255"/>
      <c r="F631" s="255"/>
      <c r="G631" s="255"/>
      <c r="H631" s="255"/>
      <c r="I631" s="255"/>
      <c r="J631" s="255"/>
      <c r="K631" s="255"/>
      <c r="L631" s="255"/>
      <c r="M631" s="255"/>
      <c r="N631" s="255"/>
      <c r="O631" s="255"/>
      <c r="P631" s="255"/>
      <c r="Q631" s="255"/>
      <c r="R631" s="255"/>
      <c r="S631" s="257"/>
      <c r="T631" s="258">
        <v>22245163.106682632</v>
      </c>
      <c r="U631" s="258">
        <v>40105219.426486</v>
      </c>
      <c r="V631" s="258">
        <v>19500567.198999997</v>
      </c>
      <c r="W631" s="258">
        <v>20109752.841878477</v>
      </c>
      <c r="X631" s="258">
        <v>28595936.303000003</v>
      </c>
      <c r="Y631" s="258">
        <v>17393702.675128963</v>
      </c>
      <c r="Z631" s="258">
        <v>26890005.342999998</v>
      </c>
      <c r="AA631" s="258">
        <v>15355593.697519001</v>
      </c>
      <c r="AB631" s="258">
        <v>28778993.899999999</v>
      </c>
      <c r="AC631" s="258">
        <v>6878863.3678829996</v>
      </c>
      <c r="AD631" s="259">
        <v>16171867.199999999</v>
      </c>
      <c r="AE631" s="259">
        <v>0</v>
      </c>
      <c r="AF631" s="259">
        <v>17294552.300000001</v>
      </c>
      <c r="AG631" s="259">
        <v>0</v>
      </c>
      <c r="AH631" s="259">
        <v>12374211.5</v>
      </c>
      <c r="AI631" s="259">
        <v>9410022.2963629998</v>
      </c>
      <c r="AJ631" s="259">
        <v>0</v>
      </c>
      <c r="AK631" s="259">
        <v>10139172.238012999</v>
      </c>
      <c r="AL631" s="259">
        <v>0</v>
      </c>
      <c r="AM631" s="259">
        <v>0</v>
      </c>
      <c r="AN631" s="259">
        <v>0</v>
      </c>
      <c r="AO631" s="259">
        <v>0</v>
      </c>
      <c r="AP631" s="259">
        <v>0</v>
      </c>
      <c r="AQ631" s="259">
        <v>0</v>
      </c>
      <c r="AR631" s="259">
        <v>0</v>
      </c>
      <c r="AS631" s="259">
        <v>0</v>
      </c>
      <c r="AT631" s="259"/>
      <c r="AU631" s="259"/>
      <c r="AV631" s="259"/>
      <c r="AW631" s="259"/>
      <c r="AX631" s="259"/>
      <c r="AY631" s="259"/>
      <c r="AZ631" s="259"/>
      <c r="BA631" s="259"/>
      <c r="BB631" s="259"/>
      <c r="BC631" s="259"/>
      <c r="BD631" s="259"/>
      <c r="BE631" s="259"/>
      <c r="BF631" s="259"/>
      <c r="BG631" s="259"/>
      <c r="BH631" s="259"/>
      <c r="BI631" s="259"/>
      <c r="BJ631" s="259"/>
      <c r="BK631" s="259"/>
    </row>
    <row r="632" spans="1:63">
      <c r="A632" s="168">
        <v>43221</v>
      </c>
      <c r="B632" s="213" t="str">
        <f>IF(SUM(F632:Z632)&gt;0,Servicio_internaColumna_título_intereses,"")</f>
        <v>Intereses</v>
      </c>
      <c r="C632" s="256"/>
      <c r="D632" s="257"/>
      <c r="E632" s="257"/>
      <c r="F632" s="257"/>
      <c r="G632" s="257"/>
      <c r="H632" s="257"/>
      <c r="I632" s="257"/>
      <c r="J632" s="257"/>
      <c r="K632" s="257"/>
      <c r="L632" s="257"/>
      <c r="M632" s="257"/>
      <c r="N632" s="257"/>
      <c r="O632" s="257"/>
      <c r="P632" s="257"/>
      <c r="Q632" s="257"/>
      <c r="R632" s="257"/>
      <c r="S632" s="257"/>
      <c r="T632" s="258">
        <v>11527613.705519363</v>
      </c>
      <c r="U632" s="258">
        <v>15795013.918824933</v>
      </c>
      <c r="V632" s="258">
        <v>15778023.019747157</v>
      </c>
      <c r="W632" s="258">
        <v>13722330.639614655</v>
      </c>
      <c r="X632" s="258">
        <v>13026127.975574721</v>
      </c>
      <c r="Y632" s="258">
        <v>11095863.156750865</v>
      </c>
      <c r="Z632" s="258">
        <v>10173138.888787394</v>
      </c>
      <c r="AA632" s="258">
        <v>7530393.6881117849</v>
      </c>
      <c r="AB632" s="258">
        <v>6796168.7235870911</v>
      </c>
      <c r="AC632" s="258">
        <v>4673685.5508869607</v>
      </c>
      <c r="AD632" s="259">
        <v>4402722.9073378136</v>
      </c>
      <c r="AE632" s="259">
        <v>3461643.4388192389</v>
      </c>
      <c r="AF632" s="259">
        <v>3491923.8951521227</v>
      </c>
      <c r="AG632" s="259">
        <v>2182955.8778720396</v>
      </c>
      <c r="AH632" s="259">
        <v>2215427.3733681091</v>
      </c>
      <c r="AI632" s="259">
        <v>1383773.7536337385</v>
      </c>
      <c r="AJ632" s="259">
        <v>963452.68202551606</v>
      </c>
      <c r="AK632" s="259">
        <v>988203.33724869147</v>
      </c>
      <c r="AL632" s="259">
        <v>185603.51462057096</v>
      </c>
      <c r="AM632" s="259">
        <v>186503.78524111799</v>
      </c>
      <c r="AN632" s="259">
        <v>188231.64900686301</v>
      </c>
      <c r="AO632" s="259">
        <v>191045.20277285823</v>
      </c>
      <c r="AP632" s="259">
        <v>194012.75910384464</v>
      </c>
      <c r="AQ632" s="259">
        <v>191692.89403748466</v>
      </c>
      <c r="AR632" s="259">
        <v>189373.02897111466</v>
      </c>
      <c r="AS632" s="259">
        <v>187053.16390474464</v>
      </c>
      <c r="AT632" s="259"/>
      <c r="AU632" s="259"/>
      <c r="AV632" s="259"/>
      <c r="AW632" s="259"/>
      <c r="AX632" s="259"/>
      <c r="AY632" s="259"/>
      <c r="AZ632" s="259"/>
      <c r="BA632" s="259"/>
      <c r="BB632" s="259"/>
      <c r="BC632" s="259"/>
      <c r="BD632" s="259"/>
      <c r="BE632" s="259"/>
      <c r="BF632" s="259"/>
      <c r="BG632" s="259"/>
      <c r="BH632" s="259"/>
      <c r="BI632" s="259"/>
      <c r="BJ632" s="259"/>
      <c r="BK632" s="259"/>
    </row>
    <row r="633" spans="1:63">
      <c r="A633" s="169"/>
      <c r="B633" s="307" t="str">
        <f>IF(SUM(F633:Z633)&gt;0,Servicio_internaColumna_título_total,"")</f>
        <v>Total</v>
      </c>
      <c r="C633" s="308"/>
      <c r="D633" s="309"/>
      <c r="E633" s="309"/>
      <c r="F633" s="309"/>
      <c r="G633" s="309"/>
      <c r="H633" s="309"/>
      <c r="I633" s="309"/>
      <c r="J633" s="309"/>
      <c r="K633" s="309"/>
      <c r="L633" s="309"/>
      <c r="M633" s="309"/>
      <c r="N633" s="309"/>
      <c r="O633" s="309"/>
      <c r="P633" s="309"/>
      <c r="Q633" s="309"/>
      <c r="R633" s="309"/>
      <c r="S633" s="309"/>
      <c r="T633" s="309">
        <f>T632+T631</f>
        <v>33772776.812201992</v>
      </c>
      <c r="U633" s="309">
        <f t="shared" ref="U633:AS633" si="60">U632+U631</f>
        <v>55900233.345310934</v>
      </c>
      <c r="V633" s="309">
        <f t="shared" si="60"/>
        <v>35278590.218747154</v>
      </c>
      <c r="W633" s="309">
        <f t="shared" si="60"/>
        <v>33832083.48149313</v>
      </c>
      <c r="X633" s="309">
        <f t="shared" si="60"/>
        <v>41622064.27857472</v>
      </c>
      <c r="Y633" s="309">
        <f t="shared" si="60"/>
        <v>28489565.831879828</v>
      </c>
      <c r="Z633" s="309">
        <f t="shared" si="60"/>
        <v>37063144.231787391</v>
      </c>
      <c r="AA633" s="309">
        <f t="shared" si="60"/>
        <v>22885987.385630786</v>
      </c>
      <c r="AB633" s="309">
        <f t="shared" si="60"/>
        <v>35575162.623587087</v>
      </c>
      <c r="AC633" s="309">
        <f t="shared" si="60"/>
        <v>11552548.918769959</v>
      </c>
      <c r="AD633" s="309">
        <f t="shared" si="60"/>
        <v>20574590.107337814</v>
      </c>
      <c r="AE633" s="309">
        <f t="shared" si="60"/>
        <v>3461643.4388192389</v>
      </c>
      <c r="AF633" s="309">
        <f t="shared" si="60"/>
        <v>20786476.195152123</v>
      </c>
      <c r="AG633" s="309">
        <f t="shared" si="60"/>
        <v>2182955.8778720396</v>
      </c>
      <c r="AH633" s="309">
        <f t="shared" si="60"/>
        <v>14589638.873368109</v>
      </c>
      <c r="AI633" s="309">
        <f t="shared" si="60"/>
        <v>10793796.049996737</v>
      </c>
      <c r="AJ633" s="309">
        <f t="shared" si="60"/>
        <v>963452.68202551606</v>
      </c>
      <c r="AK633" s="309">
        <f t="shared" si="60"/>
        <v>11127375.575261692</v>
      </c>
      <c r="AL633" s="309">
        <f t="shared" si="60"/>
        <v>185603.51462057096</v>
      </c>
      <c r="AM633" s="309">
        <f t="shared" si="60"/>
        <v>186503.78524111799</v>
      </c>
      <c r="AN633" s="309">
        <f t="shared" si="60"/>
        <v>188231.64900686301</v>
      </c>
      <c r="AO633" s="309">
        <f t="shared" si="60"/>
        <v>191045.20277285823</v>
      </c>
      <c r="AP633" s="309">
        <f t="shared" si="60"/>
        <v>194012.75910384464</v>
      </c>
      <c r="AQ633" s="309">
        <f t="shared" si="60"/>
        <v>191692.89403748466</v>
      </c>
      <c r="AR633" s="309">
        <f t="shared" si="60"/>
        <v>189373.02897111466</v>
      </c>
      <c r="AS633" s="309">
        <f t="shared" si="60"/>
        <v>187053.16390474464</v>
      </c>
      <c r="AT633" s="309"/>
      <c r="AU633" s="309"/>
      <c r="AV633" s="309"/>
      <c r="AW633" s="309"/>
      <c r="AX633" s="309"/>
      <c r="AY633" s="309"/>
      <c r="AZ633" s="309"/>
      <c r="BA633" s="309"/>
      <c r="BB633" s="309"/>
      <c r="BC633" s="309"/>
      <c r="BD633" s="309"/>
      <c r="BE633" s="309"/>
      <c r="BF633" s="309"/>
      <c r="BG633" s="309"/>
      <c r="BH633" s="309"/>
      <c r="BI633" s="309"/>
      <c r="BJ633" s="309"/>
      <c r="BK633" s="309"/>
    </row>
    <row r="634" spans="1:63">
      <c r="A634" s="167"/>
      <c r="B634" s="210" t="s">
        <v>28</v>
      </c>
      <c r="C634" s="254"/>
      <c r="D634" s="255"/>
      <c r="E634" s="255"/>
      <c r="F634" s="255"/>
      <c r="G634" s="255"/>
      <c r="H634" s="255"/>
      <c r="I634" s="255"/>
      <c r="J634" s="255"/>
      <c r="K634" s="255"/>
      <c r="L634" s="255"/>
      <c r="M634" s="255"/>
      <c r="N634" s="255"/>
      <c r="O634" s="255"/>
      <c r="P634" s="255"/>
      <c r="Q634" s="255"/>
      <c r="R634" s="255"/>
      <c r="S634" s="257"/>
      <c r="T634" s="258">
        <v>19625249.873255</v>
      </c>
      <c r="U634" s="258">
        <v>41141717.8250155</v>
      </c>
      <c r="V634" s="258">
        <v>19500567.198999997</v>
      </c>
      <c r="W634" s="258">
        <v>20178608.454874281</v>
      </c>
      <c r="X634" s="258">
        <v>28595936.303000003</v>
      </c>
      <c r="Y634" s="258">
        <v>17698053.677566998</v>
      </c>
      <c r="Z634" s="258">
        <v>26890005.342999998</v>
      </c>
      <c r="AA634" s="258">
        <v>16188423.733744901</v>
      </c>
      <c r="AB634" s="258">
        <v>28778993.899999999</v>
      </c>
      <c r="AC634" s="258">
        <v>7227099.5463001998</v>
      </c>
      <c r="AD634" s="259">
        <v>17221927.300000001</v>
      </c>
      <c r="AE634" s="259">
        <v>0</v>
      </c>
      <c r="AF634" s="259">
        <v>17294552.300000001</v>
      </c>
      <c r="AG634" s="259">
        <v>0</v>
      </c>
      <c r="AH634" s="259">
        <v>12999564.5</v>
      </c>
      <c r="AI634" s="259">
        <v>9442725.0148972999</v>
      </c>
      <c r="AJ634" s="259">
        <v>0</v>
      </c>
      <c r="AK634" s="259">
        <v>10454101.6190877</v>
      </c>
      <c r="AL634" s="259">
        <v>0</v>
      </c>
      <c r="AM634" s="259">
        <v>0</v>
      </c>
      <c r="AN634" s="259">
        <v>0</v>
      </c>
      <c r="AO634" s="259">
        <v>0</v>
      </c>
      <c r="AP634" s="259">
        <v>0</v>
      </c>
      <c r="AQ634" s="259">
        <v>0</v>
      </c>
      <c r="AR634" s="259">
        <v>0</v>
      </c>
      <c r="AS634" s="259">
        <v>0</v>
      </c>
      <c r="AT634" s="259"/>
      <c r="AU634" s="259"/>
      <c r="AV634" s="259"/>
      <c r="AW634" s="259"/>
      <c r="AX634" s="259"/>
      <c r="AY634" s="259"/>
      <c r="AZ634" s="259"/>
      <c r="BA634" s="259"/>
      <c r="BB634" s="259"/>
      <c r="BC634" s="259"/>
      <c r="BD634" s="259"/>
      <c r="BE634" s="259"/>
      <c r="BF634" s="259"/>
      <c r="BG634" s="259"/>
      <c r="BH634" s="259"/>
      <c r="BI634" s="259"/>
      <c r="BJ634" s="259"/>
      <c r="BK634" s="259"/>
    </row>
    <row r="635" spans="1:63">
      <c r="A635" s="168">
        <v>43281</v>
      </c>
      <c r="B635" s="213" t="s">
        <v>385</v>
      </c>
      <c r="C635" s="256"/>
      <c r="D635" s="257"/>
      <c r="E635" s="257"/>
      <c r="F635" s="257"/>
      <c r="G635" s="257"/>
      <c r="H635" s="257"/>
      <c r="I635" s="257"/>
      <c r="J635" s="257"/>
      <c r="K635" s="257"/>
      <c r="L635" s="257"/>
      <c r="M635" s="257"/>
      <c r="N635" s="257"/>
      <c r="O635" s="257"/>
      <c r="P635" s="257"/>
      <c r="Q635" s="257"/>
      <c r="R635" s="257"/>
      <c r="S635" s="257"/>
      <c r="T635" s="258">
        <v>10616768.287436988</v>
      </c>
      <c r="U635" s="258">
        <v>17258925.14592674</v>
      </c>
      <c r="V635" s="258">
        <v>15993611.59085183</v>
      </c>
      <c r="W635" s="258">
        <v>13939653.32791183</v>
      </c>
      <c r="X635" s="258">
        <v>13245237.820019951</v>
      </c>
      <c r="Y635" s="258">
        <v>11316814.424731353</v>
      </c>
      <c r="Z635" s="258">
        <v>10382062.640277334</v>
      </c>
      <c r="AA635" s="258">
        <v>7740854.615343051</v>
      </c>
      <c r="AB635" s="258">
        <v>6958340.3293331778</v>
      </c>
      <c r="AC635" s="258">
        <v>4837489.2531920113</v>
      </c>
      <c r="AD635" s="259">
        <v>4553729.5848753434</v>
      </c>
      <c r="AE635" s="259">
        <v>3550944.9465718921</v>
      </c>
      <c r="AF635" s="259">
        <v>3582563.4359575799</v>
      </c>
      <c r="AG635" s="259">
        <v>2274974.2364730602</v>
      </c>
      <c r="AH635" s="259">
        <v>2308866.558049805</v>
      </c>
      <c r="AI635" s="259">
        <v>1434905.8055246919</v>
      </c>
      <c r="AJ635" s="259">
        <v>1016102.6886241115</v>
      </c>
      <c r="AK635" s="259">
        <v>1042417.2021422818</v>
      </c>
      <c r="AL635" s="259">
        <v>218661.72983528473</v>
      </c>
      <c r="AM635" s="259">
        <v>220536.16561350485</v>
      </c>
      <c r="AN635" s="259">
        <v>223270.4348778362</v>
      </c>
      <c r="AO635" s="259">
        <v>227124.48029642508</v>
      </c>
      <c r="AP635" s="259">
        <v>231164.00516118834</v>
      </c>
      <c r="AQ635" s="259">
        <v>228835.40237329833</v>
      </c>
      <c r="AR635" s="259">
        <v>226506.79958539834</v>
      </c>
      <c r="AS635" s="259">
        <v>224178.19679749833</v>
      </c>
      <c r="AT635" s="259"/>
      <c r="AU635" s="259"/>
      <c r="AV635" s="259"/>
      <c r="AW635" s="259"/>
      <c r="AX635" s="259"/>
      <c r="AY635" s="259"/>
      <c r="AZ635" s="259"/>
      <c r="BA635" s="259"/>
      <c r="BB635" s="259"/>
      <c r="BC635" s="259"/>
      <c r="BD635" s="259"/>
      <c r="BE635" s="259"/>
      <c r="BF635" s="259"/>
      <c r="BG635" s="259"/>
      <c r="BH635" s="259"/>
      <c r="BI635" s="259"/>
      <c r="BJ635" s="259"/>
      <c r="BK635" s="259"/>
    </row>
    <row r="636" spans="1:63">
      <c r="A636" s="169"/>
      <c r="B636" s="307" t="s">
        <v>29</v>
      </c>
      <c r="C636" s="308"/>
      <c r="D636" s="309"/>
      <c r="E636" s="309"/>
      <c r="F636" s="309"/>
      <c r="G636" s="309"/>
      <c r="H636" s="309"/>
      <c r="I636" s="309"/>
      <c r="J636" s="309"/>
      <c r="K636" s="309"/>
      <c r="L636" s="309"/>
      <c r="M636" s="309"/>
      <c r="N636" s="309"/>
      <c r="O636" s="309"/>
      <c r="P636" s="309"/>
      <c r="Q636" s="309"/>
      <c r="R636" s="309"/>
      <c r="S636" s="309"/>
      <c r="T636" s="309">
        <v>30242018.160691988</v>
      </c>
      <c r="U636" s="309">
        <v>58400642.970942244</v>
      </c>
      <c r="V636" s="309">
        <v>35494178.789851829</v>
      </c>
      <c r="W636" s="309">
        <v>34118261.782786109</v>
      </c>
      <c r="X636" s="309">
        <v>41841174.123019956</v>
      </c>
      <c r="Y636" s="309">
        <v>29014868.102298349</v>
      </c>
      <c r="Z636" s="309">
        <v>37272067.983277336</v>
      </c>
      <c r="AA636" s="309">
        <v>23929278.349087954</v>
      </c>
      <c r="AB636" s="309">
        <v>35737334.229333177</v>
      </c>
      <c r="AC636" s="309">
        <v>12064588.79949221</v>
      </c>
      <c r="AD636" s="309">
        <v>21775656.884875342</v>
      </c>
      <c r="AE636" s="309">
        <v>3550944.9465718921</v>
      </c>
      <c r="AF636" s="309">
        <v>20877115.735957582</v>
      </c>
      <c r="AG636" s="309">
        <v>2274974.2364730602</v>
      </c>
      <c r="AH636" s="309">
        <v>15308431.058049805</v>
      </c>
      <c r="AI636" s="309">
        <v>10877630.820421992</v>
      </c>
      <c r="AJ636" s="309">
        <v>1016102.6886241115</v>
      </c>
      <c r="AK636" s="309">
        <v>11496518.821229981</v>
      </c>
      <c r="AL636" s="309">
        <v>218661.72983528473</v>
      </c>
      <c r="AM636" s="309">
        <v>220536.16561350485</v>
      </c>
      <c r="AN636" s="309">
        <v>223270.4348778362</v>
      </c>
      <c r="AO636" s="309">
        <v>227124.48029642508</v>
      </c>
      <c r="AP636" s="309">
        <v>231164.00516118834</v>
      </c>
      <c r="AQ636" s="309">
        <v>228835.40237329833</v>
      </c>
      <c r="AR636" s="309">
        <v>226506.79958539834</v>
      </c>
      <c r="AS636" s="309">
        <v>224178.19679749833</v>
      </c>
      <c r="AT636" s="309"/>
      <c r="AU636" s="309"/>
      <c r="AV636" s="309"/>
      <c r="AW636" s="309"/>
      <c r="AX636" s="309"/>
      <c r="AY636" s="309"/>
      <c r="AZ636" s="309"/>
      <c r="BA636" s="309"/>
      <c r="BB636" s="309"/>
      <c r="BC636" s="309"/>
      <c r="BD636" s="309"/>
      <c r="BE636" s="309"/>
      <c r="BF636" s="309"/>
      <c r="BG636" s="309"/>
      <c r="BH636" s="309"/>
      <c r="BI636" s="309"/>
      <c r="BJ636" s="309"/>
      <c r="BK636" s="309"/>
    </row>
    <row r="637" spans="1:63">
      <c r="A637" s="167"/>
      <c r="B637" s="210" t="s">
        <v>28</v>
      </c>
      <c r="C637" s="254"/>
      <c r="D637" s="255"/>
      <c r="E637" s="255"/>
      <c r="F637" s="255"/>
      <c r="G637" s="255"/>
      <c r="H637" s="255"/>
      <c r="I637" s="255"/>
      <c r="J637" s="255"/>
      <c r="K637" s="255"/>
      <c r="L637" s="255"/>
      <c r="M637" s="255"/>
      <c r="N637" s="255"/>
      <c r="O637" s="255"/>
      <c r="P637" s="255"/>
      <c r="Q637" s="255"/>
      <c r="R637" s="255"/>
      <c r="S637" s="257"/>
      <c r="T637" s="258">
        <v>20128311.662158996</v>
      </c>
      <c r="U637" s="258">
        <v>42413048.364841498</v>
      </c>
      <c r="V637" s="258">
        <v>19500567.198999997</v>
      </c>
      <c r="W637" s="258">
        <v>20218849.047156684</v>
      </c>
      <c r="X637" s="258">
        <v>28595936.303000003</v>
      </c>
      <c r="Y637" s="258">
        <v>18147159.073733214</v>
      </c>
      <c r="Z637" s="258">
        <v>26890005.342999998</v>
      </c>
      <c r="AA637" s="258">
        <v>17401702.406270102</v>
      </c>
      <c r="AB637" s="258">
        <v>28778993.899999999</v>
      </c>
      <c r="AC637" s="258">
        <v>7575410.004079801</v>
      </c>
      <c r="AD637" s="259">
        <v>17804588.600000001</v>
      </c>
      <c r="AE637" s="259">
        <v>0</v>
      </c>
      <c r="AF637" s="259">
        <v>17294552.300000001</v>
      </c>
      <c r="AG637" s="259">
        <v>0</v>
      </c>
      <c r="AH637" s="259">
        <v>13490745.800000001</v>
      </c>
      <c r="AI637" s="259">
        <v>9461837.1352577005</v>
      </c>
      <c r="AJ637" s="259">
        <v>0</v>
      </c>
      <c r="AK637" s="259">
        <v>10930958.8188115</v>
      </c>
      <c r="AL637" s="259">
        <v>0</v>
      </c>
      <c r="AM637" s="259">
        <v>0</v>
      </c>
      <c r="AN637" s="259">
        <v>0</v>
      </c>
      <c r="AO637" s="259">
        <v>0</v>
      </c>
      <c r="AP637" s="259">
        <v>0</v>
      </c>
      <c r="AQ637" s="259">
        <v>0</v>
      </c>
      <c r="AR637" s="259">
        <v>0</v>
      </c>
      <c r="AS637" s="259">
        <v>0</v>
      </c>
      <c r="AT637" s="259"/>
      <c r="AU637" s="259"/>
      <c r="AV637" s="259"/>
      <c r="AW637" s="259"/>
      <c r="AX637" s="259"/>
      <c r="AY637" s="259"/>
      <c r="AZ637" s="259"/>
      <c r="BA637" s="259"/>
      <c r="BB637" s="259"/>
      <c r="BC637" s="259"/>
      <c r="BD637" s="259"/>
      <c r="BE637" s="259"/>
      <c r="BF637" s="259"/>
      <c r="BG637" s="259"/>
      <c r="BH637" s="259"/>
      <c r="BI637" s="259"/>
      <c r="BJ637" s="259"/>
      <c r="BK637" s="259"/>
    </row>
    <row r="638" spans="1:63">
      <c r="A638" s="168">
        <v>43312</v>
      </c>
      <c r="B638" s="213" t="s">
        <v>385</v>
      </c>
      <c r="C638" s="256"/>
      <c r="D638" s="257"/>
      <c r="E638" s="257"/>
      <c r="F638" s="257"/>
      <c r="G638" s="257"/>
      <c r="H638" s="257"/>
      <c r="I638" s="257"/>
      <c r="J638" s="257"/>
      <c r="K638" s="257"/>
      <c r="L638" s="257"/>
      <c r="M638" s="257"/>
      <c r="N638" s="257"/>
      <c r="O638" s="257"/>
      <c r="P638" s="257"/>
      <c r="Q638" s="257"/>
      <c r="R638" s="257"/>
      <c r="S638" s="257"/>
      <c r="T638" s="258">
        <v>5798434.543508999</v>
      </c>
      <c r="U638" s="258">
        <v>17456927.022852227</v>
      </c>
      <c r="V638" s="258">
        <v>16193236.552390078</v>
      </c>
      <c r="W638" s="258">
        <v>14140950.066601226</v>
      </c>
      <c r="X638" s="258">
        <v>13448256.489175027</v>
      </c>
      <c r="Y638" s="258">
        <v>11521606.682266084</v>
      </c>
      <c r="Z638" s="258">
        <v>10565134.179693289</v>
      </c>
      <c r="AA638" s="258">
        <v>7925101.3292464968</v>
      </c>
      <c r="AB638" s="258">
        <v>7069240.7854587277</v>
      </c>
      <c r="AC638" s="258">
        <v>4949636.4519313239</v>
      </c>
      <c r="AD638" s="259">
        <v>4652294.7642097864</v>
      </c>
      <c r="AE638" s="259">
        <v>3615427.1322163725</v>
      </c>
      <c r="AF638" s="259">
        <v>3647948.6064413963</v>
      </c>
      <c r="AG638" s="259">
        <v>2341289.4813413895</v>
      </c>
      <c r="AH638" s="259">
        <v>2376139.7795341848</v>
      </c>
      <c r="AI638" s="259">
        <v>1468783.051923601</v>
      </c>
      <c r="AJ638" s="259">
        <v>1050996.2524149893</v>
      </c>
      <c r="AK638" s="259">
        <v>1078357.572846886</v>
      </c>
      <c r="AL638" s="259">
        <v>218661.72983528473</v>
      </c>
      <c r="AM638" s="259">
        <v>220536.16561350485</v>
      </c>
      <c r="AN638" s="259">
        <v>223270.4348778362</v>
      </c>
      <c r="AO638" s="259">
        <v>227124.48029642508</v>
      </c>
      <c r="AP638" s="259">
        <v>231164.00516118834</v>
      </c>
      <c r="AQ638" s="259">
        <v>228835.40237329833</v>
      </c>
      <c r="AR638" s="259">
        <v>226506.79958539834</v>
      </c>
      <c r="AS638" s="259">
        <v>224178.19679749833</v>
      </c>
      <c r="AT638" s="259"/>
      <c r="AU638" s="259"/>
      <c r="AV638" s="259"/>
      <c r="AW638" s="259"/>
      <c r="AX638" s="259"/>
      <c r="AY638" s="259"/>
      <c r="AZ638" s="259"/>
      <c r="BA638" s="259"/>
      <c r="BB638" s="259"/>
      <c r="BC638" s="259"/>
      <c r="BD638" s="259"/>
      <c r="BE638" s="259"/>
      <c r="BF638" s="259"/>
      <c r="BG638" s="259"/>
      <c r="BH638" s="259"/>
      <c r="BI638" s="259"/>
      <c r="BJ638" s="259"/>
      <c r="BK638" s="259"/>
    </row>
    <row r="639" spans="1:63">
      <c r="A639" s="169"/>
      <c r="B639" s="307" t="s">
        <v>29</v>
      </c>
      <c r="C639" s="308"/>
      <c r="D639" s="309"/>
      <c r="E639" s="309"/>
      <c r="F639" s="309"/>
      <c r="G639" s="309"/>
      <c r="H639" s="309"/>
      <c r="I639" s="309"/>
      <c r="J639" s="309"/>
      <c r="K639" s="309"/>
      <c r="L639" s="309"/>
      <c r="M639" s="309"/>
      <c r="N639" s="309"/>
      <c r="O639" s="309"/>
      <c r="P639" s="309"/>
      <c r="Q639" s="309"/>
      <c r="R639" s="309"/>
      <c r="S639" s="309"/>
      <c r="T639" s="309">
        <v>25926746.205667995</v>
      </c>
      <c r="U639" s="309">
        <v>59869975.387693726</v>
      </c>
      <c r="V639" s="309">
        <v>35693803.751390077</v>
      </c>
      <c r="W639" s="309">
        <v>34359799.113757908</v>
      </c>
      <c r="X639" s="309">
        <v>42044192.792175032</v>
      </c>
      <c r="Y639" s="309">
        <v>29668765.755999297</v>
      </c>
      <c r="Z639" s="309">
        <v>37455139.522693291</v>
      </c>
      <c r="AA639" s="309">
        <v>25326803.7355166</v>
      </c>
      <c r="AB639" s="309">
        <v>35848234.685458727</v>
      </c>
      <c r="AC639" s="309">
        <v>12525046.456011124</v>
      </c>
      <c r="AD639" s="309">
        <v>22456883.364209786</v>
      </c>
      <c r="AE639" s="309">
        <v>3615427.1322163725</v>
      </c>
      <c r="AF639" s="309">
        <v>20942500.906441398</v>
      </c>
      <c r="AG639" s="309">
        <v>2341289.4813413895</v>
      </c>
      <c r="AH639" s="309">
        <v>15866885.579534186</v>
      </c>
      <c r="AI639" s="309">
        <v>10930620.187181301</v>
      </c>
      <c r="AJ639" s="309">
        <v>1050996.2524149893</v>
      </c>
      <c r="AK639" s="309">
        <v>12009316.391658386</v>
      </c>
      <c r="AL639" s="309">
        <v>218661.72983528473</v>
      </c>
      <c r="AM639" s="309">
        <v>220536.16561350485</v>
      </c>
      <c r="AN639" s="309">
        <v>223270.4348778362</v>
      </c>
      <c r="AO639" s="309">
        <v>227124.48029642508</v>
      </c>
      <c r="AP639" s="309">
        <v>231164.00516118834</v>
      </c>
      <c r="AQ639" s="309">
        <v>228835.40237329833</v>
      </c>
      <c r="AR639" s="309">
        <v>226506.79958539834</v>
      </c>
      <c r="AS639" s="309">
        <v>224178.19679749833</v>
      </c>
      <c r="AT639" s="309"/>
      <c r="AU639" s="309"/>
      <c r="AV639" s="309"/>
      <c r="AW639" s="309"/>
      <c r="AX639" s="309"/>
      <c r="AY639" s="309"/>
      <c r="AZ639" s="309"/>
      <c r="BA639" s="309"/>
      <c r="BB639" s="309"/>
      <c r="BC639" s="309"/>
      <c r="BD639" s="309"/>
      <c r="BE639" s="309"/>
      <c r="BF639" s="309"/>
      <c r="BG639" s="309"/>
      <c r="BH639" s="309"/>
      <c r="BI639" s="309"/>
      <c r="BJ639" s="309"/>
      <c r="BK639" s="309"/>
    </row>
    <row r="640" spans="1:63">
      <c r="A640" s="167"/>
      <c r="B640" s="210" t="s">
        <v>28</v>
      </c>
      <c r="C640" s="254"/>
      <c r="D640" s="255"/>
      <c r="E640" s="255"/>
      <c r="F640" s="255"/>
      <c r="G640" s="255"/>
      <c r="H640" s="255"/>
      <c r="I640" s="255"/>
      <c r="J640" s="255"/>
      <c r="K640" s="255"/>
      <c r="L640" s="255"/>
      <c r="M640" s="255"/>
      <c r="N640" s="255"/>
      <c r="O640" s="255"/>
      <c r="P640" s="255"/>
      <c r="Q640" s="255"/>
      <c r="R640" s="255"/>
      <c r="S640" s="257"/>
      <c r="T640" s="258">
        <v>19740735.636752002</v>
      </c>
      <c r="U640" s="258">
        <v>43413613.170060001</v>
      </c>
      <c r="V640" s="258">
        <v>19500567.198999997</v>
      </c>
      <c r="W640" s="258">
        <v>20226518.605822518</v>
      </c>
      <c r="X640" s="258">
        <v>28595936.303000003</v>
      </c>
      <c r="Y640" s="258">
        <v>18823077.551578574</v>
      </c>
      <c r="Z640" s="258">
        <v>26890005.342999998</v>
      </c>
      <c r="AA640" s="258">
        <v>19082057.183370002</v>
      </c>
      <c r="AB640" s="258">
        <v>28778993.899999999</v>
      </c>
      <c r="AC640" s="258">
        <v>8297960.3465681998</v>
      </c>
      <c r="AD640" s="259">
        <v>18665476.899999999</v>
      </c>
      <c r="AE640" s="259">
        <v>0</v>
      </c>
      <c r="AF640" s="259">
        <v>17395463.5</v>
      </c>
      <c r="AG640" s="259">
        <v>0</v>
      </c>
      <c r="AH640" s="259">
        <v>14378270.1</v>
      </c>
      <c r="AI640" s="259">
        <v>9707020.0596600007</v>
      </c>
      <c r="AJ640" s="259">
        <v>0</v>
      </c>
      <c r="AK640" s="259">
        <v>11458744.089746799</v>
      </c>
      <c r="AL640" s="259">
        <v>0</v>
      </c>
      <c r="AM640" s="259">
        <v>0</v>
      </c>
      <c r="AN640" s="259">
        <v>0</v>
      </c>
      <c r="AO640" s="259">
        <v>0</v>
      </c>
      <c r="AP640" s="259">
        <v>0</v>
      </c>
      <c r="AQ640" s="259">
        <v>0</v>
      </c>
      <c r="AR640" s="259">
        <v>0</v>
      </c>
      <c r="AS640" s="259">
        <v>0</v>
      </c>
      <c r="AT640" s="259"/>
      <c r="AU640" s="259"/>
      <c r="AV640" s="259"/>
      <c r="AW640" s="259"/>
      <c r="AX640" s="259"/>
      <c r="AY640" s="259"/>
      <c r="AZ640" s="259"/>
      <c r="BA640" s="259"/>
      <c r="BB640" s="259"/>
      <c r="BC640" s="259"/>
      <c r="BD640" s="259"/>
      <c r="BE640" s="259"/>
      <c r="BF640" s="259"/>
      <c r="BG640" s="259"/>
      <c r="BH640" s="259"/>
      <c r="BI640" s="259"/>
      <c r="BJ640" s="259"/>
      <c r="BK640" s="259"/>
    </row>
    <row r="641" spans="1:63">
      <c r="A641" s="168">
        <v>43343</v>
      </c>
      <c r="B641" s="213" t="s">
        <v>385</v>
      </c>
      <c r="C641" s="256"/>
      <c r="D641" s="257"/>
      <c r="E641" s="257"/>
      <c r="F641" s="257"/>
      <c r="G641" s="257"/>
      <c r="H641" s="257"/>
      <c r="I641" s="257"/>
      <c r="J641" s="257"/>
      <c r="K641" s="257"/>
      <c r="L641" s="257"/>
      <c r="M641" s="257"/>
      <c r="N641" s="257"/>
      <c r="O641" s="257"/>
      <c r="P641" s="257"/>
      <c r="Q641" s="257"/>
      <c r="R641" s="257"/>
      <c r="S641" s="257"/>
      <c r="T641" s="258">
        <v>3744353.3966204799</v>
      </c>
      <c r="U641" s="258">
        <v>17771978.679693628</v>
      </c>
      <c r="V641" s="258">
        <v>16511146.723864222</v>
      </c>
      <c r="W641" s="258">
        <v>14461804.508147096</v>
      </c>
      <c r="X641" s="258">
        <v>13772143.528894765</v>
      </c>
      <c r="Y641" s="258">
        <v>11848617.298104918</v>
      </c>
      <c r="Z641" s="258">
        <v>10856908.014944427</v>
      </c>
      <c r="AA641" s="258">
        <v>8219035.3444826584</v>
      </c>
      <c r="AB641" s="258">
        <v>7262371.82397513</v>
      </c>
      <c r="AC641" s="258">
        <v>5144913.4030932244</v>
      </c>
      <c r="AD641" s="259">
        <v>4817610.8879278507</v>
      </c>
      <c r="AE641" s="259">
        <v>3730401.4231359791</v>
      </c>
      <c r="AF641" s="259">
        <v>3764273.7065185895</v>
      </c>
      <c r="AG641" s="259">
        <v>2451185.2968508997</v>
      </c>
      <c r="AH641" s="259">
        <v>2487468.6684789821</v>
      </c>
      <c r="AI641" s="259">
        <v>1519461.3055067416</v>
      </c>
      <c r="AJ641" s="259">
        <v>1091362.6806658895</v>
      </c>
      <c r="AK641" s="259">
        <v>1119934.993945312</v>
      </c>
      <c r="AL641" s="259">
        <v>218661.72983528473</v>
      </c>
      <c r="AM641" s="259">
        <v>220536.16561350485</v>
      </c>
      <c r="AN641" s="259">
        <v>223270.4348778362</v>
      </c>
      <c r="AO641" s="259">
        <v>227124.48029642508</v>
      </c>
      <c r="AP641" s="259">
        <v>231164.00516118834</v>
      </c>
      <c r="AQ641" s="259">
        <v>228835.40237329833</v>
      </c>
      <c r="AR641" s="259">
        <v>226506.79958539834</v>
      </c>
      <c r="AS641" s="259">
        <v>224178.19679749833</v>
      </c>
      <c r="AT641" s="259"/>
      <c r="AU641" s="259"/>
      <c r="AV641" s="259"/>
      <c r="AW641" s="259"/>
      <c r="AX641" s="259"/>
      <c r="AY641" s="259"/>
      <c r="AZ641" s="259"/>
      <c r="BA641" s="259"/>
      <c r="BB641" s="259"/>
      <c r="BC641" s="259"/>
      <c r="BD641" s="259"/>
      <c r="BE641" s="259"/>
      <c r="BF641" s="259"/>
      <c r="BG641" s="259"/>
      <c r="BH641" s="259"/>
      <c r="BI641" s="259"/>
      <c r="BJ641" s="259"/>
      <c r="BK641" s="259"/>
    </row>
    <row r="642" spans="1:63">
      <c r="A642" s="169"/>
      <c r="B642" s="307" t="s">
        <v>29</v>
      </c>
      <c r="C642" s="308"/>
      <c r="D642" s="309"/>
      <c r="E642" s="309"/>
      <c r="F642" s="309"/>
      <c r="G642" s="309"/>
      <c r="H642" s="309"/>
      <c r="I642" s="309"/>
      <c r="J642" s="309"/>
      <c r="K642" s="309"/>
      <c r="L642" s="309"/>
      <c r="M642" s="309"/>
      <c r="N642" s="309"/>
      <c r="O642" s="309"/>
      <c r="P642" s="309"/>
      <c r="Q642" s="309"/>
      <c r="R642" s="309"/>
      <c r="S642" s="309"/>
      <c r="T642" s="309">
        <v>23485089.03337248</v>
      </c>
      <c r="U642" s="309">
        <v>61185591.849753633</v>
      </c>
      <c r="V642" s="309">
        <v>36011713.922864221</v>
      </c>
      <c r="W642" s="309">
        <v>34688323.113969617</v>
      </c>
      <c r="X642" s="309">
        <v>42368079.83189477</v>
      </c>
      <c r="Y642" s="309">
        <v>30671694.849683493</v>
      </c>
      <c r="Z642" s="309">
        <v>37746913.357944429</v>
      </c>
      <c r="AA642" s="309">
        <v>27301092.527852662</v>
      </c>
      <c r="AB642" s="309">
        <v>36041365.723975129</v>
      </c>
      <c r="AC642" s="309">
        <v>13442873.749661423</v>
      </c>
      <c r="AD642" s="309">
        <v>23483087.787927851</v>
      </c>
      <c r="AE642" s="309">
        <v>3730401.4231359791</v>
      </c>
      <c r="AF642" s="309">
        <v>21159737.20651859</v>
      </c>
      <c r="AG642" s="309">
        <v>2451185.2968508997</v>
      </c>
      <c r="AH642" s="309">
        <v>16865738.768478982</v>
      </c>
      <c r="AI642" s="309">
        <v>11226481.365166742</v>
      </c>
      <c r="AJ642" s="309">
        <v>1091362.6806658895</v>
      </c>
      <c r="AK642" s="309">
        <v>12578679.083692111</v>
      </c>
      <c r="AL642" s="309">
        <v>218661.72983528473</v>
      </c>
      <c r="AM642" s="309">
        <v>220536.16561350485</v>
      </c>
      <c r="AN642" s="309">
        <v>223270.4348778362</v>
      </c>
      <c r="AO642" s="309">
        <v>227124.48029642508</v>
      </c>
      <c r="AP642" s="309">
        <v>231164.00516118834</v>
      </c>
      <c r="AQ642" s="309">
        <v>228835.40237329833</v>
      </c>
      <c r="AR642" s="309">
        <v>226506.79958539834</v>
      </c>
      <c r="AS642" s="309">
        <v>224178.19679749833</v>
      </c>
      <c r="AT642" s="309"/>
      <c r="AU642" s="309"/>
      <c r="AV642" s="309"/>
      <c r="AW642" s="309"/>
      <c r="AX642" s="309"/>
      <c r="AY642" s="309"/>
      <c r="AZ642" s="309"/>
      <c r="BA642" s="309"/>
      <c r="BB642" s="309"/>
      <c r="BC642" s="309"/>
      <c r="BD642" s="309"/>
      <c r="BE642" s="309"/>
      <c r="BF642" s="309"/>
      <c r="BG642" s="309"/>
      <c r="BH642" s="309"/>
      <c r="BI642" s="309"/>
      <c r="BJ642" s="309"/>
      <c r="BK642" s="309"/>
    </row>
    <row r="643" spans="1:63">
      <c r="A643" s="167"/>
      <c r="B643" s="210" t="s">
        <v>28</v>
      </c>
      <c r="C643" s="254"/>
      <c r="D643" s="255"/>
      <c r="E643" s="255"/>
      <c r="F643" s="255"/>
      <c r="G643" s="255"/>
      <c r="H643" s="255"/>
      <c r="I643" s="255"/>
      <c r="J643" s="255"/>
      <c r="K643" s="255"/>
      <c r="L643" s="255"/>
      <c r="M643" s="255"/>
      <c r="N643" s="255"/>
      <c r="O643" s="255"/>
      <c r="P643" s="255"/>
      <c r="Q643" s="255"/>
      <c r="R643" s="255"/>
      <c r="S643" s="257"/>
      <c r="T643" s="258">
        <v>19740571.352752</v>
      </c>
      <c r="U643" s="258">
        <v>43412457.974073999</v>
      </c>
      <c r="V643" s="258">
        <v>19500567.198999997</v>
      </c>
      <c r="W643" s="258">
        <v>20224339.290756118</v>
      </c>
      <c r="X643" s="258">
        <v>28595936.303000003</v>
      </c>
      <c r="Y643" s="258">
        <v>19451018.917028408</v>
      </c>
      <c r="Z643" s="258">
        <v>26890005.342999998</v>
      </c>
      <c r="AA643" s="258">
        <v>19742345.87359</v>
      </c>
      <c r="AB643" s="258">
        <v>28778993.899999999</v>
      </c>
      <c r="AC643" s="258">
        <v>8499486.5569355991</v>
      </c>
      <c r="AD643" s="259">
        <v>19326385.699999999</v>
      </c>
      <c r="AE643" s="259">
        <v>0</v>
      </c>
      <c r="AF643" s="259">
        <v>17395463.5</v>
      </c>
      <c r="AG643" s="259">
        <v>0</v>
      </c>
      <c r="AH643" s="259">
        <v>15396202.1</v>
      </c>
      <c r="AI643" s="259">
        <v>9705958.2376199979</v>
      </c>
      <c r="AJ643" s="259">
        <v>0</v>
      </c>
      <c r="AK643" s="259">
        <v>11615538.887990398</v>
      </c>
      <c r="AL643" s="259">
        <v>0</v>
      </c>
      <c r="AM643" s="259">
        <v>0</v>
      </c>
      <c r="AN643" s="259">
        <v>0</v>
      </c>
      <c r="AO643" s="259">
        <v>0</v>
      </c>
      <c r="AP643" s="259">
        <v>0</v>
      </c>
      <c r="AQ643" s="259">
        <v>0</v>
      </c>
      <c r="AR643" s="259">
        <v>0</v>
      </c>
      <c r="AS643" s="259">
        <v>0</v>
      </c>
      <c r="AT643" s="259"/>
      <c r="AU643" s="259"/>
      <c r="AV643" s="259"/>
      <c r="AW643" s="259"/>
      <c r="AX643" s="259"/>
      <c r="AY643" s="259"/>
      <c r="AZ643" s="259"/>
      <c r="BA643" s="259"/>
      <c r="BB643" s="259"/>
      <c r="BC643" s="259"/>
      <c r="BD643" s="259"/>
      <c r="BE643" s="259"/>
      <c r="BF643" s="259"/>
      <c r="BG643" s="259"/>
      <c r="BH643" s="259"/>
      <c r="BI643" s="259"/>
      <c r="BJ643" s="259"/>
      <c r="BK643" s="259"/>
    </row>
    <row r="644" spans="1:63">
      <c r="A644" s="168">
        <v>43373</v>
      </c>
      <c r="B644" s="213" t="s">
        <v>385</v>
      </c>
      <c r="C644" s="256"/>
      <c r="D644" s="257"/>
      <c r="E644" s="257"/>
      <c r="F644" s="257"/>
      <c r="G644" s="257"/>
      <c r="H644" s="257"/>
      <c r="I644" s="257"/>
      <c r="J644" s="257"/>
      <c r="K644" s="257"/>
      <c r="L644" s="257"/>
      <c r="M644" s="257"/>
      <c r="N644" s="257"/>
      <c r="O644" s="257"/>
      <c r="P644" s="257"/>
      <c r="Q644" s="257"/>
      <c r="R644" s="257"/>
      <c r="S644" s="257"/>
      <c r="T644" s="258">
        <v>1468056.5577232095</v>
      </c>
      <c r="U644" s="258">
        <v>17969872.257887218</v>
      </c>
      <c r="V644" s="258">
        <v>16710409.684051121</v>
      </c>
      <c r="W644" s="258">
        <v>14662477.931787098</v>
      </c>
      <c r="X644" s="258">
        <v>13974269.729891477</v>
      </c>
      <c r="Y644" s="258">
        <v>12052239.859779021</v>
      </c>
      <c r="Z644" s="258">
        <v>11026174.595654793</v>
      </c>
      <c r="AA644" s="258">
        <v>8388812.4972618353</v>
      </c>
      <c r="AB644" s="258">
        <v>7391337.1222351855</v>
      </c>
      <c r="AC644" s="258">
        <v>5274420.3672610791</v>
      </c>
      <c r="AD644" s="259">
        <v>4938656.4720005374</v>
      </c>
      <c r="AE644" s="259">
        <v>3812096.5536908424</v>
      </c>
      <c r="AF644" s="259">
        <v>3846282.0337900994</v>
      </c>
      <c r="AG644" s="259">
        <v>2533516.2167405551</v>
      </c>
      <c r="AH644" s="259">
        <v>2570131.8587653241</v>
      </c>
      <c r="AI644" s="259">
        <v>1531211.4943016768</v>
      </c>
      <c r="AJ644" s="259">
        <v>1103465.3751246727</v>
      </c>
      <c r="AK644" s="259">
        <v>1132400.7692378594</v>
      </c>
      <c r="AL644" s="259">
        <v>218661.72983528473</v>
      </c>
      <c r="AM644" s="259">
        <v>220536.16561350485</v>
      </c>
      <c r="AN644" s="259">
        <v>223270.4348778362</v>
      </c>
      <c r="AO644" s="259">
        <v>227124.48029642508</v>
      </c>
      <c r="AP644" s="259">
        <v>231164.00516118834</v>
      </c>
      <c r="AQ644" s="259">
        <v>228835.40237329833</v>
      </c>
      <c r="AR644" s="259">
        <v>226506.79958539834</v>
      </c>
      <c r="AS644" s="259">
        <v>224178.19679749833</v>
      </c>
      <c r="AT644" s="259"/>
      <c r="AU644" s="259"/>
      <c r="AV644" s="259"/>
      <c r="AW644" s="259"/>
      <c r="AX644" s="259"/>
      <c r="AY644" s="259"/>
      <c r="AZ644" s="259"/>
      <c r="BA644" s="259"/>
      <c r="BB644" s="259"/>
      <c r="BC644" s="259"/>
      <c r="BD644" s="259"/>
      <c r="BE644" s="259"/>
      <c r="BF644" s="259"/>
      <c r="BG644" s="259"/>
      <c r="BH644" s="259"/>
      <c r="BI644" s="259"/>
      <c r="BJ644" s="259"/>
      <c r="BK644" s="259"/>
    </row>
    <row r="645" spans="1:63">
      <c r="A645" s="169"/>
      <c r="B645" s="307" t="s">
        <v>29</v>
      </c>
      <c r="C645" s="308"/>
      <c r="D645" s="309"/>
      <c r="E645" s="309"/>
      <c r="F645" s="309"/>
      <c r="G645" s="309"/>
      <c r="H645" s="309"/>
      <c r="I645" s="309"/>
      <c r="J645" s="309"/>
      <c r="K645" s="309"/>
      <c r="L645" s="309"/>
      <c r="M645" s="309"/>
      <c r="N645" s="309"/>
      <c r="O645" s="309"/>
      <c r="P645" s="309"/>
      <c r="Q645" s="309"/>
      <c r="R645" s="309"/>
      <c r="S645" s="309"/>
      <c r="T645" s="309">
        <v>23485089.03337248</v>
      </c>
      <c r="U645" s="309">
        <v>61185591.849753633</v>
      </c>
      <c r="V645" s="309">
        <v>36011713.922864221</v>
      </c>
      <c r="W645" s="309">
        <v>34688323.113969617</v>
      </c>
      <c r="X645" s="309">
        <v>42368079.83189477</v>
      </c>
      <c r="Y645" s="309">
        <v>30671694.849683493</v>
      </c>
      <c r="Z645" s="309">
        <v>37746913.357944429</v>
      </c>
      <c r="AA645" s="309">
        <v>27301092.527852662</v>
      </c>
      <c r="AB645" s="309">
        <v>36041365.723975129</v>
      </c>
      <c r="AC645" s="309">
        <v>13442873.749661423</v>
      </c>
      <c r="AD645" s="309">
        <v>23483087.787927851</v>
      </c>
      <c r="AE645" s="309">
        <v>3730401.4231359791</v>
      </c>
      <c r="AF645" s="309">
        <v>21159737.20651859</v>
      </c>
      <c r="AG645" s="309">
        <v>2451185.2968508997</v>
      </c>
      <c r="AH645" s="309">
        <v>16865738.768478982</v>
      </c>
      <c r="AI645" s="309">
        <v>11226481.365166742</v>
      </c>
      <c r="AJ645" s="309">
        <v>1091362.6806658895</v>
      </c>
      <c r="AK645" s="309">
        <v>12578679.083692111</v>
      </c>
      <c r="AL645" s="309">
        <v>218661.72983528473</v>
      </c>
      <c r="AM645" s="309">
        <v>220536.16561350485</v>
      </c>
      <c r="AN645" s="309">
        <v>223270.4348778362</v>
      </c>
      <c r="AO645" s="309">
        <v>227124.48029642508</v>
      </c>
      <c r="AP645" s="309">
        <v>231164.00516118834</v>
      </c>
      <c r="AQ645" s="309">
        <v>228835.40237329833</v>
      </c>
      <c r="AR645" s="309">
        <v>226506.79958539834</v>
      </c>
      <c r="AS645" s="309">
        <v>224178.19679749833</v>
      </c>
      <c r="AT645" s="309"/>
      <c r="AU645" s="309"/>
      <c r="AV645" s="309"/>
      <c r="AW645" s="309"/>
      <c r="AX645" s="309"/>
      <c r="AY645" s="309"/>
      <c r="AZ645" s="309"/>
      <c r="BA645" s="309"/>
      <c r="BB645" s="309"/>
      <c r="BC645" s="309"/>
      <c r="BD645" s="309"/>
      <c r="BE645" s="309"/>
      <c r="BF645" s="309"/>
      <c r="BG645" s="309"/>
      <c r="BH645" s="309"/>
      <c r="BI645" s="309"/>
      <c r="BJ645" s="309"/>
      <c r="BK645" s="309"/>
    </row>
    <row r="646" spans="1:63">
      <c r="A646" s="167"/>
      <c r="B646" s="210" t="s">
        <v>28</v>
      </c>
      <c r="C646" s="254"/>
      <c r="D646" s="255"/>
      <c r="E646" s="255"/>
      <c r="F646" s="255"/>
      <c r="G646" s="255"/>
      <c r="H646" s="255"/>
      <c r="I646" s="255"/>
      <c r="J646" s="255"/>
      <c r="K646" s="255"/>
      <c r="L646" s="255"/>
      <c r="M646" s="255"/>
      <c r="N646" s="255"/>
      <c r="O646" s="255"/>
      <c r="P646" s="255"/>
      <c r="Q646" s="255"/>
      <c r="R646" s="255"/>
      <c r="S646" s="257"/>
      <c r="T646" s="258">
        <v>7196616.8902169997</v>
      </c>
      <c r="U646" s="258">
        <v>39910527.026870102</v>
      </c>
      <c r="V646" s="258">
        <v>19500567.198999997</v>
      </c>
      <c r="W646" s="258">
        <v>20254335.567497522</v>
      </c>
      <c r="X646" s="258">
        <v>28595936.303000003</v>
      </c>
      <c r="Y646" s="258">
        <v>22120233.721001949</v>
      </c>
      <c r="Z646" s="258">
        <v>26890005.342999998</v>
      </c>
      <c r="AA646" s="258">
        <v>22701407.615245</v>
      </c>
      <c r="AB646" s="258">
        <v>28778993.899999999</v>
      </c>
      <c r="AC646" s="258">
        <v>10526014.494092701</v>
      </c>
      <c r="AD646" s="259">
        <v>22173224.300000001</v>
      </c>
      <c r="AE646" s="259">
        <v>0</v>
      </c>
      <c r="AF646" s="259">
        <v>17395463.5</v>
      </c>
      <c r="AG646" s="259">
        <v>0</v>
      </c>
      <c r="AH646" s="259">
        <v>17874025.199999999</v>
      </c>
      <c r="AI646" s="259">
        <v>9720573.2459100001</v>
      </c>
      <c r="AJ646" s="259">
        <v>0</v>
      </c>
      <c r="AK646" s="259">
        <v>13779162.232531199</v>
      </c>
      <c r="AL646" s="259">
        <v>0</v>
      </c>
      <c r="AM646" s="259">
        <v>0</v>
      </c>
      <c r="AN646" s="259">
        <v>0</v>
      </c>
      <c r="AO646" s="259">
        <v>0</v>
      </c>
      <c r="AP646" s="259">
        <v>0</v>
      </c>
      <c r="AQ646" s="259">
        <v>0</v>
      </c>
      <c r="AR646" s="259">
        <v>0</v>
      </c>
      <c r="AS646" s="259">
        <v>0</v>
      </c>
      <c r="AT646" s="259"/>
      <c r="AU646" s="259"/>
      <c r="AV646" s="259"/>
      <c r="AW646" s="259"/>
      <c r="AX646" s="259"/>
      <c r="AY646" s="259"/>
      <c r="AZ646" s="259"/>
      <c r="BA646" s="259"/>
      <c r="BB646" s="259"/>
      <c r="BC646" s="259"/>
      <c r="BD646" s="259"/>
      <c r="BE646" s="259"/>
      <c r="BF646" s="259"/>
      <c r="BG646" s="259"/>
      <c r="BH646" s="259"/>
      <c r="BI646" s="259"/>
      <c r="BJ646" s="259"/>
      <c r="BK646" s="259"/>
    </row>
    <row r="647" spans="1:63">
      <c r="A647" s="168">
        <v>43404</v>
      </c>
      <c r="B647" s="213" t="s">
        <v>385</v>
      </c>
      <c r="C647" s="256"/>
      <c r="D647" s="257"/>
      <c r="E647" s="257"/>
      <c r="F647" s="257"/>
      <c r="G647" s="257"/>
      <c r="H647" s="257"/>
      <c r="I647" s="257"/>
      <c r="J647" s="257"/>
      <c r="K647" s="257"/>
      <c r="L647" s="257"/>
      <c r="M647" s="257"/>
      <c r="N647" s="257"/>
      <c r="O647" s="257"/>
      <c r="P647" s="257"/>
      <c r="Q647" s="257"/>
      <c r="R647" s="257"/>
      <c r="S647" s="257"/>
      <c r="T647" s="264">
        <v>1713000</v>
      </c>
      <c r="U647" s="264">
        <v>18414792000</v>
      </c>
      <c r="V647" s="258">
        <v>17551303000</v>
      </c>
      <c r="W647" s="258">
        <v>15512750000</v>
      </c>
      <c r="X647" s="258">
        <v>14834203000</v>
      </c>
      <c r="Y647" s="258">
        <v>12922124000</v>
      </c>
      <c r="Z647" s="258">
        <v>11756112000</v>
      </c>
      <c r="AA647" s="258">
        <v>9124801000</v>
      </c>
      <c r="AB647" s="258">
        <v>7949576000</v>
      </c>
      <c r="AC647" s="258">
        <v>5839079000</v>
      </c>
      <c r="AD647" s="259">
        <v>5420341000</v>
      </c>
      <c r="AE647" s="259">
        <v>4127094000</v>
      </c>
      <c r="AF647" s="259">
        <v>4165526000</v>
      </c>
      <c r="AG647" s="259">
        <v>2857134000</v>
      </c>
      <c r="AH647" s="259">
        <v>2898255000</v>
      </c>
      <c r="AI647" s="259">
        <v>1690527000</v>
      </c>
      <c r="AJ647" s="259">
        <v>1267560000</v>
      </c>
      <c r="AK647" s="259">
        <v>1301419000</v>
      </c>
      <c r="AL647" s="259">
        <v>218662000</v>
      </c>
      <c r="AM647" s="259">
        <v>220536000</v>
      </c>
      <c r="AN647" s="259">
        <v>223270000</v>
      </c>
      <c r="AO647" s="259">
        <v>227124000</v>
      </c>
      <c r="AP647" s="259">
        <v>231164000</v>
      </c>
      <c r="AQ647" s="259">
        <v>228835000</v>
      </c>
      <c r="AR647" s="259">
        <v>226507000</v>
      </c>
      <c r="AS647" s="259">
        <v>224178000</v>
      </c>
      <c r="AT647" s="259"/>
      <c r="AU647" s="259"/>
      <c r="AV647" s="259"/>
      <c r="AW647" s="259"/>
      <c r="AX647" s="259"/>
      <c r="AY647" s="259"/>
      <c r="AZ647" s="259"/>
      <c r="BA647" s="259"/>
      <c r="BB647" s="259"/>
      <c r="BC647" s="259"/>
      <c r="BD647" s="259"/>
      <c r="BE647" s="259"/>
      <c r="BF647" s="259"/>
      <c r="BG647" s="259"/>
      <c r="BH647" s="259"/>
      <c r="BI647" s="259"/>
      <c r="BJ647" s="259"/>
      <c r="BK647" s="259"/>
    </row>
    <row r="648" spans="1:63">
      <c r="A648" s="169"/>
      <c r="B648" s="307" t="s">
        <v>29</v>
      </c>
      <c r="C648" s="308"/>
      <c r="D648" s="309"/>
      <c r="E648" s="309"/>
      <c r="F648" s="309"/>
      <c r="G648" s="309"/>
      <c r="H648" s="309"/>
      <c r="I648" s="309"/>
      <c r="J648" s="309"/>
      <c r="K648" s="309"/>
      <c r="L648" s="309"/>
      <c r="M648" s="309"/>
      <c r="N648" s="309"/>
      <c r="O648" s="309"/>
      <c r="P648" s="309"/>
      <c r="Q648" s="309"/>
      <c r="R648" s="309"/>
      <c r="S648" s="309"/>
      <c r="T648" s="309">
        <v>7866318.7940757293</v>
      </c>
      <c r="U648" s="309">
        <v>56273774.27986306</v>
      </c>
      <c r="V648" s="309">
        <v>34589133.981500022</v>
      </c>
      <c r="W648" s="309">
        <v>33279296.164177001</v>
      </c>
      <c r="X648" s="309">
        <v>40916544.03122063</v>
      </c>
      <c r="Y648" s="309">
        <v>32502182.572549991</v>
      </c>
      <c r="Z648" s="309">
        <v>36416832.769669175</v>
      </c>
      <c r="AA648" s="309">
        <v>29578873.381941661</v>
      </c>
      <c r="AB648" s="309">
        <v>35063702.036597393</v>
      </c>
      <c r="AC648" s="309">
        <v>14681221.363136854</v>
      </c>
      <c r="AD648" s="309">
        <v>26096826.958972372</v>
      </c>
      <c r="AE648" s="309">
        <v>3092707.2852618303</v>
      </c>
      <c r="AF648" s="309">
        <v>20512223.890238218</v>
      </c>
      <c r="AG648" s="309">
        <v>1801378.8448121159</v>
      </c>
      <c r="AH648" s="309">
        <v>19701270.250069033</v>
      </c>
      <c r="AI648" s="309">
        <v>10871648.824644495</v>
      </c>
      <c r="AJ648" s="309">
        <v>723757.55503020971</v>
      </c>
      <c r="AK648" s="309">
        <v>14520463.947071761</v>
      </c>
      <c r="AL648" s="309">
        <v>89761.253255901946</v>
      </c>
      <c r="AM648" s="309">
        <v>87768.674736740621</v>
      </c>
      <c r="AN648" s="309">
        <v>86519.919274769025</v>
      </c>
      <c r="AO648" s="309">
        <v>86271.449225265911</v>
      </c>
      <c r="AP648" s="309">
        <v>86085.383157894379</v>
      </c>
      <c r="AQ648" s="309">
        <v>83756.780370004373</v>
      </c>
      <c r="AR648" s="309">
        <v>81428.17758210437</v>
      </c>
      <c r="AS648" s="309">
        <v>79099.574794204382</v>
      </c>
      <c r="AT648" s="309"/>
      <c r="AU648" s="309"/>
      <c r="AV648" s="309"/>
      <c r="AW648" s="309"/>
      <c r="AX648" s="309"/>
      <c r="AY648" s="309"/>
      <c r="AZ648" s="309"/>
      <c r="BA648" s="309"/>
      <c r="BB648" s="309"/>
      <c r="BC648" s="309"/>
      <c r="BD648" s="309"/>
      <c r="BE648" s="309"/>
      <c r="BF648" s="309"/>
      <c r="BG648" s="309"/>
      <c r="BH648" s="309"/>
      <c r="BI648" s="309"/>
      <c r="BJ648" s="309"/>
      <c r="BK648" s="309"/>
    </row>
    <row r="649" spans="1:63">
      <c r="A649" s="167"/>
      <c r="B649" s="210" t="s">
        <v>28</v>
      </c>
      <c r="C649" s="254"/>
      <c r="D649" s="255"/>
      <c r="E649" s="255"/>
      <c r="F649" s="255"/>
      <c r="G649" s="255"/>
      <c r="H649" s="255"/>
      <c r="I649" s="255"/>
      <c r="J649" s="255"/>
      <c r="K649" s="255"/>
      <c r="L649" s="255"/>
      <c r="M649" s="255"/>
      <c r="N649" s="255"/>
      <c r="O649" s="255"/>
      <c r="P649" s="255"/>
      <c r="Q649" s="255"/>
      <c r="R649" s="255"/>
      <c r="S649" s="255"/>
      <c r="T649" s="258">
        <v>3164259.2349129999</v>
      </c>
      <c r="U649" s="258">
        <v>40924374.531911403</v>
      </c>
      <c r="V649" s="258">
        <v>19500567.198999997</v>
      </c>
      <c r="W649" s="258">
        <v>20286243.137079112</v>
      </c>
      <c r="X649" s="258">
        <v>28595936.303000003</v>
      </c>
      <c r="Y649" s="258">
        <v>22307102.398871601</v>
      </c>
      <c r="Z649" s="258">
        <v>26890005.342999998</v>
      </c>
      <c r="AA649" s="258">
        <v>22903687.237780001</v>
      </c>
      <c r="AB649" s="258">
        <v>28778993.899999999</v>
      </c>
      <c r="AC649" s="258">
        <v>10573023.712258801</v>
      </c>
      <c r="AD649" s="259">
        <v>22195538.300000001</v>
      </c>
      <c r="AE649" s="259">
        <v>0</v>
      </c>
      <c r="AF649" s="259">
        <v>17395463.5</v>
      </c>
      <c r="AG649" s="259">
        <v>0</v>
      </c>
      <c r="AH649" s="259">
        <v>18104035.600000001</v>
      </c>
      <c r="AI649" s="259">
        <v>9733932.0140400007</v>
      </c>
      <c r="AJ649" s="259">
        <v>0</v>
      </c>
      <c r="AK649" s="259">
        <v>13872349.993132802</v>
      </c>
      <c r="AL649" s="259">
        <v>0</v>
      </c>
      <c r="AM649" s="259">
        <v>0</v>
      </c>
      <c r="AN649" s="259">
        <v>0</v>
      </c>
      <c r="AO649" s="259">
        <v>0</v>
      </c>
      <c r="AP649" s="259">
        <v>0</v>
      </c>
      <c r="AQ649" s="259">
        <v>0</v>
      </c>
      <c r="AR649" s="259">
        <v>0</v>
      </c>
      <c r="AS649" s="259">
        <v>0</v>
      </c>
      <c r="AT649" s="259"/>
      <c r="AU649" s="259"/>
      <c r="AV649" s="259"/>
      <c r="AW649" s="259"/>
      <c r="AX649" s="259"/>
      <c r="AY649" s="259"/>
      <c r="AZ649" s="259"/>
      <c r="BA649" s="259"/>
      <c r="BB649" s="259"/>
      <c r="BC649" s="259"/>
      <c r="BD649" s="259"/>
      <c r="BE649" s="259"/>
      <c r="BF649" s="259"/>
      <c r="BG649" s="259"/>
      <c r="BH649" s="259"/>
      <c r="BI649" s="259"/>
      <c r="BJ649" s="259"/>
      <c r="BK649" s="259"/>
    </row>
    <row r="650" spans="1:63">
      <c r="A650" s="168">
        <v>43434</v>
      </c>
      <c r="B650" s="213" t="s">
        <v>385</v>
      </c>
      <c r="C650" s="256"/>
      <c r="D650" s="257"/>
      <c r="E650" s="257"/>
      <c r="F650" s="257"/>
      <c r="G650" s="257"/>
      <c r="H650" s="257"/>
      <c r="I650" s="257"/>
      <c r="J650" s="257"/>
      <c r="K650" s="257"/>
      <c r="L650" s="257"/>
      <c r="M650" s="257"/>
      <c r="N650" s="257"/>
      <c r="O650" s="257"/>
      <c r="P650" s="257"/>
      <c r="Q650" s="257"/>
      <c r="R650" s="259"/>
      <c r="S650" s="259"/>
      <c r="T650" s="258">
        <v>906.44168708999996</v>
      </c>
      <c r="U650" s="258">
        <v>18456343.673634972</v>
      </c>
      <c r="V650" s="258">
        <v>17593229.961082224</v>
      </c>
      <c r="W650" s="258">
        <v>15555064.346599134</v>
      </c>
      <c r="X650" s="258">
        <v>14876915.266617877</v>
      </c>
      <c r="Y650" s="258">
        <v>12965246.292077215</v>
      </c>
      <c r="Z650" s="258">
        <v>11790766.761593923</v>
      </c>
      <c r="AA650" s="258">
        <v>9159623.9576491434</v>
      </c>
      <c r="AB650" s="258">
        <v>7972853.9749589032</v>
      </c>
      <c r="AC650" s="258">
        <v>5862531.8005365105</v>
      </c>
      <c r="AD650" s="259">
        <v>5442529.1653090958</v>
      </c>
      <c r="AE650" s="259">
        <v>4148085.34676866</v>
      </c>
      <c r="AF650" s="259">
        <v>4186664.0403102515</v>
      </c>
      <c r="AG650" s="259">
        <v>2878423.2331063114</v>
      </c>
      <c r="AH650" s="259">
        <v>2919699.6352720554</v>
      </c>
      <c r="AI650" s="259">
        <v>1696031.508753607</v>
      </c>
      <c r="AJ650" s="259">
        <v>1273229.9900101617</v>
      </c>
      <c r="AK650" s="259">
        <v>1307258.3225699125</v>
      </c>
      <c r="AL650" s="259">
        <v>218661.72983528473</v>
      </c>
      <c r="AM650" s="259">
        <v>220536.16561350485</v>
      </c>
      <c r="AN650" s="259">
        <v>223270.4348778362</v>
      </c>
      <c r="AO650" s="259">
        <v>227124.48029642508</v>
      </c>
      <c r="AP650" s="259">
        <v>231164.00516118834</v>
      </c>
      <c r="AQ650" s="259">
        <v>228835.40237329833</v>
      </c>
      <c r="AR650" s="259">
        <v>226506.79958539834</v>
      </c>
      <c r="AS650" s="259">
        <v>224178.19679749833</v>
      </c>
      <c r="AT650" s="259"/>
      <c r="AU650" s="259"/>
      <c r="AV650" s="259"/>
      <c r="AW650" s="259"/>
      <c r="AX650" s="259"/>
      <c r="AY650" s="259"/>
      <c r="AZ650" s="259"/>
      <c r="BA650" s="259"/>
      <c r="BB650" s="259"/>
      <c r="BC650" s="259"/>
      <c r="BD650" s="259"/>
      <c r="BE650" s="259"/>
      <c r="BF650" s="259"/>
      <c r="BG650" s="259"/>
      <c r="BH650" s="259"/>
      <c r="BI650" s="259"/>
      <c r="BJ650" s="259"/>
      <c r="BK650" s="259"/>
    </row>
    <row r="651" spans="1:63">
      <c r="A651" s="169"/>
      <c r="B651" s="307" t="s">
        <v>29</v>
      </c>
      <c r="C651" s="308"/>
      <c r="D651" s="309"/>
      <c r="E651" s="309"/>
      <c r="F651" s="309"/>
      <c r="G651" s="309"/>
      <c r="H651" s="309"/>
      <c r="I651" s="309"/>
      <c r="J651" s="309"/>
      <c r="K651" s="309"/>
      <c r="L651" s="309"/>
      <c r="M651" s="309"/>
      <c r="N651" s="309"/>
      <c r="O651" s="309"/>
      <c r="P651" s="309"/>
      <c r="Q651" s="309"/>
      <c r="R651" s="309"/>
      <c r="S651" s="309"/>
      <c r="T651" s="309">
        <v>3165165.6766000898</v>
      </c>
      <c r="U651" s="309">
        <v>59380718.205546379</v>
      </c>
      <c r="V651" s="309">
        <v>37093797.160082221</v>
      </c>
      <c r="W651" s="309">
        <v>35841307.483678244</v>
      </c>
      <c r="X651" s="309">
        <v>43472851.569617882</v>
      </c>
      <c r="Y651" s="309">
        <v>35272348.690948814</v>
      </c>
      <c r="Z651" s="309">
        <v>38680772.104593918</v>
      </c>
      <c r="AA651" s="309">
        <v>32063311.195429146</v>
      </c>
      <c r="AB651" s="309">
        <v>36751847.874958903</v>
      </c>
      <c r="AC651" s="309">
        <v>16435555.51279531</v>
      </c>
      <c r="AD651" s="309">
        <v>27638067.465309098</v>
      </c>
      <c r="AE651" s="309">
        <v>4148085.34676866</v>
      </c>
      <c r="AF651" s="309">
        <v>21582127.540310252</v>
      </c>
      <c r="AG651" s="309">
        <v>2878423.2331063114</v>
      </c>
      <c r="AH651" s="309">
        <v>21023735.235272057</v>
      </c>
      <c r="AI651" s="309">
        <v>11429963.522793608</v>
      </c>
      <c r="AJ651" s="309">
        <v>1273229.9900101617</v>
      </c>
      <c r="AK651" s="309">
        <v>15179608.315702714</v>
      </c>
      <c r="AL651" s="309">
        <v>218661.72983528473</v>
      </c>
      <c r="AM651" s="309">
        <v>220536.16561350485</v>
      </c>
      <c r="AN651" s="309">
        <v>223270.4348778362</v>
      </c>
      <c r="AO651" s="309">
        <v>227124.48029642508</v>
      </c>
      <c r="AP651" s="309">
        <v>231164.00516118834</v>
      </c>
      <c r="AQ651" s="309">
        <v>228835.40237329833</v>
      </c>
      <c r="AR651" s="309">
        <v>226506.79958539834</v>
      </c>
      <c r="AS651" s="309">
        <v>224178.19679749833</v>
      </c>
      <c r="AT651" s="309"/>
      <c r="AU651" s="309"/>
      <c r="AV651" s="309"/>
      <c r="AW651" s="309"/>
      <c r="AX651" s="309"/>
      <c r="AY651" s="309"/>
      <c r="AZ651" s="309"/>
      <c r="BA651" s="309"/>
      <c r="BB651" s="309"/>
      <c r="BC651" s="309"/>
      <c r="BD651" s="309"/>
      <c r="BE651" s="309"/>
      <c r="BF651" s="309"/>
      <c r="BG651" s="309"/>
      <c r="BH651" s="309"/>
      <c r="BI651" s="309"/>
      <c r="BJ651" s="309"/>
      <c r="BK651" s="309"/>
    </row>
    <row r="652" spans="1:63">
      <c r="A652" s="167"/>
      <c r="B652" s="210" t="s">
        <v>28</v>
      </c>
      <c r="C652" s="254"/>
      <c r="D652" s="255"/>
      <c r="E652" s="255"/>
      <c r="F652" s="255"/>
      <c r="G652" s="255"/>
      <c r="H652" s="255"/>
      <c r="I652" s="255"/>
      <c r="J652" s="255"/>
      <c r="K652" s="255"/>
      <c r="L652" s="255"/>
      <c r="M652" s="255"/>
      <c r="N652" s="255"/>
      <c r="O652" s="255"/>
      <c r="P652" s="255"/>
      <c r="Q652" s="255"/>
      <c r="R652" s="255"/>
      <c r="S652" s="255"/>
      <c r="T652" s="258"/>
      <c r="U652" s="258">
        <v>29241928.432226799</v>
      </c>
      <c r="V652" s="258">
        <v>35663744.925439999</v>
      </c>
      <c r="W652" s="258">
        <v>20003316.784746796</v>
      </c>
      <c r="X652" s="258">
        <v>28899424.161866922</v>
      </c>
      <c r="Y652" s="258">
        <v>22450760.06929088</v>
      </c>
      <c r="Z652" s="258">
        <v>26890028.621999998</v>
      </c>
      <c r="AA652" s="258">
        <v>22975748.444109999</v>
      </c>
      <c r="AB652" s="258">
        <v>28778993.899999999</v>
      </c>
      <c r="AC652" s="258">
        <v>10629210.2511306</v>
      </c>
      <c r="AD652" s="259">
        <v>22200538.300000001</v>
      </c>
      <c r="AE652" s="259">
        <v>0</v>
      </c>
      <c r="AF652" s="259">
        <v>17395463.5</v>
      </c>
      <c r="AG652" s="259">
        <v>0</v>
      </c>
      <c r="AH652" s="259">
        <v>18104035.600000001</v>
      </c>
      <c r="AI652" s="259">
        <v>9745798.9969799984</v>
      </c>
      <c r="AJ652" s="259">
        <v>0</v>
      </c>
      <c r="AK652" s="259">
        <v>13915328.848713599</v>
      </c>
      <c r="AL652" s="259">
        <v>0</v>
      </c>
      <c r="AM652" s="259">
        <v>0</v>
      </c>
      <c r="AN652" s="259">
        <v>0</v>
      </c>
      <c r="AO652" s="259">
        <v>0</v>
      </c>
      <c r="AP652" s="259">
        <v>0</v>
      </c>
      <c r="AQ652" s="259">
        <v>0</v>
      </c>
      <c r="AR652" s="259">
        <v>0</v>
      </c>
      <c r="AS652" s="259">
        <v>0</v>
      </c>
      <c r="AT652" s="259">
        <v>0</v>
      </c>
      <c r="AU652" s="259">
        <v>0</v>
      </c>
      <c r="AV652" s="259">
        <v>0</v>
      </c>
      <c r="AW652" s="259">
        <v>0</v>
      </c>
      <c r="AX652" s="259">
        <v>0</v>
      </c>
      <c r="AY652" s="259"/>
      <c r="AZ652" s="259"/>
      <c r="BA652" s="259"/>
      <c r="BB652" s="259"/>
      <c r="BC652" s="259"/>
      <c r="BD652" s="259"/>
      <c r="BE652" s="259"/>
      <c r="BF652" s="259"/>
      <c r="BG652" s="259"/>
      <c r="BH652" s="259"/>
      <c r="BI652" s="259"/>
      <c r="BJ652" s="259"/>
      <c r="BK652" s="259"/>
    </row>
    <row r="653" spans="1:63">
      <c r="A653" s="168">
        <v>43465</v>
      </c>
      <c r="B653" s="213" t="s">
        <v>385</v>
      </c>
      <c r="C653" s="256"/>
      <c r="D653" s="257"/>
      <c r="E653" s="257"/>
      <c r="F653" s="257"/>
      <c r="G653" s="257"/>
      <c r="H653" s="257"/>
      <c r="I653" s="257"/>
      <c r="J653" s="257"/>
      <c r="K653" s="257"/>
      <c r="L653" s="257"/>
      <c r="M653" s="257"/>
      <c r="N653" s="257"/>
      <c r="O653" s="257"/>
      <c r="P653" s="257"/>
      <c r="Q653" s="257"/>
      <c r="R653" s="259"/>
      <c r="S653" s="259"/>
      <c r="T653" s="258"/>
      <c r="U653" s="258">
        <v>18237896.176125824</v>
      </c>
      <c r="V653" s="258">
        <v>17613381.592154566</v>
      </c>
      <c r="W653" s="258">
        <v>15573860.250661327</v>
      </c>
      <c r="X653" s="258">
        <v>14895953.14070675</v>
      </c>
      <c r="Y653" s="258">
        <v>12984557.553582581</v>
      </c>
      <c r="Z653" s="258">
        <v>11803750.332267677</v>
      </c>
      <c r="AA653" s="258">
        <v>9172698.4881209098</v>
      </c>
      <c r="AB653" s="258">
        <v>7982252.7884043064</v>
      </c>
      <c r="AC653" s="258">
        <v>5872032.0186870648</v>
      </c>
      <c r="AD653" s="259">
        <v>5450212.6680172207</v>
      </c>
      <c r="AE653" s="259">
        <v>4155518.7948597642</v>
      </c>
      <c r="AF653" s="259">
        <v>4194148.9321458489</v>
      </c>
      <c r="AG653" s="259">
        <v>2885961.111998756</v>
      </c>
      <c r="AH653" s="259">
        <v>2927292.0908329724</v>
      </c>
      <c r="AI653" s="259">
        <v>1702752.0667305118</v>
      </c>
      <c r="AJ653" s="259">
        <v>1278459.841186722</v>
      </c>
      <c r="AK653" s="259">
        <v>1312547.8111453669</v>
      </c>
      <c r="AL653" s="259">
        <v>221903.66771503471</v>
      </c>
      <c r="AM653" s="259">
        <v>224489.46874232485</v>
      </c>
      <c r="AN653" s="259">
        <v>226538.7366877562</v>
      </c>
      <c r="AO653" s="259">
        <v>229453.08308431509</v>
      </c>
      <c r="AP653" s="259">
        <v>233492.60794909834</v>
      </c>
      <c r="AQ653" s="259">
        <v>231164.00516118834</v>
      </c>
      <c r="AR653" s="259">
        <v>228835.40237329833</v>
      </c>
      <c r="AS653" s="259">
        <v>226506.79958539834</v>
      </c>
      <c r="AT653" s="259">
        <v>226506.79958539834</v>
      </c>
      <c r="AU653" s="259">
        <v>226506.79958539834</v>
      </c>
      <c r="AV653" s="259">
        <v>226506.79958539834</v>
      </c>
      <c r="AW653" s="259">
        <v>226506.79958539834</v>
      </c>
      <c r="AX653" s="259">
        <v>226506.79958539834</v>
      </c>
      <c r="AY653" s="259"/>
      <c r="AZ653" s="259"/>
      <c r="BA653" s="259"/>
      <c r="BB653" s="259"/>
      <c r="BC653" s="259"/>
      <c r="BD653" s="259"/>
      <c r="BE653" s="259"/>
      <c r="BF653" s="259"/>
      <c r="BG653" s="259"/>
      <c r="BH653" s="259"/>
      <c r="BI653" s="259"/>
      <c r="BJ653" s="259"/>
      <c r="BK653" s="259"/>
    </row>
    <row r="654" spans="1:63">
      <c r="A654" s="169"/>
      <c r="B654" s="307" t="s">
        <v>29</v>
      </c>
      <c r="C654" s="308"/>
      <c r="D654" s="309"/>
      <c r="E654" s="309"/>
      <c r="F654" s="309"/>
      <c r="G654" s="309"/>
      <c r="H654" s="309"/>
      <c r="I654" s="309"/>
      <c r="J654" s="309"/>
      <c r="K654" s="309"/>
      <c r="L654" s="309"/>
      <c r="M654" s="309"/>
      <c r="N654" s="309"/>
      <c r="O654" s="309"/>
      <c r="P654" s="309"/>
      <c r="Q654" s="309"/>
      <c r="R654" s="309"/>
      <c r="S654" s="309"/>
      <c r="T654" s="309"/>
      <c r="U654" s="309">
        <v>47479824.608352624</v>
      </c>
      <c r="V654" s="309">
        <v>53277126.517594561</v>
      </c>
      <c r="W654" s="309">
        <v>35577177.035408124</v>
      </c>
      <c r="X654" s="309">
        <v>43795377.302573673</v>
      </c>
      <c r="Y654" s="309">
        <v>35435317.622873463</v>
      </c>
      <c r="Z654" s="309">
        <v>38693778.954267673</v>
      </c>
      <c r="AA654" s="309">
        <v>32148446.932230908</v>
      </c>
      <c r="AB654" s="309">
        <v>36761246.688404307</v>
      </c>
      <c r="AC654" s="309">
        <v>16501242.269817665</v>
      </c>
      <c r="AD654" s="309">
        <v>27650750.96801722</v>
      </c>
      <c r="AE654" s="309">
        <v>4155518.7948597642</v>
      </c>
      <c r="AF654" s="309">
        <v>21589612.432145849</v>
      </c>
      <c r="AG654" s="309">
        <v>2885961.111998756</v>
      </c>
      <c r="AH654" s="309">
        <v>21031327.690832973</v>
      </c>
      <c r="AI654" s="309">
        <v>11448551.063710511</v>
      </c>
      <c r="AJ654" s="309">
        <v>1278459.841186722</v>
      </c>
      <c r="AK654" s="309">
        <v>15227876.659858966</v>
      </c>
      <c r="AL654" s="309">
        <v>221903.66771503471</v>
      </c>
      <c r="AM654" s="309">
        <v>224489.46874232485</v>
      </c>
      <c r="AN654" s="309">
        <v>226538.7366877562</v>
      </c>
      <c r="AO654" s="309">
        <v>229453.08308431509</v>
      </c>
      <c r="AP654" s="309">
        <v>233492.60794909834</v>
      </c>
      <c r="AQ654" s="309">
        <v>231164.00516118834</v>
      </c>
      <c r="AR654" s="309">
        <v>228835.40237329833</v>
      </c>
      <c r="AS654" s="309">
        <v>226506.79958539834</v>
      </c>
      <c r="AT654" s="309">
        <v>226506.79958539834</v>
      </c>
      <c r="AU654" s="309">
        <v>226506.79958539834</v>
      </c>
      <c r="AV654" s="309">
        <v>226506.79958539834</v>
      </c>
      <c r="AW654" s="309">
        <v>226506.79958539834</v>
      </c>
      <c r="AX654" s="309">
        <v>226506.79958539834</v>
      </c>
      <c r="AY654" s="309"/>
      <c r="AZ654" s="309"/>
      <c r="BA654" s="309"/>
      <c r="BB654" s="309"/>
      <c r="BC654" s="309"/>
      <c r="BD654" s="309"/>
      <c r="BE654" s="309"/>
      <c r="BF654" s="309"/>
      <c r="BG654" s="309"/>
      <c r="BH654" s="309"/>
      <c r="BI654" s="309"/>
      <c r="BJ654" s="309"/>
      <c r="BK654" s="309"/>
    </row>
    <row r="655" spans="1:63">
      <c r="A655" s="167"/>
      <c r="B655" s="210" t="s">
        <v>28</v>
      </c>
      <c r="C655" s="254"/>
      <c r="D655" s="255"/>
      <c r="E655" s="255"/>
      <c r="F655" s="255"/>
      <c r="G655" s="255"/>
      <c r="H655" s="255"/>
      <c r="I655" s="255"/>
      <c r="J655" s="255"/>
      <c r="K655" s="255"/>
      <c r="L655" s="255"/>
      <c r="M655" s="255"/>
      <c r="N655" s="255"/>
      <c r="O655" s="255"/>
      <c r="P655" s="255"/>
      <c r="Q655" s="255"/>
      <c r="R655" s="255"/>
      <c r="S655" s="255"/>
      <c r="T655" s="255"/>
      <c r="U655" s="255">
        <v>30954824.628776699</v>
      </c>
      <c r="V655" s="255">
        <v>19499817.5</v>
      </c>
      <c r="W655" s="255">
        <v>20045148.139632199</v>
      </c>
      <c r="X655" s="255">
        <v>28595881.600000001</v>
      </c>
      <c r="Y655" s="255">
        <v>22912609.313819185</v>
      </c>
      <c r="Z655" s="255">
        <v>26889987.199999999</v>
      </c>
      <c r="AA655" s="255">
        <v>23379642.386565</v>
      </c>
      <c r="AB655" s="255">
        <v>28778993.899999999</v>
      </c>
      <c r="AC655" s="255">
        <v>11144806.9312931</v>
      </c>
      <c r="AD655" s="255">
        <v>22303961.5</v>
      </c>
      <c r="AE655" s="255">
        <v>0</v>
      </c>
      <c r="AF655" s="255">
        <v>17395463.5</v>
      </c>
      <c r="AG655" s="255">
        <v>0</v>
      </c>
      <c r="AH655" s="255">
        <v>18114035.600000001</v>
      </c>
      <c r="AI655" s="255">
        <v>9766545.6536699999</v>
      </c>
      <c r="AJ655" s="255">
        <v>1486802.1</v>
      </c>
      <c r="AK655" s="255">
        <v>14369460.752023</v>
      </c>
      <c r="AL655" s="255">
        <v>0</v>
      </c>
      <c r="AM655" s="255">
        <v>0</v>
      </c>
      <c r="AN655" s="255">
        <v>0</v>
      </c>
      <c r="AO655" s="255">
        <v>0</v>
      </c>
      <c r="AP655" s="255">
        <v>0</v>
      </c>
      <c r="AQ655" s="255">
        <v>0</v>
      </c>
      <c r="AR655" s="255">
        <v>0</v>
      </c>
      <c r="AS655" s="255">
        <v>0</v>
      </c>
      <c r="AT655" s="255">
        <v>0</v>
      </c>
      <c r="AU655" s="255">
        <v>0</v>
      </c>
      <c r="AV655" s="255">
        <v>0</v>
      </c>
      <c r="AW655" s="255">
        <v>0</v>
      </c>
      <c r="AX655" s="255">
        <v>0</v>
      </c>
      <c r="AY655" s="255"/>
      <c r="AZ655" s="255"/>
      <c r="BA655" s="255"/>
      <c r="BB655" s="255"/>
      <c r="BC655" s="255"/>
      <c r="BD655" s="255"/>
      <c r="BE655" s="255"/>
      <c r="BF655" s="255"/>
      <c r="BG655" s="255"/>
      <c r="BH655" s="255"/>
      <c r="BI655" s="255"/>
      <c r="BJ655" s="255"/>
      <c r="BK655" s="255"/>
    </row>
    <row r="656" spans="1:63">
      <c r="A656" s="168">
        <v>43496</v>
      </c>
      <c r="B656" s="213" t="s">
        <v>385</v>
      </c>
      <c r="C656" s="256"/>
      <c r="D656" s="257"/>
      <c r="E656" s="257"/>
      <c r="F656" s="257"/>
      <c r="G656" s="257"/>
      <c r="H656" s="257"/>
      <c r="I656" s="257"/>
      <c r="J656" s="257"/>
      <c r="K656" s="257"/>
      <c r="L656" s="257"/>
      <c r="M656" s="257"/>
      <c r="N656" s="257"/>
      <c r="O656" s="257"/>
      <c r="P656" s="257"/>
      <c r="Q656" s="257"/>
      <c r="R656" s="259"/>
      <c r="S656" s="259"/>
      <c r="T656" s="259"/>
      <c r="U656" s="259">
        <v>18561287.165013384</v>
      </c>
      <c r="V656" s="259">
        <v>17706827.037727013</v>
      </c>
      <c r="W656" s="259">
        <v>15676759.797333825</v>
      </c>
      <c r="X656" s="259">
        <v>15004613.491847225</v>
      </c>
      <c r="Y656" s="259">
        <v>13101097.455827639</v>
      </c>
      <c r="Z656" s="259">
        <v>11901258.856773015</v>
      </c>
      <c r="AA656" s="259">
        <v>9277406.525061205</v>
      </c>
      <c r="AB656" s="259">
        <v>8069086.901926212</v>
      </c>
      <c r="AC656" s="259">
        <v>5966117.377543997</v>
      </c>
      <c r="AD656" s="259">
        <v>5528426.6966557615</v>
      </c>
      <c r="AE656" s="259">
        <v>4234176.9548904328</v>
      </c>
      <c r="AF656" s="259">
        <v>4279484.5415721461</v>
      </c>
      <c r="AG656" s="259">
        <v>2978002.9346043104</v>
      </c>
      <c r="AH656" s="259">
        <v>3026069.7533149384</v>
      </c>
      <c r="AI656" s="259">
        <v>1807596.0845868867</v>
      </c>
      <c r="AJ656" s="259">
        <v>1387897.9791836855</v>
      </c>
      <c r="AK656" s="259">
        <v>1318507.9717416968</v>
      </c>
      <c r="AL656" s="259">
        <v>194785.824378978</v>
      </c>
      <c r="AM656" s="259">
        <v>200629.39911034782</v>
      </c>
      <c r="AN656" s="259">
        <v>206648.28108365825</v>
      </c>
      <c r="AO656" s="259">
        <v>212847.72951616801</v>
      </c>
      <c r="AP656" s="259">
        <v>219233.16140165305</v>
      </c>
      <c r="AQ656" s="259">
        <v>219233.16140165305</v>
      </c>
      <c r="AR656" s="259">
        <v>219233.16140165305</v>
      </c>
      <c r="AS656" s="259">
        <v>219233.16140165305</v>
      </c>
      <c r="AT656" s="259">
        <v>219233.16140165305</v>
      </c>
      <c r="AU656" s="259">
        <v>219233.16140165305</v>
      </c>
      <c r="AV656" s="259">
        <v>219233.16140165305</v>
      </c>
      <c r="AW656" s="259">
        <v>219233.16140165305</v>
      </c>
      <c r="AX656" s="259">
        <v>219233.16140165305</v>
      </c>
      <c r="AY656" s="259"/>
      <c r="AZ656" s="259"/>
      <c r="BA656" s="259"/>
      <c r="BB656" s="259"/>
      <c r="BC656" s="259"/>
      <c r="BD656" s="259"/>
      <c r="BE656" s="259"/>
      <c r="BF656" s="259"/>
      <c r="BG656" s="259"/>
      <c r="BH656" s="259"/>
      <c r="BI656" s="259"/>
      <c r="BJ656" s="259"/>
      <c r="BK656" s="259"/>
    </row>
    <row r="657" spans="1:63">
      <c r="A657" s="169"/>
      <c r="B657" s="307" t="s">
        <v>29</v>
      </c>
      <c r="C657" s="308"/>
      <c r="D657" s="309"/>
      <c r="E657" s="309"/>
      <c r="F657" s="309"/>
      <c r="G657" s="309"/>
      <c r="H657" s="309"/>
      <c r="I657" s="309"/>
      <c r="J657" s="309"/>
      <c r="K657" s="309"/>
      <c r="L657" s="309"/>
      <c r="M657" s="309"/>
      <c r="N657" s="309"/>
      <c r="O657" s="309"/>
      <c r="P657" s="309"/>
      <c r="Q657" s="309"/>
      <c r="R657" s="309"/>
      <c r="S657" s="309"/>
      <c r="T657" s="309"/>
      <c r="U657" s="309">
        <f>+U656+U655</f>
        <v>49516111.793790087</v>
      </c>
      <c r="V657" s="309">
        <f t="shared" ref="V657:AX657" si="61">+V656+V655</f>
        <v>37206644.537727013</v>
      </c>
      <c r="W657" s="309">
        <f t="shared" si="61"/>
        <v>35721907.936966024</v>
      </c>
      <c r="X657" s="309">
        <f t="shared" si="61"/>
        <v>43600495.091847226</v>
      </c>
      <c r="Y657" s="309">
        <f t="shared" si="61"/>
        <v>36013706.769646823</v>
      </c>
      <c r="Z657" s="309">
        <f t="shared" si="61"/>
        <v>38791246.056773014</v>
      </c>
      <c r="AA657" s="309">
        <f t="shared" si="61"/>
        <v>32657048.911626205</v>
      </c>
      <c r="AB657" s="309">
        <f t="shared" si="61"/>
        <v>36848080.801926211</v>
      </c>
      <c r="AC657" s="309">
        <f t="shared" si="61"/>
        <v>17110924.308837097</v>
      </c>
      <c r="AD657" s="309">
        <f t="shared" si="61"/>
        <v>27832388.196655761</v>
      </c>
      <c r="AE657" s="309">
        <f t="shared" si="61"/>
        <v>4234176.9548904328</v>
      </c>
      <c r="AF657" s="309">
        <f t="shared" si="61"/>
        <v>21674948.041572146</v>
      </c>
      <c r="AG657" s="309">
        <f t="shared" si="61"/>
        <v>2978002.9346043104</v>
      </c>
      <c r="AH657" s="309">
        <f t="shared" si="61"/>
        <v>21140105.35331494</v>
      </c>
      <c r="AI657" s="309">
        <f t="shared" si="61"/>
        <v>11574141.738256887</v>
      </c>
      <c r="AJ657" s="309">
        <f t="shared" si="61"/>
        <v>2874700.0791836856</v>
      </c>
      <c r="AK657" s="309">
        <f t="shared" si="61"/>
        <v>15687968.723764697</v>
      </c>
      <c r="AL657" s="309">
        <f t="shared" si="61"/>
        <v>194785.824378978</v>
      </c>
      <c r="AM657" s="309">
        <f t="shared" si="61"/>
        <v>200629.39911034782</v>
      </c>
      <c r="AN657" s="309">
        <f t="shared" si="61"/>
        <v>206648.28108365825</v>
      </c>
      <c r="AO657" s="309">
        <f t="shared" si="61"/>
        <v>212847.72951616801</v>
      </c>
      <c r="AP657" s="309">
        <f t="shared" si="61"/>
        <v>219233.16140165305</v>
      </c>
      <c r="AQ657" s="309">
        <f t="shared" si="61"/>
        <v>219233.16140165305</v>
      </c>
      <c r="AR657" s="309">
        <f t="shared" si="61"/>
        <v>219233.16140165305</v>
      </c>
      <c r="AS657" s="309">
        <f t="shared" si="61"/>
        <v>219233.16140165305</v>
      </c>
      <c r="AT657" s="309">
        <f t="shared" si="61"/>
        <v>219233.16140165305</v>
      </c>
      <c r="AU657" s="309">
        <f t="shared" si="61"/>
        <v>219233.16140165305</v>
      </c>
      <c r="AV657" s="309">
        <f t="shared" si="61"/>
        <v>219233.16140165305</v>
      </c>
      <c r="AW657" s="309">
        <f t="shared" si="61"/>
        <v>219233.16140165305</v>
      </c>
      <c r="AX657" s="309">
        <f t="shared" si="61"/>
        <v>219233.16140165305</v>
      </c>
      <c r="AY657" s="309"/>
      <c r="AZ657" s="309"/>
      <c r="BA657" s="309"/>
      <c r="BB657" s="309"/>
      <c r="BC657" s="309"/>
      <c r="BD657" s="309"/>
      <c r="BE657" s="309"/>
      <c r="BF657" s="309"/>
      <c r="BG657" s="309"/>
      <c r="BH657" s="309"/>
      <c r="BI657" s="309"/>
      <c r="BJ657" s="309"/>
      <c r="BK657" s="309"/>
    </row>
    <row r="658" spans="1:63">
      <c r="A658" s="167"/>
      <c r="B658" s="210" t="s">
        <v>28</v>
      </c>
      <c r="C658" s="254"/>
      <c r="D658" s="255"/>
      <c r="E658" s="255"/>
      <c r="F658" s="255"/>
      <c r="G658" s="255"/>
      <c r="H658" s="255"/>
      <c r="I658" s="255"/>
      <c r="J658" s="255"/>
      <c r="K658" s="255"/>
      <c r="L658" s="255"/>
      <c r="M658" s="255"/>
      <c r="N658" s="255"/>
      <c r="O658" s="255"/>
      <c r="P658" s="255"/>
      <c r="Q658" s="255"/>
      <c r="R658" s="255"/>
      <c r="S658" s="255"/>
      <c r="T658" s="255"/>
      <c r="U658" s="255">
        <v>47773090.715890065</v>
      </c>
      <c r="V658" s="255">
        <v>19499974.034142867</v>
      </c>
      <c r="W658" s="255">
        <v>20130813.945274059</v>
      </c>
      <c r="X658" s="255">
        <v>28909842.100104906</v>
      </c>
      <c r="Y658" s="255">
        <v>23403653.662423953</v>
      </c>
      <c r="Z658" s="255">
        <v>26890035.851142861</v>
      </c>
      <c r="AA658" s="255">
        <v>24455362.345382862</v>
      </c>
      <c r="AB658" s="255">
        <v>28778993.899999999</v>
      </c>
      <c r="AC658" s="255">
        <v>11557742.941199999</v>
      </c>
      <c r="AD658" s="255">
        <v>22808111.5</v>
      </c>
      <c r="AE658" s="255">
        <v>0</v>
      </c>
      <c r="AF658" s="255">
        <v>17395463.5</v>
      </c>
      <c r="AG658" s="255">
        <v>0</v>
      </c>
      <c r="AH658" s="255">
        <v>18114035.600000001</v>
      </c>
      <c r="AI658" s="255">
        <v>9807915.5863199998</v>
      </c>
      <c r="AJ658" s="255">
        <v>3032224.3</v>
      </c>
      <c r="AK658" s="255">
        <v>14805501.629740801</v>
      </c>
      <c r="AL658" s="255">
        <v>0</v>
      </c>
      <c r="AM658" s="255">
        <v>0</v>
      </c>
      <c r="AN658" s="255">
        <v>0</v>
      </c>
      <c r="AO658" s="255">
        <v>0</v>
      </c>
      <c r="AP658" s="255">
        <v>0</v>
      </c>
      <c r="AQ658" s="255">
        <v>0</v>
      </c>
      <c r="AR658" s="255">
        <v>0</v>
      </c>
      <c r="AS658" s="255">
        <v>0</v>
      </c>
      <c r="AT658" s="255">
        <v>0</v>
      </c>
      <c r="AU658" s="255">
        <v>0</v>
      </c>
      <c r="AV658" s="255">
        <v>0</v>
      </c>
      <c r="AW658" s="255">
        <v>0</v>
      </c>
      <c r="AX658" s="255">
        <v>0</v>
      </c>
      <c r="AY658" s="255"/>
      <c r="AZ658" s="255"/>
      <c r="BA658" s="255"/>
      <c r="BB658" s="255"/>
      <c r="BC658" s="255"/>
      <c r="BD658" s="255"/>
      <c r="BE658" s="255"/>
      <c r="BF658" s="255"/>
      <c r="BG658" s="255"/>
      <c r="BH658" s="255"/>
      <c r="BI658" s="255"/>
      <c r="BJ658" s="255"/>
      <c r="BK658" s="255"/>
    </row>
    <row r="659" spans="1:63">
      <c r="A659" s="168">
        <v>43524</v>
      </c>
      <c r="B659" s="213" t="s">
        <v>385</v>
      </c>
      <c r="C659" s="256"/>
      <c r="D659" s="257"/>
      <c r="E659" s="257"/>
      <c r="F659" s="257"/>
      <c r="G659" s="257"/>
      <c r="H659" s="257"/>
      <c r="I659" s="257"/>
      <c r="J659" s="257"/>
      <c r="K659" s="257"/>
      <c r="L659" s="257"/>
      <c r="M659" s="257"/>
      <c r="N659" s="257"/>
      <c r="O659" s="257"/>
      <c r="P659" s="257"/>
      <c r="Q659" s="257"/>
      <c r="R659" s="259"/>
      <c r="S659" s="259"/>
      <c r="T659" s="259"/>
      <c r="U659" s="259">
        <v>17855002.633918364</v>
      </c>
      <c r="V659" s="259">
        <v>18072614.148080844</v>
      </c>
      <c r="W659" s="259">
        <v>16038342.807917554</v>
      </c>
      <c r="X659" s="259">
        <v>15362062.593935188</v>
      </c>
      <c r="Y659" s="259">
        <v>13454460.764936766</v>
      </c>
      <c r="Z659" s="259">
        <v>12228314.265786454</v>
      </c>
      <c r="AA659" s="259">
        <v>9599810.6364799459</v>
      </c>
      <c r="AB659" s="259">
        <v>8322356.4490206381</v>
      </c>
      <c r="AC659" s="259">
        <v>6214800.6292075971</v>
      </c>
      <c r="AD659" s="259">
        <v>5756388.4534139391</v>
      </c>
      <c r="AE659" s="259">
        <v>4426887.3019041475</v>
      </c>
      <c r="AF659" s="259">
        <v>4467213.9662473043</v>
      </c>
      <c r="AG659" s="259">
        <v>3160773.5689689759</v>
      </c>
      <c r="AH659" s="259">
        <v>3203904.393358096</v>
      </c>
      <c r="AI659" s="259">
        <v>1981446.3217297327</v>
      </c>
      <c r="AJ659" s="259">
        <v>1559336.6048788603</v>
      </c>
      <c r="AK659" s="259">
        <v>1375516.7862821727</v>
      </c>
      <c r="AL659" s="259">
        <v>219189.59064625844</v>
      </c>
      <c r="AM659" s="259">
        <v>221079.86224880783</v>
      </c>
      <c r="AN659" s="259">
        <v>223830.44241219826</v>
      </c>
      <c r="AO659" s="259">
        <v>227701.28805681801</v>
      </c>
      <c r="AP659" s="259">
        <v>231758.11715439305</v>
      </c>
      <c r="AQ659" s="259">
        <v>229429.51436650305</v>
      </c>
      <c r="AR659" s="259">
        <v>227100.91157860306</v>
      </c>
      <c r="AS659" s="259">
        <v>224772.30879070304</v>
      </c>
      <c r="AT659" s="259">
        <v>221587.14267920304</v>
      </c>
      <c r="AU659" s="259">
        <v>219560.64088309306</v>
      </c>
      <c r="AV659" s="259">
        <v>1495413.3777045829</v>
      </c>
      <c r="AW659" s="259">
        <v>219233.16140165305</v>
      </c>
      <c r="AX659" s="259">
        <v>219233.16140165305</v>
      </c>
      <c r="AY659" s="259"/>
      <c r="AZ659" s="259"/>
      <c r="BA659" s="259"/>
      <c r="BB659" s="259"/>
      <c r="BC659" s="259"/>
      <c r="BD659" s="259"/>
      <c r="BE659" s="259"/>
      <c r="BF659" s="259"/>
      <c r="BG659" s="259"/>
      <c r="BH659" s="259"/>
      <c r="BI659" s="259"/>
      <c r="BJ659" s="259"/>
      <c r="BK659" s="259"/>
    </row>
    <row r="660" spans="1:63">
      <c r="A660" s="169"/>
      <c r="B660" s="307" t="s">
        <v>29</v>
      </c>
      <c r="C660" s="308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>
        <f>+U659+U658</f>
        <v>65628093.349808425</v>
      </c>
      <c r="V660" s="309">
        <f t="shared" ref="V660:AX660" si="62">+V659+V658</f>
        <v>37572588.182223707</v>
      </c>
      <c r="W660" s="309">
        <f t="shared" si="62"/>
        <v>36169156.753191613</v>
      </c>
      <c r="X660" s="309">
        <f t="shared" si="62"/>
        <v>44271904.69404009</v>
      </c>
      <c r="Y660" s="309">
        <f t="shared" si="62"/>
        <v>36858114.427360721</v>
      </c>
      <c r="Z660" s="309">
        <f t="shared" si="62"/>
        <v>39118350.116929315</v>
      </c>
      <c r="AA660" s="309">
        <f t="shared" si="62"/>
        <v>34055172.981862806</v>
      </c>
      <c r="AB660" s="309">
        <f t="shared" si="62"/>
        <v>37101350.349020638</v>
      </c>
      <c r="AC660" s="309">
        <f t="shared" si="62"/>
        <v>17772543.570407595</v>
      </c>
      <c r="AD660" s="309">
        <f t="shared" si="62"/>
        <v>28564499.953413941</v>
      </c>
      <c r="AE660" s="309">
        <f t="shared" si="62"/>
        <v>4426887.3019041475</v>
      </c>
      <c r="AF660" s="309">
        <f t="shared" si="62"/>
        <v>21862677.466247305</v>
      </c>
      <c r="AG660" s="309">
        <f t="shared" si="62"/>
        <v>3160773.5689689759</v>
      </c>
      <c r="AH660" s="309">
        <f t="shared" si="62"/>
        <v>21317939.993358098</v>
      </c>
      <c r="AI660" s="309">
        <f t="shared" si="62"/>
        <v>11789361.908049732</v>
      </c>
      <c r="AJ660" s="309">
        <f t="shared" si="62"/>
        <v>4591560.9048788603</v>
      </c>
      <c r="AK660" s="309">
        <f t="shared" si="62"/>
        <v>16181018.416022973</v>
      </c>
      <c r="AL660" s="309">
        <f t="shared" si="62"/>
        <v>219189.59064625844</v>
      </c>
      <c r="AM660" s="309">
        <f t="shared" si="62"/>
        <v>221079.86224880783</v>
      </c>
      <c r="AN660" s="309">
        <f t="shared" si="62"/>
        <v>223830.44241219826</v>
      </c>
      <c r="AO660" s="309">
        <f t="shared" si="62"/>
        <v>227701.28805681801</v>
      </c>
      <c r="AP660" s="309">
        <f t="shared" si="62"/>
        <v>231758.11715439305</v>
      </c>
      <c r="AQ660" s="309">
        <f t="shared" si="62"/>
        <v>229429.51436650305</v>
      </c>
      <c r="AR660" s="309">
        <f t="shared" si="62"/>
        <v>227100.91157860306</v>
      </c>
      <c r="AS660" s="309">
        <f t="shared" si="62"/>
        <v>224772.30879070304</v>
      </c>
      <c r="AT660" s="309">
        <f t="shared" si="62"/>
        <v>221587.14267920304</v>
      </c>
      <c r="AU660" s="309">
        <f t="shared" si="62"/>
        <v>219560.64088309306</v>
      </c>
      <c r="AV660" s="309">
        <f t="shared" si="62"/>
        <v>1495413.3777045829</v>
      </c>
      <c r="AW660" s="309">
        <f t="shared" si="62"/>
        <v>219233.16140165305</v>
      </c>
      <c r="AX660" s="309">
        <f t="shared" si="62"/>
        <v>219233.16140165305</v>
      </c>
      <c r="AY660" s="309"/>
      <c r="AZ660" s="309"/>
      <c r="BA660" s="309"/>
      <c r="BB660" s="309"/>
      <c r="BC660" s="309"/>
      <c r="BD660" s="309"/>
      <c r="BE660" s="309"/>
      <c r="BF660" s="309"/>
      <c r="BG660" s="309"/>
      <c r="BH660" s="309"/>
      <c r="BI660" s="309"/>
      <c r="BJ660" s="309"/>
      <c r="BK660" s="309"/>
    </row>
    <row r="661" spans="1:63">
      <c r="A661" s="167"/>
      <c r="B661" s="210" t="s">
        <v>28</v>
      </c>
      <c r="C661" s="254"/>
      <c r="D661" s="255"/>
      <c r="E661" s="255"/>
      <c r="F661" s="255"/>
      <c r="G661" s="255"/>
      <c r="H661" s="255"/>
      <c r="I661" s="255"/>
      <c r="J661" s="255"/>
      <c r="K661" s="255"/>
      <c r="L661" s="255"/>
      <c r="M661" s="255"/>
      <c r="N661" s="255"/>
      <c r="O661" s="255"/>
      <c r="P661" s="255"/>
      <c r="Q661" s="255"/>
      <c r="R661" s="255"/>
      <c r="S661" s="255"/>
      <c r="T661" s="255"/>
      <c r="U661" s="255">
        <v>38855702.298103005</v>
      </c>
      <c r="V661" s="255">
        <v>15661513.003</v>
      </c>
      <c r="W661" s="255">
        <v>20246669.7857376</v>
      </c>
      <c r="X661" s="255">
        <v>33798847.524962038</v>
      </c>
      <c r="Y661" s="255">
        <v>26488294.606077626</v>
      </c>
      <c r="Z661" s="255">
        <v>26889992.655999999</v>
      </c>
      <c r="AA661" s="255">
        <v>26756438.871519998</v>
      </c>
      <c r="AB661" s="255">
        <v>28778993.899999999</v>
      </c>
      <c r="AC661" s="255">
        <v>11688128.687408799</v>
      </c>
      <c r="AD661" s="255">
        <v>25185730</v>
      </c>
      <c r="AE661" s="255">
        <v>0</v>
      </c>
      <c r="AF661" s="255">
        <v>17395463.5</v>
      </c>
      <c r="AG661" s="255">
        <v>0</v>
      </c>
      <c r="AH661" s="255">
        <v>18114035.600000001</v>
      </c>
      <c r="AI661" s="255">
        <v>9864685.6773600001</v>
      </c>
      <c r="AJ661" s="255">
        <v>4931370.5</v>
      </c>
      <c r="AK661" s="255">
        <v>14891198.704518398</v>
      </c>
      <c r="AL661" s="255">
        <v>0</v>
      </c>
      <c r="AM661" s="255">
        <v>1442972.6417824</v>
      </c>
      <c r="AN661" s="255">
        <v>0</v>
      </c>
      <c r="AO661" s="255">
        <v>0</v>
      </c>
      <c r="AP661" s="255">
        <v>0</v>
      </c>
      <c r="AQ661" s="255">
        <v>0</v>
      </c>
      <c r="AR661" s="255">
        <v>0</v>
      </c>
      <c r="AS661" s="255">
        <v>0</v>
      </c>
      <c r="AT661" s="255">
        <v>0</v>
      </c>
      <c r="AU661" s="255">
        <v>0</v>
      </c>
      <c r="AV661" s="255">
        <v>0</v>
      </c>
      <c r="AW661" s="255">
        <v>0</v>
      </c>
      <c r="AX661" s="255">
        <v>0</v>
      </c>
      <c r="AY661" s="255"/>
      <c r="AZ661" s="255"/>
      <c r="BA661" s="255"/>
      <c r="BB661" s="255"/>
      <c r="BC661" s="255"/>
      <c r="BD661" s="255"/>
      <c r="BE661" s="255"/>
      <c r="BF661" s="255"/>
      <c r="BG661" s="255"/>
      <c r="BH661" s="255"/>
      <c r="BI661" s="255"/>
      <c r="BJ661" s="255"/>
      <c r="BK661" s="255"/>
    </row>
    <row r="662" spans="1:63">
      <c r="A662" s="168">
        <v>43555</v>
      </c>
      <c r="B662" s="213" t="s">
        <v>385</v>
      </c>
      <c r="C662" s="256"/>
      <c r="D662" s="257"/>
      <c r="E662" s="257"/>
      <c r="F662" s="257"/>
      <c r="G662" s="257"/>
      <c r="H662" s="257"/>
      <c r="I662" s="257"/>
      <c r="J662" s="257"/>
      <c r="K662" s="257"/>
      <c r="L662" s="257"/>
      <c r="M662" s="257"/>
      <c r="N662" s="257"/>
      <c r="O662" s="257"/>
      <c r="P662" s="257"/>
      <c r="Q662" s="257"/>
      <c r="R662" s="259"/>
      <c r="S662" s="259"/>
      <c r="T662" s="259"/>
      <c r="U662" s="259">
        <v>16161498.360496044</v>
      </c>
      <c r="V662" s="259">
        <v>18503565.055636253</v>
      </c>
      <c r="W662" s="259">
        <v>17012194.912774824</v>
      </c>
      <c r="X662" s="259">
        <v>16342224.819167446</v>
      </c>
      <c r="Y662" s="259">
        <v>14098891.125605471</v>
      </c>
      <c r="Z662" s="259">
        <v>12713655.548382441</v>
      </c>
      <c r="AA662" s="259">
        <v>10087083.259403493</v>
      </c>
      <c r="AB662" s="259">
        <v>8671529.0733291209</v>
      </c>
      <c r="AC662" s="259">
        <v>6566026.1244776547</v>
      </c>
      <c r="AD662" s="259">
        <v>6106939.6526540648</v>
      </c>
      <c r="AE662" s="259">
        <v>4636879.473548972</v>
      </c>
      <c r="AF662" s="259">
        <v>4679369.0898665329</v>
      </c>
      <c r="AG662" s="259">
        <v>3375158.4602194219</v>
      </c>
      <c r="AH662" s="259">
        <v>3420587.8723662128</v>
      </c>
      <c r="AI662" s="259">
        <v>2200544.7979940949</v>
      </c>
      <c r="AJ662" s="259">
        <v>1781051.9359801875</v>
      </c>
      <c r="AK662" s="259">
        <v>1462236.074330457</v>
      </c>
      <c r="AL662" s="259">
        <v>308678.39279978111</v>
      </c>
      <c r="AM662" s="259">
        <v>314129.32514468045</v>
      </c>
      <c r="AN662" s="259">
        <v>223560.14747385826</v>
      </c>
      <c r="AO662" s="259">
        <v>227412.15392639802</v>
      </c>
      <c r="AP662" s="259">
        <v>231450.14383190306</v>
      </c>
      <c r="AQ662" s="259">
        <v>229102.70185192305</v>
      </c>
      <c r="AR662" s="259">
        <v>226755.25987196306</v>
      </c>
      <c r="AS662" s="259">
        <v>224407.81789198305</v>
      </c>
      <c r="AT662" s="259">
        <v>221192.63813498305</v>
      </c>
      <c r="AU662" s="259">
        <v>219359.38101698304</v>
      </c>
      <c r="AV662" s="259">
        <v>1407021.9533657627</v>
      </c>
      <c r="AW662" s="259">
        <v>219233.16140165305</v>
      </c>
      <c r="AX662" s="259">
        <v>219233.16140165305</v>
      </c>
      <c r="AY662" s="259"/>
      <c r="AZ662" s="259"/>
      <c r="BA662" s="259"/>
      <c r="BB662" s="259"/>
      <c r="BC662" s="259"/>
      <c r="BD662" s="259"/>
      <c r="BE662" s="259"/>
      <c r="BF662" s="259"/>
      <c r="BG662" s="259"/>
      <c r="BH662" s="259"/>
      <c r="BI662" s="259"/>
      <c r="BJ662" s="259"/>
      <c r="BK662" s="259"/>
    </row>
    <row r="663" spans="1:63">
      <c r="A663" s="169"/>
      <c r="B663" s="307" t="s">
        <v>29</v>
      </c>
      <c r="C663" s="308"/>
      <c r="D663" s="309"/>
      <c r="E663" s="309"/>
      <c r="F663" s="309"/>
      <c r="G663" s="309"/>
      <c r="H663" s="309"/>
      <c r="I663" s="309"/>
      <c r="J663" s="309"/>
      <c r="K663" s="309"/>
      <c r="L663" s="309"/>
      <c r="M663" s="309"/>
      <c r="N663" s="309"/>
      <c r="O663" s="309"/>
      <c r="P663" s="309"/>
      <c r="Q663" s="309"/>
      <c r="R663" s="309"/>
      <c r="S663" s="309"/>
      <c r="T663" s="309"/>
      <c r="U663" s="309">
        <f>+U662+U661</f>
        <v>55017200.658599049</v>
      </c>
      <c r="V663" s="309">
        <f t="shared" ref="V663:AX663" si="63">+V662+V661</f>
        <v>34165078.058636256</v>
      </c>
      <c r="W663" s="309">
        <f t="shared" si="63"/>
        <v>37258864.69851242</v>
      </c>
      <c r="X663" s="309">
        <f t="shared" si="63"/>
        <v>50141072.344129488</v>
      </c>
      <c r="Y663" s="309">
        <f t="shared" si="63"/>
        <v>40587185.731683098</v>
      </c>
      <c r="Z663" s="309">
        <f t="shared" si="63"/>
        <v>39603648.204382442</v>
      </c>
      <c r="AA663" s="309">
        <f t="shared" si="63"/>
        <v>36843522.130923495</v>
      </c>
      <c r="AB663" s="309">
        <f t="shared" si="63"/>
        <v>37450522.973329119</v>
      </c>
      <c r="AC663" s="309">
        <f t="shared" si="63"/>
        <v>18254154.811886452</v>
      </c>
      <c r="AD663" s="309">
        <f t="shared" si="63"/>
        <v>31292669.652654067</v>
      </c>
      <c r="AE663" s="309">
        <f t="shared" si="63"/>
        <v>4636879.473548972</v>
      </c>
      <c r="AF663" s="309">
        <f t="shared" si="63"/>
        <v>22074832.589866534</v>
      </c>
      <c r="AG663" s="309">
        <f t="shared" si="63"/>
        <v>3375158.4602194219</v>
      </c>
      <c r="AH663" s="309">
        <f t="shared" si="63"/>
        <v>21534623.472366214</v>
      </c>
      <c r="AI663" s="309">
        <f t="shared" si="63"/>
        <v>12065230.475354094</v>
      </c>
      <c r="AJ663" s="309">
        <f t="shared" si="63"/>
        <v>6712422.4359801877</v>
      </c>
      <c r="AK663" s="309">
        <f t="shared" si="63"/>
        <v>16353434.778848855</v>
      </c>
      <c r="AL663" s="309">
        <f t="shared" si="63"/>
        <v>308678.39279978111</v>
      </c>
      <c r="AM663" s="309">
        <f t="shared" si="63"/>
        <v>1757101.9669270804</v>
      </c>
      <c r="AN663" s="309">
        <f t="shared" si="63"/>
        <v>223560.14747385826</v>
      </c>
      <c r="AO663" s="309">
        <f t="shared" si="63"/>
        <v>227412.15392639802</v>
      </c>
      <c r="AP663" s="309">
        <f t="shared" si="63"/>
        <v>231450.14383190306</v>
      </c>
      <c r="AQ663" s="309">
        <f t="shared" si="63"/>
        <v>229102.70185192305</v>
      </c>
      <c r="AR663" s="309">
        <f t="shared" si="63"/>
        <v>226755.25987196306</v>
      </c>
      <c r="AS663" s="309">
        <f t="shared" si="63"/>
        <v>224407.81789198305</v>
      </c>
      <c r="AT663" s="309">
        <f t="shared" si="63"/>
        <v>221192.63813498305</v>
      </c>
      <c r="AU663" s="309">
        <f t="shared" si="63"/>
        <v>219359.38101698304</v>
      </c>
      <c r="AV663" s="309">
        <f t="shared" si="63"/>
        <v>1407021.9533657627</v>
      </c>
      <c r="AW663" s="309">
        <f t="shared" si="63"/>
        <v>219233.16140165305</v>
      </c>
      <c r="AX663" s="309">
        <f t="shared" si="63"/>
        <v>219233.16140165305</v>
      </c>
      <c r="AY663" s="309"/>
      <c r="AZ663" s="309"/>
      <c r="BA663" s="309"/>
      <c r="BB663" s="309"/>
      <c r="BC663" s="309"/>
      <c r="BD663" s="309"/>
      <c r="BE663" s="309"/>
      <c r="BF663" s="309"/>
      <c r="BG663" s="309"/>
      <c r="BH663" s="309"/>
      <c r="BI663" s="309"/>
      <c r="BJ663" s="309"/>
      <c r="BK663" s="309"/>
    </row>
    <row r="664" spans="1:63">
      <c r="A664" s="167"/>
      <c r="B664" s="210" t="s">
        <v>28</v>
      </c>
      <c r="C664" s="254"/>
      <c r="D664" s="255"/>
      <c r="E664" s="255"/>
      <c r="F664" s="255"/>
      <c r="G664" s="255"/>
      <c r="H664" s="255"/>
      <c r="I664" s="255"/>
      <c r="J664" s="255"/>
      <c r="K664" s="255"/>
      <c r="L664" s="255"/>
      <c r="M664" s="255"/>
      <c r="N664" s="255"/>
      <c r="O664" s="255"/>
      <c r="P664" s="255"/>
      <c r="Q664" s="255"/>
      <c r="R664" s="255"/>
      <c r="S664" s="255"/>
      <c r="T664" s="255"/>
      <c r="U664" s="255">
        <v>31632273.064327002</v>
      </c>
      <c r="V664" s="255">
        <v>17411512.902999997</v>
      </c>
      <c r="W664" s="255">
        <v>20353494.592214201</v>
      </c>
      <c r="X664" s="255">
        <v>33788530.046703562</v>
      </c>
      <c r="Y664" s="255">
        <v>26801361.47247874</v>
      </c>
      <c r="Z664" s="255">
        <v>26889992.655999999</v>
      </c>
      <c r="AA664" s="255">
        <v>27644130.084714998</v>
      </c>
      <c r="AB664" s="255">
        <v>28778993.899999999</v>
      </c>
      <c r="AC664" s="255">
        <v>12041521.8332591</v>
      </c>
      <c r="AD664" s="255">
        <v>26979481.399999999</v>
      </c>
      <c r="AE664" s="255">
        <v>0</v>
      </c>
      <c r="AF664" s="255">
        <v>17395463.5</v>
      </c>
      <c r="AG664" s="255">
        <v>0</v>
      </c>
      <c r="AH664" s="255">
        <v>18114035.600000001</v>
      </c>
      <c r="AI664" s="255">
        <v>9916733.6513700001</v>
      </c>
      <c r="AJ664" s="255">
        <v>5876408</v>
      </c>
      <c r="AK664" s="255">
        <v>14969767.525512801</v>
      </c>
      <c r="AL664" s="255">
        <v>0</v>
      </c>
      <c r="AM664" s="255">
        <v>2245477.9663316002</v>
      </c>
      <c r="AN664" s="255">
        <v>0</v>
      </c>
      <c r="AO664" s="255">
        <v>0</v>
      </c>
      <c r="AP664" s="255">
        <v>0</v>
      </c>
      <c r="AQ664" s="255">
        <v>0</v>
      </c>
      <c r="AR664" s="255">
        <v>0</v>
      </c>
      <c r="AS664" s="255">
        <v>0</v>
      </c>
      <c r="AT664" s="255">
        <v>0</v>
      </c>
      <c r="AU664" s="255">
        <v>0</v>
      </c>
      <c r="AV664" s="255">
        <v>0</v>
      </c>
      <c r="AW664" s="255">
        <v>0</v>
      </c>
      <c r="AX664" s="255">
        <v>0</v>
      </c>
      <c r="AY664" s="255"/>
      <c r="AZ664" s="255"/>
      <c r="BA664" s="255"/>
      <c r="BB664" s="255"/>
      <c r="BC664" s="255"/>
      <c r="BD664" s="255"/>
      <c r="BE664" s="255"/>
      <c r="BF664" s="255"/>
      <c r="BG664" s="255"/>
      <c r="BH664" s="255"/>
      <c r="BI664" s="255"/>
      <c r="BJ664" s="255"/>
      <c r="BK664" s="255"/>
    </row>
    <row r="665" spans="1:63">
      <c r="A665" s="168">
        <v>43585</v>
      </c>
      <c r="B665" s="213" t="s">
        <v>385</v>
      </c>
      <c r="C665" s="256"/>
      <c r="D665" s="257"/>
      <c r="E665" s="257"/>
      <c r="F665" s="257"/>
      <c r="G665" s="257"/>
      <c r="H665" s="257"/>
      <c r="I665" s="257"/>
      <c r="J665" s="257"/>
      <c r="K665" s="257"/>
      <c r="L665" s="257"/>
      <c r="M665" s="257"/>
      <c r="N665" s="257"/>
      <c r="O665" s="257"/>
      <c r="P665" s="257"/>
      <c r="Q665" s="257"/>
      <c r="R665" s="259"/>
      <c r="S665" s="259"/>
      <c r="T665" s="259"/>
      <c r="U665" s="259">
        <v>13790377.08171463</v>
      </c>
      <c r="V665" s="259">
        <v>18773625.079844575</v>
      </c>
      <c r="W665" s="259">
        <v>17283510.604314432</v>
      </c>
      <c r="X665" s="259">
        <v>16616362.873920199</v>
      </c>
      <c r="Y665" s="259">
        <v>14374407.188605808</v>
      </c>
      <c r="Z665" s="259">
        <v>12983798.354957642</v>
      </c>
      <c r="AA665" s="259">
        <v>10358484.216780946</v>
      </c>
      <c r="AB665" s="259">
        <v>8893042.4260751083</v>
      </c>
      <c r="AC665" s="259">
        <v>6788900.6687235199</v>
      </c>
      <c r="AD665" s="259">
        <v>6319478.7702561934</v>
      </c>
      <c r="AE665" s="259">
        <v>4742885.4715966666</v>
      </c>
      <c r="AF665" s="259">
        <v>4786499.8112931615</v>
      </c>
      <c r="AG665" s="259">
        <v>3483447.6467263461</v>
      </c>
      <c r="AH665" s="259">
        <v>3530070.2779058446</v>
      </c>
      <c r="AI665" s="259">
        <v>2311256.2191374181</v>
      </c>
      <c r="AJ665" s="259">
        <v>1893939.6729697248</v>
      </c>
      <c r="AK665" s="259">
        <v>1507939.7681171806</v>
      </c>
      <c r="AL665" s="259">
        <v>358061.74941213749</v>
      </c>
      <c r="AM665" s="259">
        <v>364994.18245540746</v>
      </c>
      <c r="AN665" s="259">
        <v>223160.44093404463</v>
      </c>
      <c r="AO665" s="259">
        <v>227000.45619038993</v>
      </c>
      <c r="AP665" s="259">
        <v>231026.09516381478</v>
      </c>
      <c r="AQ665" s="259">
        <v>228678.65318383477</v>
      </c>
      <c r="AR665" s="259">
        <v>226331.21120387479</v>
      </c>
      <c r="AS665" s="259">
        <v>223983.76922389478</v>
      </c>
      <c r="AT665" s="259">
        <v>220768.58946689477</v>
      </c>
      <c r="AU665" s="259">
        <v>218935.33234889476</v>
      </c>
      <c r="AV665" s="259">
        <v>1405277.7906598544</v>
      </c>
      <c r="AW665" s="259">
        <v>218809.11273356478</v>
      </c>
      <c r="AX665" s="259">
        <v>218809.11273356478</v>
      </c>
      <c r="AY665" s="259"/>
      <c r="AZ665" s="259"/>
      <c r="BA665" s="259"/>
      <c r="BB665" s="259"/>
      <c r="BC665" s="259"/>
      <c r="BD665" s="259"/>
      <c r="BE665" s="259"/>
      <c r="BF665" s="259"/>
      <c r="BG665" s="259"/>
      <c r="BH665" s="259"/>
      <c r="BI665" s="259"/>
      <c r="BJ665" s="259"/>
      <c r="BK665" s="259"/>
    </row>
    <row r="666" spans="1:63">
      <c r="A666" s="169"/>
      <c r="B666" s="307" t="s">
        <v>29</v>
      </c>
      <c r="C666" s="308"/>
      <c r="D666" s="309"/>
      <c r="E666" s="309"/>
      <c r="F666" s="309"/>
      <c r="G666" s="309"/>
      <c r="H666" s="309"/>
      <c r="I666" s="309"/>
      <c r="J666" s="309"/>
      <c r="K666" s="309"/>
      <c r="L666" s="309"/>
      <c r="M666" s="309"/>
      <c r="N666" s="309"/>
      <c r="O666" s="309"/>
      <c r="P666" s="309"/>
      <c r="Q666" s="309"/>
      <c r="R666" s="309"/>
      <c r="S666" s="309"/>
      <c r="T666" s="309"/>
      <c r="U666" s="309">
        <f>+U665+U664</f>
        <v>45422650.146041632</v>
      </c>
      <c r="V666" s="309">
        <f t="shared" ref="V666:AX666" si="64">+V665+V664</f>
        <v>36185137.982844576</v>
      </c>
      <c r="W666" s="309">
        <f t="shared" si="64"/>
        <v>37637005.196528628</v>
      </c>
      <c r="X666" s="309">
        <f t="shared" si="64"/>
        <v>50404892.920623764</v>
      </c>
      <c r="Y666" s="309">
        <f t="shared" si="64"/>
        <v>41175768.661084548</v>
      </c>
      <c r="Z666" s="309">
        <f t="shared" si="64"/>
        <v>39873791.010957643</v>
      </c>
      <c r="AA666" s="309">
        <f t="shared" si="64"/>
        <v>38002614.301495939</v>
      </c>
      <c r="AB666" s="309">
        <f t="shared" si="64"/>
        <v>37672036.326075107</v>
      </c>
      <c r="AC666" s="309">
        <f t="shared" si="64"/>
        <v>18830422.501982622</v>
      </c>
      <c r="AD666" s="309">
        <f t="shared" si="64"/>
        <v>33298960.17025619</v>
      </c>
      <c r="AE666" s="309">
        <f t="shared" si="64"/>
        <v>4742885.4715966666</v>
      </c>
      <c r="AF666" s="309">
        <f t="shared" si="64"/>
        <v>22181963.311293162</v>
      </c>
      <c r="AG666" s="309">
        <f t="shared" si="64"/>
        <v>3483447.6467263461</v>
      </c>
      <c r="AH666" s="309">
        <f t="shared" si="64"/>
        <v>21644105.877905846</v>
      </c>
      <c r="AI666" s="309">
        <f t="shared" si="64"/>
        <v>12227989.870507419</v>
      </c>
      <c r="AJ666" s="309">
        <f t="shared" si="64"/>
        <v>7770347.672969725</v>
      </c>
      <c r="AK666" s="309">
        <f t="shared" si="64"/>
        <v>16477707.293629982</v>
      </c>
      <c r="AL666" s="309">
        <f t="shared" si="64"/>
        <v>358061.74941213749</v>
      </c>
      <c r="AM666" s="309">
        <f t="shared" si="64"/>
        <v>2610472.1487870077</v>
      </c>
      <c r="AN666" s="309">
        <f t="shared" si="64"/>
        <v>223160.44093404463</v>
      </c>
      <c r="AO666" s="309">
        <f t="shared" si="64"/>
        <v>227000.45619038993</v>
      </c>
      <c r="AP666" s="309">
        <f t="shared" si="64"/>
        <v>231026.09516381478</v>
      </c>
      <c r="AQ666" s="309">
        <f t="shared" si="64"/>
        <v>228678.65318383477</v>
      </c>
      <c r="AR666" s="309">
        <f t="shared" si="64"/>
        <v>226331.21120387479</v>
      </c>
      <c r="AS666" s="309">
        <f t="shared" si="64"/>
        <v>223983.76922389478</v>
      </c>
      <c r="AT666" s="309">
        <f t="shared" si="64"/>
        <v>220768.58946689477</v>
      </c>
      <c r="AU666" s="309">
        <f t="shared" si="64"/>
        <v>218935.33234889476</v>
      </c>
      <c r="AV666" s="309">
        <f t="shared" si="64"/>
        <v>1405277.7906598544</v>
      </c>
      <c r="AW666" s="309">
        <f t="shared" si="64"/>
        <v>218809.11273356478</v>
      </c>
      <c r="AX666" s="309">
        <f t="shared" si="64"/>
        <v>218809.11273356478</v>
      </c>
      <c r="AY666" s="309"/>
      <c r="AZ666" s="309"/>
      <c r="BA666" s="309"/>
      <c r="BB666" s="309"/>
      <c r="BC666" s="309"/>
      <c r="BD666" s="309"/>
      <c r="BE666" s="309"/>
      <c r="BF666" s="309"/>
      <c r="BG666" s="309"/>
      <c r="BH666" s="309"/>
      <c r="BI666" s="309"/>
      <c r="BJ666" s="309"/>
      <c r="BK666" s="309"/>
    </row>
    <row r="667" spans="1:63">
      <c r="A667" s="167"/>
      <c r="B667" s="210" t="s">
        <v>28</v>
      </c>
      <c r="C667" s="254"/>
      <c r="D667" s="255"/>
      <c r="E667" s="255"/>
      <c r="F667" s="255"/>
      <c r="G667" s="255"/>
      <c r="H667" s="255"/>
      <c r="I667" s="255"/>
      <c r="J667" s="255"/>
      <c r="K667" s="255"/>
      <c r="L667" s="255"/>
      <c r="M667" s="255"/>
      <c r="N667" s="255"/>
      <c r="O667" s="255"/>
      <c r="P667" s="255"/>
      <c r="Q667" s="255"/>
      <c r="R667" s="255"/>
      <c r="S667" s="255"/>
      <c r="T667" s="255"/>
      <c r="U667" s="255">
        <v>31637510.941710003</v>
      </c>
      <c r="V667" s="255">
        <v>17411512.902999997</v>
      </c>
      <c r="W667" s="255">
        <v>20449783.484655</v>
      </c>
      <c r="X667" s="255">
        <v>33800539.205799632</v>
      </c>
      <c r="Y667" s="255">
        <v>26928154.520372536</v>
      </c>
      <c r="Z667" s="255">
        <v>26889992.655999999</v>
      </c>
      <c r="AA667" s="255">
        <v>27693403.508374996</v>
      </c>
      <c r="AB667" s="255">
        <v>28778993.899999999</v>
      </c>
      <c r="AC667" s="255">
        <v>12098488.4771275</v>
      </c>
      <c r="AD667" s="255">
        <v>26979481.399999999</v>
      </c>
      <c r="AE667" s="255">
        <v>0</v>
      </c>
      <c r="AF667" s="255">
        <v>17395463.5</v>
      </c>
      <c r="AG667" s="255">
        <v>0</v>
      </c>
      <c r="AH667" s="255">
        <v>18114035.600000001</v>
      </c>
      <c r="AI667" s="255">
        <v>9963648.2392500006</v>
      </c>
      <c r="AJ667" s="255">
        <v>5876408</v>
      </c>
      <c r="AK667" s="255">
        <v>15040587.263019999</v>
      </c>
      <c r="AL667" s="255">
        <v>0</v>
      </c>
      <c r="AM667" s="255">
        <v>2256100.9876899999</v>
      </c>
      <c r="AN667" s="255">
        <v>0</v>
      </c>
      <c r="AO667" s="255">
        <v>0</v>
      </c>
      <c r="AP667" s="255">
        <v>0</v>
      </c>
      <c r="AQ667" s="255">
        <v>0</v>
      </c>
      <c r="AR667" s="255">
        <v>0</v>
      </c>
      <c r="AS667" s="255">
        <v>0</v>
      </c>
      <c r="AT667" s="255">
        <v>0</v>
      </c>
      <c r="AU667" s="255">
        <v>0</v>
      </c>
      <c r="AV667" s="255">
        <v>0</v>
      </c>
      <c r="AW667" s="255">
        <v>0</v>
      </c>
      <c r="AX667" s="255">
        <v>0</v>
      </c>
      <c r="AY667" s="255"/>
      <c r="AZ667" s="255"/>
      <c r="BA667" s="255"/>
      <c r="BB667" s="255"/>
      <c r="BC667" s="255"/>
      <c r="BD667" s="255"/>
      <c r="BE667" s="255"/>
      <c r="BF667" s="255"/>
      <c r="BG667" s="255"/>
      <c r="BH667" s="255"/>
      <c r="BI667" s="255"/>
      <c r="BJ667" s="255"/>
      <c r="BK667" s="255"/>
    </row>
    <row r="668" spans="1:63">
      <c r="A668" s="168">
        <v>43616</v>
      </c>
      <c r="B668" s="213" t="s">
        <v>385</v>
      </c>
      <c r="C668" s="256"/>
      <c r="D668" s="257"/>
      <c r="E668" s="257"/>
      <c r="F668" s="257"/>
      <c r="G668" s="257"/>
      <c r="H668" s="257"/>
      <c r="I668" s="257"/>
      <c r="J668" s="257"/>
      <c r="K668" s="257"/>
      <c r="L668" s="257"/>
      <c r="M668" s="257"/>
      <c r="N668" s="257"/>
      <c r="O668" s="257"/>
      <c r="P668" s="257"/>
      <c r="Q668" s="257"/>
      <c r="R668" s="259"/>
      <c r="S668" s="259"/>
      <c r="T668" s="259"/>
      <c r="U668" s="259">
        <v>11076952.882862233</v>
      </c>
      <c r="V668" s="259">
        <v>18773625.079844575</v>
      </c>
      <c r="W668" s="259">
        <v>17283510.604314428</v>
      </c>
      <c r="X668" s="259">
        <v>16616362.873920199</v>
      </c>
      <c r="Y668" s="259">
        <v>14374407.188605811</v>
      </c>
      <c r="Z668" s="259">
        <v>12983798.354957642</v>
      </c>
      <c r="AA668" s="259">
        <v>10358484.216780949</v>
      </c>
      <c r="AB668" s="259">
        <v>8893042.4260751083</v>
      </c>
      <c r="AC668" s="259">
        <v>6788900.6687235218</v>
      </c>
      <c r="AD668" s="259">
        <v>6319478.7702561934</v>
      </c>
      <c r="AE668" s="259">
        <v>4742885.4715966666</v>
      </c>
      <c r="AF668" s="259">
        <v>4786499.8112931615</v>
      </c>
      <c r="AG668" s="259">
        <v>3483447.6467263461</v>
      </c>
      <c r="AH668" s="259">
        <v>3530070.2779058446</v>
      </c>
      <c r="AI668" s="259">
        <v>2311256.2191374181</v>
      </c>
      <c r="AJ668" s="259">
        <v>1893939.6729697248</v>
      </c>
      <c r="AK668" s="259">
        <v>1507939.7681171806</v>
      </c>
      <c r="AL668" s="259">
        <v>358061.74941213749</v>
      </c>
      <c r="AM668" s="259">
        <v>364994.18245540746</v>
      </c>
      <c r="AN668" s="259">
        <v>223160.44093404463</v>
      </c>
      <c r="AO668" s="259">
        <v>227000.45619038993</v>
      </c>
      <c r="AP668" s="259">
        <v>231026.09516381478</v>
      </c>
      <c r="AQ668" s="259">
        <v>228678.65318383477</v>
      </c>
      <c r="AR668" s="259">
        <v>226331.21120387479</v>
      </c>
      <c r="AS668" s="259">
        <v>223983.76922389478</v>
      </c>
      <c r="AT668" s="259">
        <v>220768.58946689477</v>
      </c>
      <c r="AU668" s="259">
        <v>218935.33234889476</v>
      </c>
      <c r="AV668" s="259">
        <v>1404948.5916766648</v>
      </c>
      <c r="AW668" s="259">
        <v>218809.11273356478</v>
      </c>
      <c r="AX668" s="259">
        <v>218809.11273356478</v>
      </c>
      <c r="AY668" s="259"/>
      <c r="AZ668" s="259"/>
      <c r="BA668" s="259"/>
      <c r="BB668" s="259"/>
      <c r="BC668" s="259"/>
      <c r="BD668" s="259"/>
      <c r="BE668" s="259"/>
      <c r="BF668" s="259"/>
      <c r="BG668" s="259"/>
      <c r="BH668" s="259"/>
      <c r="BI668" s="259"/>
      <c r="BJ668" s="259"/>
      <c r="BK668" s="259"/>
    </row>
    <row r="669" spans="1:63">
      <c r="A669" s="169"/>
      <c r="B669" s="307" t="s">
        <v>29</v>
      </c>
      <c r="C669" s="308"/>
      <c r="D669" s="309"/>
      <c r="E669" s="309"/>
      <c r="F669" s="309"/>
      <c r="G669" s="309"/>
      <c r="H669" s="309"/>
      <c r="I669" s="309"/>
      <c r="J669" s="309"/>
      <c r="K669" s="309"/>
      <c r="L669" s="309"/>
      <c r="M669" s="309"/>
      <c r="N669" s="309"/>
      <c r="O669" s="309"/>
      <c r="P669" s="309"/>
      <c r="Q669" s="309"/>
      <c r="R669" s="309"/>
      <c r="S669" s="309"/>
      <c r="T669" s="309"/>
      <c r="U669" s="309">
        <f>+U668+U667</f>
        <v>42714463.824572235</v>
      </c>
      <c r="V669" s="309">
        <f t="shared" ref="V669:AX669" si="65">+V668+V667</f>
        <v>36185137.982844576</v>
      </c>
      <c r="W669" s="309">
        <f t="shared" si="65"/>
        <v>37733294.088969424</v>
      </c>
      <c r="X669" s="309">
        <f t="shared" si="65"/>
        <v>50416902.079719827</v>
      </c>
      <c r="Y669" s="309">
        <f t="shared" si="65"/>
        <v>41302561.708978347</v>
      </c>
      <c r="Z669" s="309">
        <f t="shared" si="65"/>
        <v>39873791.010957643</v>
      </c>
      <c r="AA669" s="309">
        <f t="shared" si="65"/>
        <v>38051887.72515595</v>
      </c>
      <c r="AB669" s="309">
        <f t="shared" si="65"/>
        <v>37672036.326075107</v>
      </c>
      <c r="AC669" s="309">
        <f t="shared" si="65"/>
        <v>18887389.145851023</v>
      </c>
      <c r="AD669" s="309">
        <f t="shared" si="65"/>
        <v>33298960.17025619</v>
      </c>
      <c r="AE669" s="309">
        <f t="shared" si="65"/>
        <v>4742885.4715966666</v>
      </c>
      <c r="AF669" s="309">
        <f t="shared" si="65"/>
        <v>22181963.311293162</v>
      </c>
      <c r="AG669" s="309">
        <f t="shared" si="65"/>
        <v>3483447.6467263461</v>
      </c>
      <c r="AH669" s="309">
        <f t="shared" si="65"/>
        <v>21644105.877905846</v>
      </c>
      <c r="AI669" s="309">
        <f t="shared" si="65"/>
        <v>12274904.45838742</v>
      </c>
      <c r="AJ669" s="309">
        <f t="shared" si="65"/>
        <v>7770347.672969725</v>
      </c>
      <c r="AK669" s="309">
        <f t="shared" si="65"/>
        <v>16548527.03113718</v>
      </c>
      <c r="AL669" s="309">
        <f t="shared" si="65"/>
        <v>358061.74941213749</v>
      </c>
      <c r="AM669" s="309">
        <f t="shared" si="65"/>
        <v>2621095.1701454073</v>
      </c>
      <c r="AN669" s="309">
        <f t="shared" si="65"/>
        <v>223160.44093404463</v>
      </c>
      <c r="AO669" s="309">
        <f t="shared" si="65"/>
        <v>227000.45619038993</v>
      </c>
      <c r="AP669" s="309">
        <f t="shared" si="65"/>
        <v>231026.09516381478</v>
      </c>
      <c r="AQ669" s="309">
        <f t="shared" si="65"/>
        <v>228678.65318383477</v>
      </c>
      <c r="AR669" s="309">
        <f t="shared" si="65"/>
        <v>226331.21120387479</v>
      </c>
      <c r="AS669" s="309">
        <f t="shared" si="65"/>
        <v>223983.76922389478</v>
      </c>
      <c r="AT669" s="309">
        <f t="shared" si="65"/>
        <v>220768.58946689477</v>
      </c>
      <c r="AU669" s="309">
        <f t="shared" si="65"/>
        <v>218935.33234889476</v>
      </c>
      <c r="AV669" s="309">
        <f t="shared" si="65"/>
        <v>1404948.5916766648</v>
      </c>
      <c r="AW669" s="309">
        <f t="shared" si="65"/>
        <v>218809.11273356478</v>
      </c>
      <c r="AX669" s="309">
        <f t="shared" si="65"/>
        <v>218809.11273356478</v>
      </c>
      <c r="AY669" s="309"/>
      <c r="AZ669" s="309"/>
      <c r="BA669" s="309"/>
      <c r="BB669" s="309"/>
      <c r="BC669" s="309"/>
      <c r="BD669" s="309"/>
      <c r="BE669" s="309"/>
      <c r="BF669" s="309"/>
      <c r="BG669" s="309"/>
      <c r="BH669" s="309"/>
      <c r="BI669" s="309"/>
      <c r="BJ669" s="309"/>
      <c r="BK669" s="309"/>
    </row>
    <row r="670" spans="1:63">
      <c r="A670" s="167"/>
      <c r="B670" s="210" t="s">
        <v>28</v>
      </c>
      <c r="C670" s="254"/>
      <c r="D670" s="255"/>
      <c r="E670" s="255"/>
      <c r="F670" s="255"/>
      <c r="G670" s="255"/>
      <c r="H670" s="255"/>
      <c r="I670" s="255"/>
      <c r="J670" s="255"/>
      <c r="K670" s="255"/>
      <c r="L670" s="255"/>
      <c r="M670" s="255"/>
      <c r="N670" s="255"/>
      <c r="O670" s="255"/>
      <c r="P670" s="255"/>
      <c r="Q670" s="255"/>
      <c r="R670" s="255"/>
      <c r="S670" s="255"/>
      <c r="T670" s="255"/>
      <c r="U670" s="255">
        <v>13076124.62819</v>
      </c>
      <c r="V670" s="255">
        <v>36365072.013958998</v>
      </c>
      <c r="W670" s="255">
        <v>20526704.098125398</v>
      </c>
      <c r="X670" s="255">
        <v>33800540.07279963</v>
      </c>
      <c r="Y670" s="255">
        <v>27622207.87032428</v>
      </c>
      <c r="Z670" s="255">
        <v>26889992.655999999</v>
      </c>
      <c r="AA670" s="255">
        <v>29266585.601454999</v>
      </c>
      <c r="AB670" s="255">
        <v>28778994.954021998</v>
      </c>
      <c r="AC670" s="255">
        <v>12999345.867278799</v>
      </c>
      <c r="AD670" s="255">
        <v>28596871.5</v>
      </c>
      <c r="AE670" s="255">
        <v>0</v>
      </c>
      <c r="AF670" s="255">
        <v>17395463.5</v>
      </c>
      <c r="AG670" s="255">
        <v>0</v>
      </c>
      <c r="AH670" s="255">
        <v>18114035.600000001</v>
      </c>
      <c r="AI670" s="255">
        <v>10001126.070689999</v>
      </c>
      <c r="AJ670" s="255">
        <v>7765444.4000000004</v>
      </c>
      <c r="AK670" s="255">
        <v>15097161.780773599</v>
      </c>
      <c r="AL670" s="255">
        <v>0</v>
      </c>
      <c r="AM670" s="255">
        <v>3261546.8585518999</v>
      </c>
      <c r="AN670" s="255">
        <v>0</v>
      </c>
      <c r="AO670" s="255">
        <v>0</v>
      </c>
      <c r="AP670" s="255">
        <v>0</v>
      </c>
      <c r="AQ670" s="255">
        <v>0</v>
      </c>
      <c r="AR670" s="255">
        <v>0</v>
      </c>
      <c r="AS670" s="255">
        <v>0</v>
      </c>
      <c r="AT670" s="255">
        <v>0</v>
      </c>
      <c r="AU670" s="255">
        <v>0</v>
      </c>
      <c r="AV670" s="255">
        <v>0</v>
      </c>
      <c r="AW670" s="255">
        <v>0</v>
      </c>
      <c r="AX670" s="255">
        <v>0</v>
      </c>
      <c r="AY670" s="255"/>
      <c r="AZ670" s="255"/>
      <c r="BA670" s="255"/>
      <c r="BB670" s="255"/>
      <c r="BC670" s="255"/>
      <c r="BD670" s="255"/>
      <c r="BE670" s="255"/>
      <c r="BF670" s="255"/>
      <c r="BG670" s="255"/>
      <c r="BH670" s="255"/>
      <c r="BI670" s="255"/>
      <c r="BJ670" s="255"/>
      <c r="BK670" s="255"/>
    </row>
    <row r="671" spans="1:63">
      <c r="A671" s="168">
        <v>43646</v>
      </c>
      <c r="B671" s="213" t="s">
        <v>385</v>
      </c>
      <c r="C671" s="256"/>
      <c r="D671" s="257"/>
      <c r="E671" s="257"/>
      <c r="F671" s="257"/>
      <c r="G671" s="257"/>
      <c r="H671" s="257"/>
      <c r="I671" s="257"/>
      <c r="J671" s="257"/>
      <c r="K671" s="257"/>
      <c r="L671" s="257"/>
      <c r="M671" s="257"/>
      <c r="N671" s="257"/>
      <c r="O671" s="257"/>
      <c r="P671" s="257"/>
      <c r="Q671" s="257"/>
      <c r="R671" s="259"/>
      <c r="S671" s="259"/>
      <c r="T671" s="259"/>
      <c r="U671" s="259">
        <v>9924168.5934999995</v>
      </c>
      <c r="V671" s="259">
        <v>19200552.521083936</v>
      </c>
      <c r="W671" s="259">
        <v>17713350.000128474</v>
      </c>
      <c r="X671" s="259">
        <v>17049201.582946163</v>
      </c>
      <c r="Y671" s="259">
        <v>14810335.190240052</v>
      </c>
      <c r="Z671" s="259">
        <v>13390104.125296326</v>
      </c>
      <c r="AA671" s="259">
        <v>10767083.291567288</v>
      </c>
      <c r="AB671" s="259">
        <v>9208139.8606925383</v>
      </c>
      <c r="AC671" s="259">
        <v>7106431.0700294767</v>
      </c>
      <c r="AD671" s="259">
        <v>6602501.6259485614</v>
      </c>
      <c r="AE671" s="259">
        <v>4930335.6506098052</v>
      </c>
      <c r="AF671" s="259">
        <v>4975464.8415066926</v>
      </c>
      <c r="AG671" s="259">
        <v>3673972.9736762852</v>
      </c>
      <c r="AH671" s="259">
        <v>3722202.7104942841</v>
      </c>
      <c r="AI671" s="259">
        <v>2505043.9705335079</v>
      </c>
      <c r="AJ671" s="259">
        <v>2089432.4027376983</v>
      </c>
      <c r="AK671" s="259">
        <v>1568233.4866081928</v>
      </c>
      <c r="AL671" s="259">
        <v>420164.27945787978</v>
      </c>
      <c r="AM671" s="259">
        <v>428959.78840252198</v>
      </c>
      <c r="AN671" s="259">
        <v>223160.44093404463</v>
      </c>
      <c r="AO671" s="259">
        <v>227000.45619038993</v>
      </c>
      <c r="AP671" s="259">
        <v>231026.09516381478</v>
      </c>
      <c r="AQ671" s="259">
        <v>228678.65318383477</v>
      </c>
      <c r="AR671" s="259">
        <v>226331.21120387479</v>
      </c>
      <c r="AS671" s="259">
        <v>223983.76922389478</v>
      </c>
      <c r="AT671" s="259">
        <v>220768.58946689477</v>
      </c>
      <c r="AU671" s="259">
        <v>218935.33234889476</v>
      </c>
      <c r="AV671" s="259">
        <v>1404947.0698517447</v>
      </c>
      <c r="AW671" s="259">
        <v>218809.11273356478</v>
      </c>
      <c r="AX671" s="259">
        <v>218809.11273356478</v>
      </c>
      <c r="AY671" s="259"/>
      <c r="AZ671" s="259"/>
      <c r="BA671" s="259"/>
      <c r="BB671" s="259"/>
      <c r="BC671" s="259"/>
      <c r="BD671" s="259"/>
      <c r="BE671" s="259"/>
      <c r="BF671" s="259"/>
      <c r="BG671" s="259"/>
      <c r="BH671" s="259"/>
      <c r="BI671" s="259"/>
      <c r="BJ671" s="259"/>
      <c r="BK671" s="259"/>
    </row>
    <row r="672" spans="1:63">
      <c r="A672" s="169"/>
      <c r="B672" s="307" t="s">
        <v>29</v>
      </c>
      <c r="C672" s="308"/>
      <c r="D672" s="309"/>
      <c r="E672" s="309"/>
      <c r="F672" s="309"/>
      <c r="G672" s="309"/>
      <c r="H672" s="309"/>
      <c r="I672" s="309"/>
      <c r="J672" s="309"/>
      <c r="K672" s="309"/>
      <c r="L672" s="309"/>
      <c r="M672" s="309"/>
      <c r="N672" s="309"/>
      <c r="O672" s="309"/>
      <c r="P672" s="309"/>
      <c r="Q672" s="309"/>
      <c r="R672" s="309"/>
      <c r="S672" s="309"/>
      <c r="T672" s="309"/>
      <c r="U672" s="309">
        <f>+U671+U670</f>
        <v>23000293.221689999</v>
      </c>
      <c r="V672" s="309">
        <f t="shared" ref="V672:AX672" si="66">+V671+V670</f>
        <v>55565624.535042934</v>
      </c>
      <c r="W672" s="309">
        <f t="shared" si="66"/>
        <v>38240054.098253876</v>
      </c>
      <c r="X672" s="309">
        <f t="shared" si="66"/>
        <v>50849741.655745789</v>
      </c>
      <c r="Y672" s="309">
        <f t="shared" si="66"/>
        <v>42432543.060564332</v>
      </c>
      <c r="Z672" s="309">
        <f t="shared" si="66"/>
        <v>40280096.781296328</v>
      </c>
      <c r="AA672" s="309">
        <f t="shared" si="66"/>
        <v>40033668.893022284</v>
      </c>
      <c r="AB672" s="309">
        <f t="shared" si="66"/>
        <v>37987134.814714536</v>
      </c>
      <c r="AC672" s="309">
        <f t="shared" si="66"/>
        <v>20105776.937308274</v>
      </c>
      <c r="AD672" s="309">
        <f t="shared" si="66"/>
        <v>35199373.125948563</v>
      </c>
      <c r="AE672" s="309">
        <f t="shared" si="66"/>
        <v>4930335.6506098052</v>
      </c>
      <c r="AF672" s="309">
        <f t="shared" si="66"/>
        <v>22370928.341506694</v>
      </c>
      <c r="AG672" s="309">
        <f t="shared" si="66"/>
        <v>3673972.9736762852</v>
      </c>
      <c r="AH672" s="309">
        <f t="shared" si="66"/>
        <v>21836238.310494285</v>
      </c>
      <c r="AI672" s="309">
        <f t="shared" si="66"/>
        <v>12506170.041223507</v>
      </c>
      <c r="AJ672" s="309">
        <f t="shared" si="66"/>
        <v>9854876.802737698</v>
      </c>
      <c r="AK672" s="309">
        <f t="shared" si="66"/>
        <v>16665395.267381791</v>
      </c>
      <c r="AL672" s="309">
        <f t="shared" si="66"/>
        <v>420164.27945787978</v>
      </c>
      <c r="AM672" s="309">
        <f t="shared" si="66"/>
        <v>3690506.6469544219</v>
      </c>
      <c r="AN672" s="309">
        <f t="shared" si="66"/>
        <v>223160.44093404463</v>
      </c>
      <c r="AO672" s="309">
        <f t="shared" si="66"/>
        <v>227000.45619038993</v>
      </c>
      <c r="AP672" s="309">
        <f t="shared" si="66"/>
        <v>231026.09516381478</v>
      </c>
      <c r="AQ672" s="309">
        <f t="shared" si="66"/>
        <v>228678.65318383477</v>
      </c>
      <c r="AR672" s="309">
        <f t="shared" si="66"/>
        <v>226331.21120387479</v>
      </c>
      <c r="AS672" s="309">
        <f t="shared" si="66"/>
        <v>223983.76922389478</v>
      </c>
      <c r="AT672" s="309">
        <f t="shared" si="66"/>
        <v>220768.58946689477</v>
      </c>
      <c r="AU672" s="309">
        <f t="shared" si="66"/>
        <v>218935.33234889476</v>
      </c>
      <c r="AV672" s="309">
        <f t="shared" si="66"/>
        <v>1404947.0698517447</v>
      </c>
      <c r="AW672" s="309">
        <f t="shared" si="66"/>
        <v>218809.11273356478</v>
      </c>
      <c r="AX672" s="309">
        <f t="shared" si="66"/>
        <v>218809.11273356478</v>
      </c>
      <c r="AY672" s="309"/>
      <c r="AZ672" s="309"/>
      <c r="BA672" s="309"/>
      <c r="BB672" s="309"/>
      <c r="BC672" s="309"/>
      <c r="BD672" s="309"/>
      <c r="BE672" s="309"/>
      <c r="BF672" s="309"/>
      <c r="BG672" s="309"/>
      <c r="BH672" s="309"/>
      <c r="BI672" s="309"/>
      <c r="BJ672" s="309"/>
      <c r="BK672" s="309"/>
    </row>
    <row r="673" spans="1:63">
      <c r="A673" s="167"/>
      <c r="B673" s="210" t="s">
        <v>28</v>
      </c>
      <c r="C673" s="254"/>
      <c r="D673" s="255"/>
      <c r="E673" s="255"/>
      <c r="F673" s="255"/>
      <c r="G673" s="255"/>
      <c r="H673" s="255"/>
      <c r="I673" s="255"/>
      <c r="J673" s="255"/>
      <c r="K673" s="255"/>
      <c r="L673" s="255"/>
      <c r="M673" s="255"/>
      <c r="N673" s="255"/>
      <c r="O673" s="255"/>
      <c r="P673" s="255"/>
      <c r="Q673" s="255"/>
      <c r="R673" s="255"/>
      <c r="S673" s="255"/>
      <c r="T673" s="255"/>
      <c r="U673" s="255">
        <v>13080161.391632998</v>
      </c>
      <c r="V673" s="255">
        <v>41470959.631765991</v>
      </c>
      <c r="W673" s="255">
        <v>20591377.574814197</v>
      </c>
      <c r="X673" s="255">
        <v>33796270.698519766</v>
      </c>
      <c r="Y673" s="255">
        <v>27818420.277869932</v>
      </c>
      <c r="Z673" s="255">
        <v>26889992.655999999</v>
      </c>
      <c r="AA673" s="255">
        <v>29731329.729714997</v>
      </c>
      <c r="AB673" s="255">
        <v>28778994.954021998</v>
      </c>
      <c r="AC673" s="255">
        <v>13245430.626584999</v>
      </c>
      <c r="AD673" s="255">
        <v>29218224.899999999</v>
      </c>
      <c r="AE673" s="255">
        <v>0</v>
      </c>
      <c r="AF673" s="255">
        <v>17395463.5</v>
      </c>
      <c r="AG673" s="255">
        <v>0</v>
      </c>
      <c r="AH673" s="255">
        <v>18114035.600000001</v>
      </c>
      <c r="AI673" s="255">
        <v>10032636.761369999</v>
      </c>
      <c r="AJ673" s="255">
        <v>8308996</v>
      </c>
      <c r="AK673" s="255">
        <v>15144728.623912798</v>
      </c>
      <c r="AL673" s="255">
        <v>0</v>
      </c>
      <c r="AM673" s="255">
        <v>3491261.8500653994</v>
      </c>
      <c r="AN673" s="255">
        <v>0</v>
      </c>
      <c r="AO673" s="255">
        <v>0</v>
      </c>
      <c r="AP673" s="255">
        <v>0</v>
      </c>
      <c r="AQ673" s="255">
        <v>0</v>
      </c>
      <c r="AR673" s="255">
        <v>0</v>
      </c>
      <c r="AS673" s="255">
        <v>0</v>
      </c>
      <c r="AT673" s="255">
        <v>0</v>
      </c>
      <c r="AU673" s="255">
        <v>0</v>
      </c>
      <c r="AV673" s="255">
        <v>0</v>
      </c>
      <c r="AW673" s="255">
        <v>0</v>
      </c>
      <c r="AX673" s="255">
        <v>0</v>
      </c>
      <c r="AY673" s="255">
        <v>3130768.6654166998</v>
      </c>
      <c r="AZ673" s="255">
        <v>0</v>
      </c>
      <c r="BA673" s="255">
        <v>0</v>
      </c>
      <c r="BB673" s="255">
        <v>0</v>
      </c>
      <c r="BC673" s="255">
        <v>0</v>
      </c>
      <c r="BD673" s="255">
        <v>0</v>
      </c>
      <c r="BE673" s="255">
        <v>0</v>
      </c>
      <c r="BF673" s="255">
        <v>0</v>
      </c>
      <c r="BG673" s="255">
        <v>0</v>
      </c>
      <c r="BH673" s="255">
        <v>0</v>
      </c>
      <c r="BI673" s="255">
        <v>0</v>
      </c>
      <c r="BJ673" s="255">
        <v>0</v>
      </c>
      <c r="BK673" s="255">
        <v>0</v>
      </c>
    </row>
    <row r="674" spans="1:63">
      <c r="A674" s="168">
        <v>43647</v>
      </c>
      <c r="B674" s="213" t="s">
        <v>385</v>
      </c>
      <c r="C674" s="256"/>
      <c r="D674" s="257"/>
      <c r="E674" s="257"/>
      <c r="F674" s="257"/>
      <c r="G674" s="257"/>
      <c r="H674" s="257"/>
      <c r="I674" s="257"/>
      <c r="J674" s="257"/>
      <c r="K674" s="257"/>
      <c r="L674" s="257"/>
      <c r="M674" s="257"/>
      <c r="N674" s="257"/>
      <c r="O674" s="257"/>
      <c r="P674" s="257"/>
      <c r="Q674" s="257"/>
      <c r="R674" s="259"/>
      <c r="S674" s="259"/>
      <c r="T674" s="259"/>
      <c r="U674" s="259">
        <v>5696857.029208391</v>
      </c>
      <c r="V674" s="259">
        <v>19325047.564806845</v>
      </c>
      <c r="W674" s="259">
        <v>17838469.892250568</v>
      </c>
      <c r="X674" s="259">
        <v>17174965.068919417</v>
      </c>
      <c r="Y674" s="259">
        <v>14936761.57788001</v>
      </c>
      <c r="Z674" s="259">
        <v>13511189.986136034</v>
      </c>
      <c r="AA674" s="259">
        <v>10888691.725319691</v>
      </c>
      <c r="AB674" s="259">
        <v>9303308.475795012</v>
      </c>
      <c r="AC674" s="259">
        <v>7202154.0827350225</v>
      </c>
      <c r="AD674" s="259">
        <v>6689947.0722697116</v>
      </c>
      <c r="AE674" s="259">
        <v>4980822.5954705896</v>
      </c>
      <c r="AF674" s="259">
        <v>5026284.1699833022</v>
      </c>
      <c r="AG674" s="259">
        <v>3725134.6572771915</v>
      </c>
      <c r="AH674" s="259">
        <v>3773717.0198732163</v>
      </c>
      <c r="AI674" s="259">
        <v>2556921.4844638091</v>
      </c>
      <c r="AJ674" s="259">
        <v>2141684.0173559086</v>
      </c>
      <c r="AK674" s="259">
        <v>1581462.9339349496</v>
      </c>
      <c r="AL674" s="259">
        <v>433790.6102044399</v>
      </c>
      <c r="AM674" s="259">
        <v>442994.90907147899</v>
      </c>
      <c r="AN674" s="259">
        <v>223160.44093404463</v>
      </c>
      <c r="AO674" s="259">
        <v>227000.45619038993</v>
      </c>
      <c r="AP674" s="259">
        <v>231026.09516381478</v>
      </c>
      <c r="AQ674" s="259">
        <v>228678.65318383477</v>
      </c>
      <c r="AR674" s="259">
        <v>226331.21120387479</v>
      </c>
      <c r="AS674" s="259">
        <v>223983.76922389478</v>
      </c>
      <c r="AT674" s="259">
        <v>220768.58946689477</v>
      </c>
      <c r="AU674" s="259">
        <v>218935.33234889476</v>
      </c>
      <c r="AV674" s="259">
        <v>1348613.6723253848</v>
      </c>
      <c r="AW674" s="259">
        <v>218809.11273356478</v>
      </c>
      <c r="AX674" s="259">
        <v>218809.11273356478</v>
      </c>
      <c r="AY674" s="259">
        <v>218809.11273356478</v>
      </c>
      <c r="AZ674" s="259">
        <v>0</v>
      </c>
      <c r="BA674" s="259">
        <v>0</v>
      </c>
      <c r="BB674" s="259">
        <v>0</v>
      </c>
      <c r="BC674" s="259">
        <v>0</v>
      </c>
      <c r="BD674" s="259">
        <v>0</v>
      </c>
      <c r="BE674" s="259">
        <v>0</v>
      </c>
      <c r="BF674" s="259">
        <v>0</v>
      </c>
      <c r="BG674" s="259">
        <v>0</v>
      </c>
      <c r="BH674" s="259">
        <v>0</v>
      </c>
      <c r="BI674" s="259">
        <v>0</v>
      </c>
      <c r="BJ674" s="259">
        <v>0</v>
      </c>
      <c r="BK674" s="259">
        <v>0</v>
      </c>
    </row>
    <row r="675" spans="1:63">
      <c r="A675" s="169"/>
      <c r="B675" s="307" t="s">
        <v>29</v>
      </c>
      <c r="C675" s="308"/>
      <c r="D675" s="309"/>
      <c r="E675" s="309"/>
      <c r="F675" s="309"/>
      <c r="G675" s="309"/>
      <c r="H675" s="309"/>
      <c r="I675" s="309"/>
      <c r="J675" s="309"/>
      <c r="K675" s="309"/>
      <c r="L675" s="309"/>
      <c r="M675" s="309"/>
      <c r="N675" s="309"/>
      <c r="O675" s="309"/>
      <c r="P675" s="309"/>
      <c r="Q675" s="309"/>
      <c r="R675" s="309"/>
      <c r="S675" s="309"/>
      <c r="T675" s="309"/>
      <c r="U675" s="309">
        <v>18777018.420841388</v>
      </c>
      <c r="V675" s="309">
        <v>60796007.19657284</v>
      </c>
      <c r="W675" s="309">
        <v>38429847.467064768</v>
      </c>
      <c r="X675" s="309">
        <v>50971235.767439187</v>
      </c>
      <c r="Y675" s="309">
        <v>42755181.855749942</v>
      </c>
      <c r="Z675" s="309">
        <v>40401182.642136037</v>
      </c>
      <c r="AA675" s="309">
        <v>40620021.455034688</v>
      </c>
      <c r="AB675" s="309">
        <v>38082303.429817006</v>
      </c>
      <c r="AC675" s="309">
        <v>20447584.709320024</v>
      </c>
      <c r="AD675" s="309">
        <v>35908171.972269714</v>
      </c>
      <c r="AE675" s="309">
        <v>4980822.5954705896</v>
      </c>
      <c r="AF675" s="309">
        <v>22421747.669983301</v>
      </c>
      <c r="AG675" s="309">
        <v>3725134.6572771915</v>
      </c>
      <c r="AH675" s="309">
        <v>21887752.619873218</v>
      </c>
      <c r="AI675" s="309">
        <v>12589558.245833809</v>
      </c>
      <c r="AJ675" s="309">
        <v>10450680.017355908</v>
      </c>
      <c r="AK675" s="309">
        <v>16726191.557847748</v>
      </c>
      <c r="AL675" s="309">
        <v>433790.6102044399</v>
      </c>
      <c r="AM675" s="309">
        <v>3934256.7591368784</v>
      </c>
      <c r="AN675" s="309">
        <v>223160.44093404463</v>
      </c>
      <c r="AO675" s="309">
        <v>227000.45619038993</v>
      </c>
      <c r="AP675" s="309">
        <v>231026.09516381478</v>
      </c>
      <c r="AQ675" s="309">
        <v>228678.65318383477</v>
      </c>
      <c r="AR675" s="309">
        <v>226331.21120387479</v>
      </c>
      <c r="AS675" s="309">
        <v>223983.76922389478</v>
      </c>
      <c r="AT675" s="309">
        <v>220768.58946689477</v>
      </c>
      <c r="AU675" s="309">
        <v>218935.33234889476</v>
      </c>
      <c r="AV675" s="309">
        <v>1348613.6723253848</v>
      </c>
      <c r="AW675" s="309">
        <v>218809.11273356478</v>
      </c>
      <c r="AX675" s="309">
        <v>218809.11273356478</v>
      </c>
      <c r="AY675" s="309">
        <v>3349577.7781502646</v>
      </c>
      <c r="AZ675" s="309">
        <v>0</v>
      </c>
      <c r="BA675" s="309">
        <v>0</v>
      </c>
      <c r="BB675" s="309">
        <v>0</v>
      </c>
      <c r="BC675" s="309">
        <v>0</v>
      </c>
      <c r="BD675" s="309">
        <v>0</v>
      </c>
      <c r="BE675" s="309">
        <v>0</v>
      </c>
      <c r="BF675" s="309">
        <v>0</v>
      </c>
      <c r="BG675" s="309">
        <v>0</v>
      </c>
      <c r="BH675" s="309">
        <v>0</v>
      </c>
      <c r="BI675" s="309">
        <v>0</v>
      </c>
      <c r="BJ675" s="309">
        <v>0</v>
      </c>
      <c r="BK675" s="309">
        <v>0</v>
      </c>
    </row>
    <row r="676" spans="1:63">
      <c r="A676" s="167"/>
      <c r="B676" s="210" t="s">
        <v>28</v>
      </c>
      <c r="C676" s="254"/>
      <c r="D676" s="255"/>
      <c r="E676" s="255"/>
      <c r="F676" s="255"/>
      <c r="G676" s="255"/>
      <c r="H676" s="255"/>
      <c r="I676" s="255"/>
      <c r="J676" s="255"/>
      <c r="K676" s="255"/>
      <c r="L676" s="255"/>
      <c r="M676" s="255"/>
      <c r="N676" s="255"/>
      <c r="O676" s="255"/>
      <c r="P676" s="255"/>
      <c r="Q676" s="255"/>
      <c r="R676" s="255"/>
      <c r="S676" s="255"/>
      <c r="T676" s="255"/>
      <c r="U676" s="255">
        <v>13076653.872213999</v>
      </c>
      <c r="V676" s="255">
        <v>42856959.631765991</v>
      </c>
      <c r="W676" s="255">
        <v>20640197.301759399</v>
      </c>
      <c r="X676" s="255">
        <v>33806747.804027729</v>
      </c>
      <c r="Y676" s="255">
        <v>28007133.830219582</v>
      </c>
      <c r="Z676" s="255">
        <v>26889992.655999999</v>
      </c>
      <c r="AA676" s="255">
        <v>29949815.399505001</v>
      </c>
      <c r="AB676" s="255">
        <v>28778994.954021998</v>
      </c>
      <c r="AC676" s="255">
        <v>13446580.596172102</v>
      </c>
      <c r="AD676" s="255">
        <v>29379309.300000001</v>
      </c>
      <c r="AE676" s="255">
        <v>0</v>
      </c>
      <c r="AF676" s="255">
        <v>17395463.5</v>
      </c>
      <c r="AG676" s="255">
        <v>0</v>
      </c>
      <c r="AH676" s="255">
        <v>18114035.600000001</v>
      </c>
      <c r="AI676" s="255">
        <v>10056423.070590001</v>
      </c>
      <c r="AJ676" s="255">
        <v>8570366.3000000007</v>
      </c>
      <c r="AK676" s="255">
        <v>15180635.1564296</v>
      </c>
      <c r="AL676" s="255">
        <v>0</v>
      </c>
      <c r="AM676" s="255">
        <v>3649387.0391329001</v>
      </c>
      <c r="AN676" s="255">
        <v>0</v>
      </c>
      <c r="AO676" s="255">
        <v>0</v>
      </c>
      <c r="AP676" s="255">
        <v>0</v>
      </c>
      <c r="AQ676" s="255">
        <v>0</v>
      </c>
      <c r="AR676" s="255">
        <v>0</v>
      </c>
      <c r="AS676" s="255">
        <v>0</v>
      </c>
      <c r="AT676" s="255">
        <v>0</v>
      </c>
      <c r="AU676" s="255">
        <v>0</v>
      </c>
      <c r="AV676" s="255">
        <v>0</v>
      </c>
      <c r="AW676" s="255">
        <v>0</v>
      </c>
      <c r="AX676" s="255">
        <v>0</v>
      </c>
      <c r="AY676" s="255">
        <v>3138191.3832269004</v>
      </c>
      <c r="AZ676" s="255">
        <v>0</v>
      </c>
      <c r="BA676" s="255">
        <v>0</v>
      </c>
      <c r="BB676" s="255">
        <v>0</v>
      </c>
      <c r="BC676" s="255">
        <v>0</v>
      </c>
      <c r="BD676" s="255">
        <v>0</v>
      </c>
      <c r="BE676" s="255">
        <v>0</v>
      </c>
      <c r="BF676" s="255">
        <v>0</v>
      </c>
      <c r="BG676" s="255">
        <v>0</v>
      </c>
      <c r="BH676" s="255">
        <v>0</v>
      </c>
      <c r="BI676" s="255">
        <v>0</v>
      </c>
      <c r="BJ676" s="255">
        <v>0</v>
      </c>
      <c r="BK676" s="255">
        <v>0</v>
      </c>
    </row>
    <row r="677" spans="1:63">
      <c r="A677" s="168">
        <v>43678</v>
      </c>
      <c r="B677" s="213" t="s">
        <v>385</v>
      </c>
      <c r="C677" s="256"/>
      <c r="D677" s="257"/>
      <c r="E677" s="257"/>
      <c r="F677" s="257"/>
      <c r="G677" s="257"/>
      <c r="H677" s="257"/>
      <c r="I677" s="257"/>
      <c r="J677" s="257"/>
      <c r="K677" s="257"/>
      <c r="L677" s="257"/>
      <c r="M677" s="257"/>
      <c r="N677" s="257"/>
      <c r="O677" s="257"/>
      <c r="P677" s="257"/>
      <c r="Q677" s="257"/>
      <c r="R677" s="259"/>
      <c r="S677" s="259"/>
      <c r="T677" s="259"/>
      <c r="U677" s="259">
        <v>3569163.7523509795</v>
      </c>
      <c r="V677" s="259">
        <v>17997310.304372922</v>
      </c>
      <c r="W677" s="259">
        <v>17897259.262806129</v>
      </c>
      <c r="X677" s="259">
        <v>17234296.86939415</v>
      </c>
      <c r="Y677" s="259">
        <v>14996652.081171483</v>
      </c>
      <c r="Z677" s="259">
        <v>13564899.689521926</v>
      </c>
      <c r="AA677" s="259">
        <v>10942791.468609661</v>
      </c>
      <c r="AB677" s="259">
        <v>9345715.9976861775</v>
      </c>
      <c r="AC677" s="259">
        <v>7244975.3979604226</v>
      </c>
      <c r="AD677" s="259">
        <v>6725889.5528238211</v>
      </c>
      <c r="AE677" s="259">
        <v>5007319.8541188212</v>
      </c>
      <c r="AF677" s="259">
        <v>5053007.8659884771</v>
      </c>
      <c r="AG677" s="259">
        <v>3752091.583760025</v>
      </c>
      <c r="AH677" s="259">
        <v>3800914.1737480354</v>
      </c>
      <c r="AI677" s="259">
        <v>2584366.0725523708</v>
      </c>
      <c r="AJ677" s="259">
        <v>2169383.4626846286</v>
      </c>
      <c r="AK677" s="259">
        <v>1590475.53547103</v>
      </c>
      <c r="AL677" s="259">
        <v>443073.58978660329</v>
      </c>
      <c r="AM677" s="259">
        <v>452556.37804110721</v>
      </c>
      <c r="AN677" s="259">
        <v>223160.44093404463</v>
      </c>
      <c r="AO677" s="259">
        <v>227000.45619038993</v>
      </c>
      <c r="AP677" s="259">
        <v>231026.09516381478</v>
      </c>
      <c r="AQ677" s="259">
        <v>228678.65318383477</v>
      </c>
      <c r="AR677" s="259">
        <v>226331.21120387479</v>
      </c>
      <c r="AS677" s="259">
        <v>223983.76922389478</v>
      </c>
      <c r="AT677" s="259">
        <v>220768.58946689477</v>
      </c>
      <c r="AU677" s="259">
        <v>218935.33234889476</v>
      </c>
      <c r="AV677" s="259">
        <v>1348317.6432807148</v>
      </c>
      <c r="AW677" s="259">
        <v>218809.11273356478</v>
      </c>
      <c r="AX677" s="259">
        <v>218809.11273356478</v>
      </c>
      <c r="AY677" s="259">
        <v>218809.11273356481</v>
      </c>
      <c r="AZ677" s="259">
        <v>0</v>
      </c>
      <c r="BA677" s="259">
        <v>0</v>
      </c>
      <c r="BB677" s="259">
        <v>0</v>
      </c>
      <c r="BC677" s="259">
        <v>0</v>
      </c>
      <c r="BD677" s="259">
        <v>0</v>
      </c>
      <c r="BE677" s="259">
        <v>0</v>
      </c>
      <c r="BF677" s="259">
        <v>0</v>
      </c>
      <c r="BG677" s="259">
        <v>0</v>
      </c>
      <c r="BH677" s="259">
        <v>0</v>
      </c>
      <c r="BI677" s="259">
        <v>0</v>
      </c>
      <c r="BJ677" s="259">
        <v>0</v>
      </c>
      <c r="BK677" s="259">
        <v>0</v>
      </c>
    </row>
    <row r="678" spans="1:63">
      <c r="A678" s="169"/>
      <c r="B678" s="307" t="s">
        <v>29</v>
      </c>
      <c r="C678" s="308"/>
      <c r="D678" s="309"/>
      <c r="E678" s="309"/>
      <c r="F678" s="309"/>
      <c r="G678" s="309"/>
      <c r="H678" s="309"/>
      <c r="I678" s="309"/>
      <c r="J678" s="309"/>
      <c r="K678" s="309"/>
      <c r="L678" s="309"/>
      <c r="M678" s="309"/>
      <c r="N678" s="309"/>
      <c r="O678" s="309"/>
      <c r="P678" s="309"/>
      <c r="Q678" s="309"/>
      <c r="R678" s="309"/>
      <c r="S678" s="309"/>
      <c r="T678" s="309"/>
      <c r="U678" s="309">
        <v>16645817.624564979</v>
      </c>
      <c r="V678" s="309">
        <v>60854269.936138913</v>
      </c>
      <c r="W678" s="309">
        <v>38537456.564565524</v>
      </c>
      <c r="X678" s="309">
        <v>51041044.673421875</v>
      </c>
      <c r="Y678" s="309">
        <v>43003785.911391065</v>
      </c>
      <c r="Z678" s="309">
        <v>40454892.345521927</v>
      </c>
      <c r="AA678" s="309">
        <v>40892606.868114665</v>
      </c>
      <c r="AB678" s="309">
        <v>38124710.951708175</v>
      </c>
      <c r="AC678" s="309">
        <v>20691555.994132526</v>
      </c>
      <c r="AD678" s="309">
        <v>36105198.852823824</v>
      </c>
      <c r="AE678" s="309">
        <v>5007319.8541188212</v>
      </c>
      <c r="AF678" s="309">
        <v>22448471.365988478</v>
      </c>
      <c r="AG678" s="309">
        <v>3752091.583760025</v>
      </c>
      <c r="AH678" s="309">
        <v>21914949.773748036</v>
      </c>
      <c r="AI678" s="309">
        <v>12640789.143142372</v>
      </c>
      <c r="AJ678" s="309">
        <v>10739749.762684628</v>
      </c>
      <c r="AK678" s="309">
        <v>16771110.69190063</v>
      </c>
      <c r="AL678" s="309">
        <v>443073.58978660329</v>
      </c>
      <c r="AM678" s="309">
        <v>4101943.4171740073</v>
      </c>
      <c r="AN678" s="309">
        <v>223160.44093404463</v>
      </c>
      <c r="AO678" s="309">
        <v>227000.45619038993</v>
      </c>
      <c r="AP678" s="309">
        <v>231026.09516381478</v>
      </c>
      <c r="AQ678" s="309">
        <v>228678.65318383477</v>
      </c>
      <c r="AR678" s="309">
        <v>226331.21120387479</v>
      </c>
      <c r="AS678" s="309">
        <v>223983.76922389478</v>
      </c>
      <c r="AT678" s="309">
        <v>220768.58946689477</v>
      </c>
      <c r="AU678" s="309">
        <v>218935.33234889476</v>
      </c>
      <c r="AV678" s="309">
        <v>1348317.6432807148</v>
      </c>
      <c r="AW678" s="309">
        <v>218809.11273356478</v>
      </c>
      <c r="AX678" s="309">
        <v>218809.11273356478</v>
      </c>
      <c r="AY678" s="309">
        <v>3357000.4959604652</v>
      </c>
      <c r="AZ678" s="309">
        <v>0</v>
      </c>
      <c r="BA678" s="309">
        <v>0</v>
      </c>
      <c r="BB678" s="309">
        <v>0</v>
      </c>
      <c r="BC678" s="309">
        <v>0</v>
      </c>
      <c r="BD678" s="309">
        <v>0</v>
      </c>
      <c r="BE678" s="309">
        <v>0</v>
      </c>
      <c r="BF678" s="309">
        <v>0</v>
      </c>
      <c r="BG678" s="309">
        <v>0</v>
      </c>
      <c r="BH678" s="309">
        <v>0</v>
      </c>
      <c r="BI678" s="309">
        <v>0</v>
      </c>
      <c r="BJ678" s="309">
        <v>0</v>
      </c>
      <c r="BK678" s="309">
        <v>0</v>
      </c>
    </row>
    <row r="679" spans="1:63">
      <c r="A679" s="167"/>
      <c r="B679" s="210" t="s">
        <v>28</v>
      </c>
      <c r="C679" s="254"/>
      <c r="D679" s="255"/>
      <c r="E679" s="255"/>
      <c r="F679" s="255"/>
      <c r="G679" s="255"/>
      <c r="H679" s="255"/>
      <c r="I679" s="255"/>
      <c r="J679" s="255"/>
      <c r="K679" s="255"/>
      <c r="L679" s="255"/>
      <c r="M679" s="255"/>
      <c r="N679" s="255"/>
      <c r="O679" s="255"/>
      <c r="P679" s="255"/>
      <c r="Q679" s="255"/>
      <c r="R679" s="255"/>
      <c r="S679" s="255"/>
      <c r="T679" s="255"/>
      <c r="U679" s="255">
        <v>4315839.9802139997</v>
      </c>
      <c r="V679" s="255">
        <v>41070615.935874999</v>
      </c>
      <c r="W679" s="255">
        <v>20672910.048689198</v>
      </c>
      <c r="X679" s="255">
        <v>33806747.804027729</v>
      </c>
      <c r="Y679" s="255">
        <v>28059440.282918409</v>
      </c>
      <c r="Z679" s="255">
        <v>26889992.655999999</v>
      </c>
      <c r="AA679" s="255">
        <v>30050853.22659</v>
      </c>
      <c r="AB679" s="255">
        <v>28778994.954021998</v>
      </c>
      <c r="AC679" s="255">
        <v>13670070.090722598</v>
      </c>
      <c r="AD679" s="255">
        <v>30032321.699999999</v>
      </c>
      <c r="AE679" s="255">
        <v>0</v>
      </c>
      <c r="AF679" s="255">
        <v>17586453.699999999</v>
      </c>
      <c r="AG679" s="255">
        <v>0</v>
      </c>
      <c r="AH679" s="255">
        <v>18446225.300000001</v>
      </c>
      <c r="AI679" s="255">
        <v>10217657.227485999</v>
      </c>
      <c r="AJ679" s="255">
        <v>8960930.1999999993</v>
      </c>
      <c r="AK679" s="255">
        <v>15244633.978463</v>
      </c>
      <c r="AL679" s="255">
        <v>0</v>
      </c>
      <c r="AM679" s="255">
        <v>3789666.6222103997</v>
      </c>
      <c r="AN679" s="255">
        <v>0</v>
      </c>
      <c r="AO679" s="255">
        <v>0</v>
      </c>
      <c r="AP679" s="255">
        <v>0</v>
      </c>
      <c r="AQ679" s="255">
        <v>0</v>
      </c>
      <c r="AR679" s="255">
        <v>0</v>
      </c>
      <c r="AS679" s="255">
        <v>0</v>
      </c>
      <c r="AT679" s="255">
        <v>0</v>
      </c>
      <c r="AU679" s="255">
        <v>0</v>
      </c>
      <c r="AV679" s="255">
        <v>0</v>
      </c>
      <c r="AW679" s="255">
        <v>0</v>
      </c>
      <c r="AX679" s="255">
        <v>0</v>
      </c>
      <c r="AY679" s="255">
        <v>3143165.1408541999</v>
      </c>
      <c r="AZ679" s="255">
        <v>0</v>
      </c>
      <c r="BA679" s="255">
        <v>0</v>
      </c>
      <c r="BB679" s="255">
        <v>0</v>
      </c>
      <c r="BC679" s="255">
        <v>0</v>
      </c>
      <c r="BD679" s="255">
        <v>0</v>
      </c>
      <c r="BE679" s="255">
        <v>0</v>
      </c>
      <c r="BF679" s="255">
        <v>0</v>
      </c>
      <c r="BG679" s="255">
        <v>0</v>
      </c>
      <c r="BH679" s="255">
        <v>0</v>
      </c>
      <c r="BI679" s="255">
        <v>0</v>
      </c>
      <c r="BJ679" s="255">
        <v>0</v>
      </c>
      <c r="BK679" s="255">
        <v>0</v>
      </c>
    </row>
    <row r="680" spans="1:63">
      <c r="A680" s="168">
        <v>43738</v>
      </c>
      <c r="B680" s="213" t="s">
        <v>385</v>
      </c>
      <c r="C680" s="256"/>
      <c r="D680" s="257"/>
      <c r="E680" s="257"/>
      <c r="F680" s="257"/>
      <c r="G680" s="257"/>
      <c r="H680" s="257"/>
      <c r="I680" s="257"/>
      <c r="J680" s="257"/>
      <c r="K680" s="257"/>
      <c r="L680" s="257"/>
      <c r="M680" s="257"/>
      <c r="N680" s="257"/>
      <c r="O680" s="257"/>
      <c r="P680" s="257"/>
      <c r="Q680" s="257"/>
      <c r="R680" s="259"/>
      <c r="S680" s="259"/>
      <c r="T680" s="259"/>
      <c r="U680" s="259">
        <v>1835246.0436918801</v>
      </c>
      <c r="V680" s="259">
        <v>19383310.304372922</v>
      </c>
      <c r="W680" s="259">
        <v>17897259.262806132</v>
      </c>
      <c r="X680" s="259">
        <v>17234296.86939415</v>
      </c>
      <c r="Y680" s="259">
        <v>14996652.081171483</v>
      </c>
      <c r="Z680" s="259">
        <v>13564899.689521926</v>
      </c>
      <c r="AA680" s="259">
        <v>10942791.468609657</v>
      </c>
      <c r="AB680" s="259">
        <v>9345715.9976861775</v>
      </c>
      <c r="AC680" s="259">
        <v>7244975.3979604226</v>
      </c>
      <c r="AD680" s="259">
        <v>6725889.5528238211</v>
      </c>
      <c r="AE680" s="259">
        <v>5007319.8541188212</v>
      </c>
      <c r="AF680" s="259">
        <v>5053007.8659884809</v>
      </c>
      <c r="AG680" s="259">
        <v>3752091.583760025</v>
      </c>
      <c r="AH680" s="259">
        <v>3800914.1737480354</v>
      </c>
      <c r="AI680" s="259">
        <v>2584366.0725523708</v>
      </c>
      <c r="AJ680" s="259">
        <v>2169383.4626846286</v>
      </c>
      <c r="AK680" s="259">
        <v>1590475.53547103</v>
      </c>
      <c r="AL680" s="259">
        <v>443073.58978660329</v>
      </c>
      <c r="AM680" s="259">
        <v>452556.37804110767</v>
      </c>
      <c r="AN680" s="259">
        <v>223160.44093404463</v>
      </c>
      <c r="AO680" s="259">
        <v>227000.45619038993</v>
      </c>
      <c r="AP680" s="259">
        <v>231026.09516381478</v>
      </c>
      <c r="AQ680" s="259">
        <v>228678.65318383477</v>
      </c>
      <c r="AR680" s="259">
        <v>226331.21120387479</v>
      </c>
      <c r="AS680" s="259">
        <v>223983.76922389478</v>
      </c>
      <c r="AT680" s="259">
        <v>220768.58946689477</v>
      </c>
      <c r="AU680" s="259">
        <v>218935.33234889476</v>
      </c>
      <c r="AV680" s="259">
        <v>1348311.1458614348</v>
      </c>
      <c r="AW680" s="259">
        <v>218809.11273356478</v>
      </c>
      <c r="AX680" s="259">
        <v>218809.11273356478</v>
      </c>
      <c r="AY680" s="259">
        <v>218809.11273356481</v>
      </c>
      <c r="AZ680" s="259">
        <v>0</v>
      </c>
      <c r="BA680" s="259">
        <v>0</v>
      </c>
      <c r="BB680" s="259">
        <v>0</v>
      </c>
      <c r="BC680" s="259">
        <v>0</v>
      </c>
      <c r="BD680" s="259">
        <v>0</v>
      </c>
      <c r="BE680" s="259">
        <v>0</v>
      </c>
      <c r="BF680" s="259">
        <v>0</v>
      </c>
      <c r="BG680" s="259">
        <v>0</v>
      </c>
      <c r="BH680" s="259">
        <v>0</v>
      </c>
      <c r="BI680" s="259">
        <v>0</v>
      </c>
      <c r="BJ680" s="259">
        <v>0</v>
      </c>
      <c r="BK680" s="259">
        <v>0</v>
      </c>
    </row>
    <row r="681" spans="1:63">
      <c r="A681" s="169"/>
      <c r="B681" s="307" t="s">
        <v>29</v>
      </c>
      <c r="C681" s="308"/>
      <c r="D681" s="309"/>
      <c r="E681" s="309"/>
      <c r="F681" s="309"/>
      <c r="G681" s="309"/>
      <c r="H681" s="309"/>
      <c r="I681" s="309"/>
      <c r="J681" s="309"/>
      <c r="K681" s="309"/>
      <c r="L681" s="309"/>
      <c r="M681" s="309"/>
      <c r="N681" s="309"/>
      <c r="O681" s="309"/>
      <c r="P681" s="309"/>
      <c r="Q681" s="309"/>
      <c r="R681" s="309"/>
      <c r="S681" s="309"/>
      <c r="T681" s="309"/>
      <c r="U681" s="309">
        <v>6151086.0239058798</v>
      </c>
      <c r="V681" s="309">
        <v>60453926.24024792</v>
      </c>
      <c r="W681" s="309">
        <v>38570169.311495334</v>
      </c>
      <c r="X681" s="309">
        <v>51041044.673421875</v>
      </c>
      <c r="Y681" s="309">
        <v>43056092.364089891</v>
      </c>
      <c r="Z681" s="309">
        <v>40454892.345521927</v>
      </c>
      <c r="AA681" s="309">
        <v>40993644.695199654</v>
      </c>
      <c r="AB681" s="309">
        <v>38124710.951708175</v>
      </c>
      <c r="AC681" s="309">
        <v>20915045.488683023</v>
      </c>
      <c r="AD681" s="309">
        <v>36758211.252823822</v>
      </c>
      <c r="AE681" s="309">
        <v>5007319.8541188212</v>
      </c>
      <c r="AF681" s="309">
        <v>22639461.565988481</v>
      </c>
      <c r="AG681" s="309">
        <v>3752091.583760025</v>
      </c>
      <c r="AH681" s="309">
        <v>22247139.473748036</v>
      </c>
      <c r="AI681" s="309">
        <v>12802023.300038371</v>
      </c>
      <c r="AJ681" s="309">
        <v>11130313.662684627</v>
      </c>
      <c r="AK681" s="309">
        <v>16835109.513934031</v>
      </c>
      <c r="AL681" s="309">
        <v>443073.58978660329</v>
      </c>
      <c r="AM681" s="309">
        <v>4242223.0002515074</v>
      </c>
      <c r="AN681" s="309">
        <v>223160.44093404463</v>
      </c>
      <c r="AO681" s="309">
        <v>227000.45619038993</v>
      </c>
      <c r="AP681" s="309">
        <v>231026.09516381478</v>
      </c>
      <c r="AQ681" s="309">
        <v>228678.65318383477</v>
      </c>
      <c r="AR681" s="309">
        <v>226331.21120387479</v>
      </c>
      <c r="AS681" s="309">
        <v>223983.76922389478</v>
      </c>
      <c r="AT681" s="309">
        <v>220768.58946689477</v>
      </c>
      <c r="AU681" s="309">
        <v>218935.33234889476</v>
      </c>
      <c r="AV681" s="309">
        <v>1348311.1458614348</v>
      </c>
      <c r="AW681" s="309">
        <v>218809.11273356478</v>
      </c>
      <c r="AX681" s="309">
        <v>218809.11273356478</v>
      </c>
      <c r="AY681" s="309">
        <v>3361974.2535877647</v>
      </c>
      <c r="AZ681" s="309">
        <v>0</v>
      </c>
      <c r="BA681" s="309">
        <v>0</v>
      </c>
      <c r="BB681" s="309">
        <v>0</v>
      </c>
      <c r="BC681" s="309">
        <v>0</v>
      </c>
      <c r="BD681" s="309">
        <v>0</v>
      </c>
      <c r="BE681" s="309">
        <v>0</v>
      </c>
      <c r="BF681" s="309">
        <v>0</v>
      </c>
      <c r="BG681" s="309">
        <v>0</v>
      </c>
      <c r="BH681" s="309">
        <v>0</v>
      </c>
      <c r="BI681" s="309">
        <v>0</v>
      </c>
      <c r="BJ681" s="309">
        <v>0</v>
      </c>
      <c r="BK681" s="309">
        <v>0</v>
      </c>
    </row>
    <row r="682" spans="1:63">
      <c r="A682" s="167"/>
      <c r="B682" s="210" t="s">
        <v>28</v>
      </c>
      <c r="C682" s="254"/>
      <c r="D682" s="255"/>
      <c r="E682" s="255"/>
      <c r="F682" s="255"/>
      <c r="G682" s="255"/>
      <c r="H682" s="255"/>
      <c r="I682" s="255"/>
      <c r="J682" s="255"/>
      <c r="K682" s="255"/>
      <c r="L682" s="255"/>
      <c r="M682" s="255"/>
      <c r="N682" s="255"/>
      <c r="O682" s="255"/>
      <c r="P682" s="255"/>
      <c r="Q682" s="255"/>
      <c r="R682" s="255"/>
      <c r="S682" s="255"/>
      <c r="T682" s="255"/>
      <c r="U682" s="255">
        <v>4307270.4618999995</v>
      </c>
      <c r="V682" s="255">
        <v>42917594.645463996</v>
      </c>
      <c r="W682" s="255">
        <v>15741664.273430899</v>
      </c>
      <c r="X682" s="255">
        <v>33806020.304545231</v>
      </c>
      <c r="Y682" s="255">
        <v>28113219.279203556</v>
      </c>
      <c r="Z682" s="255">
        <v>26889992.655999999</v>
      </c>
      <c r="AA682" s="255">
        <v>30116012.319334999</v>
      </c>
      <c r="AB682" s="255">
        <v>28778994.954021998</v>
      </c>
      <c r="AC682" s="255">
        <v>16916323.5731874</v>
      </c>
      <c r="AD682" s="255">
        <v>30101627.399999999</v>
      </c>
      <c r="AE682" s="255">
        <v>0</v>
      </c>
      <c r="AF682" s="255">
        <v>17586453.699999999</v>
      </c>
      <c r="AG682" s="255">
        <v>0</v>
      </c>
      <c r="AH682" s="255">
        <v>18446225.300000001</v>
      </c>
      <c r="AI682" s="255">
        <v>10234387.016859001</v>
      </c>
      <c r="AJ682" s="255">
        <v>9107935.1999999993</v>
      </c>
      <c r="AK682" s="255">
        <v>15269594.6431095</v>
      </c>
      <c r="AL682" s="255">
        <v>0</v>
      </c>
      <c r="AM682" s="255">
        <v>5382677.4111170992</v>
      </c>
      <c r="AN682" s="255">
        <v>0</v>
      </c>
      <c r="AO682" s="255">
        <v>0</v>
      </c>
      <c r="AP682" s="255">
        <v>0</v>
      </c>
      <c r="AQ682" s="255">
        <v>0</v>
      </c>
      <c r="AR682" s="255">
        <v>0</v>
      </c>
      <c r="AS682" s="255">
        <v>0</v>
      </c>
      <c r="AT682" s="255">
        <v>0</v>
      </c>
      <c r="AU682" s="255">
        <v>0</v>
      </c>
      <c r="AV682" s="255">
        <v>0</v>
      </c>
      <c r="AW682" s="255">
        <v>0</v>
      </c>
      <c r="AX682" s="255">
        <v>0</v>
      </c>
      <c r="AY682" s="255">
        <v>3148311.5740923001</v>
      </c>
      <c r="AZ682" s="255">
        <v>0</v>
      </c>
      <c r="BA682" s="255">
        <v>0</v>
      </c>
      <c r="BB682" s="255">
        <v>0</v>
      </c>
      <c r="BC682" s="255">
        <v>0</v>
      </c>
      <c r="BD682" s="255">
        <v>0</v>
      </c>
      <c r="BE682" s="255">
        <v>0</v>
      </c>
      <c r="BF682" s="255">
        <v>0</v>
      </c>
      <c r="BG682" s="255">
        <v>0</v>
      </c>
      <c r="BH682" s="255">
        <v>0</v>
      </c>
      <c r="BI682" s="255">
        <v>0</v>
      </c>
      <c r="BJ682" s="255">
        <v>0</v>
      </c>
      <c r="BK682" s="255">
        <v>0</v>
      </c>
    </row>
    <row r="683" spans="1:63">
      <c r="A683" s="168">
        <v>43769</v>
      </c>
      <c r="B683" s="213" t="s">
        <v>385</v>
      </c>
      <c r="C683" s="256"/>
      <c r="D683" s="257"/>
      <c r="E683" s="257"/>
      <c r="F683" s="257"/>
      <c r="G683" s="257"/>
      <c r="H683" s="257"/>
      <c r="I683" s="257"/>
      <c r="J683" s="257"/>
      <c r="K683" s="257"/>
      <c r="L683" s="257"/>
      <c r="M683" s="257"/>
      <c r="N683" s="257"/>
      <c r="O683" s="257"/>
      <c r="P683" s="257"/>
      <c r="Q683" s="257"/>
      <c r="R683" s="259"/>
      <c r="S683" s="259"/>
      <c r="T683" s="259"/>
      <c r="U683" s="259">
        <v>1221390.1887598101</v>
      </c>
      <c r="V683" s="259">
        <v>19083085.21014335</v>
      </c>
      <c r="W683" s="259">
        <v>18037368.625414673</v>
      </c>
      <c r="X683" s="259">
        <v>17563933.643000212</v>
      </c>
      <c r="Y683" s="259">
        <v>15332319.167650722</v>
      </c>
      <c r="Z683" s="259">
        <v>13905913.032826351</v>
      </c>
      <c r="AA683" s="259">
        <v>11290176.421878222</v>
      </c>
      <c r="AB683" s="259">
        <v>9691405.2154677957</v>
      </c>
      <c r="AC683" s="259">
        <v>7597424.2567529958</v>
      </c>
      <c r="AD683" s="259">
        <v>6938320.5263524335</v>
      </c>
      <c r="AE683" s="259">
        <v>5179173.6353307907</v>
      </c>
      <c r="AF683" s="259">
        <v>5227706.3976943074</v>
      </c>
      <c r="AG683" s="259">
        <v>3914918.4679745291</v>
      </c>
      <c r="AH683" s="259">
        <v>3966759.0537614753</v>
      </c>
      <c r="AI683" s="259">
        <v>2730066.2092387145</v>
      </c>
      <c r="AJ683" s="259">
        <v>2311508.7055226089</v>
      </c>
      <c r="AK683" s="259">
        <v>1696721.5779866488</v>
      </c>
      <c r="AL683" s="259">
        <v>549378.00182658935</v>
      </c>
      <c r="AM683" s="259">
        <v>562049.92244229279</v>
      </c>
      <c r="AN683" s="259">
        <v>223160.44093404463</v>
      </c>
      <c r="AO683" s="259">
        <v>227000.45619038993</v>
      </c>
      <c r="AP683" s="259">
        <v>231026.09516381478</v>
      </c>
      <c r="AQ683" s="259">
        <v>228678.65318383477</v>
      </c>
      <c r="AR683" s="259">
        <v>226331.21120387479</v>
      </c>
      <c r="AS683" s="259">
        <v>223983.76922389478</v>
      </c>
      <c r="AT683" s="259">
        <v>220768.58946689477</v>
      </c>
      <c r="AU683" s="259">
        <v>218935.33234889476</v>
      </c>
      <c r="AV683" s="259">
        <v>1347548.8255406148</v>
      </c>
      <c r="AW683" s="259">
        <v>218809.11273356478</v>
      </c>
      <c r="AX683" s="259">
        <v>218809.11273356478</v>
      </c>
      <c r="AY683" s="259">
        <v>218809.11273356481</v>
      </c>
      <c r="AZ683" s="259">
        <v>0</v>
      </c>
      <c r="BA683" s="259">
        <v>0</v>
      </c>
      <c r="BB683" s="259">
        <v>0</v>
      </c>
      <c r="BC683" s="259">
        <v>0</v>
      </c>
      <c r="BD683" s="259">
        <v>0</v>
      </c>
      <c r="BE683" s="259">
        <v>0</v>
      </c>
      <c r="BF683" s="259">
        <v>0</v>
      </c>
      <c r="BG683" s="259">
        <v>0</v>
      </c>
      <c r="BH683" s="259">
        <v>0</v>
      </c>
      <c r="BI683" s="259">
        <v>0</v>
      </c>
      <c r="BJ683" s="259">
        <v>0</v>
      </c>
      <c r="BK683" s="259">
        <v>0</v>
      </c>
    </row>
    <row r="684" spans="1:63">
      <c r="A684" s="169"/>
      <c r="B684" s="307" t="s">
        <v>29</v>
      </c>
      <c r="C684" s="308"/>
      <c r="D684" s="309"/>
      <c r="E684" s="309"/>
      <c r="F684" s="309"/>
      <c r="G684" s="309"/>
      <c r="H684" s="309"/>
      <c r="I684" s="309"/>
      <c r="J684" s="309"/>
      <c r="K684" s="309"/>
      <c r="L684" s="309"/>
      <c r="M684" s="309"/>
      <c r="N684" s="309"/>
      <c r="O684" s="309"/>
      <c r="P684" s="309"/>
      <c r="Q684" s="309"/>
      <c r="R684" s="309"/>
      <c r="S684" s="309"/>
      <c r="T684" s="309"/>
      <c r="U684" s="309">
        <v>5528660.6506598098</v>
      </c>
      <c r="V684" s="309">
        <v>62000679.855607346</v>
      </c>
      <c r="W684" s="309">
        <v>33779032.898845568</v>
      </c>
      <c r="X684" s="309">
        <v>51369953.947545439</v>
      </c>
      <c r="Y684" s="309">
        <v>43445538.446854278</v>
      </c>
      <c r="Z684" s="309">
        <v>40795905.688826352</v>
      </c>
      <c r="AA684" s="309">
        <v>41406188.741213217</v>
      </c>
      <c r="AB684" s="309">
        <v>38470400.169489793</v>
      </c>
      <c r="AC684" s="309">
        <v>24513747.829940394</v>
      </c>
      <c r="AD684" s="309">
        <v>37039947.926352434</v>
      </c>
      <c r="AE684" s="309">
        <v>5179173.6353307907</v>
      </c>
      <c r="AF684" s="309">
        <v>22814160.097694308</v>
      </c>
      <c r="AG684" s="309">
        <v>3914918.4679745291</v>
      </c>
      <c r="AH684" s="309">
        <v>22412984.353761476</v>
      </c>
      <c r="AI684" s="309">
        <v>12964453.226097714</v>
      </c>
      <c r="AJ684" s="309">
        <v>11419443.905522607</v>
      </c>
      <c r="AK684" s="309">
        <v>16966316.221096151</v>
      </c>
      <c r="AL684" s="309">
        <v>549378.00182658935</v>
      </c>
      <c r="AM684" s="309">
        <v>5944727.333559392</v>
      </c>
      <c r="AN684" s="309">
        <v>223160.44093404463</v>
      </c>
      <c r="AO684" s="309">
        <v>227000.45619038993</v>
      </c>
      <c r="AP684" s="309">
        <v>231026.09516381478</v>
      </c>
      <c r="AQ684" s="309">
        <v>228678.65318383477</v>
      </c>
      <c r="AR684" s="309">
        <v>226331.21120387479</v>
      </c>
      <c r="AS684" s="309">
        <v>223983.76922389478</v>
      </c>
      <c r="AT684" s="309">
        <v>220768.58946689477</v>
      </c>
      <c r="AU684" s="309">
        <v>218935.33234889476</v>
      </c>
      <c r="AV684" s="309">
        <v>1347548.8255406148</v>
      </c>
      <c r="AW684" s="309">
        <v>218809.11273356478</v>
      </c>
      <c r="AX684" s="309">
        <v>218809.11273356478</v>
      </c>
      <c r="AY684" s="309">
        <v>3367120.6868258649</v>
      </c>
      <c r="AZ684" s="309">
        <v>0</v>
      </c>
      <c r="BA684" s="309">
        <v>0</v>
      </c>
      <c r="BB684" s="309">
        <v>0</v>
      </c>
      <c r="BC684" s="309">
        <v>0</v>
      </c>
      <c r="BD684" s="309">
        <v>0</v>
      </c>
      <c r="BE684" s="309">
        <v>0</v>
      </c>
      <c r="BF684" s="309">
        <v>0</v>
      </c>
      <c r="BG684" s="309">
        <v>0</v>
      </c>
      <c r="BH684" s="309">
        <v>0</v>
      </c>
      <c r="BI684" s="309">
        <v>0</v>
      </c>
      <c r="BJ684" s="309">
        <v>0</v>
      </c>
      <c r="BK684" s="309">
        <v>0</v>
      </c>
    </row>
    <row r="685" spans="1:63">
      <c r="A685" s="167"/>
      <c r="B685" s="210" t="s">
        <v>28</v>
      </c>
      <c r="C685" s="254"/>
      <c r="D685" s="255"/>
      <c r="E685" s="255"/>
      <c r="F685" s="255"/>
      <c r="G685" s="255"/>
      <c r="H685" s="255"/>
      <c r="I685" s="255"/>
      <c r="J685" s="255"/>
      <c r="K685" s="255"/>
      <c r="L685" s="255"/>
      <c r="M685" s="255"/>
      <c r="N685" s="255"/>
      <c r="O685" s="255"/>
      <c r="P685" s="255"/>
      <c r="Q685" s="255"/>
      <c r="R685" s="255"/>
      <c r="S685" s="255"/>
      <c r="T685" s="255"/>
      <c r="U685" s="255">
        <v>4312751.1183549995</v>
      </c>
      <c r="V685" s="255">
        <v>44172594.545463994</v>
      </c>
      <c r="W685" s="255">
        <v>15770931.641799001</v>
      </c>
      <c r="X685" s="255">
        <v>33806020.304545231</v>
      </c>
      <c r="Y685" s="255">
        <v>28172141.592465267</v>
      </c>
      <c r="Z685" s="255">
        <v>26889992.655999999</v>
      </c>
      <c r="AA685" s="255">
        <v>30263726.049849998</v>
      </c>
      <c r="AB685" s="255">
        <v>28778994.954021998</v>
      </c>
      <c r="AC685" s="255">
        <v>16963326.846432</v>
      </c>
      <c r="AD685" s="255">
        <v>30707631.199999999</v>
      </c>
      <c r="AE685" s="255">
        <v>0</v>
      </c>
      <c r="AF685" s="255">
        <v>17774372.699999999</v>
      </c>
      <c r="AG685" s="255">
        <v>0</v>
      </c>
      <c r="AH685" s="255">
        <v>18774161.199999999</v>
      </c>
      <c r="AI685" s="255">
        <v>10253415.208490001</v>
      </c>
      <c r="AJ685" s="255">
        <v>9502897.3000000007</v>
      </c>
      <c r="AK685" s="255">
        <v>15297984.499045001</v>
      </c>
      <c r="AL685" s="255">
        <v>0</v>
      </c>
      <c r="AM685" s="255">
        <v>5434928.6323180003</v>
      </c>
      <c r="AN685" s="255">
        <v>0</v>
      </c>
      <c r="AO685" s="255">
        <v>0</v>
      </c>
      <c r="AP685" s="255">
        <v>0</v>
      </c>
      <c r="AQ685" s="255">
        <v>0</v>
      </c>
      <c r="AR685" s="255">
        <v>0</v>
      </c>
      <c r="AS685" s="255">
        <v>0</v>
      </c>
      <c r="AT685" s="255">
        <v>0</v>
      </c>
      <c r="AU685" s="255">
        <v>0</v>
      </c>
      <c r="AV685" s="255">
        <v>0</v>
      </c>
      <c r="AW685" s="255">
        <v>0</v>
      </c>
      <c r="AX685" s="255">
        <v>0</v>
      </c>
      <c r="AY685" s="255">
        <v>3154165.0439530006</v>
      </c>
      <c r="AZ685" s="255">
        <v>0</v>
      </c>
      <c r="BA685" s="255">
        <v>0</v>
      </c>
      <c r="BB685" s="255">
        <v>0</v>
      </c>
      <c r="BC685" s="255">
        <v>0</v>
      </c>
      <c r="BD685" s="255">
        <v>0</v>
      </c>
      <c r="BE685" s="255">
        <v>0</v>
      </c>
      <c r="BF685" s="255">
        <v>0</v>
      </c>
      <c r="BG685" s="255">
        <v>0</v>
      </c>
      <c r="BH685" s="255">
        <v>0</v>
      </c>
      <c r="BI685" s="255">
        <v>0</v>
      </c>
      <c r="BJ685" s="255">
        <v>0</v>
      </c>
      <c r="BK685" s="255">
        <v>0</v>
      </c>
    </row>
    <row r="686" spans="1:63">
      <c r="A686" s="168">
        <v>43799</v>
      </c>
      <c r="B686" s="213" t="s">
        <v>385</v>
      </c>
      <c r="C686" s="256"/>
      <c r="D686" s="257"/>
      <c r="E686" s="257"/>
      <c r="F686" s="257"/>
      <c r="G686" s="257"/>
      <c r="H686" s="257"/>
      <c r="I686" s="257"/>
      <c r="J686" s="257"/>
      <c r="K686" s="257"/>
      <c r="L686" s="257"/>
      <c r="M686" s="257"/>
      <c r="N686" s="257"/>
      <c r="O686" s="257"/>
      <c r="P686" s="257"/>
      <c r="Q686" s="257"/>
      <c r="R686" s="259"/>
      <c r="S686" s="259"/>
      <c r="T686" s="259"/>
      <c r="U686" s="259">
        <v>1054.5684092299998</v>
      </c>
      <c r="V686" s="259">
        <v>19196072.122505177</v>
      </c>
      <c r="W686" s="259">
        <v>18150429.694299847</v>
      </c>
      <c r="X686" s="259">
        <v>17677071.093104441</v>
      </c>
      <c r="Y686" s="259">
        <v>15445535.290410578</v>
      </c>
      <c r="Z686" s="259">
        <v>14018845.875579895</v>
      </c>
      <c r="AA686" s="259">
        <v>11403181.799066871</v>
      </c>
      <c r="AB686" s="259">
        <v>9796484.4906246066</v>
      </c>
      <c r="AC686" s="259">
        <v>7702580.4836920071</v>
      </c>
      <c r="AD686" s="259">
        <v>7042890.1331650782</v>
      </c>
      <c r="AE686" s="259">
        <v>5247444.6758753173</v>
      </c>
      <c r="AF686" s="259">
        <v>5296040.9498226708</v>
      </c>
      <c r="AG686" s="259">
        <v>3968754.7145342417</v>
      </c>
      <c r="AH686" s="259">
        <v>4020662.6797604789</v>
      </c>
      <c r="AI686" s="259">
        <v>2761083.7230601879</v>
      </c>
      <c r="AJ686" s="259">
        <v>2342597.7021912271</v>
      </c>
      <c r="AK686" s="259">
        <v>1699249.4497378287</v>
      </c>
      <c r="AL686" s="259">
        <v>551981.70973030175</v>
      </c>
      <c r="AM686" s="259">
        <v>564731.74158311635</v>
      </c>
      <c r="AN686" s="259">
        <v>223160.44093404463</v>
      </c>
      <c r="AO686" s="259">
        <v>227000.45619038993</v>
      </c>
      <c r="AP686" s="259">
        <v>231026.09516381478</v>
      </c>
      <c r="AQ686" s="259">
        <v>228678.65318383477</v>
      </c>
      <c r="AR686" s="259">
        <v>226331.21120387479</v>
      </c>
      <c r="AS686" s="259">
        <v>223983.76922389478</v>
      </c>
      <c r="AT686" s="259">
        <v>220768.58946689477</v>
      </c>
      <c r="AU686" s="259">
        <v>218935.33234889476</v>
      </c>
      <c r="AV686" s="259">
        <v>1347206.5774556147</v>
      </c>
      <c r="AW686" s="259">
        <v>218809.11273356478</v>
      </c>
      <c r="AX686" s="259">
        <v>218809.11273356478</v>
      </c>
      <c r="AY686" s="259">
        <v>218809.11273356481</v>
      </c>
      <c r="AZ686" s="259">
        <v>0</v>
      </c>
      <c r="BA686" s="259">
        <v>0</v>
      </c>
      <c r="BB686" s="259">
        <v>0</v>
      </c>
      <c r="BC686" s="259">
        <v>0</v>
      </c>
      <c r="BD686" s="259">
        <v>0</v>
      </c>
      <c r="BE686" s="259">
        <v>0</v>
      </c>
      <c r="BF686" s="259">
        <v>0</v>
      </c>
      <c r="BG686" s="259">
        <v>0</v>
      </c>
      <c r="BH686" s="259">
        <v>0</v>
      </c>
      <c r="BI686" s="259">
        <v>0</v>
      </c>
      <c r="BJ686" s="259">
        <v>0</v>
      </c>
      <c r="BK686" s="259">
        <v>0</v>
      </c>
    </row>
    <row r="687" spans="1:63">
      <c r="A687" s="169"/>
      <c r="B687" s="307" t="s">
        <v>29</v>
      </c>
      <c r="C687" s="308"/>
      <c r="D687" s="309"/>
      <c r="E687" s="309"/>
      <c r="F687" s="309"/>
      <c r="G687" s="309"/>
      <c r="H687" s="309"/>
      <c r="I687" s="309"/>
      <c r="J687" s="309"/>
      <c r="K687" s="309"/>
      <c r="L687" s="309"/>
      <c r="M687" s="309"/>
      <c r="N687" s="309"/>
      <c r="O687" s="309"/>
      <c r="P687" s="309"/>
      <c r="Q687" s="309"/>
      <c r="R687" s="309"/>
      <c r="S687" s="309"/>
      <c r="T687" s="309"/>
      <c r="U687" s="309">
        <v>4313805.6867642291</v>
      </c>
      <c r="V687" s="309">
        <v>63368666.667969167</v>
      </c>
      <c r="W687" s="309">
        <v>33921361.33609885</v>
      </c>
      <c r="X687" s="309">
        <v>51483091.397649676</v>
      </c>
      <c r="Y687" s="309">
        <v>43617676.882875845</v>
      </c>
      <c r="Z687" s="309">
        <v>40908838.531579897</v>
      </c>
      <c r="AA687" s="309">
        <v>41666907.848916873</v>
      </c>
      <c r="AB687" s="309">
        <v>38575479.444646604</v>
      </c>
      <c r="AC687" s="309">
        <v>24665907.330124006</v>
      </c>
      <c r="AD687" s="309">
        <v>37750521.333165079</v>
      </c>
      <c r="AE687" s="309">
        <v>5247444.6758753173</v>
      </c>
      <c r="AF687" s="309">
        <v>23070413.649822671</v>
      </c>
      <c r="AG687" s="309">
        <v>3968754.7145342417</v>
      </c>
      <c r="AH687" s="309">
        <v>22794823.879760478</v>
      </c>
      <c r="AI687" s="309">
        <v>13014498.93155019</v>
      </c>
      <c r="AJ687" s="309">
        <v>11845495.002191227</v>
      </c>
      <c r="AK687" s="309">
        <v>16997233.948782831</v>
      </c>
      <c r="AL687" s="309">
        <v>551981.70973030175</v>
      </c>
      <c r="AM687" s="309">
        <v>5999660.3739011167</v>
      </c>
      <c r="AN687" s="309">
        <v>223160.44093404463</v>
      </c>
      <c r="AO687" s="309">
        <v>227000.45619038993</v>
      </c>
      <c r="AP687" s="309">
        <v>231026.09516381478</v>
      </c>
      <c r="AQ687" s="309">
        <v>228678.65318383477</v>
      </c>
      <c r="AR687" s="309">
        <v>226331.21120387479</v>
      </c>
      <c r="AS687" s="309">
        <v>223983.76922389478</v>
      </c>
      <c r="AT687" s="309">
        <v>220768.58946689477</v>
      </c>
      <c r="AU687" s="309">
        <v>218935.33234889476</v>
      </c>
      <c r="AV687" s="309">
        <v>1347206.5774556147</v>
      </c>
      <c r="AW687" s="309">
        <v>218809.11273356478</v>
      </c>
      <c r="AX687" s="309">
        <v>218809.11273356478</v>
      </c>
      <c r="AY687" s="309">
        <v>3372974.1566865654</v>
      </c>
      <c r="AZ687" s="309">
        <v>0</v>
      </c>
      <c r="BA687" s="309">
        <v>0</v>
      </c>
      <c r="BB687" s="309">
        <v>0</v>
      </c>
      <c r="BC687" s="309">
        <v>0</v>
      </c>
      <c r="BD687" s="309">
        <v>0</v>
      </c>
      <c r="BE687" s="309">
        <v>0</v>
      </c>
      <c r="BF687" s="309">
        <v>0</v>
      </c>
      <c r="BG687" s="309">
        <v>0</v>
      </c>
      <c r="BH687" s="309">
        <v>0</v>
      </c>
      <c r="BI687" s="309">
        <v>0</v>
      </c>
      <c r="BJ687" s="309">
        <v>0</v>
      </c>
      <c r="BK687" s="309">
        <v>0</v>
      </c>
    </row>
    <row r="688" spans="1:63">
      <c r="A688" s="167"/>
      <c r="B688" s="210" t="s">
        <v>28</v>
      </c>
      <c r="C688" s="254"/>
      <c r="D688" s="255"/>
      <c r="E688" s="255"/>
      <c r="F688" s="255"/>
      <c r="G688" s="255"/>
      <c r="H688" s="255"/>
      <c r="I688" s="255"/>
      <c r="J688" s="255"/>
      <c r="K688" s="255"/>
      <c r="L688" s="255"/>
      <c r="M688" s="255"/>
      <c r="N688" s="255"/>
      <c r="O688" s="255"/>
      <c r="P688" s="255"/>
      <c r="Q688" s="255"/>
      <c r="R688" s="255"/>
      <c r="S688" s="255"/>
      <c r="T688" s="255"/>
      <c r="U688" s="255"/>
      <c r="V688" s="255">
        <v>39587962.916046999</v>
      </c>
      <c r="W688" s="255">
        <v>15792527.774487598</v>
      </c>
      <c r="X688" s="255">
        <v>33484991.27</v>
      </c>
      <c r="Y688" s="255">
        <v>28537798.596732643</v>
      </c>
      <c r="Z688" s="255">
        <v>25779232.956</v>
      </c>
      <c r="AA688" s="255">
        <v>30573261.844939999</v>
      </c>
      <c r="AB688" s="255">
        <v>28778994.954021998</v>
      </c>
      <c r="AC688" s="255">
        <v>17002207.226454798</v>
      </c>
      <c r="AD688" s="255">
        <v>31021478.800000001</v>
      </c>
      <c r="AE688" s="255">
        <v>0</v>
      </c>
      <c r="AF688" s="255">
        <v>17797521.300000001</v>
      </c>
      <c r="AG688" s="255">
        <v>0</v>
      </c>
      <c r="AH688" s="255">
        <v>18814466</v>
      </c>
      <c r="AI688" s="255">
        <v>10267455.943076</v>
      </c>
      <c r="AJ688" s="255">
        <v>9899104.6999999993</v>
      </c>
      <c r="AK688" s="255">
        <v>15318933.123057999</v>
      </c>
      <c r="AL688" s="255">
        <v>0</v>
      </c>
      <c r="AM688" s="255">
        <v>5484455.3306355989</v>
      </c>
      <c r="AN688" s="255">
        <v>0</v>
      </c>
      <c r="AO688" s="255">
        <v>0</v>
      </c>
      <c r="AP688" s="255">
        <v>0</v>
      </c>
      <c r="AQ688" s="255">
        <v>0</v>
      </c>
      <c r="AR688" s="255">
        <v>0</v>
      </c>
      <c r="AS688" s="255">
        <v>0</v>
      </c>
      <c r="AT688" s="255">
        <v>0</v>
      </c>
      <c r="AU688" s="255">
        <v>0</v>
      </c>
      <c r="AV688" s="255">
        <v>0</v>
      </c>
      <c r="AW688" s="255">
        <v>0</v>
      </c>
      <c r="AX688" s="255">
        <v>0</v>
      </c>
      <c r="AY688" s="255">
        <v>3158484.2676772</v>
      </c>
      <c r="AZ688" s="255">
        <v>0</v>
      </c>
      <c r="BA688" s="255">
        <v>0</v>
      </c>
      <c r="BB688" s="255">
        <v>0</v>
      </c>
      <c r="BC688" s="255">
        <v>0</v>
      </c>
      <c r="BD688" s="255">
        <v>0</v>
      </c>
      <c r="BE688" s="255">
        <v>0</v>
      </c>
      <c r="BF688" s="255">
        <v>0</v>
      </c>
      <c r="BG688" s="255">
        <v>0</v>
      </c>
      <c r="BH688" s="255">
        <v>0</v>
      </c>
      <c r="BI688" s="255">
        <v>0</v>
      </c>
      <c r="BJ688" s="255">
        <v>0</v>
      </c>
      <c r="BK688" s="255">
        <v>0</v>
      </c>
    </row>
    <row r="689" spans="1:63">
      <c r="A689" s="168">
        <v>43830</v>
      </c>
      <c r="B689" s="213" t="s">
        <v>385</v>
      </c>
      <c r="C689" s="256"/>
      <c r="D689" s="257"/>
      <c r="E689" s="257"/>
      <c r="F689" s="257"/>
      <c r="G689" s="257"/>
      <c r="H689" s="257"/>
      <c r="I689" s="257"/>
      <c r="J689" s="257"/>
      <c r="K689" s="257"/>
      <c r="L689" s="257"/>
      <c r="M689" s="257"/>
      <c r="N689" s="257"/>
      <c r="O689" s="257"/>
      <c r="P689" s="257"/>
      <c r="Q689" s="257"/>
      <c r="R689" s="259"/>
      <c r="S689" s="259"/>
      <c r="T689" s="259"/>
      <c r="U689" s="259"/>
      <c r="V689" s="259">
        <v>18663305.877405364</v>
      </c>
      <c r="W689" s="259">
        <v>18150142.717713766</v>
      </c>
      <c r="X689" s="259">
        <v>17672547.344435852</v>
      </c>
      <c r="Y689" s="259">
        <v>15441915.217059918</v>
      </c>
      <c r="Z689" s="259">
        <v>14005033.854816422</v>
      </c>
      <c r="AA689" s="259">
        <v>11501069.09505303</v>
      </c>
      <c r="AB689" s="259">
        <v>9873401.6893951185</v>
      </c>
      <c r="AC689" s="259">
        <v>7780066.5742798196</v>
      </c>
      <c r="AD689" s="259">
        <v>7115209.3774673361</v>
      </c>
      <c r="AE689" s="259">
        <v>5301364.0173608381</v>
      </c>
      <c r="AF689" s="259">
        <v>5350404.1730869515</v>
      </c>
      <c r="AG689" s="259">
        <v>4021781.1195306517</v>
      </c>
      <c r="AH689" s="259">
        <v>4074159.9989359644</v>
      </c>
      <c r="AI689" s="259">
        <v>2811271.1115192515</v>
      </c>
      <c r="AJ689" s="259">
        <v>2388274.8248758363</v>
      </c>
      <c r="AK689" s="259">
        <v>1716616.1444066882</v>
      </c>
      <c r="AL689" s="259">
        <v>561423.83988190524</v>
      </c>
      <c r="AM689" s="259">
        <v>574363.18153799197</v>
      </c>
      <c r="AN689" s="259">
        <v>227146.19679126874</v>
      </c>
      <c r="AO689" s="259">
        <v>230833.38840438961</v>
      </c>
      <c r="AP689" s="259">
        <v>234903.5920848453</v>
      </c>
      <c r="AQ689" s="259">
        <v>232556.15010486529</v>
      </c>
      <c r="AR689" s="259">
        <v>230208.70812488528</v>
      </c>
      <c r="AS689" s="259">
        <v>227861.26614492529</v>
      </c>
      <c r="AT689" s="259">
        <v>225513.82416494528</v>
      </c>
      <c r="AU689" s="259">
        <v>222298.64440794528</v>
      </c>
      <c r="AV689" s="259">
        <v>220465.38728994527</v>
      </c>
      <c r="AW689" s="259">
        <v>1347683.7623939952</v>
      </c>
      <c r="AX689" s="259">
        <v>220339.16767461528</v>
      </c>
      <c r="AY689" s="259">
        <v>220339.16767461505</v>
      </c>
      <c r="AZ689" s="259">
        <v>0</v>
      </c>
      <c r="BA689" s="259">
        <v>0</v>
      </c>
      <c r="BB689" s="259">
        <v>0</v>
      </c>
      <c r="BC689" s="259">
        <v>0</v>
      </c>
      <c r="BD689" s="259">
        <v>0</v>
      </c>
      <c r="BE689" s="259">
        <v>0</v>
      </c>
      <c r="BF689" s="259">
        <v>0</v>
      </c>
      <c r="BG689" s="259">
        <v>0</v>
      </c>
      <c r="BH689" s="259">
        <v>0</v>
      </c>
      <c r="BI689" s="259">
        <v>0</v>
      </c>
      <c r="BJ689" s="259">
        <v>0</v>
      </c>
      <c r="BK689" s="259">
        <v>0</v>
      </c>
    </row>
    <row r="690" spans="1:63">
      <c r="A690" s="169"/>
      <c r="B690" s="307" t="s">
        <v>29</v>
      </c>
      <c r="C690" s="308"/>
      <c r="D690" s="309"/>
      <c r="E690" s="309"/>
      <c r="F690" s="309"/>
      <c r="G690" s="309"/>
      <c r="H690" s="309"/>
      <c r="I690" s="309"/>
      <c r="J690" s="309"/>
      <c r="K690" s="309"/>
      <c r="L690" s="309"/>
      <c r="M690" s="309"/>
      <c r="N690" s="309"/>
      <c r="O690" s="309"/>
      <c r="P690" s="309"/>
      <c r="Q690" s="309"/>
      <c r="R690" s="309"/>
      <c r="S690" s="309"/>
      <c r="T690" s="309"/>
      <c r="U690" s="309"/>
      <c r="V690" s="309">
        <f>+V688+V689</f>
        <v>58251268.793452367</v>
      </c>
      <c r="W690" s="309">
        <f t="shared" ref="W690:AZ690" si="67">+W688+W689</f>
        <v>33942670.492201366</v>
      </c>
      <c r="X690" s="309">
        <f t="shared" si="67"/>
        <v>51157538.614435852</v>
      </c>
      <c r="Y690" s="309">
        <f t="shared" si="67"/>
        <v>43979713.813792557</v>
      </c>
      <c r="Z690" s="309">
        <f t="shared" si="67"/>
        <v>39784266.810816422</v>
      </c>
      <c r="AA690" s="309">
        <f t="shared" si="67"/>
        <v>42074330.939993031</v>
      </c>
      <c r="AB690" s="309">
        <f t="shared" si="67"/>
        <v>38652396.64341712</v>
      </c>
      <c r="AC690" s="309">
        <f t="shared" si="67"/>
        <v>24782273.800734617</v>
      </c>
      <c r="AD690" s="309">
        <f t="shared" si="67"/>
        <v>38136688.177467339</v>
      </c>
      <c r="AE690" s="309">
        <f t="shared" si="67"/>
        <v>5301364.0173608381</v>
      </c>
      <c r="AF690" s="309">
        <f t="shared" si="67"/>
        <v>23147925.473086953</v>
      </c>
      <c r="AG690" s="309">
        <f t="shared" si="67"/>
        <v>4021781.1195306517</v>
      </c>
      <c r="AH690" s="309">
        <f t="shared" si="67"/>
        <v>22888625.998935964</v>
      </c>
      <c r="AI690" s="309">
        <f t="shared" si="67"/>
        <v>13078727.054595251</v>
      </c>
      <c r="AJ690" s="309">
        <f t="shared" si="67"/>
        <v>12287379.524875835</v>
      </c>
      <c r="AK690" s="309">
        <f t="shared" si="67"/>
        <v>17035549.267464686</v>
      </c>
      <c r="AL690" s="309">
        <f t="shared" si="67"/>
        <v>561423.83988190524</v>
      </c>
      <c r="AM690" s="309">
        <f t="shared" si="67"/>
        <v>6058818.5121735912</v>
      </c>
      <c r="AN690" s="309">
        <f t="shared" si="67"/>
        <v>227146.19679126874</v>
      </c>
      <c r="AO690" s="309">
        <f t="shared" si="67"/>
        <v>230833.38840438961</v>
      </c>
      <c r="AP690" s="309">
        <f t="shared" si="67"/>
        <v>234903.5920848453</v>
      </c>
      <c r="AQ690" s="309">
        <f t="shared" si="67"/>
        <v>232556.15010486529</v>
      </c>
      <c r="AR690" s="309">
        <f t="shared" si="67"/>
        <v>230208.70812488528</v>
      </c>
      <c r="AS690" s="309">
        <f t="shared" si="67"/>
        <v>227861.26614492529</v>
      </c>
      <c r="AT690" s="309">
        <f t="shared" si="67"/>
        <v>225513.82416494528</v>
      </c>
      <c r="AU690" s="309">
        <f t="shared" si="67"/>
        <v>222298.64440794528</v>
      </c>
      <c r="AV690" s="309">
        <f t="shared" si="67"/>
        <v>220465.38728994527</v>
      </c>
      <c r="AW690" s="309">
        <f t="shared" si="67"/>
        <v>1347683.7623939952</v>
      </c>
      <c r="AX690" s="309">
        <f t="shared" si="67"/>
        <v>220339.16767461528</v>
      </c>
      <c r="AY690" s="309">
        <f t="shared" si="67"/>
        <v>3378823.4353518151</v>
      </c>
      <c r="AZ690" s="309">
        <f t="shared" si="67"/>
        <v>0</v>
      </c>
      <c r="BA690" s="309">
        <f>+BA688+BA689</f>
        <v>0</v>
      </c>
      <c r="BB690" s="309">
        <f t="shared" ref="BB690:BH690" si="68">+BB688+BB689</f>
        <v>0</v>
      </c>
      <c r="BC690" s="309">
        <f t="shared" si="68"/>
        <v>0</v>
      </c>
      <c r="BD690" s="309">
        <f t="shared" si="68"/>
        <v>0</v>
      </c>
      <c r="BE690" s="309">
        <f t="shared" si="68"/>
        <v>0</v>
      </c>
      <c r="BF690" s="309">
        <f t="shared" si="68"/>
        <v>0</v>
      </c>
      <c r="BG690" s="309">
        <f t="shared" si="68"/>
        <v>0</v>
      </c>
      <c r="BH690" s="309">
        <f t="shared" si="68"/>
        <v>0</v>
      </c>
      <c r="BI690" s="309">
        <f>+BI688+BI689</f>
        <v>0</v>
      </c>
      <c r="BJ690" s="309">
        <f>+BJ688+BJ689</f>
        <v>0</v>
      </c>
      <c r="BK690" s="309">
        <f>+BK688+BK689</f>
        <v>0</v>
      </c>
    </row>
    <row r="691" spans="1:63">
      <c r="A691" s="167"/>
      <c r="B691" s="210" t="s">
        <v>28</v>
      </c>
      <c r="C691" s="254"/>
      <c r="D691" s="255"/>
      <c r="E691" s="255"/>
      <c r="F691" s="255"/>
      <c r="G691" s="255"/>
      <c r="H691" s="255"/>
      <c r="I691" s="255"/>
      <c r="J691" s="255"/>
      <c r="K691" s="255"/>
      <c r="L691" s="255"/>
      <c r="M691" s="255"/>
      <c r="N691" s="255"/>
      <c r="O691" s="255"/>
      <c r="P691" s="255"/>
      <c r="Q691" s="255"/>
      <c r="R691" s="255"/>
      <c r="S691" s="255"/>
      <c r="T691" s="255"/>
      <c r="U691" s="255"/>
      <c r="V691" s="255">
        <v>51855520.093786001</v>
      </c>
      <c r="W691" s="255">
        <v>15821990.947908198</v>
      </c>
      <c r="X691" s="255">
        <v>33485031.848999999</v>
      </c>
      <c r="Y691" s="255">
        <v>28591859.584825866</v>
      </c>
      <c r="Z691" s="255">
        <v>25779268.921999998</v>
      </c>
      <c r="AA691" s="255">
        <v>30602595.978829999</v>
      </c>
      <c r="AB691" s="255">
        <v>28779012.042999998</v>
      </c>
      <c r="AC691" s="255">
        <v>19815738.162301399</v>
      </c>
      <c r="AD691" s="255">
        <v>31080683.300000001</v>
      </c>
      <c r="AE691" s="255">
        <v>0</v>
      </c>
      <c r="AF691" s="255">
        <v>17802886.300000001</v>
      </c>
      <c r="AG691" s="255">
        <v>0</v>
      </c>
      <c r="AH691" s="255">
        <v>18823780.300000001</v>
      </c>
      <c r="AI691" s="255">
        <v>10625469.288086001</v>
      </c>
      <c r="AJ691" s="255">
        <v>10228620.1</v>
      </c>
      <c r="AK691" s="255">
        <v>15346898.574131001</v>
      </c>
      <c r="AL691" s="255">
        <v>0</v>
      </c>
      <c r="AM691" s="255">
        <v>5847811.3854211997</v>
      </c>
      <c r="AN691" s="255">
        <v>0</v>
      </c>
      <c r="AO691" s="255">
        <v>0</v>
      </c>
      <c r="AP691" s="255">
        <v>0</v>
      </c>
      <c r="AQ691" s="255">
        <v>0</v>
      </c>
      <c r="AR691" s="255">
        <v>0</v>
      </c>
      <c r="AS691" s="255">
        <v>0</v>
      </c>
      <c r="AT691" s="255">
        <v>0</v>
      </c>
      <c r="AU691" s="255">
        <v>0</v>
      </c>
      <c r="AV691" s="255">
        <v>0</v>
      </c>
      <c r="AW691" s="255">
        <v>0</v>
      </c>
      <c r="AX691" s="255">
        <v>0</v>
      </c>
      <c r="AY691" s="255">
        <v>3164250.2330054003</v>
      </c>
      <c r="AZ691" s="255">
        <v>0</v>
      </c>
      <c r="BA691" s="255">
        <v>0</v>
      </c>
      <c r="BB691" s="255">
        <v>0</v>
      </c>
      <c r="BC691" s="255">
        <v>0</v>
      </c>
      <c r="BD691" s="255">
        <v>0</v>
      </c>
      <c r="BE691" s="255">
        <v>0</v>
      </c>
      <c r="BF691" s="255">
        <v>0</v>
      </c>
      <c r="BG691" s="255">
        <v>0</v>
      </c>
      <c r="BH691" s="255">
        <v>0</v>
      </c>
      <c r="BI691" s="255">
        <v>0</v>
      </c>
      <c r="BJ691" s="255">
        <v>0</v>
      </c>
      <c r="BK691" s="255">
        <v>0</v>
      </c>
    </row>
    <row r="692" spans="1:63">
      <c r="A692" s="168">
        <v>43861</v>
      </c>
      <c r="B692" s="213" t="s">
        <v>385</v>
      </c>
      <c r="C692" s="256"/>
      <c r="D692" s="257"/>
      <c r="E692" s="257"/>
      <c r="F692" s="257"/>
      <c r="G692" s="257"/>
      <c r="H692" s="257"/>
      <c r="I692" s="257"/>
      <c r="J692" s="257"/>
      <c r="K692" s="257"/>
      <c r="L692" s="257"/>
      <c r="M692" s="257"/>
      <c r="N692" s="257"/>
      <c r="O692" s="257"/>
      <c r="P692" s="257"/>
      <c r="Q692" s="257"/>
      <c r="R692" s="259"/>
      <c r="S692" s="259"/>
      <c r="T692" s="259"/>
      <c r="U692" s="259"/>
      <c r="V692" s="259">
        <v>18871211.358024847</v>
      </c>
      <c r="W692" s="259">
        <v>18305179.983584259</v>
      </c>
      <c r="X692" s="259">
        <v>17882384.879572313</v>
      </c>
      <c r="Y692" s="259">
        <v>15652762.464825474</v>
      </c>
      <c r="Z692" s="259">
        <v>14216921.106589951</v>
      </c>
      <c r="AA692" s="259">
        <v>11714027.550954768</v>
      </c>
      <c r="AB692" s="259">
        <v>10086842.198048901</v>
      </c>
      <c r="AC692" s="259">
        <v>7994643.5233932221</v>
      </c>
      <c r="AD692" s="259">
        <v>7174232.4584113974</v>
      </c>
      <c r="AE692" s="259">
        <v>5357750.2229832159</v>
      </c>
      <c r="AF692" s="259">
        <v>5407733.2352279974</v>
      </c>
      <c r="AG692" s="259">
        <v>4079665.5363859329</v>
      </c>
      <c r="AH692" s="259">
        <v>4133044.6922719036</v>
      </c>
      <c r="AI692" s="259">
        <v>2870534.088630267</v>
      </c>
      <c r="AJ692" s="259">
        <v>2432770.7606180133</v>
      </c>
      <c r="AK692" s="259">
        <v>1737840.3957261301</v>
      </c>
      <c r="AL692" s="259">
        <v>583284.81874093029</v>
      </c>
      <c r="AM692" s="259">
        <v>596879.98976278736</v>
      </c>
      <c r="AN692" s="259">
        <v>227146.19679126874</v>
      </c>
      <c r="AO692" s="259">
        <v>230833.38840438961</v>
      </c>
      <c r="AP692" s="259">
        <v>234903.5920848453</v>
      </c>
      <c r="AQ692" s="259">
        <v>232556.15010486529</v>
      </c>
      <c r="AR692" s="259">
        <v>230208.70812488528</v>
      </c>
      <c r="AS692" s="259">
        <v>227861.26614492529</v>
      </c>
      <c r="AT692" s="259">
        <v>225513.82416494528</v>
      </c>
      <c r="AU692" s="259">
        <v>222298.64440794528</v>
      </c>
      <c r="AV692" s="259">
        <v>220465.38728994527</v>
      </c>
      <c r="AW692" s="259">
        <v>1293865.704708125</v>
      </c>
      <c r="AX692" s="259">
        <v>220339.16767461528</v>
      </c>
      <c r="AY692" s="259">
        <v>220339.16767461551</v>
      </c>
      <c r="AZ692" s="259">
        <v>0</v>
      </c>
      <c r="BA692" s="259">
        <v>0</v>
      </c>
      <c r="BB692" s="259">
        <v>0</v>
      </c>
      <c r="BC692" s="259">
        <v>0</v>
      </c>
      <c r="BD692" s="259">
        <v>0</v>
      </c>
      <c r="BE692" s="259">
        <v>0</v>
      </c>
      <c r="BF692" s="259">
        <v>0</v>
      </c>
      <c r="BG692" s="259">
        <v>0</v>
      </c>
      <c r="BH692" s="259">
        <v>0</v>
      </c>
      <c r="BI692" s="259">
        <v>0</v>
      </c>
      <c r="BJ692" s="259">
        <v>0</v>
      </c>
      <c r="BK692" s="259">
        <v>0</v>
      </c>
    </row>
    <row r="693" spans="1:63">
      <c r="A693" s="169"/>
      <c r="B693" s="307" t="s">
        <v>29</v>
      </c>
      <c r="C693" s="308"/>
      <c r="D693" s="309"/>
      <c r="E693" s="309"/>
      <c r="F693" s="309"/>
      <c r="G693" s="309"/>
      <c r="H693" s="309"/>
      <c r="I693" s="309"/>
      <c r="J693" s="309"/>
      <c r="K693" s="309"/>
      <c r="L693" s="309"/>
      <c r="M693" s="309"/>
      <c r="N693" s="309"/>
      <c r="O693" s="309"/>
      <c r="P693" s="309"/>
      <c r="Q693" s="309"/>
      <c r="R693" s="309"/>
      <c r="S693" s="309"/>
      <c r="T693" s="309"/>
      <c r="U693" s="309"/>
      <c r="V693" s="309">
        <f>+V691+V692</f>
        <v>70726731.451810852</v>
      </c>
      <c r="W693" s="309">
        <f t="shared" ref="W693:AZ693" si="69">+W691+W692</f>
        <v>34127170.931492455</v>
      </c>
      <c r="X693" s="309">
        <f t="shared" si="69"/>
        <v>51367416.728572309</v>
      </c>
      <c r="Y693" s="309">
        <f t="shared" si="69"/>
        <v>44244622.04965134</v>
      </c>
      <c r="Z693" s="309">
        <f t="shared" si="69"/>
        <v>39996190.028589949</v>
      </c>
      <c r="AA693" s="309">
        <f t="shared" si="69"/>
        <v>42316623.529784769</v>
      </c>
      <c r="AB693" s="309">
        <f t="shared" si="69"/>
        <v>38865854.241048902</v>
      </c>
      <c r="AC693" s="309">
        <f t="shared" si="69"/>
        <v>27810381.68569462</v>
      </c>
      <c r="AD693" s="309">
        <f t="shared" si="69"/>
        <v>38254915.7584114</v>
      </c>
      <c r="AE693" s="309">
        <f t="shared" si="69"/>
        <v>5357750.2229832159</v>
      </c>
      <c r="AF693" s="309">
        <f t="shared" si="69"/>
        <v>23210619.535227999</v>
      </c>
      <c r="AG693" s="309">
        <f t="shared" si="69"/>
        <v>4079665.5363859329</v>
      </c>
      <c r="AH693" s="309">
        <f t="shared" si="69"/>
        <v>22956824.992271904</v>
      </c>
      <c r="AI693" s="309">
        <f t="shared" si="69"/>
        <v>13496003.376716267</v>
      </c>
      <c r="AJ693" s="309">
        <f t="shared" si="69"/>
        <v>12661390.860618014</v>
      </c>
      <c r="AK693" s="309">
        <f t="shared" si="69"/>
        <v>17084738.96985713</v>
      </c>
      <c r="AL693" s="309">
        <f t="shared" si="69"/>
        <v>583284.81874093029</v>
      </c>
      <c r="AM693" s="309">
        <f t="shared" si="69"/>
        <v>6444691.3751839874</v>
      </c>
      <c r="AN693" s="309">
        <f t="shared" si="69"/>
        <v>227146.19679126874</v>
      </c>
      <c r="AO693" s="309">
        <f t="shared" si="69"/>
        <v>230833.38840438961</v>
      </c>
      <c r="AP693" s="309">
        <f t="shared" si="69"/>
        <v>234903.5920848453</v>
      </c>
      <c r="AQ693" s="309">
        <f t="shared" si="69"/>
        <v>232556.15010486529</v>
      </c>
      <c r="AR693" s="309">
        <f t="shared" si="69"/>
        <v>230208.70812488528</v>
      </c>
      <c r="AS693" s="309">
        <f t="shared" si="69"/>
        <v>227861.26614492529</v>
      </c>
      <c r="AT693" s="309">
        <f t="shared" si="69"/>
        <v>225513.82416494528</v>
      </c>
      <c r="AU693" s="309">
        <f t="shared" si="69"/>
        <v>222298.64440794528</v>
      </c>
      <c r="AV693" s="309">
        <f t="shared" si="69"/>
        <v>220465.38728994527</v>
      </c>
      <c r="AW693" s="309">
        <f t="shared" si="69"/>
        <v>1293865.704708125</v>
      </c>
      <c r="AX693" s="309">
        <f t="shared" si="69"/>
        <v>220339.16767461528</v>
      </c>
      <c r="AY693" s="309">
        <f t="shared" si="69"/>
        <v>3384589.4006800158</v>
      </c>
      <c r="AZ693" s="309">
        <f t="shared" si="69"/>
        <v>0</v>
      </c>
      <c r="BA693" s="309">
        <f>+BA691+BA692</f>
        <v>0</v>
      </c>
      <c r="BB693" s="309">
        <f t="shared" ref="BB693:BH693" si="70">+BB691+BB692</f>
        <v>0</v>
      </c>
      <c r="BC693" s="309">
        <f t="shared" si="70"/>
        <v>0</v>
      </c>
      <c r="BD693" s="309">
        <f t="shared" si="70"/>
        <v>0</v>
      </c>
      <c r="BE693" s="309">
        <f t="shared" si="70"/>
        <v>0</v>
      </c>
      <c r="BF693" s="309">
        <f t="shared" si="70"/>
        <v>0</v>
      </c>
      <c r="BG693" s="309">
        <f t="shared" si="70"/>
        <v>0</v>
      </c>
      <c r="BH693" s="309">
        <f t="shared" si="70"/>
        <v>0</v>
      </c>
      <c r="BI693" s="309">
        <f>+BI691+BI692</f>
        <v>0</v>
      </c>
      <c r="BJ693" s="309">
        <f>+BJ691+BJ692</f>
        <v>0</v>
      </c>
      <c r="BK693" s="309">
        <f>+BK691+BK692</f>
        <v>0</v>
      </c>
    </row>
    <row r="694" spans="1:63">
      <c r="A694" s="167"/>
      <c r="B694" s="210" t="s">
        <v>28</v>
      </c>
      <c r="C694" s="254"/>
      <c r="D694" s="255"/>
      <c r="E694" s="255"/>
      <c r="F694" s="255"/>
      <c r="G694" s="255"/>
      <c r="H694" s="255"/>
      <c r="I694" s="255"/>
      <c r="J694" s="255"/>
      <c r="K694" s="255"/>
      <c r="L694" s="255"/>
      <c r="M694" s="255"/>
      <c r="N694" s="255"/>
      <c r="O694" s="255"/>
      <c r="P694" s="255"/>
      <c r="Q694" s="255"/>
      <c r="R694" s="255"/>
      <c r="S694" s="255"/>
      <c r="T694" s="255"/>
      <c r="U694" s="255"/>
      <c r="V694" s="255">
        <v>52165049.121952996</v>
      </c>
      <c r="W694" s="255">
        <v>15821357.619908199</v>
      </c>
      <c r="X694" s="255">
        <v>33484991.27</v>
      </c>
      <c r="Y694" s="255">
        <v>28591845.436825864</v>
      </c>
      <c r="Z694" s="255">
        <v>25779232.956</v>
      </c>
      <c r="AA694" s="255">
        <v>30602608.665829998</v>
      </c>
      <c r="AB694" s="255">
        <v>28778994.954021998</v>
      </c>
      <c r="AC694" s="255">
        <v>22044014.805198602</v>
      </c>
      <c r="AD694" s="255">
        <v>31080683.300000001</v>
      </c>
      <c r="AE694" s="255">
        <v>0</v>
      </c>
      <c r="AF694" s="255">
        <v>17802886.300000001</v>
      </c>
      <c r="AG694" s="255">
        <v>0</v>
      </c>
      <c r="AH694" s="255">
        <v>18823780.300000001</v>
      </c>
      <c r="AI694" s="255">
        <v>10960672.413434399</v>
      </c>
      <c r="AJ694" s="255">
        <v>11353143.800000001</v>
      </c>
      <c r="AK694" s="255">
        <v>15346898.574131001</v>
      </c>
      <c r="AL694" s="255">
        <v>0</v>
      </c>
      <c r="AM694" s="255">
        <v>6153828.5264186002</v>
      </c>
      <c r="AN694" s="255">
        <v>0</v>
      </c>
      <c r="AO694" s="255">
        <v>0</v>
      </c>
      <c r="AP694" s="255">
        <v>0</v>
      </c>
      <c r="AQ694" s="255">
        <v>0</v>
      </c>
      <c r="AR694" s="255">
        <v>0</v>
      </c>
      <c r="AS694" s="255">
        <v>0</v>
      </c>
      <c r="AT694" s="255">
        <v>0</v>
      </c>
      <c r="AU694" s="255">
        <v>0</v>
      </c>
      <c r="AV694" s="255">
        <v>0</v>
      </c>
      <c r="AW694" s="255">
        <v>0</v>
      </c>
      <c r="AX694" s="255">
        <v>0</v>
      </c>
      <c r="AY694" s="255">
        <v>3164250.2330054003</v>
      </c>
      <c r="AZ694" s="255">
        <v>0</v>
      </c>
      <c r="BA694" s="255">
        <v>0</v>
      </c>
      <c r="BB694" s="255">
        <v>0</v>
      </c>
      <c r="BC694" s="255">
        <v>0</v>
      </c>
      <c r="BD694" s="255">
        <v>0</v>
      </c>
      <c r="BE694" s="255">
        <v>0</v>
      </c>
      <c r="BF694" s="255">
        <v>0</v>
      </c>
      <c r="BG694" s="255">
        <v>0</v>
      </c>
      <c r="BH694" s="255">
        <v>0</v>
      </c>
      <c r="BI694" s="255">
        <v>0</v>
      </c>
      <c r="BJ694" s="255">
        <v>0</v>
      </c>
      <c r="BK694" s="255">
        <v>0</v>
      </c>
    </row>
    <row r="695" spans="1:63">
      <c r="A695" s="168">
        <v>43890</v>
      </c>
      <c r="B695" s="213" t="s">
        <v>385</v>
      </c>
      <c r="C695" s="256"/>
      <c r="D695" s="257"/>
      <c r="E695" s="257"/>
      <c r="F695" s="257"/>
      <c r="G695" s="257"/>
      <c r="H695" s="257"/>
      <c r="I695" s="257"/>
      <c r="J695" s="257"/>
      <c r="K695" s="257"/>
      <c r="L695" s="257"/>
      <c r="M695" s="257"/>
      <c r="N695" s="257"/>
      <c r="O695" s="257"/>
      <c r="P695" s="257"/>
      <c r="Q695" s="257"/>
      <c r="R695" s="259"/>
      <c r="S695" s="259"/>
      <c r="T695" s="259"/>
      <c r="U695" s="259"/>
      <c r="V695" s="259">
        <v>17478720.492204364</v>
      </c>
      <c r="W695" s="259">
        <v>18531390.740941726</v>
      </c>
      <c r="X695" s="259">
        <v>18109575.62792949</v>
      </c>
      <c r="Y695" s="259">
        <v>15880956.463938363</v>
      </c>
      <c r="Z695" s="259">
        <v>14446148.453981228</v>
      </c>
      <c r="AA695" s="259">
        <v>11944319.247072788</v>
      </c>
      <c r="AB695" s="259">
        <v>10318230.173355464</v>
      </c>
      <c r="AC695" s="259">
        <v>8227160.6662639761</v>
      </c>
      <c r="AD695" s="259">
        <v>7283803.2655557264</v>
      </c>
      <c r="AE695" s="259">
        <v>5468162.3152943756</v>
      </c>
      <c r="AF695" s="259">
        <v>5519011.8512609927</v>
      </c>
      <c r="AG695" s="259">
        <v>4191836.6718524173</v>
      </c>
      <c r="AH695" s="259">
        <v>4246135.1227548793</v>
      </c>
      <c r="AI695" s="259">
        <v>2984571.3929802352</v>
      </c>
      <c r="AJ695" s="259">
        <v>2532144.8275017655</v>
      </c>
      <c r="AK695" s="259">
        <v>1756221.8773188971</v>
      </c>
      <c r="AL695" s="259">
        <v>602217.74478147959</v>
      </c>
      <c r="AM695" s="259">
        <v>616380.90358455351</v>
      </c>
      <c r="AN695" s="259">
        <v>227146.19679126874</v>
      </c>
      <c r="AO695" s="259">
        <v>230833.38840438961</v>
      </c>
      <c r="AP695" s="259">
        <v>234903.5920848453</v>
      </c>
      <c r="AQ695" s="259">
        <v>232556.15010486529</v>
      </c>
      <c r="AR695" s="259">
        <v>230208.70812488528</v>
      </c>
      <c r="AS695" s="259">
        <v>227861.26614492529</v>
      </c>
      <c r="AT695" s="259">
        <v>225513.82416494528</v>
      </c>
      <c r="AU695" s="259">
        <v>222298.64440794528</v>
      </c>
      <c r="AV695" s="259">
        <v>220465.38728994527</v>
      </c>
      <c r="AW695" s="259">
        <v>1293862.7286202849</v>
      </c>
      <c r="AX695" s="259">
        <v>220339.16767461528</v>
      </c>
      <c r="AY695" s="259">
        <v>220339.16767461551</v>
      </c>
      <c r="AZ695" s="259">
        <v>0</v>
      </c>
      <c r="BA695" s="259">
        <v>0</v>
      </c>
      <c r="BB695" s="259">
        <v>0</v>
      </c>
      <c r="BC695" s="259">
        <v>0</v>
      </c>
      <c r="BD695" s="259">
        <v>0</v>
      </c>
      <c r="BE695" s="259">
        <v>0</v>
      </c>
      <c r="BF695" s="259">
        <v>0</v>
      </c>
      <c r="BG695" s="259">
        <v>0</v>
      </c>
      <c r="BH695" s="259">
        <v>0</v>
      </c>
      <c r="BI695" s="259">
        <v>0</v>
      </c>
      <c r="BJ695" s="259">
        <v>0</v>
      </c>
      <c r="BK695" s="259">
        <v>0</v>
      </c>
    </row>
    <row r="696" spans="1:63">
      <c r="A696" s="169"/>
      <c r="B696" s="307" t="s">
        <v>29</v>
      </c>
      <c r="C696" s="308"/>
      <c r="D696" s="309"/>
      <c r="E696" s="309"/>
      <c r="F696" s="309"/>
      <c r="G696" s="309"/>
      <c r="H696" s="309"/>
      <c r="I696" s="309"/>
      <c r="J696" s="309"/>
      <c r="K696" s="309"/>
      <c r="L696" s="309"/>
      <c r="M696" s="309"/>
      <c r="N696" s="309"/>
      <c r="O696" s="309"/>
      <c r="P696" s="309"/>
      <c r="Q696" s="309"/>
      <c r="R696" s="309"/>
      <c r="S696" s="309"/>
      <c r="T696" s="309"/>
      <c r="U696" s="309"/>
      <c r="V696" s="309">
        <f>+V694+V695</f>
        <v>69643769.614157364</v>
      </c>
      <c r="W696" s="309">
        <f t="shared" ref="W696:AZ696" si="71">+W694+W695</f>
        <v>34352748.360849924</v>
      </c>
      <c r="X696" s="309">
        <f t="shared" si="71"/>
        <v>51594566.89792949</v>
      </c>
      <c r="Y696" s="309">
        <f t="shared" si="71"/>
        <v>44472801.900764227</v>
      </c>
      <c r="Z696" s="309">
        <f t="shared" si="71"/>
        <v>40225381.409981228</v>
      </c>
      <c r="AA696" s="309">
        <f t="shared" si="71"/>
        <v>42546927.912902787</v>
      </c>
      <c r="AB696" s="309">
        <f t="shared" si="71"/>
        <v>39097225.127377465</v>
      </c>
      <c r="AC696" s="309">
        <f t="shared" si="71"/>
        <v>30271175.471462578</v>
      </c>
      <c r="AD696" s="309">
        <f t="shared" si="71"/>
        <v>38364486.565555729</v>
      </c>
      <c r="AE696" s="309">
        <f t="shared" si="71"/>
        <v>5468162.3152943756</v>
      </c>
      <c r="AF696" s="309">
        <f t="shared" si="71"/>
        <v>23321898.151260994</v>
      </c>
      <c r="AG696" s="309">
        <f t="shared" si="71"/>
        <v>4191836.6718524173</v>
      </c>
      <c r="AH696" s="309">
        <f t="shared" si="71"/>
        <v>23069915.42275488</v>
      </c>
      <c r="AI696" s="309">
        <f t="shared" si="71"/>
        <v>13945243.806414634</v>
      </c>
      <c r="AJ696" s="309">
        <f t="shared" si="71"/>
        <v>13885288.627501767</v>
      </c>
      <c r="AK696" s="309">
        <f t="shared" si="71"/>
        <v>17103120.451449897</v>
      </c>
      <c r="AL696" s="309">
        <f t="shared" si="71"/>
        <v>602217.74478147959</v>
      </c>
      <c r="AM696" s="309">
        <f t="shared" si="71"/>
        <v>6770209.4300031541</v>
      </c>
      <c r="AN696" s="309">
        <f t="shared" si="71"/>
        <v>227146.19679126874</v>
      </c>
      <c r="AO696" s="309">
        <f t="shared" si="71"/>
        <v>230833.38840438961</v>
      </c>
      <c r="AP696" s="309">
        <f t="shared" si="71"/>
        <v>234903.5920848453</v>
      </c>
      <c r="AQ696" s="309">
        <f t="shared" si="71"/>
        <v>232556.15010486529</v>
      </c>
      <c r="AR696" s="309">
        <f t="shared" si="71"/>
        <v>230208.70812488528</v>
      </c>
      <c r="AS696" s="309">
        <f t="shared" si="71"/>
        <v>227861.26614492529</v>
      </c>
      <c r="AT696" s="309">
        <f t="shared" si="71"/>
        <v>225513.82416494528</v>
      </c>
      <c r="AU696" s="309">
        <f t="shared" si="71"/>
        <v>222298.64440794528</v>
      </c>
      <c r="AV696" s="309">
        <f t="shared" si="71"/>
        <v>220465.38728994527</v>
      </c>
      <c r="AW696" s="309">
        <f t="shared" si="71"/>
        <v>1293862.7286202849</v>
      </c>
      <c r="AX696" s="309">
        <f t="shared" si="71"/>
        <v>220339.16767461528</v>
      </c>
      <c r="AY696" s="309">
        <f t="shared" si="71"/>
        <v>3384589.4006800158</v>
      </c>
      <c r="AZ696" s="309">
        <f t="shared" si="71"/>
        <v>0</v>
      </c>
      <c r="BA696" s="309">
        <f>+BA694+BA695</f>
        <v>0</v>
      </c>
      <c r="BB696" s="309">
        <f t="shared" ref="BB696:BH696" si="72">+BB694+BB695</f>
        <v>0</v>
      </c>
      <c r="BC696" s="309">
        <f t="shared" si="72"/>
        <v>0</v>
      </c>
      <c r="BD696" s="309">
        <f t="shared" si="72"/>
        <v>0</v>
      </c>
      <c r="BE696" s="309">
        <f t="shared" si="72"/>
        <v>0</v>
      </c>
      <c r="BF696" s="309">
        <f t="shared" si="72"/>
        <v>0</v>
      </c>
      <c r="BG696" s="309">
        <f t="shared" si="72"/>
        <v>0</v>
      </c>
      <c r="BH696" s="309">
        <f t="shared" si="72"/>
        <v>0</v>
      </c>
      <c r="BI696" s="309">
        <f>+BI694+BI695</f>
        <v>0</v>
      </c>
      <c r="BJ696" s="309">
        <f>+BJ694+BJ695</f>
        <v>0</v>
      </c>
      <c r="BK696" s="309">
        <f>+BK694+BK695</f>
        <v>0</v>
      </c>
    </row>
    <row r="697" spans="1:63">
      <c r="A697" s="167"/>
      <c r="B697" s="210" t="s">
        <v>28</v>
      </c>
      <c r="C697" s="254"/>
      <c r="D697" s="255"/>
      <c r="E697" s="255"/>
      <c r="F697" s="255"/>
      <c r="G697" s="255"/>
      <c r="H697" s="255"/>
      <c r="I697" s="255"/>
      <c r="J697" s="255"/>
      <c r="K697" s="255"/>
      <c r="L697" s="255"/>
      <c r="M697" s="255"/>
      <c r="N697" s="255"/>
      <c r="O697" s="255"/>
      <c r="P697" s="255"/>
      <c r="Q697" s="255"/>
      <c r="R697" s="255"/>
      <c r="S697" s="255"/>
      <c r="T697" s="255"/>
      <c r="U697" s="255"/>
      <c r="V697" s="255">
        <v>49036284.601746999</v>
      </c>
      <c r="W697" s="255">
        <v>16562706.7001472</v>
      </c>
      <c r="X697" s="255">
        <v>33484991.27</v>
      </c>
      <c r="Y697" s="255">
        <v>28844397.334124092</v>
      </c>
      <c r="Z697" s="255">
        <v>25779232.956</v>
      </c>
      <c r="AA697" s="255">
        <v>30697754.908679999</v>
      </c>
      <c r="AB697" s="255">
        <v>28778994.954021998</v>
      </c>
      <c r="AC697" s="255">
        <v>22967469.008167598</v>
      </c>
      <c r="AD697" s="255">
        <v>31080683.300000001</v>
      </c>
      <c r="AE697" s="255">
        <v>235631.89361279999</v>
      </c>
      <c r="AF697" s="255">
        <v>17802886.300000001</v>
      </c>
      <c r="AG697" s="255">
        <v>0</v>
      </c>
      <c r="AH697" s="255">
        <v>18823780.300000001</v>
      </c>
      <c r="AI697" s="255">
        <v>11183513.874600001</v>
      </c>
      <c r="AJ697" s="255">
        <v>11990241.300000001</v>
      </c>
      <c r="AK697" s="255">
        <v>15518922.6883728</v>
      </c>
      <c r="AL697" s="255">
        <v>0</v>
      </c>
      <c r="AM697" s="255">
        <v>6305231.1034000004</v>
      </c>
      <c r="AN697" s="255">
        <v>0</v>
      </c>
      <c r="AO697" s="255">
        <v>0</v>
      </c>
      <c r="AP697" s="255">
        <v>0</v>
      </c>
      <c r="AQ697" s="255">
        <v>0</v>
      </c>
      <c r="AR697" s="255">
        <v>0</v>
      </c>
      <c r="AS697" s="255">
        <v>0</v>
      </c>
      <c r="AT697" s="255">
        <v>0</v>
      </c>
      <c r="AU697" s="255">
        <v>0</v>
      </c>
      <c r="AV697" s="255">
        <v>0</v>
      </c>
      <c r="AW697" s="255">
        <v>0</v>
      </c>
      <c r="AX697" s="255">
        <v>0</v>
      </c>
      <c r="AY697" s="255">
        <v>3192520.0306384005</v>
      </c>
      <c r="AZ697" s="255">
        <v>0</v>
      </c>
      <c r="BA697" s="255">
        <v>0</v>
      </c>
      <c r="BB697" s="255">
        <v>0</v>
      </c>
      <c r="BC697" s="255">
        <v>0</v>
      </c>
      <c r="BD697" s="255">
        <v>0</v>
      </c>
      <c r="BE697" s="255">
        <v>0</v>
      </c>
      <c r="BF697" s="255">
        <v>0</v>
      </c>
      <c r="BG697" s="255">
        <v>0</v>
      </c>
      <c r="BH697" s="255">
        <v>0</v>
      </c>
      <c r="BI697" s="255">
        <v>0</v>
      </c>
      <c r="BJ697" s="255">
        <v>0</v>
      </c>
      <c r="BK697" s="255">
        <v>0</v>
      </c>
    </row>
    <row r="698" spans="1:63">
      <c r="A698" s="168">
        <v>43921</v>
      </c>
      <c r="B698" s="213" t="s">
        <v>385</v>
      </c>
      <c r="C698" s="256"/>
      <c r="D698" s="257"/>
      <c r="E698" s="257"/>
      <c r="F698" s="257"/>
      <c r="G698" s="257"/>
      <c r="H698" s="257"/>
      <c r="I698" s="257"/>
      <c r="J698" s="257"/>
      <c r="K698" s="257"/>
      <c r="L698" s="257"/>
      <c r="M698" s="257"/>
      <c r="N698" s="257"/>
      <c r="O698" s="257"/>
      <c r="P698" s="257"/>
      <c r="Q698" s="257"/>
      <c r="R698" s="259"/>
      <c r="S698" s="259"/>
      <c r="T698" s="259"/>
      <c r="U698" s="259"/>
      <c r="V698" s="259">
        <v>16072154.808512781</v>
      </c>
      <c r="W698" s="259">
        <v>18635030.716122329</v>
      </c>
      <c r="X698" s="259">
        <v>18214690.673016291</v>
      </c>
      <c r="Y698" s="259">
        <v>15986565.338907775</v>
      </c>
      <c r="Z698" s="259">
        <v>14552265.973729715</v>
      </c>
      <c r="AA698" s="259">
        <v>12050960.670943735</v>
      </c>
      <c r="AB698" s="259">
        <v>10425411.218472529</v>
      </c>
      <c r="AC698" s="259">
        <v>8334897.5212645615</v>
      </c>
      <c r="AD698" s="259">
        <v>7348482.5007175598</v>
      </c>
      <c r="AE698" s="259">
        <v>5533396.2404485652</v>
      </c>
      <c r="AF698" s="259">
        <v>5577556.5298581189</v>
      </c>
      <c r="AG698" s="259">
        <v>4250752.0037449561</v>
      </c>
      <c r="AH698" s="259">
        <v>4305432.2275416963</v>
      </c>
      <c r="AI698" s="259">
        <v>3044261.7238481552</v>
      </c>
      <c r="AJ698" s="259">
        <v>2586463.9055160517</v>
      </c>
      <c r="AK698" s="259">
        <v>1764595.2718611087</v>
      </c>
      <c r="AL698" s="259">
        <v>608130.53085223678</v>
      </c>
      <c r="AM698" s="259">
        <v>622471.07323743368</v>
      </c>
      <c r="AN698" s="259">
        <v>227146.19679126874</v>
      </c>
      <c r="AO698" s="259">
        <v>230833.38840438961</v>
      </c>
      <c r="AP698" s="259">
        <v>234903.5920848453</v>
      </c>
      <c r="AQ698" s="259">
        <v>232556.15010486529</v>
      </c>
      <c r="AR698" s="259">
        <v>230208.70812488528</v>
      </c>
      <c r="AS698" s="259">
        <v>227861.26614492529</v>
      </c>
      <c r="AT698" s="259">
        <v>225513.82416494528</v>
      </c>
      <c r="AU698" s="259">
        <v>222298.64440794528</v>
      </c>
      <c r="AV698" s="259">
        <v>220465.38728994527</v>
      </c>
      <c r="AW698" s="259">
        <v>1292867.272015065</v>
      </c>
      <c r="AX698" s="259">
        <v>220339.16767461528</v>
      </c>
      <c r="AY698" s="259">
        <v>220339.16767461505</v>
      </c>
      <c r="AZ698" s="259">
        <v>0</v>
      </c>
      <c r="BA698" s="259">
        <v>0</v>
      </c>
      <c r="BB698" s="259">
        <v>0</v>
      </c>
      <c r="BC698" s="259">
        <v>0</v>
      </c>
      <c r="BD698" s="259">
        <v>0</v>
      </c>
      <c r="BE698" s="259">
        <v>0</v>
      </c>
      <c r="BF698" s="259">
        <v>0</v>
      </c>
      <c r="BG698" s="259">
        <v>0</v>
      </c>
      <c r="BH698" s="259">
        <v>0</v>
      </c>
      <c r="BI698" s="259">
        <v>0</v>
      </c>
      <c r="BJ698" s="259">
        <v>0</v>
      </c>
      <c r="BK698" s="259">
        <v>0</v>
      </c>
    </row>
    <row r="699" spans="1:63">
      <c r="A699" s="169"/>
      <c r="B699" s="307" t="s">
        <v>29</v>
      </c>
      <c r="C699" s="308"/>
      <c r="D699" s="309"/>
      <c r="E699" s="309"/>
      <c r="F699" s="309"/>
      <c r="G699" s="309"/>
      <c r="H699" s="309"/>
      <c r="I699" s="309"/>
      <c r="J699" s="309"/>
      <c r="K699" s="309"/>
      <c r="L699" s="309"/>
      <c r="M699" s="309"/>
      <c r="N699" s="309"/>
      <c r="O699" s="309"/>
      <c r="P699" s="309"/>
      <c r="Q699" s="309"/>
      <c r="R699" s="309"/>
      <c r="S699" s="309"/>
      <c r="T699" s="309"/>
      <c r="U699" s="309"/>
      <c r="V699" s="309">
        <f>+V697+V698</f>
        <v>65108439.410259783</v>
      </c>
      <c r="W699" s="309">
        <f t="shared" ref="W699:AZ699" si="73">+W697+W698</f>
        <v>35197737.416269526</v>
      </c>
      <c r="X699" s="309">
        <f t="shared" si="73"/>
        <v>51699681.943016291</v>
      </c>
      <c r="Y699" s="309">
        <f t="shared" si="73"/>
        <v>44830962.673031867</v>
      </c>
      <c r="Z699" s="309">
        <f t="shared" si="73"/>
        <v>40331498.929729715</v>
      </c>
      <c r="AA699" s="309">
        <f t="shared" si="73"/>
        <v>42748715.579623736</v>
      </c>
      <c r="AB699" s="309">
        <f t="shared" si="73"/>
        <v>39204406.172494531</v>
      </c>
      <c r="AC699" s="309">
        <f t="shared" si="73"/>
        <v>31302366.529432159</v>
      </c>
      <c r="AD699" s="309">
        <f t="shared" si="73"/>
        <v>38429165.800717562</v>
      </c>
      <c r="AE699" s="309">
        <f t="shared" si="73"/>
        <v>5769028.1340613654</v>
      </c>
      <c r="AF699" s="309">
        <f t="shared" si="73"/>
        <v>23380442.829858121</v>
      </c>
      <c r="AG699" s="309">
        <f t="shared" si="73"/>
        <v>4250752.0037449561</v>
      </c>
      <c r="AH699" s="309">
        <f t="shared" si="73"/>
        <v>23129212.527541697</v>
      </c>
      <c r="AI699" s="309">
        <f t="shared" si="73"/>
        <v>14227775.598448155</v>
      </c>
      <c r="AJ699" s="309">
        <f t="shared" si="73"/>
        <v>14576705.205516052</v>
      </c>
      <c r="AK699" s="309">
        <f t="shared" si="73"/>
        <v>17283517.960233908</v>
      </c>
      <c r="AL699" s="309">
        <f t="shared" si="73"/>
        <v>608130.53085223678</v>
      </c>
      <c r="AM699" s="309">
        <f t="shared" si="73"/>
        <v>6927702.1766374344</v>
      </c>
      <c r="AN699" s="309">
        <f t="shared" si="73"/>
        <v>227146.19679126874</v>
      </c>
      <c r="AO699" s="309">
        <f t="shared" si="73"/>
        <v>230833.38840438961</v>
      </c>
      <c r="AP699" s="309">
        <f t="shared" si="73"/>
        <v>234903.5920848453</v>
      </c>
      <c r="AQ699" s="309">
        <f t="shared" si="73"/>
        <v>232556.15010486529</v>
      </c>
      <c r="AR699" s="309">
        <f t="shared" si="73"/>
        <v>230208.70812488528</v>
      </c>
      <c r="AS699" s="309">
        <f t="shared" si="73"/>
        <v>227861.26614492529</v>
      </c>
      <c r="AT699" s="309">
        <f t="shared" si="73"/>
        <v>225513.82416494528</v>
      </c>
      <c r="AU699" s="309">
        <f t="shared" si="73"/>
        <v>222298.64440794528</v>
      </c>
      <c r="AV699" s="309">
        <f t="shared" si="73"/>
        <v>220465.38728994527</v>
      </c>
      <c r="AW699" s="309">
        <f t="shared" si="73"/>
        <v>1292867.272015065</v>
      </c>
      <c r="AX699" s="309">
        <f t="shared" si="73"/>
        <v>220339.16767461528</v>
      </c>
      <c r="AY699" s="309">
        <f t="shared" si="73"/>
        <v>3412859.1983130155</v>
      </c>
      <c r="AZ699" s="309">
        <f t="shared" si="73"/>
        <v>0</v>
      </c>
      <c r="BA699" s="309">
        <f>+BA697+BA698</f>
        <v>0</v>
      </c>
      <c r="BB699" s="309">
        <f t="shared" ref="BB699:BH699" si="74">+BB697+BB698</f>
        <v>0</v>
      </c>
      <c r="BC699" s="309">
        <f t="shared" si="74"/>
        <v>0</v>
      </c>
      <c r="BD699" s="309">
        <f t="shared" si="74"/>
        <v>0</v>
      </c>
      <c r="BE699" s="309">
        <f t="shared" si="74"/>
        <v>0</v>
      </c>
      <c r="BF699" s="309">
        <f t="shared" si="74"/>
        <v>0</v>
      </c>
      <c r="BG699" s="309">
        <f t="shared" si="74"/>
        <v>0</v>
      </c>
      <c r="BH699" s="309">
        <f t="shared" si="74"/>
        <v>0</v>
      </c>
      <c r="BI699" s="309">
        <f>+BI697+BI698</f>
        <v>0</v>
      </c>
      <c r="BJ699" s="309">
        <f>+BJ697+BJ698</f>
        <v>0</v>
      </c>
      <c r="BK699" s="309">
        <f>+BK697+BK698</f>
        <v>0</v>
      </c>
    </row>
    <row r="700" spans="1:63">
      <c r="A700" s="167"/>
      <c r="B700" s="210" t="s">
        <v>28</v>
      </c>
      <c r="C700" s="254"/>
      <c r="D700" s="255"/>
      <c r="E700" s="255"/>
      <c r="F700" s="255"/>
      <c r="G700" s="255"/>
      <c r="H700" s="255"/>
      <c r="I700" s="255"/>
      <c r="J700" s="255"/>
      <c r="K700" s="255"/>
      <c r="L700" s="255"/>
      <c r="M700" s="255"/>
      <c r="N700" s="255"/>
      <c r="O700" s="255"/>
      <c r="P700" s="255"/>
      <c r="Q700" s="255"/>
      <c r="R700" s="255"/>
      <c r="S700" s="255"/>
      <c r="T700" s="255"/>
      <c r="U700" s="255"/>
      <c r="V700" s="255">
        <v>41481258.790437996</v>
      </c>
      <c r="W700" s="255">
        <v>17660510.440999597</v>
      </c>
      <c r="X700" s="255">
        <v>33485031.848999999</v>
      </c>
      <c r="Y700" s="255">
        <v>29019164.548441682</v>
      </c>
      <c r="Z700" s="255">
        <v>25779268.921999998</v>
      </c>
      <c r="AA700" s="255">
        <v>30763194.040739998</v>
      </c>
      <c r="AB700" s="255">
        <v>28779012.042999998</v>
      </c>
      <c r="AC700" s="255">
        <v>24687303.459251601</v>
      </c>
      <c r="AD700" s="255">
        <v>31116142.199999999</v>
      </c>
      <c r="AE700" s="255">
        <v>284032.65545319999</v>
      </c>
      <c r="AF700" s="255">
        <v>18502886.300000001</v>
      </c>
      <c r="AG700" s="255">
        <v>0</v>
      </c>
      <c r="AH700" s="255">
        <v>19309037.600000001</v>
      </c>
      <c r="AI700" s="255">
        <v>11381658.389529599</v>
      </c>
      <c r="AJ700" s="255">
        <v>12577758.800000001</v>
      </c>
      <c r="AK700" s="255">
        <v>15613455.095360398</v>
      </c>
      <c r="AL700" s="255">
        <v>0</v>
      </c>
      <c r="AM700" s="255">
        <v>6818008.2528223991</v>
      </c>
      <c r="AN700" s="255">
        <v>0</v>
      </c>
      <c r="AO700" s="255">
        <v>0</v>
      </c>
      <c r="AP700" s="255">
        <v>0</v>
      </c>
      <c r="AQ700" s="255">
        <v>0</v>
      </c>
      <c r="AR700" s="255">
        <v>0</v>
      </c>
      <c r="AS700" s="255">
        <v>0</v>
      </c>
      <c r="AT700" s="255">
        <v>0</v>
      </c>
      <c r="AU700" s="255">
        <v>0</v>
      </c>
      <c r="AV700" s="255">
        <v>0</v>
      </c>
      <c r="AW700" s="255">
        <v>0</v>
      </c>
      <c r="AX700" s="255">
        <v>0</v>
      </c>
      <c r="AY700" s="255">
        <v>3211967.0379411997</v>
      </c>
      <c r="AZ700" s="255">
        <v>0</v>
      </c>
      <c r="BA700" s="255">
        <v>0</v>
      </c>
      <c r="BB700" s="255">
        <v>0</v>
      </c>
      <c r="BC700" s="255">
        <v>0</v>
      </c>
      <c r="BD700" s="255">
        <v>0</v>
      </c>
      <c r="BE700" s="255">
        <v>0</v>
      </c>
      <c r="BF700" s="255">
        <v>0</v>
      </c>
      <c r="BG700" s="255">
        <v>0</v>
      </c>
      <c r="BH700" s="255">
        <v>0</v>
      </c>
      <c r="BI700" s="255">
        <v>0</v>
      </c>
      <c r="BJ700" s="255">
        <v>0</v>
      </c>
      <c r="BK700" s="255">
        <v>0</v>
      </c>
    </row>
    <row r="701" spans="1:63">
      <c r="A701" s="168">
        <v>43951</v>
      </c>
      <c r="B701" s="213" t="s">
        <v>385</v>
      </c>
      <c r="C701" s="256"/>
      <c r="D701" s="257"/>
      <c r="E701" s="257"/>
      <c r="F701" s="257"/>
      <c r="G701" s="257"/>
      <c r="H701" s="257"/>
      <c r="I701" s="257"/>
      <c r="J701" s="257"/>
      <c r="K701" s="257"/>
      <c r="L701" s="257"/>
      <c r="M701" s="257"/>
      <c r="N701" s="257"/>
      <c r="O701" s="257"/>
      <c r="P701" s="257"/>
      <c r="Q701" s="257"/>
      <c r="R701" s="259"/>
      <c r="S701" s="259"/>
      <c r="T701" s="259"/>
      <c r="U701" s="259"/>
      <c r="V701" s="259">
        <v>13439374.86299132</v>
      </c>
      <c r="W701" s="259">
        <v>18823590.359669972</v>
      </c>
      <c r="X701" s="259">
        <v>18404263.209261488</v>
      </c>
      <c r="Y701" s="259">
        <v>16177175.027315319</v>
      </c>
      <c r="Z701" s="259">
        <v>14743943.928864487</v>
      </c>
      <c r="AA701" s="259">
        <v>12243738.940807549</v>
      </c>
      <c r="AB701" s="259">
        <v>10619322.812507261</v>
      </c>
      <c r="AC701" s="259">
        <v>8529976.4391953312</v>
      </c>
      <c r="AD701" s="259">
        <v>7456357.5126318727</v>
      </c>
      <c r="AE701" s="259">
        <v>5640019.2518078089</v>
      </c>
      <c r="AF701" s="259">
        <v>5683642.9465307845</v>
      </c>
      <c r="AG701" s="259">
        <v>4357724.1220253045</v>
      </c>
      <c r="AH701" s="259">
        <v>4413316.6184779517</v>
      </c>
      <c r="AI701" s="259">
        <v>3119117.7446200014</v>
      </c>
      <c r="AJ701" s="259">
        <v>2656311.894254555</v>
      </c>
      <c r="AK701" s="259">
        <v>1792665.8309492699</v>
      </c>
      <c r="AL701" s="259">
        <v>637043.20671303978</v>
      </c>
      <c r="AM701" s="259">
        <v>652251.12937406043</v>
      </c>
      <c r="AN701" s="259">
        <v>227146.19679126874</v>
      </c>
      <c r="AO701" s="259">
        <v>230833.38840438961</v>
      </c>
      <c r="AP701" s="259">
        <v>234903.5920848453</v>
      </c>
      <c r="AQ701" s="259">
        <v>232556.15010486529</v>
      </c>
      <c r="AR701" s="259">
        <v>230208.70812488528</v>
      </c>
      <c r="AS701" s="259">
        <v>227861.26614492529</v>
      </c>
      <c r="AT701" s="259">
        <v>225513.82416494528</v>
      </c>
      <c r="AU701" s="259">
        <v>222298.64440794528</v>
      </c>
      <c r="AV701" s="259">
        <v>220465.38728994527</v>
      </c>
      <c r="AW701" s="259">
        <v>1292864.302062585</v>
      </c>
      <c r="AX701" s="259">
        <v>220339.16767461528</v>
      </c>
      <c r="AY701" s="259">
        <v>220339.16767461505</v>
      </c>
      <c r="AZ701" s="259">
        <v>0</v>
      </c>
      <c r="BA701" s="259">
        <v>0</v>
      </c>
      <c r="BB701" s="259">
        <v>0</v>
      </c>
      <c r="BC701" s="259">
        <v>0</v>
      </c>
      <c r="BD701" s="259">
        <v>0</v>
      </c>
      <c r="BE701" s="259">
        <v>0</v>
      </c>
      <c r="BF701" s="259">
        <v>0</v>
      </c>
      <c r="BG701" s="259">
        <v>0</v>
      </c>
      <c r="BH701" s="259">
        <v>0</v>
      </c>
      <c r="BI701" s="259">
        <v>0</v>
      </c>
      <c r="BJ701" s="259">
        <v>0</v>
      </c>
      <c r="BK701" s="259">
        <v>0</v>
      </c>
    </row>
    <row r="702" spans="1:63">
      <c r="A702" s="169"/>
      <c r="B702" s="307" t="s">
        <v>29</v>
      </c>
      <c r="C702" s="308"/>
      <c r="D702" s="309"/>
      <c r="E702" s="309"/>
      <c r="F702" s="309"/>
      <c r="G702" s="309"/>
      <c r="H702" s="309"/>
      <c r="I702" s="309"/>
      <c r="J702" s="309"/>
      <c r="K702" s="309"/>
      <c r="L702" s="309"/>
      <c r="M702" s="309"/>
      <c r="N702" s="309"/>
      <c r="O702" s="309"/>
      <c r="P702" s="309"/>
      <c r="Q702" s="309"/>
      <c r="R702" s="309"/>
      <c r="S702" s="309"/>
      <c r="T702" s="309"/>
      <c r="U702" s="309"/>
      <c r="V702" s="309">
        <f>+V700+V701</f>
        <v>54920633.653429314</v>
      </c>
      <c r="W702" s="309">
        <f t="shared" ref="W702:AZ702" si="75">+W700+W701</f>
        <v>36484100.800669566</v>
      </c>
      <c r="X702" s="309">
        <f t="shared" si="75"/>
        <v>51889295.058261484</v>
      </c>
      <c r="Y702" s="309">
        <f t="shared" si="75"/>
        <v>45196339.575756997</v>
      </c>
      <c r="Z702" s="309">
        <f t="shared" si="75"/>
        <v>40523212.850864485</v>
      </c>
      <c r="AA702" s="309">
        <f t="shared" si="75"/>
        <v>43006932.981547549</v>
      </c>
      <c r="AB702" s="309">
        <f t="shared" si="75"/>
        <v>39398334.855507255</v>
      </c>
      <c r="AC702" s="309">
        <f t="shared" si="75"/>
        <v>33217279.898446932</v>
      </c>
      <c r="AD702" s="309">
        <f t="shared" si="75"/>
        <v>38572499.712631874</v>
      </c>
      <c r="AE702" s="309">
        <f t="shared" si="75"/>
        <v>5924051.9072610084</v>
      </c>
      <c r="AF702" s="309">
        <f t="shared" si="75"/>
        <v>24186529.246530786</v>
      </c>
      <c r="AG702" s="309">
        <f t="shared" si="75"/>
        <v>4357724.1220253045</v>
      </c>
      <c r="AH702" s="309">
        <f t="shared" si="75"/>
        <v>23722354.218477953</v>
      </c>
      <c r="AI702" s="309">
        <f t="shared" si="75"/>
        <v>14500776.1341496</v>
      </c>
      <c r="AJ702" s="309">
        <f t="shared" si="75"/>
        <v>15234070.694254555</v>
      </c>
      <c r="AK702" s="309">
        <f t="shared" si="75"/>
        <v>17406120.926309668</v>
      </c>
      <c r="AL702" s="309">
        <f t="shared" si="75"/>
        <v>637043.20671303978</v>
      </c>
      <c r="AM702" s="309">
        <f t="shared" si="75"/>
        <v>7470259.3821964599</v>
      </c>
      <c r="AN702" s="309">
        <f t="shared" si="75"/>
        <v>227146.19679126874</v>
      </c>
      <c r="AO702" s="309">
        <f t="shared" si="75"/>
        <v>230833.38840438961</v>
      </c>
      <c r="AP702" s="309">
        <f t="shared" si="75"/>
        <v>234903.5920848453</v>
      </c>
      <c r="AQ702" s="309">
        <f t="shared" si="75"/>
        <v>232556.15010486529</v>
      </c>
      <c r="AR702" s="309">
        <f t="shared" si="75"/>
        <v>230208.70812488528</v>
      </c>
      <c r="AS702" s="309">
        <f t="shared" si="75"/>
        <v>227861.26614492529</v>
      </c>
      <c r="AT702" s="309">
        <f t="shared" si="75"/>
        <v>225513.82416494528</v>
      </c>
      <c r="AU702" s="309">
        <f t="shared" si="75"/>
        <v>222298.64440794528</v>
      </c>
      <c r="AV702" s="309">
        <f t="shared" si="75"/>
        <v>220465.38728994527</v>
      </c>
      <c r="AW702" s="309">
        <f t="shared" si="75"/>
        <v>1292864.302062585</v>
      </c>
      <c r="AX702" s="309">
        <f t="shared" si="75"/>
        <v>220339.16767461528</v>
      </c>
      <c r="AY702" s="309">
        <f t="shared" si="75"/>
        <v>3432306.2056158148</v>
      </c>
      <c r="AZ702" s="309">
        <f t="shared" si="75"/>
        <v>0</v>
      </c>
      <c r="BA702" s="309">
        <f>+BA700+BA701</f>
        <v>0</v>
      </c>
      <c r="BB702" s="309">
        <f t="shared" ref="BB702:BH702" si="76">+BB700+BB701</f>
        <v>0</v>
      </c>
      <c r="BC702" s="309">
        <f t="shared" si="76"/>
        <v>0</v>
      </c>
      <c r="BD702" s="309">
        <f t="shared" si="76"/>
        <v>0</v>
      </c>
      <c r="BE702" s="309">
        <f t="shared" si="76"/>
        <v>0</v>
      </c>
      <c r="BF702" s="309">
        <f t="shared" si="76"/>
        <v>0</v>
      </c>
      <c r="BG702" s="309">
        <f t="shared" si="76"/>
        <v>0</v>
      </c>
      <c r="BH702" s="309">
        <f t="shared" si="76"/>
        <v>0</v>
      </c>
      <c r="BI702" s="309">
        <f>+BI700+BI701</f>
        <v>0</v>
      </c>
      <c r="BJ702" s="309">
        <f>+BJ700+BJ701</f>
        <v>0</v>
      </c>
      <c r="BK702" s="309">
        <f>+BK700+BK701</f>
        <v>0</v>
      </c>
    </row>
    <row r="703" spans="1:63">
      <c r="A703" s="167"/>
      <c r="B703" s="210" t="s">
        <v>28</v>
      </c>
      <c r="C703" s="254"/>
      <c r="D703" s="254"/>
      <c r="E703" s="254"/>
      <c r="F703" s="254"/>
      <c r="G703" s="254"/>
      <c r="H703" s="254"/>
      <c r="I703" s="254"/>
      <c r="J703" s="254"/>
      <c r="K703" s="254"/>
      <c r="L703" s="254"/>
      <c r="M703" s="254"/>
      <c r="N703" s="254"/>
      <c r="O703" s="254"/>
      <c r="P703" s="254"/>
      <c r="Q703" s="254"/>
      <c r="R703" s="254"/>
      <c r="S703" s="254"/>
      <c r="T703" s="254"/>
      <c r="U703" s="254"/>
      <c r="V703" s="255">
        <v>43112287.409303486</v>
      </c>
      <c r="W703" s="255">
        <v>16270522.091799999</v>
      </c>
      <c r="X703" s="255">
        <v>33486555.548999999</v>
      </c>
      <c r="Y703" s="255">
        <v>29121602.849995416</v>
      </c>
      <c r="Z703" s="255">
        <v>25779268.921999998</v>
      </c>
      <c r="AA703" s="255">
        <v>30801786.581999995</v>
      </c>
      <c r="AB703" s="255">
        <v>28779012.042999998</v>
      </c>
      <c r="AC703" s="255">
        <v>26154958.939061999</v>
      </c>
      <c r="AD703" s="255">
        <v>31116142.199999999</v>
      </c>
      <c r="AE703" s="255">
        <v>509251.72859999991</v>
      </c>
      <c r="AF703" s="255">
        <v>20479119.899999999</v>
      </c>
      <c r="AG703" s="255">
        <v>0</v>
      </c>
      <c r="AH703" s="255">
        <v>20041003.699999999</v>
      </c>
      <c r="AI703" s="255">
        <v>11534974.568399999</v>
      </c>
      <c r="AJ703" s="255">
        <v>14333095.9</v>
      </c>
      <c r="AK703" s="255">
        <v>16023569.744719999</v>
      </c>
      <c r="AL703" s="255">
        <v>0</v>
      </c>
      <c r="AM703" s="255">
        <v>7275000.5395199992</v>
      </c>
      <c r="AN703" s="255">
        <v>0</v>
      </c>
      <c r="AO703" s="255">
        <v>0</v>
      </c>
      <c r="AP703" s="255">
        <v>0</v>
      </c>
      <c r="AQ703" s="255">
        <v>0</v>
      </c>
      <c r="AR703" s="255">
        <v>0</v>
      </c>
      <c r="AS703" s="255">
        <v>0</v>
      </c>
      <c r="AT703" s="255">
        <v>0</v>
      </c>
      <c r="AU703" s="255">
        <v>0</v>
      </c>
      <c r="AV703" s="255">
        <v>0</v>
      </c>
      <c r="AW703" s="255">
        <v>0</v>
      </c>
      <c r="AX703" s="255">
        <v>0</v>
      </c>
      <c r="AY703" s="255">
        <v>3223433.6318799998</v>
      </c>
      <c r="AZ703" s="255">
        <v>0</v>
      </c>
      <c r="BA703" s="255">
        <v>0</v>
      </c>
      <c r="BB703" s="255">
        <v>0</v>
      </c>
      <c r="BC703" s="255">
        <v>0</v>
      </c>
      <c r="BD703" s="255">
        <v>0</v>
      </c>
      <c r="BE703" s="255">
        <v>0</v>
      </c>
      <c r="BF703" s="255">
        <v>0</v>
      </c>
      <c r="BG703" s="255">
        <v>0</v>
      </c>
      <c r="BH703" s="255">
        <v>0</v>
      </c>
      <c r="BI703" s="255">
        <v>0</v>
      </c>
      <c r="BJ703" s="255">
        <v>0</v>
      </c>
      <c r="BK703" s="255">
        <v>0</v>
      </c>
    </row>
    <row r="704" spans="1:63">
      <c r="A704" s="168">
        <v>43981</v>
      </c>
      <c r="B704" s="213" t="s">
        <v>385</v>
      </c>
      <c r="C704" s="256"/>
      <c r="D704" s="256"/>
      <c r="E704" s="256"/>
      <c r="F704" s="256"/>
      <c r="G704" s="256"/>
      <c r="H704" s="256"/>
      <c r="I704" s="256"/>
      <c r="J704" s="256"/>
      <c r="K704" s="256"/>
      <c r="L704" s="256"/>
      <c r="M704" s="256"/>
      <c r="N704" s="256"/>
      <c r="O704" s="256"/>
      <c r="P704" s="256"/>
      <c r="Q704" s="256"/>
      <c r="R704" s="256"/>
      <c r="S704" s="256"/>
      <c r="T704" s="256"/>
      <c r="U704" s="256"/>
      <c r="V704" s="259">
        <v>10940618.755069258</v>
      </c>
      <c r="W704" s="259">
        <v>19151355.336937737</v>
      </c>
      <c r="X704" s="259">
        <v>18822365.328990191</v>
      </c>
      <c r="Y704" s="259">
        <v>16596502.956748389</v>
      </c>
      <c r="Z704" s="259">
        <v>15164644.301063053</v>
      </c>
      <c r="AA704" s="259">
        <v>12665852.929054564</v>
      </c>
      <c r="AB704" s="259">
        <v>11042892.825284187</v>
      </c>
      <c r="AC704" s="259">
        <v>8955046.1572380736</v>
      </c>
      <c r="AD704" s="259">
        <v>7802299.7605983932</v>
      </c>
      <c r="AE704" s="259">
        <v>5987552.5370908212</v>
      </c>
      <c r="AF704" s="259">
        <v>6025972.773871257</v>
      </c>
      <c r="AG704" s="259">
        <v>4587128.5100634871</v>
      </c>
      <c r="AH704" s="259">
        <v>4644248.1511547826</v>
      </c>
      <c r="AI704" s="259">
        <v>3300384.6092746356</v>
      </c>
      <c r="AJ704" s="259">
        <v>2834038.28165155</v>
      </c>
      <c r="AK704" s="259">
        <v>1844644.212025671</v>
      </c>
      <c r="AL704" s="259">
        <v>663319.43699607393</v>
      </c>
      <c r="AM704" s="259">
        <v>679315.64656558505</v>
      </c>
      <c r="AN704" s="259">
        <v>227146.19679126874</v>
      </c>
      <c r="AO704" s="259">
        <v>230833.38840438961</v>
      </c>
      <c r="AP704" s="259">
        <v>234903.5920848453</v>
      </c>
      <c r="AQ704" s="259">
        <v>232556.15010486529</v>
      </c>
      <c r="AR704" s="259">
        <v>230208.70812488528</v>
      </c>
      <c r="AS704" s="259">
        <v>227861.26614492529</v>
      </c>
      <c r="AT704" s="259">
        <v>225513.82416494528</v>
      </c>
      <c r="AU704" s="259">
        <v>222298.64440794528</v>
      </c>
      <c r="AV704" s="259">
        <v>220465.38728994527</v>
      </c>
      <c r="AW704" s="259">
        <v>1292862.8539350249</v>
      </c>
      <c r="AX704" s="259">
        <v>220339.16767461528</v>
      </c>
      <c r="AY704" s="259">
        <v>220339.16767461551</v>
      </c>
      <c r="AZ704" s="259">
        <v>0</v>
      </c>
      <c r="BA704" s="259">
        <v>0</v>
      </c>
      <c r="BB704" s="259">
        <v>0</v>
      </c>
      <c r="BC704" s="259">
        <v>0</v>
      </c>
      <c r="BD704" s="259">
        <v>0</v>
      </c>
      <c r="BE704" s="259">
        <v>0</v>
      </c>
      <c r="BF704" s="259">
        <v>0</v>
      </c>
      <c r="BG704" s="259">
        <v>0</v>
      </c>
      <c r="BH704" s="259">
        <v>0</v>
      </c>
      <c r="BI704" s="259">
        <v>0</v>
      </c>
      <c r="BJ704" s="259">
        <v>0</v>
      </c>
      <c r="BK704" s="259">
        <v>0</v>
      </c>
    </row>
    <row r="705" spans="1:63">
      <c r="A705" s="169"/>
      <c r="B705" s="307" t="s">
        <v>29</v>
      </c>
      <c r="C705" s="308"/>
      <c r="D705" s="308"/>
      <c r="E705" s="308"/>
      <c r="F705" s="308"/>
      <c r="G705" s="308"/>
      <c r="H705" s="308"/>
      <c r="I705" s="308"/>
      <c r="J705" s="308"/>
      <c r="K705" s="308"/>
      <c r="L705" s="308"/>
      <c r="M705" s="308"/>
      <c r="N705" s="308"/>
      <c r="O705" s="308"/>
      <c r="P705" s="308"/>
      <c r="Q705" s="308"/>
      <c r="R705" s="308"/>
      <c r="S705" s="308"/>
      <c r="T705" s="308"/>
      <c r="U705" s="308"/>
      <c r="V705" s="309">
        <v>54052906.164372742</v>
      </c>
      <c r="W705" s="309">
        <v>35421877.428737737</v>
      </c>
      <c r="X705" s="309">
        <v>52308920.877990186</v>
      </c>
      <c r="Y705" s="309">
        <v>45718105.806743801</v>
      </c>
      <c r="Z705" s="309">
        <v>40943913.223063052</v>
      </c>
      <c r="AA705" s="309">
        <v>43467639.511054561</v>
      </c>
      <c r="AB705" s="309">
        <v>39821904.868284181</v>
      </c>
      <c r="AC705" s="309">
        <v>35110005.096300073</v>
      </c>
      <c r="AD705" s="309">
        <v>38918441.960598394</v>
      </c>
      <c r="AE705" s="309">
        <v>6496804.2656908212</v>
      </c>
      <c r="AF705" s="309">
        <v>26505092.673871256</v>
      </c>
      <c r="AG705" s="309">
        <v>4587128.5100634871</v>
      </c>
      <c r="AH705" s="309">
        <v>24685251.851154782</v>
      </c>
      <c r="AI705" s="309">
        <v>14835359.177674634</v>
      </c>
      <c r="AJ705" s="309">
        <v>17167134.181651551</v>
      </c>
      <c r="AK705" s="309">
        <v>17868213.956745669</v>
      </c>
      <c r="AL705" s="309">
        <v>663319.43699607393</v>
      </c>
      <c r="AM705" s="309">
        <v>7954316.1860855846</v>
      </c>
      <c r="AN705" s="309">
        <v>227146.19679126874</v>
      </c>
      <c r="AO705" s="309">
        <v>230833.38840438961</v>
      </c>
      <c r="AP705" s="309">
        <v>234903.5920848453</v>
      </c>
      <c r="AQ705" s="309">
        <v>232556.15010486529</v>
      </c>
      <c r="AR705" s="309">
        <v>230208.70812488528</v>
      </c>
      <c r="AS705" s="309">
        <v>227861.26614492529</v>
      </c>
      <c r="AT705" s="309">
        <v>225513.82416494528</v>
      </c>
      <c r="AU705" s="309">
        <v>222298.64440794528</v>
      </c>
      <c r="AV705" s="309">
        <v>220465.38728994527</v>
      </c>
      <c r="AW705" s="309">
        <v>1292862.8539350249</v>
      </c>
      <c r="AX705" s="309">
        <v>220339.16767461528</v>
      </c>
      <c r="AY705" s="309">
        <v>3443772.7995546153</v>
      </c>
      <c r="AZ705" s="309">
        <v>0</v>
      </c>
      <c r="BA705" s="309">
        <v>0</v>
      </c>
      <c r="BB705" s="309">
        <v>0</v>
      </c>
      <c r="BC705" s="309">
        <v>0</v>
      </c>
      <c r="BD705" s="309">
        <v>0</v>
      </c>
      <c r="BE705" s="309">
        <v>0</v>
      </c>
      <c r="BF705" s="309">
        <v>0</v>
      </c>
      <c r="BG705" s="309">
        <v>0</v>
      </c>
      <c r="BH705" s="309">
        <v>0</v>
      </c>
      <c r="BI705" s="309">
        <v>0</v>
      </c>
      <c r="BJ705" s="309">
        <v>0</v>
      </c>
      <c r="BK705" s="309">
        <v>0</v>
      </c>
    </row>
    <row r="706" spans="1:63">
      <c r="A706" s="167"/>
      <c r="B706" s="210" t="s">
        <v>28</v>
      </c>
      <c r="C706" s="254"/>
      <c r="D706" s="254"/>
      <c r="E706" s="254"/>
      <c r="F706" s="254"/>
      <c r="G706" s="254"/>
      <c r="H706" s="254"/>
      <c r="I706" s="254"/>
      <c r="J706" s="254"/>
      <c r="K706" s="254"/>
      <c r="L706" s="254"/>
      <c r="M706" s="254"/>
      <c r="N706" s="254"/>
      <c r="O706" s="254"/>
      <c r="P706" s="254"/>
      <c r="Q706" s="254"/>
      <c r="R706" s="254"/>
      <c r="S706" s="254"/>
      <c r="T706" s="254"/>
      <c r="U706" s="254"/>
      <c r="V706" s="255">
        <v>37636703.292356491</v>
      </c>
      <c r="W706" s="255">
        <v>26921402.456607502</v>
      </c>
      <c r="X706" s="255">
        <v>33486555.548999999</v>
      </c>
      <c r="Y706" s="255">
        <v>29100704.519244988</v>
      </c>
      <c r="Z706" s="255">
        <v>25779268.921999998</v>
      </c>
      <c r="AA706" s="255">
        <v>30793913.358024999</v>
      </c>
      <c r="AB706" s="255">
        <v>28779012.042999998</v>
      </c>
      <c r="AC706" s="255">
        <v>26818652.859003</v>
      </c>
      <c r="AD706" s="255">
        <v>31116142.199999999</v>
      </c>
      <c r="AE706" s="255">
        <v>726903.51952499989</v>
      </c>
      <c r="AF706" s="255">
        <v>20651349.144979797</v>
      </c>
      <c r="AG706" s="255">
        <v>0</v>
      </c>
      <c r="AH706" s="255">
        <v>20041003.699999999</v>
      </c>
      <c r="AI706" s="255">
        <v>11604480.820483498</v>
      </c>
      <c r="AJ706" s="255">
        <v>14932098.199999999</v>
      </c>
      <c r="AK706" s="255">
        <v>16011941.231132999</v>
      </c>
      <c r="AL706" s="255">
        <v>0</v>
      </c>
      <c r="AM706" s="255">
        <v>7475923.9270395003</v>
      </c>
      <c r="AN706" s="255">
        <v>0</v>
      </c>
      <c r="AO706" s="255">
        <v>0</v>
      </c>
      <c r="AP706" s="255">
        <v>0</v>
      </c>
      <c r="AQ706" s="255">
        <v>0</v>
      </c>
      <c r="AR706" s="255">
        <v>0</v>
      </c>
      <c r="AS706" s="255">
        <v>0</v>
      </c>
      <c r="AT706" s="255">
        <v>0</v>
      </c>
      <c r="AU706" s="255">
        <v>0</v>
      </c>
      <c r="AV706" s="255">
        <v>0</v>
      </c>
      <c r="AW706" s="255">
        <v>0</v>
      </c>
      <c r="AX706" s="255">
        <v>0</v>
      </c>
      <c r="AY706" s="255">
        <v>3497894.4115394996</v>
      </c>
      <c r="AZ706" s="255">
        <v>0</v>
      </c>
      <c r="BA706" s="255">
        <v>0</v>
      </c>
      <c r="BB706" s="255">
        <v>0</v>
      </c>
      <c r="BC706" s="255">
        <v>0</v>
      </c>
      <c r="BD706" s="255">
        <v>0</v>
      </c>
      <c r="BE706" s="255">
        <v>0</v>
      </c>
      <c r="BF706" s="255">
        <v>0</v>
      </c>
      <c r="BG706" s="255">
        <v>0</v>
      </c>
      <c r="BH706" s="255">
        <v>0</v>
      </c>
      <c r="BI706" s="255">
        <v>0</v>
      </c>
      <c r="BJ706" s="255">
        <v>0</v>
      </c>
      <c r="BK706" s="255">
        <v>0</v>
      </c>
    </row>
    <row r="707" spans="1:63">
      <c r="A707" s="168">
        <v>44012</v>
      </c>
      <c r="B707" s="213" t="s">
        <v>385</v>
      </c>
      <c r="C707" s="256"/>
      <c r="D707" s="256"/>
      <c r="E707" s="256"/>
      <c r="F707" s="256"/>
      <c r="G707" s="256"/>
      <c r="H707" s="256"/>
      <c r="I707" s="256"/>
      <c r="J707" s="256"/>
      <c r="K707" s="256"/>
      <c r="L707" s="256"/>
      <c r="M707" s="256"/>
      <c r="N707" s="256"/>
      <c r="O707" s="256"/>
      <c r="P707" s="256"/>
      <c r="Q707" s="256"/>
      <c r="R707" s="256"/>
      <c r="S707" s="256"/>
      <c r="T707" s="256"/>
      <c r="U707" s="256"/>
      <c r="V707" s="259">
        <v>9498100.618480226</v>
      </c>
      <c r="W707" s="259">
        <v>19260077.862935085</v>
      </c>
      <c r="X707" s="259">
        <v>18931880.833572835</v>
      </c>
      <c r="Y707" s="259">
        <v>16706833.469151005</v>
      </c>
      <c r="Z707" s="259">
        <v>15275814.27152025</v>
      </c>
      <c r="AA707" s="259">
        <v>12777887.541307976</v>
      </c>
      <c r="AB707" s="259">
        <v>11155818.018587705</v>
      </c>
      <c r="AC707" s="259">
        <v>9068888.6490231901</v>
      </c>
      <c r="AD707" s="259">
        <v>7878166.1593195666</v>
      </c>
      <c r="AE707" s="259">
        <v>6064392.0977711305</v>
      </c>
      <c r="AF707" s="259">
        <v>6097156.346125572</v>
      </c>
      <c r="AG707" s="259">
        <v>4659144.7594829332</v>
      </c>
      <c r="AH707" s="259">
        <v>4717122.0580543131</v>
      </c>
      <c r="AI707" s="259">
        <v>3374141.903378651</v>
      </c>
      <c r="AJ707" s="259">
        <v>2905136.3049505679</v>
      </c>
      <c r="AK707" s="259">
        <v>1873144.6792711623</v>
      </c>
      <c r="AL707" s="259">
        <v>692674.91825892846</v>
      </c>
      <c r="AM707" s="259">
        <v>709551.79226632568</v>
      </c>
      <c r="AN707" s="259">
        <v>244993.80408992464</v>
      </c>
      <c r="AO707" s="259">
        <v>249216.4239220052</v>
      </c>
      <c r="AP707" s="259">
        <v>253838.11866798933</v>
      </c>
      <c r="AQ707" s="259">
        <v>251490.67668800935</v>
      </c>
      <c r="AR707" s="259">
        <v>249143.23470802934</v>
      </c>
      <c r="AS707" s="259">
        <v>246795.79272806935</v>
      </c>
      <c r="AT707" s="259">
        <v>244448.35074808935</v>
      </c>
      <c r="AU707" s="259">
        <v>241233.17099108934</v>
      </c>
      <c r="AV707" s="259">
        <v>239399.91387308933</v>
      </c>
      <c r="AW707" s="259">
        <v>1311796.527374449</v>
      </c>
      <c r="AX707" s="259">
        <v>239273.69425775934</v>
      </c>
      <c r="AY707" s="259">
        <v>239273.69425775949</v>
      </c>
      <c r="AZ707" s="259">
        <v>0</v>
      </c>
      <c r="BA707" s="259">
        <v>0</v>
      </c>
      <c r="BB707" s="259">
        <v>0</v>
      </c>
      <c r="BC707" s="259">
        <v>0</v>
      </c>
      <c r="BD707" s="259">
        <v>0</v>
      </c>
      <c r="BE707" s="259">
        <v>0</v>
      </c>
      <c r="BF707" s="259">
        <v>0</v>
      </c>
      <c r="BG707" s="259">
        <v>0</v>
      </c>
      <c r="BH707" s="259">
        <v>0</v>
      </c>
      <c r="BI707" s="259">
        <v>0</v>
      </c>
      <c r="BJ707" s="259">
        <v>0</v>
      </c>
      <c r="BK707" s="259">
        <v>0</v>
      </c>
    </row>
    <row r="708" spans="1:63">
      <c r="A708" s="169"/>
      <c r="B708" s="307" t="s">
        <v>29</v>
      </c>
      <c r="C708" s="308"/>
      <c r="D708" s="308"/>
      <c r="E708" s="308"/>
      <c r="F708" s="308"/>
      <c r="G708" s="308"/>
      <c r="H708" s="308"/>
      <c r="I708" s="308"/>
      <c r="J708" s="308"/>
      <c r="K708" s="308"/>
      <c r="L708" s="308"/>
      <c r="M708" s="308"/>
      <c r="N708" s="308"/>
      <c r="O708" s="308"/>
      <c r="P708" s="308"/>
      <c r="Q708" s="308"/>
      <c r="R708" s="308"/>
      <c r="S708" s="308"/>
      <c r="T708" s="308"/>
      <c r="U708" s="308"/>
      <c r="V708" s="309">
        <v>47134803.910836719</v>
      </c>
      <c r="W708" s="309">
        <v>46181480.319542587</v>
      </c>
      <c r="X708" s="309">
        <v>52418436.38257283</v>
      </c>
      <c r="Y708" s="309">
        <v>45807537.988395989</v>
      </c>
      <c r="Z708" s="309">
        <v>41055083.193520248</v>
      </c>
      <c r="AA708" s="309">
        <v>43571800.899332978</v>
      </c>
      <c r="AB708" s="309">
        <v>39934830.061587706</v>
      </c>
      <c r="AC708" s="309">
        <v>35887541.50802619</v>
      </c>
      <c r="AD708" s="309">
        <v>38994308.359319568</v>
      </c>
      <c r="AE708" s="309">
        <v>6791295.6172961304</v>
      </c>
      <c r="AF708" s="309">
        <v>26748505.49110537</v>
      </c>
      <c r="AG708" s="309">
        <v>4659144.7594829332</v>
      </c>
      <c r="AH708" s="309">
        <v>24758125.758054312</v>
      </c>
      <c r="AI708" s="309">
        <v>14978622.723862149</v>
      </c>
      <c r="AJ708" s="309">
        <v>17837234.504950568</v>
      </c>
      <c r="AK708" s="309">
        <v>17885085.910404161</v>
      </c>
      <c r="AL708" s="309">
        <v>692674.91825892846</v>
      </c>
      <c r="AM708" s="309">
        <v>8185475.7193058264</v>
      </c>
      <c r="AN708" s="309">
        <v>244993.80408992464</v>
      </c>
      <c r="AO708" s="309">
        <v>249216.4239220052</v>
      </c>
      <c r="AP708" s="309">
        <v>253838.11866798933</v>
      </c>
      <c r="AQ708" s="309">
        <v>251490.67668800935</v>
      </c>
      <c r="AR708" s="309">
        <v>249143.23470802934</v>
      </c>
      <c r="AS708" s="309">
        <v>246795.79272806935</v>
      </c>
      <c r="AT708" s="309">
        <v>244448.35074808935</v>
      </c>
      <c r="AU708" s="309">
        <v>241233.17099108934</v>
      </c>
      <c r="AV708" s="309">
        <v>239399.91387308933</v>
      </c>
      <c r="AW708" s="309">
        <v>1311796.527374449</v>
      </c>
      <c r="AX708" s="309">
        <v>239273.69425775934</v>
      </c>
      <c r="AY708" s="309">
        <v>3737168.1057972591</v>
      </c>
      <c r="AZ708" s="309">
        <v>0</v>
      </c>
      <c r="BA708" s="309">
        <v>0</v>
      </c>
      <c r="BB708" s="309">
        <v>0</v>
      </c>
      <c r="BC708" s="309">
        <v>0</v>
      </c>
      <c r="BD708" s="309">
        <v>0</v>
      </c>
      <c r="BE708" s="309">
        <v>0</v>
      </c>
      <c r="BF708" s="309">
        <v>0</v>
      </c>
      <c r="BG708" s="309">
        <v>0</v>
      </c>
      <c r="BH708" s="309">
        <v>0</v>
      </c>
      <c r="BI708" s="309">
        <v>0</v>
      </c>
      <c r="BJ708" s="309">
        <v>0</v>
      </c>
      <c r="BK708" s="309">
        <v>0</v>
      </c>
    </row>
    <row r="709" spans="1:63">
      <c r="A709" s="167"/>
      <c r="B709" s="210" t="s">
        <v>28</v>
      </c>
      <c r="C709" s="254"/>
      <c r="D709" s="254"/>
      <c r="E709" s="254"/>
      <c r="F709" s="254"/>
      <c r="G709" s="254"/>
      <c r="H709" s="254"/>
      <c r="I709" s="254"/>
      <c r="J709" s="254"/>
      <c r="K709" s="254"/>
      <c r="L709" s="254"/>
      <c r="M709" s="254"/>
      <c r="N709" s="254"/>
      <c r="O709" s="254"/>
      <c r="P709" s="254"/>
      <c r="Q709" s="254"/>
      <c r="R709" s="254"/>
      <c r="S709" s="254"/>
      <c r="T709" s="254"/>
      <c r="U709" s="254"/>
      <c r="V709" s="255">
        <v>34940320.705930002</v>
      </c>
      <c r="W709" s="255">
        <v>27283389.630475499</v>
      </c>
      <c r="X709" s="255">
        <v>33486555.548999999</v>
      </c>
      <c r="Y709" s="255">
        <v>29002515.975153219</v>
      </c>
      <c r="Z709" s="255">
        <v>25779268.921999998</v>
      </c>
      <c r="AA709" s="255">
        <v>30755305.109584995</v>
      </c>
      <c r="AB709" s="255">
        <v>28779012.042999998</v>
      </c>
      <c r="AC709" s="255">
        <v>28280299.562025398</v>
      </c>
      <c r="AD709" s="255">
        <v>31116142.199999999</v>
      </c>
      <c r="AE709" s="255">
        <v>1244082.0274012999</v>
      </c>
      <c r="AF709" s="255">
        <v>21326284.944979798</v>
      </c>
      <c r="AG709" s="255">
        <v>0</v>
      </c>
      <c r="AH709" s="255">
        <v>21570611.699999999</v>
      </c>
      <c r="AI709" s="255">
        <v>11563153.863781899</v>
      </c>
      <c r="AJ709" s="255">
        <v>18152628</v>
      </c>
      <c r="AK709" s="255">
        <v>15954918.016376199</v>
      </c>
      <c r="AL709" s="255">
        <v>0</v>
      </c>
      <c r="AM709" s="255">
        <v>7623582.8305644998</v>
      </c>
      <c r="AN709" s="255">
        <v>0</v>
      </c>
      <c r="AO709" s="255">
        <v>0</v>
      </c>
      <c r="AP709" s="255">
        <v>0</v>
      </c>
      <c r="AQ709" s="255">
        <v>0</v>
      </c>
      <c r="AR709" s="255">
        <v>0</v>
      </c>
      <c r="AS709" s="255">
        <v>0</v>
      </c>
      <c r="AT709" s="255">
        <v>0</v>
      </c>
      <c r="AU709" s="255">
        <v>0</v>
      </c>
      <c r="AV709" s="255">
        <v>0</v>
      </c>
      <c r="AW709" s="255">
        <v>0</v>
      </c>
      <c r="AX709" s="255">
        <v>0</v>
      </c>
      <c r="AY709" s="255">
        <v>4073487.3618647996</v>
      </c>
      <c r="AZ709" s="255">
        <v>0</v>
      </c>
      <c r="BA709" s="255">
        <v>0</v>
      </c>
      <c r="BB709" s="255">
        <v>0</v>
      </c>
      <c r="BC709" s="255">
        <v>0</v>
      </c>
      <c r="BD709" s="255">
        <v>0</v>
      </c>
      <c r="BE709" s="255">
        <v>0</v>
      </c>
      <c r="BF709" s="255">
        <v>0</v>
      </c>
      <c r="BG709" s="255">
        <v>0</v>
      </c>
      <c r="BH709" s="255">
        <v>0</v>
      </c>
      <c r="BI709" s="255">
        <v>0</v>
      </c>
      <c r="BJ709" s="255">
        <v>0</v>
      </c>
      <c r="BK709" s="255">
        <v>0</v>
      </c>
    </row>
    <row r="710" spans="1:63">
      <c r="A710" s="168">
        <v>44043</v>
      </c>
      <c r="B710" s="213" t="s">
        <v>385</v>
      </c>
      <c r="C710" s="256"/>
      <c r="D710" s="256"/>
      <c r="E710" s="256"/>
      <c r="F710" s="256"/>
      <c r="G710" s="256"/>
      <c r="H710" s="256"/>
      <c r="I710" s="256"/>
      <c r="J710" s="256"/>
      <c r="K710" s="256"/>
      <c r="L710" s="256"/>
      <c r="M710" s="256"/>
      <c r="N710" s="256"/>
      <c r="O710" s="256"/>
      <c r="P710" s="256"/>
      <c r="Q710" s="256"/>
      <c r="R710" s="256"/>
      <c r="S710" s="256"/>
      <c r="T710" s="256"/>
      <c r="U710" s="256"/>
      <c r="V710" s="259">
        <v>6854050.7648123503</v>
      </c>
      <c r="W710" s="259">
        <v>19587566.595113155</v>
      </c>
      <c r="X710" s="259">
        <v>19455442.217115462</v>
      </c>
      <c r="Y710" s="259">
        <v>17231694.337682415</v>
      </c>
      <c r="Z710" s="259">
        <v>15802013.609590098</v>
      </c>
      <c r="AA710" s="259">
        <v>13305465.503002418</v>
      </c>
      <c r="AB710" s="259">
        <v>11684815.962615479</v>
      </c>
      <c r="AC710" s="259">
        <v>9599349.1748543009</v>
      </c>
      <c r="AD710" s="259">
        <v>8322368.922158109</v>
      </c>
      <c r="AE710" s="259">
        <v>6510146.5136448313</v>
      </c>
      <c r="AF710" s="259">
        <v>6528578.6056152536</v>
      </c>
      <c r="AG710" s="259">
        <v>5039815.2324073045</v>
      </c>
      <c r="AH710" s="259">
        <v>5098995.8160514161</v>
      </c>
      <c r="AI710" s="259">
        <v>3650182.4850006667</v>
      </c>
      <c r="AJ710" s="259">
        <v>3182453.4517062409</v>
      </c>
      <c r="AK710" s="259">
        <v>1918288.2776145067</v>
      </c>
      <c r="AL710" s="259">
        <v>739172.82455257454</v>
      </c>
      <c r="AM710" s="259">
        <v>757444.63574878091</v>
      </c>
      <c r="AN710" s="259">
        <v>283045.80145252461</v>
      </c>
      <c r="AO710" s="259">
        <v>288409.9812054832</v>
      </c>
      <c r="AP710" s="259">
        <v>294207.48266997171</v>
      </c>
      <c r="AQ710" s="259">
        <v>291860.04068999167</v>
      </c>
      <c r="AR710" s="259">
        <v>289512.59871001169</v>
      </c>
      <c r="AS710" s="259">
        <v>287165.15673005168</v>
      </c>
      <c r="AT710" s="259">
        <v>284817.7147500717</v>
      </c>
      <c r="AU710" s="259">
        <v>281602.53499307169</v>
      </c>
      <c r="AV710" s="259">
        <v>279769.27787507168</v>
      </c>
      <c r="AW710" s="259">
        <v>1299793.4997820219</v>
      </c>
      <c r="AX710" s="259">
        <v>279643.05825974169</v>
      </c>
      <c r="AY710" s="259">
        <v>279643.0582597414</v>
      </c>
      <c r="AZ710" s="259">
        <v>0</v>
      </c>
      <c r="BA710" s="259">
        <v>0</v>
      </c>
      <c r="BB710" s="259">
        <v>0</v>
      </c>
      <c r="BC710" s="259">
        <v>0</v>
      </c>
      <c r="BD710" s="259">
        <v>0</v>
      </c>
      <c r="BE710" s="259">
        <v>0</v>
      </c>
      <c r="BF710" s="259">
        <v>0</v>
      </c>
      <c r="BG710" s="259">
        <v>0</v>
      </c>
      <c r="BH710" s="259">
        <v>0</v>
      </c>
      <c r="BI710" s="259">
        <v>0</v>
      </c>
      <c r="BJ710" s="259">
        <v>0</v>
      </c>
      <c r="BK710" s="259">
        <v>0</v>
      </c>
    </row>
    <row r="711" spans="1:63">
      <c r="A711" s="169"/>
      <c r="B711" s="307" t="s">
        <v>29</v>
      </c>
      <c r="C711" s="308"/>
      <c r="D711" s="308"/>
      <c r="E711" s="308"/>
      <c r="F711" s="308"/>
      <c r="G711" s="308"/>
      <c r="H711" s="308"/>
      <c r="I711" s="308"/>
      <c r="J711" s="308"/>
      <c r="K711" s="308"/>
      <c r="L711" s="308"/>
      <c r="M711" s="308"/>
      <c r="N711" s="308"/>
      <c r="O711" s="308"/>
      <c r="P711" s="308"/>
      <c r="Q711" s="308"/>
      <c r="R711" s="308"/>
      <c r="S711" s="308"/>
      <c r="T711" s="308"/>
      <c r="U711" s="308"/>
      <c r="V711" s="309">
        <v>41794371.470742352</v>
      </c>
      <c r="W711" s="309">
        <v>46870956.22558865</v>
      </c>
      <c r="X711" s="309">
        <v>52941997.766115457</v>
      </c>
      <c r="Y711" s="309">
        <v>46234210.312835634</v>
      </c>
      <c r="Z711" s="309">
        <v>41581282.531590097</v>
      </c>
      <c r="AA711" s="309">
        <v>44060770.612587415</v>
      </c>
      <c r="AB711" s="309">
        <v>40463828.005615473</v>
      </c>
      <c r="AC711" s="309">
        <v>37879648.736879699</v>
      </c>
      <c r="AD711" s="309">
        <v>39438511.12215811</v>
      </c>
      <c r="AE711" s="309">
        <v>7754228.5410461314</v>
      </c>
      <c r="AF711" s="309">
        <v>27854863.550595053</v>
      </c>
      <c r="AG711" s="309">
        <v>5039815.2324073045</v>
      </c>
      <c r="AH711" s="309">
        <v>26669607.516051415</v>
      </c>
      <c r="AI711" s="309">
        <v>15213336.348782565</v>
      </c>
      <c r="AJ711" s="309">
        <v>21335081.451706242</v>
      </c>
      <c r="AK711" s="309">
        <v>17873206.293990705</v>
      </c>
      <c r="AL711" s="309">
        <v>739172.82455257454</v>
      </c>
      <c r="AM711" s="309">
        <v>8381027.4663132811</v>
      </c>
      <c r="AN711" s="309">
        <v>283045.80145252461</v>
      </c>
      <c r="AO711" s="309">
        <v>288409.9812054832</v>
      </c>
      <c r="AP711" s="309">
        <v>294207.48266997171</v>
      </c>
      <c r="AQ711" s="309">
        <v>291860.04068999167</v>
      </c>
      <c r="AR711" s="309">
        <v>289512.59871001169</v>
      </c>
      <c r="AS711" s="309">
        <v>287165.15673005168</v>
      </c>
      <c r="AT711" s="309">
        <v>284817.7147500717</v>
      </c>
      <c r="AU711" s="309">
        <v>281602.53499307169</v>
      </c>
      <c r="AV711" s="309">
        <v>279769.27787507168</v>
      </c>
      <c r="AW711" s="309">
        <v>1299793.4997820219</v>
      </c>
      <c r="AX711" s="309">
        <v>279643.05825974169</v>
      </c>
      <c r="AY711" s="309">
        <v>4353130.420124541</v>
      </c>
      <c r="AZ711" s="309">
        <v>0</v>
      </c>
      <c r="BA711" s="309">
        <v>0</v>
      </c>
      <c r="BB711" s="309">
        <v>0</v>
      </c>
      <c r="BC711" s="309">
        <v>0</v>
      </c>
      <c r="BD711" s="309">
        <v>0</v>
      </c>
      <c r="BE711" s="309">
        <v>0</v>
      </c>
      <c r="BF711" s="309">
        <v>0</v>
      </c>
      <c r="BG711" s="309">
        <v>0</v>
      </c>
      <c r="BH711" s="309">
        <v>0</v>
      </c>
      <c r="BI711" s="309">
        <v>0</v>
      </c>
      <c r="BJ711" s="309">
        <v>0</v>
      </c>
      <c r="BK711" s="309">
        <v>0</v>
      </c>
    </row>
    <row r="712" spans="1:63">
      <c r="A712" s="167"/>
      <c r="B712" s="210" t="s">
        <v>28</v>
      </c>
      <c r="C712" s="254"/>
      <c r="D712" s="254"/>
      <c r="E712" s="254"/>
      <c r="F712" s="254"/>
      <c r="G712" s="254"/>
      <c r="H712" s="254"/>
      <c r="I712" s="254"/>
      <c r="J712" s="254"/>
      <c r="K712" s="254"/>
      <c r="L712" s="254"/>
      <c r="M712" s="254"/>
      <c r="N712" s="254"/>
      <c r="O712" s="254"/>
      <c r="P712" s="254"/>
      <c r="Q712" s="254"/>
      <c r="R712" s="254"/>
      <c r="S712" s="254"/>
      <c r="T712" s="254"/>
      <c r="U712" s="254"/>
      <c r="V712" s="255">
        <v>35669201.394326001</v>
      </c>
      <c r="W712" s="255">
        <v>28265124.228149999</v>
      </c>
      <c r="X712" s="255">
        <v>33486555.548999999</v>
      </c>
      <c r="Y712" s="255">
        <v>28949743.781343024</v>
      </c>
      <c r="Z712" s="255">
        <v>25779268.921999998</v>
      </c>
      <c r="AA712" s="255">
        <v>30735423.746499997</v>
      </c>
      <c r="AB712" s="255">
        <v>28779012.042999998</v>
      </c>
      <c r="AC712" s="255">
        <v>29574809.498642001</v>
      </c>
      <c r="AD712" s="255">
        <v>31116142.199999999</v>
      </c>
      <c r="AE712" s="255">
        <v>1569087.9894599998</v>
      </c>
      <c r="AF712" s="255">
        <v>21326284.944979798</v>
      </c>
      <c r="AG712" s="255">
        <v>0</v>
      </c>
      <c r="AH712" s="255">
        <v>21570611.699999999</v>
      </c>
      <c r="AI712" s="255">
        <v>11541872.498669999</v>
      </c>
      <c r="AJ712" s="255">
        <v>19452505.199999999</v>
      </c>
      <c r="AK712" s="255">
        <v>15925553.844659999</v>
      </c>
      <c r="AL712" s="255">
        <v>0</v>
      </c>
      <c r="AM712" s="255">
        <v>8168018.9432399999</v>
      </c>
      <c r="AN712" s="255">
        <v>0</v>
      </c>
      <c r="AO712" s="255">
        <v>0</v>
      </c>
      <c r="AP712" s="255">
        <v>0</v>
      </c>
      <c r="AQ712" s="255">
        <v>0</v>
      </c>
      <c r="AR712" s="255">
        <v>0</v>
      </c>
      <c r="AS712" s="255">
        <v>0</v>
      </c>
      <c r="AT712" s="255">
        <v>0</v>
      </c>
      <c r="AU712" s="255">
        <v>0</v>
      </c>
      <c r="AV712" s="255">
        <v>0</v>
      </c>
      <c r="AW712" s="255">
        <v>0</v>
      </c>
      <c r="AX712" s="255">
        <v>0</v>
      </c>
      <c r="AY712" s="255">
        <v>4475185.1684099995</v>
      </c>
      <c r="AZ712" s="255">
        <v>0</v>
      </c>
      <c r="BA712" s="255">
        <v>0</v>
      </c>
      <c r="BB712" s="255">
        <v>0</v>
      </c>
      <c r="BC712" s="255">
        <v>0</v>
      </c>
      <c r="BD712" s="255">
        <v>0</v>
      </c>
      <c r="BE712" s="255">
        <v>0</v>
      </c>
      <c r="BF712" s="255">
        <v>0</v>
      </c>
      <c r="BG712" s="255">
        <v>0</v>
      </c>
      <c r="BH712" s="255">
        <v>0</v>
      </c>
      <c r="BI712" s="255">
        <v>0</v>
      </c>
      <c r="BJ712" s="255">
        <v>0</v>
      </c>
      <c r="BK712" s="255">
        <v>0</v>
      </c>
    </row>
    <row r="713" spans="1:63">
      <c r="A713" s="168">
        <v>44074</v>
      </c>
      <c r="B713" s="213" t="s">
        <v>385</v>
      </c>
      <c r="C713" s="256"/>
      <c r="D713" s="256"/>
      <c r="E713" s="256"/>
      <c r="F713" s="256"/>
      <c r="G713" s="256"/>
      <c r="H713" s="256"/>
      <c r="I713" s="256"/>
      <c r="J713" s="256"/>
      <c r="K713" s="256"/>
      <c r="L713" s="256"/>
      <c r="M713" s="256"/>
      <c r="N713" s="256"/>
      <c r="O713" s="256"/>
      <c r="P713" s="256"/>
      <c r="Q713" s="256"/>
      <c r="R713" s="256"/>
      <c r="S713" s="256"/>
      <c r="T713" s="256"/>
      <c r="U713" s="256"/>
      <c r="V713" s="259">
        <v>4866178.6915623508</v>
      </c>
      <c r="W713" s="259">
        <v>19805297.320081752</v>
      </c>
      <c r="X713" s="259">
        <v>19654183.184376307</v>
      </c>
      <c r="Y713" s="259">
        <v>17430421.166813891</v>
      </c>
      <c r="Z713" s="259">
        <v>16003356.963402582</v>
      </c>
      <c r="AA713" s="259">
        <v>13509467.77042596</v>
      </c>
      <c r="AB713" s="259">
        <v>11891520.970990995</v>
      </c>
      <c r="AC713" s="259">
        <v>9808787.9929336589</v>
      </c>
      <c r="AD713" s="259">
        <v>8458293.1074457541</v>
      </c>
      <c r="AE713" s="259">
        <v>6648916.5024943715</v>
      </c>
      <c r="AF713" s="259">
        <v>6660195.1458349591</v>
      </c>
      <c r="AG713" s="259">
        <v>5174078.670676616</v>
      </c>
      <c r="AH713" s="259">
        <v>5235950.721231713</v>
      </c>
      <c r="AI713" s="259">
        <v>3789874.7630190947</v>
      </c>
      <c r="AJ713" s="259">
        <v>3325398.1068925206</v>
      </c>
      <c r="AK713" s="259">
        <v>1969363.8260086724</v>
      </c>
      <c r="AL713" s="259">
        <v>792670.52580073744</v>
      </c>
      <c r="AM713" s="259">
        <v>813416.1573764463</v>
      </c>
      <c r="AN713" s="259">
        <v>305340.01582815981</v>
      </c>
      <c r="AO713" s="259">
        <v>311993.69574000308</v>
      </c>
      <c r="AP713" s="259">
        <v>319035.83145476319</v>
      </c>
      <c r="AQ713" s="259">
        <v>317113.32948671316</v>
      </c>
      <c r="AR713" s="259">
        <v>315190.82751865318</v>
      </c>
      <c r="AS713" s="259">
        <v>313268.3255505932</v>
      </c>
      <c r="AT713" s="259">
        <v>311345.82358254318</v>
      </c>
      <c r="AU713" s="259">
        <v>309423.3216144832</v>
      </c>
      <c r="AV713" s="259">
        <v>307883.66945762321</v>
      </c>
      <c r="AW713" s="259">
        <v>1106886.9513989931</v>
      </c>
      <c r="AX713" s="259">
        <v>307785.89377682318</v>
      </c>
      <c r="AY713" s="259">
        <v>307785.89377682284</v>
      </c>
      <c r="AZ713" s="259">
        <v>0</v>
      </c>
      <c r="BA713" s="259">
        <v>0</v>
      </c>
      <c r="BB713" s="259">
        <v>0</v>
      </c>
      <c r="BC713" s="259">
        <v>0</v>
      </c>
      <c r="BD713" s="259">
        <v>0</v>
      </c>
      <c r="BE713" s="259">
        <v>0</v>
      </c>
      <c r="BF713" s="259">
        <v>0</v>
      </c>
      <c r="BG713" s="259">
        <v>0</v>
      </c>
      <c r="BH713" s="259">
        <v>0</v>
      </c>
      <c r="BI713" s="259">
        <v>0</v>
      </c>
      <c r="BJ713" s="259">
        <v>0</v>
      </c>
      <c r="BK713" s="259">
        <v>0</v>
      </c>
    </row>
    <row r="714" spans="1:63">
      <c r="A714" s="169"/>
      <c r="B714" s="307" t="s">
        <v>29</v>
      </c>
      <c r="C714" s="308"/>
      <c r="D714" s="308"/>
      <c r="E714" s="308"/>
      <c r="F714" s="308"/>
      <c r="G714" s="308"/>
      <c r="H714" s="308"/>
      <c r="I714" s="308"/>
      <c r="J714" s="308"/>
      <c r="K714" s="308"/>
      <c r="L714" s="308"/>
      <c r="M714" s="308"/>
      <c r="N714" s="308"/>
      <c r="O714" s="308"/>
      <c r="P714" s="308"/>
      <c r="Q714" s="308"/>
      <c r="R714" s="308"/>
      <c r="S714" s="308"/>
      <c r="T714" s="308"/>
      <c r="U714" s="308"/>
      <c r="V714" s="309">
        <v>40535380.085888356</v>
      </c>
      <c r="W714" s="309">
        <v>48070421.548231751</v>
      </c>
      <c r="X714" s="309">
        <v>53140738.733376309</v>
      </c>
      <c r="Y714" s="309">
        <v>46380164.948156916</v>
      </c>
      <c r="Z714" s="309">
        <v>41782625.885402583</v>
      </c>
      <c r="AA714" s="309">
        <v>44244891.516925961</v>
      </c>
      <c r="AB714" s="309">
        <v>40670533.013990991</v>
      </c>
      <c r="AC714" s="309">
        <v>39383597.491575658</v>
      </c>
      <c r="AD714" s="309">
        <v>39574435.30744575</v>
      </c>
      <c r="AE714" s="309">
        <v>8218004.4919543713</v>
      </c>
      <c r="AF714" s="309">
        <v>27986480.090814758</v>
      </c>
      <c r="AG714" s="309">
        <v>5174078.670676616</v>
      </c>
      <c r="AH714" s="309">
        <v>26806562.421231713</v>
      </c>
      <c r="AI714" s="309">
        <v>15331747.261689093</v>
      </c>
      <c r="AJ714" s="309">
        <v>22777903.306892522</v>
      </c>
      <c r="AK714" s="309">
        <v>17894917.670668673</v>
      </c>
      <c r="AL714" s="309">
        <v>792670.52580073744</v>
      </c>
      <c r="AM714" s="309">
        <v>8981435.1006164458</v>
      </c>
      <c r="AN714" s="309">
        <v>305340.01582815981</v>
      </c>
      <c r="AO714" s="309">
        <v>311993.69574000308</v>
      </c>
      <c r="AP714" s="309">
        <v>319035.83145476319</v>
      </c>
      <c r="AQ714" s="309">
        <v>317113.32948671316</v>
      </c>
      <c r="AR714" s="309">
        <v>315190.82751865318</v>
      </c>
      <c r="AS714" s="309">
        <v>313268.3255505932</v>
      </c>
      <c r="AT714" s="309">
        <v>311345.82358254318</v>
      </c>
      <c r="AU714" s="309">
        <v>309423.3216144832</v>
      </c>
      <c r="AV714" s="309">
        <v>307883.66945762321</v>
      </c>
      <c r="AW714" s="309">
        <v>1106886.9513989931</v>
      </c>
      <c r="AX714" s="309">
        <v>307785.89377682318</v>
      </c>
      <c r="AY714" s="309">
        <v>4782971.0621868223</v>
      </c>
      <c r="AZ714" s="309">
        <v>0</v>
      </c>
      <c r="BA714" s="309">
        <v>0</v>
      </c>
      <c r="BB714" s="309">
        <v>0</v>
      </c>
      <c r="BC714" s="309">
        <v>0</v>
      </c>
      <c r="BD714" s="309">
        <v>0</v>
      </c>
      <c r="BE714" s="309">
        <v>0</v>
      </c>
      <c r="BF714" s="309">
        <v>0</v>
      </c>
      <c r="BG714" s="309">
        <v>0</v>
      </c>
      <c r="BH714" s="309">
        <v>0</v>
      </c>
      <c r="BI714" s="309">
        <v>0</v>
      </c>
      <c r="BJ714" s="309">
        <v>0</v>
      </c>
      <c r="BK714" s="309">
        <v>0</v>
      </c>
    </row>
    <row r="715" spans="1:63">
      <c r="A715" s="167"/>
      <c r="B715" s="210" t="s">
        <v>28</v>
      </c>
      <c r="C715" s="254"/>
      <c r="D715" s="254"/>
      <c r="E715" s="254"/>
      <c r="F715" s="254"/>
      <c r="G715" s="254"/>
      <c r="H715" s="254"/>
      <c r="I715" s="254"/>
      <c r="J715" s="254"/>
      <c r="K715" s="254"/>
      <c r="L715" s="254"/>
      <c r="M715" s="254"/>
      <c r="N715" s="254"/>
      <c r="O715" s="254"/>
      <c r="P715" s="254"/>
      <c r="Q715" s="254"/>
      <c r="R715" s="254"/>
      <c r="S715" s="254"/>
      <c r="T715" s="254"/>
      <c r="U715" s="254"/>
      <c r="V715" s="255">
        <v>5785147.3872149996</v>
      </c>
      <c r="W715" s="255">
        <v>54522314.955227397</v>
      </c>
      <c r="X715" s="255">
        <v>29253656.048999999</v>
      </c>
      <c r="Y715" s="255">
        <v>28948315.81560098</v>
      </c>
      <c r="Z715" s="255">
        <v>25779268.921999998</v>
      </c>
      <c r="AA715" s="255">
        <v>30734885.775584996</v>
      </c>
      <c r="AB715" s="255">
        <v>28779012.042999998</v>
      </c>
      <c r="AC715" s="255">
        <v>30396982.335665401</v>
      </c>
      <c r="AD715" s="255">
        <v>31116142.199999999</v>
      </c>
      <c r="AE715" s="255">
        <v>2065349.1997849999</v>
      </c>
      <c r="AF715" s="255">
        <v>21714541.444979798</v>
      </c>
      <c r="AG715" s="255">
        <v>0</v>
      </c>
      <c r="AH715" s="255">
        <v>23613121.800000001</v>
      </c>
      <c r="AI715" s="255">
        <v>11541296.645021899</v>
      </c>
      <c r="AJ715" s="255">
        <v>22265198.100000001</v>
      </c>
      <c r="AK715" s="255">
        <v>15924759.277896201</v>
      </c>
      <c r="AL715" s="255">
        <v>0</v>
      </c>
      <c r="AM715" s="255">
        <v>8468020.1326870993</v>
      </c>
      <c r="AN715" s="255">
        <v>0</v>
      </c>
      <c r="AO715" s="255">
        <v>0</v>
      </c>
      <c r="AP715" s="255">
        <v>0</v>
      </c>
      <c r="AQ715" s="255">
        <v>0</v>
      </c>
      <c r="AR715" s="255">
        <v>0</v>
      </c>
      <c r="AS715" s="255">
        <v>0</v>
      </c>
      <c r="AT715" s="255">
        <v>0</v>
      </c>
      <c r="AU715" s="255">
        <v>0</v>
      </c>
      <c r="AV715" s="255">
        <v>0</v>
      </c>
      <c r="AW715" s="255">
        <v>0</v>
      </c>
      <c r="AX715" s="255">
        <v>0</v>
      </c>
      <c r="AY715" s="255">
        <v>5034348.4977873005</v>
      </c>
      <c r="AZ715" s="255">
        <v>5154460</v>
      </c>
      <c r="BA715" s="255">
        <v>0</v>
      </c>
      <c r="BB715" s="255">
        <v>0</v>
      </c>
      <c r="BC715" s="255">
        <v>0</v>
      </c>
      <c r="BD715" s="255">
        <v>0</v>
      </c>
      <c r="BE715" s="255">
        <v>0</v>
      </c>
      <c r="BF715" s="255">
        <v>0</v>
      </c>
      <c r="BG715" s="255">
        <v>0</v>
      </c>
      <c r="BH715" s="255">
        <v>0</v>
      </c>
      <c r="BI715" s="255">
        <v>0</v>
      </c>
      <c r="BJ715" s="255">
        <v>0</v>
      </c>
      <c r="BK715" s="255">
        <v>0</v>
      </c>
    </row>
    <row r="716" spans="1:63">
      <c r="A716" s="168">
        <v>44104</v>
      </c>
      <c r="B716" s="213" t="s">
        <v>385</v>
      </c>
      <c r="C716" s="256"/>
      <c r="D716" s="256"/>
      <c r="E716" s="256"/>
      <c r="F716" s="256"/>
      <c r="G716" s="256"/>
      <c r="H716" s="256"/>
      <c r="I716" s="256"/>
      <c r="J716" s="256"/>
      <c r="K716" s="256"/>
      <c r="L716" s="256"/>
      <c r="M716" s="256"/>
      <c r="N716" s="256"/>
      <c r="O716" s="256"/>
      <c r="P716" s="256"/>
      <c r="Q716" s="256"/>
      <c r="R716" s="256"/>
      <c r="S716" s="256"/>
      <c r="T716" s="256"/>
      <c r="U716" s="256"/>
      <c r="V716" s="259">
        <v>3945072.2265623496</v>
      </c>
      <c r="W716" s="259">
        <v>20321253.406008672</v>
      </c>
      <c r="X716" s="259">
        <v>20202271.514485441</v>
      </c>
      <c r="Y716" s="259">
        <v>18276215.497651305</v>
      </c>
      <c r="Z716" s="259">
        <v>16850596.421040114</v>
      </c>
      <c r="AA716" s="259">
        <v>14358195.708667617</v>
      </c>
      <c r="AB716" s="259">
        <v>12741782.044254908</v>
      </c>
      <c r="AC716" s="259">
        <v>10660628.195270484</v>
      </c>
      <c r="AD716" s="259">
        <v>9264433.0462276861</v>
      </c>
      <c r="AE716" s="259">
        <v>7456731.7393097598</v>
      </c>
      <c r="AF716" s="259">
        <v>7454494.8081513969</v>
      </c>
      <c r="AG716" s="259">
        <v>5939996.0439825468</v>
      </c>
      <c r="AH716" s="259">
        <v>6003227.7869693181</v>
      </c>
      <c r="AI716" s="259">
        <v>4415576.604961331</v>
      </c>
      <c r="AJ716" s="259">
        <v>3952542.4465355258</v>
      </c>
      <c r="AK716" s="259">
        <v>2394073.7030334664</v>
      </c>
      <c r="AL716" s="259">
        <v>1218910.7486362751</v>
      </c>
      <c r="AM716" s="259">
        <v>1241232.6363970493</v>
      </c>
      <c r="AN716" s="259">
        <v>715304.14276689698</v>
      </c>
      <c r="AO716" s="259">
        <v>723045.79598690255</v>
      </c>
      <c r="AP716" s="259">
        <v>731208.54420906957</v>
      </c>
      <c r="AQ716" s="259">
        <v>729286.04224101955</v>
      </c>
      <c r="AR716" s="259">
        <v>727363.54027295962</v>
      </c>
      <c r="AS716" s="259">
        <v>725441.03830489959</v>
      </c>
      <c r="AT716" s="259">
        <v>723518.53633684956</v>
      </c>
      <c r="AU716" s="259">
        <v>721596.03436878952</v>
      </c>
      <c r="AV716" s="259">
        <v>720056.38221192954</v>
      </c>
      <c r="AW716" s="259">
        <v>1519053.5754658596</v>
      </c>
      <c r="AX716" s="259">
        <v>719958.60653112957</v>
      </c>
      <c r="AY716" s="259">
        <v>719958.60653112922</v>
      </c>
      <c r="AZ716" s="259">
        <v>373698.34999999963</v>
      </c>
      <c r="BA716" s="259">
        <v>0</v>
      </c>
      <c r="BB716" s="259">
        <v>0</v>
      </c>
      <c r="BC716" s="259">
        <v>0</v>
      </c>
      <c r="BD716" s="259">
        <v>0</v>
      </c>
      <c r="BE716" s="259">
        <v>0</v>
      </c>
      <c r="BF716" s="259">
        <v>0</v>
      </c>
      <c r="BG716" s="259">
        <v>0</v>
      </c>
      <c r="BH716" s="259">
        <v>0</v>
      </c>
      <c r="BI716" s="259">
        <v>0</v>
      </c>
      <c r="BJ716" s="259">
        <v>0</v>
      </c>
      <c r="BK716" s="259">
        <v>0</v>
      </c>
    </row>
    <row r="717" spans="1:63">
      <c r="A717" s="169"/>
      <c r="B717" s="307" t="s">
        <v>29</v>
      </c>
      <c r="C717" s="308"/>
      <c r="D717" s="308"/>
      <c r="E717" s="308"/>
      <c r="F717" s="308"/>
      <c r="G717" s="308"/>
      <c r="H717" s="308"/>
      <c r="I717" s="308"/>
      <c r="J717" s="308"/>
      <c r="K717" s="308"/>
      <c r="L717" s="308"/>
      <c r="M717" s="308"/>
      <c r="N717" s="308"/>
      <c r="O717" s="308"/>
      <c r="P717" s="308"/>
      <c r="Q717" s="308"/>
      <c r="R717" s="308"/>
      <c r="S717" s="308"/>
      <c r="T717" s="308"/>
      <c r="U717" s="308"/>
      <c r="V717" s="309">
        <v>9730219.6137773488</v>
      </c>
      <c r="W717" s="309">
        <v>74843568.361236066</v>
      </c>
      <c r="X717" s="309">
        <v>49455927.563485444</v>
      </c>
      <c r="Y717" s="309">
        <v>47224531.313252285</v>
      </c>
      <c r="Z717" s="309">
        <v>42629865.343040109</v>
      </c>
      <c r="AA717" s="309">
        <v>45093081.484252617</v>
      </c>
      <c r="AB717" s="309">
        <v>41520794.087254904</v>
      </c>
      <c r="AC717" s="309">
        <v>41057610.530935884</v>
      </c>
      <c r="AD717" s="309">
        <v>40380575.246227682</v>
      </c>
      <c r="AE717" s="309">
        <v>9522080.9390947595</v>
      </c>
      <c r="AF717" s="309">
        <v>29169036.253131196</v>
      </c>
      <c r="AG717" s="309">
        <v>5939996.0439825468</v>
      </c>
      <c r="AH717" s="309">
        <v>29616349.58696932</v>
      </c>
      <c r="AI717" s="309">
        <v>15956873.249983229</v>
      </c>
      <c r="AJ717" s="309">
        <v>26217740.546535529</v>
      </c>
      <c r="AK717" s="309">
        <v>18318832.980929669</v>
      </c>
      <c r="AL717" s="309">
        <v>1218910.7486362751</v>
      </c>
      <c r="AM717" s="309">
        <v>9709252.7690841481</v>
      </c>
      <c r="AN717" s="309">
        <v>715304.14276689698</v>
      </c>
      <c r="AO717" s="309">
        <v>723045.79598690255</v>
      </c>
      <c r="AP717" s="309">
        <v>731208.54420906957</v>
      </c>
      <c r="AQ717" s="309">
        <v>729286.04224101955</v>
      </c>
      <c r="AR717" s="309">
        <v>727363.54027295962</v>
      </c>
      <c r="AS717" s="309">
        <v>725441.03830489959</v>
      </c>
      <c r="AT717" s="309">
        <v>723518.53633684956</v>
      </c>
      <c r="AU717" s="309">
        <v>721596.03436878952</v>
      </c>
      <c r="AV717" s="309">
        <v>720056.38221192954</v>
      </c>
      <c r="AW717" s="309">
        <v>1519053.5754658596</v>
      </c>
      <c r="AX717" s="309">
        <v>719958.60653112957</v>
      </c>
      <c r="AY717" s="309">
        <v>5754307.1043184297</v>
      </c>
      <c r="AZ717" s="309">
        <v>5528158.3499999996</v>
      </c>
      <c r="BA717" s="309">
        <v>0</v>
      </c>
      <c r="BB717" s="309">
        <v>0</v>
      </c>
      <c r="BC717" s="309">
        <v>0</v>
      </c>
      <c r="BD717" s="309">
        <v>0</v>
      </c>
      <c r="BE717" s="309">
        <v>0</v>
      </c>
      <c r="BF717" s="309">
        <v>0</v>
      </c>
      <c r="BG717" s="309">
        <v>0</v>
      </c>
      <c r="BH717" s="309">
        <v>0</v>
      </c>
      <c r="BI717" s="309">
        <v>0</v>
      </c>
      <c r="BJ717" s="309">
        <v>0</v>
      </c>
      <c r="BK717" s="309">
        <v>0</v>
      </c>
    </row>
    <row r="718" spans="1:63">
      <c r="A718" s="167"/>
      <c r="B718" s="210" t="s">
        <v>28</v>
      </c>
      <c r="C718" s="254"/>
      <c r="D718" s="254"/>
      <c r="E718" s="254"/>
      <c r="F718" s="254"/>
      <c r="G718" s="254"/>
      <c r="H718" s="254"/>
      <c r="I718" s="254"/>
      <c r="J718" s="254"/>
      <c r="K718" s="254"/>
      <c r="L718" s="254"/>
      <c r="M718" s="254"/>
      <c r="N718" s="254"/>
      <c r="O718" s="254"/>
      <c r="P718" s="254"/>
      <c r="Q718" s="254"/>
      <c r="R718" s="254"/>
      <c r="S718" s="254"/>
      <c r="T718" s="254"/>
      <c r="U718" s="254"/>
      <c r="V718" s="255">
        <v>6256450.3540040003</v>
      </c>
      <c r="W718" s="255">
        <v>54652423.711965203</v>
      </c>
      <c r="X718" s="255">
        <v>27931405.469999999</v>
      </c>
      <c r="Y718" s="255">
        <v>28952104.50102026</v>
      </c>
      <c r="Z718" s="255">
        <v>25779232.956</v>
      </c>
      <c r="AA718" s="255">
        <v>30734647.147704996</v>
      </c>
      <c r="AB718" s="255">
        <v>28779661.545022</v>
      </c>
      <c r="AC718" s="255">
        <v>32110975.771186199</v>
      </c>
      <c r="AD718" s="255">
        <v>31116142.199999999</v>
      </c>
      <c r="AE718" s="255">
        <v>2248565.4847590001</v>
      </c>
      <c r="AF718" s="255">
        <v>21787946.5528748</v>
      </c>
      <c r="AG718" s="255">
        <v>0</v>
      </c>
      <c r="AH718" s="255">
        <v>23907381.800000001</v>
      </c>
      <c r="AI718" s="255">
        <v>11541027.633098701</v>
      </c>
      <c r="AJ718" s="255">
        <v>23611603.399999999</v>
      </c>
      <c r="AK718" s="255">
        <v>15924388.093422601</v>
      </c>
      <c r="AL718" s="255">
        <v>0</v>
      </c>
      <c r="AM718" s="255">
        <v>9284945.7973272018</v>
      </c>
      <c r="AN718" s="255">
        <v>0</v>
      </c>
      <c r="AO718" s="255">
        <v>0</v>
      </c>
      <c r="AP718" s="255">
        <v>0</v>
      </c>
      <c r="AQ718" s="255">
        <v>0</v>
      </c>
      <c r="AR718" s="255">
        <v>0</v>
      </c>
      <c r="AS718" s="255">
        <v>0</v>
      </c>
      <c r="AT718" s="255">
        <v>0</v>
      </c>
      <c r="AU718" s="255">
        <v>0</v>
      </c>
      <c r="AV718" s="255">
        <v>0</v>
      </c>
      <c r="AW718" s="255">
        <v>0</v>
      </c>
      <c r="AX718" s="255">
        <v>0</v>
      </c>
      <c r="AY718" s="255">
        <v>5546050.3148852997</v>
      </c>
      <c r="AZ718" s="255">
        <v>6015509.0999999996</v>
      </c>
      <c r="BA718" s="255">
        <v>0</v>
      </c>
      <c r="BB718" s="255">
        <v>0</v>
      </c>
      <c r="BC718" s="255">
        <v>0</v>
      </c>
      <c r="BD718" s="255">
        <v>0</v>
      </c>
      <c r="BE718" s="255">
        <v>0</v>
      </c>
      <c r="BF718" s="255">
        <v>0</v>
      </c>
      <c r="BG718" s="255">
        <v>0</v>
      </c>
      <c r="BH718" s="255">
        <v>0</v>
      </c>
      <c r="BI718" s="255">
        <v>0</v>
      </c>
      <c r="BJ718" s="255">
        <v>0</v>
      </c>
      <c r="BK718" s="255">
        <v>0</v>
      </c>
    </row>
    <row r="719" spans="1:63">
      <c r="A719" s="168">
        <v>44135</v>
      </c>
      <c r="B719" s="213" t="s">
        <v>385</v>
      </c>
      <c r="C719" s="256"/>
      <c r="D719" s="256"/>
      <c r="E719" s="256"/>
      <c r="F719" s="256"/>
      <c r="G719" s="256"/>
      <c r="H719" s="256"/>
      <c r="I719" s="256"/>
      <c r="J719" s="256"/>
      <c r="K719" s="256"/>
      <c r="L719" s="256"/>
      <c r="M719" s="256"/>
      <c r="N719" s="256"/>
      <c r="O719" s="256"/>
      <c r="P719" s="256"/>
      <c r="Q719" s="256"/>
      <c r="R719" s="256"/>
      <c r="S719" s="256"/>
      <c r="T719" s="256"/>
      <c r="U719" s="256"/>
      <c r="V719" s="259">
        <v>2043892.6873123499</v>
      </c>
      <c r="W719" s="259">
        <v>20386164.801589161</v>
      </c>
      <c r="X719" s="259">
        <v>20258594.473259374</v>
      </c>
      <c r="Y719" s="259">
        <v>18379753.686033763</v>
      </c>
      <c r="Z719" s="259">
        <v>17000885.40348443</v>
      </c>
      <c r="AA719" s="259">
        <v>14476094.302219141</v>
      </c>
      <c r="AB719" s="259">
        <v>12861814.093688393</v>
      </c>
      <c r="AC719" s="259">
        <v>10750410.661994671</v>
      </c>
      <c r="AD719" s="259">
        <v>9301987.0949484035</v>
      </c>
      <c r="AE719" s="259">
        <v>7470127.8131455472</v>
      </c>
      <c r="AF719" s="259">
        <v>7444860.8662963351</v>
      </c>
      <c r="AG719" s="259">
        <v>5904597.6320146834</v>
      </c>
      <c r="AH719" s="259">
        <v>5940890.8449345296</v>
      </c>
      <c r="AI719" s="259">
        <v>4304485.6285898453</v>
      </c>
      <c r="AJ719" s="259">
        <v>3890743.3547614496</v>
      </c>
      <c r="AK719" s="259">
        <v>2210826.762920585</v>
      </c>
      <c r="AL719" s="259">
        <v>1213494.5799634918</v>
      </c>
      <c r="AM719" s="259">
        <v>1226208.3601115388</v>
      </c>
      <c r="AN719" s="259">
        <v>745973.77500587853</v>
      </c>
      <c r="AO719" s="259">
        <v>749816.46466264524</v>
      </c>
      <c r="AP719" s="259">
        <v>753904.35499991814</v>
      </c>
      <c r="AQ719" s="259">
        <v>751981.85303186812</v>
      </c>
      <c r="AR719" s="259">
        <v>750059.35106380819</v>
      </c>
      <c r="AS719" s="259">
        <v>748136.84909574816</v>
      </c>
      <c r="AT719" s="259">
        <v>746214.34712769813</v>
      </c>
      <c r="AU719" s="259">
        <v>744291.84515963809</v>
      </c>
      <c r="AV719" s="259">
        <v>742752.19300277811</v>
      </c>
      <c r="AW719" s="259">
        <v>1541687.3621315681</v>
      </c>
      <c r="AX719" s="259">
        <v>742654.41732197814</v>
      </c>
      <c r="AY719" s="259">
        <v>742654.41732197814</v>
      </c>
      <c r="AZ719" s="259">
        <v>373698.34999999963</v>
      </c>
      <c r="BA719" s="259">
        <v>0</v>
      </c>
      <c r="BB719" s="259">
        <v>0</v>
      </c>
      <c r="BC719" s="259">
        <v>0</v>
      </c>
      <c r="BD719" s="259">
        <v>0</v>
      </c>
      <c r="BE719" s="259">
        <v>0</v>
      </c>
      <c r="BF719" s="259">
        <v>0</v>
      </c>
      <c r="BG719" s="259">
        <v>0</v>
      </c>
      <c r="BH719" s="259">
        <v>0</v>
      </c>
      <c r="BI719" s="259">
        <v>0</v>
      </c>
      <c r="BJ719" s="259">
        <v>0</v>
      </c>
      <c r="BK719" s="259">
        <v>0</v>
      </c>
    </row>
    <row r="720" spans="1:63">
      <c r="A720" s="169"/>
      <c r="B720" s="307" t="s">
        <v>29</v>
      </c>
      <c r="C720" s="308"/>
      <c r="D720" s="308"/>
      <c r="E720" s="308"/>
      <c r="F720" s="308"/>
      <c r="G720" s="308"/>
      <c r="H720" s="308"/>
      <c r="I720" s="308"/>
      <c r="J720" s="308"/>
      <c r="K720" s="308"/>
      <c r="L720" s="308"/>
      <c r="M720" s="308"/>
      <c r="N720" s="308"/>
      <c r="O720" s="308"/>
      <c r="P720" s="308"/>
      <c r="Q720" s="308"/>
      <c r="R720" s="308"/>
      <c r="S720" s="308"/>
      <c r="T720" s="308"/>
      <c r="U720" s="308"/>
      <c r="V720" s="309">
        <v>8300343.04131635</v>
      </c>
      <c r="W720" s="309">
        <v>75038588.513554364</v>
      </c>
      <c r="X720" s="309">
        <v>48189999.943259373</v>
      </c>
      <c r="Y720" s="309">
        <v>47331858.187054023</v>
      </c>
      <c r="Z720" s="309">
        <v>42780118.359484434</v>
      </c>
      <c r="AA720" s="309">
        <v>45210741.449924141</v>
      </c>
      <c r="AB720" s="309">
        <v>41641475.638710395</v>
      </c>
      <c r="AC720" s="309">
        <v>42861386.433180869</v>
      </c>
      <c r="AD720" s="309">
        <v>40418129.294948399</v>
      </c>
      <c r="AE720" s="309">
        <v>9718693.2979045473</v>
      </c>
      <c r="AF720" s="309">
        <v>29232807.419171136</v>
      </c>
      <c r="AG720" s="309">
        <v>5904597.6320146834</v>
      </c>
      <c r="AH720" s="309">
        <v>29848272.644934531</v>
      </c>
      <c r="AI720" s="309">
        <v>15845513.261688545</v>
      </c>
      <c r="AJ720" s="309">
        <v>27502346.75476145</v>
      </c>
      <c r="AK720" s="309">
        <v>18135214.856343187</v>
      </c>
      <c r="AL720" s="309">
        <v>1213494.5799634918</v>
      </c>
      <c r="AM720" s="309">
        <v>10511154.15743874</v>
      </c>
      <c r="AN720" s="309">
        <v>745973.77500587853</v>
      </c>
      <c r="AO720" s="309">
        <v>749816.46466264524</v>
      </c>
      <c r="AP720" s="309">
        <v>753904.35499991814</v>
      </c>
      <c r="AQ720" s="309">
        <v>751981.85303186812</v>
      </c>
      <c r="AR720" s="309">
        <v>750059.35106380819</v>
      </c>
      <c r="AS720" s="309">
        <v>748136.84909574816</v>
      </c>
      <c r="AT720" s="309">
        <v>746214.34712769813</v>
      </c>
      <c r="AU720" s="309">
        <v>744291.84515963809</v>
      </c>
      <c r="AV720" s="309">
        <v>742752.19300277811</v>
      </c>
      <c r="AW720" s="309">
        <v>1541687.3621315681</v>
      </c>
      <c r="AX720" s="309">
        <v>742654.41732197814</v>
      </c>
      <c r="AY720" s="309">
        <v>6288704.7322072778</v>
      </c>
      <c r="AZ720" s="309">
        <v>6389207.4499999993</v>
      </c>
      <c r="BA720" s="309">
        <v>0</v>
      </c>
      <c r="BB720" s="309">
        <v>0</v>
      </c>
      <c r="BC720" s="309">
        <v>0</v>
      </c>
      <c r="BD720" s="309">
        <v>0</v>
      </c>
      <c r="BE720" s="309">
        <v>0</v>
      </c>
      <c r="BF720" s="309">
        <v>0</v>
      </c>
      <c r="BG720" s="309">
        <v>0</v>
      </c>
      <c r="BH720" s="309">
        <v>0</v>
      </c>
      <c r="BI720" s="309">
        <v>0</v>
      </c>
      <c r="BJ720" s="309">
        <v>0</v>
      </c>
      <c r="BK720" s="309">
        <v>0</v>
      </c>
    </row>
    <row r="721" spans="1:63">
      <c r="A721" s="167"/>
      <c r="B721" s="210" t="s">
        <v>28</v>
      </c>
      <c r="C721" s="254"/>
      <c r="D721" s="254"/>
      <c r="E721" s="254"/>
      <c r="F721" s="254"/>
      <c r="G721" s="254"/>
      <c r="H721" s="254"/>
      <c r="I721" s="254"/>
      <c r="J721" s="254"/>
      <c r="K721" s="254"/>
      <c r="L721" s="254"/>
      <c r="M721" s="254"/>
      <c r="N721" s="254"/>
      <c r="O721" s="254"/>
      <c r="P721" s="254"/>
      <c r="Q721" s="254"/>
      <c r="R721" s="254"/>
      <c r="S721" s="254"/>
      <c r="T721" s="254"/>
      <c r="U721" s="254"/>
      <c r="V721" s="255">
        <v>3888830.4434489999</v>
      </c>
      <c r="W721" s="255">
        <v>57933009.172272995</v>
      </c>
      <c r="X721" s="255">
        <v>27931404.603</v>
      </c>
      <c r="Y721" s="255">
        <v>29034301.994602751</v>
      </c>
      <c r="Z721" s="255">
        <v>25779233.822999999</v>
      </c>
      <c r="AA721" s="255">
        <v>30765613.853074998</v>
      </c>
      <c r="AB721" s="255">
        <v>28779661.545022</v>
      </c>
      <c r="AC721" s="255">
        <v>33281947.351573002</v>
      </c>
      <c r="AD721" s="255">
        <v>31117065.606022</v>
      </c>
      <c r="AE721" s="255">
        <v>2339234.3406719998</v>
      </c>
      <c r="AF721" s="255">
        <v>21797946.5528748</v>
      </c>
      <c r="AG721" s="255">
        <v>0</v>
      </c>
      <c r="AH721" s="255">
        <v>23907381.800000001</v>
      </c>
      <c r="AI721" s="255">
        <v>11574174.946010498</v>
      </c>
      <c r="AJ721" s="255">
        <v>25289327.600000001</v>
      </c>
      <c r="AK721" s="255">
        <v>15970124.980279</v>
      </c>
      <c r="AL721" s="255">
        <v>0</v>
      </c>
      <c r="AM721" s="255">
        <v>9880191.7580490001</v>
      </c>
      <c r="AN721" s="255">
        <v>0</v>
      </c>
      <c r="AO721" s="255">
        <v>0</v>
      </c>
      <c r="AP721" s="255">
        <v>0</v>
      </c>
      <c r="AQ721" s="255">
        <v>0</v>
      </c>
      <c r="AR721" s="255">
        <v>0</v>
      </c>
      <c r="AS721" s="255">
        <v>0</v>
      </c>
      <c r="AT721" s="255">
        <v>0</v>
      </c>
      <c r="AU721" s="255">
        <v>0</v>
      </c>
      <c r="AV721" s="255">
        <v>0</v>
      </c>
      <c r="AW721" s="255">
        <v>0</v>
      </c>
      <c r="AX721" s="255">
        <v>0</v>
      </c>
      <c r="AY721" s="255">
        <v>5949907.0917344997</v>
      </c>
      <c r="AZ721" s="255">
        <v>6872435.0999999996</v>
      </c>
      <c r="BA721" s="255">
        <v>0</v>
      </c>
      <c r="BB721" s="255">
        <v>0</v>
      </c>
      <c r="BC721" s="255">
        <v>0</v>
      </c>
      <c r="BD721" s="255">
        <v>0</v>
      </c>
      <c r="BE721" s="255">
        <v>0</v>
      </c>
      <c r="BF721" s="255">
        <v>0</v>
      </c>
      <c r="BG721" s="255">
        <v>0</v>
      </c>
      <c r="BH721" s="255">
        <v>0</v>
      </c>
      <c r="BI721" s="255">
        <v>0</v>
      </c>
      <c r="BJ721" s="255">
        <v>0</v>
      </c>
      <c r="BK721" s="255">
        <v>0</v>
      </c>
    </row>
    <row r="722" spans="1:63">
      <c r="A722" s="168">
        <v>44165</v>
      </c>
      <c r="B722" s="213" t="s">
        <v>385</v>
      </c>
      <c r="C722" s="256"/>
      <c r="D722" s="256"/>
      <c r="E722" s="256"/>
      <c r="F722" s="256"/>
      <c r="G722" s="256"/>
      <c r="H722" s="256"/>
      <c r="I722" s="256"/>
      <c r="J722" s="256"/>
      <c r="K722" s="256"/>
      <c r="L722" s="256"/>
      <c r="M722" s="256"/>
      <c r="N722" s="256"/>
      <c r="O722" s="256"/>
      <c r="P722" s="256"/>
      <c r="Q722" s="256"/>
      <c r="R722" s="256"/>
      <c r="S722" s="256"/>
      <c r="T722" s="256"/>
      <c r="U722" s="256"/>
      <c r="V722" s="259">
        <v>1054.5453123499999</v>
      </c>
      <c r="W722" s="259">
        <v>20750016.941310491</v>
      </c>
      <c r="X722" s="259">
        <v>20663072.475909911</v>
      </c>
      <c r="Y722" s="259">
        <v>18830708.032383505</v>
      </c>
      <c r="Z722" s="259">
        <v>17430308.274558786</v>
      </c>
      <c r="AA722" s="259">
        <v>14939835.121256854</v>
      </c>
      <c r="AB722" s="259">
        <v>13332489.153504873</v>
      </c>
      <c r="AC722" s="259">
        <v>11253592.721262952</v>
      </c>
      <c r="AD722" s="259">
        <v>9711905.4570460692</v>
      </c>
      <c r="AE722" s="259">
        <v>7906696.2989476863</v>
      </c>
      <c r="AF722" s="259">
        <v>7899928.7198139979</v>
      </c>
      <c r="AG722" s="259">
        <v>6387860.9494900256</v>
      </c>
      <c r="AH722" s="259">
        <v>6430144.1859693741</v>
      </c>
      <c r="AI722" s="259">
        <v>4799848.7936553946</v>
      </c>
      <c r="AJ722" s="259">
        <v>4336963.4544179235</v>
      </c>
      <c r="AK722" s="259">
        <v>2540661.0172801916</v>
      </c>
      <c r="AL722" s="259">
        <v>1422817.8597033271</v>
      </c>
      <c r="AM722" s="259">
        <v>1438475.5627461714</v>
      </c>
      <c r="AN722" s="259">
        <v>867166.43746609765</v>
      </c>
      <c r="AO722" s="259">
        <v>872190.43767206871</v>
      </c>
      <c r="AP722" s="259">
        <v>877483.26476953004</v>
      </c>
      <c r="AQ722" s="259">
        <v>875560.76280148001</v>
      </c>
      <c r="AR722" s="259">
        <v>873638.26083342009</v>
      </c>
      <c r="AS722" s="259">
        <v>871715.75886536005</v>
      </c>
      <c r="AT722" s="259">
        <v>869793.25689731003</v>
      </c>
      <c r="AU722" s="259">
        <v>867870.75492924999</v>
      </c>
      <c r="AV722" s="259">
        <v>866331.10277239</v>
      </c>
      <c r="AW722" s="259">
        <v>1663786.13919897</v>
      </c>
      <c r="AX722" s="259">
        <v>866233.32709159004</v>
      </c>
      <c r="AY722" s="259">
        <v>866233.3270915905</v>
      </c>
      <c r="AZ722" s="259">
        <v>373698.34999999963</v>
      </c>
      <c r="BA722" s="259">
        <v>0</v>
      </c>
      <c r="BB722" s="259">
        <v>0</v>
      </c>
      <c r="BC722" s="259">
        <v>0</v>
      </c>
      <c r="BD722" s="259">
        <v>0</v>
      </c>
      <c r="BE722" s="259">
        <v>0</v>
      </c>
      <c r="BF722" s="259">
        <v>0</v>
      </c>
      <c r="BG722" s="259">
        <v>0</v>
      </c>
      <c r="BH722" s="259">
        <v>0</v>
      </c>
      <c r="BI722" s="259">
        <v>0</v>
      </c>
      <c r="BJ722" s="259">
        <v>0</v>
      </c>
      <c r="BK722" s="259">
        <v>0</v>
      </c>
    </row>
    <row r="723" spans="1:63">
      <c r="A723" s="169"/>
      <c r="B723" s="307" t="s">
        <v>29</v>
      </c>
      <c r="C723" s="308"/>
      <c r="D723" s="308"/>
      <c r="E723" s="308"/>
      <c r="F723" s="308"/>
      <c r="G723" s="308"/>
      <c r="H723" s="308"/>
      <c r="I723" s="308"/>
      <c r="J723" s="308"/>
      <c r="K723" s="308"/>
      <c r="L723" s="308"/>
      <c r="M723" s="308"/>
      <c r="N723" s="308"/>
      <c r="O723" s="308"/>
      <c r="P723" s="308"/>
      <c r="Q723" s="308"/>
      <c r="R723" s="308"/>
      <c r="S723" s="308"/>
      <c r="T723" s="308"/>
      <c r="U723" s="308"/>
      <c r="V723" s="309">
        <v>3889884.98876135</v>
      </c>
      <c r="W723" s="309">
        <v>78683026.11358349</v>
      </c>
      <c r="X723" s="309">
        <v>48594477.078909911</v>
      </c>
      <c r="Y723" s="309">
        <v>47865010.026986256</v>
      </c>
      <c r="Z723" s="309">
        <v>43209542.097558782</v>
      </c>
      <c r="AA723" s="309">
        <v>45705448.974331856</v>
      </c>
      <c r="AB723" s="309">
        <v>42112150.698526874</v>
      </c>
      <c r="AC723" s="309">
        <v>44535540.072835952</v>
      </c>
      <c r="AD723" s="309">
        <v>40828971.06306807</v>
      </c>
      <c r="AE723" s="309">
        <v>10245930.639619686</v>
      </c>
      <c r="AF723" s="309">
        <v>29697875.272688799</v>
      </c>
      <c r="AG723" s="309">
        <v>6387860.9494900256</v>
      </c>
      <c r="AH723" s="309">
        <v>30337525.985969376</v>
      </c>
      <c r="AI723" s="309">
        <v>16374023.739665892</v>
      </c>
      <c r="AJ723" s="309">
        <v>29626291.054417923</v>
      </c>
      <c r="AK723" s="309">
        <v>18510785.997559194</v>
      </c>
      <c r="AL723" s="309">
        <v>1422817.8597033271</v>
      </c>
      <c r="AM723" s="309">
        <v>11318667.320795171</v>
      </c>
      <c r="AN723" s="309">
        <v>867166.43746609765</v>
      </c>
      <c r="AO723" s="309">
        <v>872190.43767206871</v>
      </c>
      <c r="AP723" s="309">
        <v>877483.26476953004</v>
      </c>
      <c r="AQ723" s="309">
        <v>875560.76280148001</v>
      </c>
      <c r="AR723" s="309">
        <v>873638.26083342009</v>
      </c>
      <c r="AS723" s="309">
        <v>871715.75886536005</v>
      </c>
      <c r="AT723" s="309">
        <v>869793.25689731003</v>
      </c>
      <c r="AU723" s="309">
        <v>867870.75492924999</v>
      </c>
      <c r="AV723" s="309">
        <v>866331.10277239</v>
      </c>
      <c r="AW723" s="309">
        <v>1663786.13919897</v>
      </c>
      <c r="AX723" s="309">
        <v>866233.32709159004</v>
      </c>
      <c r="AY723" s="309">
        <v>6816140.4188260902</v>
      </c>
      <c r="AZ723" s="309">
        <v>7246133.4499999993</v>
      </c>
      <c r="BA723" s="309">
        <v>0</v>
      </c>
      <c r="BB723" s="309">
        <v>0</v>
      </c>
      <c r="BC723" s="309">
        <v>0</v>
      </c>
      <c r="BD723" s="309">
        <v>0</v>
      </c>
      <c r="BE723" s="309">
        <v>0</v>
      </c>
      <c r="BF723" s="309">
        <v>0</v>
      </c>
      <c r="BG723" s="309">
        <v>0</v>
      </c>
      <c r="BH723" s="309">
        <v>0</v>
      </c>
      <c r="BI723" s="309">
        <v>0</v>
      </c>
      <c r="BJ723" s="309">
        <v>0</v>
      </c>
      <c r="BK723" s="309">
        <v>0</v>
      </c>
    </row>
    <row r="724" spans="1:63">
      <c r="A724" s="167"/>
      <c r="B724" s="210" t="s">
        <v>28</v>
      </c>
      <c r="C724" s="254"/>
      <c r="D724" s="254"/>
      <c r="E724" s="254"/>
      <c r="F724" s="254"/>
      <c r="G724" s="254"/>
      <c r="H724" s="254"/>
      <c r="I724" s="254"/>
      <c r="J724" s="254"/>
      <c r="K724" s="254"/>
      <c r="L724" s="254"/>
      <c r="M724" s="254"/>
      <c r="N724" s="254"/>
      <c r="O724" s="254"/>
      <c r="P724" s="254"/>
      <c r="Q724" s="254"/>
      <c r="R724" s="254"/>
      <c r="S724" s="254"/>
      <c r="T724" s="254"/>
      <c r="U724" s="254"/>
      <c r="V724" s="255"/>
      <c r="W724" s="255">
        <v>58007698.035224795</v>
      </c>
      <c r="X724" s="255">
        <v>27931404.603</v>
      </c>
      <c r="Y724" s="255">
        <v>28619613.115059439</v>
      </c>
      <c r="Z724" s="255">
        <v>26112579.903784528</v>
      </c>
      <c r="AA724" s="255">
        <v>30734969.144894995</v>
      </c>
      <c r="AB724" s="255">
        <v>28779661.545022</v>
      </c>
      <c r="AC724" s="255">
        <v>33326024.638037801</v>
      </c>
      <c r="AD724" s="255">
        <v>31116142.199999999</v>
      </c>
      <c r="AE724" s="255">
        <v>2351428.3632646999</v>
      </c>
      <c r="AF724" s="255">
        <v>21802946.5528748</v>
      </c>
      <c r="AG724" s="255">
        <v>0</v>
      </c>
      <c r="AH724" s="255">
        <v>24274049.5</v>
      </c>
      <c r="AI724" s="255">
        <v>11541372.304625299</v>
      </c>
      <c r="AJ724" s="255">
        <v>26624327.300000001</v>
      </c>
      <c r="AK724" s="255">
        <v>15924863.673529401</v>
      </c>
      <c r="AL724" s="255">
        <v>0</v>
      </c>
      <c r="AM724" s="255">
        <v>9863441.1864769999</v>
      </c>
      <c r="AN724" s="255">
        <v>0</v>
      </c>
      <c r="AO724" s="255">
        <v>0</v>
      </c>
      <c r="AP724" s="255">
        <v>0</v>
      </c>
      <c r="AQ724" s="255">
        <v>0</v>
      </c>
      <c r="AR724" s="255">
        <v>0</v>
      </c>
      <c r="AS724" s="255">
        <v>0</v>
      </c>
      <c r="AT724" s="255">
        <v>0</v>
      </c>
      <c r="AU724" s="255">
        <v>0</v>
      </c>
      <c r="AV724" s="255">
        <v>0</v>
      </c>
      <c r="AW724" s="255">
        <v>0</v>
      </c>
      <c r="AX724" s="255">
        <v>0</v>
      </c>
      <c r="AY724" s="255">
        <v>5963014.5197467003</v>
      </c>
      <c r="AZ724" s="255">
        <v>6872435.0999999996</v>
      </c>
      <c r="BA724" s="255">
        <v>0</v>
      </c>
      <c r="BB724" s="255">
        <v>0</v>
      </c>
      <c r="BC724" s="255">
        <v>0</v>
      </c>
      <c r="BD724" s="255">
        <v>0</v>
      </c>
      <c r="BE724" s="255">
        <v>0</v>
      </c>
      <c r="BF724" s="255">
        <v>0</v>
      </c>
      <c r="BG724" s="255">
        <v>0</v>
      </c>
      <c r="BH724" s="255">
        <v>0</v>
      </c>
      <c r="BI724" s="255">
        <v>0</v>
      </c>
      <c r="BJ724" s="255">
        <v>0</v>
      </c>
      <c r="BK724" s="255">
        <v>0</v>
      </c>
    </row>
    <row r="725" spans="1:63">
      <c r="A725" s="168">
        <v>44196</v>
      </c>
      <c r="B725" s="213" t="s">
        <v>385</v>
      </c>
      <c r="C725" s="256"/>
      <c r="D725" s="256"/>
      <c r="E725" s="256"/>
      <c r="F725" s="256"/>
      <c r="G725" s="256"/>
      <c r="H725" s="256"/>
      <c r="I725" s="256"/>
      <c r="J725" s="256"/>
      <c r="K725" s="256"/>
      <c r="L725" s="256"/>
      <c r="M725" s="256"/>
      <c r="N725" s="256"/>
      <c r="O725" s="256"/>
      <c r="P725" s="256"/>
      <c r="Q725" s="256"/>
      <c r="R725" s="256"/>
      <c r="S725" s="256"/>
      <c r="T725" s="256"/>
      <c r="U725" s="256"/>
      <c r="V725" s="259"/>
      <c r="W725" s="259">
        <v>20869938.341715854</v>
      </c>
      <c r="X725" s="259">
        <v>20711553.642409824</v>
      </c>
      <c r="Y725" s="259">
        <v>18968049.070383269</v>
      </c>
      <c r="Z725" s="259">
        <v>17565124.583824739</v>
      </c>
      <c r="AA725" s="259">
        <v>15074715.757804504</v>
      </c>
      <c r="AB725" s="259">
        <v>13467436.595891465</v>
      </c>
      <c r="AC725" s="259">
        <v>11388625.871904543</v>
      </c>
      <c r="AD725" s="259">
        <v>9841475.4522503037</v>
      </c>
      <c r="AE725" s="259">
        <v>8036341.1187748499</v>
      </c>
      <c r="AF725" s="259">
        <v>8029081.5382882915</v>
      </c>
      <c r="AG725" s="259">
        <v>6517076.0772853196</v>
      </c>
      <c r="AH725" s="259">
        <v>6559402.0994984787</v>
      </c>
      <c r="AI725" s="259">
        <v>4903483.6096329419</v>
      </c>
      <c r="AJ725" s="259">
        <v>4439201.4271273585</v>
      </c>
      <c r="AK725" s="259">
        <v>2545408.5513642598</v>
      </c>
      <c r="AL725" s="259">
        <v>1427611.7064416101</v>
      </c>
      <c r="AM725" s="259">
        <v>1443316.6483918007</v>
      </c>
      <c r="AN725" s="259">
        <v>871384.98280870391</v>
      </c>
      <c r="AO725" s="259">
        <v>876062.66634112701</v>
      </c>
      <c r="AP725" s="259">
        <v>881264.59112459805</v>
      </c>
      <c r="AQ725" s="259">
        <v>879342.08915653802</v>
      </c>
      <c r="AR725" s="259">
        <v>877419.58718848799</v>
      </c>
      <c r="AS725" s="259">
        <v>875497.08522042807</v>
      </c>
      <c r="AT725" s="259">
        <v>873574.58325236803</v>
      </c>
      <c r="AU725" s="259">
        <v>871652.081284318</v>
      </c>
      <c r="AV725" s="259">
        <v>869729.57931625796</v>
      </c>
      <c r="AW725" s="259">
        <v>868189.92715939798</v>
      </c>
      <c r="AX725" s="259">
        <v>1665644.9635859784</v>
      </c>
      <c r="AY725" s="259">
        <v>868092.15147859976</v>
      </c>
      <c r="AZ725" s="259">
        <v>498251.54475000035</v>
      </c>
      <c r="BA725" s="259">
        <v>0</v>
      </c>
      <c r="BB725" s="259">
        <v>0</v>
      </c>
      <c r="BC725" s="259">
        <v>0</v>
      </c>
      <c r="BD725" s="259">
        <v>0</v>
      </c>
      <c r="BE725" s="259">
        <v>0</v>
      </c>
      <c r="BF725" s="259">
        <v>0</v>
      </c>
      <c r="BG725" s="259">
        <v>0</v>
      </c>
      <c r="BH725" s="259">
        <v>0</v>
      </c>
      <c r="BI725" s="259">
        <v>0</v>
      </c>
      <c r="BJ725" s="259">
        <v>0</v>
      </c>
      <c r="BK725" s="259">
        <v>0</v>
      </c>
    </row>
    <row r="726" spans="1:63">
      <c r="A726" s="169"/>
      <c r="B726" s="307" t="s">
        <v>29</v>
      </c>
      <c r="C726" s="308"/>
      <c r="D726" s="308"/>
      <c r="E726" s="308"/>
      <c r="F726" s="308"/>
      <c r="G726" s="308"/>
      <c r="H726" s="308"/>
      <c r="I726" s="308"/>
      <c r="J726" s="308"/>
      <c r="K726" s="308"/>
      <c r="L726" s="308"/>
      <c r="M726" s="308"/>
      <c r="N726" s="308"/>
      <c r="O726" s="308"/>
      <c r="P726" s="308"/>
      <c r="Q726" s="308"/>
      <c r="R726" s="308"/>
      <c r="S726" s="308"/>
      <c r="T726" s="308"/>
      <c r="U726" s="308"/>
      <c r="V726" s="309"/>
      <c r="W726" s="309">
        <v>78877636.376940653</v>
      </c>
      <c r="X726" s="309">
        <v>48642958.245409824</v>
      </c>
      <c r="Y726" s="309">
        <v>47587662.185442708</v>
      </c>
      <c r="Z726" s="309">
        <v>43677704.487609267</v>
      </c>
      <c r="AA726" s="309">
        <v>45809684.9026995</v>
      </c>
      <c r="AB726" s="309">
        <v>42247098.140913464</v>
      </c>
      <c r="AC726" s="309">
        <v>44714650.509942345</v>
      </c>
      <c r="AD726" s="309">
        <v>40957617.652250305</v>
      </c>
      <c r="AE726" s="309">
        <v>10387769.48203955</v>
      </c>
      <c r="AF726" s="309">
        <v>29832028.091163091</v>
      </c>
      <c r="AG726" s="309">
        <v>6517076.0772853196</v>
      </c>
      <c r="AH726" s="309">
        <v>30833451.599498481</v>
      </c>
      <c r="AI726" s="309">
        <v>16444855.914258242</v>
      </c>
      <c r="AJ726" s="309">
        <v>31063528.727127358</v>
      </c>
      <c r="AK726" s="309">
        <v>18470272.224893659</v>
      </c>
      <c r="AL726" s="309">
        <v>1427611.7064416101</v>
      </c>
      <c r="AM726" s="309">
        <v>11306757.8348688</v>
      </c>
      <c r="AN726" s="309">
        <v>871384.98280870391</v>
      </c>
      <c r="AO726" s="309">
        <v>876062.66634112701</v>
      </c>
      <c r="AP726" s="309">
        <v>881264.59112459805</v>
      </c>
      <c r="AQ726" s="309">
        <v>879342.08915653802</v>
      </c>
      <c r="AR726" s="309">
        <v>877419.58718848799</v>
      </c>
      <c r="AS726" s="309">
        <v>875497.08522042807</v>
      </c>
      <c r="AT726" s="309">
        <v>873574.58325236803</v>
      </c>
      <c r="AU726" s="309">
        <v>871652.081284318</v>
      </c>
      <c r="AV726" s="309">
        <v>869729.57931625796</v>
      </c>
      <c r="AW726" s="309">
        <v>868189.92715939798</v>
      </c>
      <c r="AX726" s="309">
        <v>1665644.9635859784</v>
      </c>
      <c r="AY726" s="309">
        <v>6831106.6712253001</v>
      </c>
      <c r="AZ726" s="309">
        <v>7370686.64475</v>
      </c>
      <c r="BA726" s="309">
        <v>0</v>
      </c>
      <c r="BB726" s="309">
        <v>0</v>
      </c>
      <c r="BC726" s="309">
        <v>0</v>
      </c>
      <c r="BD726" s="309">
        <v>0</v>
      </c>
      <c r="BE726" s="309">
        <v>0</v>
      </c>
      <c r="BF726" s="309">
        <v>0</v>
      </c>
      <c r="BG726" s="309">
        <v>0</v>
      </c>
      <c r="BH726" s="309">
        <v>0</v>
      </c>
      <c r="BI726" s="309">
        <v>0</v>
      </c>
      <c r="BJ726" s="309">
        <v>0</v>
      </c>
      <c r="BK726" s="309">
        <v>0</v>
      </c>
    </row>
    <row r="727" spans="1:63">
      <c r="A727" s="167"/>
      <c r="B727" s="210" t="s">
        <v>28</v>
      </c>
      <c r="C727" s="254"/>
      <c r="D727" s="254"/>
      <c r="E727" s="254"/>
      <c r="F727" s="254"/>
      <c r="G727" s="254"/>
      <c r="H727" s="254"/>
      <c r="I727" s="254"/>
      <c r="J727" s="254"/>
      <c r="K727" s="254"/>
      <c r="L727" s="254"/>
      <c r="M727" s="254"/>
      <c r="N727" s="254"/>
      <c r="O727" s="254"/>
      <c r="P727" s="254"/>
      <c r="Q727" s="254"/>
      <c r="R727" s="254"/>
      <c r="S727" s="254"/>
      <c r="T727" s="254"/>
      <c r="U727" s="254"/>
      <c r="V727" s="255"/>
      <c r="W727" s="255">
        <v>52401494.201427802</v>
      </c>
      <c r="X727" s="255">
        <v>27931405.469999999</v>
      </c>
      <c r="Y727" s="255">
        <v>28698410.94156231</v>
      </c>
      <c r="Z727" s="255">
        <v>26118429.445573751</v>
      </c>
      <c r="AA727" s="255">
        <v>30764655.715094998</v>
      </c>
      <c r="AB727" s="255">
        <v>28779661.545022</v>
      </c>
      <c r="AC727" s="255">
        <v>33416332.459965799</v>
      </c>
      <c r="AD727" s="255">
        <v>31116142.199999999</v>
      </c>
      <c r="AE727" s="255">
        <v>2735890.6000760994</v>
      </c>
      <c r="AF727" s="255">
        <v>21807946.5528748</v>
      </c>
      <c r="AG727" s="255">
        <v>0</v>
      </c>
      <c r="AH727" s="255">
        <v>24274049.5</v>
      </c>
      <c r="AI727" s="255">
        <v>11573149.338053299</v>
      </c>
      <c r="AJ727" s="255">
        <v>26650827.300000001</v>
      </c>
      <c r="AK727" s="255">
        <v>15968709.839473398</v>
      </c>
      <c r="AL727" s="255">
        <v>2493972.7999999998</v>
      </c>
      <c r="AM727" s="255">
        <v>10211361.747494699</v>
      </c>
      <c r="AN727" s="255">
        <v>0</v>
      </c>
      <c r="AO727" s="255">
        <v>0</v>
      </c>
      <c r="AP727" s="255">
        <v>0</v>
      </c>
      <c r="AQ727" s="255">
        <v>0</v>
      </c>
      <c r="AR727" s="255">
        <v>0</v>
      </c>
      <c r="AS727" s="255">
        <v>0</v>
      </c>
      <c r="AT727" s="255">
        <v>0</v>
      </c>
      <c r="AU727" s="255">
        <v>0</v>
      </c>
      <c r="AV727" s="255">
        <v>0</v>
      </c>
      <c r="AW727" s="255">
        <v>0</v>
      </c>
      <c r="AX727" s="255">
        <v>0</v>
      </c>
      <c r="AY727" s="255">
        <v>6489198.2444790993</v>
      </c>
      <c r="AZ727" s="255">
        <v>7160630.2000000002</v>
      </c>
      <c r="BA727" s="255">
        <v>0</v>
      </c>
      <c r="BB727" s="255">
        <v>0</v>
      </c>
      <c r="BC727" s="255">
        <v>0</v>
      </c>
      <c r="BD727" s="255">
        <v>0</v>
      </c>
      <c r="BE727" s="255">
        <v>0</v>
      </c>
      <c r="BF727" s="255">
        <v>0</v>
      </c>
      <c r="BG727" s="255">
        <v>0</v>
      </c>
      <c r="BH727" s="255">
        <v>0</v>
      </c>
      <c r="BI727" s="255">
        <v>0</v>
      </c>
      <c r="BJ727" s="255">
        <v>0</v>
      </c>
      <c r="BK727" s="255">
        <v>0</v>
      </c>
    </row>
    <row r="728" spans="1:63">
      <c r="A728" s="168">
        <v>44227</v>
      </c>
      <c r="B728" s="213" t="s">
        <v>385</v>
      </c>
      <c r="C728" s="256"/>
      <c r="D728" s="256"/>
      <c r="E728" s="256"/>
      <c r="F728" s="256"/>
      <c r="G728" s="256"/>
      <c r="H728" s="256"/>
      <c r="I728" s="256"/>
      <c r="J728" s="256"/>
      <c r="K728" s="256"/>
      <c r="L728" s="256"/>
      <c r="M728" s="256"/>
      <c r="N728" s="256"/>
      <c r="O728" s="256"/>
      <c r="P728" s="256"/>
      <c r="Q728" s="256"/>
      <c r="R728" s="256"/>
      <c r="S728" s="256"/>
      <c r="T728" s="256"/>
      <c r="U728" s="256"/>
      <c r="V728" s="259"/>
      <c r="W728" s="259">
        <v>21072806.45897121</v>
      </c>
      <c r="X728" s="259">
        <v>20917310.05350849</v>
      </c>
      <c r="Y728" s="259">
        <v>19134486.062630776</v>
      </c>
      <c r="Z728" s="259">
        <v>17778388.23828245</v>
      </c>
      <c r="AA728" s="259">
        <v>15288947.661053499</v>
      </c>
      <c r="AB728" s="259">
        <v>13684432.491199922</v>
      </c>
      <c r="AC728" s="259">
        <v>11606701.983229766</v>
      </c>
      <c r="AD728" s="259">
        <v>10061358.915656241</v>
      </c>
      <c r="AE728" s="259">
        <v>8257460.425240498</v>
      </c>
      <c r="AF728" s="259">
        <v>8240401.4187622406</v>
      </c>
      <c r="AG728" s="259">
        <v>6729374.8933310257</v>
      </c>
      <c r="AH728" s="259">
        <v>6772373.1179700661</v>
      </c>
      <c r="AI728" s="259">
        <v>5117140.2745790193</v>
      </c>
      <c r="AJ728" s="259">
        <v>4655551.5882993648</v>
      </c>
      <c r="AK728" s="259">
        <v>2760590.6918646805</v>
      </c>
      <c r="AL728" s="259">
        <v>1648094.7255070414</v>
      </c>
      <c r="AM728" s="259">
        <v>1508800.6789435304</v>
      </c>
      <c r="AN728" s="259">
        <v>921071.9828772922</v>
      </c>
      <c r="AO728" s="259">
        <v>926325.52351608686</v>
      </c>
      <c r="AP728" s="259">
        <v>932114.82254805765</v>
      </c>
      <c r="AQ728" s="259">
        <v>930192.32057999761</v>
      </c>
      <c r="AR728" s="259">
        <v>928269.81861194759</v>
      </c>
      <c r="AS728" s="259">
        <v>926347.31664388767</v>
      </c>
      <c r="AT728" s="259">
        <v>924424.81467582763</v>
      </c>
      <c r="AU728" s="259">
        <v>922502.3127077776</v>
      </c>
      <c r="AV728" s="259">
        <v>920579.81073971756</v>
      </c>
      <c r="AW728" s="259">
        <v>919040.15858285758</v>
      </c>
      <c r="AX728" s="259">
        <v>1676431.9989028275</v>
      </c>
      <c r="AY728" s="259">
        <v>918942.38290205784</v>
      </c>
      <c r="AZ728" s="259">
        <v>519145.68950000033</v>
      </c>
      <c r="BA728" s="259">
        <v>0</v>
      </c>
      <c r="BB728" s="259">
        <v>0</v>
      </c>
      <c r="BC728" s="259">
        <v>0</v>
      </c>
      <c r="BD728" s="259">
        <v>0</v>
      </c>
      <c r="BE728" s="259">
        <v>0</v>
      </c>
      <c r="BF728" s="259">
        <v>0</v>
      </c>
      <c r="BG728" s="259">
        <v>0</v>
      </c>
      <c r="BH728" s="259">
        <v>0</v>
      </c>
      <c r="BI728" s="259">
        <v>0</v>
      </c>
      <c r="BJ728" s="259">
        <v>0</v>
      </c>
      <c r="BK728" s="259">
        <v>0</v>
      </c>
    </row>
    <row r="729" spans="1:63">
      <c r="A729" s="169"/>
      <c r="B729" s="307" t="s">
        <v>29</v>
      </c>
      <c r="C729" s="308"/>
      <c r="D729" s="308"/>
      <c r="E729" s="308"/>
      <c r="F729" s="308"/>
      <c r="G729" s="308"/>
      <c r="H729" s="308"/>
      <c r="I729" s="308"/>
      <c r="J729" s="308"/>
      <c r="K729" s="308"/>
      <c r="L729" s="308"/>
      <c r="M729" s="308"/>
      <c r="N729" s="308"/>
      <c r="O729" s="308"/>
      <c r="P729" s="308"/>
      <c r="Q729" s="308"/>
      <c r="R729" s="308"/>
      <c r="S729" s="308"/>
      <c r="T729" s="308"/>
      <c r="U729" s="308"/>
      <c r="V729" s="309"/>
      <c r="W729" s="309">
        <v>73474215.996399015</v>
      </c>
      <c r="X729" s="309">
        <v>48848744.617508486</v>
      </c>
      <c r="Y729" s="309">
        <v>47832911.152193084</v>
      </c>
      <c r="Z729" s="309">
        <v>43896853.649856195</v>
      </c>
      <c r="AA729" s="309">
        <v>46053590.689148501</v>
      </c>
      <c r="AB729" s="309">
        <v>42463444.534199923</v>
      </c>
      <c r="AC729" s="309">
        <v>45023034.443195567</v>
      </c>
      <c r="AD729" s="309">
        <v>41177501.115656242</v>
      </c>
      <c r="AE729" s="309">
        <v>10993351.025316598</v>
      </c>
      <c r="AF729" s="309">
        <v>30048347.97163704</v>
      </c>
      <c r="AG729" s="309">
        <v>6729374.8933310257</v>
      </c>
      <c r="AH729" s="309">
        <v>31046422.617970064</v>
      </c>
      <c r="AI729" s="309">
        <v>16690289.612632319</v>
      </c>
      <c r="AJ729" s="309">
        <v>31306378.888299365</v>
      </c>
      <c r="AK729" s="309">
        <v>18729300.531338081</v>
      </c>
      <c r="AL729" s="309">
        <v>4142067.5255070413</v>
      </c>
      <c r="AM729" s="309">
        <v>11720162.426438229</v>
      </c>
      <c r="AN729" s="309">
        <v>921071.9828772922</v>
      </c>
      <c r="AO729" s="309">
        <v>926325.52351608686</v>
      </c>
      <c r="AP729" s="309">
        <v>932114.82254805765</v>
      </c>
      <c r="AQ729" s="309">
        <v>930192.32057999761</v>
      </c>
      <c r="AR729" s="309">
        <v>928269.81861194759</v>
      </c>
      <c r="AS729" s="309">
        <v>926347.31664388767</v>
      </c>
      <c r="AT729" s="309">
        <v>924424.81467582763</v>
      </c>
      <c r="AU729" s="309">
        <v>922502.3127077776</v>
      </c>
      <c r="AV729" s="309">
        <v>920579.81073971756</v>
      </c>
      <c r="AW729" s="309">
        <v>919040.15858285758</v>
      </c>
      <c r="AX729" s="309">
        <v>1676431.9989028275</v>
      </c>
      <c r="AY729" s="309">
        <v>7408140.6273811571</v>
      </c>
      <c r="AZ729" s="309">
        <v>7679775.8895000005</v>
      </c>
      <c r="BA729" s="309">
        <v>0</v>
      </c>
      <c r="BB729" s="309">
        <v>0</v>
      </c>
      <c r="BC729" s="309">
        <v>0</v>
      </c>
      <c r="BD729" s="309">
        <v>0</v>
      </c>
      <c r="BE729" s="309">
        <v>0</v>
      </c>
      <c r="BF729" s="309">
        <v>0</v>
      </c>
      <c r="BG729" s="309">
        <v>0</v>
      </c>
      <c r="BH729" s="309">
        <v>0</v>
      </c>
      <c r="BI729" s="309">
        <v>0</v>
      </c>
      <c r="BJ729" s="309">
        <v>0</v>
      </c>
      <c r="BK729" s="309">
        <v>0</v>
      </c>
    </row>
    <row r="730" spans="1:63">
      <c r="A730" s="167"/>
      <c r="B730" s="210" t="s">
        <v>28</v>
      </c>
      <c r="C730" s="254"/>
      <c r="D730" s="254"/>
      <c r="E730" s="254"/>
      <c r="F730" s="254"/>
      <c r="G730" s="254"/>
      <c r="H730" s="254"/>
      <c r="I730" s="254"/>
      <c r="J730" s="254"/>
      <c r="K730" s="254"/>
      <c r="L730" s="254"/>
      <c r="M730" s="254"/>
      <c r="N730" s="254"/>
      <c r="O730" s="254"/>
      <c r="P730" s="254"/>
      <c r="Q730" s="254"/>
      <c r="R730" s="254"/>
      <c r="S730" s="254"/>
      <c r="T730" s="254"/>
      <c r="U730" s="254"/>
      <c r="V730" s="255"/>
      <c r="W730" s="255">
        <v>54441298.908669397</v>
      </c>
      <c r="X730" s="255">
        <v>27931405.469999999</v>
      </c>
      <c r="Y730" s="255">
        <v>28804434.792132575</v>
      </c>
      <c r="Z730" s="255">
        <v>26118429.445573751</v>
      </c>
      <c r="AA730" s="255">
        <v>30804599.073834997</v>
      </c>
      <c r="AB730" s="255">
        <v>28779661.545022</v>
      </c>
      <c r="AC730" s="255">
        <v>34038981.667459391</v>
      </c>
      <c r="AD730" s="255">
        <v>31116142.199999999</v>
      </c>
      <c r="AE730" s="255">
        <v>2931189.4276262997</v>
      </c>
      <c r="AF730" s="255">
        <v>20332312.199999999</v>
      </c>
      <c r="AG730" s="255">
        <v>1475634.3528747999</v>
      </c>
      <c r="AH730" s="255">
        <v>24274049.5</v>
      </c>
      <c r="AI730" s="255">
        <v>11615905.420596898</v>
      </c>
      <c r="AJ730" s="255">
        <v>26650827.300000001</v>
      </c>
      <c r="AK730" s="255">
        <v>16027704.971746199</v>
      </c>
      <c r="AL730" s="255">
        <v>4034175.7</v>
      </c>
      <c r="AM730" s="255">
        <v>10707208.181342099</v>
      </c>
      <c r="AN730" s="255">
        <v>0</v>
      </c>
      <c r="AO730" s="255">
        <v>0</v>
      </c>
      <c r="AP730" s="255">
        <v>0</v>
      </c>
      <c r="AQ730" s="255">
        <v>0</v>
      </c>
      <c r="AR730" s="255">
        <v>0</v>
      </c>
      <c r="AS730" s="255">
        <v>0</v>
      </c>
      <c r="AT730" s="255">
        <v>0</v>
      </c>
      <c r="AU730" s="255">
        <v>0</v>
      </c>
      <c r="AV730" s="255">
        <v>0</v>
      </c>
      <c r="AW730" s="255">
        <v>0</v>
      </c>
      <c r="AX730" s="255">
        <v>0</v>
      </c>
      <c r="AY730" s="255">
        <v>6924724.9301456995</v>
      </c>
      <c r="AZ730" s="255">
        <v>8160637.7000000002</v>
      </c>
      <c r="BA730" s="255">
        <v>0</v>
      </c>
      <c r="BB730" s="255">
        <v>0</v>
      </c>
      <c r="BC730" s="255">
        <v>0</v>
      </c>
      <c r="BD730" s="255">
        <v>0</v>
      </c>
      <c r="BE730" s="255">
        <v>0</v>
      </c>
      <c r="BF730" s="255">
        <v>0</v>
      </c>
      <c r="BG730" s="255">
        <v>0</v>
      </c>
      <c r="BH730" s="255">
        <v>0</v>
      </c>
      <c r="BI730" s="255">
        <v>0</v>
      </c>
      <c r="BJ730" s="255">
        <v>0</v>
      </c>
      <c r="BK730" s="255">
        <v>0</v>
      </c>
    </row>
    <row r="731" spans="1:63">
      <c r="A731" s="168">
        <v>44255</v>
      </c>
      <c r="B731" s="213" t="s">
        <v>385</v>
      </c>
      <c r="C731" s="256"/>
      <c r="D731" s="256"/>
      <c r="E731" s="256"/>
      <c r="F731" s="256"/>
      <c r="G731" s="256"/>
      <c r="H731" s="256"/>
      <c r="I731" s="256"/>
      <c r="J731" s="256"/>
      <c r="K731" s="256"/>
      <c r="L731" s="256"/>
      <c r="M731" s="256"/>
      <c r="N731" s="256"/>
      <c r="O731" s="256"/>
      <c r="P731" s="256"/>
      <c r="Q731" s="256"/>
      <c r="R731" s="256"/>
      <c r="S731" s="256"/>
      <c r="T731" s="256"/>
      <c r="U731" s="256"/>
      <c r="V731" s="259"/>
      <c r="W731" s="259">
        <v>19507330.368841868</v>
      </c>
      <c r="X731" s="259">
        <v>21156592.202633545</v>
      </c>
      <c r="Y731" s="259">
        <v>19374923.136045925</v>
      </c>
      <c r="Z731" s="259">
        <v>18020021.65987213</v>
      </c>
      <c r="AA731" s="259">
        <v>15531809.896501446</v>
      </c>
      <c r="AB731" s="259">
        <v>13928560.391133811</v>
      </c>
      <c r="AC731" s="259">
        <v>11852133.517584177</v>
      </c>
      <c r="AD731" s="259">
        <v>10276222.999213779</v>
      </c>
      <c r="AE731" s="259">
        <v>8473707.5345547646</v>
      </c>
      <c r="AF731" s="259">
        <v>8452532.1524403803</v>
      </c>
      <c r="AG731" s="259">
        <v>6942806.6522695106</v>
      </c>
      <c r="AH731" s="259">
        <v>6986698.2475873251</v>
      </c>
      <c r="AI731" s="259">
        <v>5332376.6422886206</v>
      </c>
      <c r="AJ731" s="259">
        <v>4871717.4188631559</v>
      </c>
      <c r="AK731" s="259">
        <v>2977704.5745397452</v>
      </c>
      <c r="AL731" s="259">
        <v>1866175.6213356103</v>
      </c>
      <c r="AM731" s="259">
        <v>1631605.2469386708</v>
      </c>
      <c r="AN731" s="259">
        <v>1017853.8259992506</v>
      </c>
      <c r="AO731" s="259">
        <v>1023592.9926254844</v>
      </c>
      <c r="AP731" s="259">
        <v>1029877.6301646432</v>
      </c>
      <c r="AQ731" s="259">
        <v>1027955.1281965831</v>
      </c>
      <c r="AR731" s="259">
        <v>1026032.6262285331</v>
      </c>
      <c r="AS731" s="259">
        <v>1024110.1242604732</v>
      </c>
      <c r="AT731" s="259">
        <v>1022187.6222924131</v>
      </c>
      <c r="AU731" s="259">
        <v>1020265.1203243631</v>
      </c>
      <c r="AV731" s="259">
        <v>1016705.1905186431</v>
      </c>
      <c r="AW731" s="259">
        <v>1016705.1905186431</v>
      </c>
      <c r="AX731" s="259">
        <v>1016705.1905186431</v>
      </c>
      <c r="AY731" s="259">
        <v>1016705.1905186428</v>
      </c>
      <c r="AZ731" s="259">
        <v>591646.23325000051</v>
      </c>
      <c r="BA731" s="259">
        <v>0</v>
      </c>
      <c r="BB731" s="259">
        <v>0</v>
      </c>
      <c r="BC731" s="259">
        <v>0</v>
      </c>
      <c r="BD731" s="259">
        <v>0</v>
      </c>
      <c r="BE731" s="259">
        <v>0</v>
      </c>
      <c r="BF731" s="259">
        <v>0</v>
      </c>
      <c r="BG731" s="259">
        <v>0</v>
      </c>
      <c r="BH731" s="259">
        <v>0</v>
      </c>
      <c r="BI731" s="259">
        <v>0</v>
      </c>
      <c r="BJ731" s="259">
        <v>0</v>
      </c>
      <c r="BK731" s="259">
        <v>0</v>
      </c>
    </row>
    <row r="732" spans="1:63">
      <c r="A732" s="169"/>
      <c r="B732" s="307" t="s">
        <v>29</v>
      </c>
      <c r="C732" s="308"/>
      <c r="D732" s="308"/>
      <c r="E732" s="308"/>
      <c r="F732" s="308"/>
      <c r="G732" s="308"/>
      <c r="H732" s="308"/>
      <c r="I732" s="308"/>
      <c r="J732" s="308"/>
      <c r="K732" s="308"/>
      <c r="L732" s="308"/>
      <c r="M732" s="308"/>
      <c r="N732" s="308"/>
      <c r="O732" s="308"/>
      <c r="P732" s="308"/>
      <c r="Q732" s="308"/>
      <c r="R732" s="308"/>
      <c r="S732" s="308"/>
      <c r="T732" s="308"/>
      <c r="U732" s="308"/>
      <c r="V732" s="309"/>
      <c r="W732" s="309">
        <f>W730+W731</f>
        <v>73948629.277511269</v>
      </c>
      <c r="X732" s="309">
        <f>X730+X731</f>
        <v>49087997.672633544</v>
      </c>
      <c r="Y732" s="309">
        <v>48179357.928178504</v>
      </c>
      <c r="Z732" s="309">
        <v>44138451.105445877</v>
      </c>
      <c r="AA732" s="309">
        <v>46336408.970336445</v>
      </c>
      <c r="AB732" s="309">
        <v>42708221.936155811</v>
      </c>
      <c r="AC732" s="309">
        <v>45891115.185043566</v>
      </c>
      <c r="AD732" s="309">
        <v>41392365.19921378</v>
      </c>
      <c r="AE732" s="309">
        <v>11404896.962181065</v>
      </c>
      <c r="AF732" s="309">
        <v>28784844.35244038</v>
      </c>
      <c r="AG732" s="309">
        <v>8418441.0051443111</v>
      </c>
      <c r="AH732" s="309">
        <v>31260747.747587323</v>
      </c>
      <c r="AI732" s="309">
        <v>16948282.062885519</v>
      </c>
      <c r="AJ732" s="309">
        <v>31522544.718863156</v>
      </c>
      <c r="AK732" s="309">
        <v>19005409.546285942</v>
      </c>
      <c r="AL732" s="309">
        <v>5900351.32133561</v>
      </c>
      <c r="AM732" s="309">
        <v>12338813.428280769</v>
      </c>
      <c r="AN732" s="309">
        <v>1017853.8259992506</v>
      </c>
      <c r="AO732" s="309">
        <v>1023592.9926254844</v>
      </c>
      <c r="AP732" s="309">
        <v>1029877.6301646432</v>
      </c>
      <c r="AQ732" s="309">
        <v>1027955.1281965831</v>
      </c>
      <c r="AR732" s="309">
        <v>1026032.6262285331</v>
      </c>
      <c r="AS732" s="309">
        <v>1024110.1242604732</v>
      </c>
      <c r="AT732" s="309">
        <v>1022187.6222924131</v>
      </c>
      <c r="AU732" s="309">
        <v>1020265.1203243631</v>
      </c>
      <c r="AV732" s="309">
        <v>1016705.1905186431</v>
      </c>
      <c r="AW732" s="309">
        <v>1016705.1905186431</v>
      </c>
      <c r="AX732" s="309">
        <v>1016705.1905186431</v>
      </c>
      <c r="AY732" s="309">
        <v>7941430.1206643423</v>
      </c>
      <c r="AZ732" s="309">
        <v>8752283.9332500007</v>
      </c>
      <c r="BA732" s="309">
        <v>0</v>
      </c>
      <c r="BB732" s="309">
        <v>0</v>
      </c>
      <c r="BC732" s="309">
        <v>0</v>
      </c>
      <c r="BD732" s="309">
        <v>0</v>
      </c>
      <c r="BE732" s="309">
        <v>0</v>
      </c>
      <c r="BF732" s="309">
        <v>0</v>
      </c>
      <c r="BG732" s="309">
        <v>0</v>
      </c>
      <c r="BH732" s="309">
        <v>0</v>
      </c>
      <c r="BI732" s="309">
        <v>0</v>
      </c>
      <c r="BJ732" s="309">
        <v>0</v>
      </c>
      <c r="BK732" s="309">
        <v>0</v>
      </c>
    </row>
    <row r="733" spans="1:63">
      <c r="A733" s="167"/>
      <c r="B733" s="210" t="s">
        <v>28</v>
      </c>
      <c r="C733" s="254"/>
      <c r="D733" s="254"/>
      <c r="E733" s="254"/>
      <c r="F733" s="254"/>
      <c r="G733" s="254"/>
      <c r="H733" s="254"/>
      <c r="I733" s="254"/>
      <c r="J733" s="254"/>
      <c r="K733" s="254"/>
      <c r="L733" s="254"/>
      <c r="M733" s="254"/>
      <c r="N733" s="254"/>
      <c r="O733" s="254"/>
      <c r="P733" s="254"/>
      <c r="Q733" s="254"/>
      <c r="R733" s="254"/>
      <c r="S733" s="254"/>
      <c r="T733" s="254"/>
      <c r="U733" s="254"/>
      <c r="V733" s="255"/>
      <c r="W733" s="255">
        <v>49927882.367031001</v>
      </c>
      <c r="X733" s="255">
        <v>23659164.469999999</v>
      </c>
      <c r="Y733" s="255">
        <v>28971308.744907837</v>
      </c>
      <c r="Z733" s="255">
        <v>26118429.445573751</v>
      </c>
      <c r="AA733" s="255">
        <v>30867467.061784998</v>
      </c>
      <c r="AB733" s="255">
        <v>28779661.545022</v>
      </c>
      <c r="AC733" s="255">
        <v>35299509.792997397</v>
      </c>
      <c r="AD733" s="255">
        <v>31116142.199999999</v>
      </c>
      <c r="AE733" s="255">
        <v>3539637.2091438994</v>
      </c>
      <c r="AF733" s="255">
        <v>22662394.5528748</v>
      </c>
      <c r="AG733" s="255">
        <v>0</v>
      </c>
      <c r="AH733" s="255">
        <v>25128497.5</v>
      </c>
      <c r="AI733" s="255">
        <v>12112021.351617698</v>
      </c>
      <c r="AJ733" s="255">
        <v>27505275.300000001</v>
      </c>
      <c r="AK733" s="255">
        <v>16549380.004827999</v>
      </c>
      <c r="AL733" s="255">
        <v>4642801.2</v>
      </c>
      <c r="AM733" s="255">
        <v>11442647.450331798</v>
      </c>
      <c r="AN733" s="255">
        <v>0</v>
      </c>
      <c r="AO733" s="255">
        <v>0</v>
      </c>
      <c r="AP733" s="255">
        <v>0</v>
      </c>
      <c r="AQ733" s="255">
        <v>0</v>
      </c>
      <c r="AR733" s="255">
        <v>0</v>
      </c>
      <c r="AS733" s="255">
        <v>0</v>
      </c>
      <c r="AT733" s="255">
        <v>0</v>
      </c>
      <c r="AU733" s="255">
        <v>0</v>
      </c>
      <c r="AV733" s="255">
        <v>0</v>
      </c>
      <c r="AW733" s="255">
        <v>0</v>
      </c>
      <c r="AX733" s="255">
        <v>0</v>
      </c>
      <c r="AY733" s="255">
        <v>8170189.9438967993</v>
      </c>
      <c r="AZ733" s="255">
        <v>8861751</v>
      </c>
      <c r="BA733" s="255">
        <v>0</v>
      </c>
      <c r="BB733" s="255">
        <v>0</v>
      </c>
      <c r="BC733" s="255">
        <v>0</v>
      </c>
      <c r="BD733" s="255">
        <v>0</v>
      </c>
      <c r="BE733" s="255">
        <v>0</v>
      </c>
      <c r="BF733" s="255">
        <v>0</v>
      </c>
      <c r="BG733" s="255">
        <v>0</v>
      </c>
      <c r="BH733" s="255">
        <v>0</v>
      </c>
      <c r="BI733" s="255">
        <v>0</v>
      </c>
      <c r="BJ733" s="255">
        <v>0</v>
      </c>
      <c r="BK733" s="255">
        <v>0</v>
      </c>
    </row>
    <row r="734" spans="1:63">
      <c r="A734" s="168">
        <v>44286</v>
      </c>
      <c r="B734" s="213" t="s">
        <v>385</v>
      </c>
      <c r="C734" s="256"/>
      <c r="D734" s="256"/>
      <c r="E734" s="256"/>
      <c r="F734" s="256"/>
      <c r="G734" s="256"/>
      <c r="H734" s="256"/>
      <c r="I734" s="256"/>
      <c r="J734" s="256"/>
      <c r="K734" s="256"/>
      <c r="L734" s="256"/>
      <c r="M734" s="256"/>
      <c r="N734" s="256"/>
      <c r="O734" s="256"/>
      <c r="P734" s="256"/>
      <c r="Q734" s="256"/>
      <c r="R734" s="256"/>
      <c r="S734" s="256"/>
      <c r="T734" s="256"/>
      <c r="U734" s="256"/>
      <c r="V734" s="259"/>
      <c r="W734" s="259">
        <v>18375225.495098196</v>
      </c>
      <c r="X734" s="259">
        <v>21322844.198216699</v>
      </c>
      <c r="Y734" s="259">
        <v>19842444.010834925</v>
      </c>
      <c r="Z734" s="259">
        <v>18492766.798662074</v>
      </c>
      <c r="AA734" s="259">
        <v>16008441.291877015</v>
      </c>
      <c r="AB734" s="259">
        <v>14409194.644580644</v>
      </c>
      <c r="AC734" s="259">
        <v>12336890.714844415</v>
      </c>
      <c r="AD734" s="259">
        <v>10698872.403601827</v>
      </c>
      <c r="AE734" s="259">
        <v>8900730.9700344522</v>
      </c>
      <c r="AF734" s="259">
        <v>8866466.1983725987</v>
      </c>
      <c r="AG734" s="259">
        <v>7294633.5485396935</v>
      </c>
      <c r="AH734" s="259">
        <v>7341349.1088229101</v>
      </c>
      <c r="AI734" s="259">
        <v>5630096.5877889162</v>
      </c>
      <c r="AJ734" s="259">
        <v>5153784.4152656393</v>
      </c>
      <c r="AK734" s="259">
        <v>3200449.0851102788</v>
      </c>
      <c r="AL734" s="259">
        <v>2060972.6679547126</v>
      </c>
      <c r="AM734" s="259">
        <v>1790481.7445801541</v>
      </c>
      <c r="AN734" s="259">
        <v>1139389.4983026853</v>
      </c>
      <c r="AO734" s="259">
        <v>1146542.7640899881</v>
      </c>
      <c r="AP734" s="259">
        <v>1154269.7827734367</v>
      </c>
      <c r="AQ734" s="259">
        <v>1152347.2808053766</v>
      </c>
      <c r="AR734" s="259">
        <v>1150424.7788373267</v>
      </c>
      <c r="AS734" s="259">
        <v>1148502.2768692668</v>
      </c>
      <c r="AT734" s="259">
        <v>1146579.7749012066</v>
      </c>
      <c r="AU734" s="259">
        <v>1144657.2729331567</v>
      </c>
      <c r="AV734" s="259">
        <v>1142734.7709650968</v>
      </c>
      <c r="AW734" s="259">
        <v>1141195.1188082367</v>
      </c>
      <c r="AX734" s="259">
        <v>1897133.7193259466</v>
      </c>
      <c r="AY734" s="259">
        <v>1141097.343127436</v>
      </c>
      <c r="AZ734" s="259">
        <v>642476.94749999978</v>
      </c>
      <c r="BA734" s="259">
        <v>0</v>
      </c>
      <c r="BB734" s="259">
        <v>0</v>
      </c>
      <c r="BC734" s="259">
        <v>0</v>
      </c>
      <c r="BD734" s="259">
        <v>0</v>
      </c>
      <c r="BE734" s="259">
        <v>0</v>
      </c>
      <c r="BF734" s="259">
        <v>0</v>
      </c>
      <c r="BG734" s="259">
        <v>0</v>
      </c>
      <c r="BH734" s="259">
        <v>0</v>
      </c>
      <c r="BI734" s="259">
        <v>0</v>
      </c>
      <c r="BJ734" s="259">
        <v>0</v>
      </c>
      <c r="BK734" s="259">
        <v>0</v>
      </c>
    </row>
    <row r="735" spans="1:63">
      <c r="A735" s="169"/>
      <c r="B735" s="307" t="s">
        <v>29</v>
      </c>
      <c r="C735" s="308"/>
      <c r="D735" s="308"/>
      <c r="E735" s="308"/>
      <c r="F735" s="308"/>
      <c r="G735" s="308"/>
      <c r="H735" s="308"/>
      <c r="I735" s="308"/>
      <c r="J735" s="308"/>
      <c r="K735" s="308"/>
      <c r="L735" s="308"/>
      <c r="M735" s="308"/>
      <c r="N735" s="308"/>
      <c r="O735" s="308"/>
      <c r="P735" s="308"/>
      <c r="Q735" s="308"/>
      <c r="R735" s="308"/>
      <c r="S735" s="308"/>
      <c r="T735" s="308"/>
      <c r="U735" s="308"/>
      <c r="V735" s="309"/>
      <c r="W735" s="309">
        <f>W733+W734</f>
        <v>68303107.862129197</v>
      </c>
      <c r="X735" s="309">
        <f t="shared" ref="X735:BK735" si="77">X733+X734</f>
        <v>44982008.668216698</v>
      </c>
      <c r="Y735" s="309">
        <f t="shared" si="77"/>
        <v>48813752.755742759</v>
      </c>
      <c r="Z735" s="309">
        <f t="shared" si="77"/>
        <v>44611196.244235829</v>
      </c>
      <c r="AA735" s="309">
        <f t="shared" si="77"/>
        <v>46875908.353662014</v>
      </c>
      <c r="AB735" s="309">
        <f t="shared" si="77"/>
        <v>43188856.189602643</v>
      </c>
      <c r="AC735" s="309">
        <f t="shared" si="77"/>
        <v>47636400.507841811</v>
      </c>
      <c r="AD735" s="309">
        <f t="shared" si="77"/>
        <v>41815014.603601828</v>
      </c>
      <c r="AE735" s="309">
        <f t="shared" si="77"/>
        <v>12440368.179178352</v>
      </c>
      <c r="AF735" s="309">
        <f t="shared" si="77"/>
        <v>31528860.751247399</v>
      </c>
      <c r="AG735" s="309">
        <f t="shared" si="77"/>
        <v>7294633.5485396935</v>
      </c>
      <c r="AH735" s="309">
        <f t="shared" si="77"/>
        <v>32469846.608822912</v>
      </c>
      <c r="AI735" s="309">
        <f t="shared" si="77"/>
        <v>17742117.939406615</v>
      </c>
      <c r="AJ735" s="309">
        <f t="shared" si="77"/>
        <v>32659059.715265639</v>
      </c>
      <c r="AK735" s="309">
        <f t="shared" si="77"/>
        <v>19749829.089938276</v>
      </c>
      <c r="AL735" s="309">
        <f t="shared" si="77"/>
        <v>6703773.8679547124</v>
      </c>
      <c r="AM735" s="309">
        <f t="shared" si="77"/>
        <v>13233129.194911951</v>
      </c>
      <c r="AN735" s="309">
        <f t="shared" si="77"/>
        <v>1139389.4983026853</v>
      </c>
      <c r="AO735" s="309">
        <f t="shared" si="77"/>
        <v>1146542.7640899881</v>
      </c>
      <c r="AP735" s="309">
        <f t="shared" si="77"/>
        <v>1154269.7827734367</v>
      </c>
      <c r="AQ735" s="309">
        <f t="shared" si="77"/>
        <v>1152347.2808053766</v>
      </c>
      <c r="AR735" s="309">
        <f t="shared" si="77"/>
        <v>1150424.7788373267</v>
      </c>
      <c r="AS735" s="309">
        <f t="shared" si="77"/>
        <v>1148502.2768692668</v>
      </c>
      <c r="AT735" s="309">
        <f t="shared" si="77"/>
        <v>1146579.7749012066</v>
      </c>
      <c r="AU735" s="309">
        <f t="shared" si="77"/>
        <v>1144657.2729331567</v>
      </c>
      <c r="AV735" s="309">
        <f t="shared" si="77"/>
        <v>1142734.7709650968</v>
      </c>
      <c r="AW735" s="309">
        <f t="shared" si="77"/>
        <v>1141195.1188082367</v>
      </c>
      <c r="AX735" s="309">
        <f t="shared" si="77"/>
        <v>1897133.7193259466</v>
      </c>
      <c r="AY735" s="309">
        <f t="shared" si="77"/>
        <v>9311287.2870242354</v>
      </c>
      <c r="AZ735" s="309">
        <f t="shared" si="77"/>
        <v>9504227.9474999998</v>
      </c>
      <c r="BA735" s="309">
        <f t="shared" si="77"/>
        <v>0</v>
      </c>
      <c r="BB735" s="309">
        <f t="shared" si="77"/>
        <v>0</v>
      </c>
      <c r="BC735" s="309">
        <f t="shared" si="77"/>
        <v>0</v>
      </c>
      <c r="BD735" s="309">
        <f t="shared" si="77"/>
        <v>0</v>
      </c>
      <c r="BE735" s="309">
        <f t="shared" si="77"/>
        <v>0</v>
      </c>
      <c r="BF735" s="309">
        <f t="shared" si="77"/>
        <v>0</v>
      </c>
      <c r="BG735" s="309">
        <f t="shared" si="77"/>
        <v>0</v>
      </c>
      <c r="BH735" s="309">
        <f t="shared" si="77"/>
        <v>0</v>
      </c>
      <c r="BI735" s="309">
        <f t="shared" si="77"/>
        <v>0</v>
      </c>
      <c r="BJ735" s="309">
        <f t="shared" si="77"/>
        <v>0</v>
      </c>
      <c r="BK735" s="309">
        <f t="shared" si="77"/>
        <v>0</v>
      </c>
    </row>
    <row r="736" spans="1:63">
      <c r="A736" s="167"/>
      <c r="B736" s="210" t="s">
        <v>28</v>
      </c>
      <c r="C736" s="254"/>
      <c r="D736" s="254"/>
      <c r="E736" s="254"/>
      <c r="F736" s="254"/>
      <c r="G736" s="254"/>
      <c r="H736" s="254"/>
      <c r="I736" s="254"/>
      <c r="J736" s="254"/>
      <c r="K736" s="254"/>
      <c r="L736" s="254"/>
      <c r="M736" s="254"/>
      <c r="N736" s="254"/>
      <c r="O736" s="254"/>
      <c r="P736" s="254"/>
      <c r="Q736" s="254"/>
      <c r="R736" s="254"/>
      <c r="S736" s="254"/>
      <c r="T736" s="254"/>
      <c r="U736" s="254"/>
      <c r="V736" s="255"/>
      <c r="W736" s="259">
        <v>49281731.319421001</v>
      </c>
      <c r="X736" s="259">
        <v>26156504.169999998</v>
      </c>
      <c r="Y736" s="259">
        <v>29134888.995679542</v>
      </c>
      <c r="Z736" s="259">
        <v>26132147.679910649</v>
      </c>
      <c r="AA736" s="259">
        <v>30929094.182514995</v>
      </c>
      <c r="AB736" s="259">
        <v>28779661.545022</v>
      </c>
      <c r="AC736" s="259">
        <v>36940136.804814599</v>
      </c>
      <c r="AD736" s="259">
        <v>31116142.199999999</v>
      </c>
      <c r="AE736" s="259">
        <v>3789483.5135076004</v>
      </c>
      <c r="AF736" s="259">
        <v>22662394.5528748</v>
      </c>
      <c r="AG736" s="259">
        <v>0</v>
      </c>
      <c r="AH736" s="259">
        <v>25128497.5</v>
      </c>
      <c r="AI736" s="259">
        <v>12180409.3675083</v>
      </c>
      <c r="AJ736" s="259">
        <v>27505275.300000001</v>
      </c>
      <c r="AK736" s="259">
        <v>16642822.645812001</v>
      </c>
      <c r="AL736" s="259">
        <v>5591224.0999999996</v>
      </c>
      <c r="AM736" s="259">
        <v>11968469.865090901</v>
      </c>
      <c r="AN736" s="259">
        <v>0</v>
      </c>
      <c r="AO736" s="259">
        <v>0</v>
      </c>
      <c r="AP736" s="259">
        <v>0</v>
      </c>
      <c r="AQ736" s="259">
        <v>0</v>
      </c>
      <c r="AR736" s="259">
        <v>0</v>
      </c>
      <c r="AS736" s="259">
        <v>0</v>
      </c>
      <c r="AT736" s="259">
        <v>0</v>
      </c>
      <c r="AU736" s="259">
        <v>0</v>
      </c>
      <c r="AV736" s="259">
        <v>0</v>
      </c>
      <c r="AW736" s="259">
        <v>0</v>
      </c>
      <c r="AX736" s="259">
        <v>0</v>
      </c>
      <c r="AY736" s="259">
        <v>8936896.0240917001</v>
      </c>
      <c r="AZ736" s="259">
        <v>10142132.199999999</v>
      </c>
      <c r="BA736" s="259">
        <v>0</v>
      </c>
      <c r="BB736" s="259">
        <v>0</v>
      </c>
      <c r="BC736" s="259">
        <v>0</v>
      </c>
      <c r="BD736" s="259">
        <v>0</v>
      </c>
      <c r="BE736" s="259">
        <v>0</v>
      </c>
      <c r="BF736" s="259">
        <v>0</v>
      </c>
      <c r="BG736" s="259">
        <v>0</v>
      </c>
      <c r="BH736" s="259">
        <v>0</v>
      </c>
      <c r="BI736" s="259">
        <v>0</v>
      </c>
      <c r="BJ736" s="259">
        <v>0</v>
      </c>
      <c r="BK736" s="259">
        <v>0</v>
      </c>
    </row>
    <row r="737" spans="1:64">
      <c r="A737" s="168">
        <v>44316</v>
      </c>
      <c r="B737" s="213" t="s">
        <v>385</v>
      </c>
      <c r="C737" s="256"/>
      <c r="D737" s="256"/>
      <c r="E737" s="256"/>
      <c r="F737" s="256"/>
      <c r="G737" s="256"/>
      <c r="H737" s="256"/>
      <c r="I737" s="256"/>
      <c r="J737" s="256"/>
      <c r="K737" s="256"/>
      <c r="L737" s="256"/>
      <c r="M737" s="256"/>
      <c r="N737" s="256"/>
      <c r="O737" s="256"/>
      <c r="P737" s="256"/>
      <c r="Q737" s="256"/>
      <c r="R737" s="256"/>
      <c r="S737" s="256"/>
      <c r="T737" s="256"/>
      <c r="U737" s="256"/>
      <c r="V737" s="259"/>
      <c r="W737" s="259">
        <v>15902924.467034973</v>
      </c>
      <c r="X737" s="259">
        <v>21636973.044104125</v>
      </c>
      <c r="Y737" s="259">
        <v>20118718.258747242</v>
      </c>
      <c r="Z737" s="259">
        <v>18729576.0116954</v>
      </c>
      <c r="AA737" s="259">
        <v>16251998.317056261</v>
      </c>
      <c r="AB737" s="259">
        <v>14657369.879104502</v>
      </c>
      <c r="AC737" s="259">
        <v>12591873.450300135</v>
      </c>
      <c r="AD737" s="259">
        <v>10868698.202374998</v>
      </c>
      <c r="AE737" s="259">
        <v>9077385.8417712525</v>
      </c>
      <c r="AF737" s="259">
        <v>9042669.6475276276</v>
      </c>
      <c r="AG737" s="259">
        <v>7477580.1027384549</v>
      </c>
      <c r="AH737" s="259">
        <v>7556771.0045706108</v>
      </c>
      <c r="AI737" s="259">
        <v>5879342.8084577248</v>
      </c>
      <c r="AJ737" s="259">
        <v>5420018.4775249287</v>
      </c>
      <c r="AK737" s="259">
        <v>3496119.9161006771</v>
      </c>
      <c r="AL737" s="259">
        <v>2321416.3298326563</v>
      </c>
      <c r="AM737" s="259">
        <v>2009064.6307551358</v>
      </c>
      <c r="AN737" s="259">
        <v>1296163.6954080826</v>
      </c>
      <c r="AO737" s="259">
        <v>1312989.4687353252</v>
      </c>
      <c r="AP737" s="259">
        <v>1330320.0152623849</v>
      </c>
      <c r="AQ737" s="259">
        <v>1330320.0152623849</v>
      </c>
      <c r="AR737" s="259">
        <v>1330320.0152623849</v>
      </c>
      <c r="AS737" s="259">
        <v>1330320.0152623849</v>
      </c>
      <c r="AT737" s="259">
        <v>1330320.0152623849</v>
      </c>
      <c r="AU737" s="259">
        <v>1330320.0152623849</v>
      </c>
      <c r="AV737" s="259">
        <v>1330320.0152623849</v>
      </c>
      <c r="AW737" s="259">
        <v>1330320.0152623849</v>
      </c>
      <c r="AX737" s="259">
        <v>1330320.0152623849</v>
      </c>
      <c r="AY737" s="259">
        <v>1330320.0152623858</v>
      </c>
      <c r="AZ737" s="259">
        <v>735304.58449999988</v>
      </c>
      <c r="BA737" s="259">
        <v>0</v>
      </c>
      <c r="BB737" s="259">
        <v>0</v>
      </c>
      <c r="BC737" s="259">
        <v>0</v>
      </c>
      <c r="BD737" s="259">
        <v>0</v>
      </c>
      <c r="BE737" s="259">
        <v>0</v>
      </c>
      <c r="BF737" s="259">
        <v>0</v>
      </c>
      <c r="BG737" s="259">
        <v>0</v>
      </c>
      <c r="BH737" s="259">
        <v>0</v>
      </c>
      <c r="BI737" s="259">
        <v>0</v>
      </c>
      <c r="BJ737" s="259">
        <v>0</v>
      </c>
      <c r="BK737" s="259">
        <v>0</v>
      </c>
    </row>
    <row r="738" spans="1:64">
      <c r="A738" s="169"/>
      <c r="B738" s="307" t="s">
        <v>29</v>
      </c>
      <c r="C738" s="308"/>
      <c r="D738" s="308"/>
      <c r="E738" s="308"/>
      <c r="F738" s="308"/>
      <c r="G738" s="308"/>
      <c r="H738" s="308"/>
      <c r="I738" s="308"/>
      <c r="J738" s="308"/>
      <c r="K738" s="308"/>
      <c r="L738" s="308"/>
      <c r="M738" s="308"/>
      <c r="N738" s="308"/>
      <c r="O738" s="308"/>
      <c r="P738" s="308"/>
      <c r="Q738" s="308"/>
      <c r="R738" s="308"/>
      <c r="S738" s="308"/>
      <c r="T738" s="308"/>
      <c r="U738" s="308"/>
      <c r="V738" s="309"/>
      <c r="W738" s="309">
        <f>W736+W737</f>
        <v>65184655.786455974</v>
      </c>
      <c r="X738" s="309">
        <f t="shared" ref="X738:BK738" si="78">X736+X737</f>
        <v>47793477.214104123</v>
      </c>
      <c r="Y738" s="309">
        <f t="shared" si="78"/>
        <v>49253607.254426785</v>
      </c>
      <c r="Z738" s="309">
        <f t="shared" si="78"/>
        <v>44861723.691606045</v>
      </c>
      <c r="AA738" s="309">
        <f t="shared" si="78"/>
        <v>47181092.499571256</v>
      </c>
      <c r="AB738" s="309">
        <f t="shared" si="78"/>
        <v>43437031.424126506</v>
      </c>
      <c r="AC738" s="309">
        <f t="shared" si="78"/>
        <v>49532010.255114734</v>
      </c>
      <c r="AD738" s="309">
        <f t="shared" si="78"/>
        <v>41984840.402374998</v>
      </c>
      <c r="AE738" s="309">
        <f t="shared" si="78"/>
        <v>12866869.355278853</v>
      </c>
      <c r="AF738" s="309">
        <f t="shared" si="78"/>
        <v>31705064.200402427</v>
      </c>
      <c r="AG738" s="309">
        <f t="shared" si="78"/>
        <v>7477580.1027384549</v>
      </c>
      <c r="AH738" s="309">
        <f t="shared" si="78"/>
        <v>32685268.504570611</v>
      </c>
      <c r="AI738" s="309">
        <f t="shared" si="78"/>
        <v>18059752.175966024</v>
      </c>
      <c r="AJ738" s="309">
        <f t="shared" si="78"/>
        <v>32925293.777524929</v>
      </c>
      <c r="AK738" s="309">
        <f t="shared" si="78"/>
        <v>20138942.561912678</v>
      </c>
      <c r="AL738" s="309">
        <f t="shared" si="78"/>
        <v>7912640.4298326559</v>
      </c>
      <c r="AM738" s="309">
        <f t="shared" si="78"/>
        <v>13977534.495846037</v>
      </c>
      <c r="AN738" s="309">
        <f t="shared" si="78"/>
        <v>1296163.6954080826</v>
      </c>
      <c r="AO738" s="309">
        <f t="shared" si="78"/>
        <v>1312989.4687353252</v>
      </c>
      <c r="AP738" s="309">
        <f t="shared" si="78"/>
        <v>1330320.0152623849</v>
      </c>
      <c r="AQ738" s="309">
        <f t="shared" si="78"/>
        <v>1330320.0152623849</v>
      </c>
      <c r="AR738" s="309">
        <f t="shared" si="78"/>
        <v>1330320.0152623849</v>
      </c>
      <c r="AS738" s="309">
        <f t="shared" si="78"/>
        <v>1330320.0152623849</v>
      </c>
      <c r="AT738" s="309">
        <f t="shared" si="78"/>
        <v>1330320.0152623849</v>
      </c>
      <c r="AU738" s="309">
        <f t="shared" si="78"/>
        <v>1330320.0152623849</v>
      </c>
      <c r="AV738" s="309">
        <f t="shared" si="78"/>
        <v>1330320.0152623849</v>
      </c>
      <c r="AW738" s="309">
        <f t="shared" si="78"/>
        <v>1330320.0152623849</v>
      </c>
      <c r="AX738" s="309">
        <f t="shared" si="78"/>
        <v>1330320.0152623849</v>
      </c>
      <c r="AY738" s="309">
        <f t="shared" si="78"/>
        <v>10267216.039354086</v>
      </c>
      <c r="AZ738" s="309">
        <f t="shared" si="78"/>
        <v>10877436.784499999</v>
      </c>
      <c r="BA738" s="309">
        <f t="shared" si="78"/>
        <v>0</v>
      </c>
      <c r="BB738" s="309">
        <f t="shared" si="78"/>
        <v>0</v>
      </c>
      <c r="BC738" s="309">
        <f t="shared" si="78"/>
        <v>0</v>
      </c>
      <c r="BD738" s="309">
        <f t="shared" si="78"/>
        <v>0</v>
      </c>
      <c r="BE738" s="309">
        <f t="shared" si="78"/>
        <v>0</v>
      </c>
      <c r="BF738" s="309">
        <f t="shared" si="78"/>
        <v>0</v>
      </c>
      <c r="BG738" s="309">
        <f t="shared" si="78"/>
        <v>0</v>
      </c>
      <c r="BH738" s="309">
        <f t="shared" si="78"/>
        <v>0</v>
      </c>
      <c r="BI738" s="309">
        <f t="shared" si="78"/>
        <v>0</v>
      </c>
      <c r="BJ738" s="309">
        <f t="shared" si="78"/>
        <v>0</v>
      </c>
      <c r="BK738" s="309">
        <f t="shared" si="78"/>
        <v>0</v>
      </c>
    </row>
    <row r="739" spans="1:64">
      <c r="A739" s="167"/>
      <c r="B739" s="210" t="s">
        <v>28</v>
      </c>
      <c r="C739" s="254"/>
      <c r="D739" s="254"/>
      <c r="E739" s="254"/>
      <c r="F739" s="254"/>
      <c r="G739" s="254"/>
      <c r="H739" s="254"/>
      <c r="I739" s="254"/>
      <c r="J739" s="254"/>
      <c r="K739" s="254"/>
      <c r="L739" s="254"/>
      <c r="M739" s="254"/>
      <c r="N739" s="254"/>
      <c r="O739" s="254"/>
      <c r="P739" s="254"/>
      <c r="Q739" s="254"/>
      <c r="R739" s="254"/>
      <c r="S739" s="254"/>
      <c r="T739" s="254"/>
      <c r="U739" s="254"/>
      <c r="V739" s="255"/>
      <c r="W739" s="259">
        <v>49347038.529091001</v>
      </c>
      <c r="X739" s="259">
        <v>27207504.07</v>
      </c>
      <c r="Y739" s="259">
        <v>29297895.975532904</v>
      </c>
      <c r="Z739" s="259">
        <v>26132147.679910652</v>
      </c>
      <c r="AA739" s="259">
        <v>30990505.329519995</v>
      </c>
      <c r="AB739" s="259">
        <v>28779661.545022</v>
      </c>
      <c r="AC739" s="259">
        <v>38170349.020572796</v>
      </c>
      <c r="AD739" s="259">
        <v>31116142.200000003</v>
      </c>
      <c r="AE739" s="259">
        <v>4406246.4269351996</v>
      </c>
      <c r="AF739" s="259">
        <v>22662394.5528748</v>
      </c>
      <c r="AG739" s="259">
        <v>0</v>
      </c>
      <c r="AH739" s="259">
        <v>25128497.5</v>
      </c>
      <c r="AI739" s="259">
        <v>12248557.715954401</v>
      </c>
      <c r="AJ739" s="259">
        <v>27505275.300000001</v>
      </c>
      <c r="AK739" s="259">
        <v>16735937.814816002</v>
      </c>
      <c r="AL739" s="259">
        <v>6765099.4000000004</v>
      </c>
      <c r="AM739" s="259">
        <v>12488893.493265599</v>
      </c>
      <c r="AN739" s="259">
        <v>0</v>
      </c>
      <c r="AO739" s="259">
        <v>0</v>
      </c>
      <c r="AP739" s="259">
        <v>0</v>
      </c>
      <c r="AQ739" s="259">
        <v>0</v>
      </c>
      <c r="AR739" s="259">
        <v>0</v>
      </c>
      <c r="AS739" s="259">
        <v>0</v>
      </c>
      <c r="AT739" s="259">
        <v>0</v>
      </c>
      <c r="AU739" s="259">
        <v>0</v>
      </c>
      <c r="AV739" s="259">
        <v>0</v>
      </c>
      <c r="AW739" s="259">
        <v>0</v>
      </c>
      <c r="AX739" s="259">
        <v>0</v>
      </c>
      <c r="AY739" s="259">
        <v>9862785.5012352001</v>
      </c>
      <c r="AZ739" s="259">
        <v>11274786.4</v>
      </c>
      <c r="BA739" s="259">
        <v>0</v>
      </c>
      <c r="BB739" s="259">
        <v>0</v>
      </c>
      <c r="BC739" s="259">
        <v>0</v>
      </c>
      <c r="BD739" s="259">
        <v>0</v>
      </c>
      <c r="BE739" s="259">
        <v>0</v>
      </c>
      <c r="BF739" s="259">
        <v>0</v>
      </c>
      <c r="BG739" s="259">
        <v>0</v>
      </c>
      <c r="BH739" s="259">
        <v>0</v>
      </c>
      <c r="BI739" s="259">
        <v>0</v>
      </c>
      <c r="BJ739" s="259">
        <v>0</v>
      </c>
      <c r="BK739" s="259">
        <v>0</v>
      </c>
    </row>
    <row r="740" spans="1:64">
      <c r="A740" s="168">
        <v>44347</v>
      </c>
      <c r="B740" s="213" t="s">
        <v>385</v>
      </c>
      <c r="C740" s="256"/>
      <c r="D740" s="256"/>
      <c r="E740" s="256"/>
      <c r="F740" s="256"/>
      <c r="G740" s="256"/>
      <c r="H740" s="256"/>
      <c r="I740" s="256"/>
      <c r="J740" s="256"/>
      <c r="K740" s="256"/>
      <c r="L740" s="256"/>
      <c r="M740" s="256"/>
      <c r="N740" s="256"/>
      <c r="O740" s="256"/>
      <c r="P740" s="256"/>
      <c r="Q740" s="256"/>
      <c r="R740" s="256"/>
      <c r="S740" s="256"/>
      <c r="T740" s="256"/>
      <c r="U740" s="256"/>
      <c r="V740" s="259"/>
      <c r="W740" s="259">
        <v>14110773.003630307</v>
      </c>
      <c r="X740" s="259">
        <v>21922807.696814463</v>
      </c>
      <c r="Y740" s="259">
        <v>20446583.211535625</v>
      </c>
      <c r="Z740" s="259">
        <v>19093773.045564689</v>
      </c>
      <c r="AA740" s="259">
        <v>16613657.537881708</v>
      </c>
      <c r="AB740" s="259">
        <v>15016556.07279351</v>
      </c>
      <c r="AC740" s="259">
        <v>12948652.797598654</v>
      </c>
      <c r="AD740" s="259">
        <v>11158368.754460411</v>
      </c>
      <c r="AE740" s="259">
        <v>9364784.550298797</v>
      </c>
      <c r="AF740" s="259">
        <v>9310262.50305105</v>
      </c>
      <c r="AG740" s="259">
        <v>7742516.081238497</v>
      </c>
      <c r="AH740" s="259">
        <v>7819109.04845226</v>
      </c>
      <c r="AI740" s="259">
        <v>6139143.6283981251</v>
      </c>
      <c r="AJ740" s="259">
        <v>5677344.6055214712</v>
      </c>
      <c r="AK740" s="259">
        <v>3752477.1176563092</v>
      </c>
      <c r="AL740" s="259">
        <v>2577619.3100818307</v>
      </c>
      <c r="AM740" s="259">
        <v>2191814.5138498237</v>
      </c>
      <c r="AN740" s="259">
        <v>1450598.2261279442</v>
      </c>
      <c r="AO740" s="259">
        <v>1466631.9853346609</v>
      </c>
      <c r="AP740" s="259">
        <v>1483601.7639116992</v>
      </c>
      <c r="AQ740" s="259">
        <v>1481679.261943639</v>
      </c>
      <c r="AR740" s="259">
        <v>1479756.7599755891</v>
      </c>
      <c r="AS740" s="259">
        <v>1477834.2580075292</v>
      </c>
      <c r="AT740" s="259">
        <v>1475911.756039469</v>
      </c>
      <c r="AU740" s="259">
        <v>1473989.2540714191</v>
      </c>
      <c r="AV740" s="259">
        <v>1472066.7521033592</v>
      </c>
      <c r="AW740" s="259">
        <v>1470527.0999464991</v>
      </c>
      <c r="AX740" s="259">
        <v>2226463.7941202093</v>
      </c>
      <c r="AY740" s="259">
        <v>1470429.3242656998</v>
      </c>
      <c r="AZ740" s="259">
        <v>817422.01400000043</v>
      </c>
      <c r="BA740" s="259">
        <v>0</v>
      </c>
      <c r="BB740" s="259">
        <v>0</v>
      </c>
      <c r="BC740" s="259">
        <v>0</v>
      </c>
      <c r="BD740" s="259">
        <v>0</v>
      </c>
      <c r="BE740" s="259">
        <v>0</v>
      </c>
      <c r="BF740" s="259">
        <v>0</v>
      </c>
      <c r="BG740" s="259">
        <v>0</v>
      </c>
      <c r="BH740" s="259">
        <v>0</v>
      </c>
      <c r="BI740" s="259">
        <v>0</v>
      </c>
      <c r="BJ740" s="259">
        <v>0</v>
      </c>
      <c r="BK740" s="259">
        <v>0</v>
      </c>
    </row>
    <row r="741" spans="1:64">
      <c r="A741" s="169"/>
      <c r="B741" s="307" t="s">
        <v>29</v>
      </c>
      <c r="C741" s="308"/>
      <c r="D741" s="308"/>
      <c r="E741" s="308"/>
      <c r="F741" s="308"/>
      <c r="G741" s="308"/>
      <c r="H741" s="308"/>
      <c r="I741" s="308"/>
      <c r="J741" s="308"/>
      <c r="K741" s="308"/>
      <c r="L741" s="308"/>
      <c r="M741" s="308"/>
      <c r="N741" s="308"/>
      <c r="O741" s="308"/>
      <c r="P741" s="308"/>
      <c r="Q741" s="308"/>
      <c r="R741" s="308"/>
      <c r="S741" s="308"/>
      <c r="T741" s="308"/>
      <c r="U741" s="308"/>
      <c r="V741" s="309"/>
      <c r="W741" s="309">
        <f>W739+W740</f>
        <v>63457811.532721311</v>
      </c>
      <c r="X741" s="309">
        <f t="shared" ref="X741:BK741" si="79">X739+X740</f>
        <v>49130311.766814463</v>
      </c>
      <c r="Y741" s="309">
        <f t="shared" si="79"/>
        <v>49744479.187068529</v>
      </c>
      <c r="Z741" s="309">
        <f t="shared" si="79"/>
        <v>45225920.725475341</v>
      </c>
      <c r="AA741" s="309">
        <f t="shared" si="79"/>
        <v>47604162.867401704</v>
      </c>
      <c r="AB741" s="309">
        <f t="shared" si="79"/>
        <v>43796217.617815509</v>
      </c>
      <c r="AC741" s="309">
        <f t="shared" si="79"/>
        <v>51119001.818171449</v>
      </c>
      <c r="AD741" s="309">
        <f t="shared" si="79"/>
        <v>42274510.954460412</v>
      </c>
      <c r="AE741" s="309">
        <f t="shared" si="79"/>
        <v>13771030.977233997</v>
      </c>
      <c r="AF741" s="309">
        <f t="shared" si="79"/>
        <v>31972657.05592585</v>
      </c>
      <c r="AG741" s="309">
        <f t="shared" si="79"/>
        <v>7742516.081238497</v>
      </c>
      <c r="AH741" s="309">
        <f t="shared" si="79"/>
        <v>32947606.548452258</v>
      </c>
      <c r="AI741" s="309">
        <f t="shared" si="79"/>
        <v>18387701.344352525</v>
      </c>
      <c r="AJ741" s="309">
        <f t="shared" si="79"/>
        <v>33182619.905521471</v>
      </c>
      <c r="AK741" s="309">
        <f t="shared" si="79"/>
        <v>20488414.932472311</v>
      </c>
      <c r="AL741" s="309">
        <f t="shared" si="79"/>
        <v>9342718.7100818306</v>
      </c>
      <c r="AM741" s="309">
        <f t="shared" si="79"/>
        <v>14680708.007115424</v>
      </c>
      <c r="AN741" s="309">
        <f t="shared" si="79"/>
        <v>1450598.2261279442</v>
      </c>
      <c r="AO741" s="309">
        <f t="shared" si="79"/>
        <v>1466631.9853346609</v>
      </c>
      <c r="AP741" s="309">
        <f t="shared" si="79"/>
        <v>1483601.7639116992</v>
      </c>
      <c r="AQ741" s="309">
        <f t="shared" si="79"/>
        <v>1481679.261943639</v>
      </c>
      <c r="AR741" s="309">
        <f t="shared" si="79"/>
        <v>1479756.7599755891</v>
      </c>
      <c r="AS741" s="309">
        <f t="shared" si="79"/>
        <v>1477834.2580075292</v>
      </c>
      <c r="AT741" s="309">
        <f t="shared" si="79"/>
        <v>1475911.756039469</v>
      </c>
      <c r="AU741" s="309">
        <f t="shared" si="79"/>
        <v>1473989.2540714191</v>
      </c>
      <c r="AV741" s="309">
        <f t="shared" si="79"/>
        <v>1472066.7521033592</v>
      </c>
      <c r="AW741" s="309">
        <f t="shared" si="79"/>
        <v>1470527.0999464991</v>
      </c>
      <c r="AX741" s="309">
        <f t="shared" si="79"/>
        <v>2226463.7941202093</v>
      </c>
      <c r="AY741" s="309">
        <f t="shared" si="79"/>
        <v>11333214.8255009</v>
      </c>
      <c r="AZ741" s="309">
        <f t="shared" si="79"/>
        <v>12092208.414000001</v>
      </c>
      <c r="BA741" s="309">
        <f t="shared" si="79"/>
        <v>0</v>
      </c>
      <c r="BB741" s="309">
        <f t="shared" si="79"/>
        <v>0</v>
      </c>
      <c r="BC741" s="309">
        <f t="shared" si="79"/>
        <v>0</v>
      </c>
      <c r="BD741" s="309">
        <f t="shared" si="79"/>
        <v>0</v>
      </c>
      <c r="BE741" s="309">
        <f t="shared" si="79"/>
        <v>0</v>
      </c>
      <c r="BF741" s="309">
        <f t="shared" si="79"/>
        <v>0</v>
      </c>
      <c r="BG741" s="309">
        <f t="shared" si="79"/>
        <v>0</v>
      </c>
      <c r="BH741" s="309">
        <f t="shared" si="79"/>
        <v>0</v>
      </c>
      <c r="BI741" s="309">
        <f t="shared" si="79"/>
        <v>0</v>
      </c>
      <c r="BJ741" s="309">
        <f t="shared" si="79"/>
        <v>0</v>
      </c>
      <c r="BK741" s="309">
        <f t="shared" si="79"/>
        <v>0</v>
      </c>
    </row>
    <row r="742" spans="1:64">
      <c r="A742" s="167"/>
      <c r="B742" s="210" t="s">
        <v>28</v>
      </c>
      <c r="C742" s="254"/>
      <c r="D742" s="254"/>
      <c r="E742" s="254"/>
      <c r="F742" s="254"/>
      <c r="G742" s="254"/>
      <c r="H742" s="254"/>
      <c r="I742" s="254"/>
      <c r="J742" s="254"/>
      <c r="K742" s="254"/>
      <c r="L742" s="254"/>
      <c r="M742" s="254"/>
      <c r="N742" s="254"/>
      <c r="O742" s="254"/>
      <c r="P742" s="254"/>
      <c r="Q742" s="254"/>
      <c r="R742" s="254"/>
      <c r="S742" s="254"/>
      <c r="T742" s="254"/>
      <c r="U742" s="254"/>
      <c r="V742" s="255"/>
      <c r="W742" s="259">
        <v>45395805.679022007</v>
      </c>
      <c r="X742" s="259">
        <v>28545764.07</v>
      </c>
      <c r="Y742" s="259">
        <v>29527954.806616951</v>
      </c>
      <c r="Z742" s="259">
        <v>26194704.218718059</v>
      </c>
      <c r="AA742" s="259">
        <v>31077177.548759997</v>
      </c>
      <c r="AB742" s="259">
        <v>28779661.545022</v>
      </c>
      <c r="AC742" s="259">
        <v>38981884.166286394</v>
      </c>
      <c r="AD742" s="259">
        <v>31116142.199999999</v>
      </c>
      <c r="AE742" s="259">
        <v>4853128.0512063997</v>
      </c>
      <c r="AF742" s="259">
        <v>22662394.5528748</v>
      </c>
      <c r="AG742" s="259">
        <v>728208</v>
      </c>
      <c r="AH742" s="259">
        <v>25128497.5</v>
      </c>
      <c r="AI742" s="259">
        <v>12344738.440227199</v>
      </c>
      <c r="AJ742" s="259">
        <v>27505275.300000001</v>
      </c>
      <c r="AK742" s="259">
        <v>16867355.297408</v>
      </c>
      <c r="AL742" s="259">
        <v>8132876.7999999998</v>
      </c>
      <c r="AM742" s="259">
        <v>13152537.9441792</v>
      </c>
      <c r="AN742" s="259">
        <v>0</v>
      </c>
      <c r="AO742" s="259">
        <v>0</v>
      </c>
      <c r="AP742" s="259">
        <v>0</v>
      </c>
      <c r="AQ742" s="259">
        <v>0</v>
      </c>
      <c r="AR742" s="259">
        <v>0</v>
      </c>
      <c r="AS742" s="259">
        <v>0</v>
      </c>
      <c r="AT742" s="259">
        <v>0</v>
      </c>
      <c r="AU742" s="259">
        <v>0</v>
      </c>
      <c r="AV742" s="259">
        <v>0</v>
      </c>
      <c r="AW742" s="259">
        <v>0</v>
      </c>
      <c r="AX742" s="259">
        <v>0</v>
      </c>
      <c r="AY742" s="259">
        <v>10594204.522048</v>
      </c>
      <c r="AZ742" s="259">
        <v>11945207.4</v>
      </c>
      <c r="BA742" s="259">
        <v>0</v>
      </c>
      <c r="BB742" s="259">
        <v>0</v>
      </c>
      <c r="BC742" s="259">
        <v>0</v>
      </c>
      <c r="BD742" s="259">
        <v>0</v>
      </c>
      <c r="BE742" s="259">
        <v>0</v>
      </c>
      <c r="BF742" s="259">
        <v>0</v>
      </c>
      <c r="BG742" s="259">
        <v>0</v>
      </c>
      <c r="BH742" s="259">
        <v>0</v>
      </c>
      <c r="BI742" s="259">
        <v>0</v>
      </c>
      <c r="BJ742" s="259">
        <v>0</v>
      </c>
      <c r="BK742" s="259">
        <v>0</v>
      </c>
    </row>
    <row r="743" spans="1:64">
      <c r="A743" s="168">
        <v>44377</v>
      </c>
      <c r="B743" s="213" t="s">
        <v>385</v>
      </c>
      <c r="C743" s="256"/>
      <c r="D743" s="256"/>
      <c r="E743" s="256"/>
      <c r="F743" s="256"/>
      <c r="G743" s="256"/>
      <c r="H743" s="256"/>
      <c r="I743" s="256"/>
      <c r="J743" s="256"/>
      <c r="K743" s="256"/>
      <c r="L743" s="256"/>
      <c r="M743" s="256"/>
      <c r="N743" s="256"/>
      <c r="O743" s="256"/>
      <c r="P743" s="256"/>
      <c r="Q743" s="256"/>
      <c r="R743" s="256"/>
      <c r="S743" s="256"/>
      <c r="T743" s="256"/>
      <c r="U743" s="256"/>
      <c r="V743" s="259"/>
      <c r="W743" s="259">
        <v>12151324.750500001</v>
      </c>
      <c r="X743" s="259">
        <v>22202697.008418538</v>
      </c>
      <c r="Y743" s="259">
        <v>20728170.44382732</v>
      </c>
      <c r="Z743" s="259">
        <v>19377109.62174166</v>
      </c>
      <c r="AA743" s="259">
        <v>16898795.691883978</v>
      </c>
      <c r="AB743" s="259">
        <v>15303549.851955842</v>
      </c>
      <c r="AC743" s="259">
        <v>13237557.870675871</v>
      </c>
      <c r="AD743" s="259">
        <v>11411024.648269938</v>
      </c>
      <c r="AE743" s="259">
        <v>9619468.1358226091</v>
      </c>
      <c r="AF743" s="259">
        <v>9554942.7025495879</v>
      </c>
      <c r="AG743" s="259">
        <v>7988984.7016219934</v>
      </c>
      <c r="AH743" s="259">
        <v>8016445.1823472623</v>
      </c>
      <c r="AI743" s="259">
        <v>6338377.0980099728</v>
      </c>
      <c r="AJ743" s="259">
        <v>5878532.3309216769</v>
      </c>
      <c r="AK743" s="259">
        <v>3955677.7265185211</v>
      </c>
      <c r="AL743" s="259">
        <v>2782893.1889099102</v>
      </c>
      <c r="AM743" s="259">
        <v>2313737.7732427446</v>
      </c>
      <c r="AN743" s="259">
        <v>1539699.2202905589</v>
      </c>
      <c r="AO743" s="259">
        <v>1556947.843647154</v>
      </c>
      <c r="AP743" s="259">
        <v>1575168.9322985674</v>
      </c>
      <c r="AQ743" s="259">
        <v>1573246.4303305072</v>
      </c>
      <c r="AR743" s="259">
        <v>1571323.9283624573</v>
      </c>
      <c r="AS743" s="259">
        <v>1569401.4263943974</v>
      </c>
      <c r="AT743" s="259">
        <v>1567478.9244263372</v>
      </c>
      <c r="AU743" s="259">
        <v>1565556.4224582873</v>
      </c>
      <c r="AV743" s="259">
        <v>1563633.9204902274</v>
      </c>
      <c r="AW743" s="259">
        <v>1562094.2683333673</v>
      </c>
      <c r="AX743" s="259">
        <v>2318030.8112412374</v>
      </c>
      <c r="AY743" s="259">
        <v>1561996.4926525671</v>
      </c>
      <c r="AZ743" s="259">
        <v>866027.53649999946</v>
      </c>
      <c r="BA743" s="259">
        <v>0</v>
      </c>
      <c r="BB743" s="259">
        <v>0</v>
      </c>
      <c r="BC743" s="259">
        <v>0</v>
      </c>
      <c r="BD743" s="259">
        <v>0</v>
      </c>
      <c r="BE743" s="259">
        <v>0</v>
      </c>
      <c r="BF743" s="259">
        <v>0</v>
      </c>
      <c r="BG743" s="259">
        <v>0</v>
      </c>
      <c r="BH743" s="259">
        <v>0</v>
      </c>
      <c r="BI743" s="259">
        <v>0</v>
      </c>
      <c r="BJ743" s="259">
        <v>0</v>
      </c>
      <c r="BK743" s="259">
        <v>0</v>
      </c>
    </row>
    <row r="744" spans="1:64">
      <c r="A744" s="169"/>
      <c r="B744" s="307" t="s">
        <v>29</v>
      </c>
      <c r="C744" s="308"/>
      <c r="D744" s="308"/>
      <c r="E744" s="308"/>
      <c r="F744" s="308"/>
      <c r="G744" s="308"/>
      <c r="H744" s="308"/>
      <c r="I744" s="308"/>
      <c r="J744" s="308"/>
      <c r="K744" s="308"/>
      <c r="L744" s="308"/>
      <c r="M744" s="308"/>
      <c r="N744" s="308"/>
      <c r="O744" s="308"/>
      <c r="P744" s="308"/>
      <c r="Q744" s="308"/>
      <c r="R744" s="308"/>
      <c r="S744" s="308"/>
      <c r="T744" s="308"/>
      <c r="U744" s="308"/>
      <c r="V744" s="309"/>
      <c r="W744" s="309">
        <f>W742+W743</f>
        <v>57547130.429522008</v>
      </c>
      <c r="X744" s="309">
        <f t="shared" ref="X744:BK744" si="80">X742+X743</f>
        <v>50748461.078418538</v>
      </c>
      <c r="Y744" s="309">
        <f t="shared" si="80"/>
        <v>50256125.250444271</v>
      </c>
      <c r="Z744" s="309">
        <f t="shared" si="80"/>
        <v>45571813.840459719</v>
      </c>
      <c r="AA744" s="309">
        <f t="shared" si="80"/>
        <v>47975973.240643978</v>
      </c>
      <c r="AB744" s="309">
        <f t="shared" si="80"/>
        <v>44083211.396977842</v>
      </c>
      <c r="AC744" s="309">
        <f t="shared" si="80"/>
        <v>52219442.036962263</v>
      </c>
      <c r="AD744" s="309">
        <f t="shared" si="80"/>
        <v>42527166.848269939</v>
      </c>
      <c r="AE744" s="309">
        <f t="shared" si="80"/>
        <v>14472596.187029008</v>
      </c>
      <c r="AF744" s="309">
        <f t="shared" si="80"/>
        <v>32217337.255424388</v>
      </c>
      <c r="AG744" s="309">
        <f t="shared" si="80"/>
        <v>8717192.7016219944</v>
      </c>
      <c r="AH744" s="309">
        <f t="shared" si="80"/>
        <v>33144942.68234726</v>
      </c>
      <c r="AI744" s="309">
        <f t="shared" si="80"/>
        <v>18683115.538237173</v>
      </c>
      <c r="AJ744" s="309">
        <f t="shared" si="80"/>
        <v>33383807.630921677</v>
      </c>
      <c r="AK744" s="309">
        <f t="shared" si="80"/>
        <v>20823033.023926519</v>
      </c>
      <c r="AL744" s="309">
        <f t="shared" si="80"/>
        <v>10915769.98890991</v>
      </c>
      <c r="AM744" s="309">
        <f t="shared" si="80"/>
        <v>15466275.717421945</v>
      </c>
      <c r="AN744" s="309">
        <f t="shared" si="80"/>
        <v>1539699.2202905589</v>
      </c>
      <c r="AO744" s="309">
        <f t="shared" si="80"/>
        <v>1556947.843647154</v>
      </c>
      <c r="AP744" s="309">
        <f t="shared" si="80"/>
        <v>1575168.9322985674</v>
      </c>
      <c r="AQ744" s="309">
        <f t="shared" si="80"/>
        <v>1573246.4303305072</v>
      </c>
      <c r="AR744" s="309">
        <f t="shared" si="80"/>
        <v>1571323.9283624573</v>
      </c>
      <c r="AS744" s="309">
        <f t="shared" si="80"/>
        <v>1569401.4263943974</v>
      </c>
      <c r="AT744" s="309">
        <f t="shared" si="80"/>
        <v>1567478.9244263372</v>
      </c>
      <c r="AU744" s="309">
        <f t="shared" si="80"/>
        <v>1565556.4224582873</v>
      </c>
      <c r="AV744" s="309">
        <f t="shared" si="80"/>
        <v>1563633.9204902274</v>
      </c>
      <c r="AW744" s="309">
        <f t="shared" si="80"/>
        <v>1562094.2683333673</v>
      </c>
      <c r="AX744" s="309">
        <f t="shared" si="80"/>
        <v>2318030.8112412374</v>
      </c>
      <c r="AY744" s="309">
        <f t="shared" si="80"/>
        <v>12156201.014700567</v>
      </c>
      <c r="AZ744" s="309">
        <f t="shared" si="80"/>
        <v>12811234.9365</v>
      </c>
      <c r="BA744" s="309">
        <f t="shared" si="80"/>
        <v>0</v>
      </c>
      <c r="BB744" s="309">
        <f t="shared" si="80"/>
        <v>0</v>
      </c>
      <c r="BC744" s="309">
        <f t="shared" si="80"/>
        <v>0</v>
      </c>
      <c r="BD744" s="309">
        <f t="shared" si="80"/>
        <v>0</v>
      </c>
      <c r="BE744" s="309">
        <f t="shared" si="80"/>
        <v>0</v>
      </c>
      <c r="BF744" s="309">
        <f t="shared" si="80"/>
        <v>0</v>
      </c>
      <c r="BG744" s="309">
        <f t="shared" si="80"/>
        <v>0</v>
      </c>
      <c r="BH744" s="309">
        <f t="shared" si="80"/>
        <v>0</v>
      </c>
      <c r="BI744" s="309">
        <f t="shared" si="80"/>
        <v>0</v>
      </c>
      <c r="BJ744" s="309">
        <f t="shared" si="80"/>
        <v>0</v>
      </c>
      <c r="BK744" s="309">
        <f t="shared" si="80"/>
        <v>0</v>
      </c>
    </row>
    <row r="745" spans="1:64">
      <c r="A745" s="167"/>
      <c r="B745" s="210" t="s">
        <v>28</v>
      </c>
      <c r="C745" s="254"/>
      <c r="D745" s="254"/>
      <c r="E745" s="254"/>
      <c r="F745" s="254"/>
      <c r="G745" s="254"/>
      <c r="H745" s="254"/>
      <c r="I745" s="254"/>
      <c r="J745" s="254"/>
      <c r="K745" s="254"/>
      <c r="L745" s="254"/>
      <c r="M745" s="254"/>
      <c r="N745" s="254"/>
      <c r="O745" s="254"/>
      <c r="P745" s="254"/>
      <c r="Q745" s="254"/>
      <c r="R745" s="254"/>
      <c r="S745" s="254"/>
      <c r="T745" s="254"/>
      <c r="U745" s="254"/>
      <c r="V745" s="255"/>
      <c r="W745" s="259">
        <v>46725534.902508005</v>
      </c>
      <c r="X745" s="259">
        <v>29870763.969999999</v>
      </c>
      <c r="Y745" s="259">
        <v>29668051.795951888</v>
      </c>
      <c r="Z745" s="259">
        <v>26145367.680070829</v>
      </c>
      <c r="AA745" s="259">
        <v>31129957.600354999</v>
      </c>
      <c r="AB745" s="259">
        <v>28779661.545022</v>
      </c>
      <c r="AC745" s="259">
        <v>39071326.948632203</v>
      </c>
      <c r="AD745" s="259">
        <v>31116142.199999999</v>
      </c>
      <c r="AE745" s="259">
        <v>5541008.8848122004</v>
      </c>
      <c r="AF745" s="259">
        <v>22662394.5528748</v>
      </c>
      <c r="AG745" s="259">
        <v>3655413.3</v>
      </c>
      <c r="AH745" s="259">
        <v>25128497.5</v>
      </c>
      <c r="AI745" s="259">
        <v>12403308.806073101</v>
      </c>
      <c r="AJ745" s="259">
        <v>27505275.300000001</v>
      </c>
      <c r="AK745" s="259">
        <v>16947383.495284002</v>
      </c>
      <c r="AL745" s="259">
        <v>8483361.9000000004</v>
      </c>
      <c r="AM745" s="259">
        <v>13977852.393290902</v>
      </c>
      <c r="AN745" s="259">
        <v>0</v>
      </c>
      <c r="AO745" s="259">
        <v>0</v>
      </c>
      <c r="AP745" s="259">
        <v>0</v>
      </c>
      <c r="AQ745" s="259">
        <v>0</v>
      </c>
      <c r="AR745" s="259">
        <v>0</v>
      </c>
      <c r="AS745" s="259">
        <v>0</v>
      </c>
      <c r="AT745" s="259">
        <v>0</v>
      </c>
      <c r="AU745" s="259">
        <v>0</v>
      </c>
      <c r="AV745" s="259">
        <v>0</v>
      </c>
      <c r="AW745" s="259">
        <v>0</v>
      </c>
      <c r="AX745" s="259">
        <v>0</v>
      </c>
      <c r="AY745" s="259">
        <v>10831517.657678301</v>
      </c>
      <c r="AZ745" s="259">
        <v>12374627.1</v>
      </c>
      <c r="BA745" s="259">
        <v>0</v>
      </c>
      <c r="BB745" s="259">
        <v>0</v>
      </c>
      <c r="BC745" s="259">
        <v>0</v>
      </c>
      <c r="BD745" s="259">
        <v>0</v>
      </c>
      <c r="BE745" s="259">
        <v>0</v>
      </c>
      <c r="BF745" s="259">
        <v>0</v>
      </c>
      <c r="BG745" s="259">
        <v>0</v>
      </c>
      <c r="BH745" s="259">
        <v>0</v>
      </c>
      <c r="BI745" s="259">
        <v>0</v>
      </c>
      <c r="BJ745" s="259">
        <v>0</v>
      </c>
      <c r="BK745" s="259">
        <v>0</v>
      </c>
    </row>
    <row r="746" spans="1:64">
      <c r="A746" s="168">
        <v>44408</v>
      </c>
      <c r="B746" s="213" t="s">
        <v>385</v>
      </c>
      <c r="C746" s="256"/>
      <c r="D746" s="256"/>
      <c r="E746" s="256"/>
      <c r="F746" s="256"/>
      <c r="G746" s="256"/>
      <c r="H746" s="256"/>
      <c r="I746" s="256"/>
      <c r="J746" s="256"/>
      <c r="K746" s="256"/>
      <c r="L746" s="256"/>
      <c r="M746" s="256"/>
      <c r="N746" s="256"/>
      <c r="O746" s="256"/>
      <c r="P746" s="256"/>
      <c r="Q746" s="256"/>
      <c r="R746" s="256"/>
      <c r="S746" s="256"/>
      <c r="T746" s="256"/>
      <c r="U746" s="256"/>
      <c r="V746" s="259"/>
      <c r="W746" s="259">
        <v>9096230.1287500001</v>
      </c>
      <c r="X746" s="259">
        <v>22512444.038754113</v>
      </c>
      <c r="Y746" s="259">
        <v>21039471.606532961</v>
      </c>
      <c r="Z746" s="259">
        <v>19690011.540788464</v>
      </c>
      <c r="AA746" s="259">
        <v>17213346.389962193</v>
      </c>
      <c r="AB746" s="259">
        <v>15619798.79243641</v>
      </c>
      <c r="AC746" s="259">
        <v>13555556.000830846</v>
      </c>
      <c r="AD746" s="259">
        <v>11730824.443789566</v>
      </c>
      <c r="AE746" s="259">
        <v>9941123.6466678269</v>
      </c>
      <c r="AF746" s="259">
        <v>9859102.0056678541</v>
      </c>
      <c r="AG746" s="259">
        <v>8294530.505293807</v>
      </c>
      <c r="AH746" s="259">
        <v>8118514.7105892282</v>
      </c>
      <c r="AI746" s="259">
        <v>6441917.5646891976</v>
      </c>
      <c r="AJ746" s="259">
        <v>5983587.8641912797</v>
      </c>
      <c r="AK746" s="259">
        <v>4062293.7783762123</v>
      </c>
      <c r="AL746" s="259">
        <v>2891116.5749133308</v>
      </c>
      <c r="AM746" s="259">
        <v>2401711.3946662666</v>
      </c>
      <c r="AN746" s="259">
        <v>1582359.9140182142</v>
      </c>
      <c r="AO746" s="259">
        <v>1599954.3703391391</v>
      </c>
      <c r="AP746" s="259">
        <v>1618531.6669438118</v>
      </c>
      <c r="AQ746" s="259">
        <v>1616609.1649757517</v>
      </c>
      <c r="AR746" s="259">
        <v>1614686.6630077017</v>
      </c>
      <c r="AS746" s="259">
        <v>1612764.1610396418</v>
      </c>
      <c r="AT746" s="259">
        <v>1610841.6590715817</v>
      </c>
      <c r="AU746" s="259">
        <v>1608919.1571035318</v>
      </c>
      <c r="AV746" s="259">
        <v>1606996.6551354718</v>
      </c>
      <c r="AW746" s="259">
        <v>1605457.0029786117</v>
      </c>
      <c r="AX746" s="259">
        <v>2361393.5458864816</v>
      </c>
      <c r="AY746" s="259">
        <v>1605359.2272978108</v>
      </c>
      <c r="AZ746" s="259">
        <v>897160.46474999934</v>
      </c>
      <c r="BA746" s="259">
        <v>0</v>
      </c>
      <c r="BB746" s="259">
        <v>0</v>
      </c>
      <c r="BC746" s="259">
        <v>0</v>
      </c>
      <c r="BD746" s="259">
        <v>0</v>
      </c>
      <c r="BE746" s="259">
        <v>0</v>
      </c>
      <c r="BF746" s="259">
        <v>0</v>
      </c>
      <c r="BG746" s="259">
        <v>0</v>
      </c>
      <c r="BH746" s="259">
        <v>0</v>
      </c>
      <c r="BI746" s="259">
        <v>0</v>
      </c>
      <c r="BJ746" s="259">
        <v>0</v>
      </c>
      <c r="BK746" s="259">
        <v>0</v>
      </c>
    </row>
    <row r="747" spans="1:64">
      <c r="A747" s="169"/>
      <c r="B747" s="307" t="s">
        <v>29</v>
      </c>
      <c r="C747" s="308"/>
      <c r="D747" s="308"/>
      <c r="E747" s="308"/>
      <c r="F747" s="308"/>
      <c r="G747" s="308"/>
      <c r="H747" s="308"/>
      <c r="I747" s="308"/>
      <c r="J747" s="308"/>
      <c r="K747" s="308"/>
      <c r="L747" s="308"/>
      <c r="M747" s="308"/>
      <c r="N747" s="308"/>
      <c r="O747" s="308"/>
      <c r="P747" s="308"/>
      <c r="Q747" s="308"/>
      <c r="R747" s="308"/>
      <c r="S747" s="308"/>
      <c r="T747" s="308"/>
      <c r="U747" s="308"/>
      <c r="V747" s="309"/>
      <c r="W747" s="309">
        <f>W745+W746</f>
        <v>55821765.031258002</v>
      </c>
      <c r="X747" s="309">
        <f t="shared" ref="X747:BK747" si="81">X745+X746</f>
        <v>52383208.008754112</v>
      </c>
      <c r="Y747" s="309">
        <f t="shared" si="81"/>
        <v>50707523.402484849</v>
      </c>
      <c r="Z747" s="309">
        <f t="shared" si="81"/>
        <v>45835379.220859289</v>
      </c>
      <c r="AA747" s="309">
        <f t="shared" si="81"/>
        <v>48343303.990317196</v>
      </c>
      <c r="AB747" s="309">
        <f t="shared" si="81"/>
        <v>44399460.337458409</v>
      </c>
      <c r="AC747" s="309">
        <f t="shared" si="81"/>
        <v>52626882.949463047</v>
      </c>
      <c r="AD747" s="309">
        <f t="shared" si="81"/>
        <v>42846966.643789567</v>
      </c>
      <c r="AE747" s="309">
        <f t="shared" si="81"/>
        <v>15482132.531480027</v>
      </c>
      <c r="AF747" s="309">
        <f t="shared" si="81"/>
        <v>32521496.558542654</v>
      </c>
      <c r="AG747" s="309">
        <f t="shared" si="81"/>
        <v>11949943.805293806</v>
      </c>
      <c r="AH747" s="309">
        <f t="shared" si="81"/>
        <v>33247012.21058923</v>
      </c>
      <c r="AI747" s="309">
        <f t="shared" si="81"/>
        <v>18845226.3707623</v>
      </c>
      <c r="AJ747" s="309">
        <f t="shared" si="81"/>
        <v>33488863.16419128</v>
      </c>
      <c r="AK747" s="309">
        <f t="shared" si="81"/>
        <v>21009677.273660213</v>
      </c>
      <c r="AL747" s="309">
        <f t="shared" si="81"/>
        <v>11374478.474913331</v>
      </c>
      <c r="AM747" s="309">
        <f t="shared" si="81"/>
        <v>16379563.787957169</v>
      </c>
      <c r="AN747" s="309">
        <f t="shared" si="81"/>
        <v>1582359.9140182142</v>
      </c>
      <c r="AO747" s="309">
        <f t="shared" si="81"/>
        <v>1599954.3703391391</v>
      </c>
      <c r="AP747" s="309">
        <f t="shared" si="81"/>
        <v>1618531.6669438118</v>
      </c>
      <c r="AQ747" s="309">
        <f t="shared" si="81"/>
        <v>1616609.1649757517</v>
      </c>
      <c r="AR747" s="309">
        <f t="shared" si="81"/>
        <v>1614686.6630077017</v>
      </c>
      <c r="AS747" s="309">
        <f t="shared" si="81"/>
        <v>1612764.1610396418</v>
      </c>
      <c r="AT747" s="309">
        <f t="shared" si="81"/>
        <v>1610841.6590715817</v>
      </c>
      <c r="AU747" s="309">
        <f t="shared" si="81"/>
        <v>1608919.1571035318</v>
      </c>
      <c r="AV747" s="309">
        <f t="shared" si="81"/>
        <v>1606996.6551354718</v>
      </c>
      <c r="AW747" s="309">
        <f t="shared" si="81"/>
        <v>1605457.0029786117</v>
      </c>
      <c r="AX747" s="309">
        <f t="shared" si="81"/>
        <v>2361393.5458864816</v>
      </c>
      <c r="AY747" s="309">
        <f t="shared" si="81"/>
        <v>12436876.884976111</v>
      </c>
      <c r="AZ747" s="309">
        <f t="shared" si="81"/>
        <v>13271787.564749999</v>
      </c>
      <c r="BA747" s="309">
        <f t="shared" si="81"/>
        <v>0</v>
      </c>
      <c r="BB747" s="309">
        <f t="shared" si="81"/>
        <v>0</v>
      </c>
      <c r="BC747" s="309">
        <f t="shared" si="81"/>
        <v>0</v>
      </c>
      <c r="BD747" s="309">
        <f t="shared" si="81"/>
        <v>0</v>
      </c>
      <c r="BE747" s="309">
        <f t="shared" si="81"/>
        <v>0</v>
      </c>
      <c r="BF747" s="309">
        <f t="shared" si="81"/>
        <v>0</v>
      </c>
      <c r="BG747" s="309">
        <f t="shared" si="81"/>
        <v>0</v>
      </c>
      <c r="BH747" s="309">
        <f t="shared" si="81"/>
        <v>0</v>
      </c>
      <c r="BI747" s="309">
        <f t="shared" si="81"/>
        <v>0</v>
      </c>
      <c r="BJ747" s="309">
        <f t="shared" si="81"/>
        <v>0</v>
      </c>
      <c r="BK747" s="309">
        <f t="shared" si="81"/>
        <v>0</v>
      </c>
    </row>
    <row r="748" spans="1:64">
      <c r="A748" s="167"/>
      <c r="B748" s="210" t="s">
        <v>28</v>
      </c>
      <c r="C748" s="254"/>
      <c r="D748" s="254"/>
      <c r="E748" s="254"/>
      <c r="F748" s="254"/>
      <c r="G748" s="254"/>
      <c r="H748" s="254"/>
      <c r="I748" s="254"/>
      <c r="J748" s="254"/>
      <c r="K748" s="254"/>
      <c r="L748" s="254"/>
      <c r="M748" s="254"/>
      <c r="N748" s="254"/>
      <c r="O748" s="254"/>
      <c r="P748" s="254"/>
      <c r="Q748" s="254"/>
      <c r="R748" s="254"/>
      <c r="S748" s="254"/>
      <c r="T748" s="254"/>
      <c r="U748" s="254"/>
      <c r="V748" s="255"/>
      <c r="W748" s="259">
        <v>27894743.401551999</v>
      </c>
      <c r="X748" s="259">
        <v>42590383.969999999</v>
      </c>
      <c r="Y748" s="259">
        <v>29664226.515460405</v>
      </c>
      <c r="Z748" s="259">
        <v>26186798.074955739</v>
      </c>
      <c r="AA748" s="259">
        <v>31128516.466589995</v>
      </c>
      <c r="AB748" s="259">
        <v>28779661.545022</v>
      </c>
      <c r="AC748" s="259">
        <v>39068884.756747596</v>
      </c>
      <c r="AD748" s="259">
        <v>31116142.199999999</v>
      </c>
      <c r="AE748" s="259">
        <v>5540294.448187599</v>
      </c>
      <c r="AF748" s="259">
        <v>22662394.5528748</v>
      </c>
      <c r="AG748" s="259">
        <v>3655413.3</v>
      </c>
      <c r="AH748" s="259">
        <v>25128497.5</v>
      </c>
      <c r="AI748" s="259">
        <v>12401709.570579799</v>
      </c>
      <c r="AJ748" s="259">
        <v>27505275.300000001</v>
      </c>
      <c r="AK748" s="259">
        <v>16945198.364071999</v>
      </c>
      <c r="AL748" s="259">
        <v>8483361.9000000004</v>
      </c>
      <c r="AM748" s="259">
        <v>13976050.142132198</v>
      </c>
      <c r="AN748" s="259">
        <v>0</v>
      </c>
      <c r="AO748" s="259">
        <v>0</v>
      </c>
      <c r="AP748" s="259">
        <v>0</v>
      </c>
      <c r="AQ748" s="259">
        <v>0</v>
      </c>
      <c r="AR748" s="259">
        <v>0</v>
      </c>
      <c r="AS748" s="259">
        <v>0</v>
      </c>
      <c r="AT748" s="259">
        <v>0</v>
      </c>
      <c r="AU748" s="259">
        <v>0</v>
      </c>
      <c r="AV748" s="259">
        <v>0</v>
      </c>
      <c r="AW748" s="259">
        <v>0</v>
      </c>
      <c r="AX748" s="259">
        <v>0</v>
      </c>
      <c r="AY748" s="259">
        <v>10830121.082961399</v>
      </c>
      <c r="AZ748" s="259">
        <v>12374627.1</v>
      </c>
      <c r="BA748" s="259">
        <v>0</v>
      </c>
      <c r="BB748" s="259">
        <v>0</v>
      </c>
      <c r="BC748" s="259">
        <v>0</v>
      </c>
      <c r="BD748" s="259">
        <v>0</v>
      </c>
      <c r="BE748" s="259">
        <v>0</v>
      </c>
      <c r="BF748" s="259">
        <v>0</v>
      </c>
      <c r="BG748" s="259">
        <v>0</v>
      </c>
      <c r="BH748" s="259">
        <v>0</v>
      </c>
      <c r="BI748" s="259">
        <v>0</v>
      </c>
      <c r="BJ748" s="259">
        <v>0</v>
      </c>
      <c r="BK748" s="259">
        <v>0</v>
      </c>
    </row>
    <row r="749" spans="1:64">
      <c r="A749" s="168">
        <v>44439</v>
      </c>
      <c r="B749" s="213" t="s">
        <v>385</v>
      </c>
      <c r="C749" s="256"/>
      <c r="D749" s="256"/>
      <c r="E749" s="256"/>
      <c r="F749" s="256"/>
      <c r="G749" s="256"/>
      <c r="H749" s="256"/>
      <c r="I749" s="256"/>
      <c r="J749" s="256"/>
      <c r="K749" s="256"/>
      <c r="L749" s="256"/>
      <c r="M749" s="256"/>
      <c r="N749" s="256"/>
      <c r="O749" s="256"/>
      <c r="P749" s="256"/>
      <c r="Q749" s="256"/>
      <c r="R749" s="256"/>
      <c r="S749" s="256"/>
      <c r="T749" s="256"/>
      <c r="U749" s="256"/>
      <c r="V749" s="259"/>
      <c r="W749" s="259">
        <v>6937805.5862499988</v>
      </c>
      <c r="X749" s="259">
        <v>22512444.038754113</v>
      </c>
      <c r="Y749" s="259">
        <v>21039471.606532965</v>
      </c>
      <c r="Z749" s="259">
        <v>19690011.540788464</v>
      </c>
      <c r="AA749" s="259">
        <v>17213346.389962193</v>
      </c>
      <c r="AB749" s="259">
        <v>15619798.79243641</v>
      </c>
      <c r="AC749" s="259">
        <v>13555556.000830846</v>
      </c>
      <c r="AD749" s="259">
        <v>11730824.443789566</v>
      </c>
      <c r="AE749" s="259">
        <v>9941123.6466678269</v>
      </c>
      <c r="AF749" s="259">
        <v>9859102.0056678541</v>
      </c>
      <c r="AG749" s="259">
        <v>8294530.505293807</v>
      </c>
      <c r="AH749" s="259">
        <v>8118514.7105892282</v>
      </c>
      <c r="AI749" s="259">
        <v>6441917.5646891976</v>
      </c>
      <c r="AJ749" s="259">
        <v>5983587.8641912797</v>
      </c>
      <c r="AK749" s="259">
        <v>4062293.7783762123</v>
      </c>
      <c r="AL749" s="259">
        <v>2891116.5749133308</v>
      </c>
      <c r="AM749" s="259">
        <v>2401711.3946662666</v>
      </c>
      <c r="AN749" s="259">
        <v>1582359.9140182142</v>
      </c>
      <c r="AO749" s="259">
        <v>1599954.3703391391</v>
      </c>
      <c r="AP749" s="259">
        <v>1618531.6669438118</v>
      </c>
      <c r="AQ749" s="259">
        <v>1616609.1649757517</v>
      </c>
      <c r="AR749" s="259">
        <v>1614686.6630077017</v>
      </c>
      <c r="AS749" s="259">
        <v>1612764.1610396418</v>
      </c>
      <c r="AT749" s="259">
        <v>1610841.6590715817</v>
      </c>
      <c r="AU749" s="259">
        <v>1608919.1571035318</v>
      </c>
      <c r="AV749" s="259">
        <v>1606996.6551354718</v>
      </c>
      <c r="AW749" s="259">
        <v>1605457.0029786117</v>
      </c>
      <c r="AX749" s="259">
        <v>2361393.5458864816</v>
      </c>
      <c r="AY749" s="259">
        <v>1605359.2272978127</v>
      </c>
      <c r="AZ749" s="259">
        <v>897160.46474999934</v>
      </c>
      <c r="BA749" s="259">
        <v>0</v>
      </c>
      <c r="BB749" s="259">
        <v>0</v>
      </c>
      <c r="BC749" s="259">
        <v>0</v>
      </c>
      <c r="BD749" s="259">
        <v>0</v>
      </c>
      <c r="BE749" s="259">
        <v>0</v>
      </c>
      <c r="BF749" s="259">
        <v>0</v>
      </c>
      <c r="BG749" s="259">
        <v>0</v>
      </c>
      <c r="BH749" s="259">
        <v>0</v>
      </c>
      <c r="BI749" s="259">
        <v>0</v>
      </c>
      <c r="BJ749" s="259">
        <v>0</v>
      </c>
      <c r="BK749" s="259">
        <v>0</v>
      </c>
      <c r="BL749" s="277">
        <v>0</v>
      </c>
    </row>
    <row r="750" spans="1:64">
      <c r="A750" s="169"/>
      <c r="B750" s="307" t="s">
        <v>29</v>
      </c>
      <c r="C750" s="308"/>
      <c r="D750" s="308"/>
      <c r="E750" s="308"/>
      <c r="F750" s="308"/>
      <c r="G750" s="308"/>
      <c r="H750" s="308"/>
      <c r="I750" s="308"/>
      <c r="J750" s="308"/>
      <c r="K750" s="308"/>
      <c r="L750" s="308"/>
      <c r="M750" s="308"/>
      <c r="N750" s="308"/>
      <c r="O750" s="308"/>
      <c r="P750" s="308"/>
      <c r="Q750" s="308"/>
      <c r="R750" s="308"/>
      <c r="S750" s="308"/>
      <c r="T750" s="308"/>
      <c r="U750" s="308"/>
      <c r="V750" s="309"/>
      <c r="W750" s="309">
        <f>+W748+W749</f>
        <v>34832548.987801999</v>
      </c>
      <c r="X750" s="309">
        <f t="shared" ref="X750:BK750" si="82">+X748+X749</f>
        <v>65102828.008754112</v>
      </c>
      <c r="Y750" s="309">
        <f t="shared" si="82"/>
        <v>50703698.12199337</v>
      </c>
      <c r="Z750" s="309">
        <f t="shared" si="82"/>
        <v>45876809.615744203</v>
      </c>
      <c r="AA750" s="309">
        <f t="shared" si="82"/>
        <v>48341862.856552184</v>
      </c>
      <c r="AB750" s="309">
        <f t="shared" si="82"/>
        <v>44399460.337458409</v>
      </c>
      <c r="AC750" s="309">
        <f t="shared" si="82"/>
        <v>52624440.75757844</v>
      </c>
      <c r="AD750" s="309">
        <f t="shared" si="82"/>
        <v>42846966.643789567</v>
      </c>
      <c r="AE750" s="309">
        <f t="shared" si="82"/>
        <v>15481418.094855426</v>
      </c>
      <c r="AF750" s="309">
        <f t="shared" si="82"/>
        <v>32521496.558542654</v>
      </c>
      <c r="AG750" s="309">
        <f t="shared" si="82"/>
        <v>11949943.805293806</v>
      </c>
      <c r="AH750" s="309">
        <f t="shared" si="82"/>
        <v>33247012.21058923</v>
      </c>
      <c r="AI750" s="309">
        <f t="shared" si="82"/>
        <v>18843627.135268997</v>
      </c>
      <c r="AJ750" s="309">
        <f t="shared" si="82"/>
        <v>33488863.16419128</v>
      </c>
      <c r="AK750" s="309">
        <f t="shared" si="82"/>
        <v>21007492.142448209</v>
      </c>
      <c r="AL750" s="309">
        <f t="shared" si="82"/>
        <v>11374478.474913331</v>
      </c>
      <c r="AM750" s="309">
        <f t="shared" si="82"/>
        <v>16377761.536798466</v>
      </c>
      <c r="AN750" s="309">
        <f t="shared" si="82"/>
        <v>1582359.9140182142</v>
      </c>
      <c r="AO750" s="309">
        <f t="shared" si="82"/>
        <v>1599954.3703391391</v>
      </c>
      <c r="AP750" s="309">
        <f t="shared" si="82"/>
        <v>1618531.6669438118</v>
      </c>
      <c r="AQ750" s="309">
        <f t="shared" si="82"/>
        <v>1616609.1649757517</v>
      </c>
      <c r="AR750" s="309">
        <f t="shared" si="82"/>
        <v>1614686.6630077017</v>
      </c>
      <c r="AS750" s="309">
        <f t="shared" si="82"/>
        <v>1612764.1610396418</v>
      </c>
      <c r="AT750" s="309">
        <f t="shared" si="82"/>
        <v>1610841.6590715817</v>
      </c>
      <c r="AU750" s="309">
        <f t="shared" si="82"/>
        <v>1608919.1571035318</v>
      </c>
      <c r="AV750" s="309">
        <f t="shared" si="82"/>
        <v>1606996.6551354718</v>
      </c>
      <c r="AW750" s="309">
        <f t="shared" si="82"/>
        <v>1605457.0029786117</v>
      </c>
      <c r="AX750" s="309">
        <f t="shared" si="82"/>
        <v>2361393.5458864816</v>
      </c>
      <c r="AY750" s="309">
        <f t="shared" si="82"/>
        <v>12435480.310259212</v>
      </c>
      <c r="AZ750" s="309">
        <f t="shared" si="82"/>
        <v>13271787.564749999</v>
      </c>
      <c r="BA750" s="309">
        <f t="shared" si="82"/>
        <v>0</v>
      </c>
      <c r="BB750" s="309">
        <f t="shared" si="82"/>
        <v>0</v>
      </c>
      <c r="BC750" s="309">
        <f t="shared" si="82"/>
        <v>0</v>
      </c>
      <c r="BD750" s="309">
        <f t="shared" si="82"/>
        <v>0</v>
      </c>
      <c r="BE750" s="309">
        <f t="shared" si="82"/>
        <v>0</v>
      </c>
      <c r="BF750" s="309">
        <f t="shared" si="82"/>
        <v>0</v>
      </c>
      <c r="BG750" s="309">
        <f t="shared" si="82"/>
        <v>0</v>
      </c>
      <c r="BH750" s="309">
        <f t="shared" si="82"/>
        <v>0</v>
      </c>
      <c r="BI750" s="309">
        <f t="shared" si="82"/>
        <v>0</v>
      </c>
      <c r="BJ750" s="309">
        <f t="shared" si="82"/>
        <v>0</v>
      </c>
      <c r="BK750" s="309">
        <f t="shared" si="82"/>
        <v>0</v>
      </c>
    </row>
    <row r="751" spans="1:64">
      <c r="A751" s="167"/>
      <c r="B751" s="210" t="s">
        <v>28</v>
      </c>
      <c r="C751" s="254"/>
      <c r="D751" s="254"/>
      <c r="E751" s="254"/>
      <c r="F751" s="254"/>
      <c r="G751" s="254"/>
      <c r="H751" s="254"/>
      <c r="I751" s="254"/>
      <c r="J751" s="254"/>
      <c r="K751" s="254"/>
      <c r="L751" s="254"/>
      <c r="M751" s="254"/>
      <c r="N751" s="254"/>
      <c r="O751" s="254"/>
      <c r="P751" s="254"/>
      <c r="Q751" s="254"/>
      <c r="R751" s="254"/>
      <c r="S751" s="254"/>
      <c r="T751" s="254"/>
      <c r="U751" s="254"/>
      <c r="V751" s="255"/>
      <c r="W751" s="259">
        <v>2925411.8120000004</v>
      </c>
      <c r="X751" s="259">
        <v>59243887.716582999</v>
      </c>
      <c r="Y751" s="259">
        <v>29401787.085284702</v>
      </c>
      <c r="Z751" s="259">
        <v>26198116.19087274</v>
      </c>
      <c r="AA751" s="259">
        <v>31127432.671169996</v>
      </c>
      <c r="AB751" s="259">
        <v>28779661.545022</v>
      </c>
      <c r="AC751" s="259">
        <v>39067048.121978797</v>
      </c>
      <c r="AD751" s="259">
        <v>31116142.199999999</v>
      </c>
      <c r="AE751" s="259">
        <v>7146095.2142502004</v>
      </c>
      <c r="AF751" s="259">
        <v>23112394.5528748</v>
      </c>
      <c r="AG751" s="259">
        <v>11931860.6</v>
      </c>
      <c r="AH751" s="259">
        <v>27753497.5</v>
      </c>
      <c r="AI751" s="259">
        <v>12575116.3545384</v>
      </c>
      <c r="AJ751" s="259">
        <v>27505275.300000001</v>
      </c>
      <c r="AK751" s="259">
        <v>17747384.712202601</v>
      </c>
      <c r="AL751" s="259">
        <v>10252053.300000001</v>
      </c>
      <c r="AM751" s="259">
        <v>16070517.616322001</v>
      </c>
      <c r="AN751" s="259">
        <v>0</v>
      </c>
      <c r="AO751" s="259">
        <v>0</v>
      </c>
      <c r="AP751" s="259">
        <v>0</v>
      </c>
      <c r="AQ751" s="259">
        <v>0</v>
      </c>
      <c r="AR751" s="259">
        <v>0</v>
      </c>
      <c r="AS751" s="259">
        <v>0</v>
      </c>
      <c r="AT751" s="259">
        <v>0</v>
      </c>
      <c r="AU751" s="259">
        <v>0</v>
      </c>
      <c r="AV751" s="259">
        <v>0</v>
      </c>
      <c r="AW751" s="259">
        <v>0</v>
      </c>
      <c r="AX751" s="259">
        <v>0</v>
      </c>
      <c r="AY751" s="259">
        <v>11374454.754933402</v>
      </c>
      <c r="AZ751" s="259">
        <v>14226160.1</v>
      </c>
      <c r="BA751" s="259">
        <v>0</v>
      </c>
      <c r="BB751" s="259">
        <v>0</v>
      </c>
      <c r="BC751" s="259">
        <v>0</v>
      </c>
      <c r="BD751" s="259">
        <v>0</v>
      </c>
      <c r="BE751" s="259">
        <v>0</v>
      </c>
      <c r="BF751" s="259">
        <v>0</v>
      </c>
      <c r="BG751" s="259">
        <v>0</v>
      </c>
      <c r="BH751" s="259">
        <v>0</v>
      </c>
      <c r="BI751" s="259">
        <v>0</v>
      </c>
      <c r="BJ751" s="259">
        <v>0</v>
      </c>
      <c r="BK751" s="259">
        <v>0</v>
      </c>
    </row>
    <row r="752" spans="1:64">
      <c r="A752" s="168">
        <v>44469</v>
      </c>
      <c r="B752" s="213" t="s">
        <v>385</v>
      </c>
      <c r="C752" s="256"/>
      <c r="D752" s="256"/>
      <c r="E752" s="256"/>
      <c r="F752" s="256"/>
      <c r="G752" s="256"/>
      <c r="H752" s="256"/>
      <c r="I752" s="256"/>
      <c r="J752" s="256"/>
      <c r="K752" s="256"/>
      <c r="L752" s="256"/>
      <c r="M752" s="256"/>
      <c r="N752" s="256"/>
      <c r="O752" s="256"/>
      <c r="P752" s="256"/>
      <c r="Q752" s="256"/>
      <c r="R752" s="256"/>
      <c r="S752" s="256"/>
      <c r="T752" s="256"/>
      <c r="U752" s="256"/>
      <c r="V752" s="259"/>
      <c r="W752" s="259">
        <v>5430067.8132499997</v>
      </c>
      <c r="X752" s="259">
        <v>23200533.02596429</v>
      </c>
      <c r="Y752" s="259">
        <v>22217625.156062655</v>
      </c>
      <c r="Z752" s="259">
        <v>20926872.84372323</v>
      </c>
      <c r="AA752" s="259">
        <v>18456030.862004999</v>
      </c>
      <c r="AB752" s="259">
        <v>16868481.128660496</v>
      </c>
      <c r="AC752" s="259">
        <v>14810416.137161659</v>
      </c>
      <c r="AD752" s="259">
        <v>12992047.714230308</v>
      </c>
      <c r="AE752" s="259">
        <v>11208900.945241783</v>
      </c>
      <c r="AF752" s="259">
        <v>11086729.188752968</v>
      </c>
      <c r="AG752" s="259">
        <v>9492828.8338914718</v>
      </c>
      <c r="AH752" s="259">
        <v>8743174.2580648232</v>
      </c>
      <c r="AI752" s="259">
        <v>6888711.0179390674</v>
      </c>
      <c r="AJ752" s="259">
        <v>6428791.0887892144</v>
      </c>
      <c r="AK752" s="259">
        <v>4513509.7190620843</v>
      </c>
      <c r="AL752" s="259">
        <v>3289363.8046309226</v>
      </c>
      <c r="AM752" s="259">
        <v>2694019.4481253857</v>
      </c>
      <c r="AN752" s="259">
        <v>1750215.6052545817</v>
      </c>
      <c r="AO752" s="259">
        <v>1768818.6480375975</v>
      </c>
      <c r="AP752" s="259">
        <v>1788434.7886982239</v>
      </c>
      <c r="AQ752" s="259">
        <v>1786512.2867301637</v>
      </c>
      <c r="AR752" s="259">
        <v>1784589.7847621138</v>
      </c>
      <c r="AS752" s="259">
        <v>1782667.2827940539</v>
      </c>
      <c r="AT752" s="259">
        <v>1780744.7808259937</v>
      </c>
      <c r="AU752" s="259">
        <v>1778822.2788579438</v>
      </c>
      <c r="AV752" s="259">
        <v>1776899.7768898839</v>
      </c>
      <c r="AW752" s="259">
        <v>1775360.1247330238</v>
      </c>
      <c r="AX752" s="259">
        <v>2491252.439075374</v>
      </c>
      <c r="AY752" s="259">
        <v>1775262.3490522243</v>
      </c>
      <c r="AZ752" s="259">
        <v>1031396.6072499994</v>
      </c>
      <c r="BA752" s="259">
        <v>0</v>
      </c>
      <c r="BB752" s="259">
        <v>0</v>
      </c>
      <c r="BC752" s="259">
        <v>0</v>
      </c>
      <c r="BD752" s="259">
        <v>0</v>
      </c>
      <c r="BE752" s="259">
        <v>0</v>
      </c>
      <c r="BF752" s="259">
        <v>0</v>
      </c>
      <c r="BG752" s="259">
        <v>0</v>
      </c>
      <c r="BH752" s="259">
        <v>0</v>
      </c>
      <c r="BI752" s="259">
        <v>0</v>
      </c>
      <c r="BJ752" s="259">
        <v>0</v>
      </c>
      <c r="BK752" s="259">
        <v>0</v>
      </c>
    </row>
    <row r="753" spans="1:63">
      <c r="A753" s="169"/>
      <c r="B753" s="307" t="s">
        <v>29</v>
      </c>
      <c r="C753" s="308"/>
      <c r="D753" s="308"/>
      <c r="E753" s="308"/>
      <c r="F753" s="308"/>
      <c r="G753" s="308"/>
      <c r="H753" s="308"/>
      <c r="I753" s="308"/>
      <c r="J753" s="308"/>
      <c r="K753" s="308"/>
      <c r="L753" s="308"/>
      <c r="M753" s="308"/>
      <c r="N753" s="308"/>
      <c r="O753" s="308"/>
      <c r="P753" s="308"/>
      <c r="Q753" s="308"/>
      <c r="R753" s="308"/>
      <c r="S753" s="308"/>
      <c r="T753" s="308"/>
      <c r="U753" s="308"/>
      <c r="V753" s="309"/>
      <c r="W753" s="309">
        <f>+W751+W752</f>
        <v>8355479.6252500005</v>
      </c>
      <c r="X753" s="309">
        <f t="shared" ref="X753:BK753" si="83">+X751+X752</f>
        <v>82444420.742547289</v>
      </c>
      <c r="Y753" s="309">
        <f t="shared" si="83"/>
        <v>51619412.241347358</v>
      </c>
      <c r="Z753" s="309">
        <f t="shared" si="83"/>
        <v>47124989.034595966</v>
      </c>
      <c r="AA753" s="309">
        <f t="shared" si="83"/>
        <v>49583463.533174992</v>
      </c>
      <c r="AB753" s="309">
        <f t="shared" si="83"/>
        <v>45648142.673682496</v>
      </c>
      <c r="AC753" s="309">
        <f t="shared" si="83"/>
        <v>53877464.259140454</v>
      </c>
      <c r="AD753" s="309">
        <f t="shared" si="83"/>
        <v>44108189.914230309</v>
      </c>
      <c r="AE753" s="309">
        <f t="shared" si="83"/>
        <v>18354996.159491982</v>
      </c>
      <c r="AF753" s="309">
        <f t="shared" si="83"/>
        <v>34199123.741627768</v>
      </c>
      <c r="AG753" s="309">
        <f t="shared" si="83"/>
        <v>21424689.433891471</v>
      </c>
      <c r="AH753" s="309">
        <f t="shared" si="83"/>
        <v>36496671.758064821</v>
      </c>
      <c r="AI753" s="309">
        <f t="shared" si="83"/>
        <v>19463827.372477468</v>
      </c>
      <c r="AJ753" s="309">
        <f t="shared" si="83"/>
        <v>33934066.388789214</v>
      </c>
      <c r="AK753" s="309">
        <f t="shared" si="83"/>
        <v>22260894.431264684</v>
      </c>
      <c r="AL753" s="309">
        <f t="shared" si="83"/>
        <v>13541417.104630923</v>
      </c>
      <c r="AM753" s="309">
        <f t="shared" si="83"/>
        <v>18764537.064447388</v>
      </c>
      <c r="AN753" s="309">
        <f t="shared" si="83"/>
        <v>1750215.6052545817</v>
      </c>
      <c r="AO753" s="309">
        <f t="shared" si="83"/>
        <v>1768818.6480375975</v>
      </c>
      <c r="AP753" s="309">
        <f t="shared" si="83"/>
        <v>1788434.7886982239</v>
      </c>
      <c r="AQ753" s="309">
        <f t="shared" si="83"/>
        <v>1786512.2867301637</v>
      </c>
      <c r="AR753" s="309">
        <f t="shared" si="83"/>
        <v>1784589.7847621138</v>
      </c>
      <c r="AS753" s="309">
        <f t="shared" si="83"/>
        <v>1782667.2827940539</v>
      </c>
      <c r="AT753" s="309">
        <f t="shared" si="83"/>
        <v>1780744.7808259937</v>
      </c>
      <c r="AU753" s="309">
        <f t="shared" si="83"/>
        <v>1778822.2788579438</v>
      </c>
      <c r="AV753" s="309">
        <f t="shared" si="83"/>
        <v>1776899.7768898839</v>
      </c>
      <c r="AW753" s="309">
        <f t="shared" si="83"/>
        <v>1775360.1247330238</v>
      </c>
      <c r="AX753" s="309">
        <f t="shared" si="83"/>
        <v>2491252.439075374</v>
      </c>
      <c r="AY753" s="309">
        <f t="shared" si="83"/>
        <v>13149717.103985626</v>
      </c>
      <c r="AZ753" s="309">
        <f t="shared" si="83"/>
        <v>15257556.707249999</v>
      </c>
      <c r="BA753" s="309">
        <f t="shared" si="83"/>
        <v>0</v>
      </c>
      <c r="BB753" s="309">
        <f t="shared" si="83"/>
        <v>0</v>
      </c>
      <c r="BC753" s="309">
        <f t="shared" si="83"/>
        <v>0</v>
      </c>
      <c r="BD753" s="309">
        <f t="shared" si="83"/>
        <v>0</v>
      </c>
      <c r="BE753" s="309">
        <f t="shared" si="83"/>
        <v>0</v>
      </c>
      <c r="BF753" s="309">
        <f t="shared" si="83"/>
        <v>0</v>
      </c>
      <c r="BG753" s="309">
        <f t="shared" si="83"/>
        <v>0</v>
      </c>
      <c r="BH753" s="309">
        <f t="shared" si="83"/>
        <v>0</v>
      </c>
      <c r="BI753" s="309">
        <f t="shared" si="83"/>
        <v>0</v>
      </c>
      <c r="BJ753" s="309">
        <f t="shared" si="83"/>
        <v>0</v>
      </c>
      <c r="BK753" s="309">
        <f t="shared" si="83"/>
        <v>0</v>
      </c>
    </row>
    <row r="754" spans="1:63">
      <c r="A754" s="167"/>
      <c r="B754" s="210" t="s">
        <v>28</v>
      </c>
      <c r="C754" s="254"/>
      <c r="D754" s="254"/>
      <c r="E754" s="254"/>
      <c r="F754" s="254"/>
      <c r="G754" s="254"/>
      <c r="H754" s="254"/>
      <c r="I754" s="254"/>
      <c r="J754" s="254"/>
      <c r="K754" s="254"/>
      <c r="L754" s="254"/>
      <c r="M754" s="254"/>
      <c r="N754" s="254"/>
      <c r="O754" s="254"/>
      <c r="P754" s="254"/>
      <c r="Q754" s="254"/>
      <c r="R754" s="254"/>
      <c r="S754" s="254"/>
      <c r="T754" s="254"/>
      <c r="U754" s="254"/>
      <c r="V754" s="255"/>
      <c r="W754" s="259">
        <v>5179428.2897800002</v>
      </c>
      <c r="X754" s="259">
        <v>56265971.116582997</v>
      </c>
      <c r="Y754" s="259">
        <v>29404163.421412125</v>
      </c>
      <c r="Z754" s="259">
        <v>26199869.301130179</v>
      </c>
      <c r="AA754" s="259">
        <v>31128335.834019996</v>
      </c>
      <c r="AB754" s="259">
        <v>28779661.545022</v>
      </c>
      <c r="AC754" s="259">
        <v>39068578.650952794</v>
      </c>
      <c r="AD754" s="259">
        <v>31116142.199999999</v>
      </c>
      <c r="AE754" s="259">
        <v>7146672.7828211999</v>
      </c>
      <c r="AF754" s="259">
        <v>23112394.5528748</v>
      </c>
      <c r="AG754" s="259">
        <v>11931860.6</v>
      </c>
      <c r="AH754" s="259">
        <v>27753497.5</v>
      </c>
      <c r="AI754" s="259">
        <v>12576132.712670399</v>
      </c>
      <c r="AJ754" s="259">
        <v>27505275.300000001</v>
      </c>
      <c r="AK754" s="259">
        <v>17748819.108375598</v>
      </c>
      <c r="AL754" s="259">
        <v>10252053.300000001</v>
      </c>
      <c r="AM754" s="259">
        <v>16071816.483131999</v>
      </c>
      <c r="AN754" s="259">
        <v>0</v>
      </c>
      <c r="AO754" s="259">
        <v>0</v>
      </c>
      <c r="AP754" s="259">
        <v>0</v>
      </c>
      <c r="AQ754" s="259">
        <v>0</v>
      </c>
      <c r="AR754" s="259">
        <v>0</v>
      </c>
      <c r="AS754" s="259">
        <v>0</v>
      </c>
      <c r="AT754" s="259">
        <v>0</v>
      </c>
      <c r="AU754" s="259">
        <v>0</v>
      </c>
      <c r="AV754" s="259">
        <v>0</v>
      </c>
      <c r="AW754" s="259">
        <v>0</v>
      </c>
      <c r="AX754" s="259">
        <v>0</v>
      </c>
      <c r="AY754" s="259">
        <v>11375374.0720404</v>
      </c>
      <c r="AZ754" s="259">
        <v>14226160.1</v>
      </c>
      <c r="BA754" s="259">
        <v>0</v>
      </c>
      <c r="BB754" s="259">
        <v>0</v>
      </c>
      <c r="BC754" s="259">
        <v>0</v>
      </c>
      <c r="BD754" s="259">
        <v>0</v>
      </c>
      <c r="BE754" s="259">
        <v>0</v>
      </c>
      <c r="BF754" s="259">
        <v>0</v>
      </c>
      <c r="BG754" s="259">
        <v>0</v>
      </c>
      <c r="BH754" s="259">
        <v>0</v>
      </c>
      <c r="BI754" s="259">
        <v>0</v>
      </c>
      <c r="BJ754" s="259">
        <v>0</v>
      </c>
      <c r="BK754" s="259">
        <v>0</v>
      </c>
    </row>
    <row r="755" spans="1:63">
      <c r="A755" s="168">
        <v>44500</v>
      </c>
      <c r="B755" s="213" t="s">
        <v>385</v>
      </c>
      <c r="C755" s="256"/>
      <c r="D755" s="256"/>
      <c r="E755" s="256"/>
      <c r="F755" s="256"/>
      <c r="G755" s="256"/>
      <c r="H755" s="256"/>
      <c r="I755" s="256"/>
      <c r="J755" s="256"/>
      <c r="K755" s="256"/>
      <c r="L755" s="256"/>
      <c r="M755" s="256"/>
      <c r="N755" s="256"/>
      <c r="O755" s="256"/>
      <c r="P755" s="256"/>
      <c r="Q755" s="256"/>
      <c r="R755" s="256"/>
      <c r="S755" s="256"/>
      <c r="T755" s="256"/>
      <c r="U755" s="256"/>
      <c r="V755" s="259"/>
      <c r="W755" s="259">
        <v>2404538.7467499999</v>
      </c>
      <c r="X755" s="259">
        <v>23200533.02596429</v>
      </c>
      <c r="Y755" s="259">
        <v>22217610.948873717</v>
      </c>
      <c r="Z755" s="259">
        <v>20926872.84372323</v>
      </c>
      <c r="AA755" s="259">
        <v>18456030.862004999</v>
      </c>
      <c r="AB755" s="259">
        <v>16868481.128660496</v>
      </c>
      <c r="AC755" s="259">
        <v>14810416.137161659</v>
      </c>
      <c r="AD755" s="259">
        <v>12992047.714230308</v>
      </c>
      <c r="AE755" s="259">
        <v>11208900.945241783</v>
      </c>
      <c r="AF755" s="259">
        <v>11086729.188752968</v>
      </c>
      <c r="AG755" s="259">
        <v>9492828.8338914718</v>
      </c>
      <c r="AH755" s="259">
        <v>8743174.2580648232</v>
      </c>
      <c r="AI755" s="259">
        <v>6888711.0179390656</v>
      </c>
      <c r="AJ755" s="259">
        <v>6428791.0887892144</v>
      </c>
      <c r="AK755" s="259">
        <v>4513509.7190620843</v>
      </c>
      <c r="AL755" s="259">
        <v>3289363.8046309226</v>
      </c>
      <c r="AM755" s="259">
        <v>2694019.4481253857</v>
      </c>
      <c r="AN755" s="259">
        <v>1750215.6052545817</v>
      </c>
      <c r="AO755" s="259">
        <v>1768818.6480375975</v>
      </c>
      <c r="AP755" s="259">
        <v>1788434.7886982239</v>
      </c>
      <c r="AQ755" s="259">
        <v>1786512.2867301637</v>
      </c>
      <c r="AR755" s="259">
        <v>1784589.7847621138</v>
      </c>
      <c r="AS755" s="259">
        <v>1782667.2827940539</v>
      </c>
      <c r="AT755" s="259">
        <v>1780744.7808259937</v>
      </c>
      <c r="AU755" s="259">
        <v>1778822.2788579438</v>
      </c>
      <c r="AV755" s="259">
        <v>1776899.7768898839</v>
      </c>
      <c r="AW755" s="259">
        <v>1775360.1247330238</v>
      </c>
      <c r="AX755" s="259">
        <v>2491252.3764800937</v>
      </c>
      <c r="AY755" s="259">
        <v>1775262.3490522243</v>
      </c>
      <c r="AZ755" s="259">
        <v>1031396.6072499994</v>
      </c>
      <c r="BA755" s="259">
        <v>0</v>
      </c>
      <c r="BB755" s="259">
        <v>0</v>
      </c>
      <c r="BC755" s="259">
        <v>0</v>
      </c>
      <c r="BD755" s="259">
        <v>0</v>
      </c>
      <c r="BE755" s="259">
        <v>0</v>
      </c>
      <c r="BF755" s="259">
        <v>0</v>
      </c>
      <c r="BG755" s="259">
        <v>0</v>
      </c>
      <c r="BH755" s="259">
        <v>0</v>
      </c>
      <c r="BI755" s="259">
        <v>0</v>
      </c>
      <c r="BJ755" s="259">
        <v>0</v>
      </c>
      <c r="BK755" s="259">
        <v>0</v>
      </c>
    </row>
    <row r="756" spans="1:63">
      <c r="A756" s="169"/>
      <c r="B756" s="307" t="s">
        <v>29</v>
      </c>
      <c r="C756" s="308"/>
      <c r="D756" s="308"/>
      <c r="E756" s="308"/>
      <c r="F756" s="308"/>
      <c r="G756" s="308"/>
      <c r="H756" s="308"/>
      <c r="I756" s="308"/>
      <c r="J756" s="308"/>
      <c r="K756" s="308"/>
      <c r="L756" s="308"/>
      <c r="M756" s="308"/>
      <c r="N756" s="308"/>
      <c r="O756" s="308"/>
      <c r="P756" s="308"/>
      <c r="Q756" s="308"/>
      <c r="R756" s="308"/>
      <c r="S756" s="308"/>
      <c r="T756" s="308"/>
      <c r="U756" s="308"/>
      <c r="V756" s="309"/>
      <c r="W756" s="309">
        <f>+W754+W755</f>
        <v>7583967.0365300002</v>
      </c>
      <c r="X756" s="309">
        <f t="shared" ref="X756:BK756" si="84">+X754+X755</f>
        <v>79466504.14254728</v>
      </c>
      <c r="Y756" s="309">
        <f t="shared" si="84"/>
        <v>51621774.370285839</v>
      </c>
      <c r="Z756" s="309">
        <f t="shared" si="84"/>
        <v>47126742.144853413</v>
      </c>
      <c r="AA756" s="309">
        <f t="shared" si="84"/>
        <v>49584366.696024999</v>
      </c>
      <c r="AB756" s="309">
        <f t="shared" si="84"/>
        <v>45648142.673682496</v>
      </c>
      <c r="AC756" s="309">
        <f t="shared" si="84"/>
        <v>53878994.788114451</v>
      </c>
      <c r="AD756" s="309">
        <f t="shared" si="84"/>
        <v>44108189.914230309</v>
      </c>
      <c r="AE756" s="309">
        <f t="shared" si="84"/>
        <v>18355573.728062984</v>
      </c>
      <c r="AF756" s="309">
        <f t="shared" si="84"/>
        <v>34199123.741627768</v>
      </c>
      <c r="AG756" s="309">
        <f t="shared" si="84"/>
        <v>21424689.433891471</v>
      </c>
      <c r="AH756" s="309">
        <f t="shared" si="84"/>
        <v>36496671.758064821</v>
      </c>
      <c r="AI756" s="309">
        <f t="shared" si="84"/>
        <v>19464843.730609465</v>
      </c>
      <c r="AJ756" s="309">
        <f t="shared" si="84"/>
        <v>33934066.388789214</v>
      </c>
      <c r="AK756" s="309">
        <f t="shared" si="84"/>
        <v>22262328.827437684</v>
      </c>
      <c r="AL756" s="309">
        <f t="shared" si="84"/>
        <v>13541417.104630923</v>
      </c>
      <c r="AM756" s="309">
        <f t="shared" si="84"/>
        <v>18765835.931257386</v>
      </c>
      <c r="AN756" s="309">
        <f t="shared" si="84"/>
        <v>1750215.6052545817</v>
      </c>
      <c r="AO756" s="309">
        <f t="shared" si="84"/>
        <v>1768818.6480375975</v>
      </c>
      <c r="AP756" s="309">
        <f t="shared" si="84"/>
        <v>1788434.7886982239</v>
      </c>
      <c r="AQ756" s="309">
        <f t="shared" si="84"/>
        <v>1786512.2867301637</v>
      </c>
      <c r="AR756" s="309">
        <f t="shared" si="84"/>
        <v>1784589.7847621138</v>
      </c>
      <c r="AS756" s="309">
        <f t="shared" si="84"/>
        <v>1782667.2827940539</v>
      </c>
      <c r="AT756" s="309">
        <f t="shared" si="84"/>
        <v>1780744.7808259937</v>
      </c>
      <c r="AU756" s="309">
        <f t="shared" si="84"/>
        <v>1778822.2788579438</v>
      </c>
      <c r="AV756" s="309">
        <f t="shared" si="84"/>
        <v>1776899.7768898839</v>
      </c>
      <c r="AW756" s="309">
        <f t="shared" si="84"/>
        <v>1775360.1247330238</v>
      </c>
      <c r="AX756" s="309">
        <f t="shared" si="84"/>
        <v>2491252.3764800937</v>
      </c>
      <c r="AY756" s="309">
        <f t="shared" si="84"/>
        <v>13150636.421092624</v>
      </c>
      <c r="AZ756" s="309">
        <f t="shared" si="84"/>
        <v>15257556.707249999</v>
      </c>
      <c r="BA756" s="309">
        <f t="shared" si="84"/>
        <v>0</v>
      </c>
      <c r="BB756" s="309">
        <f t="shared" si="84"/>
        <v>0</v>
      </c>
      <c r="BC756" s="309">
        <f t="shared" si="84"/>
        <v>0</v>
      </c>
      <c r="BD756" s="309">
        <f t="shared" si="84"/>
        <v>0</v>
      </c>
      <c r="BE756" s="309">
        <f t="shared" si="84"/>
        <v>0</v>
      </c>
      <c r="BF756" s="309">
        <f t="shared" si="84"/>
        <v>0</v>
      </c>
      <c r="BG756" s="309">
        <f t="shared" si="84"/>
        <v>0</v>
      </c>
      <c r="BH756" s="309">
        <f t="shared" si="84"/>
        <v>0</v>
      </c>
      <c r="BI756" s="309">
        <f t="shared" si="84"/>
        <v>0</v>
      </c>
      <c r="BJ756" s="309">
        <f t="shared" si="84"/>
        <v>0</v>
      </c>
      <c r="BK756" s="309">
        <f t="shared" si="84"/>
        <v>0</v>
      </c>
    </row>
    <row r="757" spans="1:63">
      <c r="A757" s="167"/>
      <c r="B757" s="210" t="s">
        <v>28</v>
      </c>
      <c r="C757" s="254"/>
      <c r="D757" s="254"/>
      <c r="E757" s="254"/>
      <c r="F757" s="254"/>
      <c r="G757" s="254"/>
      <c r="H757" s="254"/>
      <c r="I757" s="254"/>
      <c r="J757" s="254"/>
      <c r="K757" s="254"/>
      <c r="L757" s="254"/>
      <c r="M757" s="254"/>
      <c r="N757" s="254"/>
      <c r="O757" s="254"/>
      <c r="P757" s="254"/>
      <c r="Q757" s="254"/>
      <c r="R757" s="254"/>
      <c r="S757" s="254"/>
      <c r="T757" s="254"/>
      <c r="U757" s="254"/>
      <c r="V757" s="255"/>
      <c r="W757" s="259">
        <v>3426777.0991510004</v>
      </c>
      <c r="X757" s="259">
        <v>53265265.956308998</v>
      </c>
      <c r="Y757" s="259">
        <v>29534369.299554888</v>
      </c>
      <c r="Z757" s="259">
        <v>26085343.71197018</v>
      </c>
      <c r="AA757" s="259">
        <v>31001074.875050299</v>
      </c>
      <c r="AB757" s="259">
        <v>28779661.545022</v>
      </c>
      <c r="AC757" s="259">
        <v>39285986.964472599</v>
      </c>
      <c r="AD757" s="259">
        <v>31116142.199999999</v>
      </c>
      <c r="AE757" s="259">
        <v>8319280.1030709008</v>
      </c>
      <c r="AF757" s="259">
        <v>23512761.752874799</v>
      </c>
      <c r="AG757" s="259">
        <v>15295671.1</v>
      </c>
      <c r="AH757" s="259">
        <v>27953497.5</v>
      </c>
      <c r="AI757" s="259">
        <v>12720504.1758468</v>
      </c>
      <c r="AJ757" s="259">
        <v>27505275.300000001</v>
      </c>
      <c r="AK757" s="259">
        <v>18626879.402465101</v>
      </c>
      <c r="AL757" s="259">
        <v>11890940.699999999</v>
      </c>
      <c r="AM757" s="259">
        <v>18080722.107558303</v>
      </c>
      <c r="AN757" s="259">
        <v>0</v>
      </c>
      <c r="AO757" s="259">
        <v>0</v>
      </c>
      <c r="AP757" s="259">
        <v>0</v>
      </c>
      <c r="AQ757" s="259">
        <v>0</v>
      </c>
      <c r="AR757" s="259">
        <v>0</v>
      </c>
      <c r="AS757" s="259">
        <v>0</v>
      </c>
      <c r="AT757" s="259">
        <v>0</v>
      </c>
      <c r="AU757" s="259">
        <v>0</v>
      </c>
      <c r="AV757" s="259">
        <v>0</v>
      </c>
      <c r="AW757" s="259">
        <v>0</v>
      </c>
      <c r="AX757" s="259">
        <v>0</v>
      </c>
      <c r="AY757" s="259">
        <v>12038350.466265501</v>
      </c>
      <c r="AZ757" s="259">
        <v>15115395.699999999</v>
      </c>
      <c r="BA757" s="259">
        <v>0</v>
      </c>
      <c r="BB757" s="259">
        <v>0</v>
      </c>
      <c r="BC757" s="259">
        <v>0</v>
      </c>
      <c r="BD757" s="259">
        <v>0</v>
      </c>
      <c r="BE757" s="259">
        <v>0</v>
      </c>
      <c r="BF757" s="259">
        <v>0</v>
      </c>
      <c r="BG757" s="259">
        <v>0</v>
      </c>
      <c r="BH757" s="259">
        <v>0</v>
      </c>
      <c r="BI757" s="259">
        <v>0</v>
      </c>
      <c r="BJ757" s="259">
        <v>0</v>
      </c>
      <c r="BK757" s="259">
        <v>0</v>
      </c>
    </row>
    <row r="758" spans="1:63">
      <c r="A758" s="168">
        <v>44530</v>
      </c>
      <c r="B758" s="213" t="s">
        <v>385</v>
      </c>
      <c r="C758" s="256"/>
      <c r="D758" s="256"/>
      <c r="E758" s="256"/>
      <c r="F758" s="256"/>
      <c r="G758" s="256"/>
      <c r="H758" s="256"/>
      <c r="I758" s="256"/>
      <c r="J758" s="256"/>
      <c r="K758" s="256"/>
      <c r="L758" s="256"/>
      <c r="M758" s="256"/>
      <c r="N758" s="256"/>
      <c r="O758" s="256"/>
      <c r="P758" s="256"/>
      <c r="Q758" s="256"/>
      <c r="R758" s="256"/>
      <c r="S758" s="256"/>
      <c r="T758" s="256"/>
      <c r="U758" s="256"/>
      <c r="V758" s="259"/>
      <c r="W758" s="259">
        <v>0</v>
      </c>
      <c r="X758" s="259">
        <v>23415676.896291614</v>
      </c>
      <c r="Y758" s="259">
        <v>22896427.006992869</v>
      </c>
      <c r="Z758" s="259">
        <v>21591240.956208158</v>
      </c>
      <c r="AA758" s="259">
        <v>19139439.779369477</v>
      </c>
      <c r="AB758" s="259">
        <v>17559708.800671484</v>
      </c>
      <c r="AC758" s="259">
        <v>15508958.782237979</v>
      </c>
      <c r="AD758" s="259">
        <v>13681724.752850035</v>
      </c>
      <c r="AE758" s="259">
        <v>11905846.437925108</v>
      </c>
      <c r="AF758" s="259">
        <v>11754531.565265901</v>
      </c>
      <c r="AG758" s="259">
        <v>10136214.966604797</v>
      </c>
      <c r="AH758" s="259">
        <v>9157904.2364045475</v>
      </c>
      <c r="AI758" s="259">
        <v>7296455.8943239776</v>
      </c>
      <c r="AJ758" s="259">
        <v>6831939.5952353524</v>
      </c>
      <c r="AK758" s="259">
        <v>4923745.6793966088</v>
      </c>
      <c r="AL758" s="259">
        <v>3628760.1890767612</v>
      </c>
      <c r="AM758" s="259">
        <v>2936160.2602995997</v>
      </c>
      <c r="AN758" s="259">
        <v>1862868.5075998781</v>
      </c>
      <c r="AO758" s="259">
        <v>1882917.0500232526</v>
      </c>
      <c r="AP758" s="259">
        <v>1904022.0553134489</v>
      </c>
      <c r="AQ758" s="259">
        <v>1902099.5533453887</v>
      </c>
      <c r="AR758" s="259">
        <v>1900177.0513773388</v>
      </c>
      <c r="AS758" s="259">
        <v>1898254.5494092789</v>
      </c>
      <c r="AT758" s="259">
        <v>1896332.0474412187</v>
      </c>
      <c r="AU758" s="259">
        <v>1894409.5454731688</v>
      </c>
      <c r="AV758" s="259">
        <v>1892487.0435051089</v>
      </c>
      <c r="AW758" s="259">
        <v>1890947.3913482488</v>
      </c>
      <c r="AX758" s="259">
        <v>2606839.3694874789</v>
      </c>
      <c r="AY758" s="259">
        <v>1890849.6156674493</v>
      </c>
      <c r="AZ758" s="259">
        <v>1095866.1882499997</v>
      </c>
      <c r="BA758" s="259">
        <v>0</v>
      </c>
      <c r="BB758" s="259">
        <v>0</v>
      </c>
      <c r="BC758" s="259">
        <v>0</v>
      </c>
      <c r="BD758" s="259">
        <v>0</v>
      </c>
      <c r="BE758" s="259">
        <v>0</v>
      </c>
      <c r="BF758" s="259">
        <v>0</v>
      </c>
      <c r="BG758" s="259">
        <v>0</v>
      </c>
      <c r="BH758" s="259">
        <v>0</v>
      </c>
      <c r="BI758" s="259">
        <v>0</v>
      </c>
      <c r="BJ758" s="259">
        <v>0</v>
      </c>
      <c r="BK758" s="259">
        <v>0</v>
      </c>
    </row>
    <row r="759" spans="1:63">
      <c r="A759" s="169"/>
      <c r="B759" s="307" t="s">
        <v>29</v>
      </c>
      <c r="C759" s="308"/>
      <c r="D759" s="308"/>
      <c r="E759" s="308"/>
      <c r="F759" s="308"/>
      <c r="G759" s="308"/>
      <c r="H759" s="308"/>
      <c r="I759" s="308"/>
      <c r="J759" s="308"/>
      <c r="K759" s="308"/>
      <c r="L759" s="308"/>
      <c r="M759" s="308"/>
      <c r="N759" s="308"/>
      <c r="O759" s="308"/>
      <c r="P759" s="308"/>
      <c r="Q759" s="308"/>
      <c r="R759" s="308"/>
      <c r="S759" s="308"/>
      <c r="T759" s="308"/>
      <c r="U759" s="308"/>
      <c r="V759" s="309"/>
      <c r="W759" s="309">
        <f>+W757+W758</f>
        <v>3426777.0991510004</v>
      </c>
      <c r="X759" s="309">
        <f t="shared" ref="X759:BK759" si="85">+X757+X758</f>
        <v>76680942.852600604</v>
      </c>
      <c r="Y759" s="309">
        <f t="shared" si="85"/>
        <v>52430796.306547761</v>
      </c>
      <c r="Z759" s="309">
        <f t="shared" si="85"/>
        <v>47676584.668178335</v>
      </c>
      <c r="AA759" s="309">
        <f t="shared" si="85"/>
        <v>50140514.65441978</v>
      </c>
      <c r="AB759" s="309">
        <f t="shared" si="85"/>
        <v>46339370.345693484</v>
      </c>
      <c r="AC759" s="309">
        <f t="shared" si="85"/>
        <v>54794945.746710576</v>
      </c>
      <c r="AD759" s="309">
        <f t="shared" si="85"/>
        <v>44797866.952850036</v>
      </c>
      <c r="AE759" s="309">
        <f t="shared" si="85"/>
        <v>20225126.540996008</v>
      </c>
      <c r="AF759" s="309">
        <f t="shared" si="85"/>
        <v>35267293.3181407</v>
      </c>
      <c r="AG759" s="309">
        <f t="shared" si="85"/>
        <v>25431886.066604797</v>
      </c>
      <c r="AH759" s="309">
        <f t="shared" si="85"/>
        <v>37111401.736404546</v>
      </c>
      <c r="AI759" s="309">
        <f t="shared" si="85"/>
        <v>20016960.070170779</v>
      </c>
      <c r="AJ759" s="309">
        <f t="shared" si="85"/>
        <v>34337214.895235352</v>
      </c>
      <c r="AK759" s="309">
        <f t="shared" si="85"/>
        <v>23550625.081861712</v>
      </c>
      <c r="AL759" s="309">
        <f t="shared" si="85"/>
        <v>15519700.88907676</v>
      </c>
      <c r="AM759" s="309">
        <f t="shared" si="85"/>
        <v>21016882.367857903</v>
      </c>
      <c r="AN759" s="309">
        <f t="shared" si="85"/>
        <v>1862868.5075998781</v>
      </c>
      <c r="AO759" s="309">
        <f t="shared" si="85"/>
        <v>1882917.0500232526</v>
      </c>
      <c r="AP759" s="309">
        <f t="shared" si="85"/>
        <v>1904022.0553134489</v>
      </c>
      <c r="AQ759" s="309">
        <f t="shared" si="85"/>
        <v>1902099.5533453887</v>
      </c>
      <c r="AR759" s="309">
        <f t="shared" si="85"/>
        <v>1900177.0513773388</v>
      </c>
      <c r="AS759" s="309">
        <f t="shared" si="85"/>
        <v>1898254.5494092789</v>
      </c>
      <c r="AT759" s="309">
        <f t="shared" si="85"/>
        <v>1896332.0474412187</v>
      </c>
      <c r="AU759" s="309">
        <f t="shared" si="85"/>
        <v>1894409.5454731688</v>
      </c>
      <c r="AV759" s="309">
        <f t="shared" si="85"/>
        <v>1892487.0435051089</v>
      </c>
      <c r="AW759" s="309">
        <f t="shared" si="85"/>
        <v>1890947.3913482488</v>
      </c>
      <c r="AX759" s="309">
        <f t="shared" si="85"/>
        <v>2606839.3694874789</v>
      </c>
      <c r="AY759" s="309">
        <f t="shared" si="85"/>
        <v>13929200.081932951</v>
      </c>
      <c r="AZ759" s="309">
        <f t="shared" si="85"/>
        <v>16211261.888249999</v>
      </c>
      <c r="BA759" s="309">
        <f t="shared" si="85"/>
        <v>0</v>
      </c>
      <c r="BB759" s="309">
        <f t="shared" si="85"/>
        <v>0</v>
      </c>
      <c r="BC759" s="309">
        <f t="shared" si="85"/>
        <v>0</v>
      </c>
      <c r="BD759" s="309">
        <f t="shared" si="85"/>
        <v>0</v>
      </c>
      <c r="BE759" s="309">
        <f t="shared" si="85"/>
        <v>0</v>
      </c>
      <c r="BF759" s="309">
        <f t="shared" si="85"/>
        <v>0</v>
      </c>
      <c r="BG759" s="309">
        <f t="shared" si="85"/>
        <v>0</v>
      </c>
      <c r="BH759" s="309">
        <f t="shared" si="85"/>
        <v>0</v>
      </c>
      <c r="BI759" s="309">
        <f t="shared" si="85"/>
        <v>0</v>
      </c>
      <c r="BJ759" s="309">
        <f t="shared" si="85"/>
        <v>0</v>
      </c>
      <c r="BK759" s="309">
        <f t="shared" si="85"/>
        <v>0</v>
      </c>
    </row>
    <row r="760" spans="1:63">
      <c r="A760" s="167"/>
      <c r="B760" s="210" t="s">
        <v>28</v>
      </c>
      <c r="C760" s="254"/>
      <c r="D760" s="254"/>
      <c r="E760" s="254"/>
      <c r="F760" s="254"/>
      <c r="G760" s="254"/>
      <c r="H760" s="254"/>
      <c r="I760" s="254"/>
      <c r="J760" s="254"/>
      <c r="K760" s="254"/>
      <c r="L760" s="254"/>
      <c r="M760" s="254"/>
      <c r="N760" s="254"/>
      <c r="O760" s="254"/>
      <c r="P760" s="254"/>
      <c r="Q760" s="254"/>
      <c r="R760" s="254"/>
      <c r="S760" s="254"/>
      <c r="T760" s="254"/>
      <c r="U760" s="254"/>
      <c r="V760" s="255"/>
      <c r="W760" s="259"/>
      <c r="X760" s="259">
        <v>53840265.089308999</v>
      </c>
      <c r="Y760" s="259">
        <v>29611975.794538584</v>
      </c>
      <c r="Z760" s="259">
        <v>24563559.256000001</v>
      </c>
      <c r="AA760" s="259">
        <v>31435882.577197075</v>
      </c>
      <c r="AB760" s="259">
        <v>28779661.545022</v>
      </c>
      <c r="AC760" s="259">
        <v>39336321.404295795</v>
      </c>
      <c r="AD760" s="259">
        <v>31180974.699999999</v>
      </c>
      <c r="AE760" s="259">
        <v>8341140.1893897001</v>
      </c>
      <c r="AF760" s="259">
        <v>22037127.399999999</v>
      </c>
      <c r="AG760" s="259">
        <v>17260428.352874801</v>
      </c>
      <c r="AH760" s="259">
        <v>27953497.5</v>
      </c>
      <c r="AI760" s="259">
        <v>12753929.101544399</v>
      </c>
      <c r="AJ760" s="259">
        <v>27505275.300000001</v>
      </c>
      <c r="AK760" s="259">
        <v>19751207.387134299</v>
      </c>
      <c r="AL760" s="259">
        <v>12051017.199999999</v>
      </c>
      <c r="AM760" s="259">
        <v>18153210.3047834</v>
      </c>
      <c r="AN760" s="259">
        <v>0</v>
      </c>
      <c r="AO760" s="259">
        <v>0</v>
      </c>
      <c r="AP760" s="259">
        <v>0</v>
      </c>
      <c r="AQ760" s="259">
        <v>0</v>
      </c>
      <c r="AR760" s="259">
        <v>0</v>
      </c>
      <c r="AS760" s="259">
        <v>0</v>
      </c>
      <c r="AT760" s="259">
        <v>0</v>
      </c>
      <c r="AU760" s="259">
        <v>0</v>
      </c>
      <c r="AV760" s="259">
        <v>0</v>
      </c>
      <c r="AW760" s="259">
        <v>0</v>
      </c>
      <c r="AX760" s="259">
        <v>0</v>
      </c>
      <c r="AY760" s="259">
        <v>12069982.9365115</v>
      </c>
      <c r="AZ760" s="259">
        <v>15286520.9</v>
      </c>
      <c r="BA760" s="259">
        <v>0</v>
      </c>
      <c r="BB760" s="259">
        <v>0</v>
      </c>
      <c r="BC760" s="259">
        <v>0</v>
      </c>
      <c r="BD760" s="259">
        <v>0</v>
      </c>
      <c r="BE760" s="259">
        <v>0</v>
      </c>
      <c r="BF760" s="259">
        <v>0</v>
      </c>
      <c r="BG760" s="259">
        <v>0</v>
      </c>
      <c r="BH760" s="259">
        <v>0</v>
      </c>
      <c r="BI760" s="259">
        <v>0</v>
      </c>
      <c r="BJ760" s="259">
        <v>0</v>
      </c>
      <c r="BK760" s="259">
        <v>0</v>
      </c>
    </row>
    <row r="761" spans="1:63">
      <c r="A761" s="168">
        <v>44561</v>
      </c>
      <c r="B761" s="213" t="s">
        <v>385</v>
      </c>
      <c r="C761" s="256"/>
      <c r="D761" s="256"/>
      <c r="E761" s="256"/>
      <c r="F761" s="256"/>
      <c r="G761" s="256"/>
      <c r="H761" s="256"/>
      <c r="I761" s="256"/>
      <c r="J761" s="256"/>
      <c r="K761" s="256"/>
      <c r="L761" s="256"/>
      <c r="M761" s="256"/>
      <c r="N761" s="256"/>
      <c r="O761" s="256"/>
      <c r="P761" s="256"/>
      <c r="Q761" s="256"/>
      <c r="R761" s="256"/>
      <c r="S761" s="256"/>
      <c r="T761" s="256"/>
      <c r="U761" s="256"/>
      <c r="V761" s="259"/>
      <c r="W761" s="259"/>
      <c r="X761" s="259">
        <v>23420481.996625096</v>
      </c>
      <c r="Y761" s="259">
        <v>22902840.005796354</v>
      </c>
      <c r="Z761" s="259">
        <v>21524947.568266105</v>
      </c>
      <c r="AA761" s="259">
        <v>19263247.473640498</v>
      </c>
      <c r="AB761" s="259">
        <v>17685273.6081344</v>
      </c>
      <c r="AC761" s="259">
        <v>15636333.965027232</v>
      </c>
      <c r="AD761" s="259">
        <v>13810981.520466393</v>
      </c>
      <c r="AE761" s="259">
        <v>12033120.358973313</v>
      </c>
      <c r="AF761" s="259">
        <v>11883785.556392383</v>
      </c>
      <c r="AG761" s="259">
        <v>10267508.429911897</v>
      </c>
      <c r="AH761" s="259">
        <v>9257059.7530576698</v>
      </c>
      <c r="AI761" s="259">
        <v>7397775.0870135073</v>
      </c>
      <c r="AJ761" s="259">
        <v>6935487.3742424315</v>
      </c>
      <c r="AK761" s="259">
        <v>5028147.5447651381</v>
      </c>
      <c r="AL761" s="259">
        <v>3655065.1868113242</v>
      </c>
      <c r="AM761" s="259">
        <v>2952504.3289275379</v>
      </c>
      <c r="AN761" s="259">
        <v>1877706.9859719181</v>
      </c>
      <c r="AO761" s="259">
        <v>1897755.5283952625</v>
      </c>
      <c r="AP761" s="259">
        <v>1918478.484132499</v>
      </c>
      <c r="AQ761" s="259">
        <v>1916428.6323134489</v>
      </c>
      <c r="AR761" s="259">
        <v>1914506.1303453888</v>
      </c>
      <c r="AS761" s="259">
        <v>1912583.6283773389</v>
      </c>
      <c r="AT761" s="259">
        <v>1910661.1264092789</v>
      </c>
      <c r="AU761" s="259">
        <v>1908738.6244412188</v>
      </c>
      <c r="AV761" s="259">
        <v>1906816.1224731689</v>
      </c>
      <c r="AW761" s="259">
        <v>1904893.620505109</v>
      </c>
      <c r="AX761" s="259">
        <v>1903353.9683482489</v>
      </c>
      <c r="AY761" s="259">
        <v>2619244.658845399</v>
      </c>
      <c r="AZ761" s="259">
        <v>1108272.7652499992</v>
      </c>
      <c r="BA761" s="259">
        <v>0</v>
      </c>
      <c r="BB761" s="259">
        <v>0</v>
      </c>
      <c r="BC761" s="259">
        <v>0</v>
      </c>
      <c r="BD761" s="259">
        <v>0</v>
      </c>
      <c r="BE761" s="259">
        <v>0</v>
      </c>
      <c r="BF761" s="259">
        <v>0</v>
      </c>
      <c r="BG761" s="259">
        <v>0</v>
      </c>
      <c r="BH761" s="259">
        <v>0</v>
      </c>
      <c r="BI761" s="259">
        <v>0</v>
      </c>
      <c r="BJ761" s="259">
        <v>0</v>
      </c>
      <c r="BK761" s="259">
        <v>0</v>
      </c>
    </row>
    <row r="762" spans="1:63">
      <c r="A762" s="169"/>
      <c r="B762" s="307" t="s">
        <v>29</v>
      </c>
      <c r="C762" s="308"/>
      <c r="D762" s="308"/>
      <c r="E762" s="308"/>
      <c r="F762" s="308"/>
      <c r="G762" s="308"/>
      <c r="H762" s="308"/>
      <c r="I762" s="308"/>
      <c r="J762" s="308"/>
      <c r="K762" s="308"/>
      <c r="L762" s="308"/>
      <c r="M762" s="308"/>
      <c r="N762" s="308"/>
      <c r="O762" s="308"/>
      <c r="P762" s="308"/>
      <c r="Q762" s="308"/>
      <c r="R762" s="308"/>
      <c r="S762" s="308"/>
      <c r="T762" s="308"/>
      <c r="U762" s="308"/>
      <c r="V762" s="309"/>
      <c r="W762" s="309">
        <f>+W760+W761</f>
        <v>0</v>
      </c>
      <c r="X762" s="309">
        <f t="shared" ref="X762:BK762" si="86">+X760+X761</f>
        <v>77260747.085934103</v>
      </c>
      <c r="Y762" s="309">
        <f t="shared" si="86"/>
        <v>52514815.800334938</v>
      </c>
      <c r="Z762" s="309">
        <f t="shared" si="86"/>
        <v>46088506.824266106</v>
      </c>
      <c r="AA762" s="309">
        <f t="shared" si="86"/>
        <v>50699130.050837576</v>
      </c>
      <c r="AB762" s="309">
        <f t="shared" si="86"/>
        <v>46464935.1531564</v>
      </c>
      <c r="AC762" s="309">
        <f t="shared" si="86"/>
        <v>54972655.36932303</v>
      </c>
      <c r="AD762" s="309">
        <f t="shared" si="86"/>
        <v>44991956.22046639</v>
      </c>
      <c r="AE762" s="309">
        <f t="shared" si="86"/>
        <v>20374260.548363015</v>
      </c>
      <c r="AF762" s="309">
        <f t="shared" si="86"/>
        <v>33920912.956392378</v>
      </c>
      <c r="AG762" s="309">
        <f t="shared" si="86"/>
        <v>27527936.782786697</v>
      </c>
      <c r="AH762" s="309">
        <f t="shared" si="86"/>
        <v>37210557.253057674</v>
      </c>
      <c r="AI762" s="309">
        <f t="shared" si="86"/>
        <v>20151704.188557908</v>
      </c>
      <c r="AJ762" s="309">
        <f t="shared" si="86"/>
        <v>34440762.674242429</v>
      </c>
      <c r="AK762" s="309">
        <f t="shared" si="86"/>
        <v>24779354.931899436</v>
      </c>
      <c r="AL762" s="309">
        <f t="shared" si="86"/>
        <v>15706082.386811323</v>
      </c>
      <c r="AM762" s="309">
        <f t="shared" si="86"/>
        <v>21105714.633710939</v>
      </c>
      <c r="AN762" s="309">
        <f t="shared" si="86"/>
        <v>1877706.9859719181</v>
      </c>
      <c r="AO762" s="309">
        <f t="shared" si="86"/>
        <v>1897755.5283952625</v>
      </c>
      <c r="AP762" s="309">
        <f t="shared" si="86"/>
        <v>1918478.484132499</v>
      </c>
      <c r="AQ762" s="309">
        <f t="shared" si="86"/>
        <v>1916428.6323134489</v>
      </c>
      <c r="AR762" s="309">
        <f t="shared" si="86"/>
        <v>1914506.1303453888</v>
      </c>
      <c r="AS762" s="309">
        <f t="shared" si="86"/>
        <v>1912583.6283773389</v>
      </c>
      <c r="AT762" s="309">
        <f t="shared" si="86"/>
        <v>1910661.1264092789</v>
      </c>
      <c r="AU762" s="309">
        <f t="shared" si="86"/>
        <v>1908738.6244412188</v>
      </c>
      <c r="AV762" s="309">
        <f t="shared" si="86"/>
        <v>1906816.1224731689</v>
      </c>
      <c r="AW762" s="309">
        <f t="shared" si="86"/>
        <v>1904893.620505109</v>
      </c>
      <c r="AX762" s="309">
        <f t="shared" si="86"/>
        <v>1903353.9683482489</v>
      </c>
      <c r="AY762" s="309">
        <f t="shared" si="86"/>
        <v>14689227.595356898</v>
      </c>
      <c r="AZ762" s="309">
        <f t="shared" si="86"/>
        <v>16394793.66525</v>
      </c>
      <c r="BA762" s="309">
        <f t="shared" si="86"/>
        <v>0</v>
      </c>
      <c r="BB762" s="309">
        <f t="shared" si="86"/>
        <v>0</v>
      </c>
      <c r="BC762" s="309">
        <f t="shared" si="86"/>
        <v>0</v>
      </c>
      <c r="BD762" s="309">
        <f t="shared" si="86"/>
        <v>0</v>
      </c>
      <c r="BE762" s="309">
        <f t="shared" si="86"/>
        <v>0</v>
      </c>
      <c r="BF762" s="309">
        <f t="shared" si="86"/>
        <v>0</v>
      </c>
      <c r="BG762" s="309">
        <f t="shared" si="86"/>
        <v>0</v>
      </c>
      <c r="BH762" s="309">
        <f t="shared" si="86"/>
        <v>0</v>
      </c>
      <c r="BI762" s="309">
        <f t="shared" si="86"/>
        <v>0</v>
      </c>
      <c r="BJ762" s="309">
        <f t="shared" si="86"/>
        <v>0</v>
      </c>
      <c r="BK762" s="309">
        <f t="shared" si="86"/>
        <v>0</v>
      </c>
    </row>
    <row r="763" spans="1:63">
      <c r="A763" s="167"/>
      <c r="B763" s="210" t="s">
        <v>28</v>
      </c>
      <c r="C763" s="254"/>
      <c r="D763" s="254"/>
      <c r="E763" s="254"/>
      <c r="F763" s="254"/>
      <c r="G763" s="254"/>
      <c r="H763" s="254"/>
      <c r="I763" s="254"/>
      <c r="J763" s="254"/>
      <c r="K763" s="254"/>
      <c r="L763" s="254"/>
      <c r="M763" s="254"/>
      <c r="N763" s="254"/>
      <c r="O763" s="254"/>
      <c r="P763" s="254"/>
      <c r="Q763" s="254"/>
      <c r="R763" s="254"/>
      <c r="S763" s="254"/>
      <c r="T763" s="254"/>
      <c r="U763" s="254"/>
      <c r="V763" s="255"/>
      <c r="W763" s="259"/>
      <c r="X763" s="259">
        <v>32677415.809999995</v>
      </c>
      <c r="Y763" s="259">
        <v>55872075.797078997</v>
      </c>
      <c r="Z763" s="259">
        <v>24563559.256000001</v>
      </c>
      <c r="AA763" s="259">
        <v>31021197.608142998</v>
      </c>
      <c r="AB763" s="259">
        <v>29214569.40985268</v>
      </c>
      <c r="AC763" s="259">
        <v>39320876.370605998</v>
      </c>
      <c r="AD763" s="259">
        <v>31180974.699999999</v>
      </c>
      <c r="AE763" s="259">
        <v>8548149.7218149994</v>
      </c>
      <c r="AF763" s="259">
        <v>23512761.507895</v>
      </c>
      <c r="AG763" s="259">
        <v>15916206.4</v>
      </c>
      <c r="AH763" s="259">
        <v>27953497.5</v>
      </c>
      <c r="AI763" s="259">
        <v>12743672.722307999</v>
      </c>
      <c r="AJ763" s="259">
        <v>27505275.300000001</v>
      </c>
      <c r="AK763" s="259">
        <v>19735323.978050999</v>
      </c>
      <c r="AL763" s="259">
        <v>12051017.199999999</v>
      </c>
      <c r="AM763" s="259">
        <v>18614180.871693</v>
      </c>
      <c r="AN763" s="259">
        <v>0</v>
      </c>
      <c r="AO763" s="259">
        <v>0</v>
      </c>
      <c r="AP763" s="259">
        <v>0</v>
      </c>
      <c r="AQ763" s="259">
        <v>0</v>
      </c>
      <c r="AR763" s="259">
        <v>1985267.7</v>
      </c>
      <c r="AS763" s="259">
        <v>0</v>
      </c>
      <c r="AT763" s="259">
        <v>0</v>
      </c>
      <c r="AU763" s="259">
        <v>0</v>
      </c>
      <c r="AV763" s="259">
        <v>0</v>
      </c>
      <c r="AW763" s="259">
        <v>0</v>
      </c>
      <c r="AX763" s="259">
        <v>0</v>
      </c>
      <c r="AY763" s="259">
        <v>12425965.992791999</v>
      </c>
      <c r="AZ763" s="259">
        <v>15333520.9</v>
      </c>
      <c r="BA763" s="259">
        <v>0</v>
      </c>
      <c r="BB763" s="259">
        <v>0</v>
      </c>
      <c r="BC763" s="259">
        <v>0</v>
      </c>
      <c r="BD763" s="259">
        <v>0</v>
      </c>
      <c r="BE763" s="259">
        <v>0</v>
      </c>
      <c r="BF763" s="259">
        <v>0</v>
      </c>
      <c r="BG763" s="259">
        <v>0</v>
      </c>
      <c r="BH763" s="259">
        <v>0</v>
      </c>
      <c r="BI763" s="259">
        <v>0</v>
      </c>
      <c r="BJ763" s="259">
        <v>0</v>
      </c>
      <c r="BK763" s="259">
        <v>0</v>
      </c>
    </row>
    <row r="764" spans="1:63">
      <c r="A764" s="168">
        <v>44592</v>
      </c>
      <c r="B764" s="213" t="s">
        <v>385</v>
      </c>
      <c r="C764" s="256"/>
      <c r="D764" s="256"/>
      <c r="E764" s="256"/>
      <c r="F764" s="256"/>
      <c r="G764" s="256"/>
      <c r="H764" s="256"/>
      <c r="I764" s="256"/>
      <c r="J764" s="256"/>
      <c r="K764" s="256"/>
      <c r="L764" s="256"/>
      <c r="M764" s="256"/>
      <c r="N764" s="256"/>
      <c r="O764" s="256"/>
      <c r="P764" s="256"/>
      <c r="Q764" s="256"/>
      <c r="R764" s="256"/>
      <c r="S764" s="256"/>
      <c r="T764" s="256"/>
      <c r="U764" s="256"/>
      <c r="V764" s="259"/>
      <c r="W764" s="259"/>
      <c r="X764" s="259">
        <v>23690881.957617287</v>
      </c>
      <c r="Y764" s="259">
        <v>23207489.961526409</v>
      </c>
      <c r="Z764" s="259">
        <v>21826133.253513955</v>
      </c>
      <c r="AA764" s="259">
        <v>19486639.40370822</v>
      </c>
      <c r="AB764" s="259">
        <v>17909899.661901001</v>
      </c>
      <c r="AC764" s="259">
        <v>15862230.026774947</v>
      </c>
      <c r="AD764" s="259">
        <v>14038167.565154802</v>
      </c>
      <c r="AE764" s="259">
        <v>12261666.375785368</v>
      </c>
      <c r="AF764" s="259">
        <v>12107427.043303864</v>
      </c>
      <c r="AG764" s="259">
        <v>10492387.798670277</v>
      </c>
      <c r="AH764" s="259">
        <v>9474015.2721183226</v>
      </c>
      <c r="AI764" s="259">
        <v>7617485.2324710619</v>
      </c>
      <c r="AJ764" s="259">
        <v>7158739.9091007914</v>
      </c>
      <c r="AK764" s="259">
        <v>5254983.0490318565</v>
      </c>
      <c r="AL764" s="259">
        <v>3884084.1003485364</v>
      </c>
      <c r="AM764" s="259">
        <v>3183001.3381268703</v>
      </c>
      <c r="AN764" s="259">
        <v>2080559.6857378911</v>
      </c>
      <c r="AO764" s="259">
        <v>2101799.275327588</v>
      </c>
      <c r="AP764" s="259">
        <v>2123733.7276640274</v>
      </c>
      <c r="AQ764" s="259">
        <v>2121811.2256959672</v>
      </c>
      <c r="AR764" s="259">
        <v>2119888.7237279075</v>
      </c>
      <c r="AS764" s="259">
        <v>1934328.9595098577</v>
      </c>
      <c r="AT764" s="259">
        <v>1932406.4575417978</v>
      </c>
      <c r="AU764" s="259">
        <v>1930866.8053849377</v>
      </c>
      <c r="AV764" s="259">
        <v>1930769.0297041377</v>
      </c>
      <c r="AW764" s="259">
        <v>1930769.0297041377</v>
      </c>
      <c r="AX764" s="259">
        <v>1930769.0297041377</v>
      </c>
      <c r="AY764" s="259">
        <v>1930769.0297041386</v>
      </c>
      <c r="AZ764" s="259">
        <v>1111680.2652499992</v>
      </c>
      <c r="BA764" s="259">
        <v>0</v>
      </c>
      <c r="BB764" s="259">
        <v>0</v>
      </c>
      <c r="BC764" s="259">
        <v>0</v>
      </c>
      <c r="BD764" s="259">
        <v>0</v>
      </c>
      <c r="BE764" s="259">
        <v>0</v>
      </c>
      <c r="BF764" s="259">
        <v>0</v>
      </c>
      <c r="BG764" s="259">
        <v>0</v>
      </c>
      <c r="BH764" s="259">
        <v>0</v>
      </c>
      <c r="BI764" s="259">
        <v>0</v>
      </c>
      <c r="BJ764" s="259">
        <v>0</v>
      </c>
      <c r="BK764" s="259">
        <v>0</v>
      </c>
    </row>
    <row r="765" spans="1:63">
      <c r="A765" s="169"/>
      <c r="B765" s="307" t="s">
        <v>29</v>
      </c>
      <c r="C765" s="308"/>
      <c r="D765" s="308"/>
      <c r="E765" s="308"/>
      <c r="F765" s="308"/>
      <c r="G765" s="308"/>
      <c r="H765" s="308"/>
      <c r="I765" s="308"/>
      <c r="J765" s="308"/>
      <c r="K765" s="308"/>
      <c r="L765" s="308"/>
      <c r="M765" s="308"/>
      <c r="N765" s="308"/>
      <c r="O765" s="308"/>
      <c r="P765" s="308"/>
      <c r="Q765" s="308"/>
      <c r="R765" s="308"/>
      <c r="S765" s="308"/>
      <c r="T765" s="308"/>
      <c r="U765" s="308"/>
      <c r="V765" s="309"/>
      <c r="W765" s="309">
        <f>+W763+W764</f>
        <v>0</v>
      </c>
      <c r="X765" s="309">
        <f>+X763+X764</f>
        <v>56368297.767617285</v>
      </c>
      <c r="Y765" s="309">
        <f>+Y763+Y764</f>
        <v>79079565.758605406</v>
      </c>
      <c r="Z765" s="309">
        <f>+Z763+Z764</f>
        <v>46389692.509513959</v>
      </c>
      <c r="AA765" s="309">
        <f t="shared" ref="AA765:AY765" si="87">+AA763+AA764</f>
        <v>50507837.011851221</v>
      </c>
      <c r="AB765" s="309">
        <f t="shared" si="87"/>
        <v>47124469.071753681</v>
      </c>
      <c r="AC765" s="309">
        <f t="shared" si="87"/>
        <v>55183106.397380948</v>
      </c>
      <c r="AD765" s="309">
        <f t="shared" si="87"/>
        <v>45219142.265154801</v>
      </c>
      <c r="AE765" s="309">
        <f t="shared" si="87"/>
        <v>20809816.097600367</v>
      </c>
      <c r="AF765" s="309">
        <f t="shared" si="87"/>
        <v>35620188.551198862</v>
      </c>
      <c r="AG765" s="309">
        <f t="shared" si="87"/>
        <v>26408594.198670276</v>
      </c>
      <c r="AH765" s="309">
        <f t="shared" si="87"/>
        <v>37427512.772118323</v>
      </c>
      <c r="AI765" s="309">
        <f t="shared" si="87"/>
        <v>20361157.954779059</v>
      </c>
      <c r="AJ765" s="309">
        <f t="shared" si="87"/>
        <v>34664015.20910079</v>
      </c>
      <c r="AK765" s="309">
        <f t="shared" si="87"/>
        <v>24990307.027082857</v>
      </c>
      <c r="AL765" s="309">
        <f t="shared" si="87"/>
        <v>15935101.300348535</v>
      </c>
      <c r="AM765" s="309">
        <f t="shared" si="87"/>
        <v>21797182.209819872</v>
      </c>
      <c r="AN765" s="309">
        <f t="shared" si="87"/>
        <v>2080559.6857378911</v>
      </c>
      <c r="AO765" s="309">
        <f t="shared" si="87"/>
        <v>2101799.275327588</v>
      </c>
      <c r="AP765" s="309">
        <f t="shared" si="87"/>
        <v>2123733.7276640274</v>
      </c>
      <c r="AQ765" s="309">
        <f t="shared" si="87"/>
        <v>2121811.2256959672</v>
      </c>
      <c r="AR765" s="309">
        <f t="shared" si="87"/>
        <v>4105156.4237279072</v>
      </c>
      <c r="AS765" s="309">
        <f t="shared" si="87"/>
        <v>1934328.9595098577</v>
      </c>
      <c r="AT765" s="309">
        <f t="shared" si="87"/>
        <v>1932406.4575417978</v>
      </c>
      <c r="AU765" s="309">
        <f t="shared" si="87"/>
        <v>1930866.8053849377</v>
      </c>
      <c r="AV765" s="309">
        <f t="shared" si="87"/>
        <v>1930769.0297041377</v>
      </c>
      <c r="AW765" s="309">
        <f t="shared" si="87"/>
        <v>1930769.0297041377</v>
      </c>
      <c r="AX765" s="309">
        <f t="shared" si="87"/>
        <v>1930769.0297041377</v>
      </c>
      <c r="AY765" s="309">
        <f t="shared" si="87"/>
        <v>14356735.022496138</v>
      </c>
      <c r="AZ765" s="309">
        <f t="shared" ref="AZ765:BK765" si="88">+AZ763+AZ764</f>
        <v>16445201.16525</v>
      </c>
      <c r="BA765" s="309">
        <f t="shared" si="88"/>
        <v>0</v>
      </c>
      <c r="BB765" s="309">
        <f t="shared" si="88"/>
        <v>0</v>
      </c>
      <c r="BC765" s="309">
        <f t="shared" si="88"/>
        <v>0</v>
      </c>
      <c r="BD765" s="309">
        <f t="shared" si="88"/>
        <v>0</v>
      </c>
      <c r="BE765" s="309">
        <f t="shared" si="88"/>
        <v>0</v>
      </c>
      <c r="BF765" s="309">
        <f t="shared" si="88"/>
        <v>0</v>
      </c>
      <c r="BG765" s="309">
        <f t="shared" si="88"/>
        <v>0</v>
      </c>
      <c r="BH765" s="309">
        <f t="shared" si="88"/>
        <v>0</v>
      </c>
      <c r="BI765" s="309">
        <f t="shared" si="88"/>
        <v>0</v>
      </c>
      <c r="BJ765" s="309">
        <f t="shared" si="88"/>
        <v>0</v>
      </c>
      <c r="BK765" s="309">
        <f t="shared" si="88"/>
        <v>0</v>
      </c>
    </row>
    <row r="766" spans="1:63">
      <c r="A766" s="167"/>
      <c r="B766" s="210" t="s">
        <v>28</v>
      </c>
      <c r="C766" s="254"/>
      <c r="D766" s="254"/>
      <c r="E766" s="254"/>
      <c r="F766" s="254"/>
      <c r="G766" s="254"/>
      <c r="H766" s="254"/>
      <c r="I766" s="254"/>
      <c r="J766" s="254"/>
      <c r="K766" s="254"/>
      <c r="L766" s="254"/>
      <c r="M766" s="254"/>
      <c r="N766" s="254"/>
      <c r="O766" s="254"/>
      <c r="P766" s="254"/>
      <c r="Q766" s="254"/>
      <c r="R766" s="254"/>
      <c r="S766" s="254"/>
      <c r="T766" s="254"/>
      <c r="U766" s="254"/>
      <c r="V766" s="255"/>
      <c r="W766" s="259"/>
      <c r="X766" s="259">
        <v>33869412.219999999</v>
      </c>
      <c r="Y766" s="259">
        <v>56414935.577915236</v>
      </c>
      <c r="Z766" s="259">
        <v>24563559.256000001</v>
      </c>
      <c r="AA766" s="259">
        <v>31224271.026160896</v>
      </c>
      <c r="AB766" s="259">
        <v>29214569.40985268</v>
      </c>
      <c r="AC766" s="259">
        <v>39672971.233837791</v>
      </c>
      <c r="AD766" s="259">
        <v>31180974.699999999</v>
      </c>
      <c r="AE766" s="259">
        <v>8929208.0362625998</v>
      </c>
      <c r="AF766" s="259">
        <v>23512761.507895</v>
      </c>
      <c r="AG766" s="259">
        <v>17022569.600000001</v>
      </c>
      <c r="AH766" s="259">
        <v>27953497.5</v>
      </c>
      <c r="AI766" s="259">
        <v>12977483.701100398</v>
      </c>
      <c r="AJ766" s="259">
        <v>27505275.300000001</v>
      </c>
      <c r="AK766" s="259">
        <v>20097412.327041298</v>
      </c>
      <c r="AL766" s="259">
        <v>12051017.199999999</v>
      </c>
      <c r="AM766" s="259">
        <v>19399012.325937897</v>
      </c>
      <c r="AN766" s="259">
        <v>0</v>
      </c>
      <c r="AO766" s="259">
        <v>0</v>
      </c>
      <c r="AP766" s="259">
        <v>0</v>
      </c>
      <c r="AQ766" s="259">
        <v>0</v>
      </c>
      <c r="AR766" s="259">
        <v>3903321.7</v>
      </c>
      <c r="AS766" s="259">
        <v>0</v>
      </c>
      <c r="AT766" s="259">
        <v>0</v>
      </c>
      <c r="AU766" s="259">
        <v>0</v>
      </c>
      <c r="AV766" s="259">
        <v>0</v>
      </c>
      <c r="AW766" s="259">
        <v>0</v>
      </c>
      <c r="AX766" s="259">
        <v>0</v>
      </c>
      <c r="AY766" s="259">
        <v>12990936.213827098</v>
      </c>
      <c r="AZ766" s="259">
        <v>16043674.6</v>
      </c>
      <c r="BA766" s="259">
        <v>0</v>
      </c>
      <c r="BB766" s="259">
        <v>0</v>
      </c>
      <c r="BC766" s="259">
        <v>0</v>
      </c>
      <c r="BD766" s="259">
        <v>0</v>
      </c>
      <c r="BE766" s="259">
        <v>0</v>
      </c>
      <c r="BF766" s="259">
        <v>0</v>
      </c>
      <c r="BG766" s="259">
        <v>0</v>
      </c>
      <c r="BH766" s="259">
        <v>0</v>
      </c>
      <c r="BI766" s="259">
        <v>0</v>
      </c>
      <c r="BJ766" s="259">
        <v>0</v>
      </c>
      <c r="BK766" s="259">
        <v>0</v>
      </c>
    </row>
    <row r="767" spans="1:63">
      <c r="A767" s="168">
        <v>44620</v>
      </c>
      <c r="B767" s="213" t="s">
        <v>385</v>
      </c>
      <c r="C767" s="256"/>
      <c r="D767" s="256"/>
      <c r="E767" s="256"/>
      <c r="F767" s="256"/>
      <c r="G767" s="256"/>
      <c r="H767" s="256"/>
      <c r="I767" s="256"/>
      <c r="J767" s="256"/>
      <c r="K767" s="256"/>
      <c r="L767" s="256"/>
      <c r="M767" s="256"/>
      <c r="N767" s="256"/>
      <c r="O767" s="256"/>
      <c r="P767" s="256"/>
      <c r="Q767" s="256"/>
      <c r="R767" s="256"/>
      <c r="S767" s="256"/>
      <c r="T767" s="256"/>
      <c r="U767" s="256"/>
      <c r="V767" s="259"/>
      <c r="W767" s="259"/>
      <c r="X767" s="259">
        <v>21867354.149362057</v>
      </c>
      <c r="Y767" s="259">
        <v>23591887.284231268</v>
      </c>
      <c r="Z767" s="259">
        <v>22200972.288604334</v>
      </c>
      <c r="AA767" s="259">
        <v>19863533.062983815</v>
      </c>
      <c r="AB767" s="259">
        <v>18285429.827511493</v>
      </c>
      <c r="AC767" s="259">
        <v>16239835.550486255</v>
      </c>
      <c r="AD767" s="259">
        <v>14411875.727926414</v>
      </c>
      <c r="AE767" s="259">
        <v>12637395.236572629</v>
      </c>
      <c r="AF767" s="259">
        <v>12476762.813582601</v>
      </c>
      <c r="AG767" s="259">
        <v>10863613.095189868</v>
      </c>
      <c r="AH767" s="259">
        <v>9769741.3566659987</v>
      </c>
      <c r="AI767" s="259">
        <v>7915215.9154076707</v>
      </c>
      <c r="AJ767" s="259">
        <v>7454185.1036420669</v>
      </c>
      <c r="AK767" s="259">
        <v>5552424.4152618675</v>
      </c>
      <c r="AL767" s="259">
        <v>4172265.1271058233</v>
      </c>
      <c r="AM767" s="259">
        <v>3472960.6115393774</v>
      </c>
      <c r="AN767" s="259">
        <v>2336153.4877163055</v>
      </c>
      <c r="AO767" s="259">
        <v>2358193.7072178549</v>
      </c>
      <c r="AP767" s="259">
        <v>2380952.8083635024</v>
      </c>
      <c r="AQ767" s="259">
        <v>2379030.3063954422</v>
      </c>
      <c r="AR767" s="259">
        <v>2377107.8044273821</v>
      </c>
      <c r="AS767" s="259">
        <v>2014128.0452093324</v>
      </c>
      <c r="AT767" s="259">
        <v>2012205.5432412724</v>
      </c>
      <c r="AU767" s="259">
        <v>2010665.8910844123</v>
      </c>
      <c r="AV767" s="259">
        <v>2010568.1154036124</v>
      </c>
      <c r="AW767" s="259">
        <v>2010568.1154036124</v>
      </c>
      <c r="AX767" s="259">
        <v>2010568.1154036124</v>
      </c>
      <c r="AY767" s="259">
        <v>2010568.1154036131</v>
      </c>
      <c r="AZ767" s="259">
        <v>1163166.408499999</v>
      </c>
      <c r="BA767" s="259">
        <v>0</v>
      </c>
      <c r="BB767" s="259">
        <v>0</v>
      </c>
      <c r="BC767" s="259">
        <v>0</v>
      </c>
      <c r="BD767" s="259">
        <v>0</v>
      </c>
      <c r="BE767" s="259">
        <v>0</v>
      </c>
      <c r="BF767" s="259">
        <v>0</v>
      </c>
      <c r="BG767" s="259">
        <v>0</v>
      </c>
      <c r="BH767" s="259">
        <v>0</v>
      </c>
      <c r="BI767" s="259">
        <v>0</v>
      </c>
      <c r="BJ767" s="259">
        <v>0</v>
      </c>
      <c r="BK767" s="259">
        <v>0</v>
      </c>
    </row>
    <row r="768" spans="1:63">
      <c r="A768" s="169"/>
      <c r="B768" s="307" t="s">
        <v>29</v>
      </c>
      <c r="C768" s="308"/>
      <c r="D768" s="308"/>
      <c r="E768" s="308"/>
      <c r="F768" s="308"/>
      <c r="G768" s="308"/>
      <c r="H768" s="308"/>
      <c r="I768" s="308"/>
      <c r="J768" s="308"/>
      <c r="K768" s="308"/>
      <c r="L768" s="308"/>
      <c r="M768" s="308"/>
      <c r="N768" s="308"/>
      <c r="O768" s="308"/>
      <c r="P768" s="308"/>
      <c r="Q768" s="308"/>
      <c r="R768" s="308"/>
      <c r="S768" s="308"/>
      <c r="T768" s="308"/>
      <c r="U768" s="308"/>
      <c r="V768" s="309"/>
      <c r="W768" s="309"/>
      <c r="X768" s="309">
        <f>SUM(X766:X767)</f>
        <v>55736766.369362056</v>
      </c>
      <c r="Y768" s="309">
        <f t="shared" ref="Y768:BK768" si="89">SUM(Y766:Y767)</f>
        <v>80006822.862146497</v>
      </c>
      <c r="Z768" s="309">
        <f t="shared" si="89"/>
        <v>46764531.544604331</v>
      </c>
      <c r="AA768" s="309">
        <f t="shared" si="89"/>
        <v>51087804.089144707</v>
      </c>
      <c r="AB768" s="309">
        <f t="shared" si="89"/>
        <v>47499999.237364173</v>
      </c>
      <c r="AC768" s="309">
        <f t="shared" si="89"/>
        <v>55912806.78432405</v>
      </c>
      <c r="AD768" s="309">
        <f t="shared" si="89"/>
        <v>45592850.427926414</v>
      </c>
      <c r="AE768" s="309">
        <f t="shared" si="89"/>
        <v>21566603.272835229</v>
      </c>
      <c r="AF768" s="309">
        <f t="shared" si="89"/>
        <v>35989524.321477599</v>
      </c>
      <c r="AG768" s="309">
        <f t="shared" si="89"/>
        <v>27886182.695189871</v>
      </c>
      <c r="AH768" s="309">
        <f t="shared" si="89"/>
        <v>37723238.856665999</v>
      </c>
      <c r="AI768" s="309">
        <f t="shared" si="89"/>
        <v>20892699.616508067</v>
      </c>
      <c r="AJ768" s="309">
        <f t="shared" si="89"/>
        <v>34959460.403642066</v>
      </c>
      <c r="AK768" s="309">
        <f t="shared" si="89"/>
        <v>25649836.742303167</v>
      </c>
      <c r="AL768" s="309">
        <f t="shared" si="89"/>
        <v>16223282.327105822</v>
      </c>
      <c r="AM768" s="309">
        <f t="shared" si="89"/>
        <v>22871972.937477276</v>
      </c>
      <c r="AN768" s="309">
        <f t="shared" si="89"/>
        <v>2336153.4877163055</v>
      </c>
      <c r="AO768" s="309">
        <f t="shared" si="89"/>
        <v>2358193.7072178549</v>
      </c>
      <c r="AP768" s="309">
        <f t="shared" si="89"/>
        <v>2380952.8083635024</v>
      </c>
      <c r="AQ768" s="309">
        <f t="shared" si="89"/>
        <v>2379030.3063954422</v>
      </c>
      <c r="AR768" s="309">
        <f t="shared" si="89"/>
        <v>6280429.5044273827</v>
      </c>
      <c r="AS768" s="309">
        <f t="shared" si="89"/>
        <v>2014128.0452093324</v>
      </c>
      <c r="AT768" s="309">
        <f t="shared" si="89"/>
        <v>2012205.5432412724</v>
      </c>
      <c r="AU768" s="309">
        <f t="shared" si="89"/>
        <v>2010665.8910844123</v>
      </c>
      <c r="AV768" s="309">
        <f t="shared" si="89"/>
        <v>2010568.1154036124</v>
      </c>
      <c r="AW768" s="309">
        <f t="shared" si="89"/>
        <v>2010568.1154036124</v>
      </c>
      <c r="AX768" s="309">
        <f t="shared" si="89"/>
        <v>2010568.1154036124</v>
      </c>
      <c r="AY768" s="309">
        <f t="shared" si="89"/>
        <v>15001504.329230711</v>
      </c>
      <c r="AZ768" s="309">
        <f t="shared" si="89"/>
        <v>17206841.008499999</v>
      </c>
      <c r="BA768" s="309">
        <f t="shared" si="89"/>
        <v>0</v>
      </c>
      <c r="BB768" s="309">
        <f t="shared" si="89"/>
        <v>0</v>
      </c>
      <c r="BC768" s="309">
        <f t="shared" si="89"/>
        <v>0</v>
      </c>
      <c r="BD768" s="309">
        <f t="shared" si="89"/>
        <v>0</v>
      </c>
      <c r="BE768" s="309">
        <f t="shared" si="89"/>
        <v>0</v>
      </c>
      <c r="BF768" s="309">
        <f t="shared" si="89"/>
        <v>0</v>
      </c>
      <c r="BG768" s="309">
        <f t="shared" si="89"/>
        <v>0</v>
      </c>
      <c r="BH768" s="309">
        <f t="shared" si="89"/>
        <v>0</v>
      </c>
      <c r="BI768" s="309">
        <f t="shared" si="89"/>
        <v>0</v>
      </c>
      <c r="BJ768" s="309">
        <f t="shared" si="89"/>
        <v>0</v>
      </c>
      <c r="BK768" s="309">
        <f t="shared" si="89"/>
        <v>0</v>
      </c>
    </row>
    <row r="769" spans="1:63">
      <c r="A769" s="167"/>
      <c r="B769" s="210" t="s">
        <v>28</v>
      </c>
      <c r="C769" s="254"/>
      <c r="D769" s="254"/>
      <c r="E769" s="254"/>
      <c r="F769" s="254"/>
      <c r="G769" s="254"/>
      <c r="H769" s="254"/>
      <c r="I769" s="254"/>
      <c r="J769" s="254"/>
      <c r="K769" s="254"/>
      <c r="L769" s="254"/>
      <c r="M769" s="254"/>
      <c r="N769" s="254"/>
      <c r="O769" s="254"/>
      <c r="P769" s="254"/>
      <c r="Q769" s="254"/>
      <c r="R769" s="254"/>
      <c r="S769" s="254"/>
      <c r="T769" s="254"/>
      <c r="U769" s="254"/>
      <c r="V769" s="255"/>
      <c r="W769" s="259"/>
      <c r="X769" s="259">
        <v>28709008.189999998</v>
      </c>
      <c r="Y769" s="259">
        <v>57748706.833654061</v>
      </c>
      <c r="Z769" s="259">
        <v>24563559.256000001</v>
      </c>
      <c r="AA769" s="259">
        <v>31420021.504117597</v>
      </c>
      <c r="AB769" s="259">
        <v>29214569.40985268</v>
      </c>
      <c r="AC769" s="259">
        <v>40012369.361059196</v>
      </c>
      <c r="AD769" s="259">
        <v>31180974.699999999</v>
      </c>
      <c r="AE769" s="259">
        <v>9464546.7904319987</v>
      </c>
      <c r="AF769" s="259">
        <v>23512761.507895</v>
      </c>
      <c r="AG769" s="259">
        <v>18552175.800000001</v>
      </c>
      <c r="AH769" s="259">
        <v>27953497.5</v>
      </c>
      <c r="AI769" s="259">
        <v>13202863.326345598</v>
      </c>
      <c r="AJ769" s="259">
        <v>27505275.300000001</v>
      </c>
      <c r="AK769" s="259">
        <v>20962539.6337368</v>
      </c>
      <c r="AL769" s="259">
        <v>12051017.199999999</v>
      </c>
      <c r="AM769" s="259">
        <v>20433374.703388799</v>
      </c>
      <c r="AN769" s="259">
        <v>0</v>
      </c>
      <c r="AO769" s="259">
        <v>0</v>
      </c>
      <c r="AP769" s="259">
        <v>0</v>
      </c>
      <c r="AQ769" s="259">
        <v>0</v>
      </c>
      <c r="AR769" s="259">
        <v>6727109.7999999998</v>
      </c>
      <c r="AS769" s="259">
        <v>0</v>
      </c>
      <c r="AT769" s="259">
        <v>0</v>
      </c>
      <c r="AU769" s="259">
        <v>0</v>
      </c>
      <c r="AV769" s="259">
        <v>0</v>
      </c>
      <c r="AW769" s="259">
        <v>0</v>
      </c>
      <c r="AX769" s="259">
        <v>0</v>
      </c>
      <c r="AY769" s="259">
        <v>13599840.924295198</v>
      </c>
      <c r="AZ769" s="259">
        <v>16532638.800000001</v>
      </c>
      <c r="BA769" s="259">
        <v>0</v>
      </c>
      <c r="BB769" s="259">
        <v>0</v>
      </c>
      <c r="BC769" s="259">
        <v>0</v>
      </c>
      <c r="BD769" s="259">
        <v>0</v>
      </c>
      <c r="BE769" s="259">
        <v>0</v>
      </c>
      <c r="BF769" s="259">
        <v>0</v>
      </c>
      <c r="BG769" s="259">
        <v>0</v>
      </c>
      <c r="BH769" s="259">
        <v>0</v>
      </c>
      <c r="BI769" s="259">
        <v>0</v>
      </c>
      <c r="BJ769" s="259">
        <v>0</v>
      </c>
      <c r="BK769" s="259">
        <v>0</v>
      </c>
    </row>
    <row r="770" spans="1:63">
      <c r="A770" s="168">
        <v>44651</v>
      </c>
      <c r="B770" s="213" t="s">
        <v>385</v>
      </c>
      <c r="C770" s="256"/>
      <c r="D770" s="256"/>
      <c r="E770" s="256"/>
      <c r="F770" s="256"/>
      <c r="G770" s="256"/>
      <c r="H770" s="256"/>
      <c r="I770" s="256"/>
      <c r="J770" s="256"/>
      <c r="K770" s="256"/>
      <c r="L770" s="256"/>
      <c r="M770" s="256"/>
      <c r="N770" s="256"/>
      <c r="O770" s="256"/>
      <c r="P770" s="256"/>
      <c r="Q770" s="256"/>
      <c r="R770" s="256"/>
      <c r="S770" s="256"/>
      <c r="T770" s="256"/>
      <c r="U770" s="256"/>
      <c r="V770" s="259"/>
      <c r="W770" s="259"/>
      <c r="X770" s="259">
        <v>19908458.951044396</v>
      </c>
      <c r="Y770" s="259">
        <v>24248531.598357581</v>
      </c>
      <c r="Z770" s="259">
        <v>22846598.901768222</v>
      </c>
      <c r="AA770" s="259">
        <v>20516416.792410113</v>
      </c>
      <c r="AB770" s="259">
        <v>18928113.66874041</v>
      </c>
      <c r="AC770" s="259">
        <v>16889688.224819545</v>
      </c>
      <c r="AD770" s="259">
        <v>15038458.844240833</v>
      </c>
      <c r="AE770" s="259">
        <v>13270664.164243978</v>
      </c>
      <c r="AF770" s="259">
        <v>13095477.882063465</v>
      </c>
      <c r="AG770" s="259">
        <v>11488777.933592668</v>
      </c>
      <c r="AH770" s="259">
        <v>10294477.024088383</v>
      </c>
      <c r="AI770" s="259">
        <v>8446794.1437402256</v>
      </c>
      <c r="AJ770" s="259">
        <v>7970715.0852474999</v>
      </c>
      <c r="AK770" s="259">
        <v>6075550.7872029645</v>
      </c>
      <c r="AL770" s="259">
        <v>4606015.1064978214</v>
      </c>
      <c r="AM770" s="259">
        <v>3910823.5812006318</v>
      </c>
      <c r="AN770" s="259">
        <v>2687989.8237185394</v>
      </c>
      <c r="AO770" s="259">
        <v>2711685.6241876557</v>
      </c>
      <c r="AP770" s="259">
        <v>2736149.9737298973</v>
      </c>
      <c r="AQ770" s="259">
        <v>2734227.4717618371</v>
      </c>
      <c r="AR770" s="259">
        <v>2732304.9697937784</v>
      </c>
      <c r="AS770" s="259">
        <v>2108124.8113257275</v>
      </c>
      <c r="AT770" s="259">
        <v>2106202.3093576673</v>
      </c>
      <c r="AU770" s="259">
        <v>2104662.6572008072</v>
      </c>
      <c r="AV770" s="259">
        <v>2104564.8815200073</v>
      </c>
      <c r="AW770" s="259">
        <v>2104564.8815200073</v>
      </c>
      <c r="AX770" s="259">
        <v>2104564.8815200073</v>
      </c>
      <c r="AY770" s="259">
        <v>2104564.8815200068</v>
      </c>
      <c r="AZ770" s="259">
        <v>1198616.313000001</v>
      </c>
      <c r="BA770" s="259">
        <v>0</v>
      </c>
      <c r="BB770" s="259">
        <v>0</v>
      </c>
      <c r="BC770" s="259">
        <v>0</v>
      </c>
      <c r="BD770" s="259">
        <v>0</v>
      </c>
      <c r="BE770" s="259">
        <v>0</v>
      </c>
      <c r="BF770" s="259">
        <v>0</v>
      </c>
      <c r="BG770" s="259">
        <v>0</v>
      </c>
      <c r="BH770" s="259">
        <v>0</v>
      </c>
      <c r="BI770" s="259">
        <v>0</v>
      </c>
      <c r="BJ770" s="259">
        <v>0</v>
      </c>
      <c r="BK770" s="259">
        <v>0</v>
      </c>
    </row>
    <row r="771" spans="1:63">
      <c r="A771" s="169"/>
      <c r="B771" s="307" t="s">
        <v>29</v>
      </c>
      <c r="C771" s="308"/>
      <c r="D771" s="308"/>
      <c r="E771" s="308"/>
      <c r="F771" s="308"/>
      <c r="G771" s="308"/>
      <c r="H771" s="308"/>
      <c r="I771" s="308"/>
      <c r="J771" s="308"/>
      <c r="K771" s="308"/>
      <c r="L771" s="308"/>
      <c r="M771" s="308"/>
      <c r="N771" s="308"/>
      <c r="O771" s="308"/>
      <c r="P771" s="308"/>
      <c r="Q771" s="308"/>
      <c r="R771" s="308"/>
      <c r="S771" s="308"/>
      <c r="T771" s="308"/>
      <c r="U771" s="308"/>
      <c r="V771" s="309"/>
      <c r="W771" s="309"/>
      <c r="X771" s="309">
        <f t="shared" ref="X771:AL771" si="90">SUM(X769:X770)</f>
        <v>48617467.141044393</v>
      </c>
      <c r="Y771" s="309">
        <f t="shared" si="90"/>
        <v>81997238.432011634</v>
      </c>
      <c r="Z771" s="309">
        <f t="shared" si="90"/>
        <v>47410158.15776822</v>
      </c>
      <c r="AA771" s="309">
        <f t="shared" si="90"/>
        <v>51936438.296527714</v>
      </c>
      <c r="AB771" s="309">
        <f t="shared" si="90"/>
        <v>48142683.07859309</v>
      </c>
      <c r="AC771" s="309">
        <f t="shared" si="90"/>
        <v>56902057.585878745</v>
      </c>
      <c r="AD771" s="309">
        <f t="shared" si="90"/>
        <v>46219433.544240832</v>
      </c>
      <c r="AE771" s="309">
        <f t="shared" si="90"/>
        <v>22735210.954675976</v>
      </c>
      <c r="AF771" s="309">
        <f t="shared" si="90"/>
        <v>36608239.389958464</v>
      </c>
      <c r="AG771" s="309">
        <f t="shared" si="90"/>
        <v>30040953.733592667</v>
      </c>
      <c r="AH771" s="309">
        <f t="shared" si="90"/>
        <v>38247974.524088383</v>
      </c>
      <c r="AI771" s="309">
        <f t="shared" si="90"/>
        <v>21649657.470085822</v>
      </c>
      <c r="AJ771" s="309">
        <f t="shared" si="90"/>
        <v>35475990.385247499</v>
      </c>
      <c r="AK771" s="309">
        <f t="shared" si="90"/>
        <v>27038090.420939766</v>
      </c>
      <c r="AL771" s="309">
        <f t="shared" si="90"/>
        <v>16657032.30649782</v>
      </c>
      <c r="AM771" s="309">
        <f>SUM(AM769:AM770)</f>
        <v>24344198.284589432</v>
      </c>
      <c r="AN771" s="309">
        <f t="shared" ref="AN771:BA771" si="91">SUM(AN769:AN770)</f>
        <v>2687989.8237185394</v>
      </c>
      <c r="AO771" s="309">
        <f t="shared" si="91"/>
        <v>2711685.6241876557</v>
      </c>
      <c r="AP771" s="309">
        <f t="shared" si="91"/>
        <v>2736149.9737298973</v>
      </c>
      <c r="AQ771" s="309">
        <f t="shared" si="91"/>
        <v>2734227.4717618371</v>
      </c>
      <c r="AR771" s="309">
        <f t="shared" si="91"/>
        <v>9459414.7697937787</v>
      </c>
      <c r="AS771" s="309">
        <f t="shared" si="91"/>
        <v>2108124.8113257275</v>
      </c>
      <c r="AT771" s="309">
        <f t="shared" si="91"/>
        <v>2106202.3093576673</v>
      </c>
      <c r="AU771" s="309">
        <f t="shared" si="91"/>
        <v>2104662.6572008072</v>
      </c>
      <c r="AV771" s="309">
        <f t="shared" si="91"/>
        <v>2104564.8815200073</v>
      </c>
      <c r="AW771" s="309">
        <f t="shared" si="91"/>
        <v>2104564.8815200073</v>
      </c>
      <c r="AX771" s="309">
        <f t="shared" si="91"/>
        <v>2104564.8815200073</v>
      </c>
      <c r="AY771" s="309">
        <f t="shared" si="91"/>
        <v>15704405.805815205</v>
      </c>
      <c r="AZ771" s="309">
        <f t="shared" si="91"/>
        <v>17731255.113000002</v>
      </c>
      <c r="BA771" s="309">
        <f t="shared" si="91"/>
        <v>0</v>
      </c>
      <c r="BB771" s="309">
        <f t="shared" ref="BB771:BK771" si="92">SUM(BB769:BB770)</f>
        <v>0</v>
      </c>
      <c r="BC771" s="309">
        <f t="shared" si="92"/>
        <v>0</v>
      </c>
      <c r="BD771" s="309">
        <f t="shared" si="92"/>
        <v>0</v>
      </c>
      <c r="BE771" s="309">
        <f t="shared" si="92"/>
        <v>0</v>
      </c>
      <c r="BF771" s="309">
        <f t="shared" si="92"/>
        <v>0</v>
      </c>
      <c r="BG771" s="309">
        <f t="shared" si="92"/>
        <v>0</v>
      </c>
      <c r="BH771" s="309">
        <f t="shared" si="92"/>
        <v>0</v>
      </c>
      <c r="BI771" s="309">
        <f t="shared" si="92"/>
        <v>0</v>
      </c>
      <c r="BJ771" s="309">
        <f t="shared" si="92"/>
        <v>0</v>
      </c>
      <c r="BK771" s="309">
        <f t="shared" si="92"/>
        <v>0</v>
      </c>
    </row>
    <row r="772" spans="1:63">
      <c r="A772" s="167"/>
      <c r="B772" s="210" t="s">
        <v>28</v>
      </c>
      <c r="C772" s="254"/>
      <c r="D772" s="254"/>
      <c r="E772" s="254"/>
      <c r="F772" s="254"/>
      <c r="G772" s="254"/>
      <c r="H772" s="254"/>
      <c r="I772" s="254"/>
      <c r="J772" s="254"/>
      <c r="K772" s="254"/>
      <c r="L772" s="254"/>
      <c r="M772" s="254"/>
      <c r="N772" s="254"/>
      <c r="O772" s="254"/>
      <c r="P772" s="254"/>
      <c r="Q772" s="254"/>
      <c r="R772" s="254"/>
      <c r="S772" s="254"/>
      <c r="T772" s="254"/>
      <c r="U772" s="254"/>
      <c r="V772" s="255"/>
      <c r="W772" s="259"/>
      <c r="X772" s="259">
        <v>28708989.172999993</v>
      </c>
      <c r="Y772" s="259">
        <v>57389151.473208368</v>
      </c>
      <c r="Z772" s="259">
        <v>24563559.256000001</v>
      </c>
      <c r="AA772" s="259">
        <v>31567727.661484096</v>
      </c>
      <c r="AB772" s="259">
        <v>29227845.727535531</v>
      </c>
      <c r="AC772" s="259">
        <v>40268466.785252191</v>
      </c>
      <c r="AD772" s="259">
        <v>31180974.699999999</v>
      </c>
      <c r="AE772" s="259">
        <v>9849159.5105487984</v>
      </c>
      <c r="AF772" s="259">
        <v>23512761.507895</v>
      </c>
      <c r="AG772" s="259">
        <v>19473408.800000001</v>
      </c>
      <c r="AH772" s="259">
        <v>27953497.5</v>
      </c>
      <c r="AI772" s="259">
        <v>13372926.555519598</v>
      </c>
      <c r="AJ772" s="259">
        <v>27505275.300000001</v>
      </c>
      <c r="AK772" s="259">
        <v>22015600.6801963</v>
      </c>
      <c r="AL772" s="259">
        <v>12051017.199999999</v>
      </c>
      <c r="AM772" s="259">
        <v>21697233.549873497</v>
      </c>
      <c r="AN772" s="259">
        <v>0</v>
      </c>
      <c r="AO772" s="259">
        <v>0</v>
      </c>
      <c r="AP772" s="259">
        <v>0</v>
      </c>
      <c r="AQ772" s="259">
        <v>0</v>
      </c>
      <c r="AR772" s="259">
        <v>8544746.4000000004</v>
      </c>
      <c r="AS772" s="259">
        <v>0</v>
      </c>
      <c r="AT772" s="259">
        <v>0</v>
      </c>
      <c r="AU772" s="259">
        <v>0</v>
      </c>
      <c r="AV772" s="259">
        <v>0</v>
      </c>
      <c r="AW772" s="259">
        <v>0</v>
      </c>
      <c r="AX772" s="259">
        <v>0</v>
      </c>
      <c r="AY772" s="259">
        <v>14156613.1099093</v>
      </c>
      <c r="AZ772" s="259">
        <v>16635249.4</v>
      </c>
      <c r="BA772" s="259">
        <v>0</v>
      </c>
      <c r="BB772" s="259">
        <v>0</v>
      </c>
      <c r="BC772" s="259">
        <v>0</v>
      </c>
      <c r="BD772" s="259">
        <v>0</v>
      </c>
      <c r="BE772" s="259">
        <v>0</v>
      </c>
      <c r="BF772" s="259">
        <v>0</v>
      </c>
      <c r="BG772" s="259">
        <v>0</v>
      </c>
      <c r="BH772" s="259">
        <v>0</v>
      </c>
      <c r="BI772" s="259">
        <v>0</v>
      </c>
      <c r="BJ772" s="259">
        <v>0</v>
      </c>
      <c r="BK772" s="259">
        <v>0</v>
      </c>
    </row>
    <row r="773" spans="1:63">
      <c r="A773" s="168">
        <v>44681</v>
      </c>
      <c r="B773" s="213" t="s">
        <v>385</v>
      </c>
      <c r="C773" s="256"/>
      <c r="D773" s="256"/>
      <c r="E773" s="256"/>
      <c r="F773" s="256"/>
      <c r="G773" s="256"/>
      <c r="H773" s="256"/>
      <c r="I773" s="256"/>
      <c r="J773" s="256"/>
      <c r="K773" s="256"/>
      <c r="L773" s="256"/>
      <c r="M773" s="256"/>
      <c r="N773" s="256"/>
      <c r="O773" s="256"/>
      <c r="P773" s="256"/>
      <c r="Q773" s="256"/>
      <c r="R773" s="256"/>
      <c r="S773" s="256"/>
      <c r="T773" s="256"/>
      <c r="U773" s="256"/>
      <c r="V773" s="259"/>
      <c r="W773" s="259"/>
      <c r="X773" s="259">
        <v>16981793.473185342</v>
      </c>
      <c r="Y773" s="259">
        <v>24176246.292190008</v>
      </c>
      <c r="Z773" s="259">
        <v>23190416.93504297</v>
      </c>
      <c r="AA773" s="259">
        <v>20745581.885835506</v>
      </c>
      <c r="AB773" s="259">
        <v>19278250.75113399</v>
      </c>
      <c r="AC773" s="259">
        <v>17038941.836685728</v>
      </c>
      <c r="AD773" s="259">
        <v>15395299.805844579</v>
      </c>
      <c r="AE773" s="259">
        <v>13531145.87401904</v>
      </c>
      <c r="AF773" s="259">
        <v>13451717.450412797</v>
      </c>
      <c r="AG773" s="259">
        <v>11848502.980072474</v>
      </c>
      <c r="AH773" s="259">
        <v>10593305.803042583</v>
      </c>
      <c r="AI773" s="259">
        <v>8613729.6537374556</v>
      </c>
      <c r="AJ773" s="259">
        <v>8277050.2840114143</v>
      </c>
      <c r="AK773" s="259">
        <v>6162587.9557429915</v>
      </c>
      <c r="AL773" s="259">
        <v>4862355.9564082967</v>
      </c>
      <c r="AM773" s="259">
        <v>3949594.5640424215</v>
      </c>
      <c r="AN773" s="259">
        <v>2887216.4205452343</v>
      </c>
      <c r="AO773" s="259">
        <v>2911621.8992991513</v>
      </c>
      <c r="AP773" s="259">
        <v>2936817.2174747377</v>
      </c>
      <c r="AQ773" s="259">
        <v>2934894.7155066775</v>
      </c>
      <c r="AR773" s="259">
        <v>2932972.2135386183</v>
      </c>
      <c r="AS773" s="259">
        <v>2140660.669570568</v>
      </c>
      <c r="AT773" s="259">
        <v>2138738.1676025079</v>
      </c>
      <c r="AU773" s="259">
        <v>2137198.5154456478</v>
      </c>
      <c r="AV773" s="259">
        <v>2137100.7397648478</v>
      </c>
      <c r="AW773" s="259">
        <v>2137100.7397648478</v>
      </c>
      <c r="AX773" s="259">
        <v>2137100.7397648478</v>
      </c>
      <c r="AY773" s="259">
        <v>1993563.7585300468</v>
      </c>
      <c r="AZ773" s="259">
        <v>1206055.5814999994</v>
      </c>
      <c r="BA773" s="259">
        <v>0</v>
      </c>
      <c r="BB773" s="259">
        <v>0</v>
      </c>
      <c r="BC773" s="259">
        <v>0</v>
      </c>
      <c r="BD773" s="259">
        <v>0</v>
      </c>
      <c r="BE773" s="259">
        <v>0</v>
      </c>
      <c r="BF773" s="259">
        <v>0</v>
      </c>
      <c r="BG773" s="259">
        <v>0</v>
      </c>
      <c r="BH773" s="259">
        <v>0</v>
      </c>
      <c r="BI773" s="259">
        <v>0</v>
      </c>
      <c r="BJ773" s="259">
        <v>0</v>
      </c>
      <c r="BK773" s="259">
        <v>0</v>
      </c>
    </row>
    <row r="774" spans="1:63">
      <c r="A774" s="169"/>
      <c r="B774" s="307" t="s">
        <v>29</v>
      </c>
      <c r="C774" s="308"/>
      <c r="D774" s="308"/>
      <c r="E774" s="308"/>
      <c r="F774" s="308"/>
      <c r="G774" s="308"/>
      <c r="H774" s="308"/>
      <c r="I774" s="308"/>
      <c r="J774" s="308"/>
      <c r="K774" s="308"/>
      <c r="L774" s="308"/>
      <c r="M774" s="308"/>
      <c r="N774" s="308"/>
      <c r="O774" s="308"/>
      <c r="P774" s="308"/>
      <c r="Q774" s="308"/>
      <c r="R774" s="308"/>
      <c r="S774" s="308"/>
      <c r="T774" s="308"/>
      <c r="U774" s="308"/>
      <c r="V774" s="309"/>
      <c r="W774" s="309"/>
      <c r="X774" s="309">
        <f>+SUM(X772:X773)</f>
        <v>45690782.646185338</v>
      </c>
      <c r="Y774" s="309">
        <f t="shared" ref="Y774:AZ774" si="93">+SUM(Y772:Y773)</f>
        <v>81565397.765398383</v>
      </c>
      <c r="Z774" s="309">
        <f t="shared" si="93"/>
        <v>47753976.191042975</v>
      </c>
      <c r="AA774" s="309">
        <f t="shared" si="93"/>
        <v>52313309.547319606</v>
      </c>
      <c r="AB774" s="309">
        <f t="shared" si="93"/>
        <v>48506096.478669524</v>
      </c>
      <c r="AC774" s="309">
        <f t="shared" si="93"/>
        <v>57307408.621937916</v>
      </c>
      <c r="AD774" s="309">
        <f t="shared" si="93"/>
        <v>46576274.505844578</v>
      </c>
      <c r="AE774" s="309">
        <f t="shared" si="93"/>
        <v>23380305.384567838</v>
      </c>
      <c r="AF774" s="309">
        <f t="shared" si="93"/>
        <v>36964478.958307795</v>
      </c>
      <c r="AG774" s="309">
        <f t="shared" si="93"/>
        <v>31321911.780072473</v>
      </c>
      <c r="AH774" s="309">
        <f t="shared" si="93"/>
        <v>38546803.303042583</v>
      </c>
      <c r="AI774" s="309">
        <f t="shared" si="93"/>
        <v>21986656.209257051</v>
      </c>
      <c r="AJ774" s="309">
        <f t="shared" si="93"/>
        <v>35782325.584011413</v>
      </c>
      <c r="AK774" s="309">
        <f t="shared" si="93"/>
        <v>28178188.635939293</v>
      </c>
      <c r="AL774" s="309">
        <f t="shared" si="93"/>
        <v>16913373.156408295</v>
      </c>
      <c r="AM774" s="309">
        <f t="shared" si="93"/>
        <v>25646828.11391592</v>
      </c>
      <c r="AN774" s="309">
        <f t="shared" si="93"/>
        <v>2887216.4205452343</v>
      </c>
      <c r="AO774" s="309">
        <f t="shared" si="93"/>
        <v>2911621.8992991513</v>
      </c>
      <c r="AP774" s="309">
        <f t="shared" si="93"/>
        <v>2936817.2174747377</v>
      </c>
      <c r="AQ774" s="309">
        <f t="shared" si="93"/>
        <v>2934894.7155066775</v>
      </c>
      <c r="AR774" s="309">
        <f t="shared" si="93"/>
        <v>11477718.613538619</v>
      </c>
      <c r="AS774" s="309">
        <f t="shared" si="93"/>
        <v>2140660.669570568</v>
      </c>
      <c r="AT774" s="309">
        <f t="shared" si="93"/>
        <v>2138738.1676025079</v>
      </c>
      <c r="AU774" s="309">
        <f t="shared" si="93"/>
        <v>2137198.5154456478</v>
      </c>
      <c r="AV774" s="309">
        <f t="shared" si="93"/>
        <v>2137100.7397648478</v>
      </c>
      <c r="AW774" s="309">
        <f t="shared" si="93"/>
        <v>2137100.7397648478</v>
      </c>
      <c r="AX774" s="309">
        <f t="shared" si="93"/>
        <v>2137100.7397648478</v>
      </c>
      <c r="AY774" s="309">
        <f t="shared" si="93"/>
        <v>16150176.868439347</v>
      </c>
      <c r="AZ774" s="309">
        <f t="shared" si="93"/>
        <v>17841304.9815</v>
      </c>
      <c r="BA774" s="309">
        <f t="shared" ref="BA774:BK774" si="94">+SUM(BA772:BA773)</f>
        <v>0</v>
      </c>
      <c r="BB774" s="309">
        <f t="shared" si="94"/>
        <v>0</v>
      </c>
      <c r="BC774" s="309">
        <f t="shared" si="94"/>
        <v>0</v>
      </c>
      <c r="BD774" s="309">
        <f t="shared" si="94"/>
        <v>0</v>
      </c>
      <c r="BE774" s="309">
        <f t="shared" si="94"/>
        <v>0</v>
      </c>
      <c r="BF774" s="309">
        <f t="shared" si="94"/>
        <v>0</v>
      </c>
      <c r="BG774" s="309">
        <f t="shared" si="94"/>
        <v>0</v>
      </c>
      <c r="BH774" s="309">
        <f t="shared" si="94"/>
        <v>0</v>
      </c>
      <c r="BI774" s="309">
        <f t="shared" si="94"/>
        <v>0</v>
      </c>
      <c r="BJ774" s="309">
        <f t="shared" si="94"/>
        <v>0</v>
      </c>
      <c r="BK774" s="309">
        <f t="shared" si="94"/>
        <v>0</v>
      </c>
    </row>
    <row r="775" spans="1:63">
      <c r="A775" s="167"/>
      <c r="B775" s="210" t="s">
        <v>28</v>
      </c>
      <c r="C775" s="254"/>
      <c r="D775" s="254"/>
      <c r="E775" s="254"/>
      <c r="F775" s="254"/>
      <c r="G775" s="254"/>
      <c r="H775" s="254"/>
      <c r="I775" s="254"/>
      <c r="J775" s="254"/>
      <c r="K775" s="254"/>
      <c r="L775" s="254"/>
      <c r="M775" s="254"/>
      <c r="N775" s="254"/>
      <c r="O775" s="254"/>
      <c r="P775" s="254"/>
      <c r="Q775" s="254"/>
      <c r="R775" s="254"/>
      <c r="S775" s="254"/>
      <c r="T775" s="254"/>
      <c r="U775" s="254"/>
      <c r="V775" s="255"/>
      <c r="W775" s="259"/>
      <c r="X775" s="259">
        <v>20711345.44382</v>
      </c>
      <c r="Y775" s="259">
        <v>61387748.383378938</v>
      </c>
      <c r="Z775" s="259">
        <v>24563559.256000001</v>
      </c>
      <c r="AA775" s="259">
        <v>35153068.490121402</v>
      </c>
      <c r="AB775" s="259">
        <v>29691185.981117528</v>
      </c>
      <c r="AC775" s="259">
        <v>40499090.883738793</v>
      </c>
      <c r="AD775" s="259">
        <v>31180974.699999999</v>
      </c>
      <c r="AE775" s="259">
        <v>10407863.8473136</v>
      </c>
      <c r="AF775" s="259">
        <v>23512761.507895</v>
      </c>
      <c r="AG775" s="259">
        <v>20825281.200000003</v>
      </c>
      <c r="AH775" s="259">
        <v>27953497.5</v>
      </c>
      <c r="AI775" s="259">
        <v>13526074.0502184</v>
      </c>
      <c r="AJ775" s="259">
        <v>27505275.300000001</v>
      </c>
      <c r="AK775" s="259">
        <v>24049178.285505999</v>
      </c>
      <c r="AL775" s="259">
        <v>12051017.199999999</v>
      </c>
      <c r="AM775" s="259">
        <v>22242631.697917402</v>
      </c>
      <c r="AN775" s="259">
        <v>0</v>
      </c>
      <c r="AO775" s="259">
        <v>0</v>
      </c>
      <c r="AP775" s="259">
        <v>0</v>
      </c>
      <c r="AQ775" s="259">
        <v>0</v>
      </c>
      <c r="AR775" s="259">
        <v>10115888.5</v>
      </c>
      <c r="AS775" s="259">
        <v>0</v>
      </c>
      <c r="AT775" s="259">
        <v>0</v>
      </c>
      <c r="AU775" s="259">
        <v>0</v>
      </c>
      <c r="AV775" s="259">
        <v>0</v>
      </c>
      <c r="AW775" s="259">
        <v>0</v>
      </c>
      <c r="AX775" s="259">
        <v>0</v>
      </c>
      <c r="AY775" s="259">
        <v>14557918.0205778</v>
      </c>
      <c r="AZ775" s="259">
        <v>16864118.5</v>
      </c>
      <c r="BA775" s="259">
        <v>0</v>
      </c>
      <c r="BB775" s="259">
        <v>0</v>
      </c>
      <c r="BC775" s="259">
        <v>0</v>
      </c>
      <c r="BD775" s="259">
        <v>0</v>
      </c>
      <c r="BE775" s="259">
        <v>0</v>
      </c>
      <c r="BF775" s="259">
        <v>0</v>
      </c>
      <c r="BG775" s="259">
        <v>0</v>
      </c>
      <c r="BH775" s="259">
        <v>0</v>
      </c>
      <c r="BI775" s="259">
        <v>0</v>
      </c>
      <c r="BJ775" s="259">
        <v>0</v>
      </c>
      <c r="BK775" s="259">
        <v>0</v>
      </c>
    </row>
    <row r="776" spans="1:63">
      <c r="A776" s="168">
        <v>44712</v>
      </c>
      <c r="B776" s="213" t="s">
        <v>385</v>
      </c>
      <c r="C776" s="256"/>
      <c r="D776" s="256"/>
      <c r="E776" s="256"/>
      <c r="F776" s="256"/>
      <c r="G776" s="256"/>
      <c r="H776" s="256"/>
      <c r="I776" s="256"/>
      <c r="J776" s="256"/>
      <c r="K776" s="256"/>
      <c r="L776" s="256"/>
      <c r="M776" s="256"/>
      <c r="N776" s="256"/>
      <c r="O776" s="256"/>
      <c r="P776" s="256"/>
      <c r="Q776" s="256"/>
      <c r="R776" s="256"/>
      <c r="S776" s="256"/>
      <c r="T776" s="256"/>
      <c r="U776" s="256"/>
      <c r="V776" s="259"/>
      <c r="W776" s="259"/>
      <c r="X776" s="259">
        <v>15325038.18610095</v>
      </c>
      <c r="Y776" s="259">
        <v>24911994.06927599</v>
      </c>
      <c r="Z776" s="259">
        <v>23962891.758832399</v>
      </c>
      <c r="AA776" s="259">
        <v>21644708.728803914</v>
      </c>
      <c r="AB776" s="259">
        <v>19908079.999657754</v>
      </c>
      <c r="AC776" s="259">
        <v>17841693.90361426</v>
      </c>
      <c r="AD776" s="259">
        <v>15969109.68405054</v>
      </c>
      <c r="AE776" s="259">
        <v>14209298.87056105</v>
      </c>
      <c r="AF776" s="259">
        <v>14010753.695373533</v>
      </c>
      <c r="AG776" s="259">
        <v>12411811.736371655</v>
      </c>
      <c r="AH776" s="259">
        <v>11066501.864268685</v>
      </c>
      <c r="AI776" s="259">
        <v>9228833.060942132</v>
      </c>
      <c r="AJ776" s="259">
        <v>8742508.9504214525</v>
      </c>
      <c r="AK776" s="259">
        <v>6858370.8380936412</v>
      </c>
      <c r="AL776" s="259">
        <v>5147601.3208464412</v>
      </c>
      <c r="AM776" s="259">
        <v>4456618.2337195212</v>
      </c>
      <c r="AN776" s="259">
        <v>3107951.8316923366</v>
      </c>
      <c r="AO776" s="259">
        <v>3132087.3697778177</v>
      </c>
      <c r="AP776" s="259">
        <v>3157055.2876911159</v>
      </c>
      <c r="AQ776" s="259">
        <v>3153444.8315160559</v>
      </c>
      <c r="AR776" s="259">
        <v>3149834.3753410256</v>
      </c>
      <c r="AS776" s="259">
        <v>2210504.2329159756</v>
      </c>
      <c r="AT776" s="259">
        <v>2206893.7767409156</v>
      </c>
      <c r="AU776" s="259">
        <v>2204012.6847797753</v>
      </c>
      <c r="AV776" s="259">
        <v>2203839.4349499354</v>
      </c>
      <c r="AW776" s="259">
        <v>2203839.4349499354</v>
      </c>
      <c r="AX776" s="259">
        <v>2203839.4349499354</v>
      </c>
      <c r="AY776" s="259">
        <v>2203839.4349499345</v>
      </c>
      <c r="AZ776" s="259">
        <v>1222648.5912499987</v>
      </c>
      <c r="BA776" s="259">
        <v>0</v>
      </c>
      <c r="BB776" s="259">
        <v>0</v>
      </c>
      <c r="BC776" s="259">
        <v>0</v>
      </c>
      <c r="BD776" s="259">
        <v>0</v>
      </c>
      <c r="BE776" s="259">
        <v>0</v>
      </c>
      <c r="BF776" s="259">
        <v>0</v>
      </c>
      <c r="BG776" s="259">
        <v>0</v>
      </c>
      <c r="BH776" s="259">
        <v>0</v>
      </c>
      <c r="BI776" s="259">
        <v>0</v>
      </c>
      <c r="BJ776" s="259">
        <v>0</v>
      </c>
      <c r="BK776" s="259">
        <v>0</v>
      </c>
    </row>
    <row r="777" spans="1:63">
      <c r="A777" s="169"/>
      <c r="B777" s="307" t="s">
        <v>29</v>
      </c>
      <c r="C777" s="308"/>
      <c r="D777" s="308"/>
      <c r="E777" s="308"/>
      <c r="F777" s="308"/>
      <c r="G777" s="308"/>
      <c r="H777" s="308"/>
      <c r="I777" s="308"/>
      <c r="J777" s="308"/>
      <c r="K777" s="308"/>
      <c r="L777" s="308"/>
      <c r="M777" s="308"/>
      <c r="N777" s="308"/>
      <c r="O777" s="308"/>
      <c r="P777" s="308"/>
      <c r="Q777" s="308"/>
      <c r="R777" s="308"/>
      <c r="S777" s="308"/>
      <c r="T777" s="308"/>
      <c r="U777" s="308"/>
      <c r="V777" s="309"/>
      <c r="W777" s="309"/>
      <c r="X777" s="309">
        <f>+SUM(X775:X776)</f>
        <v>36036383.629920952</v>
      </c>
      <c r="Y777" s="309">
        <f t="shared" ref="Y777:BK777" si="95">+SUM(Y775:Y776)</f>
        <v>86299742.452654928</v>
      </c>
      <c r="Z777" s="309">
        <f t="shared" si="95"/>
        <v>48526451.0148324</v>
      </c>
      <c r="AA777" s="309">
        <f t="shared" si="95"/>
        <v>56797777.218925312</v>
      </c>
      <c r="AB777" s="309">
        <f t="shared" si="95"/>
        <v>49599265.980775282</v>
      </c>
      <c r="AC777" s="309">
        <f t="shared" si="95"/>
        <v>58340784.787353054</v>
      </c>
      <c r="AD777" s="309">
        <f t="shared" si="95"/>
        <v>47150084.384050541</v>
      </c>
      <c r="AE777" s="309">
        <f t="shared" si="95"/>
        <v>24617162.71787465</v>
      </c>
      <c r="AF777" s="309">
        <f t="shared" si="95"/>
        <v>37523515.203268535</v>
      </c>
      <c r="AG777" s="309">
        <f t="shared" si="95"/>
        <v>33237092.936371658</v>
      </c>
      <c r="AH777" s="309">
        <f t="shared" si="95"/>
        <v>39019999.364268683</v>
      </c>
      <c r="AI777" s="309">
        <f t="shared" si="95"/>
        <v>22754907.111160532</v>
      </c>
      <c r="AJ777" s="309">
        <f t="shared" si="95"/>
        <v>36247784.25042145</v>
      </c>
      <c r="AK777" s="309">
        <f t="shared" si="95"/>
        <v>30907549.123599641</v>
      </c>
      <c r="AL777" s="309">
        <f t="shared" si="95"/>
        <v>17198618.520846441</v>
      </c>
      <c r="AM777" s="309">
        <f t="shared" si="95"/>
        <v>26699249.931636922</v>
      </c>
      <c r="AN777" s="309">
        <f t="shared" si="95"/>
        <v>3107951.8316923366</v>
      </c>
      <c r="AO777" s="309">
        <f t="shared" si="95"/>
        <v>3132087.3697778177</v>
      </c>
      <c r="AP777" s="309">
        <f t="shared" si="95"/>
        <v>3157055.2876911159</v>
      </c>
      <c r="AQ777" s="309">
        <f t="shared" si="95"/>
        <v>3153444.8315160559</v>
      </c>
      <c r="AR777" s="309">
        <f t="shared" si="95"/>
        <v>13265722.875341026</v>
      </c>
      <c r="AS777" s="309">
        <f t="shared" si="95"/>
        <v>2210504.2329159756</v>
      </c>
      <c r="AT777" s="309">
        <f t="shared" si="95"/>
        <v>2206893.7767409156</v>
      </c>
      <c r="AU777" s="309">
        <f t="shared" si="95"/>
        <v>2204012.6847797753</v>
      </c>
      <c r="AV777" s="309">
        <f t="shared" si="95"/>
        <v>2203839.4349499354</v>
      </c>
      <c r="AW777" s="309">
        <f t="shared" si="95"/>
        <v>2203839.4349499354</v>
      </c>
      <c r="AX777" s="309">
        <f t="shared" si="95"/>
        <v>2203839.4349499354</v>
      </c>
      <c r="AY777" s="309">
        <f t="shared" si="95"/>
        <v>16761757.455527734</v>
      </c>
      <c r="AZ777" s="309">
        <f t="shared" si="95"/>
        <v>18086767.091249999</v>
      </c>
      <c r="BA777" s="309">
        <f t="shared" si="95"/>
        <v>0</v>
      </c>
      <c r="BB777" s="309">
        <f t="shared" si="95"/>
        <v>0</v>
      </c>
      <c r="BC777" s="309">
        <f t="shared" si="95"/>
        <v>0</v>
      </c>
      <c r="BD777" s="309">
        <f t="shared" si="95"/>
        <v>0</v>
      </c>
      <c r="BE777" s="309">
        <f t="shared" si="95"/>
        <v>0</v>
      </c>
      <c r="BF777" s="309">
        <f t="shared" si="95"/>
        <v>0</v>
      </c>
      <c r="BG777" s="309">
        <f t="shared" si="95"/>
        <v>0</v>
      </c>
      <c r="BH777" s="309">
        <f t="shared" si="95"/>
        <v>0</v>
      </c>
      <c r="BI777" s="309">
        <f t="shared" si="95"/>
        <v>0</v>
      </c>
      <c r="BJ777" s="309">
        <f t="shared" si="95"/>
        <v>0</v>
      </c>
      <c r="BK777" s="309">
        <f t="shared" si="95"/>
        <v>0</v>
      </c>
    </row>
    <row r="778" spans="1:63">
      <c r="A778" s="167"/>
      <c r="B778" s="210" t="s">
        <v>28</v>
      </c>
      <c r="C778" s="254"/>
      <c r="D778" s="254"/>
      <c r="E778" s="254"/>
      <c r="F778" s="254"/>
      <c r="G778" s="254"/>
      <c r="H778" s="254"/>
      <c r="I778" s="254"/>
      <c r="J778" s="254"/>
      <c r="K778" s="254"/>
      <c r="L778" s="254"/>
      <c r="M778" s="254"/>
      <c r="N778" s="254"/>
      <c r="O778" s="254"/>
      <c r="P778" s="254"/>
      <c r="Q778" s="254"/>
      <c r="R778" s="254"/>
      <c r="S778" s="254"/>
      <c r="T778" s="254"/>
      <c r="U778" s="254"/>
      <c r="V778" s="255"/>
      <c r="W778" s="259"/>
      <c r="X778" s="259">
        <v>7236803.6753559988</v>
      </c>
      <c r="Y778" s="259">
        <v>59772240.595645562</v>
      </c>
      <c r="Z778" s="259">
        <v>24563559.256000001</v>
      </c>
      <c r="AA778" s="259">
        <v>36378729.722025394</v>
      </c>
      <c r="AB778" s="259">
        <v>29861190.623660531</v>
      </c>
      <c r="AC778" s="259">
        <v>40707775.182106793</v>
      </c>
      <c r="AD778" s="259">
        <v>31180974.699999999</v>
      </c>
      <c r="AE778" s="259">
        <v>10822736.096861199</v>
      </c>
      <c r="AF778" s="259">
        <v>23512761.507895</v>
      </c>
      <c r="AG778" s="259">
        <v>23747939.600000001</v>
      </c>
      <c r="AH778" s="259">
        <v>27953497.5</v>
      </c>
      <c r="AI778" s="259">
        <v>13664652.272042397</v>
      </c>
      <c r="AJ778" s="259">
        <v>27505275.300000001</v>
      </c>
      <c r="AK778" s="259">
        <v>24754772.976665996</v>
      </c>
      <c r="AL778" s="259">
        <v>12051017.199999999</v>
      </c>
      <c r="AM778" s="259">
        <v>23429507.017988399</v>
      </c>
      <c r="AN778" s="259">
        <v>0</v>
      </c>
      <c r="AO778" s="259">
        <v>0</v>
      </c>
      <c r="AP778" s="259">
        <v>0</v>
      </c>
      <c r="AQ778" s="259">
        <v>0</v>
      </c>
      <c r="AR778" s="259">
        <v>12285329.9</v>
      </c>
      <c r="AS778" s="259">
        <v>0</v>
      </c>
      <c r="AT778" s="259">
        <v>0</v>
      </c>
      <c r="AU778" s="259">
        <v>0</v>
      </c>
      <c r="AV778" s="259">
        <v>0</v>
      </c>
      <c r="AW778" s="259">
        <v>0</v>
      </c>
      <c r="AX778" s="259">
        <v>0</v>
      </c>
      <c r="AY778" s="259">
        <v>15089960.795077799</v>
      </c>
      <c r="AZ778" s="259">
        <v>17337809.600000001</v>
      </c>
      <c r="BA778" s="259">
        <v>0</v>
      </c>
      <c r="BB778" s="259">
        <v>0</v>
      </c>
      <c r="BC778" s="259">
        <v>0</v>
      </c>
      <c r="BD778" s="259">
        <v>0</v>
      </c>
      <c r="BE778" s="259">
        <v>0</v>
      </c>
      <c r="BF778" s="259">
        <v>0</v>
      </c>
      <c r="BG778" s="259">
        <v>0</v>
      </c>
      <c r="BH778" s="259">
        <v>0</v>
      </c>
      <c r="BI778" s="259">
        <v>0</v>
      </c>
      <c r="BJ778" s="259">
        <v>0</v>
      </c>
      <c r="BK778" s="259">
        <v>0</v>
      </c>
    </row>
    <row r="779" spans="1:63">
      <c r="A779" s="168">
        <v>44742</v>
      </c>
      <c r="B779" s="213" t="s">
        <v>385</v>
      </c>
      <c r="C779" s="256"/>
      <c r="D779" s="256"/>
      <c r="E779" s="256"/>
      <c r="F779" s="256"/>
      <c r="G779" s="256"/>
      <c r="H779" s="256"/>
      <c r="I779" s="256"/>
      <c r="J779" s="256"/>
      <c r="K779" s="256"/>
      <c r="L779" s="256"/>
      <c r="M779" s="256"/>
      <c r="N779" s="256"/>
      <c r="O779" s="256"/>
      <c r="P779" s="256"/>
      <c r="Q779" s="256"/>
      <c r="R779" s="256"/>
      <c r="S779" s="256"/>
      <c r="T779" s="256"/>
      <c r="U779" s="256"/>
      <c r="V779" s="259"/>
      <c r="W779" s="259"/>
      <c r="X779" s="259">
        <v>12862274.148486363</v>
      </c>
      <c r="Y779" s="259">
        <v>26186779.531050865</v>
      </c>
      <c r="Z779" s="259">
        <v>24543671.013513926</v>
      </c>
      <c r="AA779" s="259">
        <v>22229363.300458383</v>
      </c>
      <c r="AB779" s="259">
        <v>20452680.92843375</v>
      </c>
      <c r="AC779" s="259">
        <v>18377084.799586043</v>
      </c>
      <c r="AD779" s="259">
        <v>16507374.246233964</v>
      </c>
      <c r="AE779" s="259">
        <v>14750523.308942486</v>
      </c>
      <c r="AF779" s="259">
        <v>14545845.664449437</v>
      </c>
      <c r="AG779" s="259">
        <v>12949768.403852332</v>
      </c>
      <c r="AH779" s="259">
        <v>11402823.083106289</v>
      </c>
      <c r="AI779" s="259">
        <v>9568193.4383173622</v>
      </c>
      <c r="AJ779" s="259">
        <v>9084999.6610904336</v>
      </c>
      <c r="AK779" s="259">
        <v>7204085.7920551961</v>
      </c>
      <c r="AL779" s="259">
        <v>5462158.858050528</v>
      </c>
      <c r="AM779" s="259">
        <v>4773562.0190122286</v>
      </c>
      <c r="AN779" s="259">
        <v>3367046.3205175307</v>
      </c>
      <c r="AO779" s="259">
        <v>3391904.215240268</v>
      </c>
      <c r="AP779" s="259">
        <v>3417616.1604899392</v>
      </c>
      <c r="AQ779" s="259">
        <v>3414005.7043148791</v>
      </c>
      <c r="AR779" s="259">
        <v>3410395.2481398485</v>
      </c>
      <c r="AS779" s="259">
        <v>2270391.7762147994</v>
      </c>
      <c r="AT779" s="259">
        <v>2266781.3200397394</v>
      </c>
      <c r="AU779" s="259">
        <v>2263900.2280785991</v>
      </c>
      <c r="AV779" s="259">
        <v>2263726.9782487592</v>
      </c>
      <c r="AW779" s="259">
        <v>2263726.9782487592</v>
      </c>
      <c r="AX779" s="259">
        <v>2263726.9782487592</v>
      </c>
      <c r="AY779" s="259">
        <v>2263726.9782487582</v>
      </c>
      <c r="AZ779" s="259">
        <v>1256991.1959999986</v>
      </c>
      <c r="BA779" s="259">
        <v>0</v>
      </c>
      <c r="BB779" s="259">
        <v>0</v>
      </c>
      <c r="BC779" s="259">
        <v>0</v>
      </c>
      <c r="BD779" s="259">
        <v>0</v>
      </c>
      <c r="BE779" s="259">
        <v>0</v>
      </c>
      <c r="BF779" s="259">
        <v>0</v>
      </c>
      <c r="BG779" s="259">
        <v>0</v>
      </c>
      <c r="BH779" s="259">
        <v>0</v>
      </c>
      <c r="BI779" s="259">
        <v>0</v>
      </c>
      <c r="BJ779" s="259">
        <v>0</v>
      </c>
      <c r="BK779" s="259">
        <v>0</v>
      </c>
    </row>
    <row r="780" spans="1:63">
      <c r="A780" s="169"/>
      <c r="B780" s="307" t="s">
        <v>29</v>
      </c>
      <c r="C780" s="308"/>
      <c r="D780" s="308"/>
      <c r="E780" s="308"/>
      <c r="F780" s="308"/>
      <c r="G780" s="308"/>
      <c r="H780" s="308"/>
      <c r="I780" s="308"/>
      <c r="J780" s="308"/>
      <c r="K780" s="308"/>
      <c r="L780" s="308"/>
      <c r="M780" s="308"/>
      <c r="N780" s="308"/>
      <c r="O780" s="308"/>
      <c r="P780" s="308"/>
      <c r="Q780" s="308"/>
      <c r="R780" s="308"/>
      <c r="S780" s="308"/>
      <c r="T780" s="308"/>
      <c r="U780" s="308"/>
      <c r="V780" s="309"/>
      <c r="W780" s="309"/>
      <c r="X780" s="309">
        <f>X778+X779</f>
        <v>20099077.823842362</v>
      </c>
      <c r="Y780" s="309">
        <f t="shared" ref="Y780:BK780" si="96">Y778+Y779</f>
        <v>85959020.126696423</v>
      </c>
      <c r="Z780" s="309">
        <f t="shared" si="96"/>
        <v>49107230.269513927</v>
      </c>
      <c r="AA780" s="309">
        <f t="shared" si="96"/>
        <v>58608093.022483781</v>
      </c>
      <c r="AB780" s="309">
        <f t="shared" si="96"/>
        <v>50313871.552094281</v>
      </c>
      <c r="AC780" s="309">
        <f t="shared" si="96"/>
        <v>59084859.981692836</v>
      </c>
      <c r="AD780" s="309">
        <f t="shared" si="96"/>
        <v>47688348.946233965</v>
      </c>
      <c r="AE780" s="309">
        <f t="shared" si="96"/>
        <v>25573259.405803684</v>
      </c>
      <c r="AF780" s="309">
        <f t="shared" si="96"/>
        <v>38058607.172344439</v>
      </c>
      <c r="AG780" s="309">
        <f t="shared" si="96"/>
        <v>36697708.003852338</v>
      </c>
      <c r="AH780" s="309">
        <f t="shared" si="96"/>
        <v>39356320.583106287</v>
      </c>
      <c r="AI780" s="309">
        <f t="shared" si="96"/>
        <v>23232845.71035976</v>
      </c>
      <c r="AJ780" s="309">
        <f t="shared" si="96"/>
        <v>36590274.961090431</v>
      </c>
      <c r="AK780" s="309">
        <f t="shared" si="96"/>
        <v>31958858.768721193</v>
      </c>
      <c r="AL780" s="309">
        <f t="shared" si="96"/>
        <v>17513176.058050528</v>
      </c>
      <c r="AM780" s="309">
        <f t="shared" si="96"/>
        <v>28203069.037000626</v>
      </c>
      <c r="AN780" s="309">
        <f t="shared" si="96"/>
        <v>3367046.3205175307</v>
      </c>
      <c r="AO780" s="309">
        <f t="shared" si="96"/>
        <v>3391904.215240268</v>
      </c>
      <c r="AP780" s="309">
        <f t="shared" si="96"/>
        <v>3417616.1604899392</v>
      </c>
      <c r="AQ780" s="309">
        <f t="shared" si="96"/>
        <v>3414005.7043148791</v>
      </c>
      <c r="AR780" s="309">
        <f t="shared" si="96"/>
        <v>15695725.148139849</v>
      </c>
      <c r="AS780" s="309">
        <f t="shared" si="96"/>
        <v>2270391.7762147994</v>
      </c>
      <c r="AT780" s="309">
        <f t="shared" si="96"/>
        <v>2266781.3200397394</v>
      </c>
      <c r="AU780" s="309">
        <f t="shared" si="96"/>
        <v>2263900.2280785991</v>
      </c>
      <c r="AV780" s="309">
        <f t="shared" si="96"/>
        <v>2263726.9782487592</v>
      </c>
      <c r="AW780" s="309">
        <f t="shared" si="96"/>
        <v>2263726.9782487592</v>
      </c>
      <c r="AX780" s="309">
        <f t="shared" si="96"/>
        <v>2263726.9782487592</v>
      </c>
      <c r="AY780" s="309">
        <f t="shared" si="96"/>
        <v>17353687.773326557</v>
      </c>
      <c r="AZ780" s="309">
        <f t="shared" si="96"/>
        <v>18594800.796</v>
      </c>
      <c r="BA780" s="309">
        <f t="shared" si="96"/>
        <v>0</v>
      </c>
      <c r="BB780" s="309">
        <f t="shared" si="96"/>
        <v>0</v>
      </c>
      <c r="BC780" s="309">
        <f t="shared" si="96"/>
        <v>0</v>
      </c>
      <c r="BD780" s="309">
        <f t="shared" si="96"/>
        <v>0</v>
      </c>
      <c r="BE780" s="309">
        <f t="shared" si="96"/>
        <v>0</v>
      </c>
      <c r="BF780" s="309">
        <f t="shared" si="96"/>
        <v>0</v>
      </c>
      <c r="BG780" s="309">
        <f t="shared" si="96"/>
        <v>0</v>
      </c>
      <c r="BH780" s="309">
        <f t="shared" si="96"/>
        <v>0</v>
      </c>
      <c r="BI780" s="309">
        <f t="shared" si="96"/>
        <v>0</v>
      </c>
      <c r="BJ780" s="309">
        <f t="shared" si="96"/>
        <v>0</v>
      </c>
      <c r="BK780" s="309">
        <f t="shared" si="96"/>
        <v>0</v>
      </c>
    </row>
    <row r="781" spans="1:63">
      <c r="A781" s="167"/>
      <c r="B781" s="210" t="s">
        <v>28</v>
      </c>
      <c r="C781" s="254"/>
      <c r="D781" s="254"/>
      <c r="E781" s="254"/>
      <c r="F781" s="254"/>
      <c r="G781" s="254"/>
      <c r="H781" s="254"/>
      <c r="I781" s="254"/>
      <c r="J781" s="254"/>
      <c r="K781" s="254"/>
      <c r="L781" s="254"/>
      <c r="M781" s="254"/>
      <c r="N781" s="254"/>
      <c r="O781" s="254"/>
      <c r="P781" s="254"/>
      <c r="Q781" s="254"/>
      <c r="R781" s="254"/>
      <c r="S781" s="254"/>
      <c r="T781" s="254"/>
      <c r="U781" s="254"/>
      <c r="V781" s="255"/>
      <c r="W781" s="259"/>
      <c r="X781" s="259">
        <v>7308640.3688219991</v>
      </c>
      <c r="Y781" s="259">
        <v>62793626.165683247</v>
      </c>
      <c r="Z781" s="259">
        <v>24563559.256000001</v>
      </c>
      <c r="AA781" s="259">
        <v>36490943.375037901</v>
      </c>
      <c r="AB781" s="259">
        <v>29864142.895689428</v>
      </c>
      <c r="AC781" s="259">
        <v>40848350.941131793</v>
      </c>
      <c r="AD781" s="259">
        <v>31180974.699999999</v>
      </c>
      <c r="AE781" s="259">
        <v>11576148.516457099</v>
      </c>
      <c r="AF781" s="259">
        <v>23512761.507895</v>
      </c>
      <c r="AG781" s="259">
        <v>26767927.400000002</v>
      </c>
      <c r="AH781" s="259">
        <v>27953497.5</v>
      </c>
      <c r="AI781" s="259">
        <v>13758002.556992399</v>
      </c>
      <c r="AJ781" s="259">
        <v>27505275.300000001</v>
      </c>
      <c r="AK781" s="259">
        <v>25281927.859040998</v>
      </c>
      <c r="AL781" s="259">
        <v>12051017.199999999</v>
      </c>
      <c r="AM781" s="259">
        <v>24541953.503755797</v>
      </c>
      <c r="AN781" s="259">
        <v>0</v>
      </c>
      <c r="AO781" s="259">
        <v>0</v>
      </c>
      <c r="AP781" s="259">
        <v>0</v>
      </c>
      <c r="AQ781" s="259">
        <v>0</v>
      </c>
      <c r="AR781" s="259">
        <v>14520417.1</v>
      </c>
      <c r="AS781" s="259">
        <v>0</v>
      </c>
      <c r="AT781" s="259">
        <v>0</v>
      </c>
      <c r="AU781" s="259">
        <v>0</v>
      </c>
      <c r="AV781" s="259">
        <v>0</v>
      </c>
      <c r="AW781" s="259">
        <v>0</v>
      </c>
      <c r="AX781" s="259">
        <v>0</v>
      </c>
      <c r="AY781" s="259">
        <v>15725221.2602576</v>
      </c>
      <c r="AZ781" s="259">
        <v>17813802.5</v>
      </c>
      <c r="BA781" s="259">
        <v>0</v>
      </c>
      <c r="BB781" s="259">
        <v>0</v>
      </c>
      <c r="BC781" s="259">
        <v>0</v>
      </c>
      <c r="BD781" s="259">
        <v>0</v>
      </c>
      <c r="BE781" s="259">
        <v>0</v>
      </c>
      <c r="BF781" s="259">
        <v>0</v>
      </c>
      <c r="BG781" s="259">
        <v>0</v>
      </c>
      <c r="BH781" s="259">
        <v>0</v>
      </c>
      <c r="BI781" s="259">
        <v>0</v>
      </c>
      <c r="BJ781" s="259">
        <v>0</v>
      </c>
      <c r="BK781" s="259">
        <v>0</v>
      </c>
    </row>
    <row r="782" spans="1:63">
      <c r="A782" s="168">
        <v>44773</v>
      </c>
      <c r="B782" s="213" t="s">
        <v>385</v>
      </c>
      <c r="C782" s="256"/>
      <c r="D782" s="256"/>
      <c r="E782" s="256"/>
      <c r="F782" s="256"/>
      <c r="G782" s="256"/>
      <c r="H782" s="256"/>
      <c r="I782" s="256"/>
      <c r="J782" s="256"/>
      <c r="K782" s="256"/>
      <c r="L782" s="256"/>
      <c r="M782" s="256"/>
      <c r="N782" s="256"/>
      <c r="O782" s="256"/>
      <c r="P782" s="256"/>
      <c r="Q782" s="256"/>
      <c r="R782" s="256"/>
      <c r="S782" s="256"/>
      <c r="T782" s="256"/>
      <c r="U782" s="256"/>
      <c r="V782" s="259"/>
      <c r="W782" s="259"/>
      <c r="X782" s="259">
        <v>9610997.9993246607</v>
      </c>
      <c r="Y782" s="259">
        <v>26746335.596353434</v>
      </c>
      <c r="Z782" s="259">
        <v>25093188.640212554</v>
      </c>
      <c r="AA782" s="259">
        <v>22781786.830040488</v>
      </c>
      <c r="AB782" s="259">
        <v>21008097.53798582</v>
      </c>
      <c r="AC782" s="259">
        <v>18935584.281507164</v>
      </c>
      <c r="AD782" s="259">
        <v>17069049.086695217</v>
      </c>
      <c r="AE782" s="259">
        <v>15315468.768700082</v>
      </c>
      <c r="AF782" s="259">
        <v>15094058.560241146</v>
      </c>
      <c r="AG782" s="259">
        <v>13500848.060600296</v>
      </c>
      <c r="AH782" s="259">
        <v>11745456.357639188</v>
      </c>
      <c r="AI782" s="259">
        <v>9913868.0595487449</v>
      </c>
      <c r="AJ782" s="259">
        <v>9433806.869421266</v>
      </c>
      <c r="AK782" s="259">
        <v>7556119.5650984449</v>
      </c>
      <c r="AL782" s="259">
        <v>5790815.5581003418</v>
      </c>
      <c r="AM782" s="259">
        <v>5104840.7685260447</v>
      </c>
      <c r="AN782" s="259">
        <v>3641540.4607706945</v>
      </c>
      <c r="AO782" s="259">
        <v>3667395.5281635267</v>
      </c>
      <c r="AP782" s="259">
        <v>3694134.5612633959</v>
      </c>
      <c r="AQ782" s="259">
        <v>3690524.1050883359</v>
      </c>
      <c r="AR782" s="259">
        <v>3686913.6489133048</v>
      </c>
      <c r="AS782" s="259">
        <v>2340164.6109882561</v>
      </c>
      <c r="AT782" s="259">
        <v>2336554.154813196</v>
      </c>
      <c r="AU782" s="259">
        <v>2333673.0628520558</v>
      </c>
      <c r="AV782" s="259">
        <v>2333499.8130222159</v>
      </c>
      <c r="AW782" s="259">
        <v>2333499.8130222159</v>
      </c>
      <c r="AX782" s="259">
        <v>2333499.8130222159</v>
      </c>
      <c r="AY782" s="259">
        <v>2333499.8130222168</v>
      </c>
      <c r="AZ782" s="259">
        <v>1291500.6812499985</v>
      </c>
      <c r="BA782" s="259">
        <v>0</v>
      </c>
      <c r="BB782" s="259">
        <v>0</v>
      </c>
      <c r="BC782" s="259">
        <v>0</v>
      </c>
      <c r="BD782" s="259">
        <v>0</v>
      </c>
      <c r="BE782" s="259">
        <v>0</v>
      </c>
      <c r="BF782" s="259">
        <v>0</v>
      </c>
      <c r="BG782" s="259">
        <v>0</v>
      </c>
      <c r="BH782" s="259">
        <v>0</v>
      </c>
      <c r="BI782" s="259">
        <v>0</v>
      </c>
      <c r="BJ782" s="259">
        <v>0</v>
      </c>
      <c r="BK782" s="259">
        <v>0</v>
      </c>
    </row>
    <row r="783" spans="1:63">
      <c r="A783" s="169"/>
      <c r="B783" s="307" t="s">
        <v>29</v>
      </c>
      <c r="C783" s="308"/>
      <c r="D783" s="308"/>
      <c r="E783" s="308"/>
      <c r="F783" s="308"/>
      <c r="G783" s="308"/>
      <c r="H783" s="308"/>
      <c r="I783" s="308"/>
      <c r="J783" s="308"/>
      <c r="K783" s="308"/>
      <c r="L783" s="308"/>
      <c r="M783" s="308"/>
      <c r="N783" s="308"/>
      <c r="O783" s="308"/>
      <c r="P783" s="308"/>
      <c r="Q783" s="308"/>
      <c r="R783" s="308"/>
      <c r="S783" s="308"/>
      <c r="T783" s="308"/>
      <c r="U783" s="308"/>
      <c r="V783" s="309"/>
      <c r="W783" s="309"/>
      <c r="X783" s="309">
        <f>X781+X782</f>
        <v>16919638.368146658</v>
      </c>
      <c r="Y783" s="309">
        <f>Y781+Y782</f>
        <v>89539961.762036681</v>
      </c>
      <c r="Z783" s="309">
        <f t="shared" ref="Z783:BK783" si="97">Z781+Z782</f>
        <v>49656747.896212555</v>
      </c>
      <c r="AA783" s="309">
        <f t="shared" si="97"/>
        <v>59272730.205078393</v>
      </c>
      <c r="AB783" s="309">
        <f t="shared" si="97"/>
        <v>50872240.433675244</v>
      </c>
      <c r="AC783" s="309">
        <f t="shared" si="97"/>
        <v>59783935.222638957</v>
      </c>
      <c r="AD783" s="309">
        <f t="shared" si="97"/>
        <v>48250023.786695212</v>
      </c>
      <c r="AE783" s="309">
        <f t="shared" si="97"/>
        <v>26891617.285157181</v>
      </c>
      <c r="AF783" s="309">
        <f t="shared" si="97"/>
        <v>38606820.068136148</v>
      </c>
      <c r="AG783" s="309">
        <f t="shared" si="97"/>
        <v>40268775.460600302</v>
      </c>
      <c r="AH783" s="309">
        <f t="shared" si="97"/>
        <v>39698953.857639186</v>
      </c>
      <c r="AI783" s="309">
        <f t="shared" si="97"/>
        <v>23671870.616541144</v>
      </c>
      <c r="AJ783" s="309">
        <f t="shared" si="97"/>
        <v>36939082.16942127</v>
      </c>
      <c r="AK783" s="309">
        <f t="shared" si="97"/>
        <v>32838047.424139444</v>
      </c>
      <c r="AL783" s="309">
        <f t="shared" si="97"/>
        <v>17841832.758100342</v>
      </c>
      <c r="AM783" s="309">
        <f t="shared" si="97"/>
        <v>29646794.27228184</v>
      </c>
      <c r="AN783" s="309">
        <f t="shared" si="97"/>
        <v>3641540.4607706945</v>
      </c>
      <c r="AO783" s="309">
        <f t="shared" si="97"/>
        <v>3667395.5281635267</v>
      </c>
      <c r="AP783" s="309">
        <f t="shared" si="97"/>
        <v>3694134.5612633959</v>
      </c>
      <c r="AQ783" s="309">
        <f t="shared" si="97"/>
        <v>3690524.1050883359</v>
      </c>
      <c r="AR783" s="309">
        <f t="shared" si="97"/>
        <v>18207330.748913303</v>
      </c>
      <c r="AS783" s="309">
        <f t="shared" si="97"/>
        <v>2340164.6109882561</v>
      </c>
      <c r="AT783" s="309">
        <f t="shared" si="97"/>
        <v>2336554.154813196</v>
      </c>
      <c r="AU783" s="309">
        <f t="shared" si="97"/>
        <v>2333673.0628520558</v>
      </c>
      <c r="AV783" s="309">
        <f t="shared" si="97"/>
        <v>2333499.8130222159</v>
      </c>
      <c r="AW783" s="309">
        <f t="shared" si="97"/>
        <v>2333499.8130222159</v>
      </c>
      <c r="AX783" s="309">
        <f t="shared" si="97"/>
        <v>2333499.8130222159</v>
      </c>
      <c r="AY783" s="309">
        <f t="shared" si="97"/>
        <v>18058721.073279817</v>
      </c>
      <c r="AZ783" s="309">
        <f t="shared" si="97"/>
        <v>19105303.181249999</v>
      </c>
      <c r="BA783" s="309">
        <f t="shared" si="97"/>
        <v>0</v>
      </c>
      <c r="BB783" s="309">
        <f t="shared" si="97"/>
        <v>0</v>
      </c>
      <c r="BC783" s="309">
        <f t="shared" si="97"/>
        <v>0</v>
      </c>
      <c r="BD783" s="309">
        <f t="shared" si="97"/>
        <v>0</v>
      </c>
      <c r="BE783" s="309">
        <f t="shared" si="97"/>
        <v>0</v>
      </c>
      <c r="BF783" s="309">
        <f t="shared" si="97"/>
        <v>0</v>
      </c>
      <c r="BG783" s="309">
        <f t="shared" si="97"/>
        <v>0</v>
      </c>
      <c r="BH783" s="309">
        <f t="shared" si="97"/>
        <v>0</v>
      </c>
      <c r="BI783" s="309">
        <f t="shared" si="97"/>
        <v>0</v>
      </c>
      <c r="BJ783" s="309">
        <f t="shared" si="97"/>
        <v>0</v>
      </c>
      <c r="BK783" s="309">
        <f t="shared" si="97"/>
        <v>0</v>
      </c>
    </row>
    <row r="784" spans="1:63">
      <c r="A784" s="167"/>
      <c r="B784" s="210" t="s">
        <v>28</v>
      </c>
      <c r="C784" s="254"/>
      <c r="D784" s="254"/>
      <c r="E784" s="254"/>
      <c r="F784" s="254"/>
      <c r="G784" s="254"/>
      <c r="H784" s="254"/>
      <c r="I784" s="254"/>
      <c r="J784" s="254"/>
      <c r="K784" s="254"/>
      <c r="L784" s="254"/>
      <c r="M784" s="254"/>
      <c r="N784" s="254"/>
      <c r="O784" s="254"/>
      <c r="P784" s="254"/>
      <c r="Q784" s="254"/>
      <c r="R784" s="254"/>
      <c r="S784" s="254"/>
      <c r="T784" s="254"/>
      <c r="U784" s="254"/>
      <c r="V784" s="255"/>
      <c r="W784" s="259"/>
      <c r="X784" s="259">
        <v>6704503.7339999992</v>
      </c>
      <c r="Y784" s="259">
        <v>64488397.169153161</v>
      </c>
      <c r="Z784" s="259">
        <v>24563559.256000001</v>
      </c>
      <c r="AA784" s="259">
        <v>36600878.227712296</v>
      </c>
      <c r="AB784" s="259">
        <v>29861731.02607543</v>
      </c>
      <c r="AC784" s="259">
        <v>40986071.930896603</v>
      </c>
      <c r="AD784" s="259">
        <v>31180974.699999999</v>
      </c>
      <c r="AE784" s="259">
        <v>12205460.134175301</v>
      </c>
      <c r="AF784" s="259">
        <v>23512761.507895</v>
      </c>
      <c r="AG784" s="259">
        <v>28952566</v>
      </c>
      <c r="AH784" s="259">
        <v>27953497.5</v>
      </c>
      <c r="AI784" s="259">
        <v>13849457.113078799</v>
      </c>
      <c r="AJ784" s="259">
        <v>27505275.300000001</v>
      </c>
      <c r="AK784" s="259">
        <v>25449986.229417</v>
      </c>
      <c r="AL784" s="259">
        <v>12051017.199999999</v>
      </c>
      <c r="AM784" s="259">
        <v>25124172.614375204</v>
      </c>
      <c r="AN784" s="259">
        <v>0</v>
      </c>
      <c r="AO784" s="259">
        <v>0</v>
      </c>
      <c r="AP784" s="259">
        <v>0</v>
      </c>
      <c r="AQ784" s="259">
        <v>0</v>
      </c>
      <c r="AR784" s="259">
        <v>16049875.199999999</v>
      </c>
      <c r="AS784" s="259">
        <v>0</v>
      </c>
      <c r="AT784" s="259">
        <v>0</v>
      </c>
      <c r="AU784" s="259">
        <v>0</v>
      </c>
      <c r="AV784" s="259">
        <v>0</v>
      </c>
      <c r="AW784" s="259">
        <v>0</v>
      </c>
      <c r="AX784" s="259">
        <v>0</v>
      </c>
      <c r="AY784" s="259">
        <v>16332553.361842101</v>
      </c>
      <c r="AZ784" s="259">
        <v>18214948.5</v>
      </c>
      <c r="BA784" s="259">
        <v>0</v>
      </c>
      <c r="BB784" s="259">
        <v>0</v>
      </c>
      <c r="BC784" s="259">
        <v>0</v>
      </c>
      <c r="BD784" s="259">
        <v>0</v>
      </c>
      <c r="BE784" s="259">
        <v>0</v>
      </c>
      <c r="BF784" s="259">
        <v>0</v>
      </c>
      <c r="BG784" s="259">
        <v>0</v>
      </c>
      <c r="BH784" s="259">
        <v>0</v>
      </c>
      <c r="BI784" s="259">
        <v>0</v>
      </c>
      <c r="BJ784" s="259">
        <v>0</v>
      </c>
      <c r="BK784" s="259">
        <v>0</v>
      </c>
    </row>
    <row r="785" spans="1:63">
      <c r="A785" s="168">
        <v>44804</v>
      </c>
      <c r="B785" s="213" t="s">
        <v>385</v>
      </c>
      <c r="C785" s="256"/>
      <c r="D785" s="256"/>
      <c r="E785" s="256"/>
      <c r="F785" s="256"/>
      <c r="G785" s="256"/>
      <c r="H785" s="256"/>
      <c r="I785" s="256"/>
      <c r="J785" s="256"/>
      <c r="K785" s="256"/>
      <c r="L785" s="256"/>
      <c r="M785" s="256"/>
      <c r="N785" s="256"/>
      <c r="O785" s="256"/>
      <c r="P785" s="256"/>
      <c r="Q785" s="256"/>
      <c r="R785" s="256"/>
      <c r="S785" s="256"/>
      <c r="T785" s="256"/>
      <c r="U785" s="256"/>
      <c r="V785" s="259"/>
      <c r="W785" s="259"/>
      <c r="X785" s="259">
        <v>7432045.2578064604</v>
      </c>
      <c r="Y785" s="259">
        <v>27119731.331362829</v>
      </c>
      <c r="Z785" s="259">
        <v>25468081.767434735</v>
      </c>
      <c r="AA785" s="259">
        <v>23158222.271241818</v>
      </c>
      <c r="AB785" s="259">
        <v>21386121.562585693</v>
      </c>
      <c r="AC785" s="259">
        <v>19315244.547007538</v>
      </c>
      <c r="AD785" s="259">
        <v>17450394.680323102</v>
      </c>
      <c r="AE785" s="259">
        <v>15698550.250299301</v>
      </c>
      <c r="AF785" s="259">
        <v>15462695.149154318</v>
      </c>
      <c r="AG785" s="259">
        <v>13870839.267343368</v>
      </c>
      <c r="AH785" s="259">
        <v>11963918.11874705</v>
      </c>
      <c r="AI785" s="259">
        <v>10133766.934712347</v>
      </c>
      <c r="AJ785" s="259">
        <v>9655185.9720622748</v>
      </c>
      <c r="AK785" s="259">
        <v>7779023.302041187</v>
      </c>
      <c r="AL785" s="259">
        <v>6015289.6683738632</v>
      </c>
      <c r="AM785" s="259">
        <v>5330932.3633302683</v>
      </c>
      <c r="AN785" s="259">
        <v>3843295.5514543448</v>
      </c>
      <c r="AO785" s="259">
        <v>3870086.5327901863</v>
      </c>
      <c r="AP785" s="259">
        <v>3897789.5572513551</v>
      </c>
      <c r="AQ785" s="259">
        <v>3894179.1010762951</v>
      </c>
      <c r="AR785" s="259">
        <v>3890568.6449012659</v>
      </c>
      <c r="AS785" s="259">
        <v>2402344.7327262154</v>
      </c>
      <c r="AT785" s="259">
        <v>2398734.2765511554</v>
      </c>
      <c r="AU785" s="259">
        <v>2395853.1845900151</v>
      </c>
      <c r="AV785" s="259">
        <v>2395679.9347601752</v>
      </c>
      <c r="AW785" s="259">
        <v>2395679.9347601752</v>
      </c>
      <c r="AX785" s="259">
        <v>2395679.9347601752</v>
      </c>
      <c r="AY785" s="259">
        <v>2395679.9347601738</v>
      </c>
      <c r="AZ785" s="259">
        <v>1320583.7662499994</v>
      </c>
      <c r="BA785" s="259">
        <v>0</v>
      </c>
      <c r="BB785" s="259">
        <v>0</v>
      </c>
      <c r="BC785" s="259">
        <v>0</v>
      </c>
      <c r="BD785" s="259">
        <v>0</v>
      </c>
      <c r="BE785" s="259">
        <v>0</v>
      </c>
      <c r="BF785" s="259">
        <v>0</v>
      </c>
      <c r="BG785" s="259">
        <v>0</v>
      </c>
      <c r="BH785" s="259">
        <v>0</v>
      </c>
      <c r="BI785" s="259">
        <v>0</v>
      </c>
      <c r="BJ785" s="259">
        <v>0</v>
      </c>
      <c r="BK785" s="259">
        <v>0</v>
      </c>
    </row>
    <row r="786" spans="1:63">
      <c r="A786" s="169"/>
      <c r="B786" s="307" t="s">
        <v>29</v>
      </c>
      <c r="C786" s="308"/>
      <c r="D786" s="308"/>
      <c r="E786" s="308"/>
      <c r="F786" s="308"/>
      <c r="G786" s="308"/>
      <c r="H786" s="308"/>
      <c r="I786" s="308"/>
      <c r="J786" s="308"/>
      <c r="K786" s="308"/>
      <c r="L786" s="308"/>
      <c r="M786" s="308"/>
      <c r="N786" s="308"/>
      <c r="O786" s="308"/>
      <c r="P786" s="308"/>
      <c r="Q786" s="308"/>
      <c r="R786" s="308"/>
      <c r="S786" s="308"/>
      <c r="T786" s="308"/>
      <c r="U786" s="308"/>
      <c r="V786" s="309"/>
      <c r="W786" s="309"/>
      <c r="X786" s="309">
        <f t="shared" ref="X786:BK786" si="98">X784+X785</f>
        <v>14136548.991806459</v>
      </c>
      <c r="Y786" s="309">
        <f t="shared" si="98"/>
        <v>91608128.500515997</v>
      </c>
      <c r="Z786" s="309">
        <f t="shared" si="98"/>
        <v>50031641.023434736</v>
      </c>
      <c r="AA786" s="309">
        <f t="shared" si="98"/>
        <v>59759100.498954117</v>
      </c>
      <c r="AB786" s="309">
        <f t="shared" si="98"/>
        <v>51247852.588661119</v>
      </c>
      <c r="AC786" s="309">
        <f t="shared" si="98"/>
        <v>60301316.477904141</v>
      </c>
      <c r="AD786" s="309">
        <f t="shared" si="98"/>
        <v>48631369.380323097</v>
      </c>
      <c r="AE786" s="309">
        <f t="shared" si="98"/>
        <v>27904010.384474602</v>
      </c>
      <c r="AF786" s="309">
        <f t="shared" si="98"/>
        <v>38975456.657049321</v>
      </c>
      <c r="AG786" s="309">
        <f t="shared" si="98"/>
        <v>42823405.267343372</v>
      </c>
      <c r="AH786" s="309">
        <f t="shared" si="98"/>
        <v>39917415.618747048</v>
      </c>
      <c r="AI786" s="309">
        <f t="shared" si="98"/>
        <v>23983224.047791146</v>
      </c>
      <c r="AJ786" s="309">
        <f t="shared" si="98"/>
        <v>37160461.272062272</v>
      </c>
      <c r="AK786" s="309">
        <f t="shared" si="98"/>
        <v>33229009.531458188</v>
      </c>
      <c r="AL786" s="309">
        <f t="shared" si="98"/>
        <v>18066306.868373863</v>
      </c>
      <c r="AM786" s="309">
        <f t="shared" si="98"/>
        <v>30455104.977705471</v>
      </c>
      <c r="AN786" s="309">
        <f t="shared" si="98"/>
        <v>3843295.5514543448</v>
      </c>
      <c r="AO786" s="309">
        <f t="shared" si="98"/>
        <v>3870086.5327901863</v>
      </c>
      <c r="AP786" s="309">
        <f t="shared" si="98"/>
        <v>3897789.5572513551</v>
      </c>
      <c r="AQ786" s="309">
        <f t="shared" si="98"/>
        <v>3894179.1010762951</v>
      </c>
      <c r="AR786" s="309">
        <f t="shared" si="98"/>
        <v>19940443.844901264</v>
      </c>
      <c r="AS786" s="309">
        <f t="shared" si="98"/>
        <v>2402344.7327262154</v>
      </c>
      <c r="AT786" s="309">
        <f t="shared" si="98"/>
        <v>2398734.2765511554</v>
      </c>
      <c r="AU786" s="309">
        <f t="shared" si="98"/>
        <v>2395853.1845900151</v>
      </c>
      <c r="AV786" s="309">
        <f t="shared" si="98"/>
        <v>2395679.9347601752</v>
      </c>
      <c r="AW786" s="309">
        <f t="shared" si="98"/>
        <v>2395679.9347601752</v>
      </c>
      <c r="AX786" s="309">
        <f t="shared" si="98"/>
        <v>2395679.9347601752</v>
      </c>
      <c r="AY786" s="309">
        <f t="shared" si="98"/>
        <v>18728233.296602275</v>
      </c>
      <c r="AZ786" s="309">
        <f t="shared" si="98"/>
        <v>19535532.266249999</v>
      </c>
      <c r="BA786" s="309">
        <f t="shared" si="98"/>
        <v>0</v>
      </c>
      <c r="BB786" s="309">
        <f t="shared" si="98"/>
        <v>0</v>
      </c>
      <c r="BC786" s="309">
        <f t="shared" si="98"/>
        <v>0</v>
      </c>
      <c r="BD786" s="309">
        <f t="shared" si="98"/>
        <v>0</v>
      </c>
      <c r="BE786" s="309">
        <f t="shared" si="98"/>
        <v>0</v>
      </c>
      <c r="BF786" s="309">
        <f t="shared" si="98"/>
        <v>0</v>
      </c>
      <c r="BG786" s="309">
        <f t="shared" si="98"/>
        <v>0</v>
      </c>
      <c r="BH786" s="309">
        <f t="shared" si="98"/>
        <v>0</v>
      </c>
      <c r="BI786" s="309">
        <f t="shared" si="98"/>
        <v>0</v>
      </c>
      <c r="BJ786" s="309">
        <f t="shared" si="98"/>
        <v>0</v>
      </c>
      <c r="BK786" s="309">
        <f t="shared" si="98"/>
        <v>0</v>
      </c>
    </row>
    <row r="787" spans="1:63">
      <c r="A787" s="167"/>
      <c r="B787" s="210" t="s">
        <v>28</v>
      </c>
      <c r="C787" s="254"/>
      <c r="D787" s="254"/>
      <c r="E787" s="254"/>
      <c r="F787" s="254"/>
      <c r="G787" s="254"/>
      <c r="H787" s="254"/>
      <c r="I787" s="254"/>
      <c r="J787" s="254"/>
      <c r="K787" s="254"/>
      <c r="L787" s="254"/>
      <c r="M787" s="254"/>
      <c r="N787" s="254"/>
      <c r="O787" s="254"/>
      <c r="P787" s="254"/>
      <c r="Q787" s="254"/>
      <c r="R787" s="254"/>
      <c r="S787" s="254"/>
      <c r="T787" s="254"/>
      <c r="U787" s="254"/>
      <c r="V787" s="255"/>
      <c r="W787" s="259"/>
      <c r="X787" s="259">
        <v>3314003.8339999998</v>
      </c>
      <c r="Y787" s="259">
        <v>65510168.138454698</v>
      </c>
      <c r="Z787" s="259">
        <v>24563559.256000001</v>
      </c>
      <c r="AA787" s="259">
        <v>36751013.455581896</v>
      </c>
      <c r="AB787" s="259">
        <v>29874555.250204049</v>
      </c>
      <c r="AC787" s="259">
        <v>41174153.978379793</v>
      </c>
      <c r="AD787" s="259">
        <v>31180974.699999999</v>
      </c>
      <c r="AE787" s="259">
        <v>13005505.723365499</v>
      </c>
      <c r="AF787" s="259">
        <v>23512761.507895</v>
      </c>
      <c r="AG787" s="259">
        <v>31447332.300000001</v>
      </c>
      <c r="AH787" s="259">
        <v>27953497.5</v>
      </c>
      <c r="AI787" s="259">
        <v>13974354.270656399</v>
      </c>
      <c r="AJ787" s="259">
        <v>27505275.300000001</v>
      </c>
      <c r="AK787" s="259">
        <v>27226689.276551001</v>
      </c>
      <c r="AL787" s="259">
        <v>12051017.199999999</v>
      </c>
      <c r="AM787" s="259">
        <v>25948672.694630601</v>
      </c>
      <c r="AN787" s="259">
        <v>0</v>
      </c>
      <c r="AO787" s="259">
        <v>0</v>
      </c>
      <c r="AP787" s="259">
        <v>0</v>
      </c>
      <c r="AQ787" s="259">
        <v>0</v>
      </c>
      <c r="AR787" s="259">
        <v>17574500.5</v>
      </c>
      <c r="AS787" s="259">
        <v>0</v>
      </c>
      <c r="AT787" s="259">
        <v>0</v>
      </c>
      <c r="AU787" s="259">
        <v>0</v>
      </c>
      <c r="AV787" s="259">
        <v>0</v>
      </c>
      <c r="AW787" s="259">
        <v>0</v>
      </c>
      <c r="AX787" s="259">
        <v>0</v>
      </c>
      <c r="AY787" s="259">
        <v>16827686.9920008</v>
      </c>
      <c r="AZ787" s="259">
        <v>19252054.800000001</v>
      </c>
      <c r="BA787" s="259">
        <v>0</v>
      </c>
      <c r="BB787" s="259">
        <v>0</v>
      </c>
      <c r="BC787" s="259">
        <v>0</v>
      </c>
      <c r="BD787" s="259">
        <v>0</v>
      </c>
      <c r="BE787" s="259">
        <v>0</v>
      </c>
      <c r="BF787" s="259">
        <v>0</v>
      </c>
      <c r="BG787" s="259">
        <v>0</v>
      </c>
      <c r="BH787" s="259">
        <v>0</v>
      </c>
      <c r="BI787" s="259">
        <v>0</v>
      </c>
      <c r="BJ787" s="259">
        <v>0</v>
      </c>
      <c r="BK787" s="259">
        <v>0</v>
      </c>
    </row>
    <row r="788" spans="1:63">
      <c r="A788" s="168">
        <v>44834</v>
      </c>
      <c r="B788" s="213" t="s">
        <v>385</v>
      </c>
      <c r="C788" s="256"/>
      <c r="D788" s="256"/>
      <c r="E788" s="256"/>
      <c r="F788" s="256"/>
      <c r="G788" s="256"/>
      <c r="H788" s="256"/>
      <c r="I788" s="256"/>
      <c r="J788" s="256"/>
      <c r="K788" s="256"/>
      <c r="L788" s="256"/>
      <c r="M788" s="256"/>
      <c r="N788" s="256"/>
      <c r="O788" s="256"/>
      <c r="P788" s="256"/>
      <c r="Q788" s="256"/>
      <c r="R788" s="256"/>
      <c r="S788" s="256"/>
      <c r="T788" s="256"/>
      <c r="U788" s="256"/>
      <c r="V788" s="259"/>
      <c r="W788" s="259"/>
      <c r="X788" s="259">
        <v>5799358.0910564587</v>
      </c>
      <c r="Y788" s="259">
        <v>27564251.760154858</v>
      </c>
      <c r="Z788" s="259">
        <v>25993884.074645501</v>
      </c>
      <c r="AA788" s="259">
        <v>23688073.097028907</v>
      </c>
      <c r="AB788" s="259">
        <v>21920142.362506393</v>
      </c>
      <c r="AC788" s="259">
        <v>19853560.420285858</v>
      </c>
      <c r="AD788" s="259">
        <v>17993134.47915978</v>
      </c>
      <c r="AE788" s="259">
        <v>16245846.692461072</v>
      </c>
      <c r="AF788" s="259">
        <v>15994589.093962086</v>
      </c>
      <c r="AG788" s="259">
        <v>14406964.479855374</v>
      </c>
      <c r="AH788" s="259">
        <v>12329767.895994412</v>
      </c>
      <c r="AI788" s="259">
        <v>10504105.663867135</v>
      </c>
      <c r="AJ788" s="259">
        <v>10030148.321681708</v>
      </c>
      <c r="AK788" s="259">
        <v>8158747.9807392014</v>
      </c>
      <c r="AL788" s="259">
        <v>6286326.6099257907</v>
      </c>
      <c r="AM788" s="259">
        <v>5603613.8717187503</v>
      </c>
      <c r="AN788" s="259">
        <v>4080903.2430346389</v>
      </c>
      <c r="AO788" s="259">
        <v>4108335.9137078896</v>
      </c>
      <c r="AP788" s="259">
        <v>4136699.8781865896</v>
      </c>
      <c r="AQ788" s="259">
        <v>4133089.4220115296</v>
      </c>
      <c r="AR788" s="259">
        <v>4129478.9658365003</v>
      </c>
      <c r="AS788" s="259">
        <v>2500227.2134114499</v>
      </c>
      <c r="AT788" s="259">
        <v>2496616.7572363899</v>
      </c>
      <c r="AU788" s="259">
        <v>2493735.6652752496</v>
      </c>
      <c r="AV788" s="259">
        <v>2493562.4154454097</v>
      </c>
      <c r="AW788" s="259">
        <v>2493562.4154454097</v>
      </c>
      <c r="AX788" s="259">
        <v>2493562.4154454097</v>
      </c>
      <c r="AY788" s="259">
        <v>2493562.4154454097</v>
      </c>
      <c r="AZ788" s="259">
        <v>1395773.9730000012</v>
      </c>
      <c r="BA788" s="259">
        <v>0</v>
      </c>
      <c r="BB788" s="259">
        <v>0</v>
      </c>
      <c r="BC788" s="259">
        <v>0</v>
      </c>
      <c r="BD788" s="259">
        <v>0</v>
      </c>
      <c r="BE788" s="259">
        <v>0</v>
      </c>
      <c r="BF788" s="259">
        <v>0</v>
      </c>
      <c r="BG788" s="259">
        <v>0</v>
      </c>
      <c r="BH788" s="259">
        <v>0</v>
      </c>
      <c r="BI788" s="259">
        <v>0</v>
      </c>
      <c r="BJ788" s="259">
        <v>0</v>
      </c>
      <c r="BK788" s="259">
        <v>0</v>
      </c>
    </row>
    <row r="789" spans="1:63">
      <c r="A789" s="169"/>
      <c r="B789" s="307" t="s">
        <v>29</v>
      </c>
      <c r="C789" s="308"/>
      <c r="D789" s="308"/>
      <c r="E789" s="308"/>
      <c r="F789" s="308"/>
      <c r="G789" s="308"/>
      <c r="H789" s="308"/>
      <c r="I789" s="308"/>
      <c r="J789" s="308"/>
      <c r="K789" s="308"/>
      <c r="L789" s="308"/>
      <c r="M789" s="308"/>
      <c r="N789" s="308"/>
      <c r="O789" s="308"/>
      <c r="P789" s="308"/>
      <c r="Q789" s="308"/>
      <c r="R789" s="308"/>
      <c r="S789" s="308"/>
      <c r="T789" s="308"/>
      <c r="U789" s="308"/>
      <c r="V789" s="309"/>
      <c r="W789" s="309"/>
      <c r="X789" s="309">
        <f t="shared" ref="X789:BK789" si="99">X787+X788</f>
        <v>9113361.9250564575</v>
      </c>
      <c r="Y789" s="309">
        <f t="shared" si="99"/>
        <v>93074419.898609549</v>
      </c>
      <c r="Z789" s="309">
        <f t="shared" si="99"/>
        <v>50557443.330645502</v>
      </c>
      <c r="AA789" s="309">
        <f t="shared" si="99"/>
        <v>60439086.5526108</v>
      </c>
      <c r="AB789" s="309">
        <f t="shared" si="99"/>
        <v>51794697.612710446</v>
      </c>
      <c r="AC789" s="309">
        <f t="shared" si="99"/>
        <v>61027714.398665652</v>
      </c>
      <c r="AD789" s="309">
        <f t="shared" si="99"/>
        <v>49174109.179159775</v>
      </c>
      <c r="AE789" s="309">
        <f t="shared" si="99"/>
        <v>29251352.41582657</v>
      </c>
      <c r="AF789" s="309">
        <f t="shared" si="99"/>
        <v>39507350.601857089</v>
      </c>
      <c r="AG789" s="309">
        <f t="shared" si="99"/>
        <v>45854296.779855371</v>
      </c>
      <c r="AH789" s="309">
        <f t="shared" si="99"/>
        <v>40283265.39599441</v>
      </c>
      <c r="AI789" s="309">
        <f t="shared" si="99"/>
        <v>24478459.934523534</v>
      </c>
      <c r="AJ789" s="309">
        <f t="shared" si="99"/>
        <v>37535423.621681705</v>
      </c>
      <c r="AK789" s="309">
        <f t="shared" si="99"/>
        <v>35385437.257290199</v>
      </c>
      <c r="AL789" s="309">
        <f t="shared" si="99"/>
        <v>18337343.809925791</v>
      </c>
      <c r="AM789" s="309">
        <f t="shared" si="99"/>
        <v>31552286.56634935</v>
      </c>
      <c r="AN789" s="309">
        <f t="shared" si="99"/>
        <v>4080903.2430346389</v>
      </c>
      <c r="AO789" s="309">
        <f t="shared" si="99"/>
        <v>4108335.9137078896</v>
      </c>
      <c r="AP789" s="309">
        <f t="shared" si="99"/>
        <v>4136699.8781865896</v>
      </c>
      <c r="AQ789" s="309">
        <f t="shared" si="99"/>
        <v>4133089.4220115296</v>
      </c>
      <c r="AR789" s="309">
        <f t="shared" si="99"/>
        <v>21703979.465836499</v>
      </c>
      <c r="AS789" s="309">
        <f t="shared" si="99"/>
        <v>2500227.2134114499</v>
      </c>
      <c r="AT789" s="309">
        <f t="shared" si="99"/>
        <v>2496616.7572363899</v>
      </c>
      <c r="AU789" s="309">
        <f t="shared" si="99"/>
        <v>2493735.6652752496</v>
      </c>
      <c r="AV789" s="309">
        <f t="shared" si="99"/>
        <v>2493562.4154454097</v>
      </c>
      <c r="AW789" s="309">
        <f t="shared" si="99"/>
        <v>2493562.4154454097</v>
      </c>
      <c r="AX789" s="309">
        <f t="shared" si="99"/>
        <v>2493562.4154454097</v>
      </c>
      <c r="AY789" s="309">
        <f t="shared" si="99"/>
        <v>19321249.407446209</v>
      </c>
      <c r="AZ789" s="309">
        <f t="shared" si="99"/>
        <v>20647828.773000002</v>
      </c>
      <c r="BA789" s="309">
        <f t="shared" si="99"/>
        <v>0</v>
      </c>
      <c r="BB789" s="309">
        <f t="shared" si="99"/>
        <v>0</v>
      </c>
      <c r="BC789" s="309">
        <f t="shared" si="99"/>
        <v>0</v>
      </c>
      <c r="BD789" s="309">
        <f t="shared" si="99"/>
        <v>0</v>
      </c>
      <c r="BE789" s="309">
        <f t="shared" si="99"/>
        <v>0</v>
      </c>
      <c r="BF789" s="309">
        <f t="shared" si="99"/>
        <v>0</v>
      </c>
      <c r="BG789" s="309">
        <f t="shared" si="99"/>
        <v>0</v>
      </c>
      <c r="BH789" s="309">
        <f t="shared" si="99"/>
        <v>0</v>
      </c>
      <c r="BI789" s="309">
        <f t="shared" si="99"/>
        <v>0</v>
      </c>
      <c r="BJ789" s="309">
        <f t="shared" si="99"/>
        <v>0</v>
      </c>
      <c r="BK789" s="309">
        <f t="shared" si="99"/>
        <v>0</v>
      </c>
    </row>
    <row r="790" spans="1:63">
      <c r="A790" s="167"/>
      <c r="B790" s="210" t="s">
        <v>28</v>
      </c>
      <c r="C790" s="254"/>
      <c r="D790" s="254"/>
      <c r="E790" s="254"/>
      <c r="F790" s="254"/>
      <c r="G790" s="254"/>
      <c r="H790" s="254"/>
      <c r="I790" s="254"/>
      <c r="J790" s="254"/>
      <c r="K790" s="254"/>
      <c r="L790" s="254"/>
      <c r="M790" s="254"/>
      <c r="N790" s="254"/>
      <c r="O790" s="254"/>
      <c r="P790" s="254"/>
      <c r="Q790" s="254"/>
      <c r="R790" s="254"/>
      <c r="S790" s="254"/>
      <c r="T790" s="254"/>
      <c r="U790" s="254"/>
      <c r="V790" s="255"/>
      <c r="W790" s="259"/>
      <c r="X790" s="259">
        <v>3314003.8339999998</v>
      </c>
      <c r="Y790" s="259">
        <v>68752839.883432806</v>
      </c>
      <c r="Z790" s="259">
        <v>24563559.256000001</v>
      </c>
      <c r="AA790" s="259">
        <v>36917323.385151997</v>
      </c>
      <c r="AB790" s="259">
        <v>29874329.910683788</v>
      </c>
      <c r="AC790" s="259">
        <v>41382498.898584001</v>
      </c>
      <c r="AD790" s="259">
        <v>31180974.699999999</v>
      </c>
      <c r="AE790" s="259">
        <v>13350478.642239999</v>
      </c>
      <c r="AF790" s="259">
        <v>23512761.507895</v>
      </c>
      <c r="AG790" s="259">
        <v>32118686.700000003</v>
      </c>
      <c r="AH790" s="259">
        <v>27953497.5</v>
      </c>
      <c r="AI790" s="259">
        <v>14112707.126111999</v>
      </c>
      <c r="AJ790" s="259">
        <v>27505275.300000001</v>
      </c>
      <c r="AK790" s="259">
        <v>27832381.468079999</v>
      </c>
      <c r="AL790" s="259">
        <v>12051017.199999999</v>
      </c>
      <c r="AM790" s="259">
        <v>26456533.584936</v>
      </c>
      <c r="AN790" s="259">
        <v>0</v>
      </c>
      <c r="AO790" s="259">
        <v>0</v>
      </c>
      <c r="AP790" s="259">
        <v>0</v>
      </c>
      <c r="AQ790" s="259">
        <v>0</v>
      </c>
      <c r="AR790" s="259">
        <v>18321222.399999999</v>
      </c>
      <c r="AS790" s="259">
        <v>0</v>
      </c>
      <c r="AT790" s="259">
        <v>0</v>
      </c>
      <c r="AU790" s="259">
        <v>0</v>
      </c>
      <c r="AV790" s="259">
        <v>0</v>
      </c>
      <c r="AW790" s="259">
        <v>0</v>
      </c>
      <c r="AX790" s="259">
        <v>0</v>
      </c>
      <c r="AY790" s="259">
        <v>17216196.644807998</v>
      </c>
      <c r="AZ790" s="259">
        <v>19439192.300000001</v>
      </c>
      <c r="BA790" s="259">
        <v>0</v>
      </c>
      <c r="BB790" s="259">
        <v>0</v>
      </c>
      <c r="BC790" s="259">
        <v>0</v>
      </c>
      <c r="BD790" s="259">
        <v>0</v>
      </c>
      <c r="BE790" s="259">
        <v>0</v>
      </c>
      <c r="BF790" s="259">
        <v>0</v>
      </c>
      <c r="BG790" s="259">
        <v>0</v>
      </c>
      <c r="BH790" s="259">
        <v>0</v>
      </c>
      <c r="BI790" s="259">
        <v>0</v>
      </c>
      <c r="BJ790" s="259">
        <v>0</v>
      </c>
      <c r="BK790" s="259">
        <v>0</v>
      </c>
    </row>
    <row r="791" spans="1:63">
      <c r="A791" s="168">
        <v>44865</v>
      </c>
      <c r="B791" s="213" t="s">
        <v>385</v>
      </c>
      <c r="C791" s="256"/>
      <c r="D791" s="256"/>
      <c r="E791" s="256"/>
      <c r="F791" s="256"/>
      <c r="G791" s="256"/>
      <c r="H791" s="256"/>
      <c r="I791" s="256"/>
      <c r="J791" s="256"/>
      <c r="K791" s="256"/>
      <c r="L791" s="256"/>
      <c r="M791" s="256"/>
      <c r="N791" s="256"/>
      <c r="O791" s="256"/>
      <c r="P791" s="256"/>
      <c r="Q791" s="256"/>
      <c r="R791" s="256"/>
      <c r="S791" s="256"/>
      <c r="T791" s="256"/>
      <c r="U791" s="256"/>
      <c r="V791" s="259"/>
      <c r="W791" s="259"/>
      <c r="X791" s="259">
        <v>2408350.3770194598</v>
      </c>
      <c r="Y791" s="259">
        <v>27717436.610223271</v>
      </c>
      <c r="Z791" s="259">
        <v>26164914.859863412</v>
      </c>
      <c r="AA791" s="259">
        <v>23860345.784228358</v>
      </c>
      <c r="AB791" s="259">
        <v>22093694.208746824</v>
      </c>
      <c r="AC791" s="259">
        <v>20028429.800338499</v>
      </c>
      <c r="AD791" s="259">
        <v>18169360.919039004</v>
      </c>
      <c r="AE791" s="259">
        <v>16423470.90396167</v>
      </c>
      <c r="AF791" s="259">
        <v>16167417.460896654</v>
      </c>
      <c r="AG791" s="259">
        <v>14581088.676222976</v>
      </c>
      <c r="AH791" s="259">
        <v>12458231.988678047</v>
      </c>
      <c r="AI791" s="259">
        <v>10633944.501996275</v>
      </c>
      <c r="AJ791" s="259">
        <v>10161403.147619724</v>
      </c>
      <c r="AK791" s="259">
        <v>8291461.274120356</v>
      </c>
      <c r="AL791" s="259">
        <v>6396105.4226288488</v>
      </c>
      <c r="AM791" s="259">
        <v>5714206.8714679042</v>
      </c>
      <c r="AN791" s="259">
        <v>4177054.2821358778</v>
      </c>
      <c r="AO791" s="259">
        <v>4204892.3066471657</v>
      </c>
      <c r="AP791" s="259">
        <v>4233673.7855790434</v>
      </c>
      <c r="AQ791" s="259">
        <v>4263427.0225641197</v>
      </c>
      <c r="AR791" s="259">
        <v>4294181.1703440305</v>
      </c>
      <c r="AS791" s="259">
        <v>2631253.1842425684</v>
      </c>
      <c r="AT791" s="259">
        <v>2664100.1364033041</v>
      </c>
      <c r="AU791" s="259">
        <v>2698770.1750280336</v>
      </c>
      <c r="AV791" s="259">
        <v>2737274.5897016395</v>
      </c>
      <c r="AW791" s="259">
        <v>2777112.584140189</v>
      </c>
      <c r="AX791" s="259">
        <v>2818145.7184118945</v>
      </c>
      <c r="AY791" s="259">
        <v>2860409.8467117511</v>
      </c>
      <c r="AZ791" s="259">
        <v>1409341.4417500012</v>
      </c>
      <c r="BA791" s="259">
        <v>0</v>
      </c>
      <c r="BB791" s="259">
        <v>0</v>
      </c>
      <c r="BC791" s="259">
        <v>0</v>
      </c>
      <c r="BD791" s="259">
        <v>0</v>
      </c>
      <c r="BE791" s="259">
        <v>0</v>
      </c>
      <c r="BF791" s="259">
        <v>0</v>
      </c>
      <c r="BG791" s="259">
        <v>0</v>
      </c>
      <c r="BH791" s="259">
        <v>0</v>
      </c>
      <c r="BI791" s="259">
        <v>0</v>
      </c>
      <c r="BJ791" s="259">
        <v>0</v>
      </c>
      <c r="BK791" s="259">
        <v>0</v>
      </c>
    </row>
    <row r="792" spans="1:63">
      <c r="A792" s="169"/>
      <c r="B792" s="307" t="s">
        <v>29</v>
      </c>
      <c r="C792" s="308"/>
      <c r="D792" s="308"/>
      <c r="E792" s="308"/>
      <c r="F792" s="308"/>
      <c r="G792" s="308"/>
      <c r="H792" s="308"/>
      <c r="I792" s="308"/>
      <c r="J792" s="308"/>
      <c r="K792" s="308"/>
      <c r="L792" s="308"/>
      <c r="M792" s="308"/>
      <c r="N792" s="308"/>
      <c r="O792" s="308"/>
      <c r="P792" s="308"/>
      <c r="Q792" s="308"/>
      <c r="R792" s="308"/>
      <c r="S792" s="308"/>
      <c r="T792" s="308"/>
      <c r="U792" s="308"/>
      <c r="V792" s="309"/>
      <c r="W792" s="309"/>
      <c r="X792" s="309">
        <f t="shared" ref="X792:BK792" si="100">X790+X791</f>
        <v>5722354.2110194601</v>
      </c>
      <c r="Y792" s="309">
        <f t="shared" si="100"/>
        <v>96470276.493656069</v>
      </c>
      <c r="Z792" s="309">
        <f t="shared" si="100"/>
        <v>50728474.115863413</v>
      </c>
      <c r="AA792" s="309">
        <f t="shared" si="100"/>
        <v>60777669.169380352</v>
      </c>
      <c r="AB792" s="309">
        <f t="shared" si="100"/>
        <v>51968024.119430616</v>
      </c>
      <c r="AC792" s="309">
        <f t="shared" si="100"/>
        <v>61410928.6989225</v>
      </c>
      <c r="AD792" s="309">
        <f t="shared" si="100"/>
        <v>49350335.619038999</v>
      </c>
      <c r="AE792" s="309">
        <f t="shared" si="100"/>
        <v>29773949.546201669</v>
      </c>
      <c r="AF792" s="309">
        <f t="shared" si="100"/>
        <v>39680178.968791656</v>
      </c>
      <c r="AG792" s="309">
        <f t="shared" si="100"/>
        <v>46699775.376222983</v>
      </c>
      <c r="AH792" s="309">
        <f t="shared" si="100"/>
        <v>40411729.488678046</v>
      </c>
      <c r="AI792" s="309">
        <f t="shared" si="100"/>
        <v>24746651.628108274</v>
      </c>
      <c r="AJ792" s="309">
        <f t="shared" si="100"/>
        <v>37666678.447619721</v>
      </c>
      <c r="AK792" s="309">
        <f t="shared" si="100"/>
        <v>36123842.742200352</v>
      </c>
      <c r="AL792" s="309">
        <f t="shared" si="100"/>
        <v>18447122.622628849</v>
      </c>
      <c r="AM792" s="309">
        <f t="shared" si="100"/>
        <v>32170740.456403904</v>
      </c>
      <c r="AN792" s="309">
        <f t="shared" si="100"/>
        <v>4177054.2821358778</v>
      </c>
      <c r="AO792" s="309">
        <f t="shared" si="100"/>
        <v>4204892.3066471657</v>
      </c>
      <c r="AP792" s="309">
        <f t="shared" si="100"/>
        <v>4233673.7855790434</v>
      </c>
      <c r="AQ792" s="309">
        <f t="shared" si="100"/>
        <v>4263427.0225641197</v>
      </c>
      <c r="AR792" s="309">
        <f t="shared" si="100"/>
        <v>22615403.570344031</v>
      </c>
      <c r="AS792" s="309">
        <f t="shared" si="100"/>
        <v>2631253.1842425684</v>
      </c>
      <c r="AT792" s="309">
        <f t="shared" si="100"/>
        <v>2664100.1364033041</v>
      </c>
      <c r="AU792" s="309">
        <f t="shared" si="100"/>
        <v>2698770.1750280336</v>
      </c>
      <c r="AV792" s="309">
        <f t="shared" si="100"/>
        <v>2737274.5897016395</v>
      </c>
      <c r="AW792" s="309">
        <f t="shared" si="100"/>
        <v>2777112.584140189</v>
      </c>
      <c r="AX792" s="309">
        <f t="shared" si="100"/>
        <v>2818145.7184118945</v>
      </c>
      <c r="AY792" s="309">
        <f t="shared" si="100"/>
        <v>20076606.491519749</v>
      </c>
      <c r="AZ792" s="309">
        <f t="shared" si="100"/>
        <v>20848533.741750002</v>
      </c>
      <c r="BA792" s="309">
        <f t="shared" si="100"/>
        <v>0</v>
      </c>
      <c r="BB792" s="309">
        <f t="shared" si="100"/>
        <v>0</v>
      </c>
      <c r="BC792" s="309">
        <f t="shared" si="100"/>
        <v>0</v>
      </c>
      <c r="BD792" s="309">
        <f t="shared" si="100"/>
        <v>0</v>
      </c>
      <c r="BE792" s="309">
        <f t="shared" si="100"/>
        <v>0</v>
      </c>
      <c r="BF792" s="309">
        <f t="shared" si="100"/>
        <v>0</v>
      </c>
      <c r="BG792" s="309">
        <f t="shared" si="100"/>
        <v>0</v>
      </c>
      <c r="BH792" s="309">
        <f t="shared" si="100"/>
        <v>0</v>
      </c>
      <c r="BI792" s="309">
        <f t="shared" si="100"/>
        <v>0</v>
      </c>
      <c r="BJ792" s="309">
        <f t="shared" si="100"/>
        <v>0</v>
      </c>
      <c r="BK792" s="309">
        <f t="shared" si="100"/>
        <v>0</v>
      </c>
    </row>
    <row r="793" spans="1:63">
      <c r="A793" s="167"/>
      <c r="B793" s="210" t="s">
        <v>28</v>
      </c>
      <c r="C793" s="254"/>
      <c r="D793" s="254"/>
      <c r="E793" s="254"/>
      <c r="F793" s="254"/>
      <c r="G793" s="254"/>
      <c r="H793" s="254"/>
      <c r="I793" s="254"/>
      <c r="J793" s="254"/>
      <c r="K793" s="254"/>
      <c r="L793" s="254"/>
      <c r="M793" s="254"/>
      <c r="N793" s="254"/>
      <c r="O793" s="254"/>
      <c r="P793" s="254"/>
      <c r="Q793" s="254"/>
      <c r="R793" s="254"/>
      <c r="S793" s="254"/>
      <c r="T793" s="254"/>
      <c r="U793" s="254"/>
      <c r="V793" s="255"/>
      <c r="W793" s="259"/>
      <c r="X793" s="259">
        <v>3314003.8339999998</v>
      </c>
      <c r="Y793" s="259">
        <v>68291537.139555186</v>
      </c>
      <c r="Z793" s="259">
        <v>24563559.256000001</v>
      </c>
      <c r="AA793" s="259">
        <v>37054720.7034394</v>
      </c>
      <c r="AB793" s="259">
        <v>29875100.525912378</v>
      </c>
      <c r="AC793" s="259">
        <v>41554623.517894797</v>
      </c>
      <c r="AD793" s="259">
        <v>31180974.699999999</v>
      </c>
      <c r="AE793" s="259">
        <v>13458605.777653001</v>
      </c>
      <c r="AF793" s="259">
        <v>23512761.507895</v>
      </c>
      <c r="AG793" s="259">
        <v>32320251.200000003</v>
      </c>
      <c r="AH793" s="259">
        <v>27953497.5</v>
      </c>
      <c r="AI793" s="259">
        <v>14227007.6454264</v>
      </c>
      <c r="AJ793" s="259">
        <v>27505275.300000001</v>
      </c>
      <c r="AK793" s="259">
        <v>28653415.296726003</v>
      </c>
      <c r="AL793" s="259">
        <v>12051017.199999999</v>
      </c>
      <c r="AM793" s="259">
        <v>26740641.164028</v>
      </c>
      <c r="AN793" s="259">
        <v>0</v>
      </c>
      <c r="AO793" s="259">
        <v>0</v>
      </c>
      <c r="AP793" s="259">
        <v>0</v>
      </c>
      <c r="AQ793" s="259">
        <v>0</v>
      </c>
      <c r="AR793" s="259">
        <v>18512219.699999999</v>
      </c>
      <c r="AS793" s="259">
        <v>0</v>
      </c>
      <c r="AT793" s="259">
        <v>0</v>
      </c>
      <c r="AU793" s="259">
        <v>0</v>
      </c>
      <c r="AV793" s="259">
        <v>0</v>
      </c>
      <c r="AW793" s="259">
        <v>0</v>
      </c>
      <c r="AX793" s="259">
        <v>0</v>
      </c>
      <c r="AY793" s="259">
        <v>17427161.354004599</v>
      </c>
      <c r="AZ793" s="259">
        <v>19463192.300000001</v>
      </c>
      <c r="BA793" s="259">
        <v>0</v>
      </c>
      <c r="BB793" s="259">
        <v>0</v>
      </c>
      <c r="BC793" s="259">
        <v>0</v>
      </c>
      <c r="BD793" s="259">
        <v>0</v>
      </c>
      <c r="BE793" s="259">
        <v>0</v>
      </c>
      <c r="BF793" s="259">
        <v>0</v>
      </c>
      <c r="BG793" s="259">
        <v>0</v>
      </c>
      <c r="BH793" s="259">
        <v>0</v>
      </c>
      <c r="BI793" s="259">
        <v>0</v>
      </c>
      <c r="BJ793" s="259">
        <v>0</v>
      </c>
      <c r="BK793" s="259">
        <v>0</v>
      </c>
    </row>
    <row r="794" spans="1:63">
      <c r="A794" s="168">
        <v>44895</v>
      </c>
      <c r="B794" s="213" t="s">
        <v>385</v>
      </c>
      <c r="C794" s="256"/>
      <c r="D794" s="256"/>
      <c r="E794" s="256"/>
      <c r="F794" s="256"/>
      <c r="G794" s="256"/>
      <c r="H794" s="256"/>
      <c r="I794" s="256"/>
      <c r="J794" s="256"/>
      <c r="K794" s="256"/>
      <c r="L794" s="256"/>
      <c r="M794" s="256"/>
      <c r="N794" s="256"/>
      <c r="O794" s="256"/>
      <c r="P794" s="256"/>
      <c r="Q794" s="256"/>
      <c r="R794" s="256"/>
      <c r="S794" s="256"/>
      <c r="T794" s="256"/>
      <c r="U794" s="256"/>
      <c r="V794" s="259"/>
      <c r="W794" s="259"/>
      <c r="X794" s="259">
        <v>75.847569100000001</v>
      </c>
      <c r="Y794" s="259">
        <v>27628012.681204319</v>
      </c>
      <c r="Z794" s="259">
        <v>26116288.202918984</v>
      </c>
      <c r="AA794" s="259">
        <v>23821336.548911486</v>
      </c>
      <c r="AB794" s="259">
        <v>22064334.002979644</v>
      </c>
      <c r="AC794" s="259">
        <v>20008726.989581883</v>
      </c>
      <c r="AD794" s="259">
        <v>18159373.972747441</v>
      </c>
      <c r="AE794" s="259">
        <v>16423236.276309473</v>
      </c>
      <c r="AF794" s="259">
        <v>16176971.370547153</v>
      </c>
      <c r="AG794" s="259">
        <v>14600468.460741065</v>
      </c>
      <c r="AH794" s="259">
        <v>12473366.574345797</v>
      </c>
      <c r="AI794" s="259">
        <v>10655996.917878672</v>
      </c>
      <c r="AJ794" s="259">
        <v>10188762.358739343</v>
      </c>
      <c r="AK794" s="259">
        <v>8324169.2863040268</v>
      </c>
      <c r="AL794" s="259">
        <v>6391252.6287500113</v>
      </c>
      <c r="AM794" s="259">
        <v>5713502.12244251</v>
      </c>
      <c r="AN794" s="259">
        <v>4176064.7944129175</v>
      </c>
      <c r="AO794" s="259">
        <v>4207642.8853253052</v>
      </c>
      <c r="AP794" s="259">
        <v>4240168.3189650644</v>
      </c>
      <c r="AQ794" s="259">
        <v>4273669.515614016</v>
      </c>
      <c r="AR794" s="259">
        <v>4308175.7481624372</v>
      </c>
      <c r="AS794" s="259">
        <v>2631336.8454373097</v>
      </c>
      <c r="AT794" s="259">
        <v>2667944.507547929</v>
      </c>
      <c r="AU794" s="259">
        <v>2705650.3995218668</v>
      </c>
      <c r="AV794" s="259">
        <v>2744487.4682550235</v>
      </c>
      <c r="AW794" s="259">
        <v>2784489.6490501743</v>
      </c>
      <c r="AX794" s="259">
        <v>2825691.8952691793</v>
      </c>
      <c r="AY794" s="259">
        <v>2868130.2088747546</v>
      </c>
      <c r="AZ794" s="259">
        <v>1411081.4417500012</v>
      </c>
      <c r="BA794" s="259">
        <v>0</v>
      </c>
      <c r="BB794" s="259">
        <v>0</v>
      </c>
      <c r="BC794" s="259">
        <v>0</v>
      </c>
      <c r="BD794" s="259">
        <v>0</v>
      </c>
      <c r="BE794" s="259">
        <v>0</v>
      </c>
      <c r="BF794" s="259">
        <v>0</v>
      </c>
      <c r="BG794" s="259">
        <v>0</v>
      </c>
      <c r="BH794" s="259">
        <v>0</v>
      </c>
      <c r="BI794" s="259">
        <v>0</v>
      </c>
      <c r="BJ794" s="259">
        <v>0</v>
      </c>
      <c r="BK794" s="259">
        <v>0</v>
      </c>
    </row>
    <row r="795" spans="1:63">
      <c r="A795" s="169"/>
      <c r="B795" s="307" t="s">
        <v>29</v>
      </c>
      <c r="C795" s="308"/>
      <c r="D795" s="308"/>
      <c r="E795" s="308"/>
      <c r="F795" s="308"/>
      <c r="G795" s="308"/>
      <c r="H795" s="308"/>
      <c r="I795" s="308"/>
      <c r="J795" s="308"/>
      <c r="K795" s="308"/>
      <c r="L795" s="308"/>
      <c r="M795" s="308"/>
      <c r="N795" s="308"/>
      <c r="O795" s="308"/>
      <c r="P795" s="308"/>
      <c r="Q795" s="308"/>
      <c r="R795" s="308"/>
      <c r="S795" s="308"/>
      <c r="T795" s="308"/>
      <c r="U795" s="308"/>
      <c r="V795" s="309"/>
      <c r="W795" s="309"/>
      <c r="X795" s="309">
        <f t="shared" ref="X795:BK795" si="101">X793+X794</f>
        <v>3314079.6815690999</v>
      </c>
      <c r="Y795" s="309">
        <f t="shared" si="101"/>
        <v>95919549.820759505</v>
      </c>
      <c r="Z795" s="309">
        <f t="shared" si="101"/>
        <v>50679847.458918989</v>
      </c>
      <c r="AA795" s="309">
        <f t="shared" si="101"/>
        <v>60876057.252350882</v>
      </c>
      <c r="AB795" s="309">
        <f t="shared" si="101"/>
        <v>51939434.528892025</v>
      </c>
      <c r="AC795" s="309">
        <f t="shared" si="101"/>
        <v>61563350.50747668</v>
      </c>
      <c r="AD795" s="309">
        <f t="shared" si="101"/>
        <v>49340348.672747441</v>
      </c>
      <c r="AE795" s="309">
        <f t="shared" si="101"/>
        <v>29881842.053962477</v>
      </c>
      <c r="AF795" s="309">
        <f t="shared" si="101"/>
        <v>39689732.878442153</v>
      </c>
      <c r="AG795" s="309">
        <f t="shared" si="101"/>
        <v>46920719.660741068</v>
      </c>
      <c r="AH795" s="309">
        <f t="shared" si="101"/>
        <v>40426864.074345797</v>
      </c>
      <c r="AI795" s="309">
        <f t="shared" si="101"/>
        <v>24883004.563305072</v>
      </c>
      <c r="AJ795" s="309">
        <f t="shared" si="101"/>
        <v>37694037.658739343</v>
      </c>
      <c r="AK795" s="309">
        <f t="shared" si="101"/>
        <v>36977584.58303003</v>
      </c>
      <c r="AL795" s="309">
        <f t="shared" si="101"/>
        <v>18442269.828750011</v>
      </c>
      <c r="AM795" s="309">
        <f t="shared" si="101"/>
        <v>32454143.28647051</v>
      </c>
      <c r="AN795" s="309">
        <f t="shared" si="101"/>
        <v>4176064.7944129175</v>
      </c>
      <c r="AO795" s="309">
        <f t="shared" si="101"/>
        <v>4207642.8853253052</v>
      </c>
      <c r="AP795" s="309">
        <f t="shared" si="101"/>
        <v>4240168.3189650644</v>
      </c>
      <c r="AQ795" s="309">
        <f t="shared" si="101"/>
        <v>4273669.515614016</v>
      </c>
      <c r="AR795" s="309">
        <f t="shared" si="101"/>
        <v>22820395.448162436</v>
      </c>
      <c r="AS795" s="309">
        <f t="shared" si="101"/>
        <v>2631336.8454373097</v>
      </c>
      <c r="AT795" s="309">
        <f t="shared" si="101"/>
        <v>2667944.507547929</v>
      </c>
      <c r="AU795" s="309">
        <f t="shared" si="101"/>
        <v>2705650.3995218668</v>
      </c>
      <c r="AV795" s="309">
        <f t="shared" si="101"/>
        <v>2744487.4682550235</v>
      </c>
      <c r="AW795" s="309">
        <f t="shared" si="101"/>
        <v>2784489.6490501743</v>
      </c>
      <c r="AX795" s="309">
        <f t="shared" si="101"/>
        <v>2825691.8952691793</v>
      </c>
      <c r="AY795" s="309">
        <f t="shared" si="101"/>
        <v>20295291.562879354</v>
      </c>
      <c r="AZ795" s="309">
        <f t="shared" si="101"/>
        <v>20874273.741750002</v>
      </c>
      <c r="BA795" s="309">
        <f t="shared" si="101"/>
        <v>0</v>
      </c>
      <c r="BB795" s="309">
        <f t="shared" si="101"/>
        <v>0</v>
      </c>
      <c r="BC795" s="309">
        <f t="shared" si="101"/>
        <v>0</v>
      </c>
      <c r="BD795" s="309">
        <f t="shared" si="101"/>
        <v>0</v>
      </c>
      <c r="BE795" s="309">
        <f t="shared" si="101"/>
        <v>0</v>
      </c>
      <c r="BF795" s="309">
        <f t="shared" si="101"/>
        <v>0</v>
      </c>
      <c r="BG795" s="309">
        <f t="shared" si="101"/>
        <v>0</v>
      </c>
      <c r="BH795" s="309">
        <f t="shared" si="101"/>
        <v>0</v>
      </c>
      <c r="BI795" s="309">
        <f t="shared" si="101"/>
        <v>0</v>
      </c>
      <c r="BJ795" s="309">
        <f t="shared" si="101"/>
        <v>0</v>
      </c>
      <c r="BK795" s="309">
        <f t="shared" si="101"/>
        <v>0</v>
      </c>
    </row>
    <row r="796" spans="1:63">
      <c r="A796" s="167"/>
      <c r="B796" s="210" t="s">
        <v>28</v>
      </c>
      <c r="C796" s="254"/>
      <c r="D796" s="254"/>
      <c r="E796" s="254"/>
      <c r="F796" s="254"/>
      <c r="G796" s="254"/>
      <c r="H796" s="254"/>
      <c r="I796" s="254"/>
      <c r="J796" s="254"/>
      <c r="K796" s="254"/>
      <c r="L796" s="254"/>
      <c r="M796" s="254"/>
      <c r="N796" s="254"/>
      <c r="O796" s="254"/>
      <c r="P796" s="254"/>
      <c r="Q796" s="254"/>
      <c r="R796" s="254"/>
      <c r="S796" s="254"/>
      <c r="T796" s="254"/>
      <c r="U796" s="254"/>
      <c r="V796" s="255"/>
      <c r="W796" s="259"/>
      <c r="X796" s="259"/>
      <c r="Y796" s="259">
        <v>77081983.91946879</v>
      </c>
      <c r="Z796" s="259">
        <v>24563559.256000001</v>
      </c>
      <c r="AA796" s="259">
        <v>37184261.738043703</v>
      </c>
      <c r="AB796" s="259">
        <v>30813812.891984381</v>
      </c>
      <c r="AC796" s="259">
        <v>41716906.170455396</v>
      </c>
      <c r="AD796" s="259">
        <v>31180974.699999999</v>
      </c>
      <c r="AE796" s="259">
        <v>13560550.278206499</v>
      </c>
      <c r="AF796" s="259">
        <v>23512761.507895</v>
      </c>
      <c r="AG796" s="259">
        <v>32398863.400000002</v>
      </c>
      <c r="AH796" s="259">
        <v>27953497.5</v>
      </c>
      <c r="AI796" s="259">
        <v>14334772.540057199</v>
      </c>
      <c r="AJ796" s="259">
        <v>27505275.300000001</v>
      </c>
      <c r="AK796" s="259">
        <v>30857053.6690416</v>
      </c>
      <c r="AL796" s="259">
        <v>12051017.199999999</v>
      </c>
      <c r="AM796" s="259">
        <v>26943192.708893999</v>
      </c>
      <c r="AN796" s="259">
        <v>0</v>
      </c>
      <c r="AO796" s="259">
        <v>0</v>
      </c>
      <c r="AP796" s="259">
        <v>0</v>
      </c>
      <c r="AQ796" s="259">
        <v>0</v>
      </c>
      <c r="AR796" s="259">
        <v>18537755.600000001</v>
      </c>
      <c r="AS796" s="259">
        <v>0</v>
      </c>
      <c r="AT796" s="259">
        <v>0</v>
      </c>
      <c r="AU796" s="259">
        <v>0</v>
      </c>
      <c r="AV796" s="259">
        <v>0</v>
      </c>
      <c r="AW796" s="259">
        <v>0</v>
      </c>
      <c r="AX796" s="259">
        <v>0</v>
      </c>
      <c r="AY796" s="259">
        <v>17583171.462618299</v>
      </c>
      <c r="AZ796" s="259">
        <v>19494992.300000001</v>
      </c>
      <c r="BA796" s="259">
        <v>0</v>
      </c>
      <c r="BB796" s="259">
        <v>0</v>
      </c>
      <c r="BC796" s="259">
        <v>0</v>
      </c>
      <c r="BD796" s="259">
        <v>0</v>
      </c>
      <c r="BE796" s="259">
        <v>0</v>
      </c>
      <c r="BF796" s="259">
        <v>0</v>
      </c>
      <c r="BG796" s="259">
        <v>0</v>
      </c>
      <c r="BH796" s="259">
        <v>0</v>
      </c>
      <c r="BI796" s="259">
        <v>0</v>
      </c>
      <c r="BJ796" s="259">
        <v>0</v>
      </c>
      <c r="BK796" s="259">
        <v>0</v>
      </c>
    </row>
    <row r="797" spans="1:63">
      <c r="A797" s="168">
        <v>44926</v>
      </c>
      <c r="B797" s="213" t="s">
        <v>385</v>
      </c>
      <c r="C797" s="256"/>
      <c r="D797" s="256"/>
      <c r="E797" s="256"/>
      <c r="F797" s="256"/>
      <c r="G797" s="256"/>
      <c r="H797" s="256"/>
      <c r="I797" s="256"/>
      <c r="J797" s="256"/>
      <c r="K797" s="256"/>
      <c r="L797" s="256"/>
      <c r="M797" s="256"/>
      <c r="N797" s="256"/>
      <c r="O797" s="256"/>
      <c r="P797" s="256"/>
      <c r="Q797" s="256"/>
      <c r="R797" s="256"/>
      <c r="S797" s="256"/>
      <c r="T797" s="256"/>
      <c r="U797" s="256"/>
      <c r="V797" s="259"/>
      <c r="W797" s="259"/>
      <c r="X797" s="259"/>
      <c r="Y797" s="259">
        <v>27754653.851008207</v>
      </c>
      <c r="Z797" s="259">
        <v>26492673.955284663</v>
      </c>
      <c r="AA797" s="259">
        <v>24206588.136105638</v>
      </c>
      <c r="AB797" s="259">
        <v>22434677.915646583</v>
      </c>
      <c r="AC797" s="259">
        <v>20317067.981886327</v>
      </c>
      <c r="AD797" s="259">
        <v>18446536.249163877</v>
      </c>
      <c r="AE797" s="259">
        <v>16718708.30827589</v>
      </c>
      <c r="AF797" s="259">
        <v>16467314.294214107</v>
      </c>
      <c r="AG797" s="259">
        <v>14899216.559375528</v>
      </c>
      <c r="AH797" s="259">
        <v>12775269.149196804</v>
      </c>
      <c r="AI797" s="259">
        <v>10966816.542852705</v>
      </c>
      <c r="AJ797" s="259">
        <v>10487052.231823448</v>
      </c>
      <c r="AK797" s="259">
        <v>8631267.828458149</v>
      </c>
      <c r="AL797" s="259">
        <v>6486721.796716217</v>
      </c>
      <c r="AM797" s="259">
        <v>5811695.3383252025</v>
      </c>
      <c r="AN797" s="259">
        <v>4219643.7692111535</v>
      </c>
      <c r="AO797" s="259">
        <v>4252389.2022449877</v>
      </c>
      <c r="AP797" s="259">
        <v>4286116.9982698373</v>
      </c>
      <c r="AQ797" s="259">
        <v>4320856.6281754328</v>
      </c>
      <c r="AR797" s="259">
        <v>4356638.4469781965</v>
      </c>
      <c r="AS797" s="259">
        <v>2678751.3273450416</v>
      </c>
      <c r="AT797" s="259">
        <v>2716712.258912893</v>
      </c>
      <c r="AU797" s="259">
        <v>2755812.0184277799</v>
      </c>
      <c r="AV797" s="259">
        <v>2796084.7707281131</v>
      </c>
      <c r="AW797" s="259">
        <v>2837565.7055974565</v>
      </c>
      <c r="AX797" s="259">
        <v>2880291.0685128802</v>
      </c>
      <c r="AY797" s="259">
        <v>2924298.1923157647</v>
      </c>
      <c r="AZ797" s="259">
        <v>1413386.9417500012</v>
      </c>
      <c r="BA797" s="259">
        <v>0</v>
      </c>
      <c r="BB797" s="259">
        <v>0</v>
      </c>
      <c r="BC797" s="259">
        <v>0</v>
      </c>
      <c r="BD797" s="259">
        <v>0</v>
      </c>
      <c r="BE797" s="259">
        <v>0</v>
      </c>
      <c r="BF797" s="259">
        <v>0</v>
      </c>
      <c r="BG797" s="259">
        <v>0</v>
      </c>
      <c r="BH797" s="259">
        <v>0</v>
      </c>
      <c r="BI797" s="259">
        <v>0</v>
      </c>
      <c r="BJ797" s="259">
        <v>0</v>
      </c>
      <c r="BK797" s="259">
        <v>0</v>
      </c>
    </row>
    <row r="798" spans="1:63">
      <c r="A798" s="169"/>
      <c r="B798" s="307" t="s">
        <v>29</v>
      </c>
      <c r="C798" s="308"/>
      <c r="D798" s="308"/>
      <c r="E798" s="308"/>
      <c r="F798" s="308"/>
      <c r="G798" s="308"/>
      <c r="H798" s="308"/>
      <c r="I798" s="308"/>
      <c r="J798" s="308"/>
      <c r="K798" s="308"/>
      <c r="L798" s="308"/>
      <c r="M798" s="308"/>
      <c r="N798" s="308"/>
      <c r="O798" s="308"/>
      <c r="P798" s="308"/>
      <c r="Q798" s="308"/>
      <c r="R798" s="308"/>
      <c r="S798" s="308"/>
      <c r="T798" s="308"/>
      <c r="U798" s="308"/>
      <c r="V798" s="309"/>
      <c r="W798" s="309"/>
      <c r="X798" s="309"/>
      <c r="Y798" s="309">
        <f t="shared" ref="Y798:BK798" si="102">Y796+Y797</f>
        <v>104836637.770477</v>
      </c>
      <c r="Z798" s="309">
        <f t="shared" si="102"/>
        <v>51056233.211284667</v>
      </c>
      <c r="AA798" s="309">
        <f t="shared" si="102"/>
        <v>61390849.874149337</v>
      </c>
      <c r="AB798" s="309">
        <f t="shared" si="102"/>
        <v>53248490.807630964</v>
      </c>
      <c r="AC798" s="309">
        <f t="shared" si="102"/>
        <v>62033974.152341723</v>
      </c>
      <c r="AD798" s="309">
        <f t="shared" si="102"/>
        <v>49627510.949163876</v>
      </c>
      <c r="AE798" s="309">
        <f t="shared" si="102"/>
        <v>30279258.586482391</v>
      </c>
      <c r="AF798" s="309">
        <f t="shared" si="102"/>
        <v>39980075.802109107</v>
      </c>
      <c r="AG798" s="309">
        <f t="shared" si="102"/>
        <v>47298079.95937553</v>
      </c>
      <c r="AH798" s="309">
        <f t="shared" si="102"/>
        <v>40728766.649196804</v>
      </c>
      <c r="AI798" s="309">
        <f t="shared" si="102"/>
        <v>25301589.082909904</v>
      </c>
      <c r="AJ798" s="309">
        <f t="shared" si="102"/>
        <v>37992327.531823449</v>
      </c>
      <c r="AK798" s="309">
        <f t="shared" si="102"/>
        <v>39488321.497499749</v>
      </c>
      <c r="AL798" s="309">
        <f t="shared" si="102"/>
        <v>18537738.996716216</v>
      </c>
      <c r="AM798" s="309">
        <f t="shared" si="102"/>
        <v>32754888.047219202</v>
      </c>
      <c r="AN798" s="309">
        <f t="shared" si="102"/>
        <v>4219643.7692111535</v>
      </c>
      <c r="AO798" s="309">
        <f t="shared" si="102"/>
        <v>4252389.2022449877</v>
      </c>
      <c r="AP798" s="309">
        <f t="shared" si="102"/>
        <v>4286116.9982698373</v>
      </c>
      <c r="AQ798" s="309">
        <f t="shared" si="102"/>
        <v>4320856.6281754328</v>
      </c>
      <c r="AR798" s="309">
        <f t="shared" si="102"/>
        <v>22894394.046978198</v>
      </c>
      <c r="AS798" s="309">
        <f t="shared" si="102"/>
        <v>2678751.3273450416</v>
      </c>
      <c r="AT798" s="309">
        <f t="shared" si="102"/>
        <v>2716712.258912893</v>
      </c>
      <c r="AU798" s="309">
        <f t="shared" si="102"/>
        <v>2755812.0184277799</v>
      </c>
      <c r="AV798" s="309">
        <f t="shared" si="102"/>
        <v>2796084.7707281131</v>
      </c>
      <c r="AW798" s="309">
        <f t="shared" si="102"/>
        <v>2837565.7055974565</v>
      </c>
      <c r="AX798" s="309">
        <f t="shared" si="102"/>
        <v>2880291.0685128802</v>
      </c>
      <c r="AY798" s="309">
        <f t="shared" si="102"/>
        <v>20507469.654934064</v>
      </c>
      <c r="AZ798" s="309">
        <f t="shared" si="102"/>
        <v>20908379.241750002</v>
      </c>
      <c r="BA798" s="309">
        <f t="shared" si="102"/>
        <v>0</v>
      </c>
      <c r="BB798" s="309">
        <f t="shared" si="102"/>
        <v>0</v>
      </c>
      <c r="BC798" s="309">
        <f t="shared" si="102"/>
        <v>0</v>
      </c>
      <c r="BD798" s="309">
        <f t="shared" si="102"/>
        <v>0</v>
      </c>
      <c r="BE798" s="309">
        <f t="shared" si="102"/>
        <v>0</v>
      </c>
      <c r="BF798" s="309">
        <f t="shared" si="102"/>
        <v>0</v>
      </c>
      <c r="BG798" s="309">
        <f t="shared" si="102"/>
        <v>0</v>
      </c>
      <c r="BH798" s="309">
        <f t="shared" si="102"/>
        <v>0</v>
      </c>
      <c r="BI798" s="309">
        <f t="shared" si="102"/>
        <v>0</v>
      </c>
      <c r="BJ798" s="309">
        <f t="shared" si="102"/>
        <v>0</v>
      </c>
      <c r="BK798" s="309">
        <f t="shared" si="102"/>
        <v>0</v>
      </c>
    </row>
    <row r="799" spans="1:63">
      <c r="A799" s="167"/>
      <c r="B799" s="210" t="s">
        <v>28</v>
      </c>
      <c r="C799" s="254"/>
      <c r="D799" s="254"/>
      <c r="E799" s="254"/>
      <c r="F799" s="254"/>
      <c r="G799" s="254"/>
      <c r="H799" s="254"/>
      <c r="I799" s="254"/>
      <c r="J799" s="254"/>
      <c r="K799" s="254"/>
      <c r="L799" s="254"/>
      <c r="M799" s="254"/>
      <c r="N799" s="254"/>
      <c r="O799" s="254"/>
      <c r="P799" s="254"/>
      <c r="Q799" s="254"/>
      <c r="R799" s="254"/>
      <c r="S799" s="254"/>
      <c r="T799" s="254"/>
      <c r="U799" s="254"/>
      <c r="V799" s="255"/>
      <c r="W799" s="259"/>
      <c r="X799" s="259"/>
      <c r="Y799" s="259">
        <v>59514985.538986854</v>
      </c>
      <c r="Z799" s="259">
        <v>43044976.088587001</v>
      </c>
      <c r="AA799" s="259">
        <v>37360473.0285234</v>
      </c>
      <c r="AB799" s="259">
        <v>30813812.891984381</v>
      </c>
      <c r="AC799" s="259">
        <v>41937655.029822797</v>
      </c>
      <c r="AD799" s="259">
        <v>31180974.699999999</v>
      </c>
      <c r="AE799" s="259">
        <v>14022171.688214999</v>
      </c>
      <c r="AF799" s="259">
        <v>23512761.752874799</v>
      </c>
      <c r="AG799" s="259">
        <v>32398863.400000002</v>
      </c>
      <c r="AH799" s="259">
        <v>27953497.5</v>
      </c>
      <c r="AI799" s="259">
        <v>16861539.2153304</v>
      </c>
      <c r="AJ799" s="259">
        <v>27505275.300000001</v>
      </c>
      <c r="AK799" s="259">
        <v>31172603.047331199</v>
      </c>
      <c r="AL799" s="259">
        <v>12051017.199999999</v>
      </c>
      <c r="AM799" s="259">
        <v>27963174.529600799</v>
      </c>
      <c r="AN799" s="259">
        <v>0</v>
      </c>
      <c r="AO799" s="259">
        <v>0</v>
      </c>
      <c r="AP799" s="259">
        <v>0</v>
      </c>
      <c r="AQ799" s="259">
        <v>0</v>
      </c>
      <c r="AR799" s="259">
        <v>18698541.199999999</v>
      </c>
      <c r="AS799" s="259">
        <v>0</v>
      </c>
      <c r="AT799" s="259">
        <v>0</v>
      </c>
      <c r="AU799" s="259">
        <v>0</v>
      </c>
      <c r="AV799" s="259">
        <v>0</v>
      </c>
      <c r="AW799" s="259">
        <v>0</v>
      </c>
      <c r="AX799" s="259">
        <v>0</v>
      </c>
      <c r="AY799" s="259">
        <v>18299783.961516399</v>
      </c>
      <c r="AZ799" s="259">
        <v>19654253.899999999</v>
      </c>
      <c r="BA799" s="259">
        <v>0</v>
      </c>
      <c r="BB799" s="259">
        <v>0</v>
      </c>
      <c r="BC799" s="259">
        <v>0</v>
      </c>
      <c r="BD799" s="259">
        <v>0</v>
      </c>
      <c r="BE799" s="259">
        <v>0</v>
      </c>
      <c r="BF799" s="259">
        <v>0</v>
      </c>
      <c r="BG799" s="259">
        <v>0</v>
      </c>
      <c r="BH799" s="259">
        <v>0</v>
      </c>
      <c r="BI799" s="259">
        <v>0</v>
      </c>
      <c r="BJ799" s="259">
        <v>0</v>
      </c>
      <c r="BK799" s="259">
        <v>0</v>
      </c>
    </row>
    <row r="800" spans="1:63">
      <c r="A800" s="168">
        <v>44957</v>
      </c>
      <c r="B800" s="213" t="s">
        <v>385</v>
      </c>
      <c r="C800" s="256"/>
      <c r="D800" s="256"/>
      <c r="E800" s="256"/>
      <c r="F800" s="256"/>
      <c r="G800" s="256"/>
      <c r="H800" s="256"/>
      <c r="I800" s="256"/>
      <c r="J800" s="256"/>
      <c r="K800" s="256"/>
      <c r="L800" s="256"/>
      <c r="M800" s="256"/>
      <c r="N800" s="256"/>
      <c r="O800" s="256"/>
      <c r="P800" s="256"/>
      <c r="Q800" s="256"/>
      <c r="R800" s="256"/>
      <c r="S800" s="256"/>
      <c r="T800" s="256"/>
      <c r="U800" s="256"/>
      <c r="V800" s="259"/>
      <c r="W800" s="259"/>
      <c r="X800" s="259"/>
      <c r="Y800" s="259">
        <v>28153483.318951689</v>
      </c>
      <c r="Z800" s="259">
        <v>26894389.490099639</v>
      </c>
      <c r="AA800" s="259">
        <v>24610101.35976756</v>
      </c>
      <c r="AB800" s="259">
        <v>22840042.758820862</v>
      </c>
      <c r="AC800" s="259">
        <v>20724339.993158333</v>
      </c>
      <c r="AD800" s="259">
        <v>18855772.643576544</v>
      </c>
      <c r="AE800" s="259">
        <v>17129968.017323442</v>
      </c>
      <c r="AF800" s="259">
        <v>16871258.598360717</v>
      </c>
      <c r="AG800" s="259">
        <v>15305025.415449042</v>
      </c>
      <c r="AH800" s="259">
        <v>13182998.493755013</v>
      </c>
      <c r="AI800" s="259">
        <v>11376523.99055016</v>
      </c>
      <c r="AJ800" s="259">
        <v>10583423.68650433</v>
      </c>
      <c r="AK800" s="259">
        <v>8729737.8527594656</v>
      </c>
      <c r="AL800" s="259">
        <v>6587353.3477265649</v>
      </c>
      <c r="AM800" s="259">
        <v>5914553.2618458644</v>
      </c>
      <c r="AN800" s="259">
        <v>4279048.887368599</v>
      </c>
      <c r="AO800" s="259">
        <v>4312783.899927157</v>
      </c>
      <c r="AP800" s="259">
        <v>4347530.9628624711</v>
      </c>
      <c r="AQ800" s="259">
        <v>4383320.4376858454</v>
      </c>
      <c r="AR800" s="259">
        <v>4420183.5967539214</v>
      </c>
      <c r="AS800" s="259">
        <v>2728537.5895940387</v>
      </c>
      <c r="AT800" s="259">
        <v>2767645.7150493599</v>
      </c>
      <c r="AU800" s="259">
        <v>2807927.0842683408</v>
      </c>
      <c r="AV800" s="259">
        <v>2849416.894563891</v>
      </c>
      <c r="AW800" s="259">
        <v>2892151.3991683079</v>
      </c>
      <c r="AX800" s="259">
        <v>2936167.9389108573</v>
      </c>
      <c r="AY800" s="259">
        <v>2981504.9748456813</v>
      </c>
      <c r="AZ800" s="259">
        <v>1424933.4077499993</v>
      </c>
      <c r="BA800" s="259">
        <v>0</v>
      </c>
      <c r="BB800" s="259">
        <v>0</v>
      </c>
      <c r="BC800" s="259">
        <v>0</v>
      </c>
      <c r="BD800" s="259">
        <v>0</v>
      </c>
      <c r="BE800" s="259">
        <v>0</v>
      </c>
      <c r="BF800" s="259">
        <v>0</v>
      </c>
      <c r="BG800" s="259">
        <v>0</v>
      </c>
      <c r="BH800" s="259">
        <v>0</v>
      </c>
      <c r="BI800" s="259">
        <v>0</v>
      </c>
      <c r="BJ800" s="259">
        <v>0</v>
      </c>
      <c r="BK800" s="259">
        <v>0</v>
      </c>
    </row>
    <row r="801" spans="1:63">
      <c r="A801" s="169"/>
      <c r="B801" s="307" t="s">
        <v>29</v>
      </c>
      <c r="C801" s="308"/>
      <c r="D801" s="308"/>
      <c r="E801" s="308"/>
      <c r="F801" s="308"/>
      <c r="G801" s="308"/>
      <c r="H801" s="308"/>
      <c r="I801" s="308"/>
      <c r="J801" s="308"/>
      <c r="K801" s="308"/>
      <c r="L801" s="308"/>
      <c r="M801" s="308"/>
      <c r="N801" s="308"/>
      <c r="O801" s="308"/>
      <c r="P801" s="308"/>
      <c r="Q801" s="308"/>
      <c r="R801" s="308"/>
      <c r="S801" s="308"/>
      <c r="T801" s="308"/>
      <c r="U801" s="308"/>
      <c r="V801" s="309"/>
      <c r="W801" s="309"/>
      <c r="X801" s="309"/>
      <c r="Y801" s="309">
        <f t="shared" ref="Y801:BK801" si="103">Y799+Y800</f>
        <v>87668468.857938543</v>
      </c>
      <c r="Z801" s="309">
        <f t="shared" si="103"/>
        <v>69939365.57868664</v>
      </c>
      <c r="AA801" s="309">
        <f t="shared" si="103"/>
        <v>61970574.388290957</v>
      </c>
      <c r="AB801" s="309">
        <f t="shared" si="103"/>
        <v>53653855.650805242</v>
      </c>
      <c r="AC801" s="309">
        <f t="shared" si="103"/>
        <v>62661995.02298113</v>
      </c>
      <c r="AD801" s="309">
        <f t="shared" si="103"/>
        <v>50036747.343576543</v>
      </c>
      <c r="AE801" s="309">
        <f t="shared" si="103"/>
        <v>31152139.70553844</v>
      </c>
      <c r="AF801" s="309">
        <f t="shared" si="103"/>
        <v>40384020.351235516</v>
      </c>
      <c r="AG801" s="309">
        <f t="shared" si="103"/>
        <v>47703888.815449044</v>
      </c>
      <c r="AH801" s="309">
        <f t="shared" si="103"/>
        <v>41136495.993755013</v>
      </c>
      <c r="AI801" s="309">
        <f t="shared" si="103"/>
        <v>28238063.20588056</v>
      </c>
      <c r="AJ801" s="309">
        <f t="shared" si="103"/>
        <v>38088698.986504331</v>
      </c>
      <c r="AK801" s="309">
        <f t="shared" si="103"/>
        <v>39902340.900090665</v>
      </c>
      <c r="AL801" s="309">
        <f t="shared" si="103"/>
        <v>18638370.547726564</v>
      </c>
      <c r="AM801" s="309">
        <f t="shared" si="103"/>
        <v>33877727.791446663</v>
      </c>
      <c r="AN801" s="309">
        <f t="shared" si="103"/>
        <v>4279048.887368599</v>
      </c>
      <c r="AO801" s="309">
        <f t="shared" si="103"/>
        <v>4312783.899927157</v>
      </c>
      <c r="AP801" s="309">
        <f t="shared" si="103"/>
        <v>4347530.9628624711</v>
      </c>
      <c r="AQ801" s="309">
        <f t="shared" si="103"/>
        <v>4383320.4376858454</v>
      </c>
      <c r="AR801" s="309">
        <f t="shared" si="103"/>
        <v>23118724.796753921</v>
      </c>
      <c r="AS801" s="309">
        <f t="shared" si="103"/>
        <v>2728537.5895940387</v>
      </c>
      <c r="AT801" s="309">
        <f t="shared" si="103"/>
        <v>2767645.7150493599</v>
      </c>
      <c r="AU801" s="309">
        <f t="shared" si="103"/>
        <v>2807927.0842683408</v>
      </c>
      <c r="AV801" s="309">
        <f t="shared" si="103"/>
        <v>2849416.894563891</v>
      </c>
      <c r="AW801" s="309">
        <f t="shared" si="103"/>
        <v>2892151.3991683079</v>
      </c>
      <c r="AX801" s="309">
        <f t="shared" si="103"/>
        <v>2936167.9389108573</v>
      </c>
      <c r="AY801" s="309">
        <f t="shared" si="103"/>
        <v>21281288.93636208</v>
      </c>
      <c r="AZ801" s="309">
        <f t="shared" si="103"/>
        <v>21079187.307749998</v>
      </c>
      <c r="BA801" s="309">
        <f t="shared" si="103"/>
        <v>0</v>
      </c>
      <c r="BB801" s="309">
        <f t="shared" si="103"/>
        <v>0</v>
      </c>
      <c r="BC801" s="309">
        <f t="shared" si="103"/>
        <v>0</v>
      </c>
      <c r="BD801" s="309">
        <f t="shared" si="103"/>
        <v>0</v>
      </c>
      <c r="BE801" s="309">
        <f t="shared" si="103"/>
        <v>0</v>
      </c>
      <c r="BF801" s="309">
        <f t="shared" si="103"/>
        <v>0</v>
      </c>
      <c r="BG801" s="309">
        <f t="shared" si="103"/>
        <v>0</v>
      </c>
      <c r="BH801" s="309">
        <f t="shared" si="103"/>
        <v>0</v>
      </c>
      <c r="BI801" s="309">
        <f t="shared" si="103"/>
        <v>0</v>
      </c>
      <c r="BJ801" s="309">
        <f t="shared" si="103"/>
        <v>0</v>
      </c>
      <c r="BK801" s="309">
        <f t="shared" si="103"/>
        <v>0</v>
      </c>
    </row>
    <row r="802" spans="1:63">
      <c r="A802" s="167"/>
      <c r="B802" s="210" t="s">
        <v>28</v>
      </c>
      <c r="C802" s="254"/>
      <c r="D802" s="254"/>
      <c r="E802" s="254"/>
      <c r="F802" s="254"/>
      <c r="G802" s="254"/>
      <c r="H802" s="254"/>
      <c r="I802" s="254"/>
      <c r="J802" s="254"/>
      <c r="K802" s="254"/>
      <c r="L802" s="254"/>
      <c r="M802" s="254"/>
      <c r="N802" s="254"/>
      <c r="O802" s="254"/>
      <c r="P802" s="254"/>
      <c r="Q802" s="254"/>
      <c r="R802" s="254"/>
      <c r="S802" s="254"/>
      <c r="T802" s="254"/>
      <c r="U802" s="254"/>
      <c r="V802" s="255"/>
      <c r="W802" s="259"/>
      <c r="X802" s="259"/>
      <c r="Y802" s="259">
        <v>48074174.358159006</v>
      </c>
      <c r="Z802" s="259">
        <v>43044976.088587001</v>
      </c>
      <c r="AA802" s="259">
        <v>37610317.722934894</v>
      </c>
      <c r="AB802" s="259">
        <v>30809996.132955581</v>
      </c>
      <c r="AC802" s="259">
        <v>42250648.205005802</v>
      </c>
      <c r="AD802" s="259">
        <v>31180974.699999999</v>
      </c>
      <c r="AE802" s="259">
        <v>14396351.4786385</v>
      </c>
      <c r="AF802" s="259">
        <v>23512761.752874799</v>
      </c>
      <c r="AG802" s="259">
        <v>32398863.400000002</v>
      </c>
      <c r="AH802" s="259">
        <v>27953497.5</v>
      </c>
      <c r="AI802" s="259">
        <v>18879745.753324401</v>
      </c>
      <c r="AJ802" s="259">
        <v>27505275.300000001</v>
      </c>
      <c r="AK802" s="259">
        <v>31620011.029963203</v>
      </c>
      <c r="AL802" s="259">
        <v>12051017.199999999</v>
      </c>
      <c r="AM802" s="259">
        <v>28881511.540303499</v>
      </c>
      <c r="AN802" s="259">
        <v>0</v>
      </c>
      <c r="AO802" s="259">
        <v>0</v>
      </c>
      <c r="AP802" s="259">
        <v>0</v>
      </c>
      <c r="AQ802" s="259">
        <v>0</v>
      </c>
      <c r="AR802" s="259">
        <v>19727470.600000001</v>
      </c>
      <c r="AS802" s="259">
        <v>0</v>
      </c>
      <c r="AT802" s="259">
        <v>0</v>
      </c>
      <c r="AU802" s="259">
        <v>0</v>
      </c>
      <c r="AV802" s="259">
        <v>0</v>
      </c>
      <c r="AW802" s="259">
        <v>0</v>
      </c>
      <c r="AX802" s="259">
        <v>0</v>
      </c>
      <c r="AY802" s="259">
        <v>19263740.811179399</v>
      </c>
      <c r="AZ802" s="259">
        <v>20389158.300000001</v>
      </c>
      <c r="BA802" s="259">
        <v>0</v>
      </c>
      <c r="BB802" s="259">
        <v>0</v>
      </c>
      <c r="BC802" s="259">
        <v>0</v>
      </c>
      <c r="BD802" s="259">
        <v>0</v>
      </c>
      <c r="BE802" s="259">
        <v>0</v>
      </c>
      <c r="BF802" s="259">
        <v>0</v>
      </c>
      <c r="BG802" s="259">
        <v>0</v>
      </c>
      <c r="BH802" s="259">
        <v>0</v>
      </c>
      <c r="BI802" s="259">
        <v>0</v>
      </c>
      <c r="BJ802" s="259">
        <v>0</v>
      </c>
      <c r="BK802" s="259">
        <v>0</v>
      </c>
    </row>
    <row r="803" spans="1:63">
      <c r="A803" s="168">
        <v>44985</v>
      </c>
      <c r="B803" s="213" t="s">
        <v>385</v>
      </c>
      <c r="C803" s="256"/>
      <c r="D803" s="256"/>
      <c r="E803" s="256"/>
      <c r="F803" s="256"/>
      <c r="G803" s="256"/>
      <c r="H803" s="256"/>
      <c r="I803" s="256"/>
      <c r="J803" s="256"/>
      <c r="K803" s="256"/>
      <c r="L803" s="256"/>
      <c r="M803" s="256"/>
      <c r="N803" s="256"/>
      <c r="O803" s="256"/>
      <c r="P803" s="256"/>
      <c r="Q803" s="256"/>
      <c r="R803" s="256"/>
      <c r="S803" s="256"/>
      <c r="T803" s="256"/>
      <c r="U803" s="256"/>
      <c r="V803" s="259"/>
      <c r="W803" s="259"/>
      <c r="X803" s="259"/>
      <c r="Y803" s="259">
        <v>27933582.445609681</v>
      </c>
      <c r="Z803" s="259">
        <v>27335667.334435098</v>
      </c>
      <c r="AA803" s="259">
        <v>25052967.657110583</v>
      </c>
      <c r="AB803" s="259">
        <v>23284545.162761673</v>
      </c>
      <c r="AC803" s="259">
        <v>21170527.58689487</v>
      </c>
      <c r="AD803" s="259">
        <v>19303695.98280267</v>
      </c>
      <c r="AE803" s="259">
        <v>17579679.174403854</v>
      </c>
      <c r="AF803" s="259">
        <v>17317849.441623129</v>
      </c>
      <c r="AG803" s="259">
        <v>15753364.101686824</v>
      </c>
      <c r="AH803" s="259">
        <v>13633137.458257437</v>
      </c>
      <c r="AI803" s="259">
        <v>11828517.241665155</v>
      </c>
      <c r="AJ803" s="259">
        <v>10797453.980580274</v>
      </c>
      <c r="AK803" s="259">
        <v>8945735.3595026806</v>
      </c>
      <c r="AL803" s="259">
        <v>6805377.083517082</v>
      </c>
      <c r="AM803" s="259">
        <v>6134664.0135550946</v>
      </c>
      <c r="AN803" s="259">
        <v>4469990.1776219588</v>
      </c>
      <c r="AO803" s="259">
        <v>4504999.7327331174</v>
      </c>
      <c r="AP803" s="259">
        <v>4541059.5744976113</v>
      </c>
      <c r="AQ803" s="259">
        <v>4578201.2115150392</v>
      </c>
      <c r="AR803" s="259">
        <v>4616457.0976429917</v>
      </c>
      <c r="AS803" s="259">
        <v>2831069.6298547806</v>
      </c>
      <c r="AT803" s="259">
        <v>2871655.2994479244</v>
      </c>
      <c r="AU803" s="259">
        <v>2913458.5391288623</v>
      </c>
      <c r="AV803" s="259">
        <v>2956515.8760002283</v>
      </c>
      <c r="AW803" s="259">
        <v>3000864.9329777351</v>
      </c>
      <c r="AX803" s="259">
        <v>3046544.4616645668</v>
      </c>
      <c r="AY803" s="259">
        <v>3093594.3762120046</v>
      </c>
      <c r="AZ803" s="259">
        <v>1478213.9767500013</v>
      </c>
      <c r="BA803" s="259">
        <v>0</v>
      </c>
      <c r="BB803" s="259">
        <v>0</v>
      </c>
      <c r="BC803" s="259">
        <v>0</v>
      </c>
      <c r="BD803" s="259">
        <v>0</v>
      </c>
      <c r="BE803" s="259">
        <v>0</v>
      </c>
      <c r="BF803" s="259">
        <v>0</v>
      </c>
      <c r="BG803" s="259">
        <v>0</v>
      </c>
      <c r="BH803" s="259">
        <v>0</v>
      </c>
      <c r="BI803" s="259">
        <v>0</v>
      </c>
      <c r="BJ803" s="259">
        <v>0</v>
      </c>
      <c r="BK803" s="259">
        <v>0</v>
      </c>
    </row>
    <row r="804" spans="1:63">
      <c r="A804" s="169"/>
      <c r="B804" s="307" t="s">
        <v>29</v>
      </c>
      <c r="C804" s="308"/>
      <c r="D804" s="308"/>
      <c r="E804" s="308"/>
      <c r="F804" s="308"/>
      <c r="G804" s="308"/>
      <c r="H804" s="308"/>
      <c r="I804" s="308"/>
      <c r="J804" s="308"/>
      <c r="K804" s="308"/>
      <c r="L804" s="308"/>
      <c r="M804" s="308"/>
      <c r="N804" s="308"/>
      <c r="O804" s="308"/>
      <c r="P804" s="308"/>
      <c r="Q804" s="308"/>
      <c r="R804" s="308"/>
      <c r="S804" s="308"/>
      <c r="T804" s="308"/>
      <c r="U804" s="308"/>
      <c r="V804" s="309"/>
      <c r="W804" s="309"/>
      <c r="X804" s="309"/>
      <c r="Y804" s="309">
        <f t="shared" ref="Y804:BK804" si="104">Y802+Y803</f>
        <v>76007756.803768694</v>
      </c>
      <c r="Z804" s="309">
        <f t="shared" si="104"/>
        <v>70380643.423022091</v>
      </c>
      <c r="AA804" s="309">
        <f t="shared" si="104"/>
        <v>62663285.380045474</v>
      </c>
      <c r="AB804" s="309">
        <f t="shared" si="104"/>
        <v>54094541.295717254</v>
      </c>
      <c r="AC804" s="309">
        <f t="shared" si="104"/>
        <v>63421175.791900672</v>
      </c>
      <c r="AD804" s="309">
        <f t="shared" si="104"/>
        <v>50484670.68280267</v>
      </c>
      <c r="AE804" s="309">
        <f t="shared" si="104"/>
        <v>31976030.653042354</v>
      </c>
      <c r="AF804" s="309">
        <f t="shared" si="104"/>
        <v>40830611.194497928</v>
      </c>
      <c r="AG804" s="309">
        <f t="shared" si="104"/>
        <v>48152227.501686826</v>
      </c>
      <c r="AH804" s="309">
        <f t="shared" si="104"/>
        <v>41586634.958257437</v>
      </c>
      <c r="AI804" s="309">
        <f t="shared" si="104"/>
        <v>30708262.994989555</v>
      </c>
      <c r="AJ804" s="309">
        <f t="shared" si="104"/>
        <v>38302729.280580275</v>
      </c>
      <c r="AK804" s="309">
        <f t="shared" si="104"/>
        <v>40565746.389465883</v>
      </c>
      <c r="AL804" s="309">
        <f t="shared" si="104"/>
        <v>18856394.283517081</v>
      </c>
      <c r="AM804" s="309">
        <f t="shared" si="104"/>
        <v>35016175.553858593</v>
      </c>
      <c r="AN804" s="309">
        <f t="shared" si="104"/>
        <v>4469990.1776219588</v>
      </c>
      <c r="AO804" s="309">
        <f t="shared" si="104"/>
        <v>4504999.7327331174</v>
      </c>
      <c r="AP804" s="309">
        <f t="shared" si="104"/>
        <v>4541059.5744976113</v>
      </c>
      <c r="AQ804" s="309">
        <f t="shared" si="104"/>
        <v>4578201.2115150392</v>
      </c>
      <c r="AR804" s="309">
        <f t="shared" si="104"/>
        <v>24343927.697642993</v>
      </c>
      <c r="AS804" s="309">
        <f t="shared" si="104"/>
        <v>2831069.6298547806</v>
      </c>
      <c r="AT804" s="309">
        <f t="shared" si="104"/>
        <v>2871655.2994479244</v>
      </c>
      <c r="AU804" s="309">
        <f t="shared" si="104"/>
        <v>2913458.5391288623</v>
      </c>
      <c r="AV804" s="309">
        <f t="shared" si="104"/>
        <v>2956515.8760002283</v>
      </c>
      <c r="AW804" s="309">
        <f t="shared" si="104"/>
        <v>3000864.9329777351</v>
      </c>
      <c r="AX804" s="309">
        <f t="shared" si="104"/>
        <v>3046544.4616645668</v>
      </c>
      <c r="AY804" s="309">
        <f t="shared" si="104"/>
        <v>22357335.187391404</v>
      </c>
      <c r="AZ804" s="309">
        <f t="shared" si="104"/>
        <v>21867372.276750002</v>
      </c>
      <c r="BA804" s="309">
        <f t="shared" si="104"/>
        <v>0</v>
      </c>
      <c r="BB804" s="309">
        <f t="shared" si="104"/>
        <v>0</v>
      </c>
      <c r="BC804" s="309">
        <f t="shared" si="104"/>
        <v>0</v>
      </c>
      <c r="BD804" s="309">
        <f t="shared" si="104"/>
        <v>0</v>
      </c>
      <c r="BE804" s="309">
        <f t="shared" si="104"/>
        <v>0</v>
      </c>
      <c r="BF804" s="309">
        <f t="shared" si="104"/>
        <v>0</v>
      </c>
      <c r="BG804" s="309">
        <f t="shared" si="104"/>
        <v>0</v>
      </c>
      <c r="BH804" s="309">
        <f t="shared" si="104"/>
        <v>0</v>
      </c>
      <c r="BI804" s="309">
        <f t="shared" si="104"/>
        <v>0</v>
      </c>
      <c r="BJ804" s="309">
        <f t="shared" si="104"/>
        <v>0</v>
      </c>
      <c r="BK804" s="309">
        <f t="shared" si="104"/>
        <v>0</v>
      </c>
    </row>
    <row r="805" spans="1:63">
      <c r="A805" s="167"/>
      <c r="B805" s="210" t="s">
        <v>28</v>
      </c>
      <c r="C805" s="254"/>
      <c r="D805" s="254"/>
      <c r="E805" s="254"/>
      <c r="F805" s="254"/>
      <c r="G805" s="254"/>
      <c r="H805" s="254"/>
      <c r="I805" s="254"/>
      <c r="J805" s="254"/>
      <c r="K805" s="254"/>
      <c r="L805" s="254"/>
      <c r="M805" s="254"/>
      <c r="N805" s="254"/>
      <c r="O805" s="254"/>
      <c r="P805" s="254"/>
      <c r="Q805" s="254"/>
      <c r="R805" s="254"/>
      <c r="S805" s="254"/>
      <c r="T805" s="254"/>
      <c r="U805" s="254"/>
      <c r="V805" s="255"/>
      <c r="W805" s="259"/>
      <c r="X805" s="259"/>
      <c r="Y805" s="259">
        <v>49430581.681241006</v>
      </c>
      <c r="Z805" s="259">
        <v>42469476.088587001</v>
      </c>
      <c r="AA805" s="259">
        <v>37930114.682270505</v>
      </c>
      <c r="AB805" s="259">
        <v>30809996.132955581</v>
      </c>
      <c r="AC805" s="259">
        <v>42651274.145660996</v>
      </c>
      <c r="AD805" s="259">
        <v>31355974.699999999</v>
      </c>
      <c r="AE805" s="259">
        <v>15292844.227714</v>
      </c>
      <c r="AF805" s="259">
        <v>23512761.752874799</v>
      </c>
      <c r="AG805" s="259">
        <v>32398863.400000002</v>
      </c>
      <c r="AH805" s="259">
        <v>27953497.5</v>
      </c>
      <c r="AI805" s="259">
        <v>23243583.522798002</v>
      </c>
      <c r="AJ805" s="259">
        <v>27505275.300000001</v>
      </c>
      <c r="AK805" s="259">
        <v>32192685.637944002</v>
      </c>
      <c r="AL805" s="259">
        <v>12051017.199999999</v>
      </c>
      <c r="AM805" s="259">
        <v>29990155.942550998</v>
      </c>
      <c r="AN805" s="259">
        <v>0</v>
      </c>
      <c r="AO805" s="259">
        <v>0</v>
      </c>
      <c r="AP805" s="259">
        <v>0</v>
      </c>
      <c r="AQ805" s="259">
        <v>0</v>
      </c>
      <c r="AR805" s="259">
        <v>21207148.199999999</v>
      </c>
      <c r="AS805" s="259">
        <v>0</v>
      </c>
      <c r="AT805" s="259">
        <v>0</v>
      </c>
      <c r="AU805" s="259">
        <v>0</v>
      </c>
      <c r="AV805" s="259">
        <v>0</v>
      </c>
      <c r="AW805" s="259">
        <v>0</v>
      </c>
      <c r="AX805" s="259">
        <v>0</v>
      </c>
      <c r="AY805" s="259">
        <v>20450142.581953499</v>
      </c>
      <c r="AZ805" s="259">
        <v>21416146.800000001</v>
      </c>
      <c r="BA805" s="259">
        <v>0</v>
      </c>
      <c r="BB805" s="259">
        <v>0</v>
      </c>
      <c r="BC805" s="259">
        <v>0</v>
      </c>
      <c r="BD805" s="259">
        <v>0</v>
      </c>
      <c r="BE805" s="259">
        <v>0</v>
      </c>
      <c r="BF805" s="259">
        <v>0</v>
      </c>
      <c r="BG805" s="259">
        <v>0</v>
      </c>
      <c r="BH805" s="259">
        <v>0</v>
      </c>
      <c r="BI805" s="259">
        <v>0</v>
      </c>
      <c r="BJ805" s="259">
        <v>0</v>
      </c>
      <c r="BK805" s="259">
        <v>0</v>
      </c>
    </row>
    <row r="806" spans="1:63">
      <c r="A806" s="168">
        <v>45016</v>
      </c>
      <c r="B806" s="213" t="s">
        <v>385</v>
      </c>
      <c r="C806" s="256"/>
      <c r="D806" s="256"/>
      <c r="E806" s="256"/>
      <c r="F806" s="256"/>
      <c r="G806" s="256"/>
      <c r="H806" s="256"/>
      <c r="I806" s="256"/>
      <c r="J806" s="256"/>
      <c r="K806" s="256"/>
      <c r="L806" s="256"/>
      <c r="M806" s="256"/>
      <c r="N806" s="256"/>
      <c r="O806" s="256"/>
      <c r="P806" s="256"/>
      <c r="Q806" s="256"/>
      <c r="R806" s="256"/>
      <c r="S806" s="256"/>
      <c r="T806" s="256"/>
      <c r="U806" s="256"/>
      <c r="V806" s="259"/>
      <c r="W806" s="259"/>
      <c r="X806" s="259"/>
      <c r="Y806" s="259">
        <v>22884296.679515023</v>
      </c>
      <c r="Z806" s="259">
        <v>27968888.779947676</v>
      </c>
      <c r="AA806" s="259">
        <v>25890868.688046034</v>
      </c>
      <c r="AB806" s="259">
        <v>24124639.66668269</v>
      </c>
      <c r="AC806" s="259">
        <v>22012881.367991023</v>
      </c>
      <c r="AD806" s="259">
        <v>20148376.819389205</v>
      </c>
      <c r="AE806" s="259">
        <v>18416256.878145479</v>
      </c>
      <c r="AF806" s="259">
        <v>18138978.516352206</v>
      </c>
      <c r="AG806" s="259">
        <v>16576498.490715276</v>
      </c>
      <c r="AH806" s="259">
        <v>14458337.321014233</v>
      </c>
      <c r="AI806" s="259">
        <v>12655844.542362161</v>
      </c>
      <c r="AJ806" s="259">
        <v>11084014.121855687</v>
      </c>
      <c r="AK806" s="259">
        <v>9234552.49968886</v>
      </c>
      <c r="AL806" s="259">
        <v>7096518.9325813465</v>
      </c>
      <c r="AM806" s="259">
        <v>6428200.3127637841</v>
      </c>
      <c r="AN806" s="259">
        <v>4731150.5075795511</v>
      </c>
      <c r="AO806" s="259">
        <v>4767655.067261938</v>
      </c>
      <c r="AP806" s="259">
        <v>4805254.7637347961</v>
      </c>
      <c r="AQ806" s="259">
        <v>4843982.4511018395</v>
      </c>
      <c r="AR806" s="259">
        <v>4883871.9690898955</v>
      </c>
      <c r="AS806" s="259">
        <v>2963296.9641175922</v>
      </c>
      <c r="AT806" s="259">
        <v>3005615.7537511201</v>
      </c>
      <c r="AU806" s="259">
        <v>3049204.1070736535</v>
      </c>
      <c r="AV806" s="259">
        <v>3094100.1109958636</v>
      </c>
      <c r="AW806" s="259">
        <v>3140342.9950357396</v>
      </c>
      <c r="AX806" s="259">
        <v>3187973.1655968116</v>
      </c>
      <c r="AY806" s="259">
        <v>3237032.2412747182</v>
      </c>
      <c r="AZ806" s="259">
        <v>1552670.6429999992</v>
      </c>
      <c r="BA806" s="259">
        <v>0</v>
      </c>
      <c r="BB806" s="259">
        <v>0</v>
      </c>
      <c r="BC806" s="259">
        <v>0</v>
      </c>
      <c r="BD806" s="259">
        <v>0</v>
      </c>
      <c r="BE806" s="259">
        <v>0</v>
      </c>
      <c r="BF806" s="259">
        <v>0</v>
      </c>
      <c r="BG806" s="259">
        <v>0</v>
      </c>
      <c r="BH806" s="259">
        <v>0</v>
      </c>
      <c r="BI806" s="259">
        <v>0</v>
      </c>
      <c r="BJ806" s="259">
        <v>0</v>
      </c>
      <c r="BK806" s="259">
        <v>0</v>
      </c>
    </row>
    <row r="807" spans="1:63">
      <c r="A807" s="169"/>
      <c r="B807" s="307" t="s">
        <v>29</v>
      </c>
      <c r="C807" s="308"/>
      <c r="D807" s="308"/>
      <c r="E807" s="308"/>
      <c r="F807" s="308"/>
      <c r="G807" s="308"/>
      <c r="H807" s="308"/>
      <c r="I807" s="308"/>
      <c r="J807" s="308"/>
      <c r="K807" s="308"/>
      <c r="L807" s="308"/>
      <c r="M807" s="308"/>
      <c r="N807" s="308"/>
      <c r="O807" s="308"/>
      <c r="P807" s="308"/>
      <c r="Q807" s="308"/>
      <c r="R807" s="308"/>
      <c r="S807" s="308"/>
      <c r="T807" s="308"/>
      <c r="U807" s="308"/>
      <c r="V807" s="309"/>
      <c r="W807" s="309"/>
      <c r="X807" s="309"/>
      <c r="Y807" s="309">
        <f t="shared" ref="Y807:BK807" si="105">Y805+Y806</f>
        <v>72314878.360756025</v>
      </c>
      <c r="Z807" s="309">
        <f t="shared" si="105"/>
        <v>70438364.868534684</v>
      </c>
      <c r="AA807" s="309">
        <f t="shared" si="105"/>
        <v>63820983.370316535</v>
      </c>
      <c r="AB807" s="309">
        <f t="shared" si="105"/>
        <v>54934635.799638271</v>
      </c>
      <c r="AC807" s="309">
        <f t="shared" si="105"/>
        <v>64664155.513652019</v>
      </c>
      <c r="AD807" s="309">
        <f t="shared" si="105"/>
        <v>51504351.519389205</v>
      </c>
      <c r="AE807" s="309">
        <f t="shared" si="105"/>
        <v>33709101.105859481</v>
      </c>
      <c r="AF807" s="309">
        <f t="shared" si="105"/>
        <v>41651740.269227006</v>
      </c>
      <c r="AG807" s="309">
        <f t="shared" si="105"/>
        <v>48975361.890715279</v>
      </c>
      <c r="AH807" s="309">
        <f t="shared" si="105"/>
        <v>42411834.821014233</v>
      </c>
      <c r="AI807" s="309">
        <f t="shared" si="105"/>
        <v>35899428.065160163</v>
      </c>
      <c r="AJ807" s="309">
        <f t="shared" si="105"/>
        <v>38589289.421855688</v>
      </c>
      <c r="AK807" s="309">
        <f t="shared" si="105"/>
        <v>41427238.137632862</v>
      </c>
      <c r="AL807" s="309">
        <f t="shared" si="105"/>
        <v>19147536.132581346</v>
      </c>
      <c r="AM807" s="309">
        <f t="shared" si="105"/>
        <v>36418356.255314782</v>
      </c>
      <c r="AN807" s="309">
        <f t="shared" si="105"/>
        <v>4731150.5075795511</v>
      </c>
      <c r="AO807" s="309">
        <f t="shared" si="105"/>
        <v>4767655.067261938</v>
      </c>
      <c r="AP807" s="309">
        <f t="shared" si="105"/>
        <v>4805254.7637347961</v>
      </c>
      <c r="AQ807" s="309">
        <f t="shared" si="105"/>
        <v>4843982.4511018395</v>
      </c>
      <c r="AR807" s="309">
        <f t="shared" si="105"/>
        <v>26091020.169089895</v>
      </c>
      <c r="AS807" s="309">
        <f t="shared" si="105"/>
        <v>2963296.9641175922</v>
      </c>
      <c r="AT807" s="309">
        <f t="shared" si="105"/>
        <v>3005615.7537511201</v>
      </c>
      <c r="AU807" s="309">
        <f t="shared" si="105"/>
        <v>3049204.1070736535</v>
      </c>
      <c r="AV807" s="309">
        <f t="shared" si="105"/>
        <v>3094100.1109958636</v>
      </c>
      <c r="AW807" s="309">
        <f t="shared" si="105"/>
        <v>3140342.9950357396</v>
      </c>
      <c r="AX807" s="309">
        <f t="shared" si="105"/>
        <v>3187973.1655968116</v>
      </c>
      <c r="AY807" s="309">
        <f t="shared" si="105"/>
        <v>23687174.823228218</v>
      </c>
      <c r="AZ807" s="309">
        <f t="shared" si="105"/>
        <v>22968817.443</v>
      </c>
      <c r="BA807" s="309">
        <f t="shared" si="105"/>
        <v>0</v>
      </c>
      <c r="BB807" s="309">
        <f t="shared" si="105"/>
        <v>0</v>
      </c>
      <c r="BC807" s="309">
        <f t="shared" si="105"/>
        <v>0</v>
      </c>
      <c r="BD807" s="309">
        <f t="shared" si="105"/>
        <v>0</v>
      </c>
      <c r="BE807" s="309">
        <f t="shared" si="105"/>
        <v>0</v>
      </c>
      <c r="BF807" s="309">
        <f t="shared" si="105"/>
        <v>0</v>
      </c>
      <c r="BG807" s="309">
        <f t="shared" si="105"/>
        <v>0</v>
      </c>
      <c r="BH807" s="309">
        <f t="shared" si="105"/>
        <v>0</v>
      </c>
      <c r="BI807" s="309">
        <f t="shared" si="105"/>
        <v>0</v>
      </c>
      <c r="BJ807" s="309">
        <f t="shared" si="105"/>
        <v>0</v>
      </c>
      <c r="BK807" s="309">
        <f t="shared" si="105"/>
        <v>0</v>
      </c>
    </row>
    <row r="808" spans="1:63">
      <c r="A808" s="167"/>
      <c r="B808" s="210" t="s">
        <v>28</v>
      </c>
      <c r="C808" s="254"/>
      <c r="D808" s="254"/>
      <c r="E808" s="254"/>
      <c r="F808" s="254"/>
      <c r="G808" s="254"/>
      <c r="H808" s="254"/>
      <c r="I808" s="254"/>
      <c r="J808" s="254"/>
      <c r="K808" s="254"/>
      <c r="L808" s="254"/>
      <c r="M808" s="254"/>
      <c r="N808" s="254"/>
      <c r="O808" s="254"/>
      <c r="P808" s="254"/>
      <c r="Q808" s="254"/>
      <c r="R808" s="254"/>
      <c r="S808" s="254"/>
      <c r="T808" s="254"/>
      <c r="U808" s="254"/>
      <c r="V808" s="255"/>
      <c r="W808" s="259"/>
      <c r="X808" s="259"/>
      <c r="Y808" s="259">
        <v>42109922.749607004</v>
      </c>
      <c r="Z808" s="259">
        <v>50819165.891328</v>
      </c>
      <c r="AA808" s="259">
        <v>38168788.474325299</v>
      </c>
      <c r="AB808" s="259">
        <v>30806934.920412611</v>
      </c>
      <c r="AC808" s="259">
        <v>42950272.962442599</v>
      </c>
      <c r="AD808" s="259">
        <v>31854474.699999999</v>
      </c>
      <c r="AE808" s="259">
        <v>15677115.799482401</v>
      </c>
      <c r="AF808" s="259">
        <v>23812761.752874799</v>
      </c>
      <c r="AG808" s="259">
        <v>32398863.400000002</v>
      </c>
      <c r="AH808" s="259">
        <v>27953497.5</v>
      </c>
      <c r="AI808" s="259">
        <v>26988855.312306799</v>
      </c>
      <c r="AJ808" s="259">
        <v>27505275.300000001</v>
      </c>
      <c r="AK808" s="259">
        <v>32620089.389950402</v>
      </c>
      <c r="AL808" s="259">
        <v>12051017.199999999</v>
      </c>
      <c r="AM808" s="259">
        <v>30606554.420775</v>
      </c>
      <c r="AN808" s="259">
        <v>0</v>
      </c>
      <c r="AO808" s="259">
        <v>0</v>
      </c>
      <c r="AP808" s="259">
        <v>0</v>
      </c>
      <c r="AQ808" s="259">
        <v>0</v>
      </c>
      <c r="AR808" s="259">
        <v>22614262.899999999</v>
      </c>
      <c r="AS808" s="259">
        <v>0</v>
      </c>
      <c r="AT808" s="259">
        <v>0</v>
      </c>
      <c r="AU808" s="259">
        <v>0</v>
      </c>
      <c r="AV808" s="259">
        <v>0</v>
      </c>
      <c r="AW808" s="259">
        <v>0</v>
      </c>
      <c r="AX808" s="259">
        <v>0</v>
      </c>
      <c r="AY808" s="259">
        <v>20935207.633414302</v>
      </c>
      <c r="AZ808" s="259">
        <v>22103685.100000001</v>
      </c>
      <c r="BA808" s="259">
        <v>0</v>
      </c>
      <c r="BB808" s="259">
        <v>0</v>
      </c>
      <c r="BC808" s="259">
        <v>0</v>
      </c>
      <c r="BD808" s="259">
        <v>0</v>
      </c>
      <c r="BE808" s="259">
        <v>0</v>
      </c>
      <c r="BF808" s="259">
        <v>0</v>
      </c>
      <c r="BG808" s="259">
        <v>0</v>
      </c>
      <c r="BH808" s="259">
        <v>0</v>
      </c>
      <c r="BI808" s="259">
        <v>0</v>
      </c>
      <c r="BJ808" s="259">
        <v>0</v>
      </c>
      <c r="BK808" s="259">
        <v>0</v>
      </c>
    </row>
    <row r="809" spans="1:63">
      <c r="A809" s="168">
        <v>45046</v>
      </c>
      <c r="B809" s="213" t="s">
        <v>385</v>
      </c>
      <c r="C809" s="256"/>
      <c r="D809" s="256"/>
      <c r="E809" s="256"/>
      <c r="F809" s="256"/>
      <c r="G809" s="256"/>
      <c r="H809" s="256"/>
      <c r="I809" s="256"/>
      <c r="J809" s="256"/>
      <c r="K809" s="256"/>
      <c r="L809" s="256"/>
      <c r="M809" s="256"/>
      <c r="N809" s="256"/>
      <c r="O809" s="256"/>
      <c r="P809" s="256"/>
      <c r="Q809" s="256"/>
      <c r="R809" s="256"/>
      <c r="S809" s="256"/>
      <c r="T809" s="256"/>
      <c r="U809" s="256"/>
      <c r="V809" s="259"/>
      <c r="W809" s="259"/>
      <c r="X809" s="259"/>
      <c r="Y809" s="259">
        <v>19085867.237737358</v>
      </c>
      <c r="Z809" s="259">
        <v>28743157.868906997</v>
      </c>
      <c r="AA809" s="259">
        <v>27006709.200169135</v>
      </c>
      <c r="AB809" s="259">
        <v>25207645.275335357</v>
      </c>
      <c r="AC809" s="259">
        <v>23107283.995398268</v>
      </c>
      <c r="AD809" s="259">
        <v>21197857.076466706</v>
      </c>
      <c r="AE809" s="259">
        <v>19446218.393430311</v>
      </c>
      <c r="AF809" s="259">
        <v>19146445.642086536</v>
      </c>
      <c r="AG809" s="259">
        <v>17570743.780716632</v>
      </c>
      <c r="AH809" s="259">
        <v>15462911.620210633</v>
      </c>
      <c r="AI809" s="259">
        <v>13671057.721029453</v>
      </c>
      <c r="AJ809" s="259">
        <v>11599401.550661471</v>
      </c>
      <c r="AK809" s="259">
        <v>9760001.4122638181</v>
      </c>
      <c r="AL809" s="259">
        <v>7484647.3730030805</v>
      </c>
      <c r="AM809" s="259">
        <v>6822572.4673031755</v>
      </c>
      <c r="AN809" s="259">
        <v>5003080.604561246</v>
      </c>
      <c r="AO809" s="259">
        <v>5042342.9280580832</v>
      </c>
      <c r="AP809" s="259">
        <v>5082783.1212598262</v>
      </c>
      <c r="AQ809" s="259">
        <v>5124436.5202576201</v>
      </c>
      <c r="AR809" s="259">
        <v>5167339.5212253481</v>
      </c>
      <c r="AS809" s="259">
        <v>3119710.2939721099</v>
      </c>
      <c r="AT809" s="259">
        <v>3165226.0876987735</v>
      </c>
      <c r="AU809" s="259">
        <v>3212107.3552372362</v>
      </c>
      <c r="AV809" s="259">
        <v>3260395.0608018534</v>
      </c>
      <c r="AW809" s="259">
        <v>3310131.3975334093</v>
      </c>
      <c r="AX809" s="259">
        <v>3361359.8243669113</v>
      </c>
      <c r="AY809" s="259">
        <v>3414125.1040054187</v>
      </c>
      <c r="AZ809" s="259">
        <v>1602517.1697500013</v>
      </c>
      <c r="BA809" s="259">
        <v>0</v>
      </c>
      <c r="BB809" s="259">
        <v>0</v>
      </c>
      <c r="BC809" s="259">
        <v>0</v>
      </c>
      <c r="BD809" s="259">
        <v>0</v>
      </c>
      <c r="BE809" s="259">
        <v>0</v>
      </c>
      <c r="BF809" s="259">
        <v>0</v>
      </c>
      <c r="BG809" s="259">
        <v>0</v>
      </c>
      <c r="BH809" s="259">
        <v>0</v>
      </c>
      <c r="BI809" s="259">
        <v>0</v>
      </c>
      <c r="BJ809" s="259">
        <v>0</v>
      </c>
      <c r="BK809" s="259">
        <v>0</v>
      </c>
    </row>
    <row r="810" spans="1:63">
      <c r="A810" s="169"/>
      <c r="B810" s="307" t="s">
        <v>29</v>
      </c>
      <c r="C810" s="308"/>
      <c r="D810" s="308"/>
      <c r="E810" s="308"/>
      <c r="F810" s="308"/>
      <c r="G810" s="308"/>
      <c r="H810" s="308"/>
      <c r="I810" s="308"/>
      <c r="J810" s="308"/>
      <c r="K810" s="308"/>
      <c r="L810" s="308"/>
      <c r="M810" s="308"/>
      <c r="N810" s="308"/>
      <c r="O810" s="308"/>
      <c r="P810" s="308"/>
      <c r="Q810" s="308"/>
      <c r="R810" s="308"/>
      <c r="S810" s="308"/>
      <c r="T810" s="308"/>
      <c r="U810" s="308"/>
      <c r="V810" s="309"/>
      <c r="W810" s="309"/>
      <c r="X810" s="309"/>
      <c r="Y810" s="309">
        <f t="shared" ref="Y810:BK810" si="106">Y808+Y809</f>
        <v>61195789.987344362</v>
      </c>
      <c r="Z810" s="309">
        <f t="shared" si="106"/>
        <v>79562323.760234997</v>
      </c>
      <c r="AA810" s="309">
        <f t="shared" si="106"/>
        <v>65175497.67449443</v>
      </c>
      <c r="AB810" s="309">
        <f t="shared" si="106"/>
        <v>56014580.195747972</v>
      </c>
      <c r="AC810" s="309">
        <f t="shared" si="106"/>
        <v>66057556.957840867</v>
      </c>
      <c r="AD810" s="309">
        <f t="shared" si="106"/>
        <v>53052331.776466705</v>
      </c>
      <c r="AE810" s="309">
        <f t="shared" si="106"/>
        <v>35123334.192912713</v>
      </c>
      <c r="AF810" s="309">
        <f t="shared" si="106"/>
        <v>42959207.394961335</v>
      </c>
      <c r="AG810" s="309">
        <f t="shared" si="106"/>
        <v>49969607.180716634</v>
      </c>
      <c r="AH810" s="309">
        <f t="shared" si="106"/>
        <v>43416409.120210633</v>
      </c>
      <c r="AI810" s="309">
        <f t="shared" si="106"/>
        <v>40659913.033336252</v>
      </c>
      <c r="AJ810" s="309">
        <f t="shared" si="106"/>
        <v>39104676.850661471</v>
      </c>
      <c r="AK810" s="309">
        <f t="shared" si="106"/>
        <v>42380090.80221422</v>
      </c>
      <c r="AL810" s="309">
        <f t="shared" si="106"/>
        <v>19535664.57300308</v>
      </c>
      <c r="AM810" s="309">
        <f t="shared" si="106"/>
        <v>37429126.888078175</v>
      </c>
      <c r="AN810" s="309">
        <f t="shared" si="106"/>
        <v>5003080.604561246</v>
      </c>
      <c r="AO810" s="309">
        <f t="shared" si="106"/>
        <v>5042342.9280580832</v>
      </c>
      <c r="AP810" s="309">
        <f t="shared" si="106"/>
        <v>5082783.1212598262</v>
      </c>
      <c r="AQ810" s="309">
        <f t="shared" si="106"/>
        <v>5124436.5202576201</v>
      </c>
      <c r="AR810" s="309">
        <f t="shared" si="106"/>
        <v>27781602.421225347</v>
      </c>
      <c r="AS810" s="309">
        <f t="shared" si="106"/>
        <v>3119710.2939721099</v>
      </c>
      <c r="AT810" s="309">
        <f t="shared" si="106"/>
        <v>3165226.0876987735</v>
      </c>
      <c r="AU810" s="309">
        <f t="shared" si="106"/>
        <v>3212107.3552372362</v>
      </c>
      <c r="AV810" s="309">
        <f t="shared" si="106"/>
        <v>3260395.0608018534</v>
      </c>
      <c r="AW810" s="309">
        <f t="shared" si="106"/>
        <v>3310131.3975334093</v>
      </c>
      <c r="AX810" s="309">
        <f t="shared" si="106"/>
        <v>3361359.8243669113</v>
      </c>
      <c r="AY810" s="309">
        <f t="shared" si="106"/>
        <v>24349332.737419721</v>
      </c>
      <c r="AZ810" s="309">
        <f t="shared" si="106"/>
        <v>23706202.269750003</v>
      </c>
      <c r="BA810" s="309">
        <f t="shared" si="106"/>
        <v>0</v>
      </c>
      <c r="BB810" s="309">
        <f t="shared" si="106"/>
        <v>0</v>
      </c>
      <c r="BC810" s="309">
        <f t="shared" si="106"/>
        <v>0</v>
      </c>
      <c r="BD810" s="309">
        <f t="shared" si="106"/>
        <v>0</v>
      </c>
      <c r="BE810" s="309">
        <f t="shared" si="106"/>
        <v>0</v>
      </c>
      <c r="BF810" s="309">
        <f t="shared" si="106"/>
        <v>0</v>
      </c>
      <c r="BG810" s="309">
        <f t="shared" si="106"/>
        <v>0</v>
      </c>
      <c r="BH810" s="309">
        <f t="shared" si="106"/>
        <v>0</v>
      </c>
      <c r="BI810" s="309">
        <f t="shared" si="106"/>
        <v>0</v>
      </c>
      <c r="BJ810" s="309">
        <f t="shared" si="106"/>
        <v>0</v>
      </c>
      <c r="BK810" s="309">
        <f t="shared" si="106"/>
        <v>0</v>
      </c>
    </row>
    <row r="811" spans="1:63">
      <c r="A811" s="167"/>
      <c r="B811" s="210" t="s">
        <v>28</v>
      </c>
      <c r="C811" s="254"/>
      <c r="D811" s="254"/>
      <c r="E811" s="254"/>
      <c r="F811" s="254"/>
      <c r="G811" s="254"/>
      <c r="H811" s="254"/>
      <c r="I811" s="254"/>
      <c r="J811" s="254"/>
      <c r="K811" s="254"/>
      <c r="L811" s="254"/>
      <c r="M811" s="254"/>
      <c r="N811" s="254"/>
      <c r="O811" s="254"/>
      <c r="P811" s="254"/>
      <c r="Q811" s="254"/>
      <c r="R811" s="254"/>
      <c r="S811" s="254"/>
      <c r="T811" s="254"/>
      <c r="U811" s="254"/>
      <c r="V811" s="255"/>
      <c r="W811" s="259"/>
      <c r="X811" s="259"/>
      <c r="Y811" s="259">
        <v>31670521.778136</v>
      </c>
      <c r="Z811" s="259">
        <v>60780829.684478</v>
      </c>
      <c r="AA811" s="259">
        <v>38337754.348345399</v>
      </c>
      <c r="AB811" s="259">
        <v>30806934.920412611</v>
      </c>
      <c r="AC811" s="259">
        <v>43161945.119546793</v>
      </c>
      <c r="AD811" s="259">
        <v>31974474.699999999</v>
      </c>
      <c r="AE811" s="259">
        <v>16292711.459771</v>
      </c>
      <c r="AF811" s="259">
        <v>23812761.752874799</v>
      </c>
      <c r="AG811" s="259">
        <v>32398863.400000002</v>
      </c>
      <c r="AH811" s="259">
        <v>27953497.5</v>
      </c>
      <c r="AI811" s="259">
        <v>29550213.741962403</v>
      </c>
      <c r="AJ811" s="259">
        <v>27505275.300000001</v>
      </c>
      <c r="AK811" s="259">
        <v>32922664.079427201</v>
      </c>
      <c r="AL811" s="259">
        <v>12051017.199999999</v>
      </c>
      <c r="AM811" s="259">
        <v>31432208.654749401</v>
      </c>
      <c r="AN811" s="259">
        <v>0</v>
      </c>
      <c r="AO811" s="259">
        <v>0</v>
      </c>
      <c r="AP811" s="259">
        <v>0</v>
      </c>
      <c r="AQ811" s="259">
        <v>0</v>
      </c>
      <c r="AR811" s="259">
        <v>23975581.399999999</v>
      </c>
      <c r="AS811" s="259">
        <v>0</v>
      </c>
      <c r="AT811" s="259">
        <v>0</v>
      </c>
      <c r="AU811" s="259">
        <v>0</v>
      </c>
      <c r="AV811" s="259">
        <v>0</v>
      </c>
      <c r="AW811" s="259">
        <v>0</v>
      </c>
      <c r="AX811" s="259">
        <v>0</v>
      </c>
      <c r="AY811" s="259">
        <v>21522650.805705003</v>
      </c>
      <c r="AZ811" s="259">
        <v>22777486.300000001</v>
      </c>
      <c r="BA811" s="259">
        <v>0</v>
      </c>
      <c r="BB811" s="259">
        <v>0</v>
      </c>
      <c r="BC811" s="259">
        <v>0</v>
      </c>
      <c r="BD811" s="259">
        <v>0</v>
      </c>
      <c r="BE811" s="259">
        <v>0</v>
      </c>
      <c r="BF811" s="259">
        <v>0</v>
      </c>
      <c r="BG811" s="259">
        <v>0</v>
      </c>
      <c r="BH811" s="259">
        <v>0</v>
      </c>
      <c r="BI811" s="259">
        <v>0</v>
      </c>
      <c r="BJ811" s="259">
        <v>0</v>
      </c>
      <c r="BK811" s="259">
        <v>0</v>
      </c>
    </row>
    <row r="812" spans="1:63">
      <c r="A812" s="168">
        <v>45077</v>
      </c>
      <c r="B812" s="213" t="s">
        <v>385</v>
      </c>
      <c r="C812" s="256"/>
      <c r="D812" s="256"/>
      <c r="E812" s="256"/>
      <c r="F812" s="256"/>
      <c r="G812" s="256"/>
      <c r="H812" s="256"/>
      <c r="I812" s="256"/>
      <c r="J812" s="256"/>
      <c r="K812" s="256"/>
      <c r="L812" s="256"/>
      <c r="M812" s="256"/>
      <c r="N812" s="256"/>
      <c r="O812" s="256"/>
      <c r="P812" s="256"/>
      <c r="Q812" s="256"/>
      <c r="R812" s="256"/>
      <c r="S812" s="256"/>
      <c r="T812" s="256"/>
      <c r="U812" s="256"/>
      <c r="V812" s="259"/>
      <c r="W812" s="259"/>
      <c r="X812" s="259"/>
      <c r="Y812" s="259">
        <v>16322539.504746281</v>
      </c>
      <c r="Z812" s="259">
        <v>29220626.039330028</v>
      </c>
      <c r="AA812" s="259">
        <v>27560772.57475986</v>
      </c>
      <c r="AB812" s="259">
        <v>25763248.71021881</v>
      </c>
      <c r="AC812" s="259">
        <v>23664473.692383222</v>
      </c>
      <c r="AD812" s="259">
        <v>21756680.623416211</v>
      </c>
      <c r="AE812" s="259">
        <v>19999524.805843309</v>
      </c>
      <c r="AF812" s="259">
        <v>19687691.587645188</v>
      </c>
      <c r="AG812" s="259">
        <v>18113361.263697047</v>
      </c>
      <c r="AH812" s="259">
        <v>16006941.78673546</v>
      </c>
      <c r="AI812" s="259">
        <v>14216542.951605022</v>
      </c>
      <c r="AJ812" s="259">
        <v>11825630.013959307</v>
      </c>
      <c r="AK812" s="259">
        <v>9987773.55301309</v>
      </c>
      <c r="AL812" s="259">
        <v>7714009.501527328</v>
      </c>
      <c r="AM812" s="259">
        <v>7053572.2832356542</v>
      </c>
      <c r="AN812" s="259">
        <v>5202211.1141668763</v>
      </c>
      <c r="AO812" s="259">
        <v>5242204.1765043819</v>
      </c>
      <c r="AP812" s="259">
        <v>5283397.0307120141</v>
      </c>
      <c r="AQ812" s="259">
        <v>5325825.6705458742</v>
      </c>
      <c r="AR812" s="259">
        <v>5369527.1695747524</v>
      </c>
      <c r="AS812" s="259">
        <v>3196798.4340744931</v>
      </c>
      <c r="AT812" s="259">
        <v>3243161.3543942277</v>
      </c>
      <c r="AU812" s="259">
        <v>3290915.1623235545</v>
      </c>
      <c r="AV812" s="259">
        <v>3340101.5844907612</v>
      </c>
      <c r="AW812" s="259">
        <v>3390763.599322984</v>
      </c>
      <c r="AX812" s="259">
        <v>3442945.4746001735</v>
      </c>
      <c r="AY812" s="259">
        <v>3496692.8061356768</v>
      </c>
      <c r="AZ812" s="259">
        <v>1651367.7567499988</v>
      </c>
      <c r="BA812" s="259">
        <v>0</v>
      </c>
      <c r="BB812" s="259">
        <v>0</v>
      </c>
      <c r="BC812" s="259">
        <v>0</v>
      </c>
      <c r="BD812" s="259">
        <v>0</v>
      </c>
      <c r="BE812" s="259">
        <v>0</v>
      </c>
      <c r="BF812" s="259">
        <v>0</v>
      </c>
      <c r="BG812" s="259">
        <v>0</v>
      </c>
      <c r="BH812" s="259">
        <v>0</v>
      </c>
      <c r="BI812" s="259">
        <v>0</v>
      </c>
      <c r="BJ812" s="259">
        <v>0</v>
      </c>
      <c r="BK812" s="259">
        <v>0</v>
      </c>
    </row>
    <row r="813" spans="1:63">
      <c r="A813" s="169"/>
      <c r="B813" s="307" t="s">
        <v>29</v>
      </c>
      <c r="C813" s="308"/>
      <c r="D813" s="308"/>
      <c r="E813" s="308"/>
      <c r="F813" s="308"/>
      <c r="G813" s="308"/>
      <c r="H813" s="308"/>
      <c r="I813" s="308"/>
      <c r="J813" s="308"/>
      <c r="K813" s="308"/>
      <c r="L813" s="308"/>
      <c r="M813" s="308"/>
      <c r="N813" s="308"/>
      <c r="O813" s="308"/>
      <c r="P813" s="308"/>
      <c r="Q813" s="308"/>
      <c r="R813" s="308"/>
      <c r="S813" s="308"/>
      <c r="T813" s="308"/>
      <c r="U813" s="308"/>
      <c r="V813" s="309"/>
      <c r="W813" s="309"/>
      <c r="X813" s="309"/>
      <c r="Y813" s="309">
        <f t="shared" ref="Y813:BK813" si="107">Y811+Y812</f>
        <v>47993061.282882281</v>
      </c>
      <c r="Z813" s="309">
        <f t="shared" si="107"/>
        <v>90001455.72380802</v>
      </c>
      <c r="AA813" s="309">
        <f t="shared" si="107"/>
        <v>65898526.923105255</v>
      </c>
      <c r="AB813" s="309">
        <f t="shared" si="107"/>
        <v>56570183.630631417</v>
      </c>
      <c r="AC813" s="309">
        <f t="shared" si="107"/>
        <v>66826418.811930016</v>
      </c>
      <c r="AD813" s="309">
        <f t="shared" si="107"/>
        <v>53731155.323416211</v>
      </c>
      <c r="AE813" s="309">
        <f t="shared" si="107"/>
        <v>36292236.265614308</v>
      </c>
      <c r="AF813" s="309">
        <f t="shared" si="107"/>
        <v>43500453.340519987</v>
      </c>
      <c r="AG813" s="309">
        <f t="shared" si="107"/>
        <v>50512224.663697049</v>
      </c>
      <c r="AH813" s="309">
        <f t="shared" si="107"/>
        <v>43960439.28673546</v>
      </c>
      <c r="AI813" s="309">
        <f t="shared" si="107"/>
        <v>43766756.693567425</v>
      </c>
      <c r="AJ813" s="309">
        <f t="shared" si="107"/>
        <v>39330905.313959308</v>
      </c>
      <c r="AK813" s="309">
        <f t="shared" si="107"/>
        <v>42910437.632440291</v>
      </c>
      <c r="AL813" s="309">
        <f t="shared" si="107"/>
        <v>19765026.701527327</v>
      </c>
      <c r="AM813" s="309">
        <f t="shared" si="107"/>
        <v>38485780.937985055</v>
      </c>
      <c r="AN813" s="309">
        <f t="shared" si="107"/>
        <v>5202211.1141668763</v>
      </c>
      <c r="AO813" s="309">
        <f t="shared" si="107"/>
        <v>5242204.1765043819</v>
      </c>
      <c r="AP813" s="309">
        <f t="shared" si="107"/>
        <v>5283397.0307120141</v>
      </c>
      <c r="AQ813" s="309">
        <f t="shared" si="107"/>
        <v>5325825.6705458742</v>
      </c>
      <c r="AR813" s="309">
        <f t="shared" si="107"/>
        <v>29345108.569574751</v>
      </c>
      <c r="AS813" s="309">
        <f t="shared" si="107"/>
        <v>3196798.4340744931</v>
      </c>
      <c r="AT813" s="309">
        <f t="shared" si="107"/>
        <v>3243161.3543942277</v>
      </c>
      <c r="AU813" s="309">
        <f t="shared" si="107"/>
        <v>3290915.1623235545</v>
      </c>
      <c r="AV813" s="309">
        <f t="shared" si="107"/>
        <v>3340101.5844907612</v>
      </c>
      <c r="AW813" s="309">
        <f t="shared" si="107"/>
        <v>3390763.599322984</v>
      </c>
      <c r="AX813" s="309">
        <f t="shared" si="107"/>
        <v>3442945.4746001735</v>
      </c>
      <c r="AY813" s="309">
        <f t="shared" si="107"/>
        <v>25019343.61184068</v>
      </c>
      <c r="AZ813" s="309">
        <f t="shared" si="107"/>
        <v>24428854.05675</v>
      </c>
      <c r="BA813" s="309">
        <f t="shared" si="107"/>
        <v>0</v>
      </c>
      <c r="BB813" s="309">
        <f t="shared" si="107"/>
        <v>0</v>
      </c>
      <c r="BC813" s="309">
        <f t="shared" si="107"/>
        <v>0</v>
      </c>
      <c r="BD813" s="309">
        <f t="shared" si="107"/>
        <v>0</v>
      </c>
      <c r="BE813" s="309">
        <f t="shared" si="107"/>
        <v>0</v>
      </c>
      <c r="BF813" s="309">
        <f t="shared" si="107"/>
        <v>0</v>
      </c>
      <c r="BG813" s="309">
        <f t="shared" si="107"/>
        <v>0</v>
      </c>
      <c r="BH813" s="309">
        <f t="shared" si="107"/>
        <v>0</v>
      </c>
      <c r="BI813" s="309">
        <f t="shared" si="107"/>
        <v>0</v>
      </c>
      <c r="BJ813" s="309">
        <f t="shared" si="107"/>
        <v>0</v>
      </c>
      <c r="BK813" s="309">
        <f t="shared" si="107"/>
        <v>0</v>
      </c>
    </row>
    <row r="814" spans="1:63">
      <c r="A814" s="167"/>
      <c r="B814" s="210" t="s">
        <v>28</v>
      </c>
      <c r="C814" s="254"/>
      <c r="D814" s="254"/>
      <c r="E814" s="254"/>
      <c r="F814" s="254"/>
      <c r="G814" s="254"/>
      <c r="H814" s="254"/>
      <c r="I814" s="254"/>
      <c r="J814" s="254"/>
      <c r="K814" s="254"/>
      <c r="L814" s="254"/>
      <c r="M814" s="254"/>
      <c r="N814" s="254"/>
      <c r="O814" s="254"/>
      <c r="P814" s="254"/>
      <c r="Q814" s="254"/>
      <c r="R814" s="254"/>
      <c r="S814" s="254"/>
      <c r="T814" s="254"/>
      <c r="U814" s="254"/>
      <c r="V814" s="255"/>
      <c r="W814" s="259"/>
      <c r="X814" s="259"/>
      <c r="Y814" s="259">
        <v>14918179.933024</v>
      </c>
      <c r="Z814" s="259">
        <v>72975693.146288991</v>
      </c>
      <c r="AA814" s="259">
        <v>38446632.135128699</v>
      </c>
      <c r="AB814" s="259">
        <v>30807202.15535906</v>
      </c>
      <c r="AC814" s="259">
        <v>43298341.869025394</v>
      </c>
      <c r="AD814" s="259">
        <v>32057474.699999999</v>
      </c>
      <c r="AE814" s="259">
        <v>16848071.994383797</v>
      </c>
      <c r="AF814" s="259">
        <v>23812761.752874799</v>
      </c>
      <c r="AG814" s="259">
        <v>32398863.400000002</v>
      </c>
      <c r="AH814" s="259">
        <v>27953497.5</v>
      </c>
      <c r="AI814" s="259">
        <v>31449221.727317199</v>
      </c>
      <c r="AJ814" s="259">
        <v>27505275.300000001</v>
      </c>
      <c r="AK814" s="259">
        <v>33117636.364321601</v>
      </c>
      <c r="AL814" s="259">
        <v>12051017.199999999</v>
      </c>
      <c r="AM814" s="259">
        <v>32093718.819303401</v>
      </c>
      <c r="AN814" s="259">
        <v>0</v>
      </c>
      <c r="AO814" s="259">
        <v>0</v>
      </c>
      <c r="AP814" s="259">
        <v>0</v>
      </c>
      <c r="AQ814" s="259">
        <v>0</v>
      </c>
      <c r="AR814" s="259">
        <v>25563897.399999999</v>
      </c>
      <c r="AS814" s="259">
        <v>0</v>
      </c>
      <c r="AT814" s="259">
        <v>0</v>
      </c>
      <c r="AU814" s="259">
        <v>0</v>
      </c>
      <c r="AV814" s="259">
        <v>0</v>
      </c>
      <c r="AW814" s="259">
        <v>0</v>
      </c>
      <c r="AX814" s="259">
        <v>0</v>
      </c>
      <c r="AY814" s="259">
        <v>22186926.2683901</v>
      </c>
      <c r="AZ814" s="259">
        <v>23719621.5</v>
      </c>
      <c r="BA814" s="259">
        <v>0</v>
      </c>
      <c r="BB814" s="259">
        <v>0</v>
      </c>
      <c r="BC814" s="259">
        <v>0</v>
      </c>
      <c r="BD814" s="259">
        <v>0</v>
      </c>
      <c r="BE814" s="259">
        <v>0</v>
      </c>
      <c r="BF814" s="259">
        <v>0</v>
      </c>
      <c r="BG814" s="259">
        <v>0</v>
      </c>
      <c r="BH814" s="259">
        <v>0</v>
      </c>
      <c r="BI814" s="259">
        <v>0</v>
      </c>
      <c r="BJ814" s="259">
        <v>0</v>
      </c>
      <c r="BK814" s="259">
        <v>0</v>
      </c>
    </row>
    <row r="815" spans="1:63">
      <c r="A815" s="168">
        <v>45107</v>
      </c>
      <c r="B815" s="213" t="s">
        <v>385</v>
      </c>
      <c r="C815" s="256"/>
      <c r="D815" s="256"/>
      <c r="E815" s="256"/>
      <c r="F815" s="256"/>
      <c r="G815" s="256"/>
      <c r="H815" s="256"/>
      <c r="I815" s="256"/>
      <c r="J815" s="256"/>
      <c r="K815" s="256"/>
      <c r="L815" s="256"/>
      <c r="M815" s="256"/>
      <c r="N815" s="256"/>
      <c r="O815" s="256"/>
      <c r="P815" s="256"/>
      <c r="Q815" s="256"/>
      <c r="R815" s="256"/>
      <c r="S815" s="256"/>
      <c r="T815" s="256"/>
      <c r="U815" s="256"/>
      <c r="V815" s="259"/>
      <c r="W815" s="259"/>
      <c r="X815" s="259"/>
      <c r="Y815" s="259">
        <v>13564374.744260712</v>
      </c>
      <c r="Z815" s="259">
        <v>29691459.411364459</v>
      </c>
      <c r="AA815" s="259">
        <v>28074578.306615319</v>
      </c>
      <c r="AB815" s="259">
        <v>26278673.972689934</v>
      </c>
      <c r="AC815" s="259">
        <v>24181567.071388476</v>
      </c>
      <c r="AD815" s="259">
        <v>22275492.162451629</v>
      </c>
      <c r="AE815" s="259">
        <v>20515126.049709782</v>
      </c>
      <c r="AF815" s="259">
        <v>20191732.758421332</v>
      </c>
      <c r="AG815" s="259">
        <v>18618878.428256471</v>
      </c>
      <c r="AH815" s="259">
        <v>16513979.224891663</v>
      </c>
      <c r="AI815" s="259">
        <v>14725146.271565914</v>
      </c>
      <c r="AJ815" s="259">
        <v>12096228.846179035</v>
      </c>
      <c r="AK815" s="259">
        <v>10260033.629239406</v>
      </c>
      <c r="AL815" s="259">
        <v>7987980.6590804383</v>
      </c>
      <c r="AM815" s="259">
        <v>7329305.8545553535</v>
      </c>
      <c r="AN815" s="259">
        <v>5450489.4761457946</v>
      </c>
      <c r="AO815" s="259">
        <v>5491474.1683826689</v>
      </c>
      <c r="AP815" s="259">
        <v>5533688.4013866484</v>
      </c>
      <c r="AQ815" s="259">
        <v>5577169.0613807477</v>
      </c>
      <c r="AR815" s="259">
        <v>5621954.1411746703</v>
      </c>
      <c r="AS815" s="259">
        <v>3303422.263862411</v>
      </c>
      <c r="AT815" s="259">
        <v>3350934.755015783</v>
      </c>
      <c r="AU815" s="259">
        <v>3399872.6209037565</v>
      </c>
      <c r="AV815" s="259">
        <v>3450278.6227683695</v>
      </c>
      <c r="AW815" s="259">
        <v>3502196.8046889203</v>
      </c>
      <c r="AX815" s="259">
        <v>3555672.5320670884</v>
      </c>
      <c r="AY815" s="259">
        <v>3610752.5312665999</v>
      </c>
      <c r="AZ815" s="259">
        <v>1719672.5587499999</v>
      </c>
      <c r="BA815" s="259">
        <v>0</v>
      </c>
      <c r="BB815" s="259">
        <v>0</v>
      </c>
      <c r="BC815" s="259">
        <v>0</v>
      </c>
      <c r="BD815" s="259">
        <v>0</v>
      </c>
      <c r="BE815" s="259">
        <v>0</v>
      </c>
      <c r="BF815" s="259">
        <v>0</v>
      </c>
      <c r="BG815" s="259">
        <v>0</v>
      </c>
      <c r="BH815" s="259">
        <v>0</v>
      </c>
      <c r="BI815" s="259">
        <v>0</v>
      </c>
      <c r="BJ815" s="259">
        <v>0</v>
      </c>
      <c r="BK815" s="259">
        <v>0</v>
      </c>
    </row>
    <row r="816" spans="1:63">
      <c r="A816" s="169"/>
      <c r="B816" s="307" t="s">
        <v>29</v>
      </c>
      <c r="C816" s="308"/>
      <c r="D816" s="308"/>
      <c r="E816" s="308"/>
      <c r="F816" s="308"/>
      <c r="G816" s="308"/>
      <c r="H816" s="308"/>
      <c r="I816" s="308"/>
      <c r="J816" s="308"/>
      <c r="K816" s="308"/>
      <c r="L816" s="308"/>
      <c r="M816" s="308"/>
      <c r="N816" s="308"/>
      <c r="O816" s="308"/>
      <c r="P816" s="308"/>
      <c r="Q816" s="308"/>
      <c r="R816" s="308"/>
      <c r="S816" s="308"/>
      <c r="T816" s="308"/>
      <c r="U816" s="308"/>
      <c r="V816" s="309"/>
      <c r="W816" s="309"/>
      <c r="X816" s="309"/>
      <c r="Y816" s="309">
        <f t="shared" ref="Y816:BK816" si="108">Y814+Y815</f>
        <v>28482554.67728471</v>
      </c>
      <c r="Z816" s="309">
        <f t="shared" si="108"/>
        <v>102667152.55765346</v>
      </c>
      <c r="AA816" s="309">
        <f t="shared" si="108"/>
        <v>66521210.441744015</v>
      </c>
      <c r="AB816" s="309">
        <f t="shared" si="108"/>
        <v>57085876.128048994</v>
      </c>
      <c r="AC816" s="309">
        <f t="shared" si="108"/>
        <v>67479908.940413862</v>
      </c>
      <c r="AD816" s="309">
        <f t="shared" si="108"/>
        <v>54332966.862451628</v>
      </c>
      <c r="AE816" s="309">
        <f t="shared" si="108"/>
        <v>37363198.044093579</v>
      </c>
      <c r="AF816" s="309">
        <f t="shared" si="108"/>
        <v>44004494.511296131</v>
      </c>
      <c r="AG816" s="309">
        <f t="shared" si="108"/>
        <v>51017741.828256473</v>
      </c>
      <c r="AH816" s="309">
        <f t="shared" si="108"/>
        <v>44467476.724891663</v>
      </c>
      <c r="AI816" s="309">
        <f t="shared" si="108"/>
        <v>46174367.998883113</v>
      </c>
      <c r="AJ816" s="309">
        <f t="shared" si="108"/>
        <v>39601504.146179035</v>
      </c>
      <c r="AK816" s="309">
        <f t="shared" si="108"/>
        <v>43377669.993561007</v>
      </c>
      <c r="AL816" s="309">
        <f t="shared" si="108"/>
        <v>20038997.859080438</v>
      </c>
      <c r="AM816" s="309">
        <f t="shared" si="108"/>
        <v>39423024.673858754</v>
      </c>
      <c r="AN816" s="309">
        <f t="shared" si="108"/>
        <v>5450489.4761457946</v>
      </c>
      <c r="AO816" s="309">
        <f t="shared" si="108"/>
        <v>5491474.1683826689</v>
      </c>
      <c r="AP816" s="309">
        <f t="shared" si="108"/>
        <v>5533688.4013866484</v>
      </c>
      <c r="AQ816" s="309">
        <f t="shared" si="108"/>
        <v>5577169.0613807477</v>
      </c>
      <c r="AR816" s="309">
        <f t="shared" si="108"/>
        <v>31185851.541174669</v>
      </c>
      <c r="AS816" s="309">
        <f t="shared" si="108"/>
        <v>3303422.263862411</v>
      </c>
      <c r="AT816" s="309">
        <f t="shared" si="108"/>
        <v>3350934.755015783</v>
      </c>
      <c r="AU816" s="309">
        <f t="shared" si="108"/>
        <v>3399872.6209037565</v>
      </c>
      <c r="AV816" s="309">
        <f t="shared" si="108"/>
        <v>3450278.6227683695</v>
      </c>
      <c r="AW816" s="309">
        <f t="shared" si="108"/>
        <v>3502196.8046889203</v>
      </c>
      <c r="AX816" s="309">
        <f t="shared" si="108"/>
        <v>3555672.5320670884</v>
      </c>
      <c r="AY816" s="309">
        <f t="shared" si="108"/>
        <v>25797678.7996567</v>
      </c>
      <c r="AZ816" s="309">
        <f t="shared" si="108"/>
        <v>25439294.05875</v>
      </c>
      <c r="BA816" s="309">
        <f t="shared" si="108"/>
        <v>0</v>
      </c>
      <c r="BB816" s="309">
        <f t="shared" si="108"/>
        <v>0</v>
      </c>
      <c r="BC816" s="309">
        <f t="shared" si="108"/>
        <v>0</v>
      </c>
      <c r="BD816" s="309">
        <f t="shared" si="108"/>
        <v>0</v>
      </c>
      <c r="BE816" s="309">
        <f t="shared" si="108"/>
        <v>0</v>
      </c>
      <c r="BF816" s="309">
        <f t="shared" si="108"/>
        <v>0</v>
      </c>
      <c r="BG816" s="309">
        <f t="shared" si="108"/>
        <v>0</v>
      </c>
      <c r="BH816" s="309">
        <f t="shared" si="108"/>
        <v>0</v>
      </c>
      <c r="BI816" s="309">
        <f t="shared" si="108"/>
        <v>0</v>
      </c>
      <c r="BJ816" s="309">
        <f t="shared" si="108"/>
        <v>0</v>
      </c>
      <c r="BK816" s="309">
        <f t="shared" si="108"/>
        <v>0</v>
      </c>
    </row>
    <row r="817" spans="1:63">
      <c r="A817" s="167"/>
      <c r="B817" s="210" t="s">
        <v>28</v>
      </c>
      <c r="C817" s="254"/>
      <c r="D817" s="254"/>
      <c r="E817" s="254"/>
      <c r="F817" s="254"/>
      <c r="G817" s="254"/>
      <c r="H817" s="254"/>
      <c r="I817" s="254"/>
      <c r="J817" s="254"/>
      <c r="K817" s="254"/>
      <c r="L817" s="254"/>
      <c r="M817" s="254"/>
      <c r="N817" s="254"/>
      <c r="O817" s="254"/>
      <c r="P817" s="254"/>
      <c r="Q817" s="254"/>
      <c r="R817" s="254"/>
      <c r="S817" s="254"/>
      <c r="T817" s="254"/>
      <c r="U817" s="254"/>
      <c r="V817" s="255"/>
      <c r="W817" s="259"/>
      <c r="X817" s="259"/>
      <c r="Y817" s="259">
        <v>14321560.796306999</v>
      </c>
      <c r="Z817" s="259">
        <v>73356573.146288991</v>
      </c>
      <c r="AA817" s="259">
        <v>38515033.328494005</v>
      </c>
      <c r="AB817" s="259">
        <v>30804096.50234399</v>
      </c>
      <c r="AC817" s="259">
        <v>43384031.528148003</v>
      </c>
      <c r="AD817" s="259">
        <v>32272474.699999999</v>
      </c>
      <c r="AE817" s="259">
        <v>17182848.352617998</v>
      </c>
      <c r="AF817" s="259">
        <v>23812761.752874799</v>
      </c>
      <c r="AG817" s="259">
        <v>32398863.400000002</v>
      </c>
      <c r="AH817" s="259">
        <v>27953497.5</v>
      </c>
      <c r="AI817" s="259">
        <v>32489610.525864001</v>
      </c>
      <c r="AJ817" s="259">
        <v>27505275.300000001</v>
      </c>
      <c r="AK817" s="259">
        <v>33240125.416992001</v>
      </c>
      <c r="AL817" s="259">
        <v>12051017.199999999</v>
      </c>
      <c r="AM817" s="259">
        <v>32658009.883488003</v>
      </c>
      <c r="AN817" s="259">
        <v>0</v>
      </c>
      <c r="AO817" s="259">
        <v>0</v>
      </c>
      <c r="AP817" s="259">
        <v>0</v>
      </c>
      <c r="AQ817" s="259">
        <v>0</v>
      </c>
      <c r="AR817" s="259">
        <v>27053207</v>
      </c>
      <c r="AS817" s="259">
        <v>0</v>
      </c>
      <c r="AT817" s="259">
        <v>0</v>
      </c>
      <c r="AU817" s="259">
        <v>0</v>
      </c>
      <c r="AV817" s="259">
        <v>0</v>
      </c>
      <c r="AW817" s="259">
        <v>0</v>
      </c>
      <c r="AX817" s="259">
        <v>0</v>
      </c>
      <c r="AY817" s="259">
        <v>22703214.483144</v>
      </c>
      <c r="AZ817" s="259">
        <v>24301126.199999999</v>
      </c>
      <c r="BA817" s="259">
        <v>0</v>
      </c>
      <c r="BB817" s="259">
        <v>0</v>
      </c>
      <c r="BC817" s="259">
        <v>0</v>
      </c>
      <c r="BD817" s="259">
        <v>0</v>
      </c>
      <c r="BE817" s="259">
        <v>0</v>
      </c>
      <c r="BF817" s="259">
        <v>0</v>
      </c>
      <c r="BG817" s="259">
        <v>0</v>
      </c>
      <c r="BH817" s="259">
        <v>0</v>
      </c>
      <c r="BI817" s="259">
        <v>0</v>
      </c>
      <c r="BJ817" s="259">
        <v>0</v>
      </c>
      <c r="BK817" s="259">
        <v>0</v>
      </c>
    </row>
    <row r="818" spans="1:63">
      <c r="A818" s="168">
        <v>45138</v>
      </c>
      <c r="B818" s="213" t="s">
        <v>385</v>
      </c>
      <c r="C818" s="256"/>
      <c r="D818" s="256"/>
      <c r="E818" s="256"/>
      <c r="F818" s="256"/>
      <c r="G818" s="256"/>
      <c r="H818" s="256"/>
      <c r="I818" s="256"/>
      <c r="J818" s="256"/>
      <c r="K818" s="256"/>
      <c r="L818" s="256"/>
      <c r="M818" s="256"/>
      <c r="N818" s="256"/>
      <c r="O818" s="256"/>
      <c r="P818" s="256"/>
      <c r="Q818" s="256"/>
      <c r="R818" s="256"/>
      <c r="S818" s="256"/>
      <c r="T818" s="256"/>
      <c r="U818" s="256"/>
      <c r="V818" s="259"/>
      <c r="W818" s="259"/>
      <c r="X818" s="259"/>
      <c r="Y818" s="259">
        <v>10168886.88784471</v>
      </c>
      <c r="Z818" s="259">
        <v>31094890.152234484</v>
      </c>
      <c r="AA818" s="259">
        <v>28441293.987731289</v>
      </c>
      <c r="AB818" s="259">
        <v>26646697.160526879</v>
      </c>
      <c r="AC818" s="259">
        <v>24550936.99114804</v>
      </c>
      <c r="AD818" s="259">
        <v>22646249.21609148</v>
      </c>
      <c r="AE818" s="259">
        <v>20874411.851246323</v>
      </c>
      <c r="AF818" s="259">
        <v>20544573.193853356</v>
      </c>
      <c r="AG818" s="259">
        <v>18972997.113038961</v>
      </c>
      <c r="AH818" s="259">
        <v>16869414.506505132</v>
      </c>
      <c r="AI818" s="259">
        <v>15081937.647915278</v>
      </c>
      <c r="AJ818" s="259">
        <v>12324105.10510638</v>
      </c>
      <c r="AK818" s="259">
        <v>10489348.569072075</v>
      </c>
      <c r="AL818" s="259">
        <v>8218777.4402455837</v>
      </c>
      <c r="AM818" s="259">
        <v>7561628.9322929494</v>
      </c>
      <c r="AN818" s="259">
        <v>5657048.6686719162</v>
      </c>
      <c r="AO818" s="259">
        <v>5698832.5298220739</v>
      </c>
      <c r="AP818" s="259">
        <v>5741869.9068067353</v>
      </c>
      <c r="AQ818" s="259">
        <v>5786198.4051009379</v>
      </c>
      <c r="AR818" s="259">
        <v>5831856.7583439648</v>
      </c>
      <c r="AS818" s="259">
        <v>3376463.2146842843</v>
      </c>
      <c r="AT818" s="259">
        <v>3424902.1616398129</v>
      </c>
      <c r="AU818" s="259">
        <v>3474794.2770040073</v>
      </c>
      <c r="AV818" s="259">
        <v>3526183.1558291279</v>
      </c>
      <c r="AW818" s="259">
        <v>3579113.7010190012</v>
      </c>
      <c r="AX818" s="259">
        <v>3633632.1625645715</v>
      </c>
      <c r="AY818" s="259">
        <v>3689786.1779565066</v>
      </c>
      <c r="AZ818" s="259">
        <v>1761831.6495000012</v>
      </c>
      <c r="BA818" s="259">
        <v>0</v>
      </c>
      <c r="BB818" s="259">
        <v>0</v>
      </c>
      <c r="BC818" s="259">
        <v>0</v>
      </c>
      <c r="BD818" s="259">
        <v>0</v>
      </c>
      <c r="BE818" s="259">
        <v>0</v>
      </c>
      <c r="BF818" s="259">
        <v>0</v>
      </c>
      <c r="BG818" s="259">
        <v>0</v>
      </c>
      <c r="BH818" s="259">
        <v>0</v>
      </c>
      <c r="BI818" s="259">
        <v>0</v>
      </c>
      <c r="BJ818" s="259">
        <v>0</v>
      </c>
      <c r="BK818" s="259">
        <v>0</v>
      </c>
    </row>
    <row r="819" spans="1:63">
      <c r="A819" s="169"/>
      <c r="B819" s="307" t="s">
        <v>29</v>
      </c>
      <c r="C819" s="308"/>
      <c r="D819" s="308"/>
      <c r="E819" s="308"/>
      <c r="F819" s="308"/>
      <c r="G819" s="308"/>
      <c r="H819" s="308"/>
      <c r="I819" s="308"/>
      <c r="J819" s="308"/>
      <c r="K819" s="308"/>
      <c r="L819" s="308"/>
      <c r="M819" s="308"/>
      <c r="N819" s="308"/>
      <c r="O819" s="308"/>
      <c r="P819" s="308"/>
      <c r="Q819" s="308"/>
      <c r="R819" s="308"/>
      <c r="S819" s="308"/>
      <c r="T819" s="308"/>
      <c r="U819" s="308"/>
      <c r="V819" s="309"/>
      <c r="W819" s="309"/>
      <c r="X819" s="309"/>
      <c r="Y819" s="309">
        <f t="shared" ref="Y819:BK819" si="109">Y817+Y818</f>
        <v>24490447.684151709</v>
      </c>
      <c r="Z819" s="309">
        <f t="shared" si="109"/>
        <v>104451463.29852347</v>
      </c>
      <c r="AA819" s="309">
        <f t="shared" si="109"/>
        <v>66956327.31622529</v>
      </c>
      <c r="AB819" s="309">
        <f t="shared" si="109"/>
        <v>57450793.662870869</v>
      </c>
      <c r="AC819" s="309">
        <f t="shared" si="109"/>
        <v>67934968.51929605</v>
      </c>
      <c r="AD819" s="309">
        <f t="shared" si="109"/>
        <v>54918723.916091479</v>
      </c>
      <c r="AE819" s="309">
        <f t="shared" si="109"/>
        <v>38057260.203864321</v>
      </c>
      <c r="AF819" s="309">
        <f t="shared" si="109"/>
        <v>44357334.946728155</v>
      </c>
      <c r="AG819" s="309">
        <f t="shared" si="109"/>
        <v>51371860.513038963</v>
      </c>
      <c r="AH819" s="309">
        <f t="shared" si="109"/>
        <v>44822912.006505132</v>
      </c>
      <c r="AI819" s="309">
        <f t="shared" si="109"/>
        <v>47571548.173779279</v>
      </c>
      <c r="AJ819" s="309">
        <f t="shared" si="109"/>
        <v>39829380.405106381</v>
      </c>
      <c r="AK819" s="309">
        <f t="shared" si="109"/>
        <v>43729473.986064076</v>
      </c>
      <c r="AL819" s="309">
        <f t="shared" si="109"/>
        <v>20269794.640245583</v>
      </c>
      <c r="AM819" s="309">
        <f t="shared" si="109"/>
        <v>40219638.815780953</v>
      </c>
      <c r="AN819" s="309">
        <f t="shared" si="109"/>
        <v>5657048.6686719162</v>
      </c>
      <c r="AO819" s="309">
        <f t="shared" si="109"/>
        <v>5698832.5298220739</v>
      </c>
      <c r="AP819" s="309">
        <f t="shared" si="109"/>
        <v>5741869.9068067353</v>
      </c>
      <c r="AQ819" s="309">
        <f t="shared" si="109"/>
        <v>5786198.4051009379</v>
      </c>
      <c r="AR819" s="309">
        <f t="shared" si="109"/>
        <v>32885063.758343965</v>
      </c>
      <c r="AS819" s="309">
        <f t="shared" si="109"/>
        <v>3376463.2146842843</v>
      </c>
      <c r="AT819" s="309">
        <f t="shared" si="109"/>
        <v>3424902.1616398129</v>
      </c>
      <c r="AU819" s="309">
        <f t="shared" si="109"/>
        <v>3474794.2770040073</v>
      </c>
      <c r="AV819" s="309">
        <f t="shared" si="109"/>
        <v>3526183.1558291279</v>
      </c>
      <c r="AW819" s="309">
        <f t="shared" si="109"/>
        <v>3579113.7010190012</v>
      </c>
      <c r="AX819" s="309">
        <f t="shared" si="109"/>
        <v>3633632.1625645715</v>
      </c>
      <c r="AY819" s="309">
        <f t="shared" si="109"/>
        <v>26393000.661100507</v>
      </c>
      <c r="AZ819" s="309">
        <f t="shared" si="109"/>
        <v>26062957.8495</v>
      </c>
      <c r="BA819" s="309">
        <f t="shared" si="109"/>
        <v>0</v>
      </c>
      <c r="BB819" s="309">
        <f t="shared" si="109"/>
        <v>0</v>
      </c>
      <c r="BC819" s="309">
        <f t="shared" si="109"/>
        <v>0</v>
      </c>
      <c r="BD819" s="309">
        <f t="shared" si="109"/>
        <v>0</v>
      </c>
      <c r="BE819" s="309">
        <f t="shared" si="109"/>
        <v>0</v>
      </c>
      <c r="BF819" s="309">
        <f t="shared" si="109"/>
        <v>0</v>
      </c>
      <c r="BG819" s="309">
        <f t="shared" si="109"/>
        <v>0</v>
      </c>
      <c r="BH819" s="309">
        <f t="shared" si="109"/>
        <v>0</v>
      </c>
      <c r="BI819" s="309">
        <f t="shared" si="109"/>
        <v>0</v>
      </c>
      <c r="BJ819" s="309">
        <f t="shared" si="109"/>
        <v>0</v>
      </c>
      <c r="BK819" s="309">
        <f t="shared" si="109"/>
        <v>0</v>
      </c>
    </row>
    <row r="820" spans="1:63">
      <c r="A820" s="167"/>
      <c r="B820" s="210" t="s">
        <v>28</v>
      </c>
      <c r="C820" s="254"/>
      <c r="D820" s="254"/>
      <c r="E820" s="254"/>
      <c r="F820" s="254"/>
      <c r="G820" s="254"/>
      <c r="H820" s="254"/>
      <c r="I820" s="254"/>
      <c r="J820" s="254"/>
      <c r="K820" s="254"/>
      <c r="L820" s="254"/>
      <c r="M820" s="254"/>
      <c r="N820" s="254"/>
      <c r="O820" s="254"/>
      <c r="P820" s="254"/>
      <c r="Q820" s="254"/>
      <c r="R820" s="254"/>
      <c r="S820" s="254"/>
      <c r="T820" s="254"/>
      <c r="U820" s="254"/>
      <c r="V820" s="255"/>
      <c r="W820" s="259"/>
      <c r="X820" s="259"/>
      <c r="Y820" s="259">
        <v>14321560.796306999</v>
      </c>
      <c r="Z820" s="259">
        <v>72996638.379651994</v>
      </c>
      <c r="AA820" s="259">
        <v>38589867.219317198</v>
      </c>
      <c r="AB820" s="259">
        <v>30796023.813307989</v>
      </c>
      <c r="AC820" s="259">
        <v>43477779.755042396</v>
      </c>
      <c r="AD820" s="259">
        <v>32455974.699999999</v>
      </c>
      <c r="AE820" s="259">
        <v>17823270.931452401</v>
      </c>
      <c r="AF820" s="259">
        <v>23796854.3449798</v>
      </c>
      <c r="AG820" s="259">
        <v>32398863.400000002</v>
      </c>
      <c r="AH820" s="259">
        <v>27953497.5</v>
      </c>
      <c r="AI820" s="259">
        <v>34454069.670923203</v>
      </c>
      <c r="AJ820" s="259">
        <v>27505275.300000001</v>
      </c>
      <c r="AK820" s="259">
        <v>33374133.786489602</v>
      </c>
      <c r="AL820" s="259">
        <v>12051017.199999999</v>
      </c>
      <c r="AM820" s="259">
        <v>33350111.1091884</v>
      </c>
      <c r="AN820" s="259">
        <v>0</v>
      </c>
      <c r="AO820" s="259">
        <v>0</v>
      </c>
      <c r="AP820" s="259">
        <v>0</v>
      </c>
      <c r="AQ820" s="259">
        <v>0</v>
      </c>
      <c r="AR820" s="259">
        <v>28819470.5</v>
      </c>
      <c r="AS820" s="259">
        <v>0</v>
      </c>
      <c r="AT820" s="259">
        <v>0</v>
      </c>
      <c r="AU820" s="259">
        <v>0</v>
      </c>
      <c r="AV820" s="259">
        <v>0</v>
      </c>
      <c r="AW820" s="259">
        <v>0</v>
      </c>
      <c r="AX820" s="259">
        <v>0</v>
      </c>
      <c r="AY820" s="259">
        <v>23434653.42777</v>
      </c>
      <c r="AZ820" s="259">
        <v>24784141.800000001</v>
      </c>
      <c r="BA820" s="259">
        <v>0</v>
      </c>
      <c r="BB820" s="259">
        <v>0</v>
      </c>
      <c r="BC820" s="259">
        <v>0</v>
      </c>
      <c r="BD820" s="259">
        <v>0</v>
      </c>
      <c r="BE820" s="259">
        <v>0</v>
      </c>
      <c r="BF820" s="259">
        <v>0</v>
      </c>
      <c r="BG820" s="259">
        <v>0</v>
      </c>
      <c r="BH820" s="259">
        <v>0</v>
      </c>
      <c r="BI820" s="259">
        <v>0</v>
      </c>
      <c r="BJ820" s="259">
        <v>0</v>
      </c>
      <c r="BK820" s="259">
        <v>0</v>
      </c>
    </row>
    <row r="821" spans="1:63">
      <c r="A821" s="168">
        <v>45169</v>
      </c>
      <c r="B821" s="213" t="s">
        <v>385</v>
      </c>
      <c r="C821" s="256"/>
      <c r="D821" s="256"/>
      <c r="E821" s="256"/>
      <c r="F821" s="256"/>
      <c r="G821" s="256"/>
      <c r="H821" s="256"/>
      <c r="I821" s="256"/>
      <c r="J821" s="256"/>
      <c r="K821" s="256"/>
      <c r="L821" s="256"/>
      <c r="M821" s="256"/>
      <c r="N821" s="256"/>
      <c r="O821" s="256"/>
      <c r="P821" s="256"/>
      <c r="Q821" s="256"/>
      <c r="R821" s="256"/>
      <c r="S821" s="256"/>
      <c r="T821" s="256"/>
      <c r="U821" s="256"/>
      <c r="V821" s="259"/>
      <c r="W821" s="259"/>
      <c r="X821" s="259"/>
      <c r="Y821" s="259">
        <v>7926755.9763447093</v>
      </c>
      <c r="Z821" s="259">
        <v>31391221.28407488</v>
      </c>
      <c r="AA821" s="259">
        <v>28966945.748909418</v>
      </c>
      <c r="AB821" s="259">
        <v>27174274.969522841</v>
      </c>
      <c r="AC821" s="259">
        <v>25080498.629396379</v>
      </c>
      <c r="AD821" s="259">
        <v>23177854.198469769</v>
      </c>
      <c r="AE821" s="259">
        <v>21397111.478078462</v>
      </c>
      <c r="AF821" s="259">
        <v>21052911.250629</v>
      </c>
      <c r="AG821" s="259">
        <v>19483072.106500376</v>
      </c>
      <c r="AH821" s="259">
        <v>17381278.544752888</v>
      </c>
      <c r="AI821" s="259">
        <v>15595644.402292974</v>
      </c>
      <c r="AJ821" s="259">
        <v>12587667.694597904</v>
      </c>
      <c r="AK821" s="259">
        <v>10754866.09610584</v>
      </c>
      <c r="AL821" s="259">
        <v>8486308.5529478639</v>
      </c>
      <c r="AM821" s="259">
        <v>7831234.0382338017</v>
      </c>
      <c r="AN821" s="259">
        <v>5894546.2247009333</v>
      </c>
      <c r="AO821" s="259">
        <v>5937503.0723894611</v>
      </c>
      <c r="AP821" s="259">
        <v>5981748.6255086446</v>
      </c>
      <c r="AQ821" s="259">
        <v>6027321.5452214042</v>
      </c>
      <c r="AR821" s="259">
        <v>6074261.6525255442</v>
      </c>
      <c r="AS821" s="259">
        <v>3456808.9417988132</v>
      </c>
      <c r="AT821" s="259">
        <v>3506607.7016377775</v>
      </c>
      <c r="AU821" s="259">
        <v>3557900.4242719105</v>
      </c>
      <c r="AV821" s="259">
        <v>3610731.9285850683</v>
      </c>
      <c r="AW821" s="259">
        <v>3665148.3780276203</v>
      </c>
      <c r="AX821" s="259">
        <v>3721197.3209534488</v>
      </c>
      <c r="AY821" s="259">
        <v>3778927.732167054</v>
      </c>
      <c r="AZ821" s="259">
        <v>1796850.2804999985</v>
      </c>
      <c r="BA821" s="259">
        <v>0</v>
      </c>
      <c r="BB821" s="259">
        <v>0</v>
      </c>
      <c r="BC821" s="259">
        <v>0</v>
      </c>
      <c r="BD821" s="259">
        <v>0</v>
      </c>
      <c r="BE821" s="259">
        <v>0</v>
      </c>
      <c r="BF821" s="259">
        <v>0</v>
      </c>
      <c r="BG821" s="259">
        <v>0</v>
      </c>
      <c r="BH821" s="259">
        <v>0</v>
      </c>
      <c r="BI821" s="259">
        <v>0</v>
      </c>
      <c r="BJ821" s="259">
        <v>0</v>
      </c>
      <c r="BK821" s="259">
        <v>0</v>
      </c>
    </row>
    <row r="822" spans="1:63">
      <c r="A822" s="169"/>
      <c r="B822" s="307" t="s">
        <v>29</v>
      </c>
      <c r="C822" s="308"/>
      <c r="D822" s="308"/>
      <c r="E822" s="308"/>
      <c r="F822" s="308"/>
      <c r="G822" s="308"/>
      <c r="H822" s="308"/>
      <c r="I822" s="308"/>
      <c r="J822" s="308"/>
      <c r="K822" s="308"/>
      <c r="L822" s="308"/>
      <c r="M822" s="308"/>
      <c r="N822" s="308"/>
      <c r="O822" s="308"/>
      <c r="P822" s="308"/>
      <c r="Q822" s="308"/>
      <c r="R822" s="308"/>
      <c r="S822" s="308"/>
      <c r="T822" s="308"/>
      <c r="U822" s="308"/>
      <c r="V822" s="309"/>
      <c r="W822" s="309"/>
      <c r="X822" s="309"/>
      <c r="Y822" s="309">
        <f t="shared" ref="Y822:BK822" si="110">Y820+Y821</f>
        <v>22248316.77265171</v>
      </c>
      <c r="Z822" s="309">
        <f t="shared" si="110"/>
        <v>104387859.66372687</v>
      </c>
      <c r="AA822" s="309">
        <f t="shared" si="110"/>
        <v>67556812.968226612</v>
      </c>
      <c r="AB822" s="309">
        <f t="shared" si="110"/>
        <v>57970298.782830834</v>
      </c>
      <c r="AC822" s="309">
        <f t="shared" si="110"/>
        <v>68558278.384438783</v>
      </c>
      <c r="AD822" s="309">
        <f t="shared" si="110"/>
        <v>55633828.898469768</v>
      </c>
      <c r="AE822" s="309">
        <f t="shared" si="110"/>
        <v>39220382.409530863</v>
      </c>
      <c r="AF822" s="309">
        <f t="shared" si="110"/>
        <v>44849765.595608801</v>
      </c>
      <c r="AG822" s="309">
        <f t="shared" si="110"/>
        <v>51881935.506500378</v>
      </c>
      <c r="AH822" s="309">
        <f t="shared" si="110"/>
        <v>45334776.044752888</v>
      </c>
      <c r="AI822" s="309">
        <f t="shared" si="110"/>
        <v>50049714.073216178</v>
      </c>
      <c r="AJ822" s="309">
        <f t="shared" si="110"/>
        <v>40092942.994597904</v>
      </c>
      <c r="AK822" s="309">
        <f t="shared" si="110"/>
        <v>44128999.882595442</v>
      </c>
      <c r="AL822" s="309">
        <f t="shared" si="110"/>
        <v>20537325.752947863</v>
      </c>
      <c r="AM822" s="309">
        <f t="shared" si="110"/>
        <v>41181345.147422202</v>
      </c>
      <c r="AN822" s="309">
        <f t="shared" si="110"/>
        <v>5894546.2247009333</v>
      </c>
      <c r="AO822" s="309">
        <f t="shared" si="110"/>
        <v>5937503.0723894611</v>
      </c>
      <c r="AP822" s="309">
        <f t="shared" si="110"/>
        <v>5981748.6255086446</v>
      </c>
      <c r="AQ822" s="309">
        <f t="shared" si="110"/>
        <v>6027321.5452214042</v>
      </c>
      <c r="AR822" s="309">
        <f t="shared" si="110"/>
        <v>34893732.152525544</v>
      </c>
      <c r="AS822" s="309">
        <f t="shared" si="110"/>
        <v>3456808.9417988132</v>
      </c>
      <c r="AT822" s="309">
        <f t="shared" si="110"/>
        <v>3506607.7016377775</v>
      </c>
      <c r="AU822" s="309">
        <f t="shared" si="110"/>
        <v>3557900.4242719105</v>
      </c>
      <c r="AV822" s="309">
        <f t="shared" si="110"/>
        <v>3610731.9285850683</v>
      </c>
      <c r="AW822" s="309">
        <f t="shared" si="110"/>
        <v>3665148.3780276203</v>
      </c>
      <c r="AX822" s="309">
        <f t="shared" si="110"/>
        <v>3721197.3209534488</v>
      </c>
      <c r="AY822" s="309">
        <f t="shared" si="110"/>
        <v>27213581.159937054</v>
      </c>
      <c r="AZ822" s="309">
        <f t="shared" si="110"/>
        <v>26580992.080499999</v>
      </c>
      <c r="BA822" s="309">
        <f t="shared" si="110"/>
        <v>0</v>
      </c>
      <c r="BB822" s="309">
        <f t="shared" si="110"/>
        <v>0</v>
      </c>
      <c r="BC822" s="309">
        <f t="shared" si="110"/>
        <v>0</v>
      </c>
      <c r="BD822" s="309">
        <f t="shared" si="110"/>
        <v>0</v>
      </c>
      <c r="BE822" s="309">
        <f t="shared" si="110"/>
        <v>0</v>
      </c>
      <c r="BF822" s="309">
        <f t="shared" si="110"/>
        <v>0</v>
      </c>
      <c r="BG822" s="309">
        <f t="shared" si="110"/>
        <v>0</v>
      </c>
      <c r="BH822" s="309">
        <f t="shared" si="110"/>
        <v>0</v>
      </c>
      <c r="BI822" s="309">
        <f t="shared" si="110"/>
        <v>0</v>
      </c>
      <c r="BJ822" s="309">
        <f t="shared" si="110"/>
        <v>0</v>
      </c>
      <c r="BK822" s="309">
        <f t="shared" si="110"/>
        <v>0</v>
      </c>
    </row>
    <row r="823" spans="1:63">
      <c r="A823" s="167"/>
      <c r="B823" s="210" t="s">
        <v>28</v>
      </c>
      <c r="C823" s="254"/>
      <c r="D823" s="254"/>
      <c r="E823" s="254"/>
      <c r="F823" s="254"/>
      <c r="G823" s="254"/>
      <c r="H823" s="254"/>
      <c r="I823" s="254"/>
      <c r="J823" s="254"/>
      <c r="K823" s="254"/>
      <c r="L823" s="254"/>
      <c r="M823" s="254"/>
      <c r="N823" s="254"/>
      <c r="O823" s="254"/>
      <c r="P823" s="254"/>
      <c r="Q823" s="254"/>
      <c r="R823" s="254"/>
      <c r="S823" s="254"/>
      <c r="T823" s="254"/>
      <c r="U823" s="254"/>
      <c r="V823" s="255"/>
      <c r="W823" s="259"/>
      <c r="X823" s="259"/>
      <c r="Y823" s="259">
        <v>7656712.1826070007</v>
      </c>
      <c r="Z823" s="259">
        <v>71233954.173680991</v>
      </c>
      <c r="AA823" s="259">
        <v>38700173.904214598</v>
      </c>
      <c r="AB823" s="259">
        <v>30791257.964276988</v>
      </c>
      <c r="AC823" s="259">
        <v>43615966.557973199</v>
      </c>
      <c r="AD823" s="259">
        <v>32697474.699999999</v>
      </c>
      <c r="AE823" s="259">
        <v>18143193.246401798</v>
      </c>
      <c r="AF823" s="259">
        <v>23796860.999979801</v>
      </c>
      <c r="AG823" s="259">
        <v>32398863.400000002</v>
      </c>
      <c r="AH823" s="259">
        <v>27953497.5</v>
      </c>
      <c r="AI823" s="259">
        <v>36368978.653397597</v>
      </c>
      <c r="AJ823" s="259">
        <v>27505275.300000001</v>
      </c>
      <c r="AK823" s="259">
        <v>33571664.862652801</v>
      </c>
      <c r="AL823" s="259">
        <v>12051017.199999999</v>
      </c>
      <c r="AM823" s="259">
        <v>33814562.8400748</v>
      </c>
      <c r="AN823" s="259">
        <v>0</v>
      </c>
      <c r="AO823" s="259">
        <v>0</v>
      </c>
      <c r="AP823" s="259">
        <v>0</v>
      </c>
      <c r="AQ823" s="259">
        <v>0</v>
      </c>
      <c r="AR823" s="259">
        <v>30240545.699999999</v>
      </c>
      <c r="AS823" s="259">
        <v>0</v>
      </c>
      <c r="AT823" s="259">
        <v>0</v>
      </c>
      <c r="AU823" s="259">
        <v>0</v>
      </c>
      <c r="AV823" s="259">
        <v>0</v>
      </c>
      <c r="AW823" s="259">
        <v>0</v>
      </c>
      <c r="AX823" s="259">
        <v>0</v>
      </c>
      <c r="AY823" s="259">
        <v>23867490.9698334</v>
      </c>
      <c r="AZ823" s="259">
        <v>25322649.800000001</v>
      </c>
      <c r="BA823" s="259">
        <v>0</v>
      </c>
      <c r="BB823" s="259">
        <v>0</v>
      </c>
      <c r="BC823" s="259">
        <v>0</v>
      </c>
      <c r="BD823" s="259">
        <v>0</v>
      </c>
      <c r="BE823" s="259">
        <v>0</v>
      </c>
      <c r="BF823" s="259">
        <v>0</v>
      </c>
      <c r="BG823" s="259">
        <v>0</v>
      </c>
      <c r="BH823" s="259">
        <v>0</v>
      </c>
      <c r="BI823" s="259">
        <v>0</v>
      </c>
      <c r="BJ823" s="259">
        <v>0</v>
      </c>
      <c r="BK823" s="259">
        <v>0</v>
      </c>
    </row>
    <row r="824" spans="1:63">
      <c r="A824" s="168">
        <v>45199</v>
      </c>
      <c r="B824" s="213" t="s">
        <v>385</v>
      </c>
      <c r="C824" s="256"/>
      <c r="D824" s="256"/>
      <c r="E824" s="256"/>
      <c r="F824" s="256"/>
      <c r="G824" s="256"/>
      <c r="H824" s="256"/>
      <c r="I824" s="256"/>
      <c r="J824" s="256"/>
      <c r="K824" s="256"/>
      <c r="L824" s="256"/>
      <c r="M824" s="256"/>
      <c r="N824" s="256"/>
      <c r="O824" s="256"/>
      <c r="P824" s="256"/>
      <c r="Q824" s="256"/>
      <c r="R824" s="256"/>
      <c r="S824" s="256"/>
      <c r="T824" s="256"/>
      <c r="U824" s="256"/>
      <c r="V824" s="259"/>
      <c r="W824" s="259"/>
      <c r="X824" s="259"/>
      <c r="Y824" s="259">
        <v>6234650.3491658494</v>
      </c>
      <c r="Z824" s="259">
        <v>31596201.638673961</v>
      </c>
      <c r="AA824" s="259">
        <v>29359796.979248971</v>
      </c>
      <c r="AB824" s="259">
        <v>27573048.827200595</v>
      </c>
      <c r="AC824" s="259">
        <v>25478452.267637677</v>
      </c>
      <c r="AD824" s="259">
        <v>23583638.568201911</v>
      </c>
      <c r="AE824" s="259">
        <v>21787782.625499308</v>
      </c>
      <c r="AF824" s="259">
        <v>21441625.79506015</v>
      </c>
      <c r="AG824" s="259">
        <v>19871086.346911956</v>
      </c>
      <c r="AH824" s="259">
        <v>17768571.472024307</v>
      </c>
      <c r="AI824" s="259">
        <v>15982194.377030037</v>
      </c>
      <c r="AJ824" s="259">
        <v>12738148.282726925</v>
      </c>
      <c r="AK824" s="259">
        <v>10904746.363298737</v>
      </c>
      <c r="AL824" s="259">
        <v>8658215.042895671</v>
      </c>
      <c r="AM824" s="259">
        <v>8003182.9843000397</v>
      </c>
      <c r="AN824" s="259">
        <v>6069420.173628537</v>
      </c>
      <c r="AO824" s="259">
        <v>6112508.501204893</v>
      </c>
      <c r="AP824" s="259">
        <v>6156889.4786085403</v>
      </c>
      <c r="AQ824" s="259">
        <v>6202601.8853342962</v>
      </c>
      <c r="AR824" s="259">
        <v>6249685.6642618217</v>
      </c>
      <c r="AS824" s="259">
        <v>3500931.4793071803</v>
      </c>
      <c r="AT824" s="259">
        <v>3550882.6603713958</v>
      </c>
      <c r="AU824" s="259">
        <v>3602332.3768675374</v>
      </c>
      <c r="AV824" s="259">
        <v>3655325.5848585637</v>
      </c>
      <c r="AW824" s="259">
        <v>3709908.5890893205</v>
      </c>
      <c r="AX824" s="259">
        <v>3766129.083447</v>
      </c>
      <c r="AY824" s="259">
        <v>3824036.1926354095</v>
      </c>
      <c r="AZ824" s="259">
        <v>1835892.1105000004</v>
      </c>
      <c r="BA824" s="259">
        <v>0</v>
      </c>
      <c r="BB824" s="259">
        <v>0</v>
      </c>
      <c r="BC824" s="259">
        <v>0</v>
      </c>
      <c r="BD824" s="259">
        <v>0</v>
      </c>
      <c r="BE824" s="259">
        <v>0</v>
      </c>
      <c r="BF824" s="259">
        <v>0</v>
      </c>
      <c r="BG824" s="259">
        <v>0</v>
      </c>
      <c r="BH824" s="259">
        <v>0</v>
      </c>
      <c r="BI824" s="259">
        <v>0</v>
      </c>
      <c r="BJ824" s="259">
        <v>0</v>
      </c>
      <c r="BK824" s="259">
        <v>0</v>
      </c>
    </row>
    <row r="825" spans="1:63">
      <c r="A825" s="169"/>
      <c r="B825" s="307" t="s">
        <v>29</v>
      </c>
      <c r="C825" s="308"/>
      <c r="D825" s="308"/>
      <c r="E825" s="308"/>
      <c r="F825" s="308"/>
      <c r="G825" s="308"/>
      <c r="H825" s="308"/>
      <c r="I825" s="308"/>
      <c r="J825" s="308"/>
      <c r="K825" s="308"/>
      <c r="L825" s="308"/>
      <c r="M825" s="308"/>
      <c r="N825" s="308"/>
      <c r="O825" s="308"/>
      <c r="P825" s="308"/>
      <c r="Q825" s="308"/>
      <c r="R825" s="308"/>
      <c r="S825" s="308"/>
      <c r="T825" s="308"/>
      <c r="U825" s="308"/>
      <c r="V825" s="309"/>
      <c r="W825" s="309"/>
      <c r="X825" s="309"/>
      <c r="Y825" s="309">
        <f t="shared" ref="Y825:BK825" si="111">Y823+Y824</f>
        <v>13891362.53177285</v>
      </c>
      <c r="Z825" s="309">
        <f t="shared" si="111"/>
        <v>102830155.81235495</v>
      </c>
      <c r="AA825" s="309">
        <f t="shared" si="111"/>
        <v>68059970.883463562</v>
      </c>
      <c r="AB825" s="309">
        <f t="shared" si="111"/>
        <v>58364306.791477583</v>
      </c>
      <c r="AC825" s="309">
        <f t="shared" si="111"/>
        <v>69094418.825610876</v>
      </c>
      <c r="AD825" s="309">
        <f t="shared" si="111"/>
        <v>56281113.26820191</v>
      </c>
      <c r="AE825" s="309">
        <f t="shared" si="111"/>
        <v>39930975.87190111</v>
      </c>
      <c r="AF825" s="309">
        <f t="shared" si="111"/>
        <v>45238486.795039952</v>
      </c>
      <c r="AG825" s="309">
        <f t="shared" si="111"/>
        <v>52269949.746911958</v>
      </c>
      <c r="AH825" s="309">
        <f t="shared" si="111"/>
        <v>45722068.972024307</v>
      </c>
      <c r="AI825" s="309">
        <f t="shared" si="111"/>
        <v>52351173.030427635</v>
      </c>
      <c r="AJ825" s="309">
        <f t="shared" si="111"/>
        <v>40243423.582726926</v>
      </c>
      <c r="AK825" s="309">
        <f t="shared" si="111"/>
        <v>44476411.225951537</v>
      </c>
      <c r="AL825" s="309">
        <f t="shared" si="111"/>
        <v>20709232.24289567</v>
      </c>
      <c r="AM825" s="309">
        <f t="shared" si="111"/>
        <v>41817745.82437484</v>
      </c>
      <c r="AN825" s="309">
        <f t="shared" si="111"/>
        <v>6069420.173628537</v>
      </c>
      <c r="AO825" s="309">
        <f t="shared" si="111"/>
        <v>6112508.501204893</v>
      </c>
      <c r="AP825" s="309">
        <f t="shared" si="111"/>
        <v>6156889.4786085403</v>
      </c>
      <c r="AQ825" s="309">
        <f t="shared" si="111"/>
        <v>6202601.8853342962</v>
      </c>
      <c r="AR825" s="309">
        <f t="shared" si="111"/>
        <v>36490231.364261821</v>
      </c>
      <c r="AS825" s="309">
        <f t="shared" si="111"/>
        <v>3500931.4793071803</v>
      </c>
      <c r="AT825" s="309">
        <f t="shared" si="111"/>
        <v>3550882.6603713958</v>
      </c>
      <c r="AU825" s="309">
        <f t="shared" si="111"/>
        <v>3602332.3768675374</v>
      </c>
      <c r="AV825" s="309">
        <f t="shared" si="111"/>
        <v>3655325.5848585637</v>
      </c>
      <c r="AW825" s="309">
        <f t="shared" si="111"/>
        <v>3709908.5890893205</v>
      </c>
      <c r="AX825" s="309">
        <f t="shared" si="111"/>
        <v>3766129.083447</v>
      </c>
      <c r="AY825" s="309">
        <f t="shared" si="111"/>
        <v>27691527.16246881</v>
      </c>
      <c r="AZ825" s="309">
        <f t="shared" si="111"/>
        <v>27158541.910500001</v>
      </c>
      <c r="BA825" s="309">
        <f t="shared" si="111"/>
        <v>0</v>
      </c>
      <c r="BB825" s="309">
        <f t="shared" si="111"/>
        <v>0</v>
      </c>
      <c r="BC825" s="309">
        <f t="shared" si="111"/>
        <v>0</v>
      </c>
      <c r="BD825" s="309">
        <f t="shared" si="111"/>
        <v>0</v>
      </c>
      <c r="BE825" s="309">
        <f t="shared" si="111"/>
        <v>0</v>
      </c>
      <c r="BF825" s="309">
        <f t="shared" si="111"/>
        <v>0</v>
      </c>
      <c r="BG825" s="309">
        <f t="shared" si="111"/>
        <v>0</v>
      </c>
      <c r="BH825" s="309">
        <f t="shared" si="111"/>
        <v>0</v>
      </c>
      <c r="BI825" s="309">
        <f t="shared" si="111"/>
        <v>0</v>
      </c>
      <c r="BJ825" s="309">
        <f t="shared" si="111"/>
        <v>0</v>
      </c>
      <c r="BK825" s="309">
        <f t="shared" si="111"/>
        <v>0</v>
      </c>
    </row>
    <row r="826" spans="1:63">
      <c r="A826" s="167"/>
      <c r="B826" s="210" t="s">
        <v>28</v>
      </c>
      <c r="C826" s="254"/>
      <c r="D826" s="254"/>
      <c r="E826" s="254"/>
      <c r="F826" s="254"/>
      <c r="G826" s="254"/>
      <c r="H826" s="254"/>
      <c r="I826" s="254"/>
      <c r="J826" s="254"/>
      <c r="K826" s="254"/>
      <c r="L826" s="254"/>
      <c r="M826" s="254"/>
      <c r="N826" s="254"/>
      <c r="O826" s="254"/>
      <c r="P826" s="254"/>
      <c r="Q826" s="254"/>
      <c r="R826" s="254"/>
      <c r="S826" s="254"/>
      <c r="T826" s="254"/>
      <c r="U826" s="254"/>
      <c r="V826" s="255"/>
      <c r="W826" s="259"/>
      <c r="X826" s="259"/>
      <c r="Y826" s="259">
        <v>7029586.4960949998</v>
      </c>
      <c r="Z826" s="259">
        <v>80975855.659578994</v>
      </c>
      <c r="AA826" s="259">
        <v>38670318.807016701</v>
      </c>
      <c r="AB826" s="259">
        <v>30781549.40513033</v>
      </c>
      <c r="AC826" s="259">
        <v>43763622.677121393</v>
      </c>
      <c r="AD826" s="259">
        <v>32870474.699999999</v>
      </c>
      <c r="AE826" s="259">
        <v>18434835.692691103</v>
      </c>
      <c r="AF826" s="259">
        <v>23796860.999979801</v>
      </c>
      <c r="AG826" s="259">
        <v>32398863.400000002</v>
      </c>
      <c r="AH826" s="259">
        <v>27953497.5</v>
      </c>
      <c r="AI826" s="259">
        <v>37286224.002445199</v>
      </c>
      <c r="AJ826" s="259">
        <v>27735275.300000001</v>
      </c>
      <c r="AK826" s="259">
        <v>33782731.849505603</v>
      </c>
      <c r="AL826" s="259">
        <v>12051017.199999999</v>
      </c>
      <c r="AM826" s="259">
        <v>34276052.308269702</v>
      </c>
      <c r="AN826" s="259">
        <v>0</v>
      </c>
      <c r="AO826" s="259">
        <v>0</v>
      </c>
      <c r="AP826" s="259">
        <v>0</v>
      </c>
      <c r="AQ826" s="259">
        <v>0</v>
      </c>
      <c r="AR826" s="259">
        <v>31034522.100000001</v>
      </c>
      <c r="AS826" s="259">
        <v>0</v>
      </c>
      <c r="AT826" s="259">
        <v>0</v>
      </c>
      <c r="AU826" s="259">
        <v>0</v>
      </c>
      <c r="AV826" s="259">
        <v>0</v>
      </c>
      <c r="AW826" s="259">
        <v>0</v>
      </c>
      <c r="AX826" s="259">
        <v>0</v>
      </c>
      <c r="AY826" s="259">
        <v>24267828.066694703</v>
      </c>
      <c r="AZ826" s="259">
        <v>25756023.100000001</v>
      </c>
      <c r="BA826" s="259">
        <v>0</v>
      </c>
      <c r="BB826" s="259">
        <v>0</v>
      </c>
      <c r="BC826" s="259">
        <v>0</v>
      </c>
      <c r="BD826" s="259">
        <v>0</v>
      </c>
      <c r="BE826" s="259">
        <v>0</v>
      </c>
      <c r="BF826" s="259">
        <v>0</v>
      </c>
      <c r="BG826" s="259">
        <v>0</v>
      </c>
      <c r="BH826" s="259">
        <v>0</v>
      </c>
      <c r="BI826" s="259">
        <v>0</v>
      </c>
      <c r="BJ826" s="259">
        <v>0</v>
      </c>
      <c r="BK826" s="259">
        <v>0</v>
      </c>
    </row>
    <row r="827" spans="1:63">
      <c r="A827" s="168">
        <v>45230</v>
      </c>
      <c r="B827" s="213" t="s">
        <v>385</v>
      </c>
      <c r="C827" s="256"/>
      <c r="D827" s="256"/>
      <c r="E827" s="256"/>
      <c r="F827" s="256"/>
      <c r="G827" s="256"/>
      <c r="H827" s="256"/>
      <c r="I827" s="256"/>
      <c r="J827" s="256"/>
      <c r="K827" s="256"/>
      <c r="L827" s="256"/>
      <c r="M827" s="256"/>
      <c r="N827" s="256"/>
      <c r="O827" s="256"/>
      <c r="P827" s="256"/>
      <c r="Q827" s="256"/>
      <c r="R827" s="256"/>
      <c r="S827" s="256"/>
      <c r="T827" s="256"/>
      <c r="U827" s="256"/>
      <c r="V827" s="259"/>
      <c r="W827" s="259"/>
      <c r="X827" s="259"/>
      <c r="Y827" s="259">
        <v>6273428.9760203501</v>
      </c>
      <c r="Z827" s="259">
        <v>31728335.817089044</v>
      </c>
      <c r="AA827" s="259">
        <v>29615336.054549001</v>
      </c>
      <c r="AB827" s="259">
        <v>27838563.89079212</v>
      </c>
      <c r="AC827" s="259">
        <v>25744733.08554446</v>
      </c>
      <c r="AD827" s="259">
        <v>23850708.113053393</v>
      </c>
      <c r="AE827" s="259">
        <v>22045284.559103835</v>
      </c>
      <c r="AF827" s="259">
        <v>21694934.750976883</v>
      </c>
      <c r="AG827" s="259">
        <v>20125106.273913693</v>
      </c>
      <c r="AH827" s="259">
        <v>18023323.699243605</v>
      </c>
      <c r="AI827" s="259">
        <v>16237700.873473413</v>
      </c>
      <c r="AJ827" s="259">
        <v>12886208.177583169</v>
      </c>
      <c r="AK827" s="259">
        <v>11036926.933563165</v>
      </c>
      <c r="AL827" s="259">
        <v>8791215.1588305347</v>
      </c>
      <c r="AM827" s="259">
        <v>8137027.2322754487</v>
      </c>
      <c r="AN827" s="259">
        <v>6189249.6417526798</v>
      </c>
      <c r="AO827" s="259">
        <v>6232786.9819352599</v>
      </c>
      <c r="AP827" s="259">
        <v>6277630.4423233178</v>
      </c>
      <c r="AQ827" s="259">
        <v>6323819.206523017</v>
      </c>
      <c r="AR827" s="259">
        <v>6371393.6336487085</v>
      </c>
      <c r="AS827" s="259">
        <v>3549701.9993381687</v>
      </c>
      <c r="AT827" s="259">
        <v>3600173.7090758136</v>
      </c>
      <c r="AU827" s="259">
        <v>3652159.5701055881</v>
      </c>
      <c r="AV827" s="259">
        <v>3705705.0069662556</v>
      </c>
      <c r="AW827" s="259">
        <v>3760856.8069327436</v>
      </c>
      <c r="AX827" s="259">
        <v>3817663.1608982258</v>
      </c>
      <c r="AY827" s="259">
        <v>3876173.7054826729</v>
      </c>
      <c r="AZ827" s="259">
        <v>1867311.6747500002</v>
      </c>
      <c r="BA827" s="259">
        <v>0</v>
      </c>
      <c r="BB827" s="259">
        <v>0</v>
      </c>
      <c r="BC827" s="259">
        <v>0</v>
      </c>
      <c r="BD827" s="259">
        <v>0</v>
      </c>
      <c r="BE827" s="259">
        <v>0</v>
      </c>
      <c r="BF827" s="259">
        <v>0</v>
      </c>
      <c r="BG827" s="259">
        <v>0</v>
      </c>
      <c r="BH827" s="259">
        <v>0</v>
      </c>
      <c r="BI827" s="259">
        <v>0</v>
      </c>
      <c r="BJ827" s="259">
        <v>0</v>
      </c>
      <c r="BK827" s="259">
        <v>0</v>
      </c>
    </row>
    <row r="828" spans="1:63">
      <c r="A828" s="169"/>
      <c r="B828" s="307" t="s">
        <v>29</v>
      </c>
      <c r="C828" s="308"/>
      <c r="D828" s="308"/>
      <c r="E828" s="308"/>
      <c r="F828" s="308"/>
      <c r="G828" s="308"/>
      <c r="H828" s="308"/>
      <c r="I828" s="308"/>
      <c r="J828" s="308"/>
      <c r="K828" s="308"/>
      <c r="L828" s="308"/>
      <c r="M828" s="308"/>
      <c r="N828" s="308"/>
      <c r="O828" s="308"/>
      <c r="P828" s="308"/>
      <c r="Q828" s="308"/>
      <c r="R828" s="308"/>
      <c r="S828" s="308"/>
      <c r="T828" s="308"/>
      <c r="U828" s="308"/>
      <c r="V828" s="309"/>
      <c r="W828" s="309"/>
      <c r="X828" s="309"/>
      <c r="Y828" s="309">
        <f t="shared" ref="Y828:BK828" si="112">Y826+Y827</f>
        <v>13303015.472115349</v>
      </c>
      <c r="Z828" s="309">
        <f t="shared" si="112"/>
        <v>112704191.47666803</v>
      </c>
      <c r="AA828" s="309">
        <f t="shared" si="112"/>
        <v>68285654.861565709</v>
      </c>
      <c r="AB828" s="309">
        <f t="shared" si="112"/>
        <v>58620113.295922451</v>
      </c>
      <c r="AC828" s="309">
        <f t="shared" si="112"/>
        <v>69508355.762665853</v>
      </c>
      <c r="AD828" s="309">
        <f t="shared" si="112"/>
        <v>56721182.813053392</v>
      </c>
      <c r="AE828" s="309">
        <f t="shared" si="112"/>
        <v>40480120.251794934</v>
      </c>
      <c r="AF828" s="309">
        <f t="shared" si="112"/>
        <v>45491795.750956684</v>
      </c>
      <c r="AG828" s="309">
        <f t="shared" si="112"/>
        <v>52523969.673913695</v>
      </c>
      <c r="AH828" s="309">
        <f t="shared" si="112"/>
        <v>45976821.199243605</v>
      </c>
      <c r="AI828" s="309">
        <f t="shared" si="112"/>
        <v>53523924.875918612</v>
      </c>
      <c r="AJ828" s="309">
        <f t="shared" si="112"/>
        <v>40621483.47758317</v>
      </c>
      <c r="AK828" s="309">
        <f t="shared" si="112"/>
        <v>44819658.783068769</v>
      </c>
      <c r="AL828" s="309">
        <f t="shared" si="112"/>
        <v>20842232.358830534</v>
      </c>
      <c r="AM828" s="309">
        <f t="shared" si="112"/>
        <v>42413079.540545151</v>
      </c>
      <c r="AN828" s="309">
        <f t="shared" si="112"/>
        <v>6189249.6417526798</v>
      </c>
      <c r="AO828" s="309">
        <f t="shared" si="112"/>
        <v>6232786.9819352599</v>
      </c>
      <c r="AP828" s="309">
        <f t="shared" si="112"/>
        <v>6277630.4423233178</v>
      </c>
      <c r="AQ828" s="309">
        <f t="shared" si="112"/>
        <v>6323819.206523017</v>
      </c>
      <c r="AR828" s="309">
        <f t="shared" si="112"/>
        <v>37405915.73364871</v>
      </c>
      <c r="AS828" s="309">
        <f t="shared" si="112"/>
        <v>3549701.9993381687</v>
      </c>
      <c r="AT828" s="309">
        <f t="shared" si="112"/>
        <v>3600173.7090758136</v>
      </c>
      <c r="AU828" s="309">
        <f t="shared" si="112"/>
        <v>3652159.5701055881</v>
      </c>
      <c r="AV828" s="309">
        <f t="shared" si="112"/>
        <v>3705705.0069662556</v>
      </c>
      <c r="AW828" s="309">
        <f t="shared" si="112"/>
        <v>3760856.8069327436</v>
      </c>
      <c r="AX828" s="309">
        <f t="shared" si="112"/>
        <v>3817663.1608982258</v>
      </c>
      <c r="AY828" s="309">
        <f t="shared" si="112"/>
        <v>28144001.772177376</v>
      </c>
      <c r="AZ828" s="309">
        <f t="shared" si="112"/>
        <v>27623334.774750002</v>
      </c>
      <c r="BA828" s="309">
        <f t="shared" si="112"/>
        <v>0</v>
      </c>
      <c r="BB828" s="309">
        <f t="shared" si="112"/>
        <v>0</v>
      </c>
      <c r="BC828" s="309">
        <f t="shared" si="112"/>
        <v>0</v>
      </c>
      <c r="BD828" s="309">
        <f t="shared" si="112"/>
        <v>0</v>
      </c>
      <c r="BE828" s="309">
        <f t="shared" si="112"/>
        <v>0</v>
      </c>
      <c r="BF828" s="309">
        <f t="shared" si="112"/>
        <v>0</v>
      </c>
      <c r="BG828" s="309">
        <f t="shared" si="112"/>
        <v>0</v>
      </c>
      <c r="BH828" s="309">
        <f t="shared" si="112"/>
        <v>0</v>
      </c>
      <c r="BI828" s="309">
        <f t="shared" si="112"/>
        <v>0</v>
      </c>
      <c r="BJ828" s="309">
        <f t="shared" si="112"/>
        <v>0</v>
      </c>
      <c r="BK828" s="309">
        <f t="shared" si="112"/>
        <v>0</v>
      </c>
    </row>
    <row r="829" spans="1:63">
      <c r="A829" s="167"/>
      <c r="B829" s="210" t="s">
        <v>28</v>
      </c>
      <c r="C829" s="254"/>
      <c r="D829" s="254"/>
      <c r="E829" s="254"/>
      <c r="F829" s="254"/>
      <c r="G829" s="254"/>
      <c r="H829" s="254"/>
      <c r="I829" s="254"/>
      <c r="J829" s="254"/>
      <c r="K829" s="254"/>
      <c r="L829" s="254"/>
      <c r="M829" s="254"/>
      <c r="N829" s="254"/>
      <c r="O829" s="254"/>
      <c r="P829" s="254"/>
      <c r="Q829" s="254"/>
      <c r="R829" s="254"/>
      <c r="S829" s="254"/>
      <c r="T829" s="254"/>
      <c r="U829" s="254"/>
      <c r="V829" s="255"/>
      <c r="W829" s="259"/>
      <c r="X829" s="259"/>
      <c r="Y829" s="259">
        <v>8045043.107903</v>
      </c>
      <c r="Z829" s="259">
        <v>80733876.888812006</v>
      </c>
      <c r="AA829" s="259">
        <v>37083499.363280199</v>
      </c>
      <c r="AB829" s="259">
        <v>31055824.09479133</v>
      </c>
      <c r="AC829" s="259">
        <v>43854888.785288393</v>
      </c>
      <c r="AD829" s="259">
        <v>33584474.700000003</v>
      </c>
      <c r="AE829" s="259">
        <v>18506026.331086598</v>
      </c>
      <c r="AF829" s="259">
        <v>23796860.999979801</v>
      </c>
      <c r="AG829" s="259">
        <v>32398863.400000002</v>
      </c>
      <c r="AH829" s="259">
        <v>27953497.5</v>
      </c>
      <c r="AI829" s="259">
        <v>38026481.194751203</v>
      </c>
      <c r="AJ829" s="259">
        <v>27735275.300000001</v>
      </c>
      <c r="AK829" s="259">
        <v>34073626.965273596</v>
      </c>
      <c r="AL829" s="259">
        <v>12051017.199999999</v>
      </c>
      <c r="AM829" s="259">
        <v>34561774.831224598</v>
      </c>
      <c r="AN829" s="259">
        <v>0</v>
      </c>
      <c r="AO829" s="259">
        <v>0</v>
      </c>
      <c r="AP829" s="259">
        <v>0</v>
      </c>
      <c r="AQ829" s="259">
        <v>0</v>
      </c>
      <c r="AR829" s="259">
        <v>32371716.600000001</v>
      </c>
      <c r="AS829" s="259">
        <v>0</v>
      </c>
      <c r="AT829" s="259">
        <v>0</v>
      </c>
      <c r="AU829" s="259">
        <v>0</v>
      </c>
      <c r="AV829" s="259">
        <v>0</v>
      </c>
      <c r="AW829" s="259">
        <v>0</v>
      </c>
      <c r="AX829" s="259">
        <v>0</v>
      </c>
      <c r="AY829" s="259">
        <v>24418301.082020998</v>
      </c>
      <c r="AZ829" s="259">
        <v>25894881.800000001</v>
      </c>
      <c r="BA829" s="259">
        <v>0</v>
      </c>
      <c r="BB829" s="259">
        <v>0</v>
      </c>
      <c r="BC829" s="259">
        <v>0</v>
      </c>
      <c r="BD829" s="259">
        <v>0</v>
      </c>
      <c r="BE829" s="259">
        <v>0</v>
      </c>
      <c r="BF829" s="259">
        <v>0</v>
      </c>
      <c r="BG829" s="259">
        <v>0</v>
      </c>
      <c r="BH829" s="259">
        <v>0</v>
      </c>
      <c r="BI829" s="259">
        <v>0</v>
      </c>
      <c r="BJ829" s="259">
        <v>0</v>
      </c>
      <c r="BK829" s="259">
        <v>0</v>
      </c>
    </row>
    <row r="830" spans="1:63">
      <c r="A830" s="168">
        <v>45260</v>
      </c>
      <c r="B830" s="213" t="s">
        <v>385</v>
      </c>
      <c r="C830" s="256"/>
      <c r="D830" s="256"/>
      <c r="E830" s="256"/>
      <c r="F830" s="256"/>
      <c r="G830" s="256"/>
      <c r="H830" s="256"/>
      <c r="I830" s="256"/>
      <c r="J830" s="256"/>
      <c r="K830" s="256"/>
      <c r="L830" s="256"/>
      <c r="M830" s="256"/>
      <c r="N830" s="256"/>
      <c r="O830" s="256"/>
      <c r="P830" s="256"/>
      <c r="Q830" s="256"/>
      <c r="R830" s="256"/>
      <c r="S830" s="256"/>
      <c r="T830" s="256"/>
      <c r="U830" s="256"/>
      <c r="V830" s="259"/>
      <c r="W830" s="259"/>
      <c r="X830" s="259"/>
      <c r="Y830" s="259">
        <v>3.6327703499999999</v>
      </c>
      <c r="Z830" s="259">
        <v>31868001.697512332</v>
      </c>
      <c r="AA830" s="259">
        <v>29814523.088514999</v>
      </c>
      <c r="AB830" s="259">
        <v>28141983.4289071</v>
      </c>
      <c r="AC830" s="259">
        <v>26029170.71793288</v>
      </c>
      <c r="AD830" s="259">
        <v>24135679.382543467</v>
      </c>
      <c r="AE830" s="259">
        <v>22287965.474808607</v>
      </c>
      <c r="AF830" s="259">
        <v>21938181.802282803</v>
      </c>
      <c r="AG830" s="259">
        <v>20368936.444888789</v>
      </c>
      <c r="AH830" s="259">
        <v>18267754.48347795</v>
      </c>
      <c r="AI830" s="259">
        <v>16482750.289364785</v>
      </c>
      <c r="AJ830" s="259">
        <v>13041842.802081283</v>
      </c>
      <c r="AK830" s="259">
        <v>11193217.864386223</v>
      </c>
      <c r="AL830" s="259">
        <v>8936771.1215349585</v>
      </c>
      <c r="AM830" s="259">
        <v>8282937.1414510086</v>
      </c>
      <c r="AN830" s="259">
        <v>6326388.458005935</v>
      </c>
      <c r="AO830" s="259">
        <v>6370027.2302661128</v>
      </c>
      <c r="AP830" s="259">
        <v>6414975.1656940961</v>
      </c>
      <c r="AQ830" s="259">
        <v>6461271.5391849186</v>
      </c>
      <c r="AR830" s="259">
        <v>6508956.803880468</v>
      </c>
      <c r="AS830" s="259">
        <v>3563688.8410168807</v>
      </c>
      <c r="AT830" s="259">
        <v>3614278.1383323874</v>
      </c>
      <c r="AU830" s="259">
        <v>3666385.114567359</v>
      </c>
      <c r="AV830" s="259">
        <v>3720055.3000893798</v>
      </c>
      <c r="AW830" s="259">
        <v>3775335.5911770612</v>
      </c>
      <c r="AX830" s="259">
        <v>3832274.2909973729</v>
      </c>
      <c r="AY830" s="259">
        <v>3890921.1518122926</v>
      </c>
      <c r="AZ830" s="259">
        <v>1877378.9305000007</v>
      </c>
      <c r="BA830" s="259">
        <v>0</v>
      </c>
      <c r="BB830" s="259">
        <v>0</v>
      </c>
      <c r="BC830" s="259">
        <v>0</v>
      </c>
      <c r="BD830" s="259">
        <v>0</v>
      </c>
      <c r="BE830" s="259">
        <v>0</v>
      </c>
      <c r="BF830" s="259">
        <v>0</v>
      </c>
      <c r="BG830" s="259">
        <v>0</v>
      </c>
      <c r="BH830" s="259">
        <v>0</v>
      </c>
      <c r="BI830" s="259">
        <v>0</v>
      </c>
      <c r="BJ830" s="259">
        <v>0</v>
      </c>
      <c r="BK830" s="259">
        <v>0</v>
      </c>
    </row>
    <row r="831" spans="1:63">
      <c r="A831" s="169"/>
      <c r="B831" s="307" t="s">
        <v>29</v>
      </c>
      <c r="C831" s="308"/>
      <c r="D831" s="308"/>
      <c r="E831" s="308"/>
      <c r="F831" s="308"/>
      <c r="G831" s="308"/>
      <c r="H831" s="308"/>
      <c r="I831" s="308"/>
      <c r="J831" s="308"/>
      <c r="K831" s="308"/>
      <c r="L831" s="308"/>
      <c r="M831" s="308"/>
      <c r="N831" s="308"/>
      <c r="O831" s="308"/>
      <c r="P831" s="308"/>
      <c r="Q831" s="308"/>
      <c r="R831" s="308"/>
      <c r="S831" s="308"/>
      <c r="T831" s="308"/>
      <c r="U831" s="308"/>
      <c r="V831" s="309"/>
      <c r="W831" s="309"/>
      <c r="X831" s="309"/>
      <c r="Y831" s="309">
        <f t="shared" ref="Y831:BK831" si="113">Y829+Y830</f>
        <v>8045046.7406733502</v>
      </c>
      <c r="Z831" s="309">
        <f t="shared" si="113"/>
        <v>112601878.58632433</v>
      </c>
      <c r="AA831" s="309">
        <f t="shared" si="113"/>
        <v>66898022.451795198</v>
      </c>
      <c r="AB831" s="309">
        <f t="shared" si="113"/>
        <v>59197807.523698434</v>
      </c>
      <c r="AC831" s="309">
        <f t="shared" si="113"/>
        <v>69884059.503221273</v>
      </c>
      <c r="AD831" s="309">
        <f t="shared" si="113"/>
        <v>57720154.08254347</v>
      </c>
      <c r="AE831" s="309">
        <f t="shared" si="113"/>
        <v>40793991.805895209</v>
      </c>
      <c r="AF831" s="309">
        <f t="shared" si="113"/>
        <v>45735042.802262604</v>
      </c>
      <c r="AG831" s="309">
        <f t="shared" si="113"/>
        <v>52767799.844888791</v>
      </c>
      <c r="AH831" s="309">
        <f t="shared" si="113"/>
        <v>46221251.98347795</v>
      </c>
      <c r="AI831" s="309">
        <f t="shared" si="113"/>
        <v>54509231.484115988</v>
      </c>
      <c r="AJ831" s="309">
        <f t="shared" si="113"/>
        <v>40777118.102081284</v>
      </c>
      <c r="AK831" s="309">
        <f t="shared" si="113"/>
        <v>45266844.82965982</v>
      </c>
      <c r="AL831" s="309">
        <f t="shared" si="113"/>
        <v>20987788.321534958</v>
      </c>
      <c r="AM831" s="309">
        <f t="shared" si="113"/>
        <v>42844711.972675607</v>
      </c>
      <c r="AN831" s="309">
        <f t="shared" si="113"/>
        <v>6326388.458005935</v>
      </c>
      <c r="AO831" s="309">
        <f t="shared" si="113"/>
        <v>6370027.2302661128</v>
      </c>
      <c r="AP831" s="309">
        <f t="shared" si="113"/>
        <v>6414975.1656940961</v>
      </c>
      <c r="AQ831" s="309">
        <f t="shared" si="113"/>
        <v>6461271.5391849186</v>
      </c>
      <c r="AR831" s="309">
        <f t="shared" si="113"/>
        <v>38880673.40388047</v>
      </c>
      <c r="AS831" s="309">
        <f t="shared" si="113"/>
        <v>3563688.8410168807</v>
      </c>
      <c r="AT831" s="309">
        <f t="shared" si="113"/>
        <v>3614278.1383323874</v>
      </c>
      <c r="AU831" s="309">
        <f t="shared" si="113"/>
        <v>3666385.114567359</v>
      </c>
      <c r="AV831" s="309">
        <f t="shared" si="113"/>
        <v>3720055.3000893798</v>
      </c>
      <c r="AW831" s="309">
        <f t="shared" si="113"/>
        <v>3775335.5911770612</v>
      </c>
      <c r="AX831" s="309">
        <f t="shared" si="113"/>
        <v>3832274.2909973729</v>
      </c>
      <c r="AY831" s="309">
        <f t="shared" si="113"/>
        <v>28309222.233833291</v>
      </c>
      <c r="AZ831" s="309">
        <f t="shared" si="113"/>
        <v>27772260.730500001</v>
      </c>
      <c r="BA831" s="309">
        <f t="shared" si="113"/>
        <v>0</v>
      </c>
      <c r="BB831" s="309">
        <f t="shared" si="113"/>
        <v>0</v>
      </c>
      <c r="BC831" s="309">
        <f t="shared" si="113"/>
        <v>0</v>
      </c>
      <c r="BD831" s="309">
        <f t="shared" si="113"/>
        <v>0</v>
      </c>
      <c r="BE831" s="309">
        <f t="shared" si="113"/>
        <v>0</v>
      </c>
      <c r="BF831" s="309">
        <f t="shared" si="113"/>
        <v>0</v>
      </c>
      <c r="BG831" s="309">
        <f t="shared" si="113"/>
        <v>0</v>
      </c>
      <c r="BH831" s="309">
        <f t="shared" si="113"/>
        <v>0</v>
      </c>
      <c r="BI831" s="309">
        <f t="shared" si="113"/>
        <v>0</v>
      </c>
      <c r="BJ831" s="309">
        <f t="shared" si="113"/>
        <v>0</v>
      </c>
      <c r="BK831" s="309">
        <f t="shared" si="113"/>
        <v>0</v>
      </c>
    </row>
    <row r="832" spans="1:63">
      <c r="A832" s="167"/>
      <c r="B832" s="210" t="s">
        <v>28</v>
      </c>
      <c r="C832" s="254"/>
      <c r="D832" s="254"/>
      <c r="E832" s="254"/>
      <c r="F832" s="254"/>
      <c r="G832" s="254"/>
      <c r="H832" s="254"/>
      <c r="I832" s="254"/>
      <c r="J832" s="254"/>
      <c r="K832" s="254"/>
      <c r="L832" s="254"/>
      <c r="M832" s="254"/>
      <c r="N832" s="254"/>
      <c r="O832" s="254"/>
      <c r="P832" s="254"/>
      <c r="Q832" s="254"/>
      <c r="R832" s="254"/>
      <c r="S832" s="254"/>
      <c r="T832" s="254"/>
      <c r="U832" s="254"/>
      <c r="V832" s="255"/>
      <c r="W832" s="259"/>
      <c r="X832" s="259"/>
      <c r="Y832" s="259"/>
      <c r="Z832" s="259">
        <v>78704569.790160999</v>
      </c>
      <c r="AA832" s="259">
        <v>36785088.468425803</v>
      </c>
      <c r="AB832" s="259">
        <v>30622012.042999998</v>
      </c>
      <c r="AC832" s="259">
        <v>44365378.420724757</v>
      </c>
      <c r="AD832" s="259">
        <v>33744509.313000001</v>
      </c>
      <c r="AE832" s="259">
        <v>18574045.0284114</v>
      </c>
      <c r="AF832" s="259">
        <v>22337127.814999998</v>
      </c>
      <c r="AG832" s="259">
        <v>34945541.055</v>
      </c>
      <c r="AH832" s="259">
        <v>27953497.5</v>
      </c>
      <c r="AI832" s="259">
        <v>38269179.898584798</v>
      </c>
      <c r="AJ832" s="259">
        <v>27735275.300000001</v>
      </c>
      <c r="AK832" s="259">
        <v>34198864.975334398</v>
      </c>
      <c r="AL832" s="259">
        <v>12051017.199999999</v>
      </c>
      <c r="AM832" s="259">
        <v>34731698.948898599</v>
      </c>
      <c r="AN832" s="259">
        <v>0</v>
      </c>
      <c r="AO832" s="259">
        <v>0</v>
      </c>
      <c r="AP832" s="259">
        <v>0</v>
      </c>
      <c r="AQ832" s="259">
        <v>0</v>
      </c>
      <c r="AR832" s="259">
        <v>33059605</v>
      </c>
      <c r="AS832" s="259">
        <v>0</v>
      </c>
      <c r="AT832" s="259">
        <v>0</v>
      </c>
      <c r="AU832" s="259">
        <v>0</v>
      </c>
      <c r="AV832" s="259">
        <v>0</v>
      </c>
      <c r="AW832" s="259">
        <v>0</v>
      </c>
      <c r="AX832" s="259">
        <v>0</v>
      </c>
      <c r="AY832" s="259">
        <v>24557143.260955803</v>
      </c>
      <c r="AZ832" s="259">
        <v>26016053.399999999</v>
      </c>
      <c r="BA832" s="259">
        <v>0</v>
      </c>
      <c r="BB832" s="259">
        <v>0</v>
      </c>
      <c r="BC832" s="259">
        <v>0</v>
      </c>
      <c r="BD832" s="259">
        <v>0</v>
      </c>
      <c r="BE832" s="259">
        <v>0</v>
      </c>
      <c r="BF832" s="259">
        <v>0</v>
      </c>
      <c r="BG832" s="259">
        <v>0</v>
      </c>
      <c r="BH832" s="259">
        <v>0</v>
      </c>
      <c r="BI832" s="259">
        <v>0</v>
      </c>
      <c r="BJ832" s="259">
        <v>0</v>
      </c>
      <c r="BK832" s="259">
        <v>0</v>
      </c>
    </row>
    <row r="833" spans="1:63">
      <c r="A833" s="168">
        <v>45291</v>
      </c>
      <c r="B833" s="213" t="s">
        <v>385</v>
      </c>
      <c r="C833" s="256"/>
      <c r="D833" s="256"/>
      <c r="E833" s="256"/>
      <c r="F833" s="256"/>
      <c r="G833" s="256"/>
      <c r="H833" s="256"/>
      <c r="I833" s="256"/>
      <c r="J833" s="256"/>
      <c r="K833" s="256"/>
      <c r="L833" s="256"/>
      <c r="M833" s="256"/>
      <c r="N833" s="256"/>
      <c r="O833" s="256"/>
      <c r="P833" s="256"/>
      <c r="Q833" s="256"/>
      <c r="R833" s="256"/>
      <c r="S833" s="256"/>
      <c r="T833" s="256"/>
      <c r="U833" s="256"/>
      <c r="V833" s="259"/>
      <c r="W833" s="259"/>
      <c r="X833" s="259"/>
      <c r="Y833" s="259"/>
      <c r="Z833" s="259">
        <v>1108068.8060297002</v>
      </c>
      <c r="AA833" s="259">
        <v>29977819.985131543</v>
      </c>
      <c r="AB833" s="259">
        <v>28328392.745031927</v>
      </c>
      <c r="AC833" s="259">
        <v>26215698.614925679</v>
      </c>
      <c r="AD833" s="259">
        <v>24322325.778194405</v>
      </c>
      <c r="AE833" s="259">
        <v>22465133.788063362</v>
      </c>
      <c r="AF833" s="259">
        <v>22115475.64645569</v>
      </c>
      <c r="AG833" s="259">
        <v>20546359.58350936</v>
      </c>
      <c r="AH833" s="259">
        <v>18369224.694379643</v>
      </c>
      <c r="AI833" s="259">
        <v>16584357.668746024</v>
      </c>
      <c r="AJ833" s="259">
        <v>13119108.154746462</v>
      </c>
      <c r="AK833" s="259">
        <v>11270628.739091359</v>
      </c>
      <c r="AL833" s="259">
        <v>9014331.8839412443</v>
      </c>
      <c r="AM833" s="259">
        <v>8360652.2881894782</v>
      </c>
      <c r="AN833" s="259">
        <v>6401716.8578542918</v>
      </c>
      <c r="AO833" s="259">
        <v>6445443.0435699206</v>
      </c>
      <c r="AP833" s="259">
        <v>6490481.0148570184</v>
      </c>
      <c r="AQ833" s="259">
        <v>6536870.125282729</v>
      </c>
      <c r="AR833" s="259">
        <v>6584650.9090212137</v>
      </c>
      <c r="AS833" s="259">
        <v>3575851.6537718475</v>
      </c>
      <c r="AT833" s="259">
        <v>3626542.2872400028</v>
      </c>
      <c r="AU833" s="259">
        <v>3678753.6397122028</v>
      </c>
      <c r="AV833" s="259">
        <v>3732531.3327585692</v>
      </c>
      <c r="AW833" s="259">
        <v>3787922.3565963265</v>
      </c>
      <c r="AX833" s="259">
        <v>3844975.1111492161</v>
      </c>
      <c r="AY833" s="259">
        <v>3903739.4483386911</v>
      </c>
      <c r="AZ833" s="259">
        <v>1886163.8715000004</v>
      </c>
      <c r="BA833" s="259">
        <v>0</v>
      </c>
      <c r="BB833" s="259">
        <v>0</v>
      </c>
      <c r="BC833" s="259">
        <v>0</v>
      </c>
      <c r="BD833" s="259">
        <v>0</v>
      </c>
      <c r="BE833" s="259">
        <v>0</v>
      </c>
      <c r="BF833" s="259">
        <v>0</v>
      </c>
      <c r="BG833" s="259">
        <v>0</v>
      </c>
      <c r="BH833" s="259">
        <v>0</v>
      </c>
      <c r="BI833" s="259">
        <v>0</v>
      </c>
      <c r="BJ833" s="259">
        <v>0</v>
      </c>
      <c r="BK833" s="259">
        <v>0</v>
      </c>
    </row>
    <row r="834" spans="1:63">
      <c r="A834" s="169"/>
      <c r="B834" s="307" t="s">
        <v>29</v>
      </c>
      <c r="C834" s="308"/>
      <c r="D834" s="308"/>
      <c r="E834" s="308"/>
      <c r="F834" s="308"/>
      <c r="G834" s="308"/>
      <c r="H834" s="308"/>
      <c r="I834" s="308"/>
      <c r="J834" s="308"/>
      <c r="K834" s="308"/>
      <c r="L834" s="308"/>
      <c r="M834" s="308"/>
      <c r="N834" s="308"/>
      <c r="O834" s="308"/>
      <c r="P834" s="308"/>
      <c r="Q834" s="308"/>
      <c r="R834" s="308"/>
      <c r="S834" s="308"/>
      <c r="T834" s="308"/>
      <c r="U834" s="308"/>
      <c r="V834" s="309"/>
      <c r="W834" s="309"/>
      <c r="X834" s="309"/>
      <c r="Y834" s="309"/>
      <c r="Z834" s="309">
        <f t="shared" ref="Z834:BK834" si="114">Z832+Z833</f>
        <v>79812638.596190706</v>
      </c>
      <c r="AA834" s="309">
        <f t="shared" si="114"/>
        <v>66762908.453557342</v>
      </c>
      <c r="AB834" s="309">
        <f t="shared" si="114"/>
        <v>58950404.788031921</v>
      </c>
      <c r="AC834" s="309">
        <f t="shared" si="114"/>
        <v>70581077.035650432</v>
      </c>
      <c r="AD834" s="309">
        <f t="shared" si="114"/>
        <v>58066835.091194406</v>
      </c>
      <c r="AE834" s="309">
        <f t="shared" si="114"/>
        <v>41039178.816474766</v>
      </c>
      <c r="AF834" s="309">
        <f t="shared" si="114"/>
        <v>44452603.461455688</v>
      </c>
      <c r="AG834" s="309">
        <f t="shared" si="114"/>
        <v>55491900.638509363</v>
      </c>
      <c r="AH834" s="309">
        <f t="shared" si="114"/>
        <v>46322722.194379643</v>
      </c>
      <c r="AI834" s="309">
        <f t="shared" si="114"/>
        <v>54853537.567330822</v>
      </c>
      <c r="AJ834" s="309">
        <f t="shared" si="114"/>
        <v>40854383.454746462</v>
      </c>
      <c r="AK834" s="309">
        <f t="shared" si="114"/>
        <v>45469493.714425758</v>
      </c>
      <c r="AL834" s="309">
        <f t="shared" si="114"/>
        <v>21065349.083941244</v>
      </c>
      <c r="AM834" s="309">
        <f t="shared" si="114"/>
        <v>43092351.237088077</v>
      </c>
      <c r="AN834" s="309">
        <f t="shared" si="114"/>
        <v>6401716.8578542918</v>
      </c>
      <c r="AO834" s="309">
        <f t="shared" si="114"/>
        <v>6445443.0435699206</v>
      </c>
      <c r="AP834" s="309">
        <f t="shared" si="114"/>
        <v>6490481.0148570184</v>
      </c>
      <c r="AQ834" s="309">
        <f t="shared" si="114"/>
        <v>6536870.125282729</v>
      </c>
      <c r="AR834" s="309">
        <f t="shared" si="114"/>
        <v>39644255.909021214</v>
      </c>
      <c r="AS834" s="309">
        <f t="shared" si="114"/>
        <v>3575851.6537718475</v>
      </c>
      <c r="AT834" s="309">
        <f t="shared" si="114"/>
        <v>3626542.2872400028</v>
      </c>
      <c r="AU834" s="309">
        <f t="shared" si="114"/>
        <v>3678753.6397122028</v>
      </c>
      <c r="AV834" s="309">
        <f t="shared" si="114"/>
        <v>3732531.3327585692</v>
      </c>
      <c r="AW834" s="309">
        <f t="shared" si="114"/>
        <v>3787922.3565963265</v>
      </c>
      <c r="AX834" s="309">
        <f t="shared" si="114"/>
        <v>3844975.1111492161</v>
      </c>
      <c r="AY834" s="309">
        <f t="shared" si="114"/>
        <v>28460882.709294494</v>
      </c>
      <c r="AZ834" s="309">
        <f t="shared" si="114"/>
        <v>27902217.271499999</v>
      </c>
      <c r="BA834" s="309">
        <f t="shared" si="114"/>
        <v>0</v>
      </c>
      <c r="BB834" s="309">
        <f t="shared" si="114"/>
        <v>0</v>
      </c>
      <c r="BC834" s="309">
        <f t="shared" si="114"/>
        <v>0</v>
      </c>
      <c r="BD834" s="309">
        <f t="shared" si="114"/>
        <v>0</v>
      </c>
      <c r="BE834" s="309">
        <f t="shared" si="114"/>
        <v>0</v>
      </c>
      <c r="BF834" s="309">
        <f t="shared" si="114"/>
        <v>0</v>
      </c>
      <c r="BG834" s="309">
        <f t="shared" si="114"/>
        <v>0</v>
      </c>
      <c r="BH834" s="309">
        <f t="shared" si="114"/>
        <v>0</v>
      </c>
      <c r="BI834" s="309">
        <f t="shared" si="114"/>
        <v>0</v>
      </c>
      <c r="BJ834" s="309">
        <f t="shared" si="114"/>
        <v>0</v>
      </c>
      <c r="BK834" s="309">
        <f t="shared" si="114"/>
        <v>0</v>
      </c>
    </row>
    <row r="835" spans="1:63">
      <c r="A835" s="167"/>
      <c r="B835" s="210" t="s">
        <v>28</v>
      </c>
      <c r="C835" s="254"/>
      <c r="D835" s="254"/>
      <c r="E835" s="254"/>
      <c r="F835" s="254"/>
      <c r="G835" s="254"/>
      <c r="H835" s="254"/>
      <c r="I835" s="254"/>
      <c r="J835" s="254"/>
      <c r="K835" s="254"/>
      <c r="L835" s="254"/>
      <c r="M835" s="254"/>
      <c r="N835" s="254"/>
      <c r="O835" s="254"/>
      <c r="P835" s="254"/>
      <c r="Q835" s="254"/>
      <c r="R835" s="254"/>
      <c r="S835" s="254"/>
      <c r="T835" s="254"/>
      <c r="U835" s="254"/>
      <c r="V835" s="255"/>
      <c r="W835" s="259"/>
      <c r="X835" s="259"/>
      <c r="Y835" s="259"/>
      <c r="Z835" s="259">
        <v>78264748.093825996</v>
      </c>
      <c r="AA835" s="259">
        <v>36872458.417052999</v>
      </c>
      <c r="AB835" s="259">
        <v>30622012.042999998</v>
      </c>
      <c r="AC835" s="259">
        <v>44462258.540408328</v>
      </c>
      <c r="AD835" s="259">
        <v>33744509.313000001</v>
      </c>
      <c r="AE835" s="259">
        <v>19227174.109517001</v>
      </c>
      <c r="AF835" s="259">
        <v>22337127.814999998</v>
      </c>
      <c r="AG835" s="259">
        <v>34945541.055</v>
      </c>
      <c r="AH835" s="259">
        <v>27953497.5</v>
      </c>
      <c r="AI835" s="259">
        <v>39705031.709867999</v>
      </c>
      <c r="AJ835" s="259">
        <v>27735275.300000001</v>
      </c>
      <c r="AK835" s="259">
        <v>34356062.379903995</v>
      </c>
      <c r="AL835" s="259">
        <v>12051017.199999999</v>
      </c>
      <c r="AM835" s="259">
        <v>35378948.791249</v>
      </c>
      <c r="AN835" s="259">
        <v>0</v>
      </c>
      <c r="AO835" s="259">
        <v>0</v>
      </c>
      <c r="AP835" s="259">
        <v>0</v>
      </c>
      <c r="AQ835" s="259">
        <v>0</v>
      </c>
      <c r="AR835" s="259">
        <v>34004814.899999999</v>
      </c>
      <c r="AS835" s="259">
        <v>0</v>
      </c>
      <c r="AT835" s="259">
        <v>0</v>
      </c>
      <c r="AU835" s="259">
        <v>0</v>
      </c>
      <c r="AV835" s="259">
        <v>0</v>
      </c>
      <c r="AW835" s="259">
        <v>0</v>
      </c>
      <c r="AX835" s="259">
        <v>0</v>
      </c>
      <c r="AY835" s="259">
        <v>25098943.322916999</v>
      </c>
      <c r="AZ835" s="259">
        <v>26636238.899999999</v>
      </c>
      <c r="BA835" s="259">
        <v>0</v>
      </c>
      <c r="BB835" s="259">
        <v>0</v>
      </c>
      <c r="BC835" s="259">
        <v>0</v>
      </c>
      <c r="BD835" s="259">
        <v>0</v>
      </c>
      <c r="BE835" s="259">
        <v>0</v>
      </c>
      <c r="BF835" s="259">
        <v>0</v>
      </c>
      <c r="BG835" s="259">
        <v>0</v>
      </c>
      <c r="BH835" s="259">
        <v>0</v>
      </c>
      <c r="BI835" s="259">
        <v>0</v>
      </c>
      <c r="BJ835" s="259">
        <v>0</v>
      </c>
      <c r="BK835" s="259">
        <v>0</v>
      </c>
    </row>
    <row r="836" spans="1:63">
      <c r="A836" s="168">
        <v>45322</v>
      </c>
      <c r="B836" s="213" t="s">
        <v>385</v>
      </c>
      <c r="C836" s="256"/>
      <c r="D836" s="256"/>
      <c r="E836" s="256"/>
      <c r="F836" s="256"/>
      <c r="G836" s="256"/>
      <c r="H836" s="256"/>
      <c r="I836" s="256"/>
      <c r="J836" s="256"/>
      <c r="K836" s="256"/>
      <c r="L836" s="256"/>
      <c r="M836" s="256"/>
      <c r="N836" s="256"/>
      <c r="O836" s="256"/>
      <c r="P836" s="256"/>
      <c r="Q836" s="256"/>
      <c r="R836" s="256"/>
      <c r="S836" s="256"/>
      <c r="T836" s="256"/>
      <c r="U836" s="256"/>
      <c r="V836" s="259"/>
      <c r="W836" s="259"/>
      <c r="X836" s="259"/>
      <c r="Y836" s="259"/>
      <c r="Z836" s="259">
        <v>32085623.843795702</v>
      </c>
      <c r="AA836" s="259">
        <v>30053692.988253023</v>
      </c>
      <c r="AB836" s="259">
        <v>28403763.446057994</v>
      </c>
      <c r="AC836" s="259">
        <v>26293330.436982524</v>
      </c>
      <c r="AD836" s="259">
        <v>24398804.831550539</v>
      </c>
      <c r="AE836" s="259">
        <v>22543907.213020179</v>
      </c>
      <c r="AF836" s="259">
        <v>22178700.230809391</v>
      </c>
      <c r="AG836" s="259">
        <v>20611480.905393664</v>
      </c>
      <c r="AH836" s="259">
        <v>18436299.655920476</v>
      </c>
      <c r="AI836" s="259">
        <v>15290292.37913309</v>
      </c>
      <c r="AJ836" s="259">
        <v>13187757.665385481</v>
      </c>
      <c r="AK836" s="259">
        <v>11341337.735049553</v>
      </c>
      <c r="AL836" s="259">
        <v>9078044.3451213129</v>
      </c>
      <c r="AM836" s="259">
        <v>8426276.123204954</v>
      </c>
      <c r="AN836" s="259">
        <v>6432637.116787619</v>
      </c>
      <c r="AO836" s="259">
        <v>6477290.9102712478</v>
      </c>
      <c r="AP836" s="259">
        <v>6523284.3175593857</v>
      </c>
      <c r="AQ836" s="259">
        <v>6570657.5270661665</v>
      </c>
      <c r="AR836" s="259">
        <v>5674242.0328581557</v>
      </c>
      <c r="AS836" s="259">
        <v>3611696.7083238959</v>
      </c>
      <c r="AT836" s="259">
        <v>3663462.6934286132</v>
      </c>
      <c r="AU836" s="259">
        <v>3716781.6580864713</v>
      </c>
      <c r="AV836" s="259">
        <v>3771700.1916840654</v>
      </c>
      <c r="AW836" s="259">
        <v>3828266.2812895877</v>
      </c>
      <c r="AX836" s="259">
        <v>3886529.3535832753</v>
      </c>
      <c r="AY836" s="259">
        <v>3946540.3180457726</v>
      </c>
      <c r="AZ836" s="259">
        <v>1265978.3715000004</v>
      </c>
      <c r="BA836" s="259">
        <v>0</v>
      </c>
      <c r="BB836" s="259">
        <v>0</v>
      </c>
      <c r="BC836" s="259">
        <v>0</v>
      </c>
      <c r="BD836" s="259">
        <v>0</v>
      </c>
      <c r="BE836" s="259">
        <v>0</v>
      </c>
      <c r="BF836" s="259">
        <v>0</v>
      </c>
      <c r="BG836" s="259">
        <v>0</v>
      </c>
      <c r="BH836" s="259">
        <v>0</v>
      </c>
      <c r="BI836" s="259">
        <v>0</v>
      </c>
      <c r="BJ836" s="259">
        <v>0</v>
      </c>
      <c r="BK836" s="259">
        <v>0</v>
      </c>
    </row>
    <row r="837" spans="1:63">
      <c r="A837" s="169"/>
      <c r="B837" s="307" t="s">
        <v>29</v>
      </c>
      <c r="C837" s="308"/>
      <c r="D837" s="308"/>
      <c r="E837" s="308"/>
      <c r="F837" s="308"/>
      <c r="G837" s="308"/>
      <c r="H837" s="308"/>
      <c r="I837" s="308"/>
      <c r="J837" s="308"/>
      <c r="K837" s="308"/>
      <c r="L837" s="308"/>
      <c r="M837" s="308"/>
      <c r="N837" s="308"/>
      <c r="O837" s="308"/>
      <c r="P837" s="308"/>
      <c r="Q837" s="308"/>
      <c r="R837" s="308"/>
      <c r="S837" s="308"/>
      <c r="T837" s="308"/>
      <c r="U837" s="308"/>
      <c r="V837" s="309"/>
      <c r="W837" s="309"/>
      <c r="X837" s="309"/>
      <c r="Y837" s="309"/>
      <c r="Z837" s="309">
        <f t="shared" ref="Z837:BK837" si="115">Z835+Z836</f>
        <v>110350371.9376217</v>
      </c>
      <c r="AA837" s="309">
        <f t="shared" si="115"/>
        <v>66926151.405306026</v>
      </c>
      <c r="AB837" s="309">
        <f t="shared" si="115"/>
        <v>59025775.489057988</v>
      </c>
      <c r="AC837" s="309">
        <f t="shared" si="115"/>
        <v>70755588.977390856</v>
      </c>
      <c r="AD837" s="309">
        <f t="shared" si="115"/>
        <v>58143314.14455054</v>
      </c>
      <c r="AE837" s="309">
        <f t="shared" si="115"/>
        <v>41771081.322537184</v>
      </c>
      <c r="AF837" s="309">
        <f t="shared" si="115"/>
        <v>44515828.045809388</v>
      </c>
      <c r="AG837" s="309">
        <f t="shared" si="115"/>
        <v>55557021.960393667</v>
      </c>
      <c r="AH837" s="309">
        <f t="shared" si="115"/>
        <v>46389797.155920476</v>
      </c>
      <c r="AI837" s="309">
        <f t="shared" si="115"/>
        <v>54995324.089001089</v>
      </c>
      <c r="AJ837" s="309">
        <f t="shared" si="115"/>
        <v>40923032.965385482</v>
      </c>
      <c r="AK837" s="309">
        <f t="shared" si="115"/>
        <v>45697400.114953548</v>
      </c>
      <c r="AL837" s="309">
        <f t="shared" si="115"/>
        <v>21129061.545121312</v>
      </c>
      <c r="AM837" s="309">
        <f t="shared" si="115"/>
        <v>43805224.914453954</v>
      </c>
      <c r="AN837" s="309">
        <f t="shared" si="115"/>
        <v>6432637.116787619</v>
      </c>
      <c r="AO837" s="309">
        <f t="shared" si="115"/>
        <v>6477290.9102712478</v>
      </c>
      <c r="AP837" s="309">
        <f t="shared" si="115"/>
        <v>6523284.3175593857</v>
      </c>
      <c r="AQ837" s="309">
        <f t="shared" si="115"/>
        <v>6570657.5270661665</v>
      </c>
      <c r="AR837" s="309">
        <f t="shared" si="115"/>
        <v>39679056.932858154</v>
      </c>
      <c r="AS837" s="309">
        <f t="shared" si="115"/>
        <v>3611696.7083238959</v>
      </c>
      <c r="AT837" s="309">
        <f t="shared" si="115"/>
        <v>3663462.6934286132</v>
      </c>
      <c r="AU837" s="309">
        <f t="shared" si="115"/>
        <v>3716781.6580864713</v>
      </c>
      <c r="AV837" s="309">
        <f t="shared" si="115"/>
        <v>3771700.1916840654</v>
      </c>
      <c r="AW837" s="309">
        <f t="shared" si="115"/>
        <v>3828266.2812895877</v>
      </c>
      <c r="AX837" s="309">
        <f t="shared" si="115"/>
        <v>3886529.3535832753</v>
      </c>
      <c r="AY837" s="309">
        <f t="shared" si="115"/>
        <v>29045483.640962772</v>
      </c>
      <c r="AZ837" s="309">
        <f t="shared" si="115"/>
        <v>27902217.271499999</v>
      </c>
      <c r="BA837" s="309">
        <f t="shared" si="115"/>
        <v>0</v>
      </c>
      <c r="BB837" s="309">
        <f t="shared" si="115"/>
        <v>0</v>
      </c>
      <c r="BC837" s="309">
        <f t="shared" si="115"/>
        <v>0</v>
      </c>
      <c r="BD837" s="309">
        <f t="shared" si="115"/>
        <v>0</v>
      </c>
      <c r="BE837" s="309">
        <f t="shared" si="115"/>
        <v>0</v>
      </c>
      <c r="BF837" s="309">
        <f t="shared" si="115"/>
        <v>0</v>
      </c>
      <c r="BG837" s="309">
        <f t="shared" si="115"/>
        <v>0</v>
      </c>
      <c r="BH837" s="309">
        <f t="shared" si="115"/>
        <v>0</v>
      </c>
      <c r="BI837" s="309">
        <f t="shared" si="115"/>
        <v>0</v>
      </c>
      <c r="BJ837" s="309">
        <f t="shared" si="115"/>
        <v>0</v>
      </c>
      <c r="BK837" s="309">
        <f t="shared" si="115"/>
        <v>0</v>
      </c>
    </row>
    <row r="838" spans="1:63">
      <c r="A838" s="167"/>
      <c r="B838" s="210" t="s">
        <v>28</v>
      </c>
      <c r="C838" s="254"/>
      <c r="D838" s="254"/>
      <c r="E838" s="254"/>
      <c r="F838" s="254"/>
      <c r="G838" s="254"/>
      <c r="H838" s="254"/>
      <c r="I838" s="254"/>
      <c r="J838" s="254"/>
      <c r="K838" s="254"/>
      <c r="L838" s="254"/>
      <c r="M838" s="254"/>
      <c r="N838" s="254"/>
      <c r="O838" s="254"/>
      <c r="P838" s="254"/>
      <c r="Q838" s="254"/>
      <c r="R838" s="254"/>
      <c r="S838" s="254"/>
      <c r="T838" s="254"/>
      <c r="U838" s="254"/>
      <c r="V838" s="255"/>
      <c r="W838" s="259"/>
      <c r="X838" s="259"/>
      <c r="Y838" s="259"/>
      <c r="Z838" s="259">
        <v>87063209.664820001</v>
      </c>
      <c r="AA838" s="259">
        <v>35908730.284983903</v>
      </c>
      <c r="AB838" s="259">
        <v>30622012.042999998</v>
      </c>
      <c r="AC838" s="259">
        <v>44634189.113719694</v>
      </c>
      <c r="AD838" s="259">
        <v>34026009.313000001</v>
      </c>
      <c r="AE838" s="259">
        <v>20006741.2339972</v>
      </c>
      <c r="AF838" s="259">
        <v>22337127.814999998</v>
      </c>
      <c r="AG838" s="259">
        <v>34961448.462894998</v>
      </c>
      <c r="AH838" s="259">
        <v>27953497.5</v>
      </c>
      <c r="AI838" s="259">
        <v>41243559.102768399</v>
      </c>
      <c r="AJ838" s="259">
        <v>27735275.300000001</v>
      </c>
      <c r="AK838" s="259">
        <v>34583342.9901952</v>
      </c>
      <c r="AL838" s="259">
        <v>12051017.199999999</v>
      </c>
      <c r="AM838" s="259">
        <v>36107639.506190196</v>
      </c>
      <c r="AN838" s="259">
        <v>0</v>
      </c>
      <c r="AO838" s="259">
        <v>0</v>
      </c>
      <c r="AP838" s="259">
        <v>0</v>
      </c>
      <c r="AQ838" s="259">
        <v>0</v>
      </c>
      <c r="AR838" s="259">
        <v>35713353.799999997</v>
      </c>
      <c r="AS838" s="259">
        <v>0</v>
      </c>
      <c r="AT838" s="259">
        <v>0</v>
      </c>
      <c r="AU838" s="259">
        <v>0</v>
      </c>
      <c r="AV838" s="259">
        <v>0</v>
      </c>
      <c r="AW838" s="259">
        <v>0</v>
      </c>
      <c r="AX838" s="259">
        <v>0</v>
      </c>
      <c r="AY838" s="259">
        <v>25595376.502292302</v>
      </c>
      <c r="AZ838" s="259">
        <v>27068913.5</v>
      </c>
      <c r="BA838" s="259">
        <v>0</v>
      </c>
      <c r="BB838" s="259">
        <v>0</v>
      </c>
      <c r="BC838" s="259">
        <v>0</v>
      </c>
      <c r="BD838" s="259">
        <v>0</v>
      </c>
      <c r="BE838" s="259">
        <v>0</v>
      </c>
      <c r="BF838" s="259">
        <v>0</v>
      </c>
      <c r="BG838" s="259">
        <v>0</v>
      </c>
      <c r="BH838" s="259">
        <v>0</v>
      </c>
      <c r="BI838" s="259">
        <v>0</v>
      </c>
      <c r="BJ838" s="259">
        <v>0</v>
      </c>
      <c r="BK838" s="259">
        <v>0</v>
      </c>
    </row>
    <row r="839" spans="1:63">
      <c r="A839" s="168">
        <v>45350</v>
      </c>
      <c r="B839" s="213" t="s">
        <v>385</v>
      </c>
      <c r="C839" s="256"/>
      <c r="D839" s="256"/>
      <c r="E839" s="256"/>
      <c r="F839" s="256"/>
      <c r="G839" s="256"/>
      <c r="H839" s="256"/>
      <c r="I839" s="256"/>
      <c r="J839" s="256"/>
      <c r="K839" s="256"/>
      <c r="L839" s="256"/>
      <c r="M839" s="256"/>
      <c r="N839" s="256"/>
      <c r="O839" s="256"/>
      <c r="P839" s="256"/>
      <c r="Q839" s="256"/>
      <c r="R839" s="256"/>
      <c r="S839" s="256"/>
      <c r="T839" s="256"/>
      <c r="U839" s="256"/>
      <c r="V839" s="259"/>
      <c r="W839" s="259"/>
      <c r="X839" s="259"/>
      <c r="Y839" s="259"/>
      <c r="Z839" s="259">
        <v>27933648.999190163</v>
      </c>
      <c r="AA839" s="259">
        <v>30749227.214515906</v>
      </c>
      <c r="AB839" s="259">
        <v>29163268.310088109</v>
      </c>
      <c r="AC839" s="259">
        <v>27054343.261123542</v>
      </c>
      <c r="AD839" s="259">
        <v>25161370.854605787</v>
      </c>
      <c r="AE839" s="259">
        <v>23291183.030957095</v>
      </c>
      <c r="AF839" s="259">
        <v>22909419.869473286</v>
      </c>
      <c r="AG839" s="259">
        <v>21343351.647407476</v>
      </c>
      <c r="AH839" s="259">
        <v>19169356.034384705</v>
      </c>
      <c r="AI839" s="259">
        <v>17387722.463141248</v>
      </c>
      <c r="AJ839" s="259">
        <v>13552747.685353886</v>
      </c>
      <c r="AK839" s="259">
        <v>11707623.331979498</v>
      </c>
      <c r="AL839" s="259">
        <v>9445664.3863216601</v>
      </c>
      <c r="AM839" s="259">
        <v>8795270.6420038119</v>
      </c>
      <c r="AN839" s="259">
        <v>6773905.9637254821</v>
      </c>
      <c r="AO839" s="259">
        <v>6819143.6989797466</v>
      </c>
      <c r="AP839" s="259">
        <v>6865738.5662916387</v>
      </c>
      <c r="AQ839" s="259">
        <v>6913731.2796228882</v>
      </c>
      <c r="AR839" s="259">
        <v>6963163.7743540704</v>
      </c>
      <c r="AS839" s="259">
        <v>3710594.0174271967</v>
      </c>
      <c r="AT839" s="259">
        <v>3763036.951087513</v>
      </c>
      <c r="AU839" s="259">
        <v>3817053.1727576382</v>
      </c>
      <c r="AV839" s="259">
        <v>3872689.881077867</v>
      </c>
      <c r="AW839" s="259">
        <v>3929995.6906477036</v>
      </c>
      <c r="AX839" s="259">
        <v>3989020.6745046345</v>
      </c>
      <c r="AY839" s="259">
        <v>4049816.4078772739</v>
      </c>
      <c r="AZ839" s="259">
        <v>1962496.2287499979</v>
      </c>
      <c r="BA839" s="259">
        <v>0</v>
      </c>
      <c r="BB839" s="259">
        <v>0</v>
      </c>
      <c r="BC839" s="259">
        <v>0</v>
      </c>
      <c r="BD839" s="259">
        <v>0</v>
      </c>
      <c r="BE839" s="259">
        <v>0</v>
      </c>
      <c r="BF839" s="259">
        <v>0</v>
      </c>
      <c r="BG839" s="259">
        <v>0</v>
      </c>
      <c r="BH839" s="259">
        <v>0</v>
      </c>
      <c r="BI839" s="259">
        <v>0</v>
      </c>
      <c r="BJ839" s="259">
        <v>0</v>
      </c>
      <c r="BK839" s="259">
        <v>0</v>
      </c>
    </row>
    <row r="840" spans="1:63">
      <c r="A840" s="169"/>
      <c r="B840" s="307" t="s">
        <v>29</v>
      </c>
      <c r="C840" s="308"/>
      <c r="D840" s="308"/>
      <c r="E840" s="308"/>
      <c r="F840" s="308"/>
      <c r="G840" s="308"/>
      <c r="H840" s="308"/>
      <c r="I840" s="308"/>
      <c r="J840" s="308"/>
      <c r="K840" s="308"/>
      <c r="L840" s="308"/>
      <c r="M840" s="308"/>
      <c r="N840" s="308"/>
      <c r="O840" s="308"/>
      <c r="P840" s="308"/>
      <c r="Q840" s="308"/>
      <c r="R840" s="308"/>
      <c r="S840" s="308"/>
      <c r="T840" s="308"/>
      <c r="U840" s="308"/>
      <c r="V840" s="309"/>
      <c r="W840" s="309"/>
      <c r="X840" s="309"/>
      <c r="Y840" s="309"/>
      <c r="Z840" s="309">
        <f t="shared" ref="Z840:BK840" si="116">Z838+Z839</f>
        <v>114996858.66401017</v>
      </c>
      <c r="AA840" s="309">
        <f t="shared" si="116"/>
        <v>66657957.499499813</v>
      </c>
      <c r="AB840" s="309">
        <f t="shared" si="116"/>
        <v>59785280.353088111</v>
      </c>
      <c r="AC840" s="309">
        <f t="shared" si="116"/>
        <v>71688532.37484324</v>
      </c>
      <c r="AD840" s="309">
        <f t="shared" si="116"/>
        <v>59187380.167605788</v>
      </c>
      <c r="AE840" s="309">
        <f t="shared" si="116"/>
        <v>43297924.264954299</v>
      </c>
      <c r="AF840" s="309">
        <f t="shared" si="116"/>
        <v>45246547.684473284</v>
      </c>
      <c r="AG840" s="309">
        <f t="shared" si="116"/>
        <v>56304800.110302478</v>
      </c>
      <c r="AH840" s="309">
        <f t="shared" si="116"/>
        <v>47122853.534384705</v>
      </c>
      <c r="AI840" s="309">
        <f t="shared" si="116"/>
        <v>58631281.565909646</v>
      </c>
      <c r="AJ840" s="309">
        <f t="shared" si="116"/>
        <v>41288022.985353887</v>
      </c>
      <c r="AK840" s="309">
        <f t="shared" si="116"/>
        <v>46290966.322174698</v>
      </c>
      <c r="AL840" s="309">
        <f t="shared" si="116"/>
        <v>21496681.586321659</v>
      </c>
      <c r="AM840" s="309">
        <f t="shared" si="116"/>
        <v>44902910.148194008</v>
      </c>
      <c r="AN840" s="309">
        <f t="shared" si="116"/>
        <v>6773905.9637254821</v>
      </c>
      <c r="AO840" s="309">
        <f t="shared" si="116"/>
        <v>6819143.6989797466</v>
      </c>
      <c r="AP840" s="309">
        <f t="shared" si="116"/>
        <v>6865738.5662916387</v>
      </c>
      <c r="AQ840" s="309">
        <f t="shared" si="116"/>
        <v>6913731.2796228882</v>
      </c>
      <c r="AR840" s="309">
        <f t="shared" si="116"/>
        <v>42676517.574354067</v>
      </c>
      <c r="AS840" s="309">
        <f t="shared" si="116"/>
        <v>3710594.0174271967</v>
      </c>
      <c r="AT840" s="309">
        <f t="shared" si="116"/>
        <v>3763036.951087513</v>
      </c>
      <c r="AU840" s="309">
        <f t="shared" si="116"/>
        <v>3817053.1727576382</v>
      </c>
      <c r="AV840" s="309">
        <f t="shared" si="116"/>
        <v>3872689.881077867</v>
      </c>
      <c r="AW840" s="309">
        <f t="shared" si="116"/>
        <v>3929995.6906477036</v>
      </c>
      <c r="AX840" s="309">
        <f t="shared" si="116"/>
        <v>3989020.6745046345</v>
      </c>
      <c r="AY840" s="309">
        <f t="shared" si="116"/>
        <v>29645192.910169575</v>
      </c>
      <c r="AZ840" s="309">
        <f t="shared" si="116"/>
        <v>29031409.728749998</v>
      </c>
      <c r="BA840" s="309">
        <f t="shared" si="116"/>
        <v>0</v>
      </c>
      <c r="BB840" s="309">
        <f t="shared" si="116"/>
        <v>0</v>
      </c>
      <c r="BC840" s="309">
        <f t="shared" si="116"/>
        <v>0</v>
      </c>
      <c r="BD840" s="309">
        <f t="shared" si="116"/>
        <v>0</v>
      </c>
      <c r="BE840" s="309">
        <f t="shared" si="116"/>
        <v>0</v>
      </c>
      <c r="BF840" s="309">
        <f t="shared" si="116"/>
        <v>0</v>
      </c>
      <c r="BG840" s="309">
        <f t="shared" si="116"/>
        <v>0</v>
      </c>
      <c r="BH840" s="309">
        <f t="shared" si="116"/>
        <v>0</v>
      </c>
      <c r="BI840" s="309">
        <f t="shared" si="116"/>
        <v>0</v>
      </c>
      <c r="BJ840" s="309">
        <f t="shared" si="116"/>
        <v>0</v>
      </c>
      <c r="BK840" s="309">
        <f t="shared" si="116"/>
        <v>0</v>
      </c>
    </row>
    <row r="841" spans="1:63">
      <c r="A841" s="167"/>
      <c r="B841" s="210" t="s">
        <v>28</v>
      </c>
      <c r="C841" s="254"/>
      <c r="D841" s="254"/>
      <c r="E841" s="254"/>
      <c r="F841" s="254"/>
      <c r="G841" s="254"/>
      <c r="H841" s="254"/>
      <c r="I841" s="254"/>
      <c r="J841" s="254"/>
      <c r="K841" s="254"/>
      <c r="L841" s="254"/>
      <c r="M841" s="254"/>
      <c r="N841" s="254"/>
      <c r="O841" s="254"/>
      <c r="P841" s="254"/>
      <c r="Q841" s="254"/>
      <c r="R841" s="254"/>
      <c r="S841" s="254"/>
      <c r="T841" s="254"/>
      <c r="U841" s="254"/>
      <c r="V841" s="255"/>
      <c r="W841" s="259"/>
      <c r="X841" s="259"/>
      <c r="Y841" s="259"/>
      <c r="Z841" s="259">
        <v>80427867.807964996</v>
      </c>
      <c r="AA841" s="259">
        <v>33948209.735734805</v>
      </c>
      <c r="AB841" s="259">
        <v>30642966.743000001</v>
      </c>
      <c r="AC841" s="259">
        <v>44898057.393597499</v>
      </c>
      <c r="AD841" s="259">
        <v>34160097.313000001</v>
      </c>
      <c r="AE841" s="259">
        <v>21927801.571412001</v>
      </c>
      <c r="AF841" s="259">
        <v>22352419.715</v>
      </c>
      <c r="AG841" s="259">
        <v>34982153.562895</v>
      </c>
      <c r="AH841" s="259">
        <v>27972627</v>
      </c>
      <c r="AI841" s="259">
        <v>43569264.9835888</v>
      </c>
      <c r="AJ841" s="259">
        <v>27754256.600000001</v>
      </c>
      <c r="AK841" s="259">
        <v>34942513.4462464</v>
      </c>
      <c r="AL841" s="259">
        <v>12059277.4</v>
      </c>
      <c r="AM841" s="259">
        <v>37494847.861437201</v>
      </c>
      <c r="AN841" s="259">
        <v>0</v>
      </c>
      <c r="AO841" s="259">
        <v>0</v>
      </c>
      <c r="AP841" s="259">
        <v>0</v>
      </c>
      <c r="AQ841" s="259">
        <v>0</v>
      </c>
      <c r="AR841" s="259">
        <v>38441814.299999997</v>
      </c>
      <c r="AS841" s="259">
        <v>0</v>
      </c>
      <c r="AT841" s="259">
        <v>0</v>
      </c>
      <c r="AU841" s="259">
        <v>0</v>
      </c>
      <c r="AV841" s="259">
        <v>0</v>
      </c>
      <c r="AW841" s="259">
        <v>0</v>
      </c>
      <c r="AX841" s="259">
        <v>0</v>
      </c>
      <c r="AY841" s="259">
        <v>26614556.964760002</v>
      </c>
      <c r="AZ841" s="259">
        <v>28563723.300000001</v>
      </c>
      <c r="BA841" s="259">
        <v>0</v>
      </c>
      <c r="BB841" s="259">
        <v>0</v>
      </c>
      <c r="BC841" s="259">
        <v>0</v>
      </c>
      <c r="BD841" s="259">
        <v>0</v>
      </c>
      <c r="BE841" s="259">
        <v>0</v>
      </c>
      <c r="BF841" s="259">
        <v>0</v>
      </c>
      <c r="BG841" s="259">
        <v>0</v>
      </c>
      <c r="BH841" s="259">
        <v>0</v>
      </c>
      <c r="BI841" s="259">
        <v>0</v>
      </c>
      <c r="BJ841" s="259">
        <v>0</v>
      </c>
      <c r="BK841" s="259">
        <v>0</v>
      </c>
    </row>
    <row r="842" spans="1:63">
      <c r="A842" s="168">
        <v>45382</v>
      </c>
      <c r="B842" s="213" t="s">
        <v>385</v>
      </c>
      <c r="C842" s="256"/>
      <c r="D842" s="256"/>
      <c r="E842" s="256"/>
      <c r="F842" s="256"/>
      <c r="G842" s="256"/>
      <c r="H842" s="256"/>
      <c r="I842" s="256"/>
      <c r="J842" s="256"/>
      <c r="K842" s="256"/>
      <c r="L842" s="256"/>
      <c r="M842" s="256"/>
      <c r="N842" s="256"/>
      <c r="O842" s="256"/>
      <c r="P842" s="256"/>
      <c r="Q842" s="256"/>
      <c r="R842" s="256"/>
      <c r="S842" s="256"/>
      <c r="T842" s="256"/>
      <c r="U842" s="256"/>
      <c r="V842" s="259"/>
      <c r="W842" s="259"/>
      <c r="X842" s="259"/>
      <c r="Y842" s="259"/>
      <c r="Z842" s="259">
        <v>24508093.88171614</v>
      </c>
      <c r="AA842" s="259">
        <v>31358368.21664254</v>
      </c>
      <c r="AB842" s="259">
        <v>29940692.213835452</v>
      </c>
      <c r="AC842" s="259">
        <v>27833622.914358314</v>
      </c>
      <c r="AD842" s="259">
        <v>25943387.956637599</v>
      </c>
      <c r="AE842" s="259">
        <v>24068790.93071235</v>
      </c>
      <c r="AF842" s="259">
        <v>23643456.492260318</v>
      </c>
      <c r="AG842" s="259">
        <v>22078641.169690624</v>
      </c>
      <c r="AH842" s="259">
        <v>19905707.362066343</v>
      </c>
      <c r="AI842" s="259">
        <v>18125321.223093331</v>
      </c>
      <c r="AJ842" s="259">
        <v>14006863.563994534</v>
      </c>
      <c r="AK842" s="259">
        <v>12163107.081324369</v>
      </c>
      <c r="AL842" s="259">
        <v>9903974.4710693713</v>
      </c>
      <c r="AM842" s="259">
        <v>9255975.5897164568</v>
      </c>
      <c r="AN842" s="259">
        <v>7178589.2240634868</v>
      </c>
      <c r="AO842" s="259">
        <v>7225144.767925391</v>
      </c>
      <c r="AP842" s="259">
        <v>7273096.9781031534</v>
      </c>
      <c r="AQ842" s="259">
        <v>7322487.7545862477</v>
      </c>
      <c r="AR842" s="259">
        <v>7373360.2543638349</v>
      </c>
      <c r="AS842" s="259">
        <v>3869891.1063847505</v>
      </c>
      <c r="AT842" s="259">
        <v>3923861.7413987927</v>
      </c>
      <c r="AU842" s="259">
        <v>3979451.4954632567</v>
      </c>
      <c r="AV842" s="259">
        <v>4036708.942149654</v>
      </c>
      <c r="AW842" s="259">
        <v>4095684.1122366437</v>
      </c>
      <c r="AX842" s="259">
        <v>4156428.5374262431</v>
      </c>
      <c r="AY842" s="259">
        <v>4218995.2953715287</v>
      </c>
      <c r="AZ842" s="259">
        <v>2070869.9392499998</v>
      </c>
      <c r="BA842" s="259">
        <v>0</v>
      </c>
      <c r="BB842" s="259">
        <v>0</v>
      </c>
      <c r="BC842" s="259">
        <v>0</v>
      </c>
      <c r="BD842" s="259">
        <v>0</v>
      </c>
      <c r="BE842" s="259">
        <v>0</v>
      </c>
      <c r="BF842" s="259">
        <v>0</v>
      </c>
      <c r="BG842" s="259">
        <v>0</v>
      </c>
      <c r="BH842" s="259">
        <v>0</v>
      </c>
      <c r="BI842" s="259">
        <v>0</v>
      </c>
      <c r="BJ842" s="259">
        <v>0</v>
      </c>
      <c r="BK842" s="259">
        <v>0</v>
      </c>
    </row>
    <row r="843" spans="1:63">
      <c r="A843" s="169"/>
      <c r="B843" s="307" t="s">
        <v>29</v>
      </c>
      <c r="C843" s="308"/>
      <c r="D843" s="308"/>
      <c r="E843" s="308"/>
      <c r="F843" s="308"/>
      <c r="G843" s="308"/>
      <c r="H843" s="308"/>
      <c r="I843" s="308"/>
      <c r="J843" s="308"/>
      <c r="K843" s="308"/>
      <c r="L843" s="308"/>
      <c r="M843" s="308"/>
      <c r="N843" s="308"/>
      <c r="O843" s="308"/>
      <c r="P843" s="308"/>
      <c r="Q843" s="308"/>
      <c r="R843" s="308"/>
      <c r="S843" s="308"/>
      <c r="T843" s="308"/>
      <c r="U843" s="308"/>
      <c r="V843" s="309"/>
      <c r="W843" s="309"/>
      <c r="X843" s="309"/>
      <c r="Y843" s="309"/>
      <c r="Z843" s="309">
        <f t="shared" ref="Z843:BK843" si="117">Z841+Z842</f>
        <v>104935961.68968114</v>
      </c>
      <c r="AA843" s="309">
        <f t="shared" si="117"/>
        <v>65306577.952377349</v>
      </c>
      <c r="AB843" s="309">
        <f t="shared" si="117"/>
        <v>60583658.956835449</v>
      </c>
      <c r="AC843" s="309">
        <f t="shared" si="117"/>
        <v>72731680.307955816</v>
      </c>
      <c r="AD843" s="309">
        <f t="shared" si="117"/>
        <v>60103485.2696376</v>
      </c>
      <c r="AE843" s="309">
        <f t="shared" si="117"/>
        <v>45996592.502124354</v>
      </c>
      <c r="AF843" s="309">
        <f t="shared" si="117"/>
        <v>45995876.207260318</v>
      </c>
      <c r="AG843" s="309">
        <f t="shared" si="117"/>
        <v>57060794.732585624</v>
      </c>
      <c r="AH843" s="309">
        <f t="shared" si="117"/>
        <v>47878334.362066343</v>
      </c>
      <c r="AI843" s="309">
        <f t="shared" si="117"/>
        <v>61694586.206682131</v>
      </c>
      <c r="AJ843" s="309">
        <f t="shared" si="117"/>
        <v>41761120.163994536</v>
      </c>
      <c r="AK843" s="309">
        <f t="shared" si="117"/>
        <v>47105620.527570769</v>
      </c>
      <c r="AL843" s="309">
        <f t="shared" si="117"/>
        <v>21963251.871069372</v>
      </c>
      <c r="AM843" s="309">
        <f t="shared" si="117"/>
        <v>46750823.451153658</v>
      </c>
      <c r="AN843" s="309">
        <f t="shared" si="117"/>
        <v>7178589.2240634868</v>
      </c>
      <c r="AO843" s="309">
        <f t="shared" si="117"/>
        <v>7225144.767925391</v>
      </c>
      <c r="AP843" s="309">
        <f t="shared" si="117"/>
        <v>7273096.9781031534</v>
      </c>
      <c r="AQ843" s="309">
        <f t="shared" si="117"/>
        <v>7322487.7545862477</v>
      </c>
      <c r="AR843" s="309">
        <f t="shared" si="117"/>
        <v>45815174.554363832</v>
      </c>
      <c r="AS843" s="309">
        <f t="shared" si="117"/>
        <v>3869891.1063847505</v>
      </c>
      <c r="AT843" s="309">
        <f t="shared" si="117"/>
        <v>3923861.7413987927</v>
      </c>
      <c r="AU843" s="309">
        <f t="shared" si="117"/>
        <v>3979451.4954632567</v>
      </c>
      <c r="AV843" s="309">
        <f t="shared" si="117"/>
        <v>4036708.942149654</v>
      </c>
      <c r="AW843" s="309">
        <f t="shared" si="117"/>
        <v>4095684.1122366437</v>
      </c>
      <c r="AX843" s="309">
        <f t="shared" si="117"/>
        <v>4156428.5374262431</v>
      </c>
      <c r="AY843" s="309">
        <f t="shared" si="117"/>
        <v>30833552.26013153</v>
      </c>
      <c r="AZ843" s="309">
        <f t="shared" si="117"/>
        <v>30634593.239250001</v>
      </c>
      <c r="BA843" s="309">
        <f t="shared" si="117"/>
        <v>0</v>
      </c>
      <c r="BB843" s="309">
        <f t="shared" si="117"/>
        <v>0</v>
      </c>
      <c r="BC843" s="309">
        <f t="shared" si="117"/>
        <v>0</v>
      </c>
      <c r="BD843" s="309">
        <f t="shared" si="117"/>
        <v>0</v>
      </c>
      <c r="BE843" s="309">
        <f t="shared" si="117"/>
        <v>0</v>
      </c>
      <c r="BF843" s="309">
        <f t="shared" si="117"/>
        <v>0</v>
      </c>
      <c r="BG843" s="309">
        <f t="shared" si="117"/>
        <v>0</v>
      </c>
      <c r="BH843" s="309">
        <f t="shared" si="117"/>
        <v>0</v>
      </c>
      <c r="BI843" s="309">
        <f t="shared" si="117"/>
        <v>0</v>
      </c>
      <c r="BJ843" s="309">
        <f t="shared" si="117"/>
        <v>0</v>
      </c>
      <c r="BK843" s="309">
        <f t="shared" si="117"/>
        <v>0</v>
      </c>
    </row>
    <row r="844" spans="1:63">
      <c r="A844" s="167"/>
      <c r="B844" s="210" t="s">
        <v>28</v>
      </c>
      <c r="C844" s="254"/>
      <c r="D844" s="254"/>
      <c r="E844" s="254"/>
      <c r="F844" s="254"/>
      <c r="G844" s="254"/>
      <c r="H844" s="254"/>
      <c r="I844" s="254"/>
      <c r="J844" s="254"/>
      <c r="K844" s="254"/>
      <c r="L844" s="254"/>
      <c r="M844" s="254"/>
      <c r="N844" s="254"/>
      <c r="O844" s="254"/>
      <c r="P844" s="254"/>
      <c r="Q844" s="254"/>
      <c r="R844" s="254"/>
      <c r="S844" s="254"/>
      <c r="T844" s="254"/>
      <c r="U844" s="254"/>
      <c r="V844" s="255"/>
      <c r="W844" s="259"/>
      <c r="X844" s="259"/>
      <c r="Y844" s="259"/>
      <c r="Z844" s="259">
        <v>84746526.166219994</v>
      </c>
      <c r="AA844" s="259">
        <v>35110678.440257803</v>
      </c>
      <c r="AB844" s="259">
        <v>30642966.743000001</v>
      </c>
      <c r="AC844" s="259">
        <v>45098974.10920015</v>
      </c>
      <c r="AD844" s="259">
        <v>34343097.313000001</v>
      </c>
      <c r="AE844" s="259">
        <v>23047151.261230603</v>
      </c>
      <c r="AF844" s="259">
        <v>22352419.715</v>
      </c>
      <c r="AG844" s="259">
        <v>35013924.562895</v>
      </c>
      <c r="AH844" s="259">
        <v>27972627</v>
      </c>
      <c r="AI844" s="259">
        <v>43946012.728776798</v>
      </c>
      <c r="AJ844" s="259">
        <v>27754256.600000001</v>
      </c>
      <c r="AK844" s="259">
        <v>35249013.979110397</v>
      </c>
      <c r="AL844" s="259">
        <v>13829311.300000001</v>
      </c>
      <c r="AM844" s="259">
        <v>38254533.845932595</v>
      </c>
      <c r="AN844" s="259">
        <v>0</v>
      </c>
      <c r="AO844" s="259">
        <v>0</v>
      </c>
      <c r="AP844" s="259">
        <v>0</v>
      </c>
      <c r="AQ844" s="259">
        <v>0</v>
      </c>
      <c r="AR844" s="259">
        <v>39676753.899999999</v>
      </c>
      <c r="AS844" s="259">
        <v>0</v>
      </c>
      <c r="AT844" s="259">
        <v>0</v>
      </c>
      <c r="AU844" s="259">
        <v>0</v>
      </c>
      <c r="AV844" s="259">
        <v>0</v>
      </c>
      <c r="AW844" s="259">
        <v>0</v>
      </c>
      <c r="AX844" s="259">
        <v>0</v>
      </c>
      <c r="AY844" s="259">
        <v>27723697.348079599</v>
      </c>
      <c r="AZ844" s="259">
        <v>29865312.399999999</v>
      </c>
      <c r="BA844" s="259">
        <v>0</v>
      </c>
      <c r="BB844" s="259">
        <v>0</v>
      </c>
      <c r="BC844" s="259">
        <v>0</v>
      </c>
      <c r="BD844" s="259">
        <v>0</v>
      </c>
      <c r="BE844" s="259">
        <v>0</v>
      </c>
      <c r="BF844" s="259">
        <v>0</v>
      </c>
      <c r="BG844" s="259">
        <v>0</v>
      </c>
      <c r="BH844" s="259">
        <v>0</v>
      </c>
      <c r="BI844" s="259">
        <v>0</v>
      </c>
      <c r="BJ844" s="259">
        <v>0</v>
      </c>
      <c r="BK844" s="259">
        <v>0</v>
      </c>
    </row>
    <row r="845" spans="1:63">
      <c r="A845" s="168">
        <v>45412</v>
      </c>
      <c r="B845" s="213" t="s">
        <v>385</v>
      </c>
      <c r="C845" s="256"/>
      <c r="D845" s="256"/>
      <c r="E845" s="256"/>
      <c r="F845" s="256"/>
      <c r="G845" s="256"/>
      <c r="H845" s="256"/>
      <c r="I845" s="256"/>
      <c r="J845" s="256"/>
      <c r="K845" s="256"/>
      <c r="L845" s="256"/>
      <c r="M845" s="256"/>
      <c r="N845" s="256"/>
      <c r="O845" s="256"/>
      <c r="P845" s="256"/>
      <c r="Q845" s="256"/>
      <c r="R845" s="256"/>
      <c r="S845" s="256"/>
      <c r="T845" s="256"/>
      <c r="U845" s="256"/>
      <c r="V845" s="259"/>
      <c r="W845" s="259"/>
      <c r="X845" s="259"/>
      <c r="Y845" s="259"/>
      <c r="Z845" s="259">
        <v>20536886.173743282</v>
      </c>
      <c r="AA845" s="259">
        <v>31729959.270819914</v>
      </c>
      <c r="AB845" s="259">
        <v>30351439.967391733</v>
      </c>
      <c r="AC845" s="259">
        <v>28245785.648276281</v>
      </c>
      <c r="AD845" s="259">
        <v>26361090.991341323</v>
      </c>
      <c r="AE845" s="259">
        <v>24477137.604212191</v>
      </c>
      <c r="AF845" s="259">
        <v>24030869.773390528</v>
      </c>
      <c r="AG845" s="259">
        <v>22467098.797009736</v>
      </c>
      <c r="AH845" s="259">
        <v>20293000.665960036</v>
      </c>
      <c r="AI845" s="259">
        <v>18513722.473858833</v>
      </c>
      <c r="AJ845" s="259">
        <v>14368212.242434256</v>
      </c>
      <c r="AK845" s="259">
        <v>12525719.49287229</v>
      </c>
      <c r="AL845" s="259">
        <v>10278580.594968997</v>
      </c>
      <c r="AM845" s="259">
        <v>9521616.0513380691</v>
      </c>
      <c r="AN845" s="259">
        <v>7430759.0390434666</v>
      </c>
      <c r="AO845" s="259">
        <v>7478621.7636722708</v>
      </c>
      <c r="AP845" s="259">
        <v>7527920.3700399389</v>
      </c>
      <c r="AQ845" s="259">
        <v>7578697.9345986377</v>
      </c>
      <c r="AR845" s="259">
        <v>7630998.8260940984</v>
      </c>
      <c r="AS845" s="259">
        <v>4014769.0085844202</v>
      </c>
      <c r="AT845" s="259">
        <v>4070255.0243719527</v>
      </c>
      <c r="AU845" s="259">
        <v>4127405.6206331113</v>
      </c>
      <c r="AV845" s="259">
        <v>4186270.7347821044</v>
      </c>
      <c r="AW845" s="259">
        <v>4246901.802355567</v>
      </c>
      <c r="AX845" s="259">
        <v>4309351.8019562345</v>
      </c>
      <c r="AY845" s="259">
        <v>4373675.3015449196</v>
      </c>
      <c r="AZ845" s="259">
        <v>2165235.1490000002</v>
      </c>
      <c r="BA845" s="259">
        <v>0</v>
      </c>
      <c r="BB845" s="259">
        <v>0</v>
      </c>
      <c r="BC845" s="259">
        <v>0</v>
      </c>
      <c r="BD845" s="259">
        <v>0</v>
      </c>
      <c r="BE845" s="259">
        <v>0</v>
      </c>
      <c r="BF845" s="259">
        <v>0</v>
      </c>
      <c r="BG845" s="259">
        <v>0</v>
      </c>
      <c r="BH845" s="259">
        <v>0</v>
      </c>
      <c r="BI845" s="259">
        <v>0</v>
      </c>
      <c r="BJ845" s="259">
        <v>0</v>
      </c>
      <c r="BK845" s="259">
        <v>0</v>
      </c>
    </row>
    <row r="846" spans="1:63">
      <c r="A846" s="169"/>
      <c r="B846" s="307" t="s">
        <v>29</v>
      </c>
      <c r="C846" s="308"/>
      <c r="D846" s="308"/>
      <c r="E846" s="308"/>
      <c r="F846" s="308"/>
      <c r="G846" s="308"/>
      <c r="H846" s="308"/>
      <c r="I846" s="308"/>
      <c r="J846" s="308"/>
      <c r="K846" s="308"/>
      <c r="L846" s="308"/>
      <c r="M846" s="308"/>
      <c r="N846" s="308"/>
      <c r="O846" s="308"/>
      <c r="P846" s="308"/>
      <c r="Q846" s="308"/>
      <c r="R846" s="308"/>
      <c r="S846" s="308"/>
      <c r="T846" s="308"/>
      <c r="U846" s="308"/>
      <c r="V846" s="309"/>
      <c r="W846" s="309"/>
      <c r="X846" s="309"/>
      <c r="Y846" s="309"/>
      <c r="Z846" s="309">
        <f t="shared" ref="Z846:BK846" si="118">Z844+Z845</f>
        <v>105283412.33996327</v>
      </c>
      <c r="AA846" s="309">
        <f t="shared" si="118"/>
        <v>66840637.71107772</v>
      </c>
      <c r="AB846" s="309">
        <f t="shared" si="118"/>
        <v>60994406.71039173</v>
      </c>
      <c r="AC846" s="309">
        <f t="shared" si="118"/>
        <v>73344759.757476434</v>
      </c>
      <c r="AD846" s="309">
        <f t="shared" si="118"/>
        <v>60704188.304341324</v>
      </c>
      <c r="AE846" s="309">
        <f t="shared" si="118"/>
        <v>47524288.865442798</v>
      </c>
      <c r="AF846" s="309">
        <f t="shared" si="118"/>
        <v>46383289.488390528</v>
      </c>
      <c r="AG846" s="309">
        <f t="shared" si="118"/>
        <v>57481023.359904736</v>
      </c>
      <c r="AH846" s="309">
        <f t="shared" si="118"/>
        <v>48265627.665960036</v>
      </c>
      <c r="AI846" s="309">
        <f t="shared" si="118"/>
        <v>62459735.202635631</v>
      </c>
      <c r="AJ846" s="309">
        <f t="shared" si="118"/>
        <v>42122468.842434257</v>
      </c>
      <c r="AK846" s="309">
        <f t="shared" si="118"/>
        <v>47774733.471982688</v>
      </c>
      <c r="AL846" s="309">
        <f t="shared" si="118"/>
        <v>24107891.894968998</v>
      </c>
      <c r="AM846" s="309">
        <f t="shared" si="118"/>
        <v>47776149.897270665</v>
      </c>
      <c r="AN846" s="309">
        <f t="shared" si="118"/>
        <v>7430759.0390434666</v>
      </c>
      <c r="AO846" s="309">
        <f t="shared" si="118"/>
        <v>7478621.7636722708</v>
      </c>
      <c r="AP846" s="309">
        <f t="shared" si="118"/>
        <v>7527920.3700399389</v>
      </c>
      <c r="AQ846" s="309">
        <f t="shared" si="118"/>
        <v>7578697.9345986377</v>
      </c>
      <c r="AR846" s="309">
        <f t="shared" si="118"/>
        <v>47307752.726094097</v>
      </c>
      <c r="AS846" s="309">
        <f t="shared" si="118"/>
        <v>4014769.0085844202</v>
      </c>
      <c r="AT846" s="309">
        <f t="shared" si="118"/>
        <v>4070255.0243719527</v>
      </c>
      <c r="AU846" s="309">
        <f t="shared" si="118"/>
        <v>4127405.6206331113</v>
      </c>
      <c r="AV846" s="309">
        <f t="shared" si="118"/>
        <v>4186270.7347821044</v>
      </c>
      <c r="AW846" s="309">
        <f t="shared" si="118"/>
        <v>4246901.802355567</v>
      </c>
      <c r="AX846" s="309">
        <f t="shared" si="118"/>
        <v>4309351.8019562345</v>
      </c>
      <c r="AY846" s="309">
        <f t="shared" si="118"/>
        <v>32097372.649624519</v>
      </c>
      <c r="AZ846" s="309">
        <f t="shared" si="118"/>
        <v>32030547.548999999</v>
      </c>
      <c r="BA846" s="309">
        <f t="shared" si="118"/>
        <v>0</v>
      </c>
      <c r="BB846" s="309">
        <f t="shared" si="118"/>
        <v>0</v>
      </c>
      <c r="BC846" s="309">
        <f t="shared" si="118"/>
        <v>0</v>
      </c>
      <c r="BD846" s="309">
        <f t="shared" si="118"/>
        <v>0</v>
      </c>
      <c r="BE846" s="309">
        <f t="shared" si="118"/>
        <v>0</v>
      </c>
      <c r="BF846" s="309">
        <f t="shared" si="118"/>
        <v>0</v>
      </c>
      <c r="BG846" s="309">
        <f t="shared" si="118"/>
        <v>0</v>
      </c>
      <c r="BH846" s="309">
        <f t="shared" si="118"/>
        <v>0</v>
      </c>
      <c r="BI846" s="309">
        <f t="shared" si="118"/>
        <v>0</v>
      </c>
      <c r="BJ846" s="309">
        <f t="shared" si="118"/>
        <v>0</v>
      </c>
      <c r="BK846" s="309">
        <f t="shared" si="118"/>
        <v>0</v>
      </c>
    </row>
    <row r="847" spans="1:63">
      <c r="A847" s="167"/>
      <c r="B847" s="210" t="s">
        <v>28</v>
      </c>
      <c r="C847" s="254"/>
      <c r="D847" s="254"/>
      <c r="E847" s="254"/>
      <c r="F847" s="254"/>
      <c r="G847" s="254"/>
      <c r="H847" s="254"/>
      <c r="I847" s="254"/>
      <c r="J847" s="254"/>
      <c r="K847" s="254"/>
      <c r="L847" s="254"/>
      <c r="M847" s="254"/>
      <c r="N847" s="254"/>
      <c r="O847" s="254"/>
      <c r="P847" s="254"/>
      <c r="Q847" s="254"/>
      <c r="R847" s="254"/>
      <c r="S847" s="254"/>
      <c r="T847" s="254"/>
      <c r="U847" s="254"/>
      <c r="V847" s="255"/>
      <c r="W847" s="259"/>
      <c r="X847" s="259"/>
      <c r="Y847" s="259"/>
      <c r="Z847" s="259">
        <v>83435173.132236004</v>
      </c>
      <c r="AA847" s="259">
        <v>33276508.246692702</v>
      </c>
      <c r="AB847" s="259">
        <v>30642966.743000001</v>
      </c>
      <c r="AC847" s="259">
        <v>45244213.289784707</v>
      </c>
      <c r="AD847" s="259">
        <v>35560097.313000001</v>
      </c>
      <c r="AE847" s="259">
        <v>24884326.271978904</v>
      </c>
      <c r="AF847" s="259">
        <v>22352419.715</v>
      </c>
      <c r="AG847" s="259">
        <v>35014153.562895</v>
      </c>
      <c r="AH847" s="259">
        <v>27972627</v>
      </c>
      <c r="AI847" s="259">
        <v>44052714.703101203</v>
      </c>
      <c r="AJ847" s="259">
        <v>27754256.600000001</v>
      </c>
      <c r="AK847" s="259">
        <v>35479735.194073603</v>
      </c>
      <c r="AL847" s="259">
        <v>15051972.5</v>
      </c>
      <c r="AM847" s="259">
        <v>39172716.840391405</v>
      </c>
      <c r="AN847" s="259">
        <v>0</v>
      </c>
      <c r="AO847" s="259">
        <v>0</v>
      </c>
      <c r="AP847" s="259">
        <v>0</v>
      </c>
      <c r="AQ847" s="259">
        <v>0</v>
      </c>
      <c r="AR847" s="259">
        <v>43770632.899999999</v>
      </c>
      <c r="AS847" s="259">
        <v>0</v>
      </c>
      <c r="AT847" s="259">
        <v>0</v>
      </c>
      <c r="AU847" s="259">
        <v>0</v>
      </c>
      <c r="AV847" s="259">
        <v>0</v>
      </c>
      <c r="AW847" s="259">
        <v>0</v>
      </c>
      <c r="AX847" s="259">
        <v>0</v>
      </c>
      <c r="AY847" s="259">
        <v>28695753.1915861</v>
      </c>
      <c r="AZ847" s="259">
        <v>31575705.600000001</v>
      </c>
      <c r="BA847" s="259">
        <v>0</v>
      </c>
      <c r="BB847" s="259">
        <v>0</v>
      </c>
      <c r="BC847" s="259">
        <v>0</v>
      </c>
      <c r="BD847" s="259">
        <v>0</v>
      </c>
      <c r="BE847" s="259">
        <v>0</v>
      </c>
      <c r="BF847" s="259">
        <v>0</v>
      </c>
      <c r="BG847" s="259">
        <v>0</v>
      </c>
      <c r="BH847" s="259">
        <v>0</v>
      </c>
      <c r="BI847" s="259">
        <v>0</v>
      </c>
      <c r="BJ847" s="259">
        <v>0</v>
      </c>
      <c r="BK847" s="259">
        <v>0</v>
      </c>
    </row>
    <row r="848" spans="1:63">
      <c r="A848" s="168">
        <v>45443</v>
      </c>
      <c r="B848" s="213" t="s">
        <v>385</v>
      </c>
      <c r="C848" s="256"/>
      <c r="D848" s="256"/>
      <c r="E848" s="256"/>
      <c r="F848" s="256"/>
      <c r="G848" s="256"/>
      <c r="H848" s="256"/>
      <c r="I848" s="256"/>
      <c r="J848" s="256"/>
      <c r="K848" s="256"/>
      <c r="L848" s="256"/>
      <c r="M848" s="256"/>
      <c r="N848" s="256"/>
      <c r="O848" s="256"/>
      <c r="P848" s="256"/>
      <c r="Q848" s="256"/>
      <c r="R848" s="256"/>
      <c r="S848" s="256"/>
      <c r="T848" s="256"/>
      <c r="U848" s="256"/>
      <c r="V848" s="259"/>
      <c r="W848" s="259"/>
      <c r="X848" s="259"/>
      <c r="Y848" s="259"/>
      <c r="Z848" s="259">
        <v>16242398.362446271</v>
      </c>
      <c r="AA848" s="259">
        <v>32265927.37022854</v>
      </c>
      <c r="AB848" s="259">
        <v>31102617.668566454</v>
      </c>
      <c r="AC848" s="259">
        <v>28999934.971301232</v>
      </c>
      <c r="AD848" s="259">
        <v>27118301.08487203</v>
      </c>
      <c r="AE848" s="259">
        <v>25164480.291363813</v>
      </c>
      <c r="AF848" s="259">
        <v>24675794.445726763</v>
      </c>
      <c r="AG848" s="259">
        <v>23113998.100331061</v>
      </c>
      <c r="AH848" s="259">
        <v>20941933.839195997</v>
      </c>
      <c r="AI848" s="259">
        <v>19164750.533106871</v>
      </c>
      <c r="AJ848" s="259">
        <v>15021398.034274735</v>
      </c>
      <c r="AK848" s="259">
        <v>13181127.749282978</v>
      </c>
      <c r="AL848" s="259">
        <v>10936277.98988701</v>
      </c>
      <c r="AM848" s="259">
        <v>10105254.933918618</v>
      </c>
      <c r="AN848" s="259">
        <v>7978646.897875607</v>
      </c>
      <c r="AO848" s="259">
        <v>8027865.6388343759</v>
      </c>
      <c r="AP848" s="259">
        <v>8078560.9420219073</v>
      </c>
      <c r="AQ848" s="259">
        <v>8130777.1043050643</v>
      </c>
      <c r="AR848" s="259">
        <v>8184559.7514567152</v>
      </c>
      <c r="AS848" s="259">
        <v>4191172.3347729184</v>
      </c>
      <c r="AT848" s="259">
        <v>4248230.345136106</v>
      </c>
      <c r="AU848" s="259">
        <v>4307000.0958101889</v>
      </c>
      <c r="AV848" s="259">
        <v>4367532.9390044948</v>
      </c>
      <c r="AW848" s="259">
        <v>4429881.7674946301</v>
      </c>
      <c r="AX848" s="259">
        <v>4494101.0608394686</v>
      </c>
      <c r="AY848" s="259">
        <v>4560246.9329846501</v>
      </c>
      <c r="AZ848" s="259">
        <v>2289238.6560000032</v>
      </c>
      <c r="BA848" s="259">
        <v>0</v>
      </c>
      <c r="BB848" s="259">
        <v>0</v>
      </c>
      <c r="BC848" s="259">
        <v>0</v>
      </c>
      <c r="BD848" s="259">
        <v>0</v>
      </c>
      <c r="BE848" s="259">
        <v>0</v>
      </c>
      <c r="BF848" s="259">
        <v>0</v>
      </c>
      <c r="BG848" s="259">
        <v>0</v>
      </c>
      <c r="BH848" s="259">
        <v>0</v>
      </c>
      <c r="BI848" s="259">
        <v>0</v>
      </c>
      <c r="BJ848" s="259">
        <v>0</v>
      </c>
      <c r="BK848" s="259">
        <v>0</v>
      </c>
    </row>
    <row r="849" spans="1:63">
      <c r="A849" s="169"/>
      <c r="B849" s="307" t="s">
        <v>29</v>
      </c>
      <c r="C849" s="308"/>
      <c r="D849" s="308"/>
      <c r="E849" s="308"/>
      <c r="F849" s="308"/>
      <c r="G849" s="308"/>
      <c r="H849" s="308"/>
      <c r="I849" s="308"/>
      <c r="J849" s="308"/>
      <c r="K849" s="308"/>
      <c r="L849" s="308"/>
      <c r="M849" s="308"/>
      <c r="N849" s="308"/>
      <c r="O849" s="308"/>
      <c r="P849" s="308"/>
      <c r="Q849" s="308"/>
      <c r="R849" s="308"/>
      <c r="S849" s="308"/>
      <c r="T849" s="308"/>
      <c r="U849" s="308"/>
      <c r="V849" s="309"/>
      <c r="W849" s="309"/>
      <c r="X849" s="309"/>
      <c r="Y849" s="309"/>
      <c r="Z849" s="309">
        <f t="shared" ref="Z849:BK849" si="119">Z847+Z848</f>
        <v>99677571.494682282</v>
      </c>
      <c r="AA849" s="309">
        <f t="shared" si="119"/>
        <v>65542435.616921246</v>
      </c>
      <c r="AB849" s="309">
        <f t="shared" si="119"/>
        <v>61745584.411566451</v>
      </c>
      <c r="AC849" s="309">
        <f t="shared" si="119"/>
        <v>74244148.261085942</v>
      </c>
      <c r="AD849" s="309">
        <f t="shared" si="119"/>
        <v>62678398.397872031</v>
      </c>
      <c r="AE849" s="309">
        <f t="shared" si="119"/>
        <v>50048806.56334272</v>
      </c>
      <c r="AF849" s="309">
        <f t="shared" si="119"/>
        <v>47028214.160726763</v>
      </c>
      <c r="AG849" s="309">
        <f t="shared" si="119"/>
        <v>58128151.663226061</v>
      </c>
      <c r="AH849" s="309">
        <f t="shared" si="119"/>
        <v>48914560.839195997</v>
      </c>
      <c r="AI849" s="309">
        <f t="shared" si="119"/>
        <v>63217465.236208074</v>
      </c>
      <c r="AJ849" s="309">
        <f t="shared" si="119"/>
        <v>42775654.634274736</v>
      </c>
      <c r="AK849" s="309">
        <f t="shared" si="119"/>
        <v>48660862.943356581</v>
      </c>
      <c r="AL849" s="309">
        <f t="shared" si="119"/>
        <v>25988250.48988701</v>
      </c>
      <c r="AM849" s="309">
        <f t="shared" si="119"/>
        <v>49277971.774310023</v>
      </c>
      <c r="AN849" s="309">
        <f t="shared" si="119"/>
        <v>7978646.897875607</v>
      </c>
      <c r="AO849" s="309">
        <f t="shared" si="119"/>
        <v>8027865.6388343759</v>
      </c>
      <c r="AP849" s="309">
        <f t="shared" si="119"/>
        <v>8078560.9420219073</v>
      </c>
      <c r="AQ849" s="309">
        <f t="shared" si="119"/>
        <v>8130777.1043050643</v>
      </c>
      <c r="AR849" s="309">
        <f t="shared" si="119"/>
        <v>51955192.651456714</v>
      </c>
      <c r="AS849" s="309">
        <f t="shared" si="119"/>
        <v>4191172.3347729184</v>
      </c>
      <c r="AT849" s="309">
        <f t="shared" si="119"/>
        <v>4248230.345136106</v>
      </c>
      <c r="AU849" s="309">
        <f t="shared" si="119"/>
        <v>4307000.0958101889</v>
      </c>
      <c r="AV849" s="309">
        <f t="shared" si="119"/>
        <v>4367532.9390044948</v>
      </c>
      <c r="AW849" s="309">
        <f t="shared" si="119"/>
        <v>4429881.7674946301</v>
      </c>
      <c r="AX849" s="309">
        <f t="shared" si="119"/>
        <v>4494101.0608394686</v>
      </c>
      <c r="AY849" s="309">
        <f t="shared" si="119"/>
        <v>33256000.12457075</v>
      </c>
      <c r="AZ849" s="309">
        <f t="shared" si="119"/>
        <v>33864944.256000005</v>
      </c>
      <c r="BA849" s="309">
        <f t="shared" si="119"/>
        <v>0</v>
      </c>
      <c r="BB849" s="309">
        <f t="shared" si="119"/>
        <v>0</v>
      </c>
      <c r="BC849" s="309">
        <f t="shared" si="119"/>
        <v>0</v>
      </c>
      <c r="BD849" s="309">
        <f t="shared" si="119"/>
        <v>0</v>
      </c>
      <c r="BE849" s="309">
        <f t="shared" si="119"/>
        <v>0</v>
      </c>
      <c r="BF849" s="309">
        <f t="shared" si="119"/>
        <v>0</v>
      </c>
      <c r="BG849" s="309">
        <f t="shared" si="119"/>
        <v>0</v>
      </c>
      <c r="BH849" s="309">
        <f t="shared" si="119"/>
        <v>0</v>
      </c>
      <c r="BI849" s="309">
        <f t="shared" si="119"/>
        <v>0</v>
      </c>
      <c r="BJ849" s="309">
        <f t="shared" si="119"/>
        <v>0</v>
      </c>
      <c r="BK849" s="309">
        <f t="shared" si="119"/>
        <v>0</v>
      </c>
    </row>
    <row r="850" spans="1:63">
      <c r="A850" s="167"/>
      <c r="B850" s="210" t="s">
        <v>28</v>
      </c>
      <c r="C850" s="254"/>
      <c r="D850" s="254"/>
      <c r="E850" s="254"/>
      <c r="F850" s="254"/>
      <c r="G850" s="254"/>
      <c r="H850" s="254"/>
      <c r="I850" s="254"/>
      <c r="J850" s="254"/>
      <c r="K850" s="254"/>
      <c r="L850" s="254"/>
      <c r="M850" s="254"/>
      <c r="N850" s="254"/>
      <c r="O850" s="254"/>
      <c r="P850" s="254"/>
      <c r="Q850" s="254"/>
      <c r="R850" s="254"/>
      <c r="S850" s="254"/>
      <c r="T850" s="254"/>
      <c r="U850" s="254"/>
      <c r="V850" s="255"/>
      <c r="W850" s="259"/>
      <c r="X850" s="259"/>
      <c r="Y850" s="259"/>
      <c r="Z850" s="259">
        <v>70455873.432236001</v>
      </c>
      <c r="AA850" s="259">
        <v>43497544.840176903</v>
      </c>
      <c r="AB850" s="259">
        <v>30642966.743000001</v>
      </c>
      <c r="AC850" s="259">
        <v>45367840.104041345</v>
      </c>
      <c r="AD850" s="259">
        <v>37278597.313000001</v>
      </c>
      <c r="AE850" s="259">
        <v>25776291.470588002</v>
      </c>
      <c r="AF850" s="259">
        <v>22352419.715</v>
      </c>
      <c r="AG850" s="259">
        <v>35014153.807874799</v>
      </c>
      <c r="AH850" s="259">
        <v>27972627</v>
      </c>
      <c r="AI850" s="259">
        <v>44331328.504476398</v>
      </c>
      <c r="AJ850" s="259">
        <v>28369603.199999999</v>
      </c>
      <c r="AK850" s="259">
        <v>35657289.509619199</v>
      </c>
      <c r="AL850" s="259">
        <v>16858426</v>
      </c>
      <c r="AM850" s="259">
        <v>39898131.525649503</v>
      </c>
      <c r="AN850" s="259">
        <v>0</v>
      </c>
      <c r="AO850" s="259">
        <v>0</v>
      </c>
      <c r="AP850" s="259">
        <v>0</v>
      </c>
      <c r="AQ850" s="259">
        <v>0</v>
      </c>
      <c r="AR850" s="259">
        <v>50337060.899999999</v>
      </c>
      <c r="AS850" s="259">
        <v>0</v>
      </c>
      <c r="AT850" s="259">
        <v>0</v>
      </c>
      <c r="AU850" s="259">
        <v>0</v>
      </c>
      <c r="AV850" s="259">
        <v>0</v>
      </c>
      <c r="AW850" s="259">
        <v>0</v>
      </c>
      <c r="AX850" s="259">
        <v>0</v>
      </c>
      <c r="AY850" s="259">
        <v>29647360.413939901</v>
      </c>
      <c r="AZ850" s="259">
        <v>34308578.5</v>
      </c>
      <c r="BA850" s="259">
        <v>0</v>
      </c>
      <c r="BB850" s="259">
        <v>0</v>
      </c>
      <c r="BC850" s="259">
        <v>0</v>
      </c>
      <c r="BD850" s="259">
        <v>0</v>
      </c>
      <c r="BE850" s="259">
        <v>0</v>
      </c>
      <c r="BF850" s="259">
        <v>0</v>
      </c>
      <c r="BG850" s="259">
        <v>0</v>
      </c>
      <c r="BH850" s="259">
        <v>0</v>
      </c>
      <c r="BI850" s="259">
        <v>0</v>
      </c>
      <c r="BJ850" s="259">
        <v>0</v>
      </c>
      <c r="BK850" s="259">
        <v>0</v>
      </c>
    </row>
    <row r="851" spans="1:63">
      <c r="A851" s="168">
        <v>45473</v>
      </c>
      <c r="B851" s="213" t="s">
        <v>385</v>
      </c>
      <c r="C851" s="256"/>
      <c r="D851" s="256"/>
      <c r="E851" s="256"/>
      <c r="F851" s="256"/>
      <c r="G851" s="256"/>
      <c r="H851" s="256"/>
      <c r="I851" s="256"/>
      <c r="J851" s="256"/>
      <c r="K851" s="256"/>
      <c r="L851" s="256"/>
      <c r="M851" s="256"/>
      <c r="N851" s="256"/>
      <c r="O851" s="256"/>
      <c r="P851" s="256"/>
      <c r="Q851" s="256"/>
      <c r="R851" s="256"/>
      <c r="S851" s="256"/>
      <c r="T851" s="256"/>
      <c r="U851" s="256"/>
      <c r="V851" s="259"/>
      <c r="W851" s="259"/>
      <c r="X851" s="259"/>
      <c r="Y851" s="259"/>
      <c r="Z851" s="259">
        <v>13224894.686100479</v>
      </c>
      <c r="AA851" s="259">
        <v>33337406.846174974</v>
      </c>
      <c r="AB851" s="259">
        <v>32266542.352912907</v>
      </c>
      <c r="AC851" s="259">
        <v>30166011.693253089</v>
      </c>
      <c r="AD851" s="259">
        <v>28286594.405557431</v>
      </c>
      <c r="AE851" s="259">
        <v>26231946.708744787</v>
      </c>
      <c r="AF851" s="259">
        <v>25724933.983830873</v>
      </c>
      <c r="AG851" s="259">
        <v>24164939.421653301</v>
      </c>
      <c r="AH851" s="259">
        <v>21994730.997232899</v>
      </c>
      <c r="AI851" s="259">
        <v>20219459.20295988</v>
      </c>
      <c r="AJ851" s="259">
        <v>16052039.311298337</v>
      </c>
      <c r="AK851" s="259">
        <v>14169184.320692293</v>
      </c>
      <c r="AL851" s="259">
        <v>11926423.321868598</v>
      </c>
      <c r="AM851" s="259">
        <v>10984648.345539659</v>
      </c>
      <c r="AN851" s="259">
        <v>8830140.7405573819</v>
      </c>
      <c r="AO851" s="259">
        <v>8880738.4605391026</v>
      </c>
      <c r="AP851" s="259">
        <v>8932854.1121202763</v>
      </c>
      <c r="AQ851" s="259">
        <v>8986533.2332488857</v>
      </c>
      <c r="AR851" s="259">
        <v>9041822.7280113474</v>
      </c>
      <c r="AS851" s="259">
        <v>4442592.7743666917</v>
      </c>
      <c r="AT851" s="259">
        <v>4501249.3993601929</v>
      </c>
      <c r="AU851" s="259">
        <v>4561665.723103499</v>
      </c>
      <c r="AV851" s="259">
        <v>4623894.5365591031</v>
      </c>
      <c r="AW851" s="259">
        <v>4687990.2144183759</v>
      </c>
      <c r="AX851" s="259">
        <v>4754008.7626134278</v>
      </c>
      <c r="AY851" s="259">
        <v>4822007.8672543317</v>
      </c>
      <c r="AZ851" s="259">
        <v>2487371.9412499964</v>
      </c>
      <c r="BA851" s="259">
        <v>0</v>
      </c>
      <c r="BB851" s="259">
        <v>0</v>
      </c>
      <c r="BC851" s="259">
        <v>0</v>
      </c>
      <c r="BD851" s="259">
        <v>0</v>
      </c>
      <c r="BE851" s="259">
        <v>0</v>
      </c>
      <c r="BF851" s="259">
        <v>0</v>
      </c>
      <c r="BG851" s="259">
        <v>0</v>
      </c>
      <c r="BH851" s="259">
        <v>0</v>
      </c>
      <c r="BI851" s="259">
        <v>0</v>
      </c>
      <c r="BJ851" s="259">
        <v>0</v>
      </c>
      <c r="BK851" s="259">
        <v>0</v>
      </c>
    </row>
    <row r="852" spans="1:63">
      <c r="A852" s="169"/>
      <c r="B852" s="307" t="s">
        <v>29</v>
      </c>
      <c r="C852" s="308"/>
      <c r="D852" s="308"/>
      <c r="E852" s="308"/>
      <c r="F852" s="308"/>
      <c r="G852" s="308"/>
      <c r="H852" s="308"/>
      <c r="I852" s="308"/>
      <c r="J852" s="308"/>
      <c r="K852" s="308"/>
      <c r="L852" s="308"/>
      <c r="M852" s="308"/>
      <c r="N852" s="308"/>
      <c r="O852" s="308"/>
      <c r="P852" s="308"/>
      <c r="Q852" s="308"/>
      <c r="R852" s="308"/>
      <c r="S852" s="308"/>
      <c r="T852" s="308"/>
      <c r="U852" s="308"/>
      <c r="V852" s="309"/>
      <c r="W852" s="309"/>
      <c r="X852" s="309"/>
      <c r="Y852" s="309"/>
      <c r="Z852" s="309">
        <f t="shared" ref="Z852:BK852" si="120">Z850+Z851</f>
        <v>83680768.118336484</v>
      </c>
      <c r="AA852" s="309">
        <f t="shared" si="120"/>
        <v>76834951.68635188</v>
      </c>
      <c r="AB852" s="309">
        <f t="shared" si="120"/>
        <v>62909509.095912904</v>
      </c>
      <c r="AC852" s="309">
        <f t="shared" si="120"/>
        <v>75533851.797294438</v>
      </c>
      <c r="AD852" s="309">
        <f t="shared" si="120"/>
        <v>65565191.718557432</v>
      </c>
      <c r="AE852" s="309">
        <f t="shared" si="120"/>
        <v>52008238.179332793</v>
      </c>
      <c r="AF852" s="309">
        <f t="shared" si="120"/>
        <v>48077353.698830873</v>
      </c>
      <c r="AG852" s="309">
        <f t="shared" si="120"/>
        <v>59179093.229528099</v>
      </c>
      <c r="AH852" s="309">
        <f t="shared" si="120"/>
        <v>49967357.997232899</v>
      </c>
      <c r="AI852" s="309">
        <f t="shared" si="120"/>
        <v>64550787.707436278</v>
      </c>
      <c r="AJ852" s="309">
        <f t="shared" si="120"/>
        <v>44421642.511298336</v>
      </c>
      <c r="AK852" s="309">
        <f t="shared" si="120"/>
        <v>49826473.830311492</v>
      </c>
      <c r="AL852" s="309">
        <f t="shared" si="120"/>
        <v>28784849.321868598</v>
      </c>
      <c r="AM852" s="309">
        <f t="shared" si="120"/>
        <v>50882779.871189162</v>
      </c>
      <c r="AN852" s="309">
        <f t="shared" si="120"/>
        <v>8830140.7405573819</v>
      </c>
      <c r="AO852" s="309">
        <f t="shared" si="120"/>
        <v>8880738.4605391026</v>
      </c>
      <c r="AP852" s="309">
        <f t="shared" si="120"/>
        <v>8932854.1121202763</v>
      </c>
      <c r="AQ852" s="309">
        <f t="shared" si="120"/>
        <v>8986533.2332488857</v>
      </c>
      <c r="AR852" s="309">
        <f t="shared" si="120"/>
        <v>59378883.628011346</v>
      </c>
      <c r="AS852" s="309">
        <f t="shared" si="120"/>
        <v>4442592.7743666917</v>
      </c>
      <c r="AT852" s="309">
        <f t="shared" si="120"/>
        <v>4501249.3993601929</v>
      </c>
      <c r="AU852" s="309">
        <f t="shared" si="120"/>
        <v>4561665.723103499</v>
      </c>
      <c r="AV852" s="309">
        <f t="shared" si="120"/>
        <v>4623894.5365591031</v>
      </c>
      <c r="AW852" s="309">
        <f t="shared" si="120"/>
        <v>4687990.2144183759</v>
      </c>
      <c r="AX852" s="309">
        <f t="shared" si="120"/>
        <v>4754008.7626134278</v>
      </c>
      <c r="AY852" s="309">
        <f t="shared" si="120"/>
        <v>34469368.281194232</v>
      </c>
      <c r="AZ852" s="309">
        <f t="shared" si="120"/>
        <v>36795950.441249996</v>
      </c>
      <c r="BA852" s="309">
        <f t="shared" si="120"/>
        <v>0</v>
      </c>
      <c r="BB852" s="309">
        <f t="shared" si="120"/>
        <v>0</v>
      </c>
      <c r="BC852" s="309">
        <f t="shared" si="120"/>
        <v>0</v>
      </c>
      <c r="BD852" s="309">
        <f t="shared" si="120"/>
        <v>0</v>
      </c>
      <c r="BE852" s="309">
        <f t="shared" si="120"/>
        <v>0</v>
      </c>
      <c r="BF852" s="309">
        <f t="shared" si="120"/>
        <v>0</v>
      </c>
      <c r="BG852" s="309">
        <f t="shared" si="120"/>
        <v>0</v>
      </c>
      <c r="BH852" s="309">
        <f t="shared" si="120"/>
        <v>0</v>
      </c>
      <c r="BI852" s="309">
        <f t="shared" si="120"/>
        <v>0</v>
      </c>
      <c r="BJ852" s="309">
        <f t="shared" si="120"/>
        <v>0</v>
      </c>
      <c r="BK852" s="309">
        <f t="shared" si="120"/>
        <v>0</v>
      </c>
    </row>
    <row r="853" spans="1:63">
      <c r="A853" s="167"/>
      <c r="B853" s="210" t="s">
        <v>28</v>
      </c>
      <c r="C853" s="254"/>
      <c r="D853" s="254"/>
      <c r="E853" s="254"/>
      <c r="F853" s="254"/>
      <c r="G853" s="254"/>
      <c r="H853" s="254"/>
      <c r="I853" s="254"/>
      <c r="J853" s="254"/>
      <c r="K853" s="254"/>
      <c r="L853" s="254"/>
      <c r="M853" s="254"/>
      <c r="N853" s="254"/>
      <c r="O853" s="254"/>
      <c r="P853" s="254"/>
      <c r="Q853" s="254"/>
      <c r="R853" s="254"/>
      <c r="S853" s="254"/>
      <c r="T853" s="254"/>
      <c r="U853" s="254"/>
      <c r="V853" s="255"/>
      <c r="W853" s="259"/>
      <c r="X853" s="259"/>
      <c r="Y853" s="259"/>
      <c r="Z853" s="259">
        <v>62513796.732235998</v>
      </c>
      <c r="AA853" s="259">
        <v>46009229.494945601</v>
      </c>
      <c r="AB853" s="259">
        <v>30642966.743000001</v>
      </c>
      <c r="AC853" s="259">
        <v>45462220.505946741</v>
      </c>
      <c r="AD853" s="259">
        <v>37278597.313000001</v>
      </c>
      <c r="AE853" s="259">
        <v>26486448.834806398</v>
      </c>
      <c r="AF853" s="259">
        <v>22518093.814999998</v>
      </c>
      <c r="AG853" s="259">
        <v>35014153.807875</v>
      </c>
      <c r="AH853" s="259">
        <v>27972627</v>
      </c>
      <c r="AI853" s="259">
        <v>44394016.632633597</v>
      </c>
      <c r="AJ853" s="259">
        <v>28369603.199999999</v>
      </c>
      <c r="AK853" s="259">
        <v>35792839.776460797</v>
      </c>
      <c r="AL853" s="259">
        <v>16863426</v>
      </c>
      <c r="AM853" s="259">
        <v>40299960.836361602</v>
      </c>
      <c r="AN853" s="259">
        <v>0</v>
      </c>
      <c r="AO853" s="259">
        <v>0</v>
      </c>
      <c r="AP853" s="259">
        <v>0</v>
      </c>
      <c r="AQ853" s="259">
        <v>0</v>
      </c>
      <c r="AR853" s="259">
        <v>50337060.899999999</v>
      </c>
      <c r="AS853" s="259">
        <v>0</v>
      </c>
      <c r="AT853" s="259">
        <v>0</v>
      </c>
      <c r="AU853" s="259">
        <v>0</v>
      </c>
      <c r="AV853" s="259">
        <v>3115219.1</v>
      </c>
      <c r="AW853" s="259">
        <v>0</v>
      </c>
      <c r="AX853" s="259">
        <v>0</v>
      </c>
      <c r="AY853" s="259">
        <v>30589336.1023008</v>
      </c>
      <c r="AZ853" s="259">
        <v>34762520.700000003</v>
      </c>
      <c r="BA853" s="259">
        <v>0</v>
      </c>
      <c r="BB853" s="259">
        <v>0</v>
      </c>
      <c r="BC853" s="259">
        <v>0</v>
      </c>
      <c r="BD853" s="259">
        <v>0</v>
      </c>
      <c r="BE853" s="259">
        <v>0</v>
      </c>
      <c r="BF853" s="259">
        <v>0</v>
      </c>
      <c r="BG853" s="259">
        <v>0</v>
      </c>
      <c r="BH853" s="259">
        <v>0</v>
      </c>
      <c r="BI853" s="259">
        <v>0</v>
      </c>
      <c r="BJ853" s="259">
        <v>0</v>
      </c>
      <c r="BK853" s="259">
        <v>0</v>
      </c>
    </row>
    <row r="854" spans="1:63">
      <c r="A854" s="168">
        <v>45504</v>
      </c>
      <c r="B854" s="213" t="s">
        <v>385</v>
      </c>
      <c r="C854" s="256"/>
      <c r="D854" s="256"/>
      <c r="E854" s="256"/>
      <c r="F854" s="256"/>
      <c r="G854" s="256"/>
      <c r="H854" s="256"/>
      <c r="I854" s="256"/>
      <c r="J854" s="256"/>
      <c r="K854" s="256"/>
      <c r="L854" s="256"/>
      <c r="M854" s="256"/>
      <c r="N854" s="256"/>
      <c r="O854" s="256"/>
      <c r="P854" s="256"/>
      <c r="Q854" s="256"/>
      <c r="R854" s="256"/>
      <c r="S854" s="256"/>
      <c r="T854" s="256"/>
      <c r="U854" s="256"/>
      <c r="V854" s="259"/>
      <c r="W854" s="259"/>
      <c r="X854" s="259"/>
      <c r="Y854" s="259"/>
      <c r="Z854" s="259">
        <v>11399554.7574728</v>
      </c>
      <c r="AA854" s="259">
        <v>33797551.657173097</v>
      </c>
      <c r="AB854" s="259">
        <v>32728362.11077847</v>
      </c>
      <c r="AC854" s="259">
        <v>30629556.646392118</v>
      </c>
      <c r="AD854" s="259">
        <v>28751916.30982814</v>
      </c>
      <c r="AE854" s="259">
        <v>26699098.872681107</v>
      </c>
      <c r="AF854" s="259">
        <v>26177538.917403229</v>
      </c>
      <c r="AG854" s="259">
        <v>24606153.363020323</v>
      </c>
      <c r="AH854" s="259">
        <v>22437437.151660934</v>
      </c>
      <c r="AI854" s="259">
        <v>20663702.336840764</v>
      </c>
      <c r="AJ854" s="259">
        <v>16497865.534015644</v>
      </c>
      <c r="AK854" s="259">
        <v>14616641.124911115</v>
      </c>
      <c r="AL854" s="259">
        <v>12375559.625033986</v>
      </c>
      <c r="AM854" s="259">
        <v>11435202.032620005</v>
      </c>
      <c r="AN854" s="259">
        <v>9268299.0389991179</v>
      </c>
      <c r="AO854" s="259">
        <v>9320306.677754093</v>
      </c>
      <c r="AP854" s="259">
        <v>9373874.5456717163</v>
      </c>
      <c r="AQ854" s="259">
        <v>9429049.4496268667</v>
      </c>
      <c r="AR854" s="259">
        <v>9485879.600700669</v>
      </c>
      <c r="AS854" s="259">
        <v>4888236.5230566943</v>
      </c>
      <c r="AT854" s="259">
        <v>4948527.6303308951</v>
      </c>
      <c r="AU854" s="259">
        <v>5010627.4708233224</v>
      </c>
      <c r="AV854" s="259">
        <v>5074590.3065305222</v>
      </c>
      <c r="AW854" s="259">
        <v>4782221.8308089375</v>
      </c>
      <c r="AX854" s="259">
        <v>4850080.0032107048</v>
      </c>
      <c r="AY854" s="259">
        <v>4919973.9207845256</v>
      </c>
      <c r="AZ854" s="259">
        <v>2520282.7507499978</v>
      </c>
      <c r="BA854" s="259">
        <v>0</v>
      </c>
      <c r="BB854" s="259">
        <v>0</v>
      </c>
      <c r="BC854" s="259">
        <v>0</v>
      </c>
      <c r="BD854" s="259">
        <v>0</v>
      </c>
      <c r="BE854" s="259">
        <v>0</v>
      </c>
      <c r="BF854" s="259">
        <v>0</v>
      </c>
      <c r="BG854" s="259">
        <v>0</v>
      </c>
      <c r="BH854" s="259">
        <v>0</v>
      </c>
      <c r="BI854" s="259">
        <v>0</v>
      </c>
      <c r="BJ854" s="259">
        <v>0</v>
      </c>
      <c r="BK854" s="259">
        <v>0</v>
      </c>
    </row>
    <row r="855" spans="1:63">
      <c r="A855" s="169"/>
      <c r="B855" s="307" t="s">
        <v>29</v>
      </c>
      <c r="C855" s="308"/>
      <c r="D855" s="308"/>
      <c r="E855" s="308"/>
      <c r="F855" s="308"/>
      <c r="G855" s="308"/>
      <c r="H855" s="308"/>
      <c r="I855" s="308"/>
      <c r="J855" s="308"/>
      <c r="K855" s="308"/>
      <c r="L855" s="308"/>
      <c r="M855" s="308"/>
      <c r="N855" s="308"/>
      <c r="O855" s="308"/>
      <c r="P855" s="308"/>
      <c r="Q855" s="308"/>
      <c r="R855" s="308"/>
      <c r="S855" s="308"/>
      <c r="T855" s="308"/>
      <c r="U855" s="308"/>
      <c r="V855" s="309"/>
      <c r="W855" s="309"/>
      <c r="X855" s="309"/>
      <c r="Y855" s="309"/>
      <c r="Z855" s="309">
        <f t="shared" ref="Z855:BK855" si="121">Z853+Z854</f>
        <v>73913351.489708796</v>
      </c>
      <c r="AA855" s="309">
        <f t="shared" si="121"/>
        <v>79806781.152118698</v>
      </c>
      <c r="AB855" s="309">
        <f t="shared" si="121"/>
        <v>63371328.853778467</v>
      </c>
      <c r="AC855" s="309">
        <f t="shared" si="121"/>
        <v>76091777.152338862</v>
      </c>
      <c r="AD855" s="309">
        <f t="shared" si="121"/>
        <v>66030513.622828141</v>
      </c>
      <c r="AE855" s="309">
        <f t="shared" si="121"/>
        <v>53185547.707487509</v>
      </c>
      <c r="AF855" s="309">
        <f t="shared" si="121"/>
        <v>48695632.732403226</v>
      </c>
      <c r="AG855" s="309">
        <f t="shared" si="121"/>
        <v>59620307.170895323</v>
      </c>
      <c r="AH855" s="309">
        <f t="shared" si="121"/>
        <v>50410064.151660934</v>
      </c>
      <c r="AI855" s="309">
        <f t="shared" si="121"/>
        <v>65057718.96947436</v>
      </c>
      <c r="AJ855" s="309">
        <f t="shared" si="121"/>
        <v>44867468.734015644</v>
      </c>
      <c r="AK855" s="309">
        <f t="shared" si="121"/>
        <v>50409480.901371911</v>
      </c>
      <c r="AL855" s="309">
        <f t="shared" si="121"/>
        <v>29238985.625033986</v>
      </c>
      <c r="AM855" s="309">
        <f t="shared" si="121"/>
        <v>51735162.868981607</v>
      </c>
      <c r="AN855" s="309">
        <f t="shared" si="121"/>
        <v>9268299.0389991179</v>
      </c>
      <c r="AO855" s="309">
        <f t="shared" si="121"/>
        <v>9320306.677754093</v>
      </c>
      <c r="AP855" s="309">
        <f t="shared" si="121"/>
        <v>9373874.5456717163</v>
      </c>
      <c r="AQ855" s="309">
        <f t="shared" si="121"/>
        <v>9429049.4496268667</v>
      </c>
      <c r="AR855" s="309">
        <f t="shared" si="121"/>
        <v>59822940.500700668</v>
      </c>
      <c r="AS855" s="309">
        <f t="shared" si="121"/>
        <v>4888236.5230566943</v>
      </c>
      <c r="AT855" s="309">
        <f t="shared" si="121"/>
        <v>4948527.6303308951</v>
      </c>
      <c r="AU855" s="309">
        <f t="shared" si="121"/>
        <v>5010627.4708233224</v>
      </c>
      <c r="AV855" s="309">
        <f t="shared" si="121"/>
        <v>8189809.4065305218</v>
      </c>
      <c r="AW855" s="309">
        <f t="shared" si="121"/>
        <v>4782221.8308089375</v>
      </c>
      <c r="AX855" s="309">
        <f t="shared" si="121"/>
        <v>4850080.0032107048</v>
      </c>
      <c r="AY855" s="309">
        <f t="shared" si="121"/>
        <v>35509310.023085326</v>
      </c>
      <c r="AZ855" s="309">
        <f t="shared" si="121"/>
        <v>37282803.450750001</v>
      </c>
      <c r="BA855" s="309">
        <f t="shared" si="121"/>
        <v>0</v>
      </c>
      <c r="BB855" s="309">
        <f t="shared" si="121"/>
        <v>0</v>
      </c>
      <c r="BC855" s="309">
        <f t="shared" si="121"/>
        <v>0</v>
      </c>
      <c r="BD855" s="309">
        <f t="shared" si="121"/>
        <v>0</v>
      </c>
      <c r="BE855" s="309">
        <f t="shared" si="121"/>
        <v>0</v>
      </c>
      <c r="BF855" s="309">
        <f t="shared" si="121"/>
        <v>0</v>
      </c>
      <c r="BG855" s="309">
        <f t="shared" si="121"/>
        <v>0</v>
      </c>
      <c r="BH855" s="309">
        <f t="shared" si="121"/>
        <v>0</v>
      </c>
      <c r="BI855" s="309">
        <f t="shared" si="121"/>
        <v>0</v>
      </c>
      <c r="BJ855" s="309">
        <f t="shared" si="121"/>
        <v>0</v>
      </c>
      <c r="BK855" s="309">
        <f t="shared" si="121"/>
        <v>0</v>
      </c>
    </row>
    <row r="856" spans="1:63">
      <c r="A856" s="167"/>
      <c r="B856" s="210" t="s">
        <v>28</v>
      </c>
      <c r="C856" s="254"/>
      <c r="D856" s="254"/>
      <c r="E856" s="254"/>
      <c r="F856" s="254"/>
      <c r="G856" s="254"/>
      <c r="H856" s="254"/>
      <c r="I856" s="254"/>
      <c r="J856" s="254"/>
      <c r="K856" s="254"/>
      <c r="L856" s="254"/>
      <c r="M856" s="254"/>
      <c r="N856" s="254"/>
      <c r="O856" s="254"/>
      <c r="P856" s="254"/>
      <c r="Q856" s="254"/>
      <c r="R856" s="254"/>
      <c r="S856" s="254"/>
      <c r="T856" s="254"/>
      <c r="U856" s="254"/>
      <c r="V856" s="255"/>
      <c r="W856" s="259"/>
      <c r="X856" s="259"/>
      <c r="Y856" s="259"/>
      <c r="Z856" s="259">
        <v>62513796.732235998</v>
      </c>
      <c r="AA856" s="259">
        <v>43354815.415527798</v>
      </c>
      <c r="AB856" s="259">
        <v>30642966.743000001</v>
      </c>
      <c r="AC856" s="259">
        <v>45526535.995223746</v>
      </c>
      <c r="AD856" s="259">
        <v>37709597.313000001</v>
      </c>
      <c r="AE856" s="259">
        <v>26932545.763363801</v>
      </c>
      <c r="AF856" s="259">
        <v>22953093.814999998</v>
      </c>
      <c r="AG856" s="259">
        <v>35014153.807874799</v>
      </c>
      <c r="AH856" s="259">
        <v>27972627</v>
      </c>
      <c r="AI856" s="259">
        <v>44436735.433919594</v>
      </c>
      <c r="AJ856" s="259">
        <v>28369603.199999999</v>
      </c>
      <c r="AK856" s="259">
        <v>36143499.136794299</v>
      </c>
      <c r="AL856" s="259">
        <v>17508584.800000001</v>
      </c>
      <c r="AM856" s="259">
        <v>41085523.090779103</v>
      </c>
      <c r="AN856" s="259">
        <v>0</v>
      </c>
      <c r="AO856" s="259">
        <v>0</v>
      </c>
      <c r="AP856" s="259">
        <v>0</v>
      </c>
      <c r="AQ856" s="259">
        <v>0</v>
      </c>
      <c r="AR856" s="259">
        <v>50337060.899999999</v>
      </c>
      <c r="AS856" s="259">
        <v>0</v>
      </c>
      <c r="AT856" s="259">
        <v>0</v>
      </c>
      <c r="AU856" s="259">
        <v>0</v>
      </c>
      <c r="AV856" s="259">
        <v>9210203.5999999996</v>
      </c>
      <c r="AW856" s="259">
        <v>0</v>
      </c>
      <c r="AX856" s="259">
        <v>0</v>
      </c>
      <c r="AY856" s="259">
        <v>32011800.892145101</v>
      </c>
      <c r="AZ856" s="259">
        <v>35888287.5</v>
      </c>
      <c r="BA856" s="259">
        <v>0</v>
      </c>
      <c r="BB856" s="259">
        <v>0</v>
      </c>
      <c r="BC856" s="259">
        <v>0</v>
      </c>
      <c r="BD856" s="259">
        <v>0</v>
      </c>
      <c r="BE856" s="259">
        <v>0</v>
      </c>
      <c r="BF856" s="259">
        <v>0</v>
      </c>
      <c r="BG856" s="259">
        <v>0</v>
      </c>
      <c r="BH856" s="259">
        <v>0</v>
      </c>
      <c r="BI856" s="259">
        <v>0</v>
      </c>
      <c r="BJ856" s="259">
        <v>0</v>
      </c>
      <c r="BK856" s="259">
        <v>0</v>
      </c>
    </row>
    <row r="857" spans="1:63">
      <c r="A857" s="168">
        <v>45535</v>
      </c>
      <c r="B857" s="213" t="s">
        <v>385</v>
      </c>
      <c r="C857" s="256"/>
      <c r="D857" s="256"/>
      <c r="E857" s="256"/>
      <c r="F857" s="256"/>
      <c r="G857" s="256"/>
      <c r="H857" s="256"/>
      <c r="I857" s="256"/>
      <c r="J857" s="256"/>
      <c r="K857" s="256"/>
      <c r="L857" s="256"/>
      <c r="M857" s="256"/>
      <c r="N857" s="256"/>
      <c r="O857" s="256"/>
      <c r="P857" s="256"/>
      <c r="Q857" s="256"/>
      <c r="R857" s="256"/>
      <c r="S857" s="256"/>
      <c r="T857" s="256"/>
      <c r="U857" s="256"/>
      <c r="V857" s="259"/>
      <c r="W857" s="259"/>
      <c r="X857" s="259"/>
      <c r="Y857" s="259"/>
      <c r="Z857" s="259">
        <v>9101328.7754654605</v>
      </c>
      <c r="AA857" s="259">
        <v>34585284.45341818</v>
      </c>
      <c r="AB857" s="259">
        <v>33713043.64886041</v>
      </c>
      <c r="AC857" s="259">
        <v>31617305.543551516</v>
      </c>
      <c r="AD857" s="259">
        <v>29742824.586837329</v>
      </c>
      <c r="AE857" s="259">
        <v>27667401.310935568</v>
      </c>
      <c r="AF857" s="259">
        <v>27139079.520448573</v>
      </c>
      <c r="AG857" s="259">
        <v>25537130.397092029</v>
      </c>
      <c r="AH857" s="259">
        <v>23371657.584689796</v>
      </c>
      <c r="AI857" s="259">
        <v>21601263.47079549</v>
      </c>
      <c r="AJ857" s="259">
        <v>17438867.589924011</v>
      </c>
      <c r="AK857" s="259">
        <v>15561187.33043173</v>
      </c>
      <c r="AL857" s="259">
        <v>13306324.202671986</v>
      </c>
      <c r="AM857" s="259">
        <v>12328881.210522145</v>
      </c>
      <c r="AN857" s="259">
        <v>10126785.759763885</v>
      </c>
      <c r="AO857" s="259">
        <v>10181071.760826804</v>
      </c>
      <c r="AP857" s="259">
        <v>10236986.341921607</v>
      </c>
      <c r="AQ857" s="259">
        <v>10294578.360449256</v>
      </c>
      <c r="AR857" s="259">
        <v>10353898.139532737</v>
      </c>
      <c r="AS857" s="259">
        <v>5758819.3787387153</v>
      </c>
      <c r="AT857" s="259">
        <v>5821751.732368377</v>
      </c>
      <c r="AU857" s="259">
        <v>5886572.0566069279</v>
      </c>
      <c r="AV857" s="259">
        <v>5953336.9905726369</v>
      </c>
      <c r="AW857" s="259">
        <v>4962931.4585573152</v>
      </c>
      <c r="AX857" s="259">
        <v>5033762.3770015351</v>
      </c>
      <c r="AY857" s="259">
        <v>5106718.2229990773</v>
      </c>
      <c r="AZ857" s="259">
        <v>2601900.84375</v>
      </c>
      <c r="BA857" s="259">
        <v>0</v>
      </c>
      <c r="BB857" s="259">
        <v>0</v>
      </c>
      <c r="BC857" s="259">
        <v>0</v>
      </c>
      <c r="BD857" s="259">
        <v>0</v>
      </c>
      <c r="BE857" s="259">
        <v>0</v>
      </c>
      <c r="BF857" s="259">
        <v>0</v>
      </c>
      <c r="BG857" s="259">
        <v>0</v>
      </c>
      <c r="BH857" s="259">
        <v>0</v>
      </c>
      <c r="BI857" s="259">
        <v>0</v>
      </c>
      <c r="BJ857" s="259">
        <v>0</v>
      </c>
      <c r="BK857" s="259">
        <v>0</v>
      </c>
    </row>
    <row r="858" spans="1:63">
      <c r="A858" s="169"/>
      <c r="B858" s="307" t="s">
        <v>29</v>
      </c>
      <c r="C858" s="308"/>
      <c r="D858" s="308"/>
      <c r="E858" s="308"/>
      <c r="F858" s="308"/>
      <c r="G858" s="308"/>
      <c r="H858" s="308"/>
      <c r="I858" s="308"/>
      <c r="J858" s="308"/>
      <c r="K858" s="308"/>
      <c r="L858" s="308"/>
      <c r="M858" s="308"/>
      <c r="N858" s="308"/>
      <c r="O858" s="308"/>
      <c r="P858" s="308"/>
      <c r="Q858" s="308"/>
      <c r="R858" s="308"/>
      <c r="S858" s="308"/>
      <c r="T858" s="308"/>
      <c r="U858" s="308"/>
      <c r="V858" s="309"/>
      <c r="W858" s="309"/>
      <c r="X858" s="309"/>
      <c r="Y858" s="309"/>
      <c r="Z858" s="309">
        <f t="shared" ref="Z858:BK858" si="122">Z856+Z857</f>
        <v>71615125.507701457</v>
      </c>
      <c r="AA858" s="309">
        <f t="shared" si="122"/>
        <v>77940099.868945986</v>
      </c>
      <c r="AB858" s="309">
        <f t="shared" si="122"/>
        <v>64356010.391860411</v>
      </c>
      <c r="AC858" s="309">
        <f t="shared" si="122"/>
        <v>77143841.538775265</v>
      </c>
      <c r="AD858" s="309">
        <f t="shared" si="122"/>
        <v>67452421.89983733</v>
      </c>
      <c r="AE858" s="309">
        <f t="shared" si="122"/>
        <v>54599947.074299365</v>
      </c>
      <c r="AF858" s="309">
        <f t="shared" si="122"/>
        <v>50092173.335448571</v>
      </c>
      <c r="AG858" s="309">
        <f t="shared" si="122"/>
        <v>60551284.204966828</v>
      </c>
      <c r="AH858" s="309">
        <f t="shared" si="122"/>
        <v>51344284.584689796</v>
      </c>
      <c r="AI858" s="309">
        <f t="shared" si="122"/>
        <v>66037998.904715084</v>
      </c>
      <c r="AJ858" s="309">
        <f t="shared" si="122"/>
        <v>45808470.789924011</v>
      </c>
      <c r="AK858" s="309">
        <f t="shared" si="122"/>
        <v>51704686.467226028</v>
      </c>
      <c r="AL858" s="309">
        <f t="shared" si="122"/>
        <v>30814909.002671987</v>
      </c>
      <c r="AM858" s="309">
        <f t="shared" si="122"/>
        <v>53414404.301301248</v>
      </c>
      <c r="AN858" s="309">
        <f t="shared" si="122"/>
        <v>10126785.759763885</v>
      </c>
      <c r="AO858" s="309">
        <f t="shared" si="122"/>
        <v>10181071.760826804</v>
      </c>
      <c r="AP858" s="309">
        <f t="shared" si="122"/>
        <v>10236986.341921607</v>
      </c>
      <c r="AQ858" s="309">
        <f t="shared" si="122"/>
        <v>10294578.360449256</v>
      </c>
      <c r="AR858" s="309">
        <f t="shared" si="122"/>
        <v>60690959.039532736</v>
      </c>
      <c r="AS858" s="309">
        <f t="shared" si="122"/>
        <v>5758819.3787387153</v>
      </c>
      <c r="AT858" s="309">
        <f t="shared" si="122"/>
        <v>5821751.732368377</v>
      </c>
      <c r="AU858" s="309">
        <f t="shared" si="122"/>
        <v>5886572.0566069279</v>
      </c>
      <c r="AV858" s="309">
        <f t="shared" si="122"/>
        <v>15163540.590572637</v>
      </c>
      <c r="AW858" s="309">
        <f t="shared" si="122"/>
        <v>4962931.4585573152</v>
      </c>
      <c r="AX858" s="309">
        <f t="shared" si="122"/>
        <v>5033762.3770015351</v>
      </c>
      <c r="AY858" s="309">
        <f t="shared" si="122"/>
        <v>37118519.115144178</v>
      </c>
      <c r="AZ858" s="309">
        <f t="shared" si="122"/>
        <v>38490188.34375</v>
      </c>
      <c r="BA858" s="309">
        <f t="shared" si="122"/>
        <v>0</v>
      </c>
      <c r="BB858" s="309">
        <f t="shared" si="122"/>
        <v>0</v>
      </c>
      <c r="BC858" s="309">
        <f t="shared" si="122"/>
        <v>0</v>
      </c>
      <c r="BD858" s="309">
        <f t="shared" si="122"/>
        <v>0</v>
      </c>
      <c r="BE858" s="309">
        <f t="shared" si="122"/>
        <v>0</v>
      </c>
      <c r="BF858" s="309">
        <f t="shared" si="122"/>
        <v>0</v>
      </c>
      <c r="BG858" s="309">
        <f t="shared" si="122"/>
        <v>0</v>
      </c>
      <c r="BH858" s="309">
        <f t="shared" si="122"/>
        <v>0</v>
      </c>
      <c r="BI858" s="309">
        <f t="shared" si="122"/>
        <v>0</v>
      </c>
      <c r="BJ858" s="309">
        <f t="shared" si="122"/>
        <v>0</v>
      </c>
      <c r="BK858" s="309">
        <f t="shared" si="122"/>
        <v>0</v>
      </c>
    </row>
    <row r="859" spans="1:63">
      <c r="A859" s="167"/>
      <c r="B859" s="210" t="s">
        <v>28</v>
      </c>
      <c r="C859" s="254"/>
      <c r="D859" s="254"/>
      <c r="E859" s="254"/>
      <c r="F859" s="254"/>
      <c r="G859" s="254"/>
      <c r="H859" s="254"/>
      <c r="I859" s="254"/>
      <c r="J859" s="254"/>
      <c r="K859" s="254"/>
      <c r="L859" s="254"/>
      <c r="M859" s="254"/>
      <c r="N859" s="254"/>
      <c r="O859" s="254"/>
      <c r="P859" s="254"/>
      <c r="Q859" s="254"/>
      <c r="R859" s="254"/>
      <c r="S859" s="254"/>
      <c r="T859" s="254"/>
      <c r="U859" s="254"/>
      <c r="V859" s="255"/>
      <c r="W859" s="259"/>
      <c r="X859" s="259"/>
      <c r="Y859" s="259"/>
      <c r="Z859" s="259">
        <v>59883799.729769997</v>
      </c>
      <c r="AA859" s="259">
        <v>41181960.969138995</v>
      </c>
      <c r="AB859" s="259">
        <v>30642966.743000001</v>
      </c>
      <c r="AC859" s="259">
        <v>45550705.044065341</v>
      </c>
      <c r="AD859" s="259">
        <v>37739597.313000001</v>
      </c>
      <c r="AE859" s="259">
        <v>27301590.127510402</v>
      </c>
      <c r="AF859" s="259">
        <v>23096093.814999998</v>
      </c>
      <c r="AG859" s="259">
        <v>35462153.807874799</v>
      </c>
      <c r="AH859" s="259">
        <v>27972627</v>
      </c>
      <c r="AI859" s="259">
        <v>44452788.686508402</v>
      </c>
      <c r="AJ859" s="259">
        <v>28369603.199999999</v>
      </c>
      <c r="AK859" s="259">
        <v>36178460.858504705</v>
      </c>
      <c r="AL859" s="259">
        <v>19611885.100000001</v>
      </c>
      <c r="AM859" s="259">
        <v>41407143.067943297</v>
      </c>
      <c r="AN859" s="259">
        <v>0</v>
      </c>
      <c r="AO859" s="259">
        <v>0</v>
      </c>
      <c r="AP859" s="259">
        <v>0</v>
      </c>
      <c r="AQ859" s="259">
        <v>0</v>
      </c>
      <c r="AR859" s="259">
        <v>50337060.899999999</v>
      </c>
      <c r="AS859" s="259">
        <v>0</v>
      </c>
      <c r="AT859" s="259">
        <v>0</v>
      </c>
      <c r="AU859" s="259">
        <v>0</v>
      </c>
      <c r="AV859" s="259">
        <v>17657346.800000001</v>
      </c>
      <c r="AW859" s="259">
        <v>0</v>
      </c>
      <c r="AX859" s="259">
        <v>0</v>
      </c>
      <c r="AY859" s="259">
        <v>32853556.084885303</v>
      </c>
      <c r="AZ859" s="259">
        <v>37201545.5</v>
      </c>
      <c r="BA859" s="259">
        <v>0</v>
      </c>
      <c r="BB859" s="259">
        <v>0</v>
      </c>
      <c r="BC859" s="259">
        <v>0</v>
      </c>
      <c r="BD859" s="259">
        <v>0</v>
      </c>
      <c r="BE859" s="259">
        <v>0</v>
      </c>
      <c r="BF859" s="259">
        <v>0</v>
      </c>
      <c r="BG859" s="259">
        <v>0</v>
      </c>
      <c r="BH859" s="259">
        <v>0</v>
      </c>
      <c r="BI859" s="259">
        <v>0</v>
      </c>
      <c r="BJ859" s="259">
        <v>0</v>
      </c>
      <c r="BK859" s="259">
        <v>0</v>
      </c>
    </row>
    <row r="860" spans="1:63">
      <c r="A860" s="168">
        <v>45565</v>
      </c>
      <c r="B860" s="213" t="s">
        <v>385</v>
      </c>
      <c r="C860" s="256"/>
      <c r="D860" s="256"/>
      <c r="E860" s="256"/>
      <c r="F860" s="256"/>
      <c r="G860" s="256"/>
      <c r="H860" s="256"/>
      <c r="I860" s="256"/>
      <c r="J860" s="256"/>
      <c r="K860" s="256"/>
      <c r="L860" s="256"/>
      <c r="M860" s="256"/>
      <c r="N860" s="256"/>
      <c r="O860" s="256"/>
      <c r="P860" s="256"/>
      <c r="Q860" s="256"/>
      <c r="R860" s="256"/>
      <c r="S860" s="256"/>
      <c r="T860" s="256"/>
      <c r="U860" s="256"/>
      <c r="V860" s="259"/>
      <c r="W860" s="259"/>
      <c r="X860" s="259"/>
      <c r="Y860" s="259"/>
      <c r="Z860" s="259">
        <v>7369016.2797154589</v>
      </c>
      <c r="AA860" s="259">
        <v>35692618.546092026</v>
      </c>
      <c r="AB860" s="259">
        <v>35006805.454585776</v>
      </c>
      <c r="AC860" s="259">
        <v>32912610.260196131</v>
      </c>
      <c r="AD860" s="259">
        <v>31039718.501728781</v>
      </c>
      <c r="AE860" s="259">
        <v>28964132.100021265</v>
      </c>
      <c r="AF860" s="259">
        <v>28428321.955220707</v>
      </c>
      <c r="AG860" s="259">
        <v>26816751.66165483</v>
      </c>
      <c r="AH860" s="259">
        <v>24621424.018936977</v>
      </c>
      <c r="AI860" s="259">
        <v>22852580.229817584</v>
      </c>
      <c r="AJ860" s="259">
        <v>18691781.183464278</v>
      </c>
      <c r="AK860" s="259">
        <v>16815745.663525708</v>
      </c>
      <c r="AL860" s="259">
        <v>14562576.617506281</v>
      </c>
      <c r="AM860" s="259">
        <v>13455422.260798968</v>
      </c>
      <c r="AN860" s="259">
        <v>11239205.731431199</v>
      </c>
      <c r="AO860" s="259">
        <v>11294865.351454137</v>
      </c>
      <c r="AP860" s="259">
        <v>11352194.76007776</v>
      </c>
      <c r="AQ860" s="259">
        <v>11411244.050960094</v>
      </c>
      <c r="AR860" s="259">
        <v>11472064.820568897</v>
      </c>
      <c r="AS860" s="259">
        <v>6878532.0800159629</v>
      </c>
      <c r="AT860" s="259">
        <v>6943056.8344939426</v>
      </c>
      <c r="AU860" s="259">
        <v>7009517.3316062605</v>
      </c>
      <c r="AV860" s="259">
        <v>7077971.6436319463</v>
      </c>
      <c r="AW860" s="259">
        <v>5117884.7030184064</v>
      </c>
      <c r="AX860" s="259">
        <v>5190507.8826464592</v>
      </c>
      <c r="AY860" s="259">
        <v>5265309.7576633506</v>
      </c>
      <c r="AZ860" s="259">
        <v>2697112.0487499982</v>
      </c>
      <c r="BA860" s="259">
        <v>0</v>
      </c>
      <c r="BB860" s="259">
        <v>0</v>
      </c>
      <c r="BC860" s="259">
        <v>0</v>
      </c>
      <c r="BD860" s="259">
        <v>0</v>
      </c>
      <c r="BE860" s="259">
        <v>0</v>
      </c>
      <c r="BF860" s="259">
        <v>0</v>
      </c>
      <c r="BG860" s="259">
        <v>0</v>
      </c>
      <c r="BH860" s="259">
        <v>0</v>
      </c>
      <c r="BI860" s="259">
        <v>0</v>
      </c>
      <c r="BJ860" s="259">
        <v>0</v>
      </c>
      <c r="BK860" s="259">
        <v>0</v>
      </c>
    </row>
    <row r="861" spans="1:63">
      <c r="A861" s="169"/>
      <c r="B861" s="307" t="s">
        <v>29</v>
      </c>
      <c r="C861" s="308"/>
      <c r="D861" s="308"/>
      <c r="E861" s="308"/>
      <c r="F861" s="308"/>
      <c r="G861" s="308"/>
      <c r="H861" s="308"/>
      <c r="I861" s="308"/>
      <c r="J861" s="308"/>
      <c r="K861" s="308"/>
      <c r="L861" s="308"/>
      <c r="M861" s="308"/>
      <c r="N861" s="308"/>
      <c r="O861" s="308"/>
      <c r="P861" s="308"/>
      <c r="Q861" s="308"/>
      <c r="R861" s="308"/>
      <c r="S861" s="308"/>
      <c r="T861" s="308"/>
      <c r="U861" s="308"/>
      <c r="V861" s="309"/>
      <c r="W861" s="309"/>
      <c r="X861" s="309"/>
      <c r="Y861" s="309"/>
      <c r="Z861" s="309">
        <f t="shared" ref="Z861:BK861" si="123">Z859+Z860</f>
        <v>67252816.009485453</v>
      </c>
      <c r="AA861" s="309">
        <f t="shared" si="123"/>
        <v>76874579.515231013</v>
      </c>
      <c r="AB861" s="309">
        <f t="shared" si="123"/>
        <v>65649772.197585776</v>
      </c>
      <c r="AC861" s="309">
        <f t="shared" si="123"/>
        <v>78463315.304261476</v>
      </c>
      <c r="AD861" s="309">
        <f t="shared" si="123"/>
        <v>68779315.814728782</v>
      </c>
      <c r="AE861" s="309">
        <f t="shared" si="123"/>
        <v>56265722.227531672</v>
      </c>
      <c r="AF861" s="309">
        <f t="shared" si="123"/>
        <v>51524415.770220704</v>
      </c>
      <c r="AG861" s="309">
        <f t="shared" si="123"/>
        <v>62278905.469529629</v>
      </c>
      <c r="AH861" s="309">
        <f t="shared" si="123"/>
        <v>52594051.018936977</v>
      </c>
      <c r="AI861" s="309">
        <f t="shared" si="123"/>
        <v>67305368.916325986</v>
      </c>
      <c r="AJ861" s="309">
        <f t="shared" si="123"/>
        <v>47061384.383464277</v>
      </c>
      <c r="AK861" s="309">
        <f t="shared" si="123"/>
        <v>52994206.522030413</v>
      </c>
      <c r="AL861" s="309">
        <f t="shared" si="123"/>
        <v>34174461.717506282</v>
      </c>
      <c r="AM861" s="309">
        <f t="shared" si="123"/>
        <v>54862565.328742266</v>
      </c>
      <c r="AN861" s="309">
        <f t="shared" si="123"/>
        <v>11239205.731431199</v>
      </c>
      <c r="AO861" s="309">
        <f t="shared" si="123"/>
        <v>11294865.351454137</v>
      </c>
      <c r="AP861" s="309">
        <f t="shared" si="123"/>
        <v>11352194.76007776</v>
      </c>
      <c r="AQ861" s="309">
        <f t="shared" si="123"/>
        <v>11411244.050960094</v>
      </c>
      <c r="AR861" s="309">
        <f t="shared" si="123"/>
        <v>61809125.720568895</v>
      </c>
      <c r="AS861" s="309">
        <f t="shared" si="123"/>
        <v>6878532.0800159629</v>
      </c>
      <c r="AT861" s="309">
        <f t="shared" si="123"/>
        <v>6943056.8344939426</v>
      </c>
      <c r="AU861" s="309">
        <f t="shared" si="123"/>
        <v>7009517.3316062605</v>
      </c>
      <c r="AV861" s="309">
        <f t="shared" si="123"/>
        <v>24735318.443631947</v>
      </c>
      <c r="AW861" s="309">
        <f t="shared" si="123"/>
        <v>5117884.7030184064</v>
      </c>
      <c r="AX861" s="309">
        <f t="shared" si="123"/>
        <v>5190507.8826464592</v>
      </c>
      <c r="AY861" s="309">
        <f t="shared" si="123"/>
        <v>38118865.842548653</v>
      </c>
      <c r="AZ861" s="309">
        <f t="shared" si="123"/>
        <v>39898657.548749998</v>
      </c>
      <c r="BA861" s="309">
        <f t="shared" si="123"/>
        <v>0</v>
      </c>
      <c r="BB861" s="309">
        <f t="shared" si="123"/>
        <v>0</v>
      </c>
      <c r="BC861" s="309">
        <f t="shared" si="123"/>
        <v>0</v>
      </c>
      <c r="BD861" s="309">
        <f t="shared" si="123"/>
        <v>0</v>
      </c>
      <c r="BE861" s="309">
        <f t="shared" si="123"/>
        <v>0</v>
      </c>
      <c r="BF861" s="309">
        <f t="shared" si="123"/>
        <v>0</v>
      </c>
      <c r="BG861" s="309">
        <f t="shared" si="123"/>
        <v>0</v>
      </c>
      <c r="BH861" s="309">
        <f t="shared" si="123"/>
        <v>0</v>
      </c>
      <c r="BI861" s="309">
        <f t="shared" si="123"/>
        <v>0</v>
      </c>
      <c r="BJ861" s="309">
        <f t="shared" si="123"/>
        <v>0</v>
      </c>
      <c r="BK861" s="309">
        <f t="shared" si="123"/>
        <v>0</v>
      </c>
    </row>
    <row r="862" spans="1:63">
      <c r="A862" s="167"/>
      <c r="B862" s="210" t="s">
        <v>28</v>
      </c>
      <c r="C862" s="254"/>
      <c r="D862" s="254"/>
      <c r="E862" s="254"/>
      <c r="F862" s="254"/>
      <c r="G862" s="254"/>
      <c r="H862" s="254"/>
      <c r="I862" s="254"/>
      <c r="J862" s="254"/>
      <c r="K862" s="254"/>
      <c r="L862" s="254"/>
      <c r="M862" s="254"/>
      <c r="N862" s="254"/>
      <c r="O862" s="254"/>
      <c r="P862" s="254"/>
      <c r="Q862" s="254"/>
      <c r="R862" s="254"/>
      <c r="S862" s="254"/>
      <c r="T862" s="254"/>
      <c r="U862" s="254"/>
      <c r="V862" s="255"/>
      <c r="W862" s="259"/>
      <c r="X862" s="259"/>
      <c r="Y862" s="259"/>
      <c r="Z862" s="259">
        <v>59873796.932236001</v>
      </c>
      <c r="AA862" s="259">
        <v>41688018.840350203</v>
      </c>
      <c r="AB862" s="259">
        <v>30642966.743000001</v>
      </c>
      <c r="AC862" s="259">
        <v>45581668.310656741</v>
      </c>
      <c r="AD862" s="259">
        <v>37739597.313000001</v>
      </c>
      <c r="AE862" s="259">
        <v>27448658.144721601</v>
      </c>
      <c r="AF862" s="259">
        <v>23146093.814999998</v>
      </c>
      <c r="AG862" s="259">
        <v>35467153.807874799</v>
      </c>
      <c r="AH862" s="259">
        <v>27972627</v>
      </c>
      <c r="AI862" s="259">
        <v>44473354.706413597</v>
      </c>
      <c r="AJ862" s="259">
        <v>28369603.199999999</v>
      </c>
      <c r="AK862" s="259">
        <v>36223250.751433805</v>
      </c>
      <c r="AL862" s="259">
        <v>19869385.100000001</v>
      </c>
      <c r="AM862" s="259">
        <v>41594656.609357804</v>
      </c>
      <c r="AN862" s="259">
        <v>0</v>
      </c>
      <c r="AO862" s="259">
        <v>0</v>
      </c>
      <c r="AP862" s="259">
        <v>0</v>
      </c>
      <c r="AQ862" s="259">
        <v>0</v>
      </c>
      <c r="AR862" s="259">
        <v>50337060.899999999</v>
      </c>
      <c r="AS862" s="259">
        <v>0</v>
      </c>
      <c r="AT862" s="259">
        <v>0</v>
      </c>
      <c r="AU862" s="259">
        <v>0</v>
      </c>
      <c r="AV862" s="259">
        <v>19132533.600000001</v>
      </c>
      <c r="AW862" s="259">
        <v>0</v>
      </c>
      <c r="AX862" s="259">
        <v>0</v>
      </c>
      <c r="AY862" s="259">
        <v>33238639.035616804</v>
      </c>
      <c r="AZ862" s="259">
        <v>37931020.799999997</v>
      </c>
      <c r="BA862" s="259">
        <v>0</v>
      </c>
      <c r="BB862" s="259">
        <v>0</v>
      </c>
      <c r="BC862" s="259">
        <v>0</v>
      </c>
      <c r="BD862" s="259">
        <v>0</v>
      </c>
      <c r="BE862" s="259">
        <v>0</v>
      </c>
      <c r="BF862" s="259">
        <v>0</v>
      </c>
      <c r="BG862" s="259">
        <v>0</v>
      </c>
      <c r="BH862" s="259">
        <v>0</v>
      </c>
      <c r="BI862" s="259">
        <v>0</v>
      </c>
      <c r="BJ862" s="259">
        <v>0</v>
      </c>
      <c r="BK862" s="259">
        <v>0</v>
      </c>
    </row>
    <row r="863" spans="1:63">
      <c r="A863" s="168">
        <v>45596</v>
      </c>
      <c r="B863" s="213" t="s">
        <v>385</v>
      </c>
      <c r="C863" s="256"/>
      <c r="D863" s="256"/>
      <c r="E863" s="256"/>
      <c r="F863" s="256"/>
      <c r="G863" s="256"/>
      <c r="H863" s="256"/>
      <c r="I863" s="256"/>
      <c r="J863" s="256"/>
      <c r="K863" s="256"/>
      <c r="L863" s="256"/>
      <c r="M863" s="256"/>
      <c r="N863" s="256"/>
      <c r="O863" s="256"/>
      <c r="P863" s="256"/>
      <c r="Q863" s="256"/>
      <c r="R863" s="256"/>
      <c r="S863" s="256"/>
      <c r="T863" s="256"/>
      <c r="U863" s="256"/>
      <c r="V863" s="259"/>
      <c r="W863" s="259"/>
      <c r="X863" s="259"/>
      <c r="Y863" s="259"/>
      <c r="Z863" s="259">
        <v>3191521.0651280005</v>
      </c>
      <c r="AA863" s="259">
        <v>35886106.473719403</v>
      </c>
      <c r="AB863" s="259">
        <v>35271360.888425723</v>
      </c>
      <c r="AC863" s="259">
        <v>33177816.791313779</v>
      </c>
      <c r="AD863" s="259">
        <v>31305595.663042448</v>
      </c>
      <c r="AE863" s="259">
        <v>29230700.010436855</v>
      </c>
      <c r="AF863" s="259">
        <v>28692575.401748896</v>
      </c>
      <c r="AG863" s="259">
        <v>27077772.14584136</v>
      </c>
      <c r="AH863" s="259">
        <v>24882755.801911607</v>
      </c>
      <c r="AI863" s="259">
        <v>23114593.150543958</v>
      </c>
      <c r="AJ863" s="259">
        <v>18954495.676074926</v>
      </c>
      <c r="AK863" s="259">
        <v>17079182.775177181</v>
      </c>
      <c r="AL863" s="259">
        <v>14826758.026769795</v>
      </c>
      <c r="AM863" s="259">
        <v>13704276.54660289</v>
      </c>
      <c r="AN863" s="259">
        <v>11481164.763238994</v>
      </c>
      <c r="AO863" s="259">
        <v>11537407.150978664</v>
      </c>
      <c r="AP863" s="259">
        <v>11595336.810350524</v>
      </c>
      <c r="AQ863" s="259">
        <v>11655004.359503539</v>
      </c>
      <c r="AR863" s="259">
        <v>11716461.935131148</v>
      </c>
      <c r="AS863" s="259">
        <v>7123585.1047775811</v>
      </c>
      <c r="AT863" s="259">
        <v>7188785.4467609078</v>
      </c>
      <c r="AU863" s="259">
        <v>7255941.7990037352</v>
      </c>
      <c r="AV863" s="259">
        <v>7325112.8418138474</v>
      </c>
      <c r="AW863" s="259">
        <v>5196117.6519082626</v>
      </c>
      <c r="AX863" s="259">
        <v>5269501.2112255106</v>
      </c>
      <c r="AY863" s="259">
        <v>5345086.2773222737</v>
      </c>
      <c r="AZ863" s="259">
        <v>2749999.0080000013</v>
      </c>
      <c r="BA863" s="259">
        <v>0</v>
      </c>
      <c r="BB863" s="259">
        <v>0</v>
      </c>
      <c r="BC863" s="259">
        <v>0</v>
      </c>
      <c r="BD863" s="259">
        <v>0</v>
      </c>
      <c r="BE863" s="259">
        <v>0</v>
      </c>
      <c r="BF863" s="259">
        <v>0</v>
      </c>
      <c r="BG863" s="259">
        <v>0</v>
      </c>
      <c r="BH863" s="259">
        <v>0</v>
      </c>
      <c r="BI863" s="259">
        <v>0</v>
      </c>
      <c r="BJ863" s="259">
        <v>0</v>
      </c>
      <c r="BK863" s="259">
        <v>0</v>
      </c>
    </row>
    <row r="864" spans="1:63">
      <c r="A864" s="169"/>
      <c r="B864" s="307" t="s">
        <v>29</v>
      </c>
      <c r="C864" s="308"/>
      <c r="D864" s="308"/>
      <c r="E864" s="308"/>
      <c r="F864" s="308"/>
      <c r="G864" s="308"/>
      <c r="H864" s="308"/>
      <c r="I864" s="308"/>
      <c r="J864" s="308"/>
      <c r="K864" s="308"/>
      <c r="L864" s="308"/>
      <c r="M864" s="308"/>
      <c r="N864" s="308"/>
      <c r="O864" s="308"/>
      <c r="P864" s="308"/>
      <c r="Q864" s="308"/>
      <c r="R864" s="308"/>
      <c r="S864" s="308"/>
      <c r="T864" s="308"/>
      <c r="U864" s="308"/>
      <c r="V864" s="309"/>
      <c r="W864" s="309"/>
      <c r="X864" s="309"/>
      <c r="Y864" s="309"/>
      <c r="Z864" s="309">
        <f t="shared" ref="Z864:BK864" si="124">Z862+Z863</f>
        <v>63065317.997363999</v>
      </c>
      <c r="AA864" s="309">
        <f t="shared" si="124"/>
        <v>77574125.314069599</v>
      </c>
      <c r="AB864" s="309">
        <f t="shared" si="124"/>
        <v>65914327.631425723</v>
      </c>
      <c r="AC864" s="309">
        <f t="shared" si="124"/>
        <v>78759485.101970524</v>
      </c>
      <c r="AD864" s="309">
        <f t="shared" si="124"/>
        <v>69045192.976042449</v>
      </c>
      <c r="AE864" s="309">
        <f t="shared" si="124"/>
        <v>56679358.15515846</v>
      </c>
      <c r="AF864" s="309">
        <f t="shared" si="124"/>
        <v>51838669.216748893</v>
      </c>
      <c r="AG864" s="309">
        <f t="shared" si="124"/>
        <v>62544925.953716159</v>
      </c>
      <c r="AH864" s="309">
        <f t="shared" si="124"/>
        <v>52855382.801911607</v>
      </c>
      <c r="AI864" s="309">
        <f t="shared" si="124"/>
        <v>67587947.856957555</v>
      </c>
      <c r="AJ864" s="309">
        <f t="shared" si="124"/>
        <v>47324098.876074925</v>
      </c>
      <c r="AK864" s="309">
        <f t="shared" si="124"/>
        <v>53302433.526610985</v>
      </c>
      <c r="AL864" s="309">
        <f t="shared" si="124"/>
        <v>34696143.126769796</v>
      </c>
      <c r="AM864" s="309">
        <f t="shared" si="124"/>
        <v>55298933.155960694</v>
      </c>
      <c r="AN864" s="309">
        <f t="shared" si="124"/>
        <v>11481164.763238994</v>
      </c>
      <c r="AO864" s="309">
        <f t="shared" si="124"/>
        <v>11537407.150978664</v>
      </c>
      <c r="AP864" s="309">
        <f t="shared" si="124"/>
        <v>11595336.810350524</v>
      </c>
      <c r="AQ864" s="309">
        <f t="shared" si="124"/>
        <v>11655004.359503539</v>
      </c>
      <c r="AR864" s="309">
        <f t="shared" si="124"/>
        <v>62053522.835131146</v>
      </c>
      <c r="AS864" s="309">
        <f t="shared" si="124"/>
        <v>7123585.1047775811</v>
      </c>
      <c r="AT864" s="309">
        <f t="shared" si="124"/>
        <v>7188785.4467609078</v>
      </c>
      <c r="AU864" s="309">
        <f t="shared" si="124"/>
        <v>7255941.7990037352</v>
      </c>
      <c r="AV864" s="309">
        <f t="shared" si="124"/>
        <v>26457646.441813849</v>
      </c>
      <c r="AW864" s="309">
        <f t="shared" si="124"/>
        <v>5196117.6519082626</v>
      </c>
      <c r="AX864" s="309">
        <f t="shared" si="124"/>
        <v>5269501.2112255106</v>
      </c>
      <c r="AY864" s="309">
        <f t="shared" si="124"/>
        <v>38583725.312939078</v>
      </c>
      <c r="AZ864" s="309">
        <f t="shared" si="124"/>
        <v>40681019.807999998</v>
      </c>
      <c r="BA864" s="309">
        <f t="shared" si="124"/>
        <v>0</v>
      </c>
      <c r="BB864" s="309">
        <f t="shared" si="124"/>
        <v>0</v>
      </c>
      <c r="BC864" s="309">
        <f t="shared" si="124"/>
        <v>0</v>
      </c>
      <c r="BD864" s="309">
        <f t="shared" si="124"/>
        <v>0</v>
      </c>
      <c r="BE864" s="309">
        <f t="shared" si="124"/>
        <v>0</v>
      </c>
      <c r="BF864" s="309">
        <f t="shared" si="124"/>
        <v>0</v>
      </c>
      <c r="BG864" s="309">
        <f t="shared" si="124"/>
        <v>0</v>
      </c>
      <c r="BH864" s="309">
        <f t="shared" si="124"/>
        <v>0</v>
      </c>
      <c r="BI864" s="309">
        <f t="shared" si="124"/>
        <v>0</v>
      </c>
      <c r="BJ864" s="309">
        <f t="shared" si="124"/>
        <v>0</v>
      </c>
      <c r="BK864" s="309">
        <f t="shared" si="124"/>
        <v>0</v>
      </c>
    </row>
    <row r="865" spans="1:63">
      <c r="A865" s="167"/>
      <c r="B865" s="210" t="s">
        <v>28</v>
      </c>
      <c r="C865" s="254"/>
      <c r="D865" s="254"/>
      <c r="E865" s="254"/>
      <c r="F865" s="254"/>
      <c r="G865" s="254"/>
      <c r="H865" s="254"/>
      <c r="I865" s="254"/>
      <c r="J865" s="254"/>
      <c r="K865" s="254"/>
      <c r="L865" s="254"/>
      <c r="M865" s="254"/>
      <c r="N865" s="254"/>
      <c r="O865" s="254"/>
      <c r="P865" s="254"/>
      <c r="Q865" s="254"/>
      <c r="R865" s="254"/>
      <c r="S865" s="254"/>
      <c r="T865" s="254"/>
      <c r="U865" s="254"/>
      <c r="V865" s="255"/>
      <c r="W865" s="259"/>
      <c r="X865" s="259"/>
      <c r="Y865" s="259"/>
      <c r="Z865" s="259">
        <v>61607478.061876997</v>
      </c>
      <c r="AA865" s="259">
        <v>39411815.212656602</v>
      </c>
      <c r="AB865" s="259">
        <v>33472189.342999998</v>
      </c>
      <c r="AC865" s="259">
        <v>45576171.720931791</v>
      </c>
      <c r="AD865" s="259">
        <v>37739597.313000001</v>
      </c>
      <c r="AE865" s="259">
        <v>27462641.2227384</v>
      </c>
      <c r="AF865" s="259">
        <v>23256593.814999998</v>
      </c>
      <c r="AG865" s="259">
        <v>35740153.807874799</v>
      </c>
      <c r="AH865" s="259">
        <v>27972627</v>
      </c>
      <c r="AI865" s="259">
        <v>44481827.747496396</v>
      </c>
      <c r="AJ865" s="259">
        <v>28369603.199999999</v>
      </c>
      <c r="AK865" s="259">
        <v>36241703.8407837</v>
      </c>
      <c r="AL865" s="259">
        <v>19869385.100000001</v>
      </c>
      <c r="AM865" s="259">
        <v>41798520.922941297</v>
      </c>
      <c r="AN865" s="259">
        <v>0</v>
      </c>
      <c r="AO865" s="259">
        <v>0</v>
      </c>
      <c r="AP865" s="259">
        <v>0</v>
      </c>
      <c r="AQ865" s="259">
        <v>0</v>
      </c>
      <c r="AR865" s="259">
        <v>50337060.899999999</v>
      </c>
      <c r="AS865" s="259">
        <v>0</v>
      </c>
      <c r="AT865" s="259">
        <v>0</v>
      </c>
      <c r="AU865" s="259">
        <v>0</v>
      </c>
      <c r="AV865" s="259">
        <v>22642033.600000001</v>
      </c>
      <c r="AW865" s="259">
        <v>0</v>
      </c>
      <c r="AX865" s="259">
        <v>0</v>
      </c>
      <c r="AY865" s="259">
        <v>33537789.768905099</v>
      </c>
      <c r="AZ865" s="259">
        <v>40353415.700000003</v>
      </c>
      <c r="BA865" s="259">
        <v>0</v>
      </c>
      <c r="BB865" s="259">
        <v>0</v>
      </c>
      <c r="BC865" s="259">
        <v>0</v>
      </c>
      <c r="BD865" s="259">
        <v>0</v>
      </c>
      <c r="BE865" s="259">
        <v>0</v>
      </c>
      <c r="BF865" s="259">
        <v>0</v>
      </c>
      <c r="BG865" s="259">
        <v>0</v>
      </c>
      <c r="BH865" s="259">
        <v>0</v>
      </c>
      <c r="BI865" s="259">
        <v>0</v>
      </c>
      <c r="BJ865" s="259">
        <v>0</v>
      </c>
      <c r="BK865" s="259">
        <v>0</v>
      </c>
    </row>
    <row r="866" spans="1:63">
      <c r="A866" s="168">
        <v>45626</v>
      </c>
      <c r="B866" s="213" t="s">
        <v>385</v>
      </c>
      <c r="C866" s="256"/>
      <c r="D866" s="256"/>
      <c r="E866" s="256"/>
      <c r="F866" s="256"/>
      <c r="G866" s="256"/>
      <c r="H866" s="256"/>
      <c r="I866" s="256"/>
      <c r="J866" s="256"/>
      <c r="K866" s="256"/>
      <c r="L866" s="256"/>
      <c r="M866" s="256"/>
      <c r="N866" s="256"/>
      <c r="O866" s="256"/>
      <c r="P866" s="256"/>
      <c r="Q866" s="256"/>
      <c r="R866" s="256"/>
      <c r="S866" s="256"/>
      <c r="T866" s="256"/>
      <c r="U866" s="256"/>
      <c r="V866" s="259"/>
      <c r="W866" s="259"/>
      <c r="X866" s="259"/>
      <c r="Y866" s="259"/>
      <c r="Z866" s="259">
        <v>1107984.7196280002</v>
      </c>
      <c r="AA866" s="259">
        <v>36561283.746565923</v>
      </c>
      <c r="AB866" s="259">
        <v>36108824.108123235</v>
      </c>
      <c r="AC866" s="259">
        <v>33803639.765344739</v>
      </c>
      <c r="AD866" s="259">
        <v>31931986.629886828</v>
      </c>
      <c r="AE866" s="259">
        <v>29857676.009879056</v>
      </c>
      <c r="AF866" s="259">
        <v>29320153.984766871</v>
      </c>
      <c r="AG866" s="259">
        <v>27697407.639942378</v>
      </c>
      <c r="AH866" s="259">
        <v>25483920.576928146</v>
      </c>
      <c r="AI866" s="259">
        <v>23716416.384903491</v>
      </c>
      <c r="AJ866" s="259">
        <v>19556997.123557758</v>
      </c>
      <c r="AK866" s="259">
        <v>17682382.782176986</v>
      </c>
      <c r="AL866" s="259">
        <v>15430677.550072104</v>
      </c>
      <c r="AM866" s="259">
        <v>14308937.171696767</v>
      </c>
      <c r="AN866" s="259">
        <v>12076290.627449878</v>
      </c>
      <c r="AO866" s="259">
        <v>12133010.307208374</v>
      </c>
      <c r="AP866" s="259">
        <v>12191431.577359626</v>
      </c>
      <c r="AQ866" s="259">
        <v>12251605.485615415</v>
      </c>
      <c r="AR866" s="259">
        <v>12313584.611118875</v>
      </c>
      <c r="AS866" s="259">
        <v>7721244.9771374445</v>
      </c>
      <c r="AT866" s="259">
        <v>7786998.6313840682</v>
      </c>
      <c r="AU866" s="259">
        <v>7854724.8952580905</v>
      </c>
      <c r="AV866" s="259">
        <v>7924482.9470483325</v>
      </c>
      <c r="AW866" s="259">
        <v>5392499.8763922825</v>
      </c>
      <c r="AX866" s="259">
        <v>5466506.1935365517</v>
      </c>
      <c r="AY866" s="259">
        <v>5542732.7001951449</v>
      </c>
      <c r="AZ866" s="259">
        <v>2925622.6382500008</v>
      </c>
      <c r="BA866" s="259">
        <v>0</v>
      </c>
      <c r="BB866" s="259">
        <v>0</v>
      </c>
      <c r="BC866" s="259">
        <v>0</v>
      </c>
      <c r="BD866" s="259">
        <v>0</v>
      </c>
      <c r="BE866" s="259">
        <v>0</v>
      </c>
      <c r="BF866" s="259">
        <v>0</v>
      </c>
      <c r="BG866" s="259">
        <v>0</v>
      </c>
      <c r="BH866" s="259">
        <v>0</v>
      </c>
      <c r="BI866" s="259">
        <v>0</v>
      </c>
      <c r="BJ866" s="259">
        <v>0</v>
      </c>
      <c r="BK866" s="259">
        <v>0</v>
      </c>
    </row>
    <row r="867" spans="1:63">
      <c r="A867" s="169"/>
      <c r="B867" s="307" t="s">
        <v>29</v>
      </c>
      <c r="C867" s="308"/>
      <c r="D867" s="308"/>
      <c r="E867" s="308"/>
      <c r="F867" s="308"/>
      <c r="G867" s="308"/>
      <c r="H867" s="308"/>
      <c r="I867" s="308"/>
      <c r="J867" s="308"/>
      <c r="K867" s="308"/>
      <c r="L867" s="308"/>
      <c r="M867" s="308"/>
      <c r="N867" s="308"/>
      <c r="O867" s="308"/>
      <c r="P867" s="308"/>
      <c r="Q867" s="308"/>
      <c r="R867" s="308"/>
      <c r="S867" s="308"/>
      <c r="T867" s="308"/>
      <c r="U867" s="308"/>
      <c r="V867" s="309"/>
      <c r="W867" s="309"/>
      <c r="X867" s="309"/>
      <c r="Y867" s="309"/>
      <c r="Z867" s="309">
        <f t="shared" ref="Z867:BK867" si="125">Z865+Z866</f>
        <v>62715462.781504996</v>
      </c>
      <c r="AA867" s="309">
        <f t="shared" si="125"/>
        <v>75973098.959222525</v>
      </c>
      <c r="AB867" s="309">
        <f t="shared" si="125"/>
        <v>69581013.451123238</v>
      </c>
      <c r="AC867" s="309">
        <f t="shared" si="125"/>
        <v>79379811.486276537</v>
      </c>
      <c r="AD867" s="309">
        <f t="shared" si="125"/>
        <v>69671583.942886829</v>
      </c>
      <c r="AE867" s="309">
        <f t="shared" si="125"/>
        <v>57320317.232617453</v>
      </c>
      <c r="AF867" s="309">
        <f t="shared" si="125"/>
        <v>52576747.799766868</v>
      </c>
      <c r="AG867" s="309">
        <f t="shared" si="125"/>
        <v>63437561.447817177</v>
      </c>
      <c r="AH867" s="309">
        <f t="shared" si="125"/>
        <v>53456547.576928146</v>
      </c>
      <c r="AI867" s="309">
        <f t="shared" si="125"/>
        <v>68198244.132399887</v>
      </c>
      <c r="AJ867" s="309">
        <f t="shared" si="125"/>
        <v>47926600.323557757</v>
      </c>
      <c r="AK867" s="309">
        <f t="shared" si="125"/>
        <v>53924086.622960687</v>
      </c>
      <c r="AL867" s="309">
        <f t="shared" si="125"/>
        <v>35300062.650072105</v>
      </c>
      <c r="AM867" s="309">
        <f t="shared" si="125"/>
        <v>56107458.094638065</v>
      </c>
      <c r="AN867" s="309">
        <f t="shared" si="125"/>
        <v>12076290.627449878</v>
      </c>
      <c r="AO867" s="309">
        <f t="shared" si="125"/>
        <v>12133010.307208374</v>
      </c>
      <c r="AP867" s="309">
        <f t="shared" si="125"/>
        <v>12191431.577359626</v>
      </c>
      <c r="AQ867" s="309">
        <f t="shared" si="125"/>
        <v>12251605.485615415</v>
      </c>
      <c r="AR867" s="309">
        <f t="shared" si="125"/>
        <v>62650645.511118874</v>
      </c>
      <c r="AS867" s="309">
        <f t="shared" si="125"/>
        <v>7721244.9771374445</v>
      </c>
      <c r="AT867" s="309">
        <f t="shared" si="125"/>
        <v>7786998.6313840682</v>
      </c>
      <c r="AU867" s="309">
        <f t="shared" si="125"/>
        <v>7854724.8952580905</v>
      </c>
      <c r="AV867" s="309">
        <f t="shared" si="125"/>
        <v>30566516.547048334</v>
      </c>
      <c r="AW867" s="309">
        <f t="shared" si="125"/>
        <v>5392499.8763922825</v>
      </c>
      <c r="AX867" s="309">
        <f t="shared" si="125"/>
        <v>5466506.1935365517</v>
      </c>
      <c r="AY867" s="309">
        <f t="shared" si="125"/>
        <v>39080522.469100244</v>
      </c>
      <c r="AZ867" s="309">
        <f t="shared" si="125"/>
        <v>43279038.338250004</v>
      </c>
      <c r="BA867" s="309">
        <f t="shared" si="125"/>
        <v>0</v>
      </c>
      <c r="BB867" s="309">
        <f t="shared" si="125"/>
        <v>0</v>
      </c>
      <c r="BC867" s="309">
        <f t="shared" si="125"/>
        <v>0</v>
      </c>
      <c r="BD867" s="309">
        <f t="shared" si="125"/>
        <v>0</v>
      </c>
      <c r="BE867" s="309">
        <f t="shared" si="125"/>
        <v>0</v>
      </c>
      <c r="BF867" s="309">
        <f t="shared" si="125"/>
        <v>0</v>
      </c>
      <c r="BG867" s="309">
        <f t="shared" si="125"/>
        <v>0</v>
      </c>
      <c r="BH867" s="309">
        <f t="shared" si="125"/>
        <v>0</v>
      </c>
      <c r="BI867" s="309">
        <f t="shared" si="125"/>
        <v>0</v>
      </c>
      <c r="BJ867" s="309">
        <f t="shared" si="125"/>
        <v>0</v>
      </c>
      <c r="BK867" s="309">
        <f t="shared" si="125"/>
        <v>0</v>
      </c>
    </row>
    <row r="868" spans="1:63">
      <c r="A868" s="167"/>
      <c r="B868" s="210" t="s">
        <v>28</v>
      </c>
      <c r="C868" s="254"/>
      <c r="D868" s="254"/>
      <c r="E868" s="254"/>
      <c r="F868" s="254"/>
      <c r="G868" s="254"/>
      <c r="H868" s="254"/>
      <c r="I868" s="254"/>
      <c r="J868" s="254"/>
      <c r="K868" s="254"/>
      <c r="L868" s="254"/>
      <c r="M868" s="254"/>
      <c r="N868" s="254"/>
      <c r="O868" s="254"/>
      <c r="P868" s="254"/>
      <c r="Q868" s="254"/>
      <c r="R868" s="254"/>
      <c r="S868" s="254"/>
      <c r="T868" s="254"/>
      <c r="U868" s="254"/>
      <c r="V868" s="255"/>
      <c r="W868" s="259"/>
      <c r="X868" s="259"/>
      <c r="Y868" s="259"/>
      <c r="Z868" s="259"/>
      <c r="AA868" s="259">
        <v>109022618.82590981</v>
      </c>
      <c r="AB868" s="259">
        <v>33517189.342999998</v>
      </c>
      <c r="AC868" s="259">
        <v>45484138.713131391</v>
      </c>
      <c r="AD868" s="259">
        <v>38137209.611649998</v>
      </c>
      <c r="AE868" s="259">
        <v>27633717.289855201</v>
      </c>
      <c r="AF868" s="259">
        <v>23743267.614999998</v>
      </c>
      <c r="AG868" s="259">
        <v>35313320.454999998</v>
      </c>
      <c r="AH868" s="259">
        <v>29468261.352874801</v>
      </c>
      <c r="AI868" s="259">
        <v>44494168.243429199</v>
      </c>
      <c r="AJ868" s="259">
        <v>28434312.199999999</v>
      </c>
      <c r="AK868" s="259">
        <v>36272347.464746103</v>
      </c>
      <c r="AL868" s="259">
        <v>20208433.199999999</v>
      </c>
      <c r="AM868" s="259">
        <v>41860696.183780201</v>
      </c>
      <c r="AN868" s="259">
        <v>0</v>
      </c>
      <c r="AO868" s="259">
        <v>0</v>
      </c>
      <c r="AP868" s="259">
        <v>0</v>
      </c>
      <c r="AQ868" s="259">
        <v>0</v>
      </c>
      <c r="AR868" s="259">
        <v>50337060.899999999</v>
      </c>
      <c r="AS868" s="259">
        <v>0</v>
      </c>
      <c r="AT868" s="259">
        <v>0</v>
      </c>
      <c r="AU868" s="259">
        <v>0</v>
      </c>
      <c r="AV868" s="259">
        <v>22714033.600000001</v>
      </c>
      <c r="AW868" s="259">
        <v>0</v>
      </c>
      <c r="AX868" s="259">
        <v>0</v>
      </c>
      <c r="AY868" s="259">
        <v>33827975.801523902</v>
      </c>
      <c r="AZ868" s="259">
        <v>41345144</v>
      </c>
      <c r="BA868" s="259">
        <v>0</v>
      </c>
      <c r="BB868" s="259">
        <v>0</v>
      </c>
      <c r="BC868" s="259">
        <v>0</v>
      </c>
      <c r="BD868" s="259">
        <v>0</v>
      </c>
      <c r="BE868" s="259">
        <v>0</v>
      </c>
      <c r="BF868" s="259">
        <v>0</v>
      </c>
      <c r="BG868" s="259">
        <v>0</v>
      </c>
      <c r="BH868" s="259">
        <v>0</v>
      </c>
      <c r="BI868" s="259">
        <v>0</v>
      </c>
      <c r="BJ868" s="259">
        <v>0</v>
      </c>
      <c r="BK868" s="259"/>
    </row>
    <row r="869" spans="1:63">
      <c r="A869" s="168">
        <v>45657</v>
      </c>
      <c r="B869" s="213" t="s">
        <v>385</v>
      </c>
      <c r="C869" s="256"/>
      <c r="D869" s="256"/>
      <c r="E869" s="256"/>
      <c r="F869" s="256"/>
      <c r="G869" s="256"/>
      <c r="H869" s="256"/>
      <c r="I869" s="256"/>
      <c r="J869" s="256"/>
      <c r="K869" s="256"/>
      <c r="L869" s="256"/>
      <c r="M869" s="256"/>
      <c r="N869" s="256"/>
      <c r="O869" s="256"/>
      <c r="P869" s="256"/>
      <c r="Q869" s="256"/>
      <c r="R869" s="256"/>
      <c r="S869" s="256"/>
      <c r="T869" s="256"/>
      <c r="U869" s="256"/>
      <c r="V869" s="259"/>
      <c r="W869" s="259"/>
      <c r="X869" s="259"/>
      <c r="Y869" s="259"/>
      <c r="Z869" s="259"/>
      <c r="AA869" s="259">
        <v>36814831.859521583</v>
      </c>
      <c r="AB869" s="259">
        <v>36362822.974467568</v>
      </c>
      <c r="AC869" s="259">
        <v>34054727.907679394</v>
      </c>
      <c r="AD869" s="259">
        <v>32168200.476491533</v>
      </c>
      <c r="AE869" s="259">
        <v>30093182.406881899</v>
      </c>
      <c r="AF869" s="259">
        <v>29552146.531985622</v>
      </c>
      <c r="AG869" s="259">
        <v>27892084.879077695</v>
      </c>
      <c r="AH869" s="259">
        <v>25605595.714822531</v>
      </c>
      <c r="AI869" s="259">
        <v>23837117.910619706</v>
      </c>
      <c r="AJ869" s="259">
        <v>19678137.828730453</v>
      </c>
      <c r="AK869" s="259">
        <v>17799284.439689867</v>
      </c>
      <c r="AL869" s="259">
        <v>15547791.720820192</v>
      </c>
      <c r="AM869" s="259">
        <v>14405333.137077294</v>
      </c>
      <c r="AN869" s="259">
        <v>12171416.705061991</v>
      </c>
      <c r="AO869" s="259">
        <v>12228584.75809635</v>
      </c>
      <c r="AP869" s="259">
        <v>12287467.85272174</v>
      </c>
      <c r="AQ869" s="259">
        <v>12348117.440185893</v>
      </c>
      <c r="AR869" s="259">
        <v>12410586.515273966</v>
      </c>
      <c r="AS869" s="259">
        <v>7818751.5293646883</v>
      </c>
      <c r="AT869" s="259">
        <v>7885024.9711256297</v>
      </c>
      <c r="AU869" s="259">
        <v>7953286.6161393989</v>
      </c>
      <c r="AV869" s="259">
        <v>8023596.1105035804</v>
      </c>
      <c r="AW869" s="259">
        <v>5483901.0256986879</v>
      </c>
      <c r="AX869" s="259">
        <v>5558492.3682696484</v>
      </c>
      <c r="AY869" s="259">
        <v>5635321.4511177391</v>
      </c>
      <c r="AZ869" s="259">
        <v>2997522.9399999976</v>
      </c>
      <c r="BA869" s="259">
        <v>0</v>
      </c>
      <c r="BB869" s="259">
        <v>0</v>
      </c>
      <c r="BC869" s="259">
        <v>0</v>
      </c>
      <c r="BD869" s="259">
        <v>0</v>
      </c>
      <c r="BE869" s="259">
        <v>0</v>
      </c>
      <c r="BF869" s="259">
        <v>0</v>
      </c>
      <c r="BG869" s="259">
        <v>0</v>
      </c>
      <c r="BH869" s="259">
        <v>0</v>
      </c>
      <c r="BI869" s="259">
        <v>0</v>
      </c>
      <c r="BJ869" s="259">
        <v>0</v>
      </c>
      <c r="BK869" s="259"/>
    </row>
    <row r="870" spans="1:63">
      <c r="A870" s="169"/>
      <c r="B870" s="307" t="s">
        <v>29</v>
      </c>
      <c r="C870" s="308"/>
      <c r="D870" s="308"/>
      <c r="E870" s="308"/>
      <c r="F870" s="308"/>
      <c r="G870" s="308"/>
      <c r="H870" s="308"/>
      <c r="I870" s="308"/>
      <c r="J870" s="308"/>
      <c r="K870" s="308"/>
      <c r="L870" s="308"/>
      <c r="M870" s="308"/>
      <c r="N870" s="308"/>
      <c r="O870" s="308"/>
      <c r="P870" s="308"/>
      <c r="Q870" s="308"/>
      <c r="R870" s="308"/>
      <c r="S870" s="308"/>
      <c r="T870" s="308"/>
      <c r="U870" s="308"/>
      <c r="V870" s="309"/>
      <c r="W870" s="309"/>
      <c r="X870" s="309"/>
      <c r="Y870" s="309"/>
      <c r="Z870" s="309"/>
      <c r="AA870" s="309">
        <f t="shared" ref="AA870:BK870" si="126">AA868+AA869</f>
        <v>145837450.68543139</v>
      </c>
      <c r="AB870" s="309">
        <f t="shared" si="126"/>
        <v>69880012.31746757</v>
      </c>
      <c r="AC870" s="309">
        <f t="shared" si="126"/>
        <v>79538866.620810777</v>
      </c>
      <c r="AD870" s="309">
        <f t="shared" si="126"/>
        <v>70305410.088141531</v>
      </c>
      <c r="AE870" s="309">
        <f t="shared" si="126"/>
        <v>57726899.696737096</v>
      </c>
      <c r="AF870" s="309">
        <f t="shared" si="126"/>
        <v>53295414.14698562</v>
      </c>
      <c r="AG870" s="309">
        <f t="shared" si="126"/>
        <v>63205405.334077694</v>
      </c>
      <c r="AH870" s="309">
        <f t="shared" si="126"/>
        <v>55073857.067697331</v>
      </c>
      <c r="AI870" s="309">
        <f t="shared" si="126"/>
        <v>68331286.154048905</v>
      </c>
      <c r="AJ870" s="309">
        <f t="shared" si="126"/>
        <v>48112450.028730452</v>
      </c>
      <c r="AK870" s="309">
        <f t="shared" si="126"/>
        <v>54071631.90443597</v>
      </c>
      <c r="AL870" s="309">
        <f t="shared" si="126"/>
        <v>35756224.920820192</v>
      </c>
      <c r="AM870" s="309">
        <f t="shared" si="126"/>
        <v>56266029.320857495</v>
      </c>
      <c r="AN870" s="309">
        <f t="shared" si="126"/>
        <v>12171416.705061991</v>
      </c>
      <c r="AO870" s="309">
        <f t="shared" si="126"/>
        <v>12228584.75809635</v>
      </c>
      <c r="AP870" s="309">
        <f t="shared" si="126"/>
        <v>12287467.85272174</v>
      </c>
      <c r="AQ870" s="309">
        <f t="shared" si="126"/>
        <v>12348117.440185893</v>
      </c>
      <c r="AR870" s="309">
        <f t="shared" si="126"/>
        <v>62747647.415273964</v>
      </c>
      <c r="AS870" s="309">
        <f t="shared" si="126"/>
        <v>7818751.5293646883</v>
      </c>
      <c r="AT870" s="309">
        <f t="shared" si="126"/>
        <v>7885024.9711256297</v>
      </c>
      <c r="AU870" s="309">
        <f t="shared" si="126"/>
        <v>7953286.6161393989</v>
      </c>
      <c r="AV870" s="309">
        <f t="shared" si="126"/>
        <v>30737629.710503582</v>
      </c>
      <c r="AW870" s="309">
        <f t="shared" si="126"/>
        <v>5483901.0256986879</v>
      </c>
      <c r="AX870" s="309">
        <f t="shared" si="126"/>
        <v>5558492.3682696484</v>
      </c>
      <c r="AY870" s="309">
        <f t="shared" si="126"/>
        <v>39463297.252641641</v>
      </c>
      <c r="AZ870" s="309">
        <f t="shared" si="126"/>
        <v>44342666.939999998</v>
      </c>
      <c r="BA870" s="309">
        <f t="shared" si="126"/>
        <v>0</v>
      </c>
      <c r="BB870" s="309">
        <f t="shared" si="126"/>
        <v>0</v>
      </c>
      <c r="BC870" s="309">
        <f t="shared" si="126"/>
        <v>0</v>
      </c>
      <c r="BD870" s="309">
        <f t="shared" si="126"/>
        <v>0</v>
      </c>
      <c r="BE870" s="309">
        <f t="shared" si="126"/>
        <v>0</v>
      </c>
      <c r="BF870" s="309">
        <f t="shared" si="126"/>
        <v>0</v>
      </c>
      <c r="BG870" s="309">
        <f t="shared" si="126"/>
        <v>0</v>
      </c>
      <c r="BH870" s="309">
        <f t="shared" si="126"/>
        <v>0</v>
      </c>
      <c r="BI870" s="309">
        <f t="shared" si="126"/>
        <v>0</v>
      </c>
      <c r="BJ870" s="309">
        <f t="shared" si="126"/>
        <v>0</v>
      </c>
      <c r="BK870" s="309">
        <f t="shared" si="126"/>
        <v>0</v>
      </c>
    </row>
    <row r="65516" spans="4:32">
      <c r="D65516" s="163"/>
      <c r="E65516" s="163"/>
      <c r="F65516" s="163"/>
      <c r="G65516" s="163"/>
      <c r="H65516" s="163"/>
      <c r="I65516" s="163"/>
      <c r="J65516" s="163"/>
      <c r="K65516" s="163"/>
      <c r="L65516" s="163"/>
      <c r="M65516" s="163"/>
      <c r="N65516" s="163"/>
      <c r="O65516" s="164"/>
      <c r="P65516" s="164"/>
      <c r="Q65516" s="164"/>
      <c r="R65516" s="164"/>
      <c r="S65516" s="164"/>
      <c r="T65516" s="164"/>
      <c r="U65516" s="164"/>
      <c r="V65516" s="164"/>
      <c r="W65516" s="164"/>
      <c r="X65516" s="164"/>
      <c r="Y65516" s="164"/>
      <c r="Z65516" s="164"/>
      <c r="AA65516" s="162"/>
      <c r="AB65516" s="162"/>
      <c r="AC65516" s="162"/>
      <c r="AD65516" s="162"/>
      <c r="AE65516" s="162"/>
      <c r="AF65516" s="162"/>
    </row>
    <row r="65520" spans="4:32">
      <c r="D65520" s="163"/>
      <c r="E65520" s="163"/>
      <c r="F65520" s="163"/>
      <c r="G65520" s="163"/>
      <c r="H65520" s="163"/>
      <c r="I65520" s="163"/>
      <c r="J65520" s="163"/>
      <c r="K65520" s="163"/>
      <c r="L65520" s="163"/>
      <c r="M65520" s="163"/>
      <c r="N65520" s="163"/>
      <c r="O65520" s="164"/>
      <c r="P65520" s="164"/>
      <c r="Q65520" s="164"/>
      <c r="R65520" s="164"/>
      <c r="S65520" s="164"/>
      <c r="T65520" s="164"/>
      <c r="U65520" s="164"/>
      <c r="V65520" s="164"/>
      <c r="W65520" s="164"/>
      <c r="X65520" s="164"/>
      <c r="Y65520" s="164"/>
      <c r="Z65520" s="164"/>
      <c r="AA65520" s="162"/>
      <c r="AB65520" s="162"/>
      <c r="AC65520" s="162"/>
      <c r="AD65520" s="162"/>
      <c r="AE65520" s="162"/>
      <c r="AF65520" s="162"/>
    </row>
  </sheetData>
  <phoneticPr fontId="15" type="noConversion"/>
  <pageMargins left="0.74803149606299213" right="0.74803149606299213" top="0.98425196850393704" bottom="0.98425196850393704" header="0" footer="0"/>
  <pageSetup scale="47" fitToHeight="99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Drop Down 1">
              <controlPr defaultSize="0" print="0" autoLine="0" autoPict="0">
                <anchor>
                  <from>
                    <xdr:col>1</xdr:col>
                    <xdr:colOff>352425</xdr:colOff>
                    <xdr:row>1</xdr:row>
                    <xdr:rowOff>200025</xdr:rowOff>
                  </from>
                  <to>
                    <xdr:col>1</xdr:col>
                    <xdr:colOff>6115050</xdr:colOff>
                    <xdr:row>2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471E-E70B-49AF-B7C7-E11F65E00955}">
  <sheetPr codeName="Hoja8">
    <tabColor theme="0" tint="-0.249977111117893"/>
    <pageSetUpPr fitToPage="1"/>
  </sheetPr>
  <dimension ref="A1:BK65515"/>
  <sheetViews>
    <sheetView showGridLines="0" zoomScale="70" zoomScaleNormal="70" workbookViewId="0">
      <pane xSplit="2" ySplit="19" topLeftCell="Y838" activePane="bottomRight" state="frozen"/>
      <selection activeCell="Z846" sqref="Z846"/>
      <selection pane="topRight" activeCell="Z846" sqref="Z846"/>
      <selection pane="bottomLeft" activeCell="Z846" sqref="Z846"/>
      <selection pane="bottomRight" activeCell="AB868" sqref="AB868"/>
    </sheetView>
  </sheetViews>
  <sheetFormatPr baseColWidth="10" defaultColWidth="11.42578125" defaultRowHeight="15"/>
  <cols>
    <col min="1" max="1" width="15.28515625" style="165" bestFit="1" customWidth="1"/>
    <col min="2" max="2" width="25.42578125" style="159" bestFit="1" customWidth="1"/>
    <col min="3" max="3" width="18.28515625" style="159" customWidth="1"/>
    <col min="4" max="4" width="16.7109375" style="159" customWidth="1"/>
    <col min="5" max="11" width="18.28515625" style="159" customWidth="1"/>
    <col min="12" max="16" width="16.7109375" style="159" customWidth="1"/>
    <col min="17" max="17" width="18.28515625" style="159" customWidth="1"/>
    <col min="18" max="40" width="16.7109375" style="159" customWidth="1"/>
    <col min="41" max="42" width="12.7109375" style="159" customWidth="1"/>
    <col min="43" max="43" width="16.7109375" style="159" customWidth="1"/>
    <col min="44" max="45" width="12.7109375" style="159" customWidth="1"/>
    <col min="46" max="47" width="16.7109375" style="159" customWidth="1"/>
    <col min="48" max="48" width="12.28515625" style="159" customWidth="1"/>
    <col min="49" max="66" width="12.28515625" style="159" bestFit="1" customWidth="1"/>
    <col min="67" max="67" width="11.28515625" style="159" bestFit="1" customWidth="1"/>
    <col min="68" max="68" width="7.7109375" style="159" bestFit="1" customWidth="1"/>
    <col min="69" max="69" width="9.28515625" style="159" bestFit="1" customWidth="1"/>
    <col min="70" max="70" width="6.7109375" style="159" bestFit="1" customWidth="1"/>
    <col min="71" max="16384" width="11.42578125" style="159"/>
  </cols>
  <sheetData>
    <row r="1" spans="1:38" s="158" customFormat="1" ht="12.75" customHeight="1">
      <c r="A1" s="116"/>
      <c r="O1" s="159"/>
    </row>
    <row r="2" spans="1:38" s="158" customFormat="1" ht="12.75" customHeight="1">
      <c r="A2" s="166"/>
    </row>
    <row r="3" spans="1:38" s="158" customFormat="1" ht="12.75" customHeight="1">
      <c r="A3" s="166"/>
    </row>
    <row r="4" spans="1:38" s="158" customFormat="1" ht="12.75" customHeight="1">
      <c r="A4" s="166"/>
    </row>
    <row r="5" spans="1:38" s="158" customFormat="1" ht="12.75" customHeight="1">
      <c r="A5" s="126"/>
    </row>
    <row r="6" spans="1:38" ht="12.75" customHeight="1">
      <c r="A6" s="127"/>
    </row>
    <row r="7" spans="1:38" ht="12.75" customHeight="1">
      <c r="A7" s="127"/>
    </row>
    <row r="8" spans="1:38" ht="12.75" customHeight="1">
      <c r="A8" s="127"/>
    </row>
    <row r="9" spans="1:38" ht="12.75" customHeight="1">
      <c r="A9" s="127"/>
    </row>
    <row r="10" spans="1:38" ht="12.75" customHeight="1">
      <c r="A10" s="127"/>
      <c r="AL10" s="161"/>
    </row>
    <row r="11" spans="1:38" ht="12.75" customHeight="1">
      <c r="A11" s="127"/>
      <c r="AL11" s="161"/>
    </row>
    <row r="12" spans="1:38" ht="12.75" customHeight="1">
      <c r="A12" s="127"/>
      <c r="AL12" s="161"/>
    </row>
    <row r="13" spans="1:38" ht="12.75" customHeight="1">
      <c r="A13" s="127"/>
    </row>
    <row r="14" spans="1:38" ht="12.75" customHeight="1">
      <c r="A14" s="127"/>
    </row>
    <row r="15" spans="1:38" ht="12.75" customHeight="1">
      <c r="A15" s="127"/>
    </row>
    <row r="16" spans="1:38" ht="12.75" customHeight="1">
      <c r="A16" s="127"/>
    </row>
    <row r="17" spans="1:63" s="133" customFormat="1" ht="12.75">
      <c r="A17" s="304"/>
      <c r="B17" s="305"/>
      <c r="C17" s="306" t="str">
        <f>Servicio_externaSección_título_etiqueta</f>
        <v>Perfil de Vencimientos - deuda externa</v>
      </c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02"/>
      <c r="AH17" s="302"/>
      <c r="AI17" s="302"/>
      <c r="AJ17" s="302"/>
      <c r="AK17" s="302"/>
      <c r="AL17" s="302"/>
      <c r="AM17" s="302"/>
      <c r="AN17" s="302"/>
      <c r="AO17" s="302"/>
      <c r="AP17" s="302"/>
      <c r="AQ17" s="302"/>
      <c r="AR17" s="302"/>
      <c r="AS17" s="302"/>
      <c r="AT17" s="302"/>
      <c r="AU17" s="302"/>
      <c r="AV17" s="302"/>
      <c r="AW17" s="302"/>
      <c r="AX17" s="302"/>
      <c r="AY17" s="302"/>
      <c r="AZ17" s="302"/>
      <c r="BA17" s="302"/>
      <c r="BB17" s="302"/>
      <c r="BC17" s="302"/>
      <c r="BD17" s="302"/>
      <c r="BE17" s="302"/>
      <c r="BF17" s="302"/>
      <c r="BG17" s="302"/>
      <c r="BH17" s="302"/>
      <c r="BI17" s="302"/>
      <c r="BJ17" s="302"/>
      <c r="BK17" s="302"/>
    </row>
    <row r="18" spans="1:63" s="133" customFormat="1" ht="12.75">
      <c r="A18" s="304"/>
      <c r="B18" s="305"/>
      <c r="C18" s="306" t="str">
        <f>Servicio_externaSección_subtítulo_etiqueta</f>
        <v>(COP millones)</v>
      </c>
      <c r="D18" s="302"/>
      <c r="E18" s="302"/>
      <c r="F18" s="302"/>
      <c r="G18" s="302"/>
      <c r="H18" s="302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  <c r="AD18" s="302"/>
      <c r="AE18" s="302"/>
      <c r="AF18" s="302"/>
      <c r="AG18" s="302"/>
      <c r="AH18" s="302"/>
      <c r="AI18" s="302"/>
      <c r="AJ18" s="302"/>
      <c r="AK18" s="302"/>
      <c r="AL18" s="302"/>
      <c r="AM18" s="302"/>
      <c r="AN18" s="302"/>
      <c r="AO18" s="302"/>
      <c r="AP18" s="302"/>
      <c r="AQ18" s="302"/>
      <c r="AR18" s="302"/>
      <c r="AS18" s="302"/>
      <c r="AT18" s="302"/>
      <c r="AU18" s="302"/>
      <c r="AV18" s="302"/>
      <c r="AW18" s="302"/>
      <c r="AX18" s="302"/>
      <c r="AY18" s="302"/>
      <c r="AZ18" s="302"/>
      <c r="BA18" s="302"/>
      <c r="BB18" s="302"/>
      <c r="BC18" s="302"/>
      <c r="BD18" s="302"/>
      <c r="BE18" s="302"/>
      <c r="BF18" s="302"/>
      <c r="BG18" s="302"/>
      <c r="BH18" s="302"/>
      <c r="BI18" s="302"/>
      <c r="BJ18" s="302"/>
      <c r="BK18" s="302"/>
    </row>
    <row r="19" spans="1:63" s="80" customFormat="1" ht="12.75">
      <c r="A19" s="192" t="str">
        <f>Indice_PrincipalFecha_corte_etiqueta</f>
        <v>Fecha corte</v>
      </c>
      <c r="B19" s="208" t="str">
        <f>Servicio_internaFechas_etiqueta</f>
        <v>Período de servicio</v>
      </c>
      <c r="C19" s="192">
        <v>2001</v>
      </c>
      <c r="D19" s="192">
        <v>2002</v>
      </c>
      <c r="E19" s="192">
        <v>2003</v>
      </c>
      <c r="F19" s="209">
        <v>2004</v>
      </c>
      <c r="G19" s="209">
        <v>2005</v>
      </c>
      <c r="H19" s="209">
        <v>2006</v>
      </c>
      <c r="I19" s="209">
        <v>2007</v>
      </c>
      <c r="J19" s="209">
        <v>2008</v>
      </c>
      <c r="K19" s="209">
        <v>2009</v>
      </c>
      <c r="L19" s="209">
        <v>2010</v>
      </c>
      <c r="M19" s="209">
        <v>2011</v>
      </c>
      <c r="N19" s="209">
        <v>2012</v>
      </c>
      <c r="O19" s="209">
        <v>2013</v>
      </c>
      <c r="P19" s="209">
        <v>2014</v>
      </c>
      <c r="Q19" s="209">
        <v>2015</v>
      </c>
      <c r="R19" s="209">
        <v>2016</v>
      </c>
      <c r="S19" s="209">
        <v>2017</v>
      </c>
      <c r="T19" s="209">
        <v>2018</v>
      </c>
      <c r="U19" s="209">
        <v>2019</v>
      </c>
      <c r="V19" s="209">
        <v>2020</v>
      </c>
      <c r="W19" s="209">
        <v>2021</v>
      </c>
      <c r="X19" s="209">
        <v>2022</v>
      </c>
      <c r="Y19" s="209">
        <v>2023</v>
      </c>
      <c r="Z19" s="209">
        <v>2024</v>
      </c>
      <c r="AA19" s="209">
        <v>2025</v>
      </c>
      <c r="AB19" s="209">
        <v>2026</v>
      </c>
      <c r="AC19" s="209">
        <v>2027</v>
      </c>
      <c r="AD19" s="209">
        <v>2028</v>
      </c>
      <c r="AE19" s="209">
        <v>2029</v>
      </c>
      <c r="AF19" s="209">
        <v>2030</v>
      </c>
      <c r="AG19" s="209">
        <v>2031</v>
      </c>
      <c r="AH19" s="209">
        <v>2032</v>
      </c>
      <c r="AI19" s="209">
        <v>2033</v>
      </c>
      <c r="AJ19" s="209">
        <v>2034</v>
      </c>
      <c r="AK19" s="209">
        <v>2035</v>
      </c>
      <c r="AL19" s="209">
        <v>2036</v>
      </c>
      <c r="AM19" s="209">
        <v>2037</v>
      </c>
      <c r="AN19" s="209">
        <v>2038</v>
      </c>
      <c r="AO19" s="209">
        <v>2039</v>
      </c>
      <c r="AP19" s="209">
        <v>2040</v>
      </c>
      <c r="AQ19" s="209">
        <v>2041</v>
      </c>
      <c r="AR19" s="209">
        <v>2042</v>
      </c>
      <c r="AS19" s="209">
        <v>2043</v>
      </c>
      <c r="AT19" s="209">
        <v>2044</v>
      </c>
      <c r="AU19" s="209">
        <v>2045</v>
      </c>
      <c r="AV19" s="209">
        <v>2046</v>
      </c>
      <c r="AW19" s="209">
        <v>2047</v>
      </c>
      <c r="AX19" s="209">
        <v>2048</v>
      </c>
      <c r="AY19" s="209">
        <v>2049</v>
      </c>
      <c r="AZ19" s="209">
        <v>2050</v>
      </c>
      <c r="BA19" s="209">
        <v>2051</v>
      </c>
      <c r="BB19" s="209">
        <v>2052</v>
      </c>
      <c r="BC19" s="209">
        <v>2053</v>
      </c>
      <c r="BD19" s="209">
        <v>2054</v>
      </c>
      <c r="BE19" s="209">
        <v>2055</v>
      </c>
      <c r="BF19" s="209">
        <v>2056</v>
      </c>
      <c r="BG19" s="209">
        <v>2057</v>
      </c>
      <c r="BH19" s="209">
        <v>2058</v>
      </c>
      <c r="BI19" s="209">
        <v>2059</v>
      </c>
      <c r="BJ19" s="209">
        <v>2060</v>
      </c>
      <c r="BK19" s="209">
        <v>2061</v>
      </c>
    </row>
    <row r="20" spans="1:63" s="80" customFormat="1" ht="12.75">
      <c r="A20" s="167"/>
      <c r="B20" s="210" t="str">
        <f>Servicio_internaColumna_título_amortizaciones</f>
        <v>Amortizaciones</v>
      </c>
      <c r="C20" s="269">
        <v>1801516.791</v>
      </c>
      <c r="D20" s="235">
        <v>4242757.5599999996</v>
      </c>
      <c r="E20" s="235">
        <v>5783033.0369999995</v>
      </c>
      <c r="F20" s="235">
        <v>3870964.5494999997</v>
      </c>
      <c r="G20" s="235">
        <v>4111585.1789999995</v>
      </c>
      <c r="H20" s="235">
        <v>2309378.733</v>
      </c>
      <c r="I20" s="235">
        <v>2727079.7779999999</v>
      </c>
      <c r="J20" s="235">
        <v>3831148.4674999998</v>
      </c>
      <c r="K20" s="235">
        <v>2899907.321</v>
      </c>
      <c r="L20" s="235">
        <v>595333.18450000009</v>
      </c>
      <c r="M20" s="235">
        <v>1338229.5504999999</v>
      </c>
      <c r="N20" s="235">
        <v>266735.56549999997</v>
      </c>
      <c r="O20" s="235">
        <v>228781.552</v>
      </c>
      <c r="P20" s="235">
        <v>146459.7335</v>
      </c>
      <c r="Q20" s="235">
        <v>129747.09399999998</v>
      </c>
      <c r="R20" s="235">
        <v>583333.1875</v>
      </c>
      <c r="S20" s="235">
        <v>62804.581999999995</v>
      </c>
      <c r="T20" s="235">
        <v>58114.928</v>
      </c>
      <c r="U20" s="235">
        <v>47310.332999999991</v>
      </c>
      <c r="V20" s="235">
        <v>1766666.2249999999</v>
      </c>
      <c r="W20" s="235">
        <v>40344.817499999997</v>
      </c>
      <c r="X20" s="235">
        <v>16160.915499999999</v>
      </c>
      <c r="Y20" s="235">
        <v>13264.364499999998</v>
      </c>
      <c r="Z20" s="235">
        <v>10137.9285</v>
      </c>
      <c r="AA20" s="235">
        <v>3747.1254999999996</v>
      </c>
      <c r="AB20" s="235">
        <v>3747.1254999999996</v>
      </c>
      <c r="AC20" s="235">
        <v>575723.99399999995</v>
      </c>
      <c r="AD20" s="235">
        <v>51241.366499999996</v>
      </c>
      <c r="AE20" s="235">
        <v>22.988499999999998</v>
      </c>
      <c r="AF20" s="235">
        <v>22.988499999999998</v>
      </c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</row>
    <row r="21" spans="1:63" s="133" customFormat="1" ht="12.75">
      <c r="A21" s="168">
        <v>37072</v>
      </c>
      <c r="B21" s="213" t="str">
        <f>Servicio_internaColumna_título_intereses</f>
        <v>Intereses</v>
      </c>
      <c r="C21" s="270">
        <v>0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2"/>
      <c r="V21" s="272"/>
      <c r="W21" s="272"/>
      <c r="X21" s="272"/>
      <c r="Y21" s="272"/>
      <c r="Z21" s="272"/>
      <c r="AA21" s="272"/>
      <c r="AB21" s="272"/>
      <c r="AC21" s="272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</row>
    <row r="22" spans="1:63" s="133" customFormat="1" ht="12.75">
      <c r="A22" s="169"/>
      <c r="B22" s="307" t="str">
        <f>Servicio_internaColumna_título_total</f>
        <v>Total</v>
      </c>
      <c r="C22" s="310">
        <v>0</v>
      </c>
      <c r="D22" s="311">
        <f t="shared" ref="D22:AN22" si="0">+D20+D21</f>
        <v>4242757.5599999996</v>
      </c>
      <c r="E22" s="311">
        <f t="shared" si="0"/>
        <v>5783033.0369999995</v>
      </c>
      <c r="F22" s="311">
        <f t="shared" si="0"/>
        <v>3870964.5494999997</v>
      </c>
      <c r="G22" s="311">
        <f t="shared" si="0"/>
        <v>4111585.1789999995</v>
      </c>
      <c r="H22" s="311">
        <f t="shared" si="0"/>
        <v>2309378.733</v>
      </c>
      <c r="I22" s="311">
        <f t="shared" si="0"/>
        <v>2727079.7779999999</v>
      </c>
      <c r="J22" s="311">
        <f t="shared" si="0"/>
        <v>3831148.4674999998</v>
      </c>
      <c r="K22" s="311">
        <f t="shared" si="0"/>
        <v>2899907.321</v>
      </c>
      <c r="L22" s="311">
        <f t="shared" si="0"/>
        <v>595333.18450000009</v>
      </c>
      <c r="M22" s="311">
        <f t="shared" si="0"/>
        <v>1338229.5504999999</v>
      </c>
      <c r="N22" s="311">
        <f t="shared" si="0"/>
        <v>266735.56549999997</v>
      </c>
      <c r="O22" s="311">
        <f t="shared" si="0"/>
        <v>228781.552</v>
      </c>
      <c r="P22" s="311">
        <f t="shared" si="0"/>
        <v>146459.7335</v>
      </c>
      <c r="Q22" s="311">
        <f t="shared" si="0"/>
        <v>129747.09399999998</v>
      </c>
      <c r="R22" s="311">
        <f t="shared" si="0"/>
        <v>583333.1875</v>
      </c>
      <c r="S22" s="311">
        <f t="shared" si="0"/>
        <v>62804.581999999995</v>
      </c>
      <c r="T22" s="311">
        <f t="shared" si="0"/>
        <v>58114.928</v>
      </c>
      <c r="U22" s="311">
        <f t="shared" si="0"/>
        <v>47310.332999999991</v>
      </c>
      <c r="V22" s="311">
        <f t="shared" si="0"/>
        <v>1766666.2249999999</v>
      </c>
      <c r="W22" s="311">
        <f t="shared" si="0"/>
        <v>40344.817499999997</v>
      </c>
      <c r="X22" s="311">
        <f t="shared" si="0"/>
        <v>16160.915499999999</v>
      </c>
      <c r="Y22" s="311">
        <f t="shared" si="0"/>
        <v>13264.364499999998</v>
      </c>
      <c r="Z22" s="311">
        <f t="shared" si="0"/>
        <v>10137.9285</v>
      </c>
      <c r="AA22" s="311">
        <f t="shared" si="0"/>
        <v>3747.1254999999996</v>
      </c>
      <c r="AB22" s="311">
        <f t="shared" si="0"/>
        <v>3747.1254999999996</v>
      </c>
      <c r="AC22" s="311">
        <f t="shared" si="0"/>
        <v>575723.99399999995</v>
      </c>
      <c r="AD22" s="311">
        <f t="shared" si="0"/>
        <v>51241.366499999996</v>
      </c>
      <c r="AE22" s="311">
        <f t="shared" si="0"/>
        <v>22.988499999999998</v>
      </c>
      <c r="AF22" s="311">
        <f t="shared" si="0"/>
        <v>22.988499999999998</v>
      </c>
      <c r="AG22" s="311">
        <f t="shared" si="0"/>
        <v>0</v>
      </c>
      <c r="AH22" s="311">
        <f t="shared" si="0"/>
        <v>0</v>
      </c>
      <c r="AI22" s="311">
        <f t="shared" si="0"/>
        <v>0</v>
      </c>
      <c r="AJ22" s="311">
        <f t="shared" si="0"/>
        <v>0</v>
      </c>
      <c r="AK22" s="311">
        <f t="shared" si="0"/>
        <v>0</v>
      </c>
      <c r="AL22" s="311">
        <f t="shared" si="0"/>
        <v>0</v>
      </c>
      <c r="AM22" s="311">
        <f t="shared" si="0"/>
        <v>0</v>
      </c>
      <c r="AN22" s="311">
        <f t="shared" si="0"/>
        <v>0</v>
      </c>
      <c r="AO22" s="311"/>
      <c r="AP22" s="311"/>
      <c r="AQ22" s="311"/>
      <c r="AR22" s="311"/>
      <c r="AS22" s="311"/>
      <c r="AT22" s="311"/>
      <c r="AU22" s="311"/>
      <c r="AV22" s="311"/>
      <c r="AW22" s="311"/>
      <c r="AX22" s="311"/>
      <c r="AY22" s="311"/>
      <c r="AZ22" s="311"/>
      <c r="BA22" s="311"/>
      <c r="BB22" s="311"/>
      <c r="BC22" s="311"/>
      <c r="BD22" s="311"/>
      <c r="BE22" s="311"/>
      <c r="BF22" s="311"/>
      <c r="BG22" s="311"/>
      <c r="BH22" s="311"/>
      <c r="BI22" s="311"/>
      <c r="BJ22" s="311"/>
      <c r="BK22" s="311"/>
    </row>
    <row r="23" spans="1:63" s="80" customFormat="1" ht="12.75">
      <c r="A23" s="167"/>
      <c r="B23" s="210" t="str">
        <f>Servicio_internaColumna_título_amortizaciones</f>
        <v>Amortizaciones</v>
      </c>
      <c r="C23" s="269">
        <v>1785296.1359999999</v>
      </c>
      <c r="D23" s="235">
        <v>4360691.5326000005</v>
      </c>
      <c r="E23" s="235">
        <v>5998002.0632999996</v>
      </c>
      <c r="F23" s="235">
        <v>3863208.0084000002</v>
      </c>
      <c r="G23" s="235">
        <v>4127646.9545999998</v>
      </c>
      <c r="H23" s="235">
        <v>2303808.8306999998</v>
      </c>
      <c r="I23" s="235">
        <v>2720715.0086999997</v>
      </c>
      <c r="J23" s="235">
        <v>3875457.7875000001</v>
      </c>
      <c r="K23" s="235">
        <v>2898693.0375000001</v>
      </c>
      <c r="L23" s="235">
        <v>594700.34519999998</v>
      </c>
      <c r="M23" s="235">
        <v>1362023.7501000001</v>
      </c>
      <c r="N23" s="235">
        <v>268529.86680000002</v>
      </c>
      <c r="O23" s="235">
        <v>231458.77169999998</v>
      </c>
      <c r="P23" s="235">
        <v>148238.41500000001</v>
      </c>
      <c r="Q23" s="235">
        <v>131208.23430000001</v>
      </c>
      <c r="R23" s="235">
        <v>584633.92259999993</v>
      </c>
      <c r="S23" s="235">
        <v>62857.684500000003</v>
      </c>
      <c r="T23" s="235">
        <v>58123.248299999999</v>
      </c>
      <c r="U23" s="235">
        <v>47275.4139</v>
      </c>
      <c r="V23" s="235">
        <v>1766197.5123000001</v>
      </c>
      <c r="W23" s="235">
        <v>40288.6731</v>
      </c>
      <c r="X23" s="235">
        <v>37071.095099999999</v>
      </c>
      <c r="Y23" s="235">
        <v>13100.139000000001</v>
      </c>
      <c r="Z23" s="235">
        <v>13100.139000000001</v>
      </c>
      <c r="AA23" s="235">
        <v>3746.1800999999996</v>
      </c>
      <c r="AB23" s="235">
        <v>3746.1800999999996</v>
      </c>
      <c r="AC23" s="235">
        <v>575578.73879999993</v>
      </c>
      <c r="AD23" s="235">
        <v>51228.438299999994</v>
      </c>
      <c r="AE23" s="235">
        <v>22.982700000000001</v>
      </c>
      <c r="AF23" s="235">
        <v>22.982700000000001</v>
      </c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</row>
    <row r="24" spans="1:63" s="133" customFormat="1" ht="12.75">
      <c r="A24" s="168">
        <v>37103</v>
      </c>
      <c r="B24" s="213" t="str">
        <f>Servicio_internaColumna_título_intereses</f>
        <v>Intereses</v>
      </c>
      <c r="C24" s="270">
        <v>0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2"/>
      <c r="V24" s="272"/>
      <c r="W24" s="272"/>
      <c r="X24" s="272"/>
      <c r="Y24" s="272"/>
      <c r="Z24" s="272"/>
      <c r="AA24" s="272"/>
      <c r="AB24" s="272"/>
      <c r="AC24" s="272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</row>
    <row r="25" spans="1:63" s="133" customFormat="1" ht="12.75">
      <c r="A25" s="169"/>
      <c r="B25" s="307" t="str">
        <f>Servicio_internaColumna_título_total</f>
        <v>Total</v>
      </c>
      <c r="C25" s="310">
        <v>0</v>
      </c>
      <c r="D25" s="311">
        <f t="shared" ref="D25:AN25" si="1">+D23+D24</f>
        <v>4360691.5326000005</v>
      </c>
      <c r="E25" s="311">
        <f t="shared" si="1"/>
        <v>5998002.0632999996</v>
      </c>
      <c r="F25" s="311">
        <f t="shared" si="1"/>
        <v>3863208.0084000002</v>
      </c>
      <c r="G25" s="311">
        <f t="shared" si="1"/>
        <v>4127646.9545999998</v>
      </c>
      <c r="H25" s="311">
        <f t="shared" si="1"/>
        <v>2303808.8306999998</v>
      </c>
      <c r="I25" s="311">
        <f t="shared" si="1"/>
        <v>2720715.0086999997</v>
      </c>
      <c r="J25" s="311">
        <f t="shared" si="1"/>
        <v>3875457.7875000001</v>
      </c>
      <c r="K25" s="311">
        <f t="shared" si="1"/>
        <v>2898693.0375000001</v>
      </c>
      <c r="L25" s="311">
        <f t="shared" si="1"/>
        <v>594700.34519999998</v>
      </c>
      <c r="M25" s="311">
        <f t="shared" si="1"/>
        <v>1362023.7501000001</v>
      </c>
      <c r="N25" s="311">
        <f t="shared" si="1"/>
        <v>268529.86680000002</v>
      </c>
      <c r="O25" s="311">
        <f t="shared" si="1"/>
        <v>231458.77169999998</v>
      </c>
      <c r="P25" s="311">
        <f t="shared" si="1"/>
        <v>148238.41500000001</v>
      </c>
      <c r="Q25" s="311">
        <f t="shared" si="1"/>
        <v>131208.23430000001</v>
      </c>
      <c r="R25" s="311">
        <f t="shared" si="1"/>
        <v>584633.92259999993</v>
      </c>
      <c r="S25" s="311">
        <f t="shared" si="1"/>
        <v>62857.684500000003</v>
      </c>
      <c r="T25" s="311">
        <f t="shared" si="1"/>
        <v>58123.248299999999</v>
      </c>
      <c r="U25" s="311">
        <f t="shared" si="1"/>
        <v>47275.4139</v>
      </c>
      <c r="V25" s="311">
        <f t="shared" si="1"/>
        <v>1766197.5123000001</v>
      </c>
      <c r="W25" s="311">
        <f t="shared" si="1"/>
        <v>40288.6731</v>
      </c>
      <c r="X25" s="311">
        <f t="shared" si="1"/>
        <v>37071.095099999999</v>
      </c>
      <c r="Y25" s="311">
        <f t="shared" si="1"/>
        <v>13100.139000000001</v>
      </c>
      <c r="Z25" s="311">
        <f t="shared" si="1"/>
        <v>13100.139000000001</v>
      </c>
      <c r="AA25" s="311">
        <f t="shared" si="1"/>
        <v>3746.1800999999996</v>
      </c>
      <c r="AB25" s="311">
        <f t="shared" si="1"/>
        <v>3746.1800999999996</v>
      </c>
      <c r="AC25" s="311">
        <f t="shared" si="1"/>
        <v>575578.73879999993</v>
      </c>
      <c r="AD25" s="311">
        <f t="shared" si="1"/>
        <v>51228.438299999994</v>
      </c>
      <c r="AE25" s="311">
        <f t="shared" si="1"/>
        <v>22.982700000000001</v>
      </c>
      <c r="AF25" s="311">
        <f t="shared" si="1"/>
        <v>22.982700000000001</v>
      </c>
      <c r="AG25" s="311">
        <f t="shared" si="1"/>
        <v>0</v>
      </c>
      <c r="AH25" s="311">
        <f t="shared" si="1"/>
        <v>0</v>
      </c>
      <c r="AI25" s="311">
        <f t="shared" si="1"/>
        <v>0</v>
      </c>
      <c r="AJ25" s="311">
        <f t="shared" si="1"/>
        <v>0</v>
      </c>
      <c r="AK25" s="311">
        <f t="shared" si="1"/>
        <v>0</v>
      </c>
      <c r="AL25" s="311">
        <f t="shared" si="1"/>
        <v>0</v>
      </c>
      <c r="AM25" s="311">
        <f t="shared" si="1"/>
        <v>0</v>
      </c>
      <c r="AN25" s="311">
        <f t="shared" si="1"/>
        <v>0</v>
      </c>
      <c r="AO25" s="311"/>
      <c r="AP25" s="311"/>
      <c r="AQ25" s="311"/>
      <c r="AR25" s="311"/>
      <c r="AS25" s="311"/>
      <c r="AT25" s="311"/>
      <c r="AU25" s="311"/>
      <c r="AV25" s="311"/>
      <c r="AW25" s="311"/>
      <c r="AX25" s="311"/>
      <c r="AY25" s="311"/>
      <c r="AZ25" s="311"/>
      <c r="BA25" s="311"/>
      <c r="BB25" s="311"/>
      <c r="BC25" s="311"/>
      <c r="BD25" s="311"/>
      <c r="BE25" s="311"/>
      <c r="BF25" s="311"/>
      <c r="BG25" s="311"/>
      <c r="BH25" s="311"/>
      <c r="BI25" s="311"/>
      <c r="BJ25" s="311"/>
      <c r="BK25" s="311"/>
    </row>
    <row r="26" spans="1:63" s="80" customFormat="1" ht="12.75">
      <c r="A26" s="167"/>
      <c r="B26" s="210" t="str">
        <f>Servicio_internaColumna_título_amortizaciones</f>
        <v>Amortizaciones</v>
      </c>
      <c r="C26" s="269">
        <v>1787881.4180831236</v>
      </c>
      <c r="D26" s="235">
        <v>4393069.5888679791</v>
      </c>
      <c r="E26" s="235">
        <v>6027201.6809812104</v>
      </c>
      <c r="F26" s="235">
        <v>3874657.406782764</v>
      </c>
      <c r="G26" s="235">
        <v>4226974.1549923867</v>
      </c>
      <c r="H26" s="235">
        <v>2339185.4048732957</v>
      </c>
      <c r="I26" s="235">
        <v>2757721.8558889134</v>
      </c>
      <c r="J26" s="235">
        <v>3989345.0268320809</v>
      </c>
      <c r="K26" s="235">
        <v>2933633.001835118</v>
      </c>
      <c r="L26" s="235">
        <v>626649.07153184747</v>
      </c>
      <c r="M26" s="235">
        <v>1428905.4583617358</v>
      </c>
      <c r="N26" s="235">
        <v>299271.43350437423</v>
      </c>
      <c r="O26" s="235">
        <v>261072.71477479531</v>
      </c>
      <c r="P26" s="235">
        <v>175959.67120000752</v>
      </c>
      <c r="Q26" s="235">
        <v>158498.96807767352</v>
      </c>
      <c r="R26" s="235">
        <v>612363.990606484</v>
      </c>
      <c r="S26" s="235">
        <v>87480.828013210237</v>
      </c>
      <c r="T26" s="235">
        <v>60765.738511456257</v>
      </c>
      <c r="U26" s="235">
        <v>49824.855020172814</v>
      </c>
      <c r="V26" s="235">
        <v>2518773.630487089</v>
      </c>
      <c r="W26" s="235">
        <v>42609.706910263209</v>
      </c>
      <c r="X26" s="235">
        <v>39261.950643006305</v>
      </c>
      <c r="Y26" s="235">
        <v>13835.612543096884</v>
      </c>
      <c r="Z26" s="235">
        <v>13835.612543096884</v>
      </c>
      <c r="AA26" s="235">
        <v>4354.5058638698802</v>
      </c>
      <c r="AB26" s="235">
        <v>4354.5058638698802</v>
      </c>
      <c r="AC26" s="235">
        <v>576322.1254704952</v>
      </c>
      <c r="AD26" s="235">
        <v>51303.079387113765</v>
      </c>
      <c r="AE26" s="235">
        <v>20.168837113758066</v>
      </c>
      <c r="AF26" s="235">
        <v>20.168837113758066</v>
      </c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</row>
    <row r="27" spans="1:63" s="133" customFormat="1" ht="12.75">
      <c r="A27" s="168">
        <v>37134</v>
      </c>
      <c r="B27" s="213" t="str">
        <f>Servicio_internaColumna_título_intereses</f>
        <v>Intereses</v>
      </c>
      <c r="C27" s="270">
        <v>0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2"/>
      <c r="V27" s="272"/>
      <c r="W27" s="272"/>
      <c r="X27" s="272"/>
      <c r="Y27" s="272"/>
      <c r="Z27" s="272"/>
      <c r="AA27" s="272"/>
      <c r="AB27" s="272"/>
      <c r="AC27" s="272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</row>
    <row r="28" spans="1:63" s="133" customFormat="1" ht="12.75">
      <c r="A28" s="169"/>
      <c r="B28" s="307" t="str">
        <f>Servicio_internaColumna_título_total</f>
        <v>Total</v>
      </c>
      <c r="C28" s="310">
        <v>0</v>
      </c>
      <c r="D28" s="311">
        <f t="shared" ref="D28:AN28" si="2">+D26+D27</f>
        <v>4393069.5888679791</v>
      </c>
      <c r="E28" s="311">
        <f t="shared" si="2"/>
        <v>6027201.6809812104</v>
      </c>
      <c r="F28" s="311">
        <f t="shared" si="2"/>
        <v>3874657.406782764</v>
      </c>
      <c r="G28" s="311">
        <f t="shared" si="2"/>
        <v>4226974.1549923867</v>
      </c>
      <c r="H28" s="311">
        <f t="shared" si="2"/>
        <v>2339185.4048732957</v>
      </c>
      <c r="I28" s="311">
        <f t="shared" si="2"/>
        <v>2757721.8558889134</v>
      </c>
      <c r="J28" s="311">
        <f t="shared" si="2"/>
        <v>3989345.0268320809</v>
      </c>
      <c r="K28" s="311">
        <f t="shared" si="2"/>
        <v>2933633.001835118</v>
      </c>
      <c r="L28" s="311">
        <f t="shared" si="2"/>
        <v>626649.07153184747</v>
      </c>
      <c r="M28" s="311">
        <f t="shared" si="2"/>
        <v>1428905.4583617358</v>
      </c>
      <c r="N28" s="311">
        <f t="shared" si="2"/>
        <v>299271.43350437423</v>
      </c>
      <c r="O28" s="311">
        <f t="shared" si="2"/>
        <v>261072.71477479531</v>
      </c>
      <c r="P28" s="311">
        <f t="shared" si="2"/>
        <v>175959.67120000752</v>
      </c>
      <c r="Q28" s="311">
        <f t="shared" si="2"/>
        <v>158498.96807767352</v>
      </c>
      <c r="R28" s="311">
        <f t="shared" si="2"/>
        <v>612363.990606484</v>
      </c>
      <c r="S28" s="311">
        <f t="shared" si="2"/>
        <v>87480.828013210237</v>
      </c>
      <c r="T28" s="311">
        <f t="shared" si="2"/>
        <v>60765.738511456257</v>
      </c>
      <c r="U28" s="311">
        <f t="shared" si="2"/>
        <v>49824.855020172814</v>
      </c>
      <c r="V28" s="311">
        <f t="shared" si="2"/>
        <v>2518773.630487089</v>
      </c>
      <c r="W28" s="311">
        <f t="shared" si="2"/>
        <v>42609.706910263209</v>
      </c>
      <c r="X28" s="311">
        <f t="shared" si="2"/>
        <v>39261.950643006305</v>
      </c>
      <c r="Y28" s="311">
        <f t="shared" si="2"/>
        <v>13835.612543096884</v>
      </c>
      <c r="Z28" s="311">
        <f t="shared" si="2"/>
        <v>13835.612543096884</v>
      </c>
      <c r="AA28" s="311">
        <f t="shared" si="2"/>
        <v>4354.5058638698802</v>
      </c>
      <c r="AB28" s="311">
        <f t="shared" si="2"/>
        <v>4354.5058638698802</v>
      </c>
      <c r="AC28" s="311">
        <f t="shared" si="2"/>
        <v>576322.1254704952</v>
      </c>
      <c r="AD28" s="311">
        <f t="shared" si="2"/>
        <v>51303.079387113765</v>
      </c>
      <c r="AE28" s="311">
        <f t="shared" si="2"/>
        <v>20.168837113758066</v>
      </c>
      <c r="AF28" s="311">
        <f t="shared" si="2"/>
        <v>20.168837113758066</v>
      </c>
      <c r="AG28" s="311">
        <f t="shared" si="2"/>
        <v>0</v>
      </c>
      <c r="AH28" s="311">
        <f t="shared" si="2"/>
        <v>0</v>
      </c>
      <c r="AI28" s="311">
        <f t="shared" si="2"/>
        <v>0</v>
      </c>
      <c r="AJ28" s="311">
        <f t="shared" si="2"/>
        <v>0</v>
      </c>
      <c r="AK28" s="311">
        <f t="shared" si="2"/>
        <v>0</v>
      </c>
      <c r="AL28" s="311">
        <f t="shared" si="2"/>
        <v>0</v>
      </c>
      <c r="AM28" s="311">
        <f t="shared" si="2"/>
        <v>0</v>
      </c>
      <c r="AN28" s="311">
        <f t="shared" si="2"/>
        <v>0</v>
      </c>
      <c r="AO28" s="311"/>
      <c r="AP28" s="311"/>
      <c r="AQ28" s="311"/>
      <c r="AR28" s="311"/>
      <c r="AS28" s="311"/>
      <c r="AT28" s="311"/>
      <c r="AU28" s="311"/>
      <c r="AV28" s="311"/>
      <c r="AW28" s="311"/>
      <c r="AX28" s="311"/>
      <c r="AY28" s="311"/>
      <c r="AZ28" s="311"/>
      <c r="BA28" s="311"/>
      <c r="BB28" s="311"/>
      <c r="BC28" s="311"/>
      <c r="BD28" s="311"/>
      <c r="BE28" s="311"/>
      <c r="BF28" s="311"/>
      <c r="BG28" s="311"/>
      <c r="BH28" s="311"/>
      <c r="BI28" s="311"/>
      <c r="BJ28" s="311"/>
      <c r="BK28" s="311"/>
    </row>
    <row r="29" spans="1:63" s="80" customFormat="1" ht="12.75">
      <c r="A29" s="167"/>
      <c r="B29" s="210" t="str">
        <f>Servicio_internaColumna_título_amortizaciones</f>
        <v>Amortizaciones</v>
      </c>
      <c r="C29" s="269">
        <v>1791026.9540556038</v>
      </c>
      <c r="D29" s="235">
        <v>4393296.9377826098</v>
      </c>
      <c r="E29" s="235">
        <v>6095554.3534296341</v>
      </c>
      <c r="F29" s="235">
        <v>3916509.145697121</v>
      </c>
      <c r="G29" s="235">
        <v>4270253.1182880411</v>
      </c>
      <c r="H29" s="235">
        <v>2362795.8829517453</v>
      </c>
      <c r="I29" s="235">
        <v>2818709.3213635543</v>
      </c>
      <c r="J29" s="235">
        <v>4074627.918260524</v>
      </c>
      <c r="K29" s="235">
        <v>3005562.2222496634</v>
      </c>
      <c r="L29" s="235">
        <v>667793.29386583809</v>
      </c>
      <c r="M29" s="235">
        <v>1478168.5445398933</v>
      </c>
      <c r="N29" s="235">
        <v>335798.91866297467</v>
      </c>
      <c r="O29" s="235">
        <v>297081.44065948686</v>
      </c>
      <c r="P29" s="235">
        <v>211388.83494909355</v>
      </c>
      <c r="Q29" s="235">
        <v>193552.55492089767</v>
      </c>
      <c r="R29" s="235">
        <v>653494.51116158266</v>
      </c>
      <c r="S29" s="235">
        <v>121675.93365693752</v>
      </c>
      <c r="T29" s="235">
        <v>94439.53821325826</v>
      </c>
      <c r="U29" s="235">
        <v>83380.67390331332</v>
      </c>
      <c r="V29" s="235">
        <v>2585515.0729255024</v>
      </c>
      <c r="W29" s="235">
        <v>75856.969299408796</v>
      </c>
      <c r="X29" s="235">
        <v>41304.616296131127</v>
      </c>
      <c r="Y29" s="235">
        <v>14050.002591811291</v>
      </c>
      <c r="Z29" s="235">
        <v>14050.002591811291</v>
      </c>
      <c r="AA29" s="235">
        <v>4438.4527134917425</v>
      </c>
      <c r="AB29" s="235">
        <v>4438.4527134917425</v>
      </c>
      <c r="AC29" s="235">
        <v>584075.78876421636</v>
      </c>
      <c r="AD29" s="235">
        <v>51993.307184712714</v>
      </c>
      <c r="AE29" s="235">
        <v>20.453034712712903</v>
      </c>
      <c r="AF29" s="235">
        <v>20.453034712712903</v>
      </c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</row>
    <row r="30" spans="1:63" s="133" customFormat="1" ht="12.75">
      <c r="A30" s="168">
        <v>37164</v>
      </c>
      <c r="B30" s="213" t="str">
        <f>Servicio_internaColumna_título_intereses</f>
        <v>Intereses</v>
      </c>
      <c r="C30" s="270">
        <v>0</v>
      </c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2"/>
      <c r="V30" s="272"/>
      <c r="W30" s="272"/>
      <c r="X30" s="272"/>
      <c r="Y30" s="272"/>
      <c r="Z30" s="272"/>
      <c r="AA30" s="272"/>
      <c r="AB30" s="272"/>
      <c r="AC30" s="272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</row>
    <row r="31" spans="1:63" s="133" customFormat="1" ht="12.75">
      <c r="A31" s="169"/>
      <c r="B31" s="307" t="str">
        <f>Servicio_internaColumna_título_total</f>
        <v>Total</v>
      </c>
      <c r="C31" s="310">
        <v>0</v>
      </c>
      <c r="D31" s="311">
        <f t="shared" ref="D31:AN31" si="3">+D29+D30</f>
        <v>4393296.9377826098</v>
      </c>
      <c r="E31" s="311">
        <f t="shared" si="3"/>
        <v>6095554.3534296341</v>
      </c>
      <c r="F31" s="311">
        <f t="shared" si="3"/>
        <v>3916509.145697121</v>
      </c>
      <c r="G31" s="311">
        <f t="shared" si="3"/>
        <v>4270253.1182880411</v>
      </c>
      <c r="H31" s="311">
        <f t="shared" si="3"/>
        <v>2362795.8829517453</v>
      </c>
      <c r="I31" s="311">
        <f t="shared" si="3"/>
        <v>2818709.3213635543</v>
      </c>
      <c r="J31" s="311">
        <f t="shared" si="3"/>
        <v>4074627.918260524</v>
      </c>
      <c r="K31" s="311">
        <f t="shared" si="3"/>
        <v>3005562.2222496634</v>
      </c>
      <c r="L31" s="311">
        <f t="shared" si="3"/>
        <v>667793.29386583809</v>
      </c>
      <c r="M31" s="311">
        <f t="shared" si="3"/>
        <v>1478168.5445398933</v>
      </c>
      <c r="N31" s="311">
        <f t="shared" si="3"/>
        <v>335798.91866297467</v>
      </c>
      <c r="O31" s="311">
        <f t="shared" si="3"/>
        <v>297081.44065948686</v>
      </c>
      <c r="P31" s="311">
        <f t="shared" si="3"/>
        <v>211388.83494909355</v>
      </c>
      <c r="Q31" s="311">
        <f t="shared" si="3"/>
        <v>193552.55492089767</v>
      </c>
      <c r="R31" s="311">
        <f t="shared" si="3"/>
        <v>653494.51116158266</v>
      </c>
      <c r="S31" s="311">
        <f t="shared" si="3"/>
        <v>121675.93365693752</v>
      </c>
      <c r="T31" s="311">
        <f t="shared" si="3"/>
        <v>94439.53821325826</v>
      </c>
      <c r="U31" s="311">
        <f t="shared" si="3"/>
        <v>83380.67390331332</v>
      </c>
      <c r="V31" s="311">
        <f t="shared" si="3"/>
        <v>2585515.0729255024</v>
      </c>
      <c r="W31" s="311">
        <f t="shared" si="3"/>
        <v>75856.969299408796</v>
      </c>
      <c r="X31" s="311">
        <f t="shared" si="3"/>
        <v>41304.616296131127</v>
      </c>
      <c r="Y31" s="311">
        <f t="shared" si="3"/>
        <v>14050.002591811291</v>
      </c>
      <c r="Z31" s="311">
        <f t="shared" si="3"/>
        <v>14050.002591811291</v>
      </c>
      <c r="AA31" s="311">
        <f t="shared" si="3"/>
        <v>4438.4527134917425</v>
      </c>
      <c r="AB31" s="311">
        <f t="shared" si="3"/>
        <v>4438.4527134917425</v>
      </c>
      <c r="AC31" s="311">
        <f t="shared" si="3"/>
        <v>584075.78876421636</v>
      </c>
      <c r="AD31" s="311">
        <f t="shared" si="3"/>
        <v>51993.307184712714</v>
      </c>
      <c r="AE31" s="311">
        <f t="shared" si="3"/>
        <v>20.453034712712903</v>
      </c>
      <c r="AF31" s="311">
        <f t="shared" si="3"/>
        <v>20.453034712712903</v>
      </c>
      <c r="AG31" s="311">
        <f t="shared" si="3"/>
        <v>0</v>
      </c>
      <c r="AH31" s="311">
        <f t="shared" si="3"/>
        <v>0</v>
      </c>
      <c r="AI31" s="311">
        <f t="shared" si="3"/>
        <v>0</v>
      </c>
      <c r="AJ31" s="311">
        <f t="shared" si="3"/>
        <v>0</v>
      </c>
      <c r="AK31" s="311">
        <f t="shared" si="3"/>
        <v>0</v>
      </c>
      <c r="AL31" s="311">
        <f t="shared" si="3"/>
        <v>0</v>
      </c>
      <c r="AM31" s="311">
        <f t="shared" si="3"/>
        <v>0</v>
      </c>
      <c r="AN31" s="311">
        <f t="shared" si="3"/>
        <v>0</v>
      </c>
      <c r="AO31" s="311"/>
      <c r="AP31" s="311"/>
      <c r="AQ31" s="311"/>
      <c r="AR31" s="311"/>
      <c r="AS31" s="311"/>
      <c r="AT31" s="311"/>
      <c r="AU31" s="311"/>
      <c r="AV31" s="311"/>
      <c r="AW31" s="311"/>
      <c r="AX31" s="311"/>
      <c r="AY31" s="311"/>
      <c r="AZ31" s="311"/>
      <c r="BA31" s="311"/>
      <c r="BB31" s="311"/>
      <c r="BC31" s="311"/>
      <c r="BD31" s="311"/>
      <c r="BE31" s="311"/>
      <c r="BF31" s="311"/>
      <c r="BG31" s="311"/>
      <c r="BH31" s="311"/>
      <c r="BI31" s="311"/>
      <c r="BJ31" s="311"/>
      <c r="BK31" s="311"/>
    </row>
    <row r="32" spans="1:63" s="80" customFormat="1" ht="12.75">
      <c r="A32" s="167"/>
      <c r="B32" s="210" t="str">
        <f>Servicio_internaColumna_título_amortizaciones</f>
        <v>Amortizaciones</v>
      </c>
      <c r="C32" s="269">
        <v>1765624.7597382604</v>
      </c>
      <c r="D32" s="235">
        <v>4336181.2636711756</v>
      </c>
      <c r="E32" s="235">
        <v>6015113.129513585</v>
      </c>
      <c r="F32" s="235">
        <v>3874837.9181716056</v>
      </c>
      <c r="G32" s="235">
        <v>4203653.8894109065</v>
      </c>
      <c r="H32" s="235">
        <v>2335712.1029842198</v>
      </c>
      <c r="I32" s="235">
        <v>2783728.0937518743</v>
      </c>
      <c r="J32" s="235">
        <v>4013009.7977807638</v>
      </c>
      <c r="K32" s="235">
        <v>2969181.0140405251</v>
      </c>
      <c r="L32" s="235">
        <v>653669.21606976853</v>
      </c>
      <c r="M32" s="235">
        <v>1450036.0127530193</v>
      </c>
      <c r="N32" s="235">
        <v>331753.20984735666</v>
      </c>
      <c r="O32" s="235">
        <v>293604.76926231239</v>
      </c>
      <c r="P32" s="235">
        <v>209377.0503815049</v>
      </c>
      <c r="Q32" s="235">
        <v>192056.66580426361</v>
      </c>
      <c r="R32" s="235">
        <v>647172.73522687622</v>
      </c>
      <c r="S32" s="235">
        <v>120813.07087296958</v>
      </c>
      <c r="T32" s="235">
        <v>93598.363737589607</v>
      </c>
      <c r="U32" s="235">
        <v>82579.875516879052</v>
      </c>
      <c r="V32" s="235">
        <v>2560957.9289835813</v>
      </c>
      <c r="W32" s="235">
        <v>75172.51200020955</v>
      </c>
      <c r="X32" s="235">
        <v>40871.771432230635</v>
      </c>
      <c r="Y32" s="235">
        <v>14066.93632202916</v>
      </c>
      <c r="Z32" s="235">
        <v>14066.93632202916</v>
      </c>
      <c r="AA32" s="235">
        <v>4546.7546687694648</v>
      </c>
      <c r="AB32" s="235">
        <v>4546.7546687694648</v>
      </c>
      <c r="AC32" s="235">
        <v>578523.35455489787</v>
      </c>
      <c r="AD32" s="235">
        <v>51498.895099070876</v>
      </c>
      <c r="AE32" s="235">
        <v>20.099399070877418</v>
      </c>
      <c r="AF32" s="235">
        <v>20.099399070877418</v>
      </c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</row>
    <row r="33" spans="1:63" s="133" customFormat="1" ht="12.75">
      <c r="A33" s="168">
        <v>37195</v>
      </c>
      <c r="B33" s="213" t="str">
        <f>Servicio_internaColumna_título_intereses</f>
        <v>Intereses</v>
      </c>
      <c r="C33" s="270">
        <v>0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2"/>
      <c r="V33" s="272"/>
      <c r="W33" s="272"/>
      <c r="X33" s="272"/>
      <c r="Y33" s="272"/>
      <c r="Z33" s="272"/>
      <c r="AA33" s="272"/>
      <c r="AB33" s="272"/>
      <c r="AC33" s="272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</row>
    <row r="34" spans="1:63" s="133" customFormat="1" ht="12.75">
      <c r="A34" s="169"/>
      <c r="B34" s="307" t="str">
        <f>Servicio_internaColumna_título_total</f>
        <v>Total</v>
      </c>
      <c r="C34" s="310">
        <v>0</v>
      </c>
      <c r="D34" s="311">
        <f t="shared" ref="D34:AN34" si="4">+D32+D33</f>
        <v>4336181.2636711756</v>
      </c>
      <c r="E34" s="311">
        <f t="shared" si="4"/>
        <v>6015113.129513585</v>
      </c>
      <c r="F34" s="311">
        <f t="shared" si="4"/>
        <v>3874837.9181716056</v>
      </c>
      <c r="G34" s="311">
        <f t="shared" si="4"/>
        <v>4203653.8894109065</v>
      </c>
      <c r="H34" s="311">
        <f t="shared" si="4"/>
        <v>2335712.1029842198</v>
      </c>
      <c r="I34" s="311">
        <f t="shared" si="4"/>
        <v>2783728.0937518743</v>
      </c>
      <c r="J34" s="311">
        <f t="shared" si="4"/>
        <v>4013009.7977807638</v>
      </c>
      <c r="K34" s="311">
        <f t="shared" si="4"/>
        <v>2969181.0140405251</v>
      </c>
      <c r="L34" s="311">
        <f t="shared" si="4"/>
        <v>653669.21606976853</v>
      </c>
      <c r="M34" s="311">
        <f t="shared" si="4"/>
        <v>1450036.0127530193</v>
      </c>
      <c r="N34" s="311">
        <f t="shared" si="4"/>
        <v>331753.20984735666</v>
      </c>
      <c r="O34" s="311">
        <f t="shared" si="4"/>
        <v>293604.76926231239</v>
      </c>
      <c r="P34" s="311">
        <f t="shared" si="4"/>
        <v>209377.0503815049</v>
      </c>
      <c r="Q34" s="311">
        <f t="shared" si="4"/>
        <v>192056.66580426361</v>
      </c>
      <c r="R34" s="311">
        <f t="shared" si="4"/>
        <v>647172.73522687622</v>
      </c>
      <c r="S34" s="311">
        <f t="shared" si="4"/>
        <v>120813.07087296958</v>
      </c>
      <c r="T34" s="311">
        <f t="shared" si="4"/>
        <v>93598.363737589607</v>
      </c>
      <c r="U34" s="311">
        <f t="shared" si="4"/>
        <v>82579.875516879052</v>
      </c>
      <c r="V34" s="311">
        <f t="shared" si="4"/>
        <v>2560957.9289835813</v>
      </c>
      <c r="W34" s="311">
        <f t="shared" si="4"/>
        <v>75172.51200020955</v>
      </c>
      <c r="X34" s="311">
        <f t="shared" si="4"/>
        <v>40871.771432230635</v>
      </c>
      <c r="Y34" s="311">
        <f t="shared" si="4"/>
        <v>14066.93632202916</v>
      </c>
      <c r="Z34" s="311">
        <f t="shared" si="4"/>
        <v>14066.93632202916</v>
      </c>
      <c r="AA34" s="311">
        <f t="shared" si="4"/>
        <v>4546.7546687694648</v>
      </c>
      <c r="AB34" s="311">
        <f t="shared" si="4"/>
        <v>4546.7546687694648</v>
      </c>
      <c r="AC34" s="311">
        <f t="shared" si="4"/>
        <v>578523.35455489787</v>
      </c>
      <c r="AD34" s="311">
        <f t="shared" si="4"/>
        <v>51498.895099070876</v>
      </c>
      <c r="AE34" s="311">
        <f t="shared" si="4"/>
        <v>20.099399070877418</v>
      </c>
      <c r="AF34" s="311">
        <f t="shared" si="4"/>
        <v>20.099399070877418</v>
      </c>
      <c r="AG34" s="311">
        <f t="shared" si="4"/>
        <v>0</v>
      </c>
      <c r="AH34" s="311">
        <f t="shared" si="4"/>
        <v>0</v>
      </c>
      <c r="AI34" s="311">
        <f t="shared" si="4"/>
        <v>0</v>
      </c>
      <c r="AJ34" s="311">
        <f t="shared" si="4"/>
        <v>0</v>
      </c>
      <c r="AK34" s="311">
        <f t="shared" si="4"/>
        <v>0</v>
      </c>
      <c r="AL34" s="311">
        <f t="shared" si="4"/>
        <v>0</v>
      </c>
      <c r="AM34" s="311">
        <f t="shared" si="4"/>
        <v>0</v>
      </c>
      <c r="AN34" s="311">
        <f t="shared" si="4"/>
        <v>0</v>
      </c>
      <c r="AO34" s="311"/>
      <c r="AP34" s="311"/>
      <c r="AQ34" s="311"/>
      <c r="AR34" s="311"/>
      <c r="AS34" s="311"/>
      <c r="AT34" s="311"/>
      <c r="AU34" s="311"/>
      <c r="AV34" s="311"/>
      <c r="AW34" s="311"/>
      <c r="AX34" s="311"/>
      <c r="AY34" s="311"/>
      <c r="AZ34" s="311"/>
      <c r="BA34" s="311"/>
      <c r="BB34" s="311"/>
      <c r="BC34" s="311"/>
      <c r="BD34" s="311"/>
      <c r="BE34" s="311"/>
      <c r="BF34" s="311"/>
      <c r="BG34" s="311"/>
      <c r="BH34" s="311"/>
      <c r="BI34" s="311"/>
      <c r="BJ34" s="311"/>
      <c r="BK34" s="311"/>
    </row>
    <row r="35" spans="1:63" s="80" customFormat="1" ht="12.75">
      <c r="A35" s="167"/>
      <c r="B35" s="210" t="str">
        <f>Servicio_internaColumna_título_amortizaciones</f>
        <v>Amortizaciones</v>
      </c>
      <c r="C35" s="269">
        <v>1307835.2437551704</v>
      </c>
      <c r="D35" s="235">
        <v>4299400.6716696257</v>
      </c>
      <c r="E35" s="235">
        <v>5997856.9405739922</v>
      </c>
      <c r="F35" s="235">
        <v>3872526.3958968264</v>
      </c>
      <c r="G35" s="235">
        <v>4190973.9608744704</v>
      </c>
      <c r="H35" s="235">
        <v>2333848.7888822099</v>
      </c>
      <c r="I35" s="235">
        <v>2781988.7368821781</v>
      </c>
      <c r="J35" s="235">
        <v>3995874.9022063306</v>
      </c>
      <c r="K35" s="235">
        <v>2966954.4934177976</v>
      </c>
      <c r="L35" s="235">
        <v>652919.3006537694</v>
      </c>
      <c r="M35" s="235">
        <v>1443411.8886429835</v>
      </c>
      <c r="N35" s="235">
        <v>1485867.5140838267</v>
      </c>
      <c r="O35" s="235">
        <v>293599.69240196631</v>
      </c>
      <c r="P35" s="235">
        <v>209616.85851407374</v>
      </c>
      <c r="Q35" s="235">
        <v>192461.35652482216</v>
      </c>
      <c r="R35" s="235">
        <v>647341.96274708305</v>
      </c>
      <c r="S35" s="235">
        <v>121624.90211669132</v>
      </c>
      <c r="T35" s="235">
        <v>94284.084895378473</v>
      </c>
      <c r="U35" s="235">
        <v>83283.315155350938</v>
      </c>
      <c r="V35" s="235">
        <v>2559185.3037538198</v>
      </c>
      <c r="W35" s="235">
        <v>74953.342468030547</v>
      </c>
      <c r="X35" s="235">
        <v>40669.393699605127</v>
      </c>
      <c r="Y35" s="235">
        <v>14058.025992244196</v>
      </c>
      <c r="Z35" s="235">
        <v>14058.025992244196</v>
      </c>
      <c r="AA35" s="235">
        <v>4543.7377337447897</v>
      </c>
      <c r="AB35" s="235">
        <v>4543.7377337447897</v>
      </c>
      <c r="AC35" s="235">
        <v>578165.0218486517</v>
      </c>
      <c r="AD35" s="235">
        <v>51466.812804951769</v>
      </c>
      <c r="AE35" s="235">
        <v>19.884654951764514</v>
      </c>
      <c r="AF35" s="235">
        <v>19.884654951764514</v>
      </c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</row>
    <row r="36" spans="1:63" s="133" customFormat="1" ht="12.75">
      <c r="A36" s="168">
        <v>37196</v>
      </c>
      <c r="B36" s="213" t="str">
        <f>Servicio_internaColumna_título_intereses</f>
        <v>Intereses</v>
      </c>
      <c r="C36" s="270">
        <v>0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272"/>
      <c r="W36" s="272"/>
      <c r="X36" s="272"/>
      <c r="Y36" s="272"/>
      <c r="Z36" s="272"/>
      <c r="AA36" s="272"/>
      <c r="AB36" s="272"/>
      <c r="AC36" s="272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</row>
    <row r="37" spans="1:63" s="133" customFormat="1" ht="12.75">
      <c r="A37" s="169"/>
      <c r="B37" s="307" t="str">
        <f>Servicio_internaColumna_título_total</f>
        <v>Total</v>
      </c>
      <c r="C37" s="310">
        <v>0</v>
      </c>
      <c r="D37" s="311">
        <f t="shared" ref="D37:AN37" si="5">+D35+D36</f>
        <v>4299400.6716696257</v>
      </c>
      <c r="E37" s="311">
        <f t="shared" si="5"/>
        <v>5997856.9405739922</v>
      </c>
      <c r="F37" s="311">
        <f t="shared" si="5"/>
        <v>3872526.3958968264</v>
      </c>
      <c r="G37" s="311">
        <f t="shared" si="5"/>
        <v>4190973.9608744704</v>
      </c>
      <c r="H37" s="311">
        <f t="shared" si="5"/>
        <v>2333848.7888822099</v>
      </c>
      <c r="I37" s="311">
        <f t="shared" si="5"/>
        <v>2781988.7368821781</v>
      </c>
      <c r="J37" s="311">
        <f t="shared" si="5"/>
        <v>3995874.9022063306</v>
      </c>
      <c r="K37" s="311">
        <f t="shared" si="5"/>
        <v>2966954.4934177976</v>
      </c>
      <c r="L37" s="311">
        <f t="shared" si="5"/>
        <v>652919.3006537694</v>
      </c>
      <c r="M37" s="311">
        <f t="shared" si="5"/>
        <v>1443411.8886429835</v>
      </c>
      <c r="N37" s="311">
        <f t="shared" si="5"/>
        <v>1485867.5140838267</v>
      </c>
      <c r="O37" s="311">
        <f t="shared" si="5"/>
        <v>293599.69240196631</v>
      </c>
      <c r="P37" s="311">
        <f t="shared" si="5"/>
        <v>209616.85851407374</v>
      </c>
      <c r="Q37" s="311">
        <f t="shared" si="5"/>
        <v>192461.35652482216</v>
      </c>
      <c r="R37" s="311">
        <f t="shared" si="5"/>
        <v>647341.96274708305</v>
      </c>
      <c r="S37" s="311">
        <f t="shared" si="5"/>
        <v>121624.90211669132</v>
      </c>
      <c r="T37" s="311">
        <f t="shared" si="5"/>
        <v>94284.084895378473</v>
      </c>
      <c r="U37" s="311">
        <f t="shared" si="5"/>
        <v>83283.315155350938</v>
      </c>
      <c r="V37" s="311">
        <f t="shared" si="5"/>
        <v>2559185.3037538198</v>
      </c>
      <c r="W37" s="311">
        <f t="shared" si="5"/>
        <v>74953.342468030547</v>
      </c>
      <c r="X37" s="311">
        <f t="shared" si="5"/>
        <v>40669.393699605127</v>
      </c>
      <c r="Y37" s="311">
        <f t="shared" si="5"/>
        <v>14058.025992244196</v>
      </c>
      <c r="Z37" s="311">
        <f t="shared" si="5"/>
        <v>14058.025992244196</v>
      </c>
      <c r="AA37" s="311">
        <f t="shared" si="5"/>
        <v>4543.7377337447897</v>
      </c>
      <c r="AB37" s="311">
        <f t="shared" si="5"/>
        <v>4543.7377337447897</v>
      </c>
      <c r="AC37" s="311">
        <f t="shared" si="5"/>
        <v>578165.0218486517</v>
      </c>
      <c r="AD37" s="311">
        <f t="shared" si="5"/>
        <v>51466.812804951769</v>
      </c>
      <c r="AE37" s="311">
        <f t="shared" si="5"/>
        <v>19.884654951764514</v>
      </c>
      <c r="AF37" s="311">
        <f t="shared" si="5"/>
        <v>19.884654951764514</v>
      </c>
      <c r="AG37" s="311">
        <f t="shared" si="5"/>
        <v>0</v>
      </c>
      <c r="AH37" s="311">
        <f t="shared" si="5"/>
        <v>0</v>
      </c>
      <c r="AI37" s="311">
        <f t="shared" si="5"/>
        <v>0</v>
      </c>
      <c r="AJ37" s="311">
        <f t="shared" si="5"/>
        <v>0</v>
      </c>
      <c r="AK37" s="311">
        <f t="shared" si="5"/>
        <v>0</v>
      </c>
      <c r="AL37" s="311">
        <f t="shared" si="5"/>
        <v>0</v>
      </c>
      <c r="AM37" s="311">
        <f t="shared" si="5"/>
        <v>0</v>
      </c>
      <c r="AN37" s="311">
        <f t="shared" si="5"/>
        <v>0</v>
      </c>
      <c r="AO37" s="311"/>
      <c r="AP37" s="311"/>
      <c r="AQ37" s="311"/>
      <c r="AR37" s="311"/>
      <c r="AS37" s="311"/>
      <c r="AT37" s="311"/>
      <c r="AU37" s="311"/>
      <c r="AV37" s="311"/>
      <c r="AW37" s="311"/>
      <c r="AX37" s="311"/>
      <c r="AY37" s="311"/>
      <c r="AZ37" s="311"/>
      <c r="BA37" s="311"/>
      <c r="BB37" s="311"/>
      <c r="BC37" s="311"/>
      <c r="BD37" s="311"/>
      <c r="BE37" s="311"/>
      <c r="BF37" s="311"/>
      <c r="BG37" s="311"/>
      <c r="BH37" s="311"/>
      <c r="BI37" s="311"/>
      <c r="BJ37" s="311"/>
      <c r="BK37" s="311"/>
    </row>
    <row r="38" spans="1:63" s="80" customFormat="1" ht="12.75">
      <c r="A38" s="167"/>
      <c r="B38" s="210" t="str">
        <f>Servicio_internaColumna_título_amortizaciones</f>
        <v>Amortizaciones</v>
      </c>
      <c r="C38" s="269">
        <v>0</v>
      </c>
      <c r="D38" s="235">
        <v>4559422.361323785</v>
      </c>
      <c r="E38" s="235">
        <v>6166392.8959472924</v>
      </c>
      <c r="F38" s="235">
        <v>3989629.9701257837</v>
      </c>
      <c r="G38" s="235">
        <v>4271826.7919295141</v>
      </c>
      <c r="H38" s="235">
        <v>2424357.2228731331</v>
      </c>
      <c r="I38" s="235">
        <v>2882726.2063381891</v>
      </c>
      <c r="J38" s="235">
        <v>4084017.6059096172</v>
      </c>
      <c r="K38" s="235">
        <v>3025120.7002080828</v>
      </c>
      <c r="L38" s="235">
        <v>788965.87832145672</v>
      </c>
      <c r="M38" s="235">
        <v>1579161.1305325786</v>
      </c>
      <c r="N38" s="235">
        <v>2500749.3241360742</v>
      </c>
      <c r="O38" s="235">
        <v>397864.64914170688</v>
      </c>
      <c r="P38" s="235">
        <v>313349.44572642783</v>
      </c>
      <c r="Q38" s="235">
        <v>295392.9808434759</v>
      </c>
      <c r="R38" s="235">
        <v>685372.05877353181</v>
      </c>
      <c r="S38" s="235">
        <v>162684.29141650427</v>
      </c>
      <c r="T38" s="235">
        <v>124698.34938262976</v>
      </c>
      <c r="U38" s="235">
        <v>111555.54584403413</v>
      </c>
      <c r="V38" s="235">
        <v>2567863.1461686138</v>
      </c>
      <c r="W38" s="235">
        <v>102259.59384731189</v>
      </c>
      <c r="X38" s="235">
        <v>41408.609344006807</v>
      </c>
      <c r="Y38" s="235">
        <v>15404.688481878684</v>
      </c>
      <c r="Z38" s="235">
        <v>15404.688481878684</v>
      </c>
      <c r="AA38" s="235">
        <v>5734.6103053784973</v>
      </c>
      <c r="AB38" s="235">
        <v>5734.6103053784973</v>
      </c>
      <c r="AC38" s="235">
        <v>573804.70380641369</v>
      </c>
      <c r="AD38" s="235">
        <v>51078.536493575884</v>
      </c>
      <c r="AE38" s="235">
        <v>0</v>
      </c>
      <c r="AF38" s="235">
        <v>0</v>
      </c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</row>
    <row r="39" spans="1:63" s="133" customFormat="1" ht="12.75">
      <c r="A39" s="168">
        <v>37256</v>
      </c>
      <c r="B39" s="213" t="str">
        <f>Servicio_internaColumna_título_intereses</f>
        <v>Intereses</v>
      </c>
      <c r="C39" s="270">
        <v>0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2"/>
      <c r="V39" s="272"/>
      <c r="W39" s="272"/>
      <c r="X39" s="272"/>
      <c r="Y39" s="272"/>
      <c r="Z39" s="272"/>
      <c r="AA39" s="272"/>
      <c r="AB39" s="272"/>
      <c r="AC39" s="272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</row>
    <row r="40" spans="1:63" s="133" customFormat="1" ht="12.75">
      <c r="A40" s="169"/>
      <c r="B40" s="307" t="str">
        <f>Servicio_internaColumna_título_total</f>
        <v>Total</v>
      </c>
      <c r="C40" s="310">
        <v>0</v>
      </c>
      <c r="D40" s="311">
        <f t="shared" ref="D40:AN40" si="6">+D38+D39</f>
        <v>4559422.361323785</v>
      </c>
      <c r="E40" s="311">
        <f t="shared" si="6"/>
        <v>6166392.8959472924</v>
      </c>
      <c r="F40" s="311">
        <f t="shared" si="6"/>
        <v>3989629.9701257837</v>
      </c>
      <c r="G40" s="311">
        <f t="shared" si="6"/>
        <v>4271826.7919295141</v>
      </c>
      <c r="H40" s="311">
        <f t="shared" si="6"/>
        <v>2424357.2228731331</v>
      </c>
      <c r="I40" s="311">
        <f t="shared" si="6"/>
        <v>2882726.2063381891</v>
      </c>
      <c r="J40" s="311">
        <f t="shared" si="6"/>
        <v>4084017.6059096172</v>
      </c>
      <c r="K40" s="311">
        <f t="shared" si="6"/>
        <v>3025120.7002080828</v>
      </c>
      <c r="L40" s="311">
        <f t="shared" si="6"/>
        <v>788965.87832145672</v>
      </c>
      <c r="M40" s="311">
        <f t="shared" si="6"/>
        <v>1579161.1305325786</v>
      </c>
      <c r="N40" s="311">
        <f t="shared" si="6"/>
        <v>2500749.3241360742</v>
      </c>
      <c r="O40" s="311">
        <f t="shared" si="6"/>
        <v>397864.64914170688</v>
      </c>
      <c r="P40" s="311">
        <f t="shared" si="6"/>
        <v>313349.44572642783</v>
      </c>
      <c r="Q40" s="311">
        <f t="shared" si="6"/>
        <v>295392.9808434759</v>
      </c>
      <c r="R40" s="311">
        <f t="shared" si="6"/>
        <v>685372.05877353181</v>
      </c>
      <c r="S40" s="311">
        <f t="shared" si="6"/>
        <v>162684.29141650427</v>
      </c>
      <c r="T40" s="311">
        <f t="shared" si="6"/>
        <v>124698.34938262976</v>
      </c>
      <c r="U40" s="311">
        <f t="shared" si="6"/>
        <v>111555.54584403413</v>
      </c>
      <c r="V40" s="311">
        <f t="shared" si="6"/>
        <v>2567863.1461686138</v>
      </c>
      <c r="W40" s="311">
        <f t="shared" si="6"/>
        <v>102259.59384731189</v>
      </c>
      <c r="X40" s="311">
        <f t="shared" si="6"/>
        <v>41408.609344006807</v>
      </c>
      <c r="Y40" s="311">
        <f t="shared" si="6"/>
        <v>15404.688481878684</v>
      </c>
      <c r="Z40" s="311">
        <f t="shared" si="6"/>
        <v>15404.688481878684</v>
      </c>
      <c r="AA40" s="311">
        <f t="shared" si="6"/>
        <v>5734.6103053784973</v>
      </c>
      <c r="AB40" s="311">
        <f t="shared" si="6"/>
        <v>5734.6103053784973</v>
      </c>
      <c r="AC40" s="311">
        <f t="shared" si="6"/>
        <v>573804.70380641369</v>
      </c>
      <c r="AD40" s="311">
        <f t="shared" si="6"/>
        <v>51078.536493575884</v>
      </c>
      <c r="AE40" s="311">
        <f t="shared" si="6"/>
        <v>0</v>
      </c>
      <c r="AF40" s="311">
        <f t="shared" si="6"/>
        <v>0</v>
      </c>
      <c r="AG40" s="311">
        <f t="shared" si="6"/>
        <v>0</v>
      </c>
      <c r="AH40" s="311">
        <f t="shared" si="6"/>
        <v>0</v>
      </c>
      <c r="AI40" s="311">
        <f t="shared" si="6"/>
        <v>0</v>
      </c>
      <c r="AJ40" s="311">
        <f t="shared" si="6"/>
        <v>0</v>
      </c>
      <c r="AK40" s="311">
        <f t="shared" si="6"/>
        <v>0</v>
      </c>
      <c r="AL40" s="311">
        <f t="shared" si="6"/>
        <v>0</v>
      </c>
      <c r="AM40" s="311">
        <f t="shared" si="6"/>
        <v>0</v>
      </c>
      <c r="AN40" s="311">
        <f t="shared" si="6"/>
        <v>0</v>
      </c>
      <c r="AO40" s="311"/>
      <c r="AP40" s="311"/>
      <c r="AQ40" s="311"/>
      <c r="AR40" s="311"/>
      <c r="AS40" s="311"/>
      <c r="AT40" s="311"/>
      <c r="AU40" s="311"/>
      <c r="AV40" s="311"/>
      <c r="AW40" s="311"/>
      <c r="AX40" s="311"/>
      <c r="AY40" s="311"/>
      <c r="AZ40" s="311"/>
      <c r="BA40" s="311"/>
      <c r="BB40" s="311"/>
      <c r="BC40" s="311"/>
      <c r="BD40" s="311"/>
      <c r="BE40" s="311"/>
      <c r="BF40" s="311"/>
      <c r="BG40" s="311"/>
      <c r="BH40" s="311"/>
      <c r="BI40" s="311"/>
      <c r="BJ40" s="311"/>
      <c r="BK40" s="311"/>
    </row>
    <row r="41" spans="1:63" s="80" customFormat="1" ht="12.75">
      <c r="A41" s="167"/>
      <c r="B41" s="210" t="str">
        <f>Servicio_internaColumna_título_amortizaciones</f>
        <v>Amortizaciones</v>
      </c>
      <c r="C41" s="269">
        <v>0</v>
      </c>
      <c r="D41" s="235">
        <v>4463160.62250691</v>
      </c>
      <c r="E41" s="235">
        <v>6075739.1220098846</v>
      </c>
      <c r="F41" s="235">
        <v>3933520.0147052566</v>
      </c>
      <c r="G41" s="235">
        <v>4160414.5202265317</v>
      </c>
      <c r="H41" s="235">
        <v>2383528.9167764061</v>
      </c>
      <c r="I41" s="235">
        <v>2837028.2600865341</v>
      </c>
      <c r="J41" s="235">
        <v>3936111.1091019376</v>
      </c>
      <c r="K41" s="235">
        <v>2980322.1406318163</v>
      </c>
      <c r="L41" s="235">
        <v>769916.24876204098</v>
      </c>
      <c r="M41" s="235">
        <v>1511381.7690093962</v>
      </c>
      <c r="N41" s="235">
        <v>2465911.8817274868</v>
      </c>
      <c r="O41" s="235">
        <v>388858.94095941371</v>
      </c>
      <c r="P41" s="235">
        <v>305820.29554322339</v>
      </c>
      <c r="Q41" s="235">
        <v>288791.09987430082</v>
      </c>
      <c r="R41" s="235">
        <v>674352.10703654529</v>
      </c>
      <c r="S41" s="235">
        <v>160646.15599870222</v>
      </c>
      <c r="T41" s="235">
        <v>123097.24179852604</v>
      </c>
      <c r="U41" s="235">
        <v>110094.06977227464</v>
      </c>
      <c r="V41" s="235">
        <v>2538178.4000688358</v>
      </c>
      <c r="W41" s="235">
        <v>100836.24999235623</v>
      </c>
      <c r="X41" s="235">
        <v>40623.156054520688</v>
      </c>
      <c r="Y41" s="235">
        <v>15172.009948341401</v>
      </c>
      <c r="Z41" s="235">
        <v>15172.009948341401</v>
      </c>
      <c r="AA41" s="235">
        <v>5692.5325788231276</v>
      </c>
      <c r="AB41" s="235">
        <v>5692.5325788231276</v>
      </c>
      <c r="AC41" s="235">
        <v>567202.86081919586</v>
      </c>
      <c r="AD41" s="235">
        <v>50490.652152281233</v>
      </c>
      <c r="AE41" s="235">
        <v>19.138452281225806</v>
      </c>
      <c r="AF41" s="235">
        <v>19.138452281225806</v>
      </c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</row>
    <row r="42" spans="1:63" s="133" customFormat="1" ht="12.75">
      <c r="A42" s="168">
        <v>37287</v>
      </c>
      <c r="B42" s="213" t="str">
        <f>Servicio_internaColumna_título_intereses</f>
        <v>Intereses</v>
      </c>
      <c r="C42" s="270">
        <v>0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271"/>
      <c r="Q42" s="271"/>
      <c r="R42" s="271"/>
      <c r="S42" s="271"/>
      <c r="T42" s="271"/>
      <c r="U42" s="272"/>
      <c r="V42" s="272"/>
      <c r="W42" s="272"/>
      <c r="X42" s="272"/>
      <c r="Y42" s="272"/>
      <c r="Z42" s="272"/>
      <c r="AA42" s="272"/>
      <c r="AB42" s="272"/>
      <c r="AC42" s="272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</row>
    <row r="43" spans="1:63" s="133" customFormat="1" ht="12.75">
      <c r="A43" s="169"/>
      <c r="B43" s="307" t="str">
        <f>Servicio_internaColumna_título_total</f>
        <v>Total</v>
      </c>
      <c r="C43" s="310">
        <v>0</v>
      </c>
      <c r="D43" s="311">
        <f t="shared" ref="D43:AN43" si="7">+D41+D42</f>
        <v>4463160.62250691</v>
      </c>
      <c r="E43" s="311">
        <f t="shared" si="7"/>
        <v>6075739.1220098846</v>
      </c>
      <c r="F43" s="311">
        <f t="shared" si="7"/>
        <v>3933520.0147052566</v>
      </c>
      <c r="G43" s="311">
        <f t="shared" si="7"/>
        <v>4160414.5202265317</v>
      </c>
      <c r="H43" s="311">
        <f t="shared" si="7"/>
        <v>2383528.9167764061</v>
      </c>
      <c r="I43" s="311">
        <f t="shared" si="7"/>
        <v>2837028.2600865341</v>
      </c>
      <c r="J43" s="311">
        <f t="shared" si="7"/>
        <v>3936111.1091019376</v>
      </c>
      <c r="K43" s="311">
        <f t="shared" si="7"/>
        <v>2980322.1406318163</v>
      </c>
      <c r="L43" s="311">
        <f t="shared" si="7"/>
        <v>769916.24876204098</v>
      </c>
      <c r="M43" s="311">
        <f t="shared" si="7"/>
        <v>1511381.7690093962</v>
      </c>
      <c r="N43" s="311">
        <f t="shared" si="7"/>
        <v>2465911.8817274868</v>
      </c>
      <c r="O43" s="311">
        <f t="shared" si="7"/>
        <v>388858.94095941371</v>
      </c>
      <c r="P43" s="311">
        <f t="shared" si="7"/>
        <v>305820.29554322339</v>
      </c>
      <c r="Q43" s="311">
        <f t="shared" si="7"/>
        <v>288791.09987430082</v>
      </c>
      <c r="R43" s="311">
        <f t="shared" si="7"/>
        <v>674352.10703654529</v>
      </c>
      <c r="S43" s="311">
        <f t="shared" si="7"/>
        <v>160646.15599870222</v>
      </c>
      <c r="T43" s="311">
        <f t="shared" si="7"/>
        <v>123097.24179852604</v>
      </c>
      <c r="U43" s="311">
        <f t="shared" si="7"/>
        <v>110094.06977227464</v>
      </c>
      <c r="V43" s="311">
        <f t="shared" si="7"/>
        <v>2538178.4000688358</v>
      </c>
      <c r="W43" s="311">
        <f t="shared" si="7"/>
        <v>100836.24999235623</v>
      </c>
      <c r="X43" s="311">
        <f t="shared" si="7"/>
        <v>40623.156054520688</v>
      </c>
      <c r="Y43" s="311">
        <f t="shared" si="7"/>
        <v>15172.009948341401</v>
      </c>
      <c r="Z43" s="311">
        <f t="shared" si="7"/>
        <v>15172.009948341401</v>
      </c>
      <c r="AA43" s="311">
        <f t="shared" si="7"/>
        <v>5692.5325788231276</v>
      </c>
      <c r="AB43" s="311">
        <f t="shared" si="7"/>
        <v>5692.5325788231276</v>
      </c>
      <c r="AC43" s="311">
        <f t="shared" si="7"/>
        <v>567202.86081919586</v>
      </c>
      <c r="AD43" s="311">
        <f t="shared" si="7"/>
        <v>50490.652152281233</v>
      </c>
      <c r="AE43" s="311">
        <f t="shared" si="7"/>
        <v>19.138452281225806</v>
      </c>
      <c r="AF43" s="311">
        <f t="shared" si="7"/>
        <v>19.138452281225806</v>
      </c>
      <c r="AG43" s="311">
        <f t="shared" si="7"/>
        <v>0</v>
      </c>
      <c r="AH43" s="311">
        <f t="shared" si="7"/>
        <v>0</v>
      </c>
      <c r="AI43" s="311">
        <f t="shared" si="7"/>
        <v>0</v>
      </c>
      <c r="AJ43" s="311">
        <f t="shared" si="7"/>
        <v>0</v>
      </c>
      <c r="AK43" s="311">
        <f t="shared" si="7"/>
        <v>0</v>
      </c>
      <c r="AL43" s="311">
        <f t="shared" si="7"/>
        <v>0</v>
      </c>
      <c r="AM43" s="311">
        <f t="shared" si="7"/>
        <v>0</v>
      </c>
      <c r="AN43" s="311">
        <f t="shared" si="7"/>
        <v>0</v>
      </c>
      <c r="AO43" s="311"/>
      <c r="AP43" s="311"/>
      <c r="AQ43" s="311"/>
      <c r="AR43" s="311"/>
      <c r="AS43" s="311"/>
      <c r="AT43" s="311"/>
      <c r="AU43" s="311"/>
      <c r="AV43" s="311"/>
      <c r="AW43" s="311"/>
      <c r="AX43" s="311"/>
      <c r="AY43" s="311"/>
      <c r="AZ43" s="311"/>
      <c r="BA43" s="311"/>
      <c r="BB43" s="311"/>
      <c r="BC43" s="311"/>
      <c r="BD43" s="311"/>
      <c r="BE43" s="311"/>
      <c r="BF43" s="311"/>
      <c r="BG43" s="311"/>
      <c r="BH43" s="311"/>
      <c r="BI43" s="311"/>
      <c r="BJ43" s="311"/>
      <c r="BK43" s="311"/>
    </row>
    <row r="44" spans="1:63" s="80" customFormat="1" ht="12.75">
      <c r="A44" s="167"/>
      <c r="B44" s="210" t="str">
        <f>Servicio_internaColumna_título_amortizaciones</f>
        <v>Amortizaciones</v>
      </c>
      <c r="C44" s="269">
        <v>0</v>
      </c>
      <c r="D44" s="235">
        <v>4436147.8589244839</v>
      </c>
      <c r="E44" s="235">
        <v>6194023.999504921</v>
      </c>
      <c r="F44" s="235">
        <v>4009853.2857377599</v>
      </c>
      <c r="G44" s="235">
        <v>4251212.6473358981</v>
      </c>
      <c r="H44" s="235">
        <v>2429123.6705321511</v>
      </c>
      <c r="I44" s="235">
        <v>2893917.3485003407</v>
      </c>
      <c r="J44" s="235">
        <v>4030453.2297256803</v>
      </c>
      <c r="K44" s="235">
        <v>3040668.3474974125</v>
      </c>
      <c r="L44" s="235">
        <v>786339.87359874183</v>
      </c>
      <c r="M44" s="235">
        <v>1549739.9233523346</v>
      </c>
      <c r="N44" s="235">
        <v>2516478.758191491</v>
      </c>
      <c r="O44" s="235">
        <v>401400.48392842885</v>
      </c>
      <c r="P44" s="235">
        <v>314262.26824821747</v>
      </c>
      <c r="Q44" s="235">
        <v>296880.07119448105</v>
      </c>
      <c r="R44" s="235">
        <v>690103.88222744723</v>
      </c>
      <c r="S44" s="235">
        <v>165755.41172460245</v>
      </c>
      <c r="T44" s="235">
        <v>127460.43331667114</v>
      </c>
      <c r="U44" s="235">
        <v>114163.11782316775</v>
      </c>
      <c r="V44" s="235">
        <v>2590511.5499593676</v>
      </c>
      <c r="W44" s="235">
        <v>104792.44751751183</v>
      </c>
      <c r="X44" s="235">
        <v>43378.934208212508</v>
      </c>
      <c r="Y44" s="235">
        <v>16333.080916366873</v>
      </c>
      <c r="Z44" s="235">
        <v>16333.080916366873</v>
      </c>
      <c r="AA44" s="235">
        <v>6528.7058844078583</v>
      </c>
      <c r="AB44" s="235">
        <v>6528.7058844078583</v>
      </c>
      <c r="AC44" s="235">
        <v>578472.68100055703</v>
      </c>
      <c r="AD44" s="235">
        <v>51493.850972999498</v>
      </c>
      <c r="AE44" s="235">
        <v>19.512272999496776</v>
      </c>
      <c r="AF44" s="235">
        <v>19.512272999496776</v>
      </c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</row>
    <row r="45" spans="1:63" s="133" customFormat="1" ht="12.75">
      <c r="A45" s="168">
        <v>37315</v>
      </c>
      <c r="B45" s="213" t="str">
        <f>Servicio_internaColumna_título_intereses</f>
        <v>Intereses</v>
      </c>
      <c r="C45" s="270">
        <v>0</v>
      </c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2"/>
      <c r="V45" s="272"/>
      <c r="W45" s="272"/>
      <c r="X45" s="272"/>
      <c r="Y45" s="272"/>
      <c r="Z45" s="272"/>
      <c r="AA45" s="272"/>
      <c r="AB45" s="272"/>
      <c r="AC45" s="272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</row>
    <row r="46" spans="1:63" s="133" customFormat="1" ht="12.75">
      <c r="A46" s="169"/>
      <c r="B46" s="307" t="str">
        <f>Servicio_internaColumna_título_total</f>
        <v>Total</v>
      </c>
      <c r="C46" s="310">
        <v>0</v>
      </c>
      <c r="D46" s="311">
        <f t="shared" ref="D46:AN46" si="8">+D44+D45</f>
        <v>4436147.8589244839</v>
      </c>
      <c r="E46" s="311">
        <f t="shared" si="8"/>
        <v>6194023.999504921</v>
      </c>
      <c r="F46" s="311">
        <f t="shared" si="8"/>
        <v>4009853.2857377599</v>
      </c>
      <c r="G46" s="311">
        <f t="shared" si="8"/>
        <v>4251212.6473358981</v>
      </c>
      <c r="H46" s="311">
        <f t="shared" si="8"/>
        <v>2429123.6705321511</v>
      </c>
      <c r="I46" s="311">
        <f t="shared" si="8"/>
        <v>2893917.3485003407</v>
      </c>
      <c r="J46" s="311">
        <f t="shared" si="8"/>
        <v>4030453.2297256803</v>
      </c>
      <c r="K46" s="311">
        <f t="shared" si="8"/>
        <v>3040668.3474974125</v>
      </c>
      <c r="L46" s="311">
        <f t="shared" si="8"/>
        <v>786339.87359874183</v>
      </c>
      <c r="M46" s="311">
        <f t="shared" si="8"/>
        <v>1549739.9233523346</v>
      </c>
      <c r="N46" s="311">
        <f t="shared" si="8"/>
        <v>2516478.758191491</v>
      </c>
      <c r="O46" s="311">
        <f t="shared" si="8"/>
        <v>401400.48392842885</v>
      </c>
      <c r="P46" s="311">
        <f t="shared" si="8"/>
        <v>314262.26824821747</v>
      </c>
      <c r="Q46" s="311">
        <f t="shared" si="8"/>
        <v>296880.07119448105</v>
      </c>
      <c r="R46" s="311">
        <f t="shared" si="8"/>
        <v>690103.88222744723</v>
      </c>
      <c r="S46" s="311">
        <f t="shared" si="8"/>
        <v>165755.41172460245</v>
      </c>
      <c r="T46" s="311">
        <f t="shared" si="8"/>
        <v>127460.43331667114</v>
      </c>
      <c r="U46" s="311">
        <f t="shared" si="8"/>
        <v>114163.11782316775</v>
      </c>
      <c r="V46" s="311">
        <f t="shared" si="8"/>
        <v>2590511.5499593676</v>
      </c>
      <c r="W46" s="311">
        <f t="shared" si="8"/>
        <v>104792.44751751183</v>
      </c>
      <c r="X46" s="311">
        <f t="shared" si="8"/>
        <v>43378.934208212508</v>
      </c>
      <c r="Y46" s="311">
        <f t="shared" si="8"/>
        <v>16333.080916366873</v>
      </c>
      <c r="Z46" s="311">
        <f t="shared" si="8"/>
        <v>16333.080916366873</v>
      </c>
      <c r="AA46" s="311">
        <f t="shared" si="8"/>
        <v>6528.7058844078583</v>
      </c>
      <c r="AB46" s="311">
        <f t="shared" si="8"/>
        <v>6528.7058844078583</v>
      </c>
      <c r="AC46" s="311">
        <f t="shared" si="8"/>
        <v>578472.68100055703</v>
      </c>
      <c r="AD46" s="311">
        <f t="shared" si="8"/>
        <v>51493.850972999498</v>
      </c>
      <c r="AE46" s="311">
        <f t="shared" si="8"/>
        <v>19.512272999496776</v>
      </c>
      <c r="AF46" s="311">
        <f t="shared" si="8"/>
        <v>19.512272999496776</v>
      </c>
      <c r="AG46" s="311">
        <f t="shared" si="8"/>
        <v>0</v>
      </c>
      <c r="AH46" s="311">
        <f t="shared" si="8"/>
        <v>0</v>
      </c>
      <c r="AI46" s="311">
        <f t="shared" si="8"/>
        <v>0</v>
      </c>
      <c r="AJ46" s="311">
        <f t="shared" si="8"/>
        <v>0</v>
      </c>
      <c r="AK46" s="311">
        <f t="shared" si="8"/>
        <v>0</v>
      </c>
      <c r="AL46" s="311">
        <f t="shared" si="8"/>
        <v>0</v>
      </c>
      <c r="AM46" s="311">
        <f t="shared" si="8"/>
        <v>0</v>
      </c>
      <c r="AN46" s="311">
        <f t="shared" si="8"/>
        <v>0</v>
      </c>
      <c r="AO46" s="311"/>
      <c r="AP46" s="311"/>
      <c r="AQ46" s="311"/>
      <c r="AR46" s="311"/>
      <c r="AS46" s="311"/>
      <c r="AT46" s="311"/>
      <c r="AU46" s="311"/>
      <c r="AV46" s="311"/>
      <c r="AW46" s="311"/>
      <c r="AX46" s="311"/>
      <c r="AY46" s="311"/>
      <c r="AZ46" s="311"/>
      <c r="BA46" s="311"/>
      <c r="BB46" s="311"/>
      <c r="BC46" s="311"/>
      <c r="BD46" s="311"/>
      <c r="BE46" s="311"/>
      <c r="BF46" s="311"/>
      <c r="BG46" s="311"/>
      <c r="BH46" s="311"/>
      <c r="BI46" s="311"/>
      <c r="BJ46" s="311"/>
      <c r="BK46" s="311"/>
    </row>
    <row r="47" spans="1:63" s="80" customFormat="1" ht="12.75">
      <c r="A47" s="167"/>
      <c r="B47" s="210" t="str">
        <f>Servicio_internaColumna_título_amortizaciones</f>
        <v>Amortizaciones</v>
      </c>
      <c r="C47" s="269">
        <v>0</v>
      </c>
      <c r="D47" s="235">
        <v>3919598.7134514302</v>
      </c>
      <c r="E47" s="235">
        <v>6052658.3400996597</v>
      </c>
      <c r="F47" s="235">
        <v>3916042.5407084017</v>
      </c>
      <c r="G47" s="235">
        <v>4164149.2939611864</v>
      </c>
      <c r="H47" s="235">
        <v>2375884.4628108628</v>
      </c>
      <c r="I47" s="235">
        <v>2832404.4268672266</v>
      </c>
      <c r="J47" s="235">
        <v>3962860.8388666385</v>
      </c>
      <c r="K47" s="235">
        <v>2977679.4861579444</v>
      </c>
      <c r="L47" s="235">
        <v>771083.60523339012</v>
      </c>
      <c r="M47" s="235">
        <v>1523436.3442528113</v>
      </c>
      <c r="N47" s="235">
        <v>2464635.8129719025</v>
      </c>
      <c r="O47" s="235">
        <v>393935.65728464356</v>
      </c>
      <c r="P47" s="235">
        <v>309290.52022713126</v>
      </c>
      <c r="Q47" s="235">
        <v>292165.01957013621</v>
      </c>
      <c r="R47" s="235">
        <v>677056.86455980281</v>
      </c>
      <c r="S47" s="235">
        <v>163286.03830741407</v>
      </c>
      <c r="T47" s="235">
        <v>125278.50304138243</v>
      </c>
      <c r="U47" s="235">
        <v>112212.49924396901</v>
      </c>
      <c r="V47" s="235">
        <v>2536331.6511965999</v>
      </c>
      <c r="W47" s="235">
        <v>102890.16526583297</v>
      </c>
      <c r="X47" s="235">
        <v>42619.501868735344</v>
      </c>
      <c r="Y47" s="235">
        <v>16016.460275079666</v>
      </c>
      <c r="Z47" s="235">
        <v>16016.460275079666</v>
      </c>
      <c r="AA47" s="235">
        <v>6415.5331173853765</v>
      </c>
      <c r="AB47" s="235">
        <v>6415.5331173853765</v>
      </c>
      <c r="AC47" s="235">
        <v>566303.8526324993</v>
      </c>
      <c r="AD47" s="235">
        <v>50410.692203022634</v>
      </c>
      <c r="AE47" s="235">
        <v>19.181653022629032</v>
      </c>
      <c r="AF47" s="235">
        <v>19.181653022629032</v>
      </c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</row>
    <row r="48" spans="1:63" s="133" customFormat="1" ht="12.75">
      <c r="A48" s="168">
        <v>37346</v>
      </c>
      <c r="B48" s="213" t="str">
        <f>Servicio_internaColumna_título_intereses</f>
        <v>Intereses</v>
      </c>
      <c r="C48" s="270">
        <v>0</v>
      </c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2"/>
      <c r="V48" s="272"/>
      <c r="W48" s="272"/>
      <c r="X48" s="272"/>
      <c r="Y48" s="272"/>
      <c r="Z48" s="272"/>
      <c r="AA48" s="272"/>
      <c r="AB48" s="272"/>
      <c r="AC48" s="272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</row>
    <row r="49" spans="1:63" s="133" customFormat="1" ht="12.75">
      <c r="A49" s="169"/>
      <c r="B49" s="307" t="str">
        <f>Servicio_internaColumna_título_total</f>
        <v>Total</v>
      </c>
      <c r="C49" s="310">
        <v>0</v>
      </c>
      <c r="D49" s="311">
        <f t="shared" ref="D49:AN49" si="9">+D47+D48</f>
        <v>3919598.7134514302</v>
      </c>
      <c r="E49" s="311">
        <f t="shared" si="9"/>
        <v>6052658.3400996597</v>
      </c>
      <c r="F49" s="311">
        <f t="shared" si="9"/>
        <v>3916042.5407084017</v>
      </c>
      <c r="G49" s="311">
        <f t="shared" si="9"/>
        <v>4164149.2939611864</v>
      </c>
      <c r="H49" s="311">
        <f t="shared" si="9"/>
        <v>2375884.4628108628</v>
      </c>
      <c r="I49" s="311">
        <f t="shared" si="9"/>
        <v>2832404.4268672266</v>
      </c>
      <c r="J49" s="311">
        <f t="shared" si="9"/>
        <v>3962860.8388666385</v>
      </c>
      <c r="K49" s="311">
        <f t="shared" si="9"/>
        <v>2977679.4861579444</v>
      </c>
      <c r="L49" s="311">
        <f t="shared" si="9"/>
        <v>771083.60523339012</v>
      </c>
      <c r="M49" s="311">
        <f t="shared" si="9"/>
        <v>1523436.3442528113</v>
      </c>
      <c r="N49" s="311">
        <f t="shared" si="9"/>
        <v>2464635.8129719025</v>
      </c>
      <c r="O49" s="311">
        <f t="shared" si="9"/>
        <v>393935.65728464356</v>
      </c>
      <c r="P49" s="311">
        <f t="shared" si="9"/>
        <v>309290.52022713126</v>
      </c>
      <c r="Q49" s="311">
        <f t="shared" si="9"/>
        <v>292165.01957013621</v>
      </c>
      <c r="R49" s="311">
        <f t="shared" si="9"/>
        <v>677056.86455980281</v>
      </c>
      <c r="S49" s="311">
        <f t="shared" si="9"/>
        <v>163286.03830741407</v>
      </c>
      <c r="T49" s="311">
        <f t="shared" si="9"/>
        <v>125278.50304138243</v>
      </c>
      <c r="U49" s="311">
        <f t="shared" si="9"/>
        <v>112212.49924396901</v>
      </c>
      <c r="V49" s="311">
        <f t="shared" si="9"/>
        <v>2536331.6511965999</v>
      </c>
      <c r="W49" s="311">
        <f t="shared" si="9"/>
        <v>102890.16526583297</v>
      </c>
      <c r="X49" s="311">
        <f t="shared" si="9"/>
        <v>42619.501868735344</v>
      </c>
      <c r="Y49" s="311">
        <f t="shared" si="9"/>
        <v>16016.460275079666</v>
      </c>
      <c r="Z49" s="311">
        <f t="shared" si="9"/>
        <v>16016.460275079666</v>
      </c>
      <c r="AA49" s="311">
        <f t="shared" si="9"/>
        <v>6415.5331173853765</v>
      </c>
      <c r="AB49" s="311">
        <f t="shared" si="9"/>
        <v>6415.5331173853765</v>
      </c>
      <c r="AC49" s="311">
        <f t="shared" si="9"/>
        <v>566303.8526324993</v>
      </c>
      <c r="AD49" s="311">
        <f t="shared" si="9"/>
        <v>50410.692203022634</v>
      </c>
      <c r="AE49" s="311">
        <f t="shared" si="9"/>
        <v>19.181653022629032</v>
      </c>
      <c r="AF49" s="311">
        <f t="shared" si="9"/>
        <v>19.181653022629032</v>
      </c>
      <c r="AG49" s="311">
        <f t="shared" si="9"/>
        <v>0</v>
      </c>
      <c r="AH49" s="311">
        <f t="shared" si="9"/>
        <v>0</v>
      </c>
      <c r="AI49" s="311">
        <f t="shared" si="9"/>
        <v>0</v>
      </c>
      <c r="AJ49" s="311">
        <f t="shared" si="9"/>
        <v>0</v>
      </c>
      <c r="AK49" s="311">
        <f t="shared" si="9"/>
        <v>0</v>
      </c>
      <c r="AL49" s="311">
        <f t="shared" si="9"/>
        <v>0</v>
      </c>
      <c r="AM49" s="311">
        <f t="shared" si="9"/>
        <v>0</v>
      </c>
      <c r="AN49" s="311">
        <f t="shared" si="9"/>
        <v>0</v>
      </c>
      <c r="AO49" s="311"/>
      <c r="AP49" s="311"/>
      <c r="AQ49" s="311"/>
      <c r="AR49" s="311"/>
      <c r="AS49" s="311"/>
      <c r="AT49" s="311"/>
      <c r="AU49" s="311"/>
      <c r="AV49" s="311"/>
      <c r="AW49" s="311"/>
      <c r="AX49" s="311"/>
      <c r="AY49" s="311"/>
      <c r="AZ49" s="311"/>
      <c r="BA49" s="311"/>
      <c r="BB49" s="311"/>
      <c r="BC49" s="311"/>
      <c r="BD49" s="311"/>
      <c r="BE49" s="311"/>
      <c r="BF49" s="311"/>
      <c r="BG49" s="311"/>
      <c r="BH49" s="311"/>
      <c r="BI49" s="311"/>
      <c r="BJ49" s="311"/>
      <c r="BK49" s="311"/>
    </row>
    <row r="50" spans="1:63" s="80" customFormat="1" ht="12.75">
      <c r="A50" s="167"/>
      <c r="B50" s="210" t="str">
        <f>Servicio_internaColumna_título_amortizaciones</f>
        <v>Amortizaciones</v>
      </c>
      <c r="C50" s="269">
        <v>0</v>
      </c>
      <c r="D50" s="235">
        <v>3896449.5315338033</v>
      </c>
      <c r="E50" s="235">
        <v>6091115.4941902142</v>
      </c>
      <c r="F50" s="235">
        <v>3949216.6149100848</v>
      </c>
      <c r="G50" s="235">
        <v>4235297.6100244867</v>
      </c>
      <c r="H50" s="235">
        <v>2404186.5626176512</v>
      </c>
      <c r="I50" s="235">
        <v>2863680.672641247</v>
      </c>
      <c r="J50" s="235">
        <v>4055500.2371852985</v>
      </c>
      <c r="K50" s="235">
        <v>2996883.0104028881</v>
      </c>
      <c r="L50" s="235">
        <v>776529.12766609504</v>
      </c>
      <c r="M50" s="235">
        <v>1560388.2979968316</v>
      </c>
      <c r="N50" s="235">
        <v>2488350.1024377788</v>
      </c>
      <c r="O50" s="235">
        <v>403031.86081858655</v>
      </c>
      <c r="P50" s="235">
        <v>316331.07124197384</v>
      </c>
      <c r="Q50" s="235">
        <v>298798.48634162848</v>
      </c>
      <c r="R50" s="235">
        <v>685969.66760559066</v>
      </c>
      <c r="S50" s="235">
        <v>167105.5939374679</v>
      </c>
      <c r="T50" s="235">
        <v>127181.6996437998</v>
      </c>
      <c r="U50" s="235">
        <v>113630.6768889064</v>
      </c>
      <c r="V50" s="235">
        <v>2552784.9185800496</v>
      </c>
      <c r="W50" s="235">
        <v>104079.67273619387</v>
      </c>
      <c r="X50" s="235">
        <v>43581.913142997037</v>
      </c>
      <c r="Y50" s="235">
        <v>16323.062331350342</v>
      </c>
      <c r="Z50" s="235">
        <v>16323.062331350342</v>
      </c>
      <c r="AA50" s="235">
        <v>6431.6801667973414</v>
      </c>
      <c r="AB50" s="235">
        <v>6431.6801667973414</v>
      </c>
      <c r="AC50" s="235">
        <v>569840.39763418864</v>
      </c>
      <c r="AD50" s="235">
        <v>50725.799568883645</v>
      </c>
      <c r="AE50" s="235">
        <v>19.624818883645158</v>
      </c>
      <c r="AF50" s="235">
        <v>19.624818883645158</v>
      </c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</row>
    <row r="51" spans="1:63" s="133" customFormat="1" ht="12.75">
      <c r="A51" s="168">
        <v>37376</v>
      </c>
      <c r="B51" s="213" t="str">
        <f>Servicio_internaColumna_título_intereses</f>
        <v>Intereses</v>
      </c>
      <c r="C51" s="270">
        <v>0</v>
      </c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1"/>
      <c r="P51" s="271"/>
      <c r="Q51" s="271"/>
      <c r="R51" s="271"/>
      <c r="S51" s="271"/>
      <c r="T51" s="271"/>
      <c r="U51" s="272"/>
      <c r="V51" s="272"/>
      <c r="W51" s="272"/>
      <c r="X51" s="272"/>
      <c r="Y51" s="272"/>
      <c r="Z51" s="272"/>
      <c r="AA51" s="272"/>
      <c r="AB51" s="272"/>
      <c r="AC51" s="272"/>
      <c r="AD51" s="236"/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  <c r="AO51" s="236"/>
      <c r="AP51" s="236"/>
      <c r="AQ51" s="236"/>
      <c r="AR51" s="236"/>
      <c r="AS51" s="236"/>
      <c r="AT51" s="236"/>
      <c r="AU51" s="236"/>
      <c r="AV51" s="236"/>
      <c r="AW51" s="236"/>
      <c r="AX51" s="236"/>
      <c r="AY51" s="236"/>
      <c r="AZ51" s="236"/>
      <c r="BA51" s="236"/>
      <c r="BB51" s="236"/>
      <c r="BC51" s="236"/>
      <c r="BD51" s="236"/>
      <c r="BE51" s="236"/>
      <c r="BF51" s="236"/>
      <c r="BG51" s="236"/>
      <c r="BH51" s="236"/>
      <c r="BI51" s="236"/>
      <c r="BJ51" s="236"/>
      <c r="BK51" s="236"/>
    </row>
    <row r="52" spans="1:63" s="133" customFormat="1" ht="12.75">
      <c r="A52" s="169"/>
      <c r="B52" s="307" t="str">
        <f>Servicio_internaColumna_título_total</f>
        <v>Total</v>
      </c>
      <c r="C52" s="310">
        <v>0</v>
      </c>
      <c r="D52" s="311">
        <f t="shared" ref="D52:AN52" si="10">+D50+D51</f>
        <v>3896449.5315338033</v>
      </c>
      <c r="E52" s="311">
        <f t="shared" si="10"/>
        <v>6091115.4941902142</v>
      </c>
      <c r="F52" s="311">
        <f t="shared" si="10"/>
        <v>3949216.6149100848</v>
      </c>
      <c r="G52" s="311">
        <f t="shared" si="10"/>
        <v>4235297.6100244867</v>
      </c>
      <c r="H52" s="311">
        <f t="shared" si="10"/>
        <v>2404186.5626176512</v>
      </c>
      <c r="I52" s="311">
        <f t="shared" si="10"/>
        <v>2863680.672641247</v>
      </c>
      <c r="J52" s="311">
        <f t="shared" si="10"/>
        <v>4055500.2371852985</v>
      </c>
      <c r="K52" s="311">
        <f t="shared" si="10"/>
        <v>2996883.0104028881</v>
      </c>
      <c r="L52" s="311">
        <f t="shared" si="10"/>
        <v>776529.12766609504</v>
      </c>
      <c r="M52" s="311">
        <f t="shared" si="10"/>
        <v>1560388.2979968316</v>
      </c>
      <c r="N52" s="311">
        <f t="shared" si="10"/>
        <v>2488350.1024377788</v>
      </c>
      <c r="O52" s="311">
        <f t="shared" si="10"/>
        <v>403031.86081858655</v>
      </c>
      <c r="P52" s="311">
        <f t="shared" si="10"/>
        <v>316331.07124197384</v>
      </c>
      <c r="Q52" s="311">
        <f t="shared" si="10"/>
        <v>298798.48634162848</v>
      </c>
      <c r="R52" s="311">
        <f t="shared" si="10"/>
        <v>685969.66760559066</v>
      </c>
      <c r="S52" s="311">
        <f t="shared" si="10"/>
        <v>167105.5939374679</v>
      </c>
      <c r="T52" s="311">
        <f t="shared" si="10"/>
        <v>127181.6996437998</v>
      </c>
      <c r="U52" s="311">
        <f t="shared" si="10"/>
        <v>113630.6768889064</v>
      </c>
      <c r="V52" s="311">
        <f t="shared" si="10"/>
        <v>2552784.9185800496</v>
      </c>
      <c r="W52" s="311">
        <f t="shared" si="10"/>
        <v>104079.67273619387</v>
      </c>
      <c r="X52" s="311">
        <f t="shared" si="10"/>
        <v>43581.913142997037</v>
      </c>
      <c r="Y52" s="311">
        <f t="shared" si="10"/>
        <v>16323.062331350342</v>
      </c>
      <c r="Z52" s="311">
        <f t="shared" si="10"/>
        <v>16323.062331350342</v>
      </c>
      <c r="AA52" s="311">
        <f t="shared" si="10"/>
        <v>6431.6801667973414</v>
      </c>
      <c r="AB52" s="311">
        <f t="shared" si="10"/>
        <v>6431.6801667973414</v>
      </c>
      <c r="AC52" s="311">
        <f t="shared" si="10"/>
        <v>569840.39763418864</v>
      </c>
      <c r="AD52" s="311">
        <f t="shared" si="10"/>
        <v>50725.799568883645</v>
      </c>
      <c r="AE52" s="311">
        <f t="shared" si="10"/>
        <v>19.624818883645158</v>
      </c>
      <c r="AF52" s="311">
        <f t="shared" si="10"/>
        <v>19.624818883645158</v>
      </c>
      <c r="AG52" s="311">
        <f t="shared" si="10"/>
        <v>0</v>
      </c>
      <c r="AH52" s="311">
        <f t="shared" si="10"/>
        <v>0</v>
      </c>
      <c r="AI52" s="311">
        <f t="shared" si="10"/>
        <v>0</v>
      </c>
      <c r="AJ52" s="311">
        <f t="shared" si="10"/>
        <v>0</v>
      </c>
      <c r="AK52" s="311">
        <f t="shared" si="10"/>
        <v>0</v>
      </c>
      <c r="AL52" s="311">
        <f t="shared" si="10"/>
        <v>0</v>
      </c>
      <c r="AM52" s="311">
        <f t="shared" si="10"/>
        <v>0</v>
      </c>
      <c r="AN52" s="311">
        <f t="shared" si="10"/>
        <v>0</v>
      </c>
      <c r="AO52" s="311"/>
      <c r="AP52" s="311"/>
      <c r="AQ52" s="311"/>
      <c r="AR52" s="311"/>
      <c r="AS52" s="311"/>
      <c r="AT52" s="311"/>
      <c r="AU52" s="311"/>
      <c r="AV52" s="311"/>
      <c r="AW52" s="311"/>
      <c r="AX52" s="311"/>
      <c r="AY52" s="311"/>
      <c r="AZ52" s="311"/>
      <c r="BA52" s="311"/>
      <c r="BB52" s="311"/>
      <c r="BC52" s="311"/>
      <c r="BD52" s="311"/>
      <c r="BE52" s="311"/>
      <c r="BF52" s="311"/>
      <c r="BG52" s="311"/>
      <c r="BH52" s="311"/>
      <c r="BI52" s="311"/>
      <c r="BJ52" s="311"/>
      <c r="BK52" s="311"/>
    </row>
    <row r="53" spans="1:63" s="80" customFormat="1" ht="12.75">
      <c r="A53" s="167"/>
      <c r="B53" s="210" t="str">
        <f>Servicio_internaColumna_título_amortizaciones</f>
        <v>Amortizaciones</v>
      </c>
      <c r="C53" s="269">
        <v>0</v>
      </c>
      <c r="D53" s="235">
        <v>3971794.0378325344</v>
      </c>
      <c r="E53" s="235">
        <v>5813021.9152303208</v>
      </c>
      <c r="F53" s="235">
        <v>3411844.2139506717</v>
      </c>
      <c r="G53" s="235">
        <v>4064696.6875288789</v>
      </c>
      <c r="H53" s="235">
        <v>2482714.265943367</v>
      </c>
      <c r="I53" s="235">
        <v>2951808.3154899511</v>
      </c>
      <c r="J53" s="235">
        <v>4230137.1650799792</v>
      </c>
      <c r="K53" s="235">
        <v>3085416.0962265497</v>
      </c>
      <c r="L53" s="235">
        <v>820390.84483644587</v>
      </c>
      <c r="M53" s="235">
        <v>1649549.6845595241</v>
      </c>
      <c r="N53" s="235">
        <v>2565112.3472925858</v>
      </c>
      <c r="O53" s="235">
        <v>418880.35057134437</v>
      </c>
      <c r="P53" s="235">
        <v>328916.2551504178</v>
      </c>
      <c r="Q53" s="235">
        <v>310653.74185754883</v>
      </c>
      <c r="R53" s="235">
        <v>705992.0002788991</v>
      </c>
      <c r="S53" s="235">
        <v>174589.9497353381</v>
      </c>
      <c r="T53" s="235">
        <v>132994.22993516029</v>
      </c>
      <c r="U53" s="235">
        <v>117754.7714352559</v>
      </c>
      <c r="V53" s="235">
        <v>2605552.6192964767</v>
      </c>
      <c r="W53" s="235">
        <v>107479.83055518358</v>
      </c>
      <c r="X53" s="235">
        <v>45763.345479055373</v>
      </c>
      <c r="Y53" s="235">
        <v>17427.400339173</v>
      </c>
      <c r="Z53" s="235">
        <v>17427.400339173</v>
      </c>
      <c r="AA53" s="235">
        <v>7185.046783508833</v>
      </c>
      <c r="AB53" s="235">
        <v>7185.046783508833</v>
      </c>
      <c r="AC53" s="235">
        <v>581315.30351522309</v>
      </c>
      <c r="AD53" s="235">
        <v>51749.284904783686</v>
      </c>
      <c r="AE53" s="235">
        <v>22.234304783690323</v>
      </c>
      <c r="AF53" s="235">
        <v>22.234304783690323</v>
      </c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35"/>
      <c r="AT53" s="235"/>
      <c r="AU53" s="235"/>
      <c r="AV53" s="235"/>
      <c r="AW53" s="235"/>
      <c r="AX53" s="235"/>
      <c r="AY53" s="235"/>
      <c r="AZ53" s="235"/>
      <c r="BA53" s="235"/>
      <c r="BB53" s="235"/>
      <c r="BC53" s="235"/>
      <c r="BD53" s="235"/>
      <c r="BE53" s="235"/>
      <c r="BF53" s="235"/>
      <c r="BG53" s="235"/>
      <c r="BH53" s="235"/>
      <c r="BI53" s="235"/>
      <c r="BJ53" s="235"/>
      <c r="BK53" s="235"/>
    </row>
    <row r="54" spans="1:63" s="133" customFormat="1" ht="12.75">
      <c r="A54" s="168">
        <v>37407</v>
      </c>
      <c r="B54" s="213" t="str">
        <f>Servicio_internaColumna_título_intereses</f>
        <v>Intereses</v>
      </c>
      <c r="C54" s="270">
        <v>0</v>
      </c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  <c r="P54" s="271"/>
      <c r="Q54" s="271"/>
      <c r="R54" s="271"/>
      <c r="S54" s="271"/>
      <c r="T54" s="271"/>
      <c r="U54" s="272"/>
      <c r="V54" s="272"/>
      <c r="W54" s="272"/>
      <c r="X54" s="272"/>
      <c r="Y54" s="272"/>
      <c r="Z54" s="272"/>
      <c r="AA54" s="272"/>
      <c r="AB54" s="272"/>
      <c r="AC54" s="272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</row>
    <row r="55" spans="1:63" s="133" customFormat="1" ht="12.75">
      <c r="A55" s="169"/>
      <c r="B55" s="307" t="str">
        <f>Servicio_internaColumna_título_total</f>
        <v>Total</v>
      </c>
      <c r="C55" s="310">
        <v>0</v>
      </c>
      <c r="D55" s="311">
        <f t="shared" ref="D55:AN55" si="11">+D53+D54</f>
        <v>3971794.0378325344</v>
      </c>
      <c r="E55" s="311">
        <f t="shared" si="11"/>
        <v>5813021.9152303208</v>
      </c>
      <c r="F55" s="311">
        <f t="shared" si="11"/>
        <v>3411844.2139506717</v>
      </c>
      <c r="G55" s="311">
        <f t="shared" si="11"/>
        <v>4064696.6875288789</v>
      </c>
      <c r="H55" s="311">
        <f t="shared" si="11"/>
        <v>2482714.265943367</v>
      </c>
      <c r="I55" s="311">
        <f t="shared" si="11"/>
        <v>2951808.3154899511</v>
      </c>
      <c r="J55" s="311">
        <f t="shared" si="11"/>
        <v>4230137.1650799792</v>
      </c>
      <c r="K55" s="311">
        <f t="shared" si="11"/>
        <v>3085416.0962265497</v>
      </c>
      <c r="L55" s="311">
        <f t="shared" si="11"/>
        <v>820390.84483644587</v>
      </c>
      <c r="M55" s="311">
        <f t="shared" si="11"/>
        <v>1649549.6845595241</v>
      </c>
      <c r="N55" s="311">
        <f t="shared" si="11"/>
        <v>2565112.3472925858</v>
      </c>
      <c r="O55" s="311">
        <f t="shared" si="11"/>
        <v>418880.35057134437</v>
      </c>
      <c r="P55" s="311">
        <f t="shared" si="11"/>
        <v>328916.2551504178</v>
      </c>
      <c r="Q55" s="311">
        <f t="shared" si="11"/>
        <v>310653.74185754883</v>
      </c>
      <c r="R55" s="311">
        <f t="shared" si="11"/>
        <v>705992.0002788991</v>
      </c>
      <c r="S55" s="312">
        <f t="shared" si="11"/>
        <v>174589.9497353381</v>
      </c>
      <c r="T55" s="311">
        <f t="shared" si="11"/>
        <v>132994.22993516029</v>
      </c>
      <c r="U55" s="311">
        <f t="shared" si="11"/>
        <v>117754.7714352559</v>
      </c>
      <c r="V55" s="311">
        <f t="shared" si="11"/>
        <v>2605552.6192964767</v>
      </c>
      <c r="W55" s="311">
        <f t="shared" si="11"/>
        <v>107479.83055518358</v>
      </c>
      <c r="X55" s="311">
        <f t="shared" si="11"/>
        <v>45763.345479055373</v>
      </c>
      <c r="Y55" s="311">
        <f t="shared" si="11"/>
        <v>17427.400339173</v>
      </c>
      <c r="Z55" s="311">
        <f t="shared" si="11"/>
        <v>17427.400339173</v>
      </c>
      <c r="AA55" s="311">
        <f t="shared" si="11"/>
        <v>7185.046783508833</v>
      </c>
      <c r="AB55" s="311">
        <f t="shared" si="11"/>
        <v>7185.046783508833</v>
      </c>
      <c r="AC55" s="311">
        <f t="shared" si="11"/>
        <v>581315.30351522309</v>
      </c>
      <c r="AD55" s="311">
        <f t="shared" si="11"/>
        <v>51749.284904783686</v>
      </c>
      <c r="AE55" s="311">
        <f t="shared" si="11"/>
        <v>22.234304783690323</v>
      </c>
      <c r="AF55" s="311">
        <f t="shared" si="11"/>
        <v>22.234304783690323</v>
      </c>
      <c r="AG55" s="311">
        <f t="shared" si="11"/>
        <v>0</v>
      </c>
      <c r="AH55" s="311">
        <f t="shared" si="11"/>
        <v>0</v>
      </c>
      <c r="AI55" s="311">
        <f t="shared" si="11"/>
        <v>0</v>
      </c>
      <c r="AJ55" s="311">
        <f t="shared" si="11"/>
        <v>0</v>
      </c>
      <c r="AK55" s="311">
        <f t="shared" si="11"/>
        <v>0</v>
      </c>
      <c r="AL55" s="311">
        <f t="shared" si="11"/>
        <v>0</v>
      </c>
      <c r="AM55" s="311">
        <f t="shared" si="11"/>
        <v>0</v>
      </c>
      <c r="AN55" s="311">
        <f t="shared" si="11"/>
        <v>0</v>
      </c>
      <c r="AO55" s="311"/>
      <c r="AP55" s="311"/>
      <c r="AQ55" s="311"/>
      <c r="AR55" s="311"/>
      <c r="AS55" s="311"/>
      <c r="AT55" s="311"/>
      <c r="AU55" s="311"/>
      <c r="AV55" s="311"/>
      <c r="AW55" s="311"/>
      <c r="AX55" s="311"/>
      <c r="AY55" s="311"/>
      <c r="AZ55" s="311"/>
      <c r="BA55" s="311"/>
      <c r="BB55" s="311"/>
      <c r="BC55" s="311"/>
      <c r="BD55" s="311"/>
      <c r="BE55" s="311"/>
      <c r="BF55" s="311"/>
      <c r="BG55" s="311"/>
      <c r="BH55" s="311"/>
      <c r="BI55" s="311"/>
      <c r="BJ55" s="311"/>
      <c r="BK55" s="311"/>
    </row>
    <row r="56" spans="1:63" s="80" customFormat="1" ht="12.75">
      <c r="A56" s="167"/>
      <c r="B56" s="210" t="str">
        <f>Servicio_internaColumna_título_amortizaciones</f>
        <v>Amortizaciones</v>
      </c>
      <c r="C56" s="269">
        <v>0</v>
      </c>
      <c r="D56" s="235">
        <v>2816214.68</v>
      </c>
      <c r="E56" s="235">
        <v>5771560.9200000009</v>
      </c>
      <c r="F56" s="235">
        <v>3763748.58</v>
      </c>
      <c r="G56" s="235">
        <v>4682496.6399999997</v>
      </c>
      <c r="H56" s="235">
        <v>3188031.78</v>
      </c>
      <c r="I56" s="235">
        <v>3627015.84</v>
      </c>
      <c r="J56" s="235">
        <v>4984747.96</v>
      </c>
      <c r="K56" s="235">
        <v>3790135.6</v>
      </c>
      <c r="L56" s="235">
        <v>2612314.98</v>
      </c>
      <c r="M56" s="235">
        <v>2194920.2999999998</v>
      </c>
      <c r="N56" s="235">
        <v>3123263.64</v>
      </c>
      <c r="O56" s="235">
        <v>882765.76</v>
      </c>
      <c r="P56" s="235">
        <v>808402.34</v>
      </c>
      <c r="Q56" s="235">
        <v>770021.22</v>
      </c>
      <c r="R56" s="235">
        <v>1036290.24</v>
      </c>
      <c r="S56" s="273">
        <v>424591.14</v>
      </c>
      <c r="T56" s="235">
        <v>359823</v>
      </c>
      <c r="U56" s="235">
        <v>333435.98</v>
      </c>
      <c r="V56" s="235">
        <v>2873786.36</v>
      </c>
      <c r="W56" s="235">
        <v>268667.84000000003</v>
      </c>
      <c r="X56" s="235">
        <v>134333.92000000001</v>
      </c>
      <c r="Y56" s="235">
        <v>100750.44</v>
      </c>
      <c r="Z56" s="235">
        <v>91155.16</v>
      </c>
      <c r="AA56" s="235">
        <v>79161.06</v>
      </c>
      <c r="AB56" s="235">
        <v>64768.14</v>
      </c>
      <c r="AC56" s="235">
        <v>549329.78</v>
      </c>
      <c r="AD56" s="235">
        <v>62369.32</v>
      </c>
      <c r="AE56" s="235">
        <v>40779.94</v>
      </c>
      <c r="AF56" s="235">
        <v>40779.94</v>
      </c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</row>
    <row r="57" spans="1:63" s="133" customFormat="1" ht="12.75">
      <c r="A57" s="168">
        <v>37437</v>
      </c>
      <c r="B57" s="213" t="str">
        <f>Servicio_internaColumna_título_intereses</f>
        <v>Intereses</v>
      </c>
      <c r="C57" s="270">
        <v>0</v>
      </c>
      <c r="D57" s="271">
        <v>2816214.68</v>
      </c>
      <c r="E57" s="271">
        <v>5771560.9200000009</v>
      </c>
      <c r="F57" s="271">
        <v>3763748.58</v>
      </c>
      <c r="G57" s="271">
        <v>4682496.6399999997</v>
      </c>
      <c r="H57" s="271">
        <v>3188031.78</v>
      </c>
      <c r="I57" s="271">
        <v>3627015.84</v>
      </c>
      <c r="J57" s="271">
        <v>4984747.96</v>
      </c>
      <c r="K57" s="271">
        <v>3790135.6</v>
      </c>
      <c r="L57" s="271">
        <v>2612314.98</v>
      </c>
      <c r="M57" s="271">
        <v>2194920.2999999998</v>
      </c>
      <c r="N57" s="271">
        <v>3123263.64</v>
      </c>
      <c r="O57" s="271">
        <v>882765.76</v>
      </c>
      <c r="P57" s="271">
        <v>808402.34</v>
      </c>
      <c r="Q57" s="271">
        <v>770021.22</v>
      </c>
      <c r="R57" s="271">
        <v>1036290.24</v>
      </c>
      <c r="S57" s="274">
        <v>424591.14</v>
      </c>
      <c r="T57" s="271">
        <v>359823</v>
      </c>
      <c r="U57" s="272">
        <v>333435.98</v>
      </c>
      <c r="V57" s="272">
        <v>2873786.36</v>
      </c>
      <c r="W57" s="272">
        <v>268667.84000000003</v>
      </c>
      <c r="X57" s="272">
        <v>134333.92000000001</v>
      </c>
      <c r="Y57" s="272">
        <v>100750.44</v>
      </c>
      <c r="Z57" s="272">
        <v>91155.16</v>
      </c>
      <c r="AA57" s="272">
        <v>79161.06</v>
      </c>
      <c r="AB57" s="272">
        <v>64768.14</v>
      </c>
      <c r="AC57" s="272">
        <v>549329.78</v>
      </c>
      <c r="AD57" s="236">
        <v>62369.32</v>
      </c>
      <c r="AE57" s="236">
        <v>40779.94</v>
      </c>
      <c r="AF57" s="236">
        <v>40779.94</v>
      </c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36"/>
      <c r="BD57" s="236"/>
      <c r="BE57" s="236"/>
      <c r="BF57" s="236"/>
      <c r="BG57" s="236"/>
      <c r="BH57" s="236"/>
      <c r="BI57" s="236"/>
      <c r="BJ57" s="236"/>
      <c r="BK57" s="236"/>
    </row>
    <row r="58" spans="1:63" s="133" customFormat="1" ht="12.75">
      <c r="A58" s="169"/>
      <c r="B58" s="307" t="str">
        <f>Servicio_internaColumna_título_total</f>
        <v>Total</v>
      </c>
      <c r="C58" s="310">
        <v>0</v>
      </c>
      <c r="D58" s="311">
        <f t="shared" ref="D58:AN58" si="12">+D56+D57</f>
        <v>5632429.3600000003</v>
      </c>
      <c r="E58" s="311">
        <f t="shared" si="12"/>
        <v>11543121.840000002</v>
      </c>
      <c r="F58" s="311">
        <f t="shared" si="12"/>
        <v>7527497.1600000001</v>
      </c>
      <c r="G58" s="311">
        <f t="shared" si="12"/>
        <v>9364993.2799999993</v>
      </c>
      <c r="H58" s="311">
        <f t="shared" si="12"/>
        <v>6376063.5599999996</v>
      </c>
      <c r="I58" s="311">
        <f t="shared" si="12"/>
        <v>7254031.6799999997</v>
      </c>
      <c r="J58" s="311">
        <f t="shared" si="12"/>
        <v>9969495.9199999999</v>
      </c>
      <c r="K58" s="311">
        <f t="shared" si="12"/>
        <v>7580271.2000000002</v>
      </c>
      <c r="L58" s="311">
        <f t="shared" si="12"/>
        <v>5224629.96</v>
      </c>
      <c r="M58" s="311">
        <f t="shared" si="12"/>
        <v>4389840.5999999996</v>
      </c>
      <c r="N58" s="311">
        <f t="shared" si="12"/>
        <v>6246527.2800000003</v>
      </c>
      <c r="O58" s="311">
        <f t="shared" si="12"/>
        <v>1765531.52</v>
      </c>
      <c r="P58" s="311">
        <f t="shared" si="12"/>
        <v>1616804.68</v>
      </c>
      <c r="Q58" s="311">
        <f t="shared" si="12"/>
        <v>1540042.44</v>
      </c>
      <c r="R58" s="311">
        <f t="shared" si="12"/>
        <v>2072580.48</v>
      </c>
      <c r="S58" s="312">
        <f t="shared" si="12"/>
        <v>849182.28</v>
      </c>
      <c r="T58" s="311">
        <f t="shared" si="12"/>
        <v>719646</v>
      </c>
      <c r="U58" s="311">
        <f t="shared" si="12"/>
        <v>666871.96</v>
      </c>
      <c r="V58" s="311">
        <f t="shared" si="12"/>
        <v>5747572.7199999997</v>
      </c>
      <c r="W58" s="311">
        <f t="shared" si="12"/>
        <v>537335.68000000005</v>
      </c>
      <c r="X58" s="311">
        <f t="shared" si="12"/>
        <v>268667.84000000003</v>
      </c>
      <c r="Y58" s="311">
        <f t="shared" si="12"/>
        <v>201500.88</v>
      </c>
      <c r="Z58" s="311">
        <f t="shared" si="12"/>
        <v>182310.32</v>
      </c>
      <c r="AA58" s="311">
        <f t="shared" si="12"/>
        <v>158322.12</v>
      </c>
      <c r="AB58" s="311">
        <f t="shared" si="12"/>
        <v>129536.28</v>
      </c>
      <c r="AC58" s="311">
        <f t="shared" si="12"/>
        <v>1098659.56</v>
      </c>
      <c r="AD58" s="311">
        <f t="shared" si="12"/>
        <v>124738.64</v>
      </c>
      <c r="AE58" s="311">
        <f t="shared" si="12"/>
        <v>81559.88</v>
      </c>
      <c r="AF58" s="311">
        <f t="shared" si="12"/>
        <v>81559.88</v>
      </c>
      <c r="AG58" s="311">
        <f t="shared" si="12"/>
        <v>0</v>
      </c>
      <c r="AH58" s="311">
        <f t="shared" si="12"/>
        <v>0</v>
      </c>
      <c r="AI58" s="311">
        <f t="shared" si="12"/>
        <v>0</v>
      </c>
      <c r="AJ58" s="311">
        <f t="shared" si="12"/>
        <v>0</v>
      </c>
      <c r="AK58" s="311">
        <f t="shared" si="12"/>
        <v>0</v>
      </c>
      <c r="AL58" s="311">
        <f t="shared" si="12"/>
        <v>0</v>
      </c>
      <c r="AM58" s="311">
        <f t="shared" si="12"/>
        <v>0</v>
      </c>
      <c r="AN58" s="311">
        <f t="shared" si="12"/>
        <v>0</v>
      </c>
      <c r="AO58" s="311"/>
      <c r="AP58" s="311"/>
      <c r="AQ58" s="311"/>
      <c r="AR58" s="311"/>
      <c r="AS58" s="311"/>
      <c r="AT58" s="311"/>
      <c r="AU58" s="311"/>
      <c r="AV58" s="311"/>
      <c r="AW58" s="311"/>
      <c r="AX58" s="311"/>
      <c r="AY58" s="311"/>
      <c r="AZ58" s="311"/>
      <c r="BA58" s="311"/>
      <c r="BB58" s="311"/>
      <c r="BC58" s="311"/>
      <c r="BD58" s="311"/>
      <c r="BE58" s="311"/>
      <c r="BF58" s="311"/>
      <c r="BG58" s="311"/>
      <c r="BH58" s="311"/>
      <c r="BI58" s="311"/>
      <c r="BJ58" s="311"/>
      <c r="BK58" s="311"/>
    </row>
    <row r="59" spans="1:63" s="80" customFormat="1" ht="12.75">
      <c r="A59" s="167"/>
      <c r="B59" s="210" t="str">
        <f>Servicio_internaColumna_título_amortizaciones</f>
        <v>Amortizaciones</v>
      </c>
      <c r="C59" s="269">
        <v>0</v>
      </c>
      <c r="D59" s="235">
        <v>2593559.2799999998</v>
      </c>
      <c r="E59" s="235">
        <v>6315894.3599999994</v>
      </c>
      <c r="F59" s="235">
        <v>4118719.14</v>
      </c>
      <c r="G59" s="235">
        <v>5124117.12</v>
      </c>
      <c r="H59" s="235">
        <v>3488704.74</v>
      </c>
      <c r="I59" s="235">
        <v>3969090.72</v>
      </c>
      <c r="J59" s="235">
        <v>5454874.6799999997</v>
      </c>
      <c r="K59" s="235">
        <v>4147594.8</v>
      </c>
      <c r="L59" s="235">
        <v>2858690.34</v>
      </c>
      <c r="M59" s="235">
        <v>2401929.9</v>
      </c>
      <c r="N59" s="235">
        <v>3417828.12</v>
      </c>
      <c r="O59" s="235">
        <v>963397.02</v>
      </c>
      <c r="P59" s="235">
        <v>879395.1</v>
      </c>
      <c r="Q59" s="235">
        <v>813768.6</v>
      </c>
      <c r="R59" s="235">
        <v>1126150.74</v>
      </c>
      <c r="S59" s="273">
        <v>456760.44</v>
      </c>
      <c r="T59" s="235">
        <v>385883.82</v>
      </c>
      <c r="U59" s="235">
        <v>357008.16</v>
      </c>
      <c r="V59" s="235">
        <v>3139571.76</v>
      </c>
      <c r="W59" s="235">
        <v>288756.59999999998</v>
      </c>
      <c r="X59" s="235">
        <v>141753.24</v>
      </c>
      <c r="Y59" s="235">
        <v>105002.4</v>
      </c>
      <c r="Z59" s="235">
        <v>94502.16</v>
      </c>
      <c r="AA59" s="235">
        <v>81376.86</v>
      </c>
      <c r="AB59" s="235">
        <v>65626.5</v>
      </c>
      <c r="AC59" s="235">
        <v>595888.62</v>
      </c>
      <c r="AD59" s="235">
        <v>63001.440000000002</v>
      </c>
      <c r="AE59" s="235">
        <v>39375.9</v>
      </c>
      <c r="AF59" s="235">
        <v>39375.9</v>
      </c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</row>
    <row r="60" spans="1:63" s="133" customFormat="1" ht="12.75">
      <c r="A60" s="168">
        <v>37468</v>
      </c>
      <c r="B60" s="213" t="str">
        <f>Servicio_internaColumna_título_intereses</f>
        <v>Intereses</v>
      </c>
      <c r="C60" s="270">
        <v>0</v>
      </c>
      <c r="D60" s="271">
        <v>3081820.44</v>
      </c>
      <c r="E60" s="271">
        <v>6315894.3599999994</v>
      </c>
      <c r="F60" s="271">
        <v>4118719.14</v>
      </c>
      <c r="G60" s="271">
        <v>5124117.12</v>
      </c>
      <c r="H60" s="271">
        <v>3488704.74</v>
      </c>
      <c r="I60" s="271">
        <v>3969090.72</v>
      </c>
      <c r="J60" s="271">
        <v>5454874.6799999997</v>
      </c>
      <c r="K60" s="271">
        <v>4147594.8</v>
      </c>
      <c r="L60" s="271">
        <v>2858690.34</v>
      </c>
      <c r="M60" s="271">
        <v>2401929.9</v>
      </c>
      <c r="N60" s="271">
        <v>3417828.12</v>
      </c>
      <c r="O60" s="271">
        <v>966022.08</v>
      </c>
      <c r="P60" s="271">
        <v>884645.22</v>
      </c>
      <c r="Q60" s="271">
        <v>842644.26</v>
      </c>
      <c r="R60" s="271">
        <v>1134025.92</v>
      </c>
      <c r="S60" s="274">
        <v>464635.62</v>
      </c>
      <c r="T60" s="271">
        <v>393759</v>
      </c>
      <c r="U60" s="272">
        <v>364883.34</v>
      </c>
      <c r="V60" s="272">
        <v>3144821.88</v>
      </c>
      <c r="W60" s="272">
        <v>294006.71999999997</v>
      </c>
      <c r="X60" s="272">
        <v>147003.35999999999</v>
      </c>
      <c r="Y60" s="272">
        <v>110252.52</v>
      </c>
      <c r="Z60" s="272">
        <v>99752.28</v>
      </c>
      <c r="AA60" s="272">
        <v>86626.98</v>
      </c>
      <c r="AB60" s="272">
        <v>70876.62</v>
      </c>
      <c r="AC60" s="272">
        <v>601138.74</v>
      </c>
      <c r="AD60" s="236">
        <v>68251.56</v>
      </c>
      <c r="AE60" s="236">
        <v>44626.02</v>
      </c>
      <c r="AF60" s="236">
        <v>44626.02</v>
      </c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</row>
    <row r="61" spans="1:63" s="133" customFormat="1" ht="12.75">
      <c r="A61" s="169"/>
      <c r="B61" s="307" t="str">
        <f>Servicio_internaColumna_título_total</f>
        <v>Total</v>
      </c>
      <c r="C61" s="310">
        <v>0</v>
      </c>
      <c r="D61" s="311">
        <f t="shared" ref="D61:AN61" si="13">+D59+D60</f>
        <v>5675379.7199999997</v>
      </c>
      <c r="E61" s="311">
        <f t="shared" si="13"/>
        <v>12631788.719999999</v>
      </c>
      <c r="F61" s="311">
        <f t="shared" si="13"/>
        <v>8237438.2800000003</v>
      </c>
      <c r="G61" s="311">
        <f t="shared" si="13"/>
        <v>10248234.24</v>
      </c>
      <c r="H61" s="311">
        <f t="shared" si="13"/>
        <v>6977409.4800000004</v>
      </c>
      <c r="I61" s="311">
        <f t="shared" si="13"/>
        <v>7938181.4400000004</v>
      </c>
      <c r="J61" s="311">
        <f t="shared" si="13"/>
        <v>10909749.359999999</v>
      </c>
      <c r="K61" s="311">
        <f t="shared" si="13"/>
        <v>8295189.5999999996</v>
      </c>
      <c r="L61" s="311">
        <f t="shared" si="13"/>
        <v>5717380.6799999997</v>
      </c>
      <c r="M61" s="311">
        <f t="shared" si="13"/>
        <v>4803859.8</v>
      </c>
      <c r="N61" s="311">
        <f t="shared" si="13"/>
        <v>6835656.2400000002</v>
      </c>
      <c r="O61" s="311">
        <f t="shared" si="13"/>
        <v>1929419.1</v>
      </c>
      <c r="P61" s="311">
        <f t="shared" si="13"/>
        <v>1764040.3199999998</v>
      </c>
      <c r="Q61" s="311">
        <f t="shared" si="13"/>
        <v>1656412.8599999999</v>
      </c>
      <c r="R61" s="311">
        <f t="shared" si="13"/>
        <v>2260176.66</v>
      </c>
      <c r="S61" s="312">
        <f t="shared" si="13"/>
        <v>921396.06</v>
      </c>
      <c r="T61" s="311">
        <f t="shared" si="13"/>
        <v>779642.82000000007</v>
      </c>
      <c r="U61" s="311">
        <f t="shared" si="13"/>
        <v>721891.5</v>
      </c>
      <c r="V61" s="311">
        <f t="shared" si="13"/>
        <v>6284393.6399999997</v>
      </c>
      <c r="W61" s="311">
        <f t="shared" si="13"/>
        <v>582763.31999999995</v>
      </c>
      <c r="X61" s="311">
        <f t="shared" si="13"/>
        <v>288756.59999999998</v>
      </c>
      <c r="Y61" s="311">
        <f t="shared" si="13"/>
        <v>215254.91999999998</v>
      </c>
      <c r="Z61" s="311">
        <f t="shared" si="13"/>
        <v>194254.44</v>
      </c>
      <c r="AA61" s="311">
        <f t="shared" si="13"/>
        <v>168003.84</v>
      </c>
      <c r="AB61" s="311">
        <f t="shared" si="13"/>
        <v>136503.12</v>
      </c>
      <c r="AC61" s="311">
        <f t="shared" si="13"/>
        <v>1197027.3599999999</v>
      </c>
      <c r="AD61" s="311">
        <f t="shared" si="13"/>
        <v>131253</v>
      </c>
      <c r="AE61" s="311">
        <f t="shared" si="13"/>
        <v>84001.919999999998</v>
      </c>
      <c r="AF61" s="311">
        <f t="shared" si="13"/>
        <v>84001.919999999998</v>
      </c>
      <c r="AG61" s="311">
        <f t="shared" si="13"/>
        <v>0</v>
      </c>
      <c r="AH61" s="311">
        <f t="shared" si="13"/>
        <v>0</v>
      </c>
      <c r="AI61" s="311">
        <f t="shared" si="13"/>
        <v>0</v>
      </c>
      <c r="AJ61" s="311">
        <f t="shared" si="13"/>
        <v>0</v>
      </c>
      <c r="AK61" s="311">
        <f t="shared" si="13"/>
        <v>0</v>
      </c>
      <c r="AL61" s="311">
        <f t="shared" si="13"/>
        <v>0</v>
      </c>
      <c r="AM61" s="311">
        <f t="shared" si="13"/>
        <v>0</v>
      </c>
      <c r="AN61" s="311">
        <f t="shared" si="13"/>
        <v>0</v>
      </c>
      <c r="AO61" s="311"/>
      <c r="AP61" s="311"/>
      <c r="AQ61" s="311"/>
      <c r="AR61" s="311"/>
      <c r="AS61" s="311"/>
      <c r="AT61" s="311"/>
      <c r="AU61" s="311"/>
      <c r="AV61" s="311"/>
      <c r="AW61" s="311"/>
      <c r="AX61" s="311"/>
      <c r="AY61" s="311"/>
      <c r="AZ61" s="311"/>
      <c r="BA61" s="311"/>
      <c r="BB61" s="311"/>
      <c r="BC61" s="311"/>
      <c r="BD61" s="311"/>
      <c r="BE61" s="311"/>
      <c r="BF61" s="311"/>
      <c r="BG61" s="311"/>
      <c r="BH61" s="311"/>
      <c r="BI61" s="311"/>
      <c r="BJ61" s="311"/>
      <c r="BK61" s="311"/>
    </row>
    <row r="62" spans="1:63" s="80" customFormat="1" ht="12.75">
      <c r="A62" s="167"/>
      <c r="B62" s="210" t="str">
        <f>Servicio_internaColumna_título_amortizaciones</f>
        <v>Amortizaciones</v>
      </c>
      <c r="C62" s="269">
        <v>0</v>
      </c>
      <c r="D62" s="235">
        <v>2617523.9</v>
      </c>
      <c r="E62" s="235">
        <v>7763060.5200000005</v>
      </c>
      <c r="F62" s="235">
        <v>4990926.4000000004</v>
      </c>
      <c r="G62" s="235">
        <v>6439380.04</v>
      </c>
      <c r="H62" s="235">
        <v>4505396.0599999996</v>
      </c>
      <c r="I62" s="235">
        <v>4749517.46</v>
      </c>
      <c r="J62" s="235">
        <v>5934862.4800000004</v>
      </c>
      <c r="K62" s="235">
        <v>4429447.18</v>
      </c>
      <c r="L62" s="235">
        <v>2980993.54</v>
      </c>
      <c r="M62" s="235">
        <v>2468338.6</v>
      </c>
      <c r="N62" s="235">
        <v>3482798.64</v>
      </c>
      <c r="O62" s="235">
        <v>905961.64</v>
      </c>
      <c r="P62" s="235">
        <v>838150.14</v>
      </c>
      <c r="Q62" s="235">
        <v>685997.31729584886</v>
      </c>
      <c r="R62" s="235">
        <v>1112357.3545258015</v>
      </c>
      <c r="S62" s="273">
        <v>432353.25405541499</v>
      </c>
      <c r="T62" s="235">
        <v>331257.75589971396</v>
      </c>
      <c r="U62" s="235">
        <v>308830.596840174</v>
      </c>
      <c r="V62" s="235">
        <v>3211038.6301591052</v>
      </c>
      <c r="W62" s="235">
        <v>284048.76137210988</v>
      </c>
      <c r="X62" s="235">
        <v>132266.53890418037</v>
      </c>
      <c r="Y62" s="235">
        <v>100906.77039682421</v>
      </c>
      <c r="Z62" s="235">
        <v>89036.1799993366</v>
      </c>
      <c r="AA62" s="235">
        <v>73466.778757704407</v>
      </c>
      <c r="AB62" s="235">
        <v>53489.055625542591</v>
      </c>
      <c r="AC62" s="235">
        <v>586315.64483767282</v>
      </c>
      <c r="AD62" s="235">
        <v>31262.678524244002</v>
      </c>
      <c r="AE62" s="235">
        <v>6850.5385242440007</v>
      </c>
      <c r="AF62" s="235">
        <v>6850.5385242440007</v>
      </c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5"/>
      <c r="BF62" s="235"/>
      <c r="BG62" s="235"/>
      <c r="BH62" s="235"/>
      <c r="BI62" s="235"/>
      <c r="BJ62" s="235"/>
      <c r="BK62" s="235"/>
    </row>
    <row r="63" spans="1:63" s="133" customFormat="1" ht="12.75">
      <c r="A63" s="168">
        <v>37499</v>
      </c>
      <c r="B63" s="213" t="str">
        <f>Servicio_internaColumna_título_intereses</f>
        <v>Intereses</v>
      </c>
      <c r="C63" s="270">
        <v>0</v>
      </c>
      <c r="D63" s="271">
        <v>3184428.04</v>
      </c>
      <c r="E63" s="271">
        <v>6526178.7599999998</v>
      </c>
      <c r="F63" s="271">
        <v>4255849.74</v>
      </c>
      <c r="G63" s="271">
        <v>5294721.92</v>
      </c>
      <c r="H63" s="271">
        <v>3604859.34</v>
      </c>
      <c r="I63" s="271">
        <v>4101239.52</v>
      </c>
      <c r="J63" s="271">
        <v>5636491.8799999999</v>
      </c>
      <c r="K63" s="271">
        <v>4285686.8</v>
      </c>
      <c r="L63" s="271">
        <v>2953868.94</v>
      </c>
      <c r="M63" s="271">
        <v>2481900.9</v>
      </c>
      <c r="N63" s="271">
        <v>3531622.92</v>
      </c>
      <c r="O63" s="271">
        <v>998185.28</v>
      </c>
      <c r="P63" s="271">
        <v>914099.02</v>
      </c>
      <c r="Q63" s="271">
        <v>870699.66</v>
      </c>
      <c r="R63" s="271">
        <v>1171782.72</v>
      </c>
      <c r="S63" s="274">
        <v>480105.42</v>
      </c>
      <c r="T63" s="271">
        <v>406869</v>
      </c>
      <c r="U63" s="272">
        <v>377031.94</v>
      </c>
      <c r="V63" s="272">
        <v>3249527.08</v>
      </c>
      <c r="W63" s="272">
        <v>303795.52</v>
      </c>
      <c r="X63" s="272">
        <v>151897.76</v>
      </c>
      <c r="Y63" s="272">
        <v>113923.32</v>
      </c>
      <c r="Z63" s="272">
        <v>103073.48</v>
      </c>
      <c r="AA63" s="272">
        <v>89511.18</v>
      </c>
      <c r="AB63" s="272">
        <v>73236.42</v>
      </c>
      <c r="AC63" s="272">
        <v>621153.34</v>
      </c>
      <c r="AD63" s="236">
        <v>70523.960000000006</v>
      </c>
      <c r="AE63" s="236">
        <v>46111.82</v>
      </c>
      <c r="AF63" s="236">
        <v>46111.82</v>
      </c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6"/>
      <c r="BF63" s="236"/>
      <c r="BG63" s="236"/>
      <c r="BH63" s="236"/>
      <c r="BI63" s="236"/>
      <c r="BJ63" s="236"/>
      <c r="BK63" s="236"/>
    </row>
    <row r="64" spans="1:63" s="133" customFormat="1" ht="12.75">
      <c r="A64" s="169"/>
      <c r="B64" s="307" t="str">
        <f>Servicio_internaColumna_título_total</f>
        <v>Total</v>
      </c>
      <c r="C64" s="310">
        <v>0</v>
      </c>
      <c r="D64" s="311">
        <f t="shared" ref="D64:AN64" si="14">+D62+D63</f>
        <v>5801951.9399999995</v>
      </c>
      <c r="E64" s="311">
        <f t="shared" si="14"/>
        <v>14289239.280000001</v>
      </c>
      <c r="F64" s="311">
        <f t="shared" si="14"/>
        <v>9246776.1400000006</v>
      </c>
      <c r="G64" s="311">
        <f t="shared" si="14"/>
        <v>11734101.960000001</v>
      </c>
      <c r="H64" s="311">
        <f t="shared" si="14"/>
        <v>8110255.3999999994</v>
      </c>
      <c r="I64" s="311">
        <f t="shared" si="14"/>
        <v>8850756.9800000004</v>
      </c>
      <c r="J64" s="311">
        <f t="shared" si="14"/>
        <v>11571354.359999999</v>
      </c>
      <c r="K64" s="311">
        <f t="shared" si="14"/>
        <v>8715133.9800000004</v>
      </c>
      <c r="L64" s="311">
        <f t="shared" si="14"/>
        <v>5934862.4800000004</v>
      </c>
      <c r="M64" s="311">
        <f t="shared" si="14"/>
        <v>4950239.5</v>
      </c>
      <c r="N64" s="311">
        <f t="shared" si="14"/>
        <v>7014421.5600000005</v>
      </c>
      <c r="O64" s="311">
        <f t="shared" si="14"/>
        <v>1904146.92</v>
      </c>
      <c r="P64" s="311">
        <f t="shared" si="14"/>
        <v>1752249.1600000001</v>
      </c>
      <c r="Q64" s="311">
        <f t="shared" si="14"/>
        <v>1556696.977295849</v>
      </c>
      <c r="R64" s="311">
        <f t="shared" si="14"/>
        <v>2284140.0745258015</v>
      </c>
      <c r="S64" s="312">
        <f t="shared" si="14"/>
        <v>912458.67405541497</v>
      </c>
      <c r="T64" s="311">
        <f t="shared" si="14"/>
        <v>738126.75589971396</v>
      </c>
      <c r="U64" s="311">
        <f t="shared" si="14"/>
        <v>685862.536840174</v>
      </c>
      <c r="V64" s="311">
        <f t="shared" si="14"/>
        <v>6460565.7101591052</v>
      </c>
      <c r="W64" s="311">
        <f t="shared" si="14"/>
        <v>587844.28137210989</v>
      </c>
      <c r="X64" s="311">
        <f t="shared" si="14"/>
        <v>284164.29890418041</v>
      </c>
      <c r="Y64" s="311">
        <f t="shared" si="14"/>
        <v>214830.09039682423</v>
      </c>
      <c r="Z64" s="311">
        <f t="shared" si="14"/>
        <v>192109.65999933658</v>
      </c>
      <c r="AA64" s="311">
        <f t="shared" si="14"/>
        <v>162977.95875770441</v>
      </c>
      <c r="AB64" s="311">
        <f t="shared" si="14"/>
        <v>126725.47562554259</v>
      </c>
      <c r="AC64" s="311">
        <f t="shared" si="14"/>
        <v>1207468.9848376727</v>
      </c>
      <c r="AD64" s="311">
        <f t="shared" si="14"/>
        <v>101786.63852424402</v>
      </c>
      <c r="AE64" s="311">
        <f t="shared" si="14"/>
        <v>52962.358524244002</v>
      </c>
      <c r="AF64" s="311">
        <f t="shared" si="14"/>
        <v>52962.358524244002</v>
      </c>
      <c r="AG64" s="311">
        <f t="shared" si="14"/>
        <v>0</v>
      </c>
      <c r="AH64" s="311">
        <f t="shared" si="14"/>
        <v>0</v>
      </c>
      <c r="AI64" s="311">
        <f t="shared" si="14"/>
        <v>0</v>
      </c>
      <c r="AJ64" s="311">
        <f t="shared" si="14"/>
        <v>0</v>
      </c>
      <c r="AK64" s="311">
        <f t="shared" si="14"/>
        <v>0</v>
      </c>
      <c r="AL64" s="311">
        <f t="shared" si="14"/>
        <v>0</v>
      </c>
      <c r="AM64" s="311">
        <f t="shared" si="14"/>
        <v>0</v>
      </c>
      <c r="AN64" s="311">
        <f t="shared" si="14"/>
        <v>0</v>
      </c>
      <c r="AO64" s="311"/>
      <c r="AP64" s="311"/>
      <c r="AQ64" s="311"/>
      <c r="AR64" s="311"/>
      <c r="AS64" s="311"/>
      <c r="AT64" s="311"/>
      <c r="AU64" s="311"/>
      <c r="AV64" s="311"/>
      <c r="AW64" s="311"/>
      <c r="AX64" s="311"/>
      <c r="AY64" s="311"/>
      <c r="AZ64" s="311"/>
      <c r="BA64" s="311"/>
      <c r="BB64" s="311"/>
      <c r="BC64" s="311"/>
      <c r="BD64" s="311"/>
      <c r="BE64" s="311"/>
      <c r="BF64" s="311"/>
      <c r="BG64" s="311"/>
      <c r="BH64" s="311"/>
      <c r="BI64" s="311"/>
      <c r="BJ64" s="311"/>
      <c r="BK64" s="311"/>
    </row>
    <row r="65" spans="1:63" s="80" customFormat="1" ht="12.75">
      <c r="A65" s="167"/>
      <c r="B65" s="210" t="str">
        <f>Servicio_internaColumna_título_amortizaciones</f>
        <v>Amortizaciones</v>
      </c>
      <c r="C65" s="269">
        <v>0</v>
      </c>
      <c r="D65" s="235">
        <v>2491538.48</v>
      </c>
      <c r="E65" s="235">
        <v>6767595.4399999995</v>
      </c>
      <c r="F65" s="235">
        <v>4383524</v>
      </c>
      <c r="G65" s="235">
        <v>5551521.04</v>
      </c>
      <c r="H65" s="235">
        <v>3857501.12</v>
      </c>
      <c r="I65" s="235">
        <v>4375039.76</v>
      </c>
      <c r="J65" s="235">
        <v>6100168.5599999996</v>
      </c>
      <c r="K65" s="235">
        <v>4703097.04</v>
      </c>
      <c r="L65" s="235">
        <v>3328650.16</v>
      </c>
      <c r="M65" s="235">
        <v>2887469.68</v>
      </c>
      <c r="N65" s="235">
        <v>3902750.4</v>
      </c>
      <c r="O65" s="235">
        <v>1252839.44</v>
      </c>
      <c r="P65" s="235">
        <v>1153856.6399999999</v>
      </c>
      <c r="Q65" s="235">
        <v>1066186.1599999999</v>
      </c>
      <c r="R65" s="235">
        <v>1399899.6</v>
      </c>
      <c r="S65" s="273">
        <v>690051.52</v>
      </c>
      <c r="T65" s="235">
        <v>576928.31999999995</v>
      </c>
      <c r="U65" s="235">
        <v>531679.04</v>
      </c>
      <c r="V65" s="235">
        <v>3515303.44</v>
      </c>
      <c r="W65" s="235">
        <v>435524.32</v>
      </c>
      <c r="X65" s="235">
        <v>277151.84000000003</v>
      </c>
      <c r="Y65" s="235">
        <v>180997.12</v>
      </c>
      <c r="Z65" s="235">
        <v>107467.04</v>
      </c>
      <c r="AA65" s="235">
        <v>93326.64</v>
      </c>
      <c r="AB65" s="235">
        <v>73530.080000000002</v>
      </c>
      <c r="AC65" s="235">
        <v>636318</v>
      </c>
      <c r="AD65" s="235">
        <v>67873.919999999998</v>
      </c>
      <c r="AE65" s="235">
        <v>42421.2</v>
      </c>
      <c r="AF65" s="235">
        <v>42421.2</v>
      </c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I65" s="235"/>
      <c r="BJ65" s="235"/>
      <c r="BK65" s="235"/>
    </row>
    <row r="66" spans="1:63" s="133" customFormat="1" ht="12.75">
      <c r="A66" s="168">
        <v>37529</v>
      </c>
      <c r="B66" s="213" t="str">
        <f>Servicio_internaColumna_título_intereses</f>
        <v>Intereses</v>
      </c>
      <c r="C66" s="270">
        <v>0</v>
      </c>
      <c r="D66" s="271">
        <v>3320165.92</v>
      </c>
      <c r="E66" s="271">
        <v>6804360.4799999995</v>
      </c>
      <c r="F66" s="271">
        <v>4437257.5199999996</v>
      </c>
      <c r="G66" s="271">
        <v>5520412.1600000001</v>
      </c>
      <c r="H66" s="271">
        <v>3758518.32</v>
      </c>
      <c r="I66" s="271">
        <v>4276056.96</v>
      </c>
      <c r="J66" s="271">
        <v>5876750.2400000002</v>
      </c>
      <c r="K66" s="271">
        <v>4468366.4000000004</v>
      </c>
      <c r="L66" s="271">
        <v>3079779.12</v>
      </c>
      <c r="M66" s="271">
        <v>2587693.2000000002</v>
      </c>
      <c r="N66" s="271">
        <v>3682160.16</v>
      </c>
      <c r="O66" s="271">
        <v>1040733.44</v>
      </c>
      <c r="P66" s="271">
        <v>953062.96</v>
      </c>
      <c r="Q66" s="271">
        <v>907813.68</v>
      </c>
      <c r="R66" s="271">
        <v>1221730.56</v>
      </c>
      <c r="S66" s="274">
        <v>500570.16</v>
      </c>
      <c r="T66" s="271">
        <v>424212</v>
      </c>
      <c r="U66" s="272">
        <v>393103.12</v>
      </c>
      <c r="V66" s="272">
        <v>3388039.84</v>
      </c>
      <c r="W66" s="272">
        <v>316744.96000000002</v>
      </c>
      <c r="X66" s="272">
        <v>158372.48000000001</v>
      </c>
      <c r="Y66" s="272">
        <v>118779.36</v>
      </c>
      <c r="Z66" s="272">
        <v>107467.04</v>
      </c>
      <c r="AA66" s="272">
        <v>93326.64</v>
      </c>
      <c r="AB66" s="272">
        <v>76358.16</v>
      </c>
      <c r="AC66" s="272">
        <v>647630.31999999995</v>
      </c>
      <c r="AD66" s="236">
        <v>73530.080000000002</v>
      </c>
      <c r="AE66" s="236">
        <v>48077.36</v>
      </c>
      <c r="AF66" s="236">
        <v>48077.36</v>
      </c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</row>
    <row r="67" spans="1:63" s="133" customFormat="1" ht="12.75">
      <c r="A67" s="169"/>
      <c r="B67" s="307" t="str">
        <f>Servicio_internaColumna_título_total</f>
        <v>Total</v>
      </c>
      <c r="C67" s="310">
        <v>0</v>
      </c>
      <c r="D67" s="311">
        <f t="shared" ref="D67:AN67" si="15">+D65+D66</f>
        <v>5811704.4000000004</v>
      </c>
      <c r="E67" s="311">
        <f t="shared" si="15"/>
        <v>13571955.919999998</v>
      </c>
      <c r="F67" s="311">
        <f t="shared" si="15"/>
        <v>8820781.5199999996</v>
      </c>
      <c r="G67" s="311">
        <f t="shared" si="15"/>
        <v>11071933.199999999</v>
      </c>
      <c r="H67" s="311">
        <f t="shared" si="15"/>
        <v>7616019.4399999995</v>
      </c>
      <c r="I67" s="311">
        <f t="shared" si="15"/>
        <v>8651096.7199999988</v>
      </c>
      <c r="J67" s="311">
        <f t="shared" si="15"/>
        <v>11976918.800000001</v>
      </c>
      <c r="K67" s="311">
        <f t="shared" si="15"/>
        <v>9171463.4400000013</v>
      </c>
      <c r="L67" s="311">
        <f t="shared" si="15"/>
        <v>6408429.2800000003</v>
      </c>
      <c r="M67" s="311">
        <f t="shared" si="15"/>
        <v>5475162.8800000008</v>
      </c>
      <c r="N67" s="311">
        <f t="shared" si="15"/>
        <v>7584910.5600000005</v>
      </c>
      <c r="O67" s="311">
        <f t="shared" si="15"/>
        <v>2293572.88</v>
      </c>
      <c r="P67" s="311">
        <f t="shared" si="15"/>
        <v>2106919.5999999996</v>
      </c>
      <c r="Q67" s="311">
        <f t="shared" si="15"/>
        <v>1973999.8399999999</v>
      </c>
      <c r="R67" s="311">
        <f t="shared" si="15"/>
        <v>2621630.16</v>
      </c>
      <c r="S67" s="312">
        <f t="shared" si="15"/>
        <v>1190621.68</v>
      </c>
      <c r="T67" s="311">
        <f t="shared" si="15"/>
        <v>1001140.32</v>
      </c>
      <c r="U67" s="311">
        <f t="shared" si="15"/>
        <v>924782.16</v>
      </c>
      <c r="V67" s="311">
        <f t="shared" si="15"/>
        <v>6903343.2799999993</v>
      </c>
      <c r="W67" s="311">
        <f t="shared" si="15"/>
        <v>752269.28</v>
      </c>
      <c r="X67" s="311">
        <f t="shared" si="15"/>
        <v>435524.32000000007</v>
      </c>
      <c r="Y67" s="311">
        <f t="shared" si="15"/>
        <v>299776.48</v>
      </c>
      <c r="Z67" s="311">
        <f t="shared" si="15"/>
        <v>214934.08</v>
      </c>
      <c r="AA67" s="311">
        <f t="shared" si="15"/>
        <v>186653.28</v>
      </c>
      <c r="AB67" s="311">
        <f t="shared" si="15"/>
        <v>149888.24</v>
      </c>
      <c r="AC67" s="311">
        <f t="shared" si="15"/>
        <v>1283948.3199999998</v>
      </c>
      <c r="AD67" s="311">
        <f t="shared" si="15"/>
        <v>141404</v>
      </c>
      <c r="AE67" s="311">
        <f t="shared" si="15"/>
        <v>90498.559999999998</v>
      </c>
      <c r="AF67" s="311">
        <f t="shared" si="15"/>
        <v>90498.559999999998</v>
      </c>
      <c r="AG67" s="311">
        <f t="shared" si="15"/>
        <v>0</v>
      </c>
      <c r="AH67" s="311">
        <f t="shared" si="15"/>
        <v>0</v>
      </c>
      <c r="AI67" s="311">
        <f t="shared" si="15"/>
        <v>0</v>
      </c>
      <c r="AJ67" s="311">
        <f t="shared" si="15"/>
        <v>0</v>
      </c>
      <c r="AK67" s="311">
        <f t="shared" si="15"/>
        <v>0</v>
      </c>
      <c r="AL67" s="311">
        <f t="shared" si="15"/>
        <v>0</v>
      </c>
      <c r="AM67" s="311">
        <f t="shared" si="15"/>
        <v>0</v>
      </c>
      <c r="AN67" s="311">
        <f t="shared" si="15"/>
        <v>0</v>
      </c>
      <c r="AO67" s="311"/>
      <c r="AP67" s="311"/>
      <c r="AQ67" s="311"/>
      <c r="AR67" s="311"/>
      <c r="AS67" s="311"/>
      <c r="AT67" s="311"/>
      <c r="AU67" s="311"/>
      <c r="AV67" s="311"/>
      <c r="AW67" s="311"/>
      <c r="AX67" s="311"/>
      <c r="AY67" s="311"/>
      <c r="AZ67" s="311"/>
      <c r="BA67" s="311"/>
      <c r="BB67" s="311"/>
      <c r="BC67" s="311"/>
      <c r="BD67" s="311"/>
      <c r="BE67" s="311"/>
      <c r="BF67" s="311"/>
      <c r="BG67" s="311"/>
      <c r="BH67" s="311"/>
      <c r="BI67" s="311"/>
      <c r="BJ67" s="311"/>
      <c r="BK67" s="311"/>
    </row>
    <row r="68" spans="1:63" s="80" customFormat="1" ht="12.75">
      <c r="A68" s="167"/>
      <c r="B68" s="210" t="str">
        <f>Servicio_internaColumna_título_amortizaciones</f>
        <v>Amortizaciones</v>
      </c>
      <c r="C68" s="269">
        <v>0</v>
      </c>
      <c r="D68" s="235">
        <v>1409054.84</v>
      </c>
      <c r="E68" s="235">
        <v>6598703.6699999999</v>
      </c>
      <c r="F68" s="235">
        <v>4224390.79</v>
      </c>
      <c r="G68" s="235">
        <v>6754032.5499999998</v>
      </c>
      <c r="H68" s="235">
        <v>3716798.2</v>
      </c>
      <c r="I68" s="235">
        <v>4229938.25</v>
      </c>
      <c r="J68" s="235">
        <v>5769358.4000000004</v>
      </c>
      <c r="K68" s="235">
        <v>2951248.72</v>
      </c>
      <c r="L68" s="235">
        <v>2987307.21</v>
      </c>
      <c r="M68" s="235">
        <v>2532415.4900000002</v>
      </c>
      <c r="N68" s="235">
        <v>3550374.4</v>
      </c>
      <c r="O68" s="235">
        <v>965258.04</v>
      </c>
      <c r="P68" s="235">
        <v>893141.06</v>
      </c>
      <c r="Q68" s="235">
        <v>809929.16</v>
      </c>
      <c r="R68" s="235">
        <v>1126134.3799999999</v>
      </c>
      <c r="S68" s="273">
        <v>427154.42</v>
      </c>
      <c r="T68" s="235">
        <v>310657.76</v>
      </c>
      <c r="U68" s="235">
        <v>263504.34999999998</v>
      </c>
      <c r="V68" s="235">
        <v>3234169.18</v>
      </c>
      <c r="W68" s="235">
        <v>246861.97</v>
      </c>
      <c r="X68" s="235">
        <v>91533.09</v>
      </c>
      <c r="Y68" s="235">
        <v>61022.06</v>
      </c>
      <c r="Z68" s="235">
        <v>61022.06</v>
      </c>
      <c r="AA68" s="235">
        <v>49927.14</v>
      </c>
      <c r="AB68" s="235">
        <v>30511.03</v>
      </c>
      <c r="AC68" s="235">
        <v>588030.76</v>
      </c>
      <c r="AD68" s="235">
        <v>24963.57</v>
      </c>
      <c r="AE68" s="235">
        <v>0</v>
      </c>
      <c r="AF68" s="235">
        <v>0</v>
      </c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5"/>
      <c r="AX68" s="235"/>
      <c r="AY68" s="235"/>
      <c r="AZ68" s="235"/>
      <c r="BA68" s="235"/>
      <c r="BB68" s="235"/>
      <c r="BC68" s="235"/>
      <c r="BD68" s="235"/>
      <c r="BE68" s="235"/>
      <c r="BF68" s="235"/>
      <c r="BG68" s="235"/>
      <c r="BH68" s="235"/>
      <c r="BI68" s="235"/>
      <c r="BJ68" s="235"/>
      <c r="BK68" s="235"/>
    </row>
    <row r="69" spans="1:63" s="133" customFormat="1" ht="12.75">
      <c r="A69" s="168">
        <v>37560</v>
      </c>
      <c r="B69" s="213" t="str">
        <f>Servicio_internaColumna_título_intereses</f>
        <v>Intereses</v>
      </c>
      <c r="C69" s="270">
        <v>0</v>
      </c>
      <c r="D69" s="271">
        <v>3256359.02</v>
      </c>
      <c r="E69" s="271">
        <v>6673594.3799999999</v>
      </c>
      <c r="F69" s="271">
        <v>4351982.37</v>
      </c>
      <c r="G69" s="271">
        <v>5414320.96</v>
      </c>
      <c r="H69" s="271">
        <v>3686287.17</v>
      </c>
      <c r="I69" s="271">
        <v>4193879.76</v>
      </c>
      <c r="J69" s="271">
        <v>5763810.9400000004</v>
      </c>
      <c r="K69" s="271">
        <v>4382493.4000000004</v>
      </c>
      <c r="L69" s="271">
        <v>3020591.97</v>
      </c>
      <c r="M69" s="271">
        <v>2537962.9500000002</v>
      </c>
      <c r="N69" s="271">
        <v>3611396.46</v>
      </c>
      <c r="O69" s="271">
        <v>1020732.64</v>
      </c>
      <c r="P69" s="271">
        <v>934747.01</v>
      </c>
      <c r="Q69" s="271">
        <v>890367.33</v>
      </c>
      <c r="R69" s="271">
        <v>1198251.3600000001</v>
      </c>
      <c r="S69" s="274">
        <v>490950.21</v>
      </c>
      <c r="T69" s="271">
        <v>416059.5</v>
      </c>
      <c r="U69" s="272">
        <v>385548.47</v>
      </c>
      <c r="V69" s="272">
        <v>3322928.54</v>
      </c>
      <c r="W69" s="272">
        <v>310657.76</v>
      </c>
      <c r="X69" s="272">
        <v>155328.88</v>
      </c>
      <c r="Y69" s="272">
        <v>116496.66</v>
      </c>
      <c r="Z69" s="272">
        <v>105401.74</v>
      </c>
      <c r="AA69" s="272">
        <v>91533.09</v>
      </c>
      <c r="AB69" s="272">
        <v>74890.710000000006</v>
      </c>
      <c r="AC69" s="272">
        <v>635184.17000000004</v>
      </c>
      <c r="AD69" s="236">
        <v>72116.98</v>
      </c>
      <c r="AE69" s="236">
        <v>47153.41</v>
      </c>
      <c r="AF69" s="236">
        <v>47153.41</v>
      </c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</row>
    <row r="70" spans="1:63" s="133" customFormat="1" ht="12.75">
      <c r="A70" s="169"/>
      <c r="B70" s="307" t="str">
        <f>Servicio_internaColumna_título_total</f>
        <v>Total</v>
      </c>
      <c r="C70" s="310">
        <v>0</v>
      </c>
      <c r="D70" s="311">
        <f t="shared" ref="D70:AN70" si="16">+D68+D69</f>
        <v>4665413.8600000003</v>
      </c>
      <c r="E70" s="311">
        <f t="shared" si="16"/>
        <v>13272298.050000001</v>
      </c>
      <c r="F70" s="311">
        <f t="shared" si="16"/>
        <v>8576373.1600000001</v>
      </c>
      <c r="G70" s="311">
        <f t="shared" si="16"/>
        <v>12168353.51</v>
      </c>
      <c r="H70" s="311">
        <f t="shared" si="16"/>
        <v>7403085.3700000001</v>
      </c>
      <c r="I70" s="311">
        <f t="shared" si="16"/>
        <v>8423818.0099999998</v>
      </c>
      <c r="J70" s="311">
        <f t="shared" si="16"/>
        <v>11533169.34</v>
      </c>
      <c r="K70" s="311">
        <f t="shared" si="16"/>
        <v>7333742.120000001</v>
      </c>
      <c r="L70" s="311">
        <f t="shared" si="16"/>
        <v>6007899.1799999997</v>
      </c>
      <c r="M70" s="311">
        <f t="shared" si="16"/>
        <v>5070378.4400000004</v>
      </c>
      <c r="N70" s="311">
        <f t="shared" si="16"/>
        <v>7161770.8599999994</v>
      </c>
      <c r="O70" s="311">
        <f t="shared" si="16"/>
        <v>1985990.6800000002</v>
      </c>
      <c r="P70" s="311">
        <f t="shared" si="16"/>
        <v>1827888.07</v>
      </c>
      <c r="Q70" s="311">
        <f t="shared" si="16"/>
        <v>1700296.49</v>
      </c>
      <c r="R70" s="311">
        <f t="shared" si="16"/>
        <v>2324385.7400000002</v>
      </c>
      <c r="S70" s="312">
        <f t="shared" si="16"/>
        <v>918104.63</v>
      </c>
      <c r="T70" s="311">
        <f t="shared" si="16"/>
        <v>726717.26</v>
      </c>
      <c r="U70" s="311">
        <f t="shared" si="16"/>
        <v>649052.81999999995</v>
      </c>
      <c r="V70" s="311">
        <f t="shared" si="16"/>
        <v>6557097.7200000007</v>
      </c>
      <c r="W70" s="311">
        <f t="shared" si="16"/>
        <v>557519.73</v>
      </c>
      <c r="X70" s="311">
        <f t="shared" si="16"/>
        <v>246861.97</v>
      </c>
      <c r="Y70" s="311">
        <f t="shared" si="16"/>
        <v>177518.72</v>
      </c>
      <c r="Z70" s="311">
        <f t="shared" si="16"/>
        <v>166423.79999999999</v>
      </c>
      <c r="AA70" s="311">
        <f t="shared" si="16"/>
        <v>141460.22999999998</v>
      </c>
      <c r="AB70" s="311">
        <f t="shared" si="16"/>
        <v>105401.74</v>
      </c>
      <c r="AC70" s="311">
        <f t="shared" si="16"/>
        <v>1223214.9300000002</v>
      </c>
      <c r="AD70" s="311">
        <f t="shared" si="16"/>
        <v>97080.549999999988</v>
      </c>
      <c r="AE70" s="311">
        <f t="shared" si="16"/>
        <v>47153.41</v>
      </c>
      <c r="AF70" s="311">
        <f t="shared" si="16"/>
        <v>47153.41</v>
      </c>
      <c r="AG70" s="311">
        <f t="shared" si="16"/>
        <v>0</v>
      </c>
      <c r="AH70" s="311">
        <f t="shared" si="16"/>
        <v>0</v>
      </c>
      <c r="AI70" s="311">
        <f t="shared" si="16"/>
        <v>0</v>
      </c>
      <c r="AJ70" s="311">
        <f t="shared" si="16"/>
        <v>0</v>
      </c>
      <c r="AK70" s="311">
        <f t="shared" si="16"/>
        <v>0</v>
      </c>
      <c r="AL70" s="311">
        <f t="shared" si="16"/>
        <v>0</v>
      </c>
      <c r="AM70" s="311">
        <f t="shared" si="16"/>
        <v>0</v>
      </c>
      <c r="AN70" s="311">
        <f t="shared" si="16"/>
        <v>0</v>
      </c>
      <c r="AO70" s="311"/>
      <c r="AP70" s="311"/>
      <c r="AQ70" s="311"/>
      <c r="AR70" s="311"/>
      <c r="AS70" s="311"/>
      <c r="AT70" s="311"/>
      <c r="AU70" s="311"/>
      <c r="AV70" s="311"/>
      <c r="AW70" s="311"/>
      <c r="AX70" s="311"/>
      <c r="AY70" s="311"/>
      <c r="AZ70" s="311"/>
      <c r="BA70" s="311"/>
      <c r="BB70" s="311"/>
      <c r="BC70" s="311"/>
      <c r="BD70" s="311"/>
      <c r="BE70" s="311"/>
      <c r="BF70" s="311"/>
      <c r="BG70" s="311"/>
      <c r="BH70" s="311"/>
      <c r="BI70" s="311"/>
      <c r="BJ70" s="311"/>
      <c r="BK70" s="311"/>
    </row>
    <row r="71" spans="1:63" s="80" customFormat="1" ht="12.75">
      <c r="A71" s="167"/>
      <c r="B71" s="210" t="str">
        <f>Servicio_internaColumna_título_amortizaciones</f>
        <v>Amortizaciones</v>
      </c>
      <c r="C71" s="269">
        <v>0</v>
      </c>
      <c r="D71" s="235">
        <v>1351557.2</v>
      </c>
      <c r="E71" s="235">
        <v>6561948.1200000001</v>
      </c>
      <c r="F71" s="235">
        <v>4200860.4400000004</v>
      </c>
      <c r="G71" s="235">
        <v>6713653.5200000005</v>
      </c>
      <c r="H71" s="235">
        <v>3696095.2</v>
      </c>
      <c r="I71" s="235">
        <v>4203618.72</v>
      </c>
      <c r="J71" s="235">
        <v>5737222.4000000004</v>
      </c>
      <c r="K71" s="235">
        <v>2937568.2</v>
      </c>
      <c r="L71" s="235">
        <v>2967909.28</v>
      </c>
      <c r="M71" s="235">
        <v>2521067.92</v>
      </c>
      <c r="N71" s="235">
        <v>3533356.68</v>
      </c>
      <c r="O71" s="235">
        <v>959881.44</v>
      </c>
      <c r="P71" s="235">
        <v>893682.72</v>
      </c>
      <c r="Q71" s="235">
        <v>708877.96</v>
      </c>
      <c r="R71" s="235">
        <v>1125378.24</v>
      </c>
      <c r="S71" s="273">
        <v>427533.4</v>
      </c>
      <c r="T71" s="235">
        <v>308927.35999999999</v>
      </c>
      <c r="U71" s="235">
        <v>264794.88</v>
      </c>
      <c r="V71" s="235">
        <v>3221671.04</v>
      </c>
      <c r="W71" s="235">
        <v>251003.48</v>
      </c>
      <c r="X71" s="235">
        <v>96539.8</v>
      </c>
      <c r="Y71" s="235">
        <v>66198.720000000001</v>
      </c>
      <c r="Z71" s="235">
        <v>63440.44</v>
      </c>
      <c r="AA71" s="235">
        <v>52407.32</v>
      </c>
      <c r="AB71" s="235">
        <v>30341.08</v>
      </c>
      <c r="AC71" s="235">
        <v>584755.36</v>
      </c>
      <c r="AD71" s="235">
        <v>24824.52</v>
      </c>
      <c r="AE71" s="235">
        <v>0</v>
      </c>
      <c r="AF71" s="235">
        <v>0</v>
      </c>
      <c r="AG71" s="235"/>
      <c r="AH71" s="235"/>
      <c r="AI71" s="235"/>
      <c r="AJ71" s="235"/>
      <c r="AK71" s="235"/>
      <c r="AL71" s="235"/>
      <c r="AM71" s="235"/>
      <c r="AN71" s="235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</row>
    <row r="72" spans="1:63" s="133" customFormat="1" ht="12.75">
      <c r="A72" s="168">
        <v>37590</v>
      </c>
      <c r="B72" s="213" t="str">
        <f>Servicio_internaColumna_título_intereses</f>
        <v>Intereses</v>
      </c>
      <c r="C72" s="270">
        <v>0</v>
      </c>
      <c r="D72" s="271">
        <v>3238220.72</v>
      </c>
      <c r="E72" s="271">
        <v>6636421.6800000006</v>
      </c>
      <c r="F72" s="271">
        <v>4327741.32</v>
      </c>
      <c r="G72" s="271">
        <v>5384162.5600000005</v>
      </c>
      <c r="H72" s="271">
        <v>3665754.12</v>
      </c>
      <c r="I72" s="271">
        <v>4170519.36</v>
      </c>
      <c r="J72" s="271">
        <v>5731705.8400000008</v>
      </c>
      <c r="K72" s="271">
        <v>4358082.4000000004</v>
      </c>
      <c r="L72" s="271">
        <v>3003766.92</v>
      </c>
      <c r="M72" s="271">
        <v>2523826.2000000002</v>
      </c>
      <c r="N72" s="271">
        <v>3591280.56</v>
      </c>
      <c r="O72" s="271">
        <v>1015047.04</v>
      </c>
      <c r="P72" s="271">
        <v>929540.36</v>
      </c>
      <c r="Q72" s="271">
        <v>885407.88</v>
      </c>
      <c r="R72" s="271">
        <v>1191576.96</v>
      </c>
      <c r="S72" s="274">
        <v>488215.56</v>
      </c>
      <c r="T72" s="271">
        <v>413742</v>
      </c>
      <c r="U72" s="272">
        <v>383400.92</v>
      </c>
      <c r="V72" s="272">
        <v>3304419.44</v>
      </c>
      <c r="W72" s="272">
        <v>308927.35999999999</v>
      </c>
      <c r="X72" s="272">
        <v>154463.67999999999</v>
      </c>
      <c r="Y72" s="272">
        <v>115847.76</v>
      </c>
      <c r="Z72" s="272">
        <v>104814.64</v>
      </c>
      <c r="AA72" s="272">
        <v>91023.24</v>
      </c>
      <c r="AB72" s="272">
        <v>74473.56</v>
      </c>
      <c r="AC72" s="272">
        <v>631646.12</v>
      </c>
      <c r="AD72" s="236">
        <v>71715.28</v>
      </c>
      <c r="AE72" s="236">
        <v>46890.76</v>
      </c>
      <c r="AF72" s="236">
        <v>46890.76</v>
      </c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</row>
    <row r="73" spans="1:63" s="133" customFormat="1" ht="12.75">
      <c r="A73" s="169"/>
      <c r="B73" s="307" t="str">
        <f>Servicio_internaColumna_título_total</f>
        <v>Total</v>
      </c>
      <c r="C73" s="310">
        <v>0</v>
      </c>
      <c r="D73" s="311">
        <f t="shared" ref="D73:AN73" si="17">+D71+D72</f>
        <v>4589777.92</v>
      </c>
      <c r="E73" s="311">
        <f t="shared" si="17"/>
        <v>13198369.800000001</v>
      </c>
      <c r="F73" s="311">
        <f t="shared" si="17"/>
        <v>8528601.7600000016</v>
      </c>
      <c r="G73" s="311">
        <f t="shared" si="17"/>
        <v>12097816.080000002</v>
      </c>
      <c r="H73" s="311">
        <f t="shared" si="17"/>
        <v>7361849.3200000003</v>
      </c>
      <c r="I73" s="311">
        <f t="shared" si="17"/>
        <v>8374138.0800000001</v>
      </c>
      <c r="J73" s="311">
        <f t="shared" si="17"/>
        <v>11468928.240000002</v>
      </c>
      <c r="K73" s="311">
        <f t="shared" si="17"/>
        <v>7295650.6000000006</v>
      </c>
      <c r="L73" s="311">
        <f t="shared" si="17"/>
        <v>5971676.1999999993</v>
      </c>
      <c r="M73" s="311">
        <f t="shared" si="17"/>
        <v>5044894.12</v>
      </c>
      <c r="N73" s="311">
        <f t="shared" si="17"/>
        <v>7124637.2400000002</v>
      </c>
      <c r="O73" s="311">
        <f t="shared" si="17"/>
        <v>1974928.48</v>
      </c>
      <c r="P73" s="311">
        <f t="shared" si="17"/>
        <v>1823223.08</v>
      </c>
      <c r="Q73" s="311">
        <f t="shared" si="17"/>
        <v>1594285.8399999999</v>
      </c>
      <c r="R73" s="311">
        <f t="shared" si="17"/>
        <v>2316955.2000000002</v>
      </c>
      <c r="S73" s="312">
        <f t="shared" si="17"/>
        <v>915748.96</v>
      </c>
      <c r="T73" s="311">
        <f t="shared" si="17"/>
        <v>722669.36</v>
      </c>
      <c r="U73" s="311">
        <f t="shared" si="17"/>
        <v>648195.80000000005</v>
      </c>
      <c r="V73" s="311">
        <f t="shared" si="17"/>
        <v>6526090.4800000004</v>
      </c>
      <c r="W73" s="311">
        <f t="shared" si="17"/>
        <v>559930.84</v>
      </c>
      <c r="X73" s="311">
        <f t="shared" si="17"/>
        <v>251003.47999999998</v>
      </c>
      <c r="Y73" s="311">
        <f t="shared" si="17"/>
        <v>182046.47999999998</v>
      </c>
      <c r="Z73" s="311">
        <f t="shared" si="17"/>
        <v>168255.08000000002</v>
      </c>
      <c r="AA73" s="311">
        <f t="shared" si="17"/>
        <v>143430.56</v>
      </c>
      <c r="AB73" s="311">
        <f t="shared" si="17"/>
        <v>104814.64</v>
      </c>
      <c r="AC73" s="311">
        <f t="shared" si="17"/>
        <v>1216401.48</v>
      </c>
      <c r="AD73" s="311">
        <f t="shared" si="17"/>
        <v>96539.8</v>
      </c>
      <c r="AE73" s="311">
        <f t="shared" si="17"/>
        <v>46890.76</v>
      </c>
      <c r="AF73" s="311">
        <f t="shared" si="17"/>
        <v>46890.76</v>
      </c>
      <c r="AG73" s="311">
        <f t="shared" si="17"/>
        <v>0</v>
      </c>
      <c r="AH73" s="311">
        <f t="shared" si="17"/>
        <v>0</v>
      </c>
      <c r="AI73" s="311">
        <f t="shared" si="17"/>
        <v>0</v>
      </c>
      <c r="AJ73" s="311">
        <f t="shared" si="17"/>
        <v>0</v>
      </c>
      <c r="AK73" s="311">
        <f t="shared" si="17"/>
        <v>0</v>
      </c>
      <c r="AL73" s="311">
        <f t="shared" si="17"/>
        <v>0</v>
      </c>
      <c r="AM73" s="311">
        <f t="shared" si="17"/>
        <v>0</v>
      </c>
      <c r="AN73" s="311">
        <f t="shared" si="17"/>
        <v>0</v>
      </c>
      <c r="AO73" s="311"/>
      <c r="AP73" s="311"/>
      <c r="AQ73" s="311"/>
      <c r="AR73" s="311"/>
      <c r="AS73" s="311"/>
      <c r="AT73" s="311"/>
      <c r="AU73" s="311"/>
      <c r="AV73" s="311"/>
      <c r="AW73" s="311"/>
      <c r="AX73" s="311"/>
      <c r="AY73" s="311"/>
      <c r="AZ73" s="311"/>
      <c r="BA73" s="311"/>
      <c r="BB73" s="311"/>
      <c r="BC73" s="311"/>
      <c r="BD73" s="311"/>
      <c r="BE73" s="311"/>
      <c r="BF73" s="311"/>
      <c r="BG73" s="311"/>
      <c r="BH73" s="311"/>
      <c r="BI73" s="311"/>
      <c r="BJ73" s="311"/>
      <c r="BK73" s="311"/>
    </row>
    <row r="74" spans="1:63" s="80" customFormat="1" ht="12.75">
      <c r="A74" s="167"/>
      <c r="B74" s="210" t="str">
        <f>Servicio_internaColumna_título_amortizaciones</f>
        <v>Amortizaciones</v>
      </c>
      <c r="C74" s="269">
        <v>0</v>
      </c>
      <c r="D74" s="235"/>
      <c r="E74" s="235">
        <v>6795281.8799999999</v>
      </c>
      <c r="F74" s="235">
        <v>4351616.01</v>
      </c>
      <c r="G74" s="235">
        <v>7021600.29</v>
      </c>
      <c r="H74" s="235">
        <v>3844548.18</v>
      </c>
      <c r="I74" s="235">
        <v>4446154.08</v>
      </c>
      <c r="J74" s="235">
        <v>6185081.6100000003</v>
      </c>
      <c r="K74" s="235">
        <v>3056730.93</v>
      </c>
      <c r="L74" s="235">
        <v>3093973.2</v>
      </c>
      <c r="M74" s="235">
        <v>2718685.71</v>
      </c>
      <c r="N74" s="235">
        <v>3675525.57</v>
      </c>
      <c r="O74" s="235">
        <v>2435071.5</v>
      </c>
      <c r="P74" s="235">
        <v>931056.75</v>
      </c>
      <c r="Q74" s="235">
        <v>739115.82</v>
      </c>
      <c r="R74" s="235">
        <v>1174563.8999999999</v>
      </c>
      <c r="S74" s="273">
        <v>441177.66</v>
      </c>
      <c r="T74" s="235">
        <v>317991.69</v>
      </c>
      <c r="U74" s="235">
        <v>272155.05</v>
      </c>
      <c r="V74" s="235">
        <v>3343209.93</v>
      </c>
      <c r="W74" s="235">
        <v>257831.1</v>
      </c>
      <c r="X74" s="235">
        <v>100267.65</v>
      </c>
      <c r="Y74" s="235">
        <v>68754.960000000006</v>
      </c>
      <c r="Z74" s="235">
        <v>65890.17</v>
      </c>
      <c r="AA74" s="235">
        <v>51566.22</v>
      </c>
      <c r="AB74" s="235">
        <v>28647.9</v>
      </c>
      <c r="AC74" s="235">
        <v>607335.48</v>
      </c>
      <c r="AD74" s="235">
        <v>25783.11</v>
      </c>
      <c r="AE74" s="235">
        <v>0</v>
      </c>
      <c r="AF74" s="235">
        <v>0</v>
      </c>
      <c r="AG74" s="235"/>
      <c r="AH74" s="235"/>
      <c r="AI74" s="235"/>
      <c r="AJ74" s="235"/>
      <c r="AK74" s="235"/>
      <c r="AL74" s="235"/>
      <c r="AM74" s="235"/>
      <c r="AN74" s="235"/>
      <c r="AO74" s="235"/>
      <c r="AP74" s="235"/>
      <c r="AQ74" s="235"/>
      <c r="AR74" s="235"/>
      <c r="AS74" s="235"/>
      <c r="AT74" s="235"/>
      <c r="AU74" s="235"/>
      <c r="AV74" s="235"/>
      <c r="AW74" s="235"/>
      <c r="AX74" s="235"/>
      <c r="AY74" s="235"/>
      <c r="AZ74" s="235"/>
      <c r="BA74" s="235"/>
      <c r="BB74" s="235"/>
      <c r="BC74" s="235"/>
      <c r="BD74" s="235"/>
      <c r="BE74" s="235"/>
      <c r="BF74" s="235"/>
      <c r="BG74" s="235"/>
      <c r="BH74" s="235"/>
      <c r="BI74" s="235"/>
      <c r="BJ74" s="235"/>
      <c r="BK74" s="235"/>
    </row>
    <row r="75" spans="1:63" s="133" customFormat="1" ht="12.75">
      <c r="A75" s="168">
        <v>37621</v>
      </c>
      <c r="B75" s="213" t="str">
        <f>Servicio_internaColumna_título_intereses</f>
        <v>Intereses</v>
      </c>
      <c r="C75" s="270">
        <v>0</v>
      </c>
      <c r="D75" s="271"/>
      <c r="E75" s="271">
        <v>3363263.46</v>
      </c>
      <c r="F75" s="271">
        <v>6892684.7400000002</v>
      </c>
      <c r="G75" s="271">
        <v>4494855.51</v>
      </c>
      <c r="H75" s="271">
        <v>5592070.0800000001</v>
      </c>
      <c r="I75" s="271">
        <v>3807305.91</v>
      </c>
      <c r="J75" s="271">
        <v>4331562.4800000004</v>
      </c>
      <c r="K75" s="271">
        <v>5953033.6200000001</v>
      </c>
      <c r="L75" s="271">
        <v>4526368.2</v>
      </c>
      <c r="M75" s="271">
        <v>3119756.31</v>
      </c>
      <c r="N75" s="271">
        <v>2621282.85</v>
      </c>
      <c r="O75" s="271">
        <v>3729956.58</v>
      </c>
      <c r="P75" s="271">
        <v>1054242.72</v>
      </c>
      <c r="Q75" s="271">
        <v>965434.23</v>
      </c>
      <c r="R75" s="271">
        <v>919597.59</v>
      </c>
      <c r="S75" s="274">
        <v>1237589.28</v>
      </c>
      <c r="T75" s="271">
        <v>507067.83</v>
      </c>
      <c r="U75" s="272">
        <v>429718.5</v>
      </c>
      <c r="V75" s="272">
        <v>398205.81</v>
      </c>
      <c r="W75" s="272">
        <v>3432018.42</v>
      </c>
      <c r="X75" s="272">
        <v>320856.48</v>
      </c>
      <c r="Y75" s="272">
        <v>160428.24</v>
      </c>
      <c r="Z75" s="272">
        <v>120321.18</v>
      </c>
      <c r="AA75" s="272">
        <v>108862.02</v>
      </c>
      <c r="AB75" s="272">
        <v>94538.07</v>
      </c>
      <c r="AC75" s="272">
        <v>77349.33</v>
      </c>
      <c r="AD75" s="236">
        <v>656036.91</v>
      </c>
      <c r="AE75" s="236">
        <v>74484.539999999994</v>
      </c>
      <c r="AF75" s="236">
        <v>48701.43</v>
      </c>
      <c r="AG75" s="236">
        <v>48701.43</v>
      </c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</row>
    <row r="76" spans="1:63" s="133" customFormat="1" ht="12.75">
      <c r="A76" s="169"/>
      <c r="B76" s="307" t="str">
        <f>Servicio_internaColumna_título_total</f>
        <v>Total</v>
      </c>
      <c r="C76" s="310">
        <v>0</v>
      </c>
      <c r="D76" s="311"/>
      <c r="E76" s="311">
        <f t="shared" ref="E76:AN76" si="18">+E74+E75</f>
        <v>10158545.34</v>
      </c>
      <c r="F76" s="311">
        <f t="shared" si="18"/>
        <v>11244300.75</v>
      </c>
      <c r="G76" s="311">
        <f t="shared" si="18"/>
        <v>11516455.800000001</v>
      </c>
      <c r="H76" s="311">
        <f t="shared" si="18"/>
        <v>9436618.2599999998</v>
      </c>
      <c r="I76" s="311">
        <f t="shared" si="18"/>
        <v>8253459.9900000002</v>
      </c>
      <c r="J76" s="311">
        <f t="shared" si="18"/>
        <v>10516644.09</v>
      </c>
      <c r="K76" s="311">
        <f t="shared" si="18"/>
        <v>9009764.5500000007</v>
      </c>
      <c r="L76" s="311">
        <f t="shared" si="18"/>
        <v>7620341.4000000004</v>
      </c>
      <c r="M76" s="311">
        <f t="shared" si="18"/>
        <v>5838442.0199999996</v>
      </c>
      <c r="N76" s="311">
        <f t="shared" si="18"/>
        <v>6296808.4199999999</v>
      </c>
      <c r="O76" s="311">
        <f t="shared" si="18"/>
        <v>6165028.0800000001</v>
      </c>
      <c r="P76" s="311">
        <f t="shared" si="18"/>
        <v>1985299.47</v>
      </c>
      <c r="Q76" s="311">
        <f t="shared" si="18"/>
        <v>1704550.0499999998</v>
      </c>
      <c r="R76" s="311">
        <f t="shared" si="18"/>
        <v>2094161.4899999998</v>
      </c>
      <c r="S76" s="312">
        <f t="shared" si="18"/>
        <v>1678766.94</v>
      </c>
      <c r="T76" s="311">
        <f t="shared" si="18"/>
        <v>825059.52</v>
      </c>
      <c r="U76" s="311">
        <f t="shared" si="18"/>
        <v>701873.55</v>
      </c>
      <c r="V76" s="311">
        <f t="shared" si="18"/>
        <v>3741415.74</v>
      </c>
      <c r="W76" s="311">
        <f t="shared" si="18"/>
        <v>3689849.52</v>
      </c>
      <c r="X76" s="311">
        <f t="shared" si="18"/>
        <v>421124.13</v>
      </c>
      <c r="Y76" s="311">
        <f t="shared" si="18"/>
        <v>229183.2</v>
      </c>
      <c r="Z76" s="311">
        <f t="shared" si="18"/>
        <v>186211.34999999998</v>
      </c>
      <c r="AA76" s="311">
        <f t="shared" si="18"/>
        <v>160428.24</v>
      </c>
      <c r="AB76" s="311">
        <f t="shared" si="18"/>
        <v>123185.97</v>
      </c>
      <c r="AC76" s="311">
        <f t="shared" si="18"/>
        <v>684684.80999999994</v>
      </c>
      <c r="AD76" s="311">
        <f t="shared" si="18"/>
        <v>681820.02</v>
      </c>
      <c r="AE76" s="311">
        <f t="shared" si="18"/>
        <v>74484.539999999994</v>
      </c>
      <c r="AF76" s="311">
        <f t="shared" si="18"/>
        <v>48701.43</v>
      </c>
      <c r="AG76" s="311">
        <f t="shared" si="18"/>
        <v>48701.43</v>
      </c>
      <c r="AH76" s="311">
        <f t="shared" si="18"/>
        <v>0</v>
      </c>
      <c r="AI76" s="311">
        <f t="shared" si="18"/>
        <v>0</v>
      </c>
      <c r="AJ76" s="311">
        <f t="shared" si="18"/>
        <v>0</v>
      </c>
      <c r="AK76" s="311">
        <f t="shared" si="18"/>
        <v>0</v>
      </c>
      <c r="AL76" s="311">
        <f t="shared" si="18"/>
        <v>0</v>
      </c>
      <c r="AM76" s="311">
        <f t="shared" si="18"/>
        <v>0</v>
      </c>
      <c r="AN76" s="311">
        <f t="shared" si="18"/>
        <v>0</v>
      </c>
      <c r="AO76" s="311"/>
      <c r="AP76" s="311"/>
      <c r="AQ76" s="311"/>
      <c r="AR76" s="311"/>
      <c r="AS76" s="311"/>
      <c r="AT76" s="311"/>
      <c r="AU76" s="311"/>
      <c r="AV76" s="311"/>
      <c r="AW76" s="311"/>
      <c r="AX76" s="311"/>
      <c r="AY76" s="311"/>
      <c r="AZ76" s="311"/>
      <c r="BA76" s="311"/>
      <c r="BB76" s="311"/>
      <c r="BC76" s="311"/>
      <c r="BD76" s="311"/>
      <c r="BE76" s="311"/>
      <c r="BF76" s="311"/>
      <c r="BG76" s="311"/>
      <c r="BH76" s="311"/>
      <c r="BI76" s="311"/>
      <c r="BJ76" s="311"/>
      <c r="BK76" s="311"/>
    </row>
    <row r="77" spans="1:63" s="80" customFormat="1" ht="12.75">
      <c r="A77" s="167"/>
      <c r="B77" s="210" t="str">
        <f>Servicio_internaColumna_título_amortizaciones</f>
        <v>Amortizaciones</v>
      </c>
      <c r="C77" s="269">
        <v>0</v>
      </c>
      <c r="D77" s="235"/>
      <c r="E77" s="235">
        <v>6408947.4000000004</v>
      </c>
      <c r="F77" s="235">
        <v>4445292.74</v>
      </c>
      <c r="G77" s="235">
        <v>7178606.3799999999</v>
      </c>
      <c r="H77" s="235">
        <v>3930235.78</v>
      </c>
      <c r="I77" s="235">
        <v>4541865.92</v>
      </c>
      <c r="J77" s="235">
        <v>6318227.1399999997</v>
      </c>
      <c r="K77" s="235">
        <v>3122532.82</v>
      </c>
      <c r="L77" s="235">
        <v>3166429.72</v>
      </c>
      <c r="M77" s="235">
        <v>2780137</v>
      </c>
      <c r="N77" s="235">
        <v>3757574.64</v>
      </c>
      <c r="O77" s="235">
        <v>2487491</v>
      </c>
      <c r="P77" s="235">
        <v>951099.5</v>
      </c>
      <c r="Q77" s="235">
        <v>755026.68</v>
      </c>
      <c r="R77" s="235">
        <v>1199848.6000000001</v>
      </c>
      <c r="S77" s="273">
        <v>450674.84</v>
      </c>
      <c r="T77" s="235">
        <v>324837.06</v>
      </c>
      <c r="U77" s="235">
        <v>278013.7</v>
      </c>
      <c r="V77" s="235">
        <v>3415178.82</v>
      </c>
      <c r="W77" s="235">
        <v>263381.40000000002</v>
      </c>
      <c r="X77" s="235">
        <v>102426.1</v>
      </c>
      <c r="Y77" s="235">
        <v>70235.039999999994</v>
      </c>
      <c r="Z77" s="235">
        <v>67308.58</v>
      </c>
      <c r="AA77" s="235">
        <v>52676.28</v>
      </c>
      <c r="AB77" s="235">
        <v>29264.6</v>
      </c>
      <c r="AC77" s="235">
        <v>620409.52</v>
      </c>
      <c r="AD77" s="235">
        <v>26338.14</v>
      </c>
      <c r="AE77" s="235">
        <v>0</v>
      </c>
      <c r="AF77" s="235">
        <v>0</v>
      </c>
      <c r="AG77" s="235">
        <v>0</v>
      </c>
      <c r="AH77" s="235">
        <v>0</v>
      </c>
      <c r="AI77" s="235">
        <v>1463230</v>
      </c>
      <c r="AJ77" s="235"/>
      <c r="AK77" s="235"/>
      <c r="AL77" s="235"/>
      <c r="AM77" s="235"/>
      <c r="AN77" s="235"/>
      <c r="AO77" s="235"/>
      <c r="AP77" s="235"/>
      <c r="AQ77" s="235"/>
      <c r="AR77" s="235"/>
      <c r="AS77" s="235"/>
      <c r="AT77" s="235"/>
      <c r="AU77" s="235"/>
      <c r="AV77" s="235"/>
      <c r="AW77" s="235"/>
      <c r="AX77" s="235"/>
      <c r="AY77" s="235"/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</row>
    <row r="78" spans="1:63" s="133" customFormat="1" ht="12.75">
      <c r="A78" s="168">
        <v>37652</v>
      </c>
      <c r="B78" s="213" t="str">
        <f>Servicio_internaColumna_título_intereses</f>
        <v>Intereses</v>
      </c>
      <c r="C78" s="270">
        <v>0</v>
      </c>
      <c r="D78" s="271"/>
      <c r="E78" s="271">
        <v>3435664.04</v>
      </c>
      <c r="F78" s="271">
        <v>7041062.7599999998</v>
      </c>
      <c r="G78" s="271">
        <v>4591615.74</v>
      </c>
      <c r="H78" s="271">
        <v>5712449.9199999999</v>
      </c>
      <c r="I78" s="271">
        <v>3889265.34</v>
      </c>
      <c r="J78" s="271">
        <v>4424807.5199999996</v>
      </c>
      <c r="K78" s="271">
        <v>6081183.8799999999</v>
      </c>
      <c r="L78" s="271">
        <v>4623806.8</v>
      </c>
      <c r="M78" s="271">
        <v>3186914.94</v>
      </c>
      <c r="N78" s="271">
        <v>2677710.9</v>
      </c>
      <c r="O78" s="271">
        <v>3810250.92</v>
      </c>
      <c r="P78" s="271">
        <v>1076937.28</v>
      </c>
      <c r="Q78" s="271">
        <v>986217.02</v>
      </c>
      <c r="R78" s="271">
        <v>939393.66</v>
      </c>
      <c r="S78" s="274">
        <v>1264230.72</v>
      </c>
      <c r="T78" s="271">
        <v>517983.42</v>
      </c>
      <c r="U78" s="272">
        <v>438969</v>
      </c>
      <c r="V78" s="272">
        <v>406777.94</v>
      </c>
      <c r="W78" s="272">
        <v>3505899.08</v>
      </c>
      <c r="X78" s="272">
        <v>327763.52</v>
      </c>
      <c r="Y78" s="272">
        <v>163881.76</v>
      </c>
      <c r="Z78" s="272">
        <v>122911.32</v>
      </c>
      <c r="AA78" s="272">
        <v>111205.48</v>
      </c>
      <c r="AB78" s="272">
        <v>96573.18</v>
      </c>
      <c r="AC78" s="272">
        <v>79014.42</v>
      </c>
      <c r="AD78" s="236">
        <v>670159.34</v>
      </c>
      <c r="AE78" s="236">
        <v>76087.960000000006</v>
      </c>
      <c r="AF78" s="236">
        <v>49749.82</v>
      </c>
      <c r="AG78" s="236">
        <v>49749.82</v>
      </c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</row>
    <row r="79" spans="1:63" s="133" customFormat="1" ht="12.75">
      <c r="A79" s="169"/>
      <c r="B79" s="307" t="str">
        <f>Servicio_internaColumna_título_total</f>
        <v>Total</v>
      </c>
      <c r="C79" s="310">
        <v>0</v>
      </c>
      <c r="D79" s="311">
        <f t="shared" ref="D79:AN79" si="19">+D77+D78</f>
        <v>0</v>
      </c>
      <c r="E79" s="311">
        <f t="shared" si="19"/>
        <v>9844611.4400000013</v>
      </c>
      <c r="F79" s="311">
        <f t="shared" si="19"/>
        <v>11486355.5</v>
      </c>
      <c r="G79" s="311">
        <f t="shared" si="19"/>
        <v>11770222.120000001</v>
      </c>
      <c r="H79" s="311">
        <f t="shared" si="19"/>
        <v>9642685.6999999993</v>
      </c>
      <c r="I79" s="311">
        <f t="shared" si="19"/>
        <v>8431131.2599999998</v>
      </c>
      <c r="J79" s="311">
        <f t="shared" si="19"/>
        <v>10743034.66</v>
      </c>
      <c r="K79" s="311">
        <f t="shared" si="19"/>
        <v>9203716.6999999993</v>
      </c>
      <c r="L79" s="311">
        <f t="shared" si="19"/>
        <v>7790236.5199999996</v>
      </c>
      <c r="M79" s="311">
        <f t="shared" si="19"/>
        <v>5967051.9399999995</v>
      </c>
      <c r="N79" s="311">
        <f t="shared" si="19"/>
        <v>6435285.54</v>
      </c>
      <c r="O79" s="311">
        <f t="shared" si="19"/>
        <v>6297741.9199999999</v>
      </c>
      <c r="P79" s="311">
        <f t="shared" si="19"/>
        <v>2028036.78</v>
      </c>
      <c r="Q79" s="311">
        <f t="shared" si="19"/>
        <v>1741243.7000000002</v>
      </c>
      <c r="R79" s="311">
        <f t="shared" si="19"/>
        <v>2139242.2600000002</v>
      </c>
      <c r="S79" s="312">
        <f t="shared" si="19"/>
        <v>1714905.56</v>
      </c>
      <c r="T79" s="311">
        <f t="shared" si="19"/>
        <v>842820.48</v>
      </c>
      <c r="U79" s="311">
        <f t="shared" si="19"/>
        <v>716982.7</v>
      </c>
      <c r="V79" s="311">
        <f t="shared" si="19"/>
        <v>3821956.76</v>
      </c>
      <c r="W79" s="311">
        <f t="shared" si="19"/>
        <v>3769280.48</v>
      </c>
      <c r="X79" s="311">
        <f t="shared" si="19"/>
        <v>430189.62</v>
      </c>
      <c r="Y79" s="311">
        <f t="shared" si="19"/>
        <v>234116.8</v>
      </c>
      <c r="Z79" s="311">
        <f t="shared" si="19"/>
        <v>190219.90000000002</v>
      </c>
      <c r="AA79" s="311">
        <f t="shared" si="19"/>
        <v>163881.76</v>
      </c>
      <c r="AB79" s="311">
        <f t="shared" si="19"/>
        <v>125837.78</v>
      </c>
      <c r="AC79" s="311">
        <f t="shared" si="19"/>
        <v>699423.94000000006</v>
      </c>
      <c r="AD79" s="311">
        <f t="shared" si="19"/>
        <v>696497.48</v>
      </c>
      <c r="AE79" s="311">
        <f t="shared" si="19"/>
        <v>76087.960000000006</v>
      </c>
      <c r="AF79" s="311">
        <f t="shared" si="19"/>
        <v>49749.82</v>
      </c>
      <c r="AG79" s="311">
        <f t="shared" si="19"/>
        <v>49749.82</v>
      </c>
      <c r="AH79" s="311">
        <f t="shared" si="19"/>
        <v>0</v>
      </c>
      <c r="AI79" s="311">
        <f t="shared" si="19"/>
        <v>1463230</v>
      </c>
      <c r="AJ79" s="311">
        <f t="shared" si="19"/>
        <v>0</v>
      </c>
      <c r="AK79" s="311">
        <f t="shared" si="19"/>
        <v>0</v>
      </c>
      <c r="AL79" s="311">
        <f t="shared" si="19"/>
        <v>0</v>
      </c>
      <c r="AM79" s="311">
        <f t="shared" si="19"/>
        <v>0</v>
      </c>
      <c r="AN79" s="311">
        <f t="shared" si="19"/>
        <v>0</v>
      </c>
      <c r="AO79" s="311"/>
      <c r="AP79" s="311"/>
      <c r="AQ79" s="311"/>
      <c r="AR79" s="311"/>
      <c r="AS79" s="311"/>
      <c r="AT79" s="311"/>
      <c r="AU79" s="311"/>
      <c r="AV79" s="311"/>
      <c r="AW79" s="311"/>
      <c r="AX79" s="311"/>
      <c r="AY79" s="311"/>
      <c r="AZ79" s="311"/>
      <c r="BA79" s="311"/>
      <c r="BB79" s="311"/>
      <c r="BC79" s="311"/>
      <c r="BD79" s="311"/>
      <c r="BE79" s="311"/>
      <c r="BF79" s="311"/>
      <c r="BG79" s="311"/>
      <c r="BH79" s="311"/>
      <c r="BI79" s="311"/>
      <c r="BJ79" s="311"/>
      <c r="BK79" s="311"/>
    </row>
    <row r="80" spans="1:63" s="80" customFormat="1" ht="12.75">
      <c r="A80" s="167"/>
      <c r="B80" s="210" t="str">
        <f>Servicio_internaColumna_título_amortizaciones</f>
        <v>Amortizaciones</v>
      </c>
      <c r="C80" s="269">
        <v>0</v>
      </c>
      <c r="D80" s="235"/>
      <c r="E80" s="235">
        <v>6967206.0694785006</v>
      </c>
      <c r="F80" s="235">
        <v>4313256.29</v>
      </c>
      <c r="G80" s="235">
        <v>7257741.0499999998</v>
      </c>
      <c r="H80" s="235">
        <v>3964411.71</v>
      </c>
      <c r="I80" s="235">
        <v>4588193.12</v>
      </c>
      <c r="J80" s="235">
        <v>6409280.0800000001</v>
      </c>
      <c r="K80" s="235">
        <v>3154382.77</v>
      </c>
      <c r="L80" s="235">
        <v>3198727.42</v>
      </c>
      <c r="M80" s="235">
        <v>2811450.81</v>
      </c>
      <c r="N80" s="235">
        <v>3795902.04</v>
      </c>
      <c r="O80" s="235">
        <v>2512863.5</v>
      </c>
      <c r="P80" s="235">
        <v>960800.75</v>
      </c>
      <c r="Q80" s="235">
        <v>765684.29</v>
      </c>
      <c r="R80" s="235">
        <v>1212087.1000000001</v>
      </c>
      <c r="S80" s="273">
        <v>461184.36</v>
      </c>
      <c r="T80" s="235">
        <v>328150.40999999997</v>
      </c>
      <c r="U80" s="235">
        <v>280849.45</v>
      </c>
      <c r="V80" s="235">
        <v>3450013.77</v>
      </c>
      <c r="W80" s="235">
        <v>266067.90000000002</v>
      </c>
      <c r="X80" s="235">
        <v>103470.85</v>
      </c>
      <c r="Y80" s="235">
        <v>70951.44</v>
      </c>
      <c r="Z80" s="235">
        <v>67995.13</v>
      </c>
      <c r="AA80" s="235">
        <v>50257.27</v>
      </c>
      <c r="AB80" s="235">
        <v>29563.1</v>
      </c>
      <c r="AC80" s="235">
        <v>626737.72</v>
      </c>
      <c r="AD80" s="235">
        <v>26606.79</v>
      </c>
      <c r="AE80" s="235">
        <v>0</v>
      </c>
      <c r="AF80" s="235">
        <v>0</v>
      </c>
      <c r="AG80" s="235">
        <v>0</v>
      </c>
      <c r="AH80" s="235">
        <v>0</v>
      </c>
      <c r="AI80" s="235">
        <v>1478155</v>
      </c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</row>
    <row r="81" spans="1:63" s="133" customFormat="1" ht="12.75">
      <c r="A81" s="168">
        <v>37680</v>
      </c>
      <c r="B81" s="213" t="str">
        <f>Servicio_internaColumna_título_intereses</f>
        <v>Intereses</v>
      </c>
      <c r="C81" s="270">
        <v>0</v>
      </c>
      <c r="D81" s="271"/>
      <c r="E81" s="271">
        <v>3470707.94</v>
      </c>
      <c r="F81" s="271">
        <v>7112881.8599999994</v>
      </c>
      <c r="G81" s="271">
        <v>4638450.3899999997</v>
      </c>
      <c r="H81" s="271">
        <v>5770717.1200000001</v>
      </c>
      <c r="I81" s="271">
        <v>3928935.99</v>
      </c>
      <c r="J81" s="271">
        <v>4469940.72</v>
      </c>
      <c r="K81" s="271">
        <v>6143212.1799999997</v>
      </c>
      <c r="L81" s="271">
        <v>4670969.8</v>
      </c>
      <c r="M81" s="271">
        <v>3219421.59</v>
      </c>
      <c r="N81" s="271">
        <v>2705023.65</v>
      </c>
      <c r="O81" s="271">
        <v>3849115.62</v>
      </c>
      <c r="P81" s="271">
        <v>1087922.08</v>
      </c>
      <c r="Q81" s="271">
        <v>996276.47</v>
      </c>
      <c r="R81" s="271">
        <v>948975.51</v>
      </c>
      <c r="S81" s="274">
        <v>1277125.92</v>
      </c>
      <c r="T81" s="271">
        <v>523266.87</v>
      </c>
      <c r="U81" s="272">
        <v>443446.5</v>
      </c>
      <c r="V81" s="272">
        <v>410927.09</v>
      </c>
      <c r="W81" s="272">
        <v>3541659.38</v>
      </c>
      <c r="X81" s="272">
        <v>331106.71999999997</v>
      </c>
      <c r="Y81" s="272">
        <v>165553.35999999999</v>
      </c>
      <c r="Z81" s="272">
        <v>124165.02</v>
      </c>
      <c r="AA81" s="272">
        <v>112339.78</v>
      </c>
      <c r="AB81" s="272">
        <v>97558.23</v>
      </c>
      <c r="AC81" s="272">
        <v>79820.37</v>
      </c>
      <c r="AD81" s="236">
        <v>676994.99</v>
      </c>
      <c r="AE81" s="236">
        <v>76864.06</v>
      </c>
      <c r="AF81" s="236">
        <v>50257.27</v>
      </c>
      <c r="AG81" s="236">
        <v>50257.27</v>
      </c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</row>
    <row r="82" spans="1:63" s="133" customFormat="1" ht="12.75">
      <c r="A82" s="169"/>
      <c r="B82" s="307" t="str">
        <f>Servicio_internaColumna_título_total</f>
        <v>Total</v>
      </c>
      <c r="C82" s="310">
        <v>0</v>
      </c>
      <c r="D82" s="311">
        <f t="shared" ref="D82:AN82" si="20">+D80+D81</f>
        <v>0</v>
      </c>
      <c r="E82" s="311">
        <f t="shared" si="20"/>
        <v>10437914.0094785</v>
      </c>
      <c r="F82" s="311">
        <f t="shared" si="20"/>
        <v>11426138.149999999</v>
      </c>
      <c r="G82" s="311">
        <f t="shared" si="20"/>
        <v>11896191.439999999</v>
      </c>
      <c r="H82" s="311">
        <f t="shared" si="20"/>
        <v>9735128.8300000001</v>
      </c>
      <c r="I82" s="311">
        <f t="shared" si="20"/>
        <v>8517129.1099999994</v>
      </c>
      <c r="J82" s="311">
        <f t="shared" si="20"/>
        <v>10879220.800000001</v>
      </c>
      <c r="K82" s="311">
        <f t="shared" si="20"/>
        <v>9297594.9499999993</v>
      </c>
      <c r="L82" s="311">
        <f t="shared" si="20"/>
        <v>7869697.2199999997</v>
      </c>
      <c r="M82" s="311">
        <f t="shared" si="20"/>
        <v>6030872.4000000004</v>
      </c>
      <c r="N82" s="311">
        <f t="shared" si="20"/>
        <v>6500925.6899999995</v>
      </c>
      <c r="O82" s="311">
        <f t="shared" si="20"/>
        <v>6361979.1200000001</v>
      </c>
      <c r="P82" s="311">
        <f t="shared" si="20"/>
        <v>2048722.83</v>
      </c>
      <c r="Q82" s="311">
        <f t="shared" si="20"/>
        <v>1761960.76</v>
      </c>
      <c r="R82" s="311">
        <f t="shared" si="20"/>
        <v>2161062.6100000003</v>
      </c>
      <c r="S82" s="312">
        <f t="shared" si="20"/>
        <v>1738310.2799999998</v>
      </c>
      <c r="T82" s="311">
        <f t="shared" si="20"/>
        <v>851417.28</v>
      </c>
      <c r="U82" s="311">
        <f t="shared" si="20"/>
        <v>724295.95</v>
      </c>
      <c r="V82" s="311">
        <f t="shared" si="20"/>
        <v>3860940.86</v>
      </c>
      <c r="W82" s="311">
        <f t="shared" si="20"/>
        <v>3807727.28</v>
      </c>
      <c r="X82" s="311">
        <f t="shared" si="20"/>
        <v>434577.56999999995</v>
      </c>
      <c r="Y82" s="311">
        <f t="shared" si="20"/>
        <v>236504.8</v>
      </c>
      <c r="Z82" s="311">
        <f t="shared" si="20"/>
        <v>192160.15000000002</v>
      </c>
      <c r="AA82" s="311">
        <f t="shared" si="20"/>
        <v>162597.04999999999</v>
      </c>
      <c r="AB82" s="311">
        <f t="shared" si="20"/>
        <v>127121.32999999999</v>
      </c>
      <c r="AC82" s="311">
        <f t="shared" si="20"/>
        <v>706558.09</v>
      </c>
      <c r="AD82" s="311">
        <f t="shared" si="20"/>
        <v>703601.78</v>
      </c>
      <c r="AE82" s="311">
        <f t="shared" si="20"/>
        <v>76864.06</v>
      </c>
      <c r="AF82" s="311">
        <f t="shared" si="20"/>
        <v>50257.27</v>
      </c>
      <c r="AG82" s="311">
        <f t="shared" si="20"/>
        <v>50257.27</v>
      </c>
      <c r="AH82" s="311">
        <f t="shared" si="20"/>
        <v>0</v>
      </c>
      <c r="AI82" s="311">
        <f t="shared" si="20"/>
        <v>1478155</v>
      </c>
      <c r="AJ82" s="311">
        <f t="shared" si="20"/>
        <v>0</v>
      </c>
      <c r="AK82" s="311">
        <f t="shared" si="20"/>
        <v>0</v>
      </c>
      <c r="AL82" s="311">
        <f t="shared" si="20"/>
        <v>0</v>
      </c>
      <c r="AM82" s="311">
        <f t="shared" si="20"/>
        <v>0</v>
      </c>
      <c r="AN82" s="311">
        <f t="shared" si="20"/>
        <v>0</v>
      </c>
      <c r="AO82" s="311"/>
      <c r="AP82" s="311"/>
      <c r="AQ82" s="311"/>
      <c r="AR82" s="311"/>
      <c r="AS82" s="311"/>
      <c r="AT82" s="311"/>
      <c r="AU82" s="311"/>
      <c r="AV82" s="311"/>
      <c r="AW82" s="311"/>
      <c r="AX82" s="311"/>
      <c r="AY82" s="311"/>
      <c r="AZ82" s="311"/>
      <c r="BA82" s="311"/>
      <c r="BB82" s="311"/>
      <c r="BC82" s="311"/>
      <c r="BD82" s="311"/>
      <c r="BE82" s="311"/>
      <c r="BF82" s="311"/>
      <c r="BG82" s="311"/>
      <c r="BH82" s="311"/>
      <c r="BI82" s="311"/>
      <c r="BJ82" s="311"/>
      <c r="BK82" s="311"/>
    </row>
    <row r="83" spans="1:63" s="80" customFormat="1" ht="12.75">
      <c r="A83" s="167"/>
      <c r="B83" s="210" t="str">
        <f>Servicio_internaColumna_título_amortizaciones</f>
        <v>Amortizaciones</v>
      </c>
      <c r="C83" s="269">
        <v>0</v>
      </c>
      <c r="D83" s="235"/>
      <c r="E83" s="235">
        <v>6446026.75</v>
      </c>
      <c r="F83" s="235">
        <v>4319045</v>
      </c>
      <c r="G83" s="235">
        <v>7295044.5</v>
      </c>
      <c r="H83" s="235">
        <v>4895903.75</v>
      </c>
      <c r="I83" s="235">
        <v>6440110.25</v>
      </c>
      <c r="J83" s="235">
        <v>7369000.75</v>
      </c>
      <c r="K83" s="235">
        <v>3156452.75</v>
      </c>
      <c r="L83" s="235">
        <v>3449319.5</v>
      </c>
      <c r="M83" s="235">
        <v>2822170.5</v>
      </c>
      <c r="N83" s="235">
        <v>3798393</v>
      </c>
      <c r="O83" s="235">
        <v>3254075</v>
      </c>
      <c r="P83" s="235">
        <v>1209924.25</v>
      </c>
      <c r="Q83" s="235">
        <v>1014679.75</v>
      </c>
      <c r="R83" s="235">
        <v>1357836.75</v>
      </c>
      <c r="S83" s="273">
        <v>461487</v>
      </c>
      <c r="T83" s="235">
        <v>328365.75</v>
      </c>
      <c r="U83" s="235">
        <v>281033.75</v>
      </c>
      <c r="V83" s="235">
        <v>3452277.75</v>
      </c>
      <c r="W83" s="235">
        <v>266242.5</v>
      </c>
      <c r="X83" s="235">
        <v>103538.75</v>
      </c>
      <c r="Y83" s="235">
        <v>70998</v>
      </c>
      <c r="Z83" s="235">
        <v>68039.75</v>
      </c>
      <c r="AA83" s="235">
        <v>50290.25</v>
      </c>
      <c r="AB83" s="235">
        <v>29582.5</v>
      </c>
      <c r="AC83" s="235">
        <v>627149</v>
      </c>
      <c r="AD83" s="235">
        <v>26624.25</v>
      </c>
      <c r="AE83" s="235">
        <v>0</v>
      </c>
      <c r="AF83" s="235">
        <v>0</v>
      </c>
      <c r="AG83" s="235">
        <v>0</v>
      </c>
      <c r="AH83" s="235">
        <v>0</v>
      </c>
      <c r="AI83" s="235">
        <v>1479125</v>
      </c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</row>
    <row r="84" spans="1:63" s="133" customFormat="1" ht="12.75">
      <c r="A84" s="168">
        <v>37711</v>
      </c>
      <c r="B84" s="213" t="str">
        <f>Servicio_internaColumna_título_intereses</f>
        <v>Intereses</v>
      </c>
      <c r="C84" s="270">
        <v>0</v>
      </c>
      <c r="D84" s="271"/>
      <c r="E84" s="271">
        <v>3472985.5</v>
      </c>
      <c r="F84" s="271">
        <v>7117549.5</v>
      </c>
      <c r="G84" s="271">
        <v>4641494.25</v>
      </c>
      <c r="H84" s="271">
        <v>5774504</v>
      </c>
      <c r="I84" s="271">
        <v>3931514.25</v>
      </c>
      <c r="J84" s="271">
        <v>4472874</v>
      </c>
      <c r="K84" s="271">
        <v>6147243.5</v>
      </c>
      <c r="L84" s="271">
        <v>4674035</v>
      </c>
      <c r="M84" s="271">
        <v>3221534.25</v>
      </c>
      <c r="N84" s="271">
        <v>2706798.75</v>
      </c>
      <c r="O84" s="271">
        <v>3851641.5</v>
      </c>
      <c r="P84" s="271">
        <v>1088636</v>
      </c>
      <c r="Q84" s="271">
        <v>996930.25</v>
      </c>
      <c r="R84" s="271">
        <v>949598.25</v>
      </c>
      <c r="S84" s="274">
        <v>1277964</v>
      </c>
      <c r="T84" s="271">
        <v>523610.25</v>
      </c>
      <c r="U84" s="272">
        <v>443737.5</v>
      </c>
      <c r="V84" s="272">
        <v>411196.75</v>
      </c>
      <c r="W84" s="272">
        <v>3543983.5</v>
      </c>
      <c r="X84" s="272">
        <v>331324</v>
      </c>
      <c r="Y84" s="272">
        <v>165662</v>
      </c>
      <c r="Z84" s="272">
        <v>124246.5</v>
      </c>
      <c r="AA84" s="272">
        <v>112413.5</v>
      </c>
      <c r="AB84" s="272">
        <v>97622.25</v>
      </c>
      <c r="AC84" s="272">
        <v>79872.75</v>
      </c>
      <c r="AD84" s="236">
        <v>677439.25</v>
      </c>
      <c r="AE84" s="236">
        <v>76914.5</v>
      </c>
      <c r="AF84" s="236">
        <v>50290.25</v>
      </c>
      <c r="AG84" s="236">
        <v>50290.25</v>
      </c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</row>
    <row r="85" spans="1:63" s="133" customFormat="1" ht="12.75">
      <c r="A85" s="169"/>
      <c r="B85" s="307" t="str">
        <f>Servicio_internaColumna_título_total</f>
        <v>Total</v>
      </c>
      <c r="C85" s="310">
        <v>0</v>
      </c>
      <c r="D85" s="311">
        <f t="shared" ref="D85:AN85" si="21">+D83+D84</f>
        <v>0</v>
      </c>
      <c r="E85" s="311">
        <f t="shared" si="21"/>
        <v>9919012.25</v>
      </c>
      <c r="F85" s="311">
        <f t="shared" si="21"/>
        <v>11436594.5</v>
      </c>
      <c r="G85" s="311">
        <f t="shared" si="21"/>
        <v>11936538.75</v>
      </c>
      <c r="H85" s="311">
        <f t="shared" si="21"/>
        <v>10670407.75</v>
      </c>
      <c r="I85" s="311">
        <f t="shared" si="21"/>
        <v>10371624.5</v>
      </c>
      <c r="J85" s="311">
        <f t="shared" si="21"/>
        <v>11841874.75</v>
      </c>
      <c r="K85" s="311">
        <f t="shared" si="21"/>
        <v>9303696.25</v>
      </c>
      <c r="L85" s="311">
        <f t="shared" si="21"/>
        <v>8123354.5</v>
      </c>
      <c r="M85" s="311">
        <f t="shared" si="21"/>
        <v>6043704.75</v>
      </c>
      <c r="N85" s="311">
        <f t="shared" si="21"/>
        <v>6505191.75</v>
      </c>
      <c r="O85" s="311">
        <f t="shared" si="21"/>
        <v>7105716.5</v>
      </c>
      <c r="P85" s="311">
        <f t="shared" si="21"/>
        <v>2298560.25</v>
      </c>
      <c r="Q85" s="311">
        <f t="shared" si="21"/>
        <v>2011610</v>
      </c>
      <c r="R85" s="311">
        <f t="shared" si="21"/>
        <v>2307435</v>
      </c>
      <c r="S85" s="312">
        <f t="shared" si="21"/>
        <v>1739451</v>
      </c>
      <c r="T85" s="311">
        <f t="shared" si="21"/>
        <v>851976</v>
      </c>
      <c r="U85" s="311">
        <f t="shared" si="21"/>
        <v>724771.25</v>
      </c>
      <c r="V85" s="311">
        <f t="shared" si="21"/>
        <v>3863474.5</v>
      </c>
      <c r="W85" s="311">
        <f t="shared" si="21"/>
        <v>3810226</v>
      </c>
      <c r="X85" s="311">
        <f t="shared" si="21"/>
        <v>434862.75</v>
      </c>
      <c r="Y85" s="311">
        <f t="shared" si="21"/>
        <v>236660</v>
      </c>
      <c r="Z85" s="311">
        <f t="shared" si="21"/>
        <v>192286.25</v>
      </c>
      <c r="AA85" s="311">
        <f t="shared" si="21"/>
        <v>162703.75</v>
      </c>
      <c r="AB85" s="311">
        <f t="shared" si="21"/>
        <v>127204.75</v>
      </c>
      <c r="AC85" s="311">
        <f t="shared" si="21"/>
        <v>707021.75</v>
      </c>
      <c r="AD85" s="311">
        <f t="shared" si="21"/>
        <v>704063.5</v>
      </c>
      <c r="AE85" s="311">
        <f t="shared" si="21"/>
        <v>76914.5</v>
      </c>
      <c r="AF85" s="311">
        <f t="shared" si="21"/>
        <v>50290.25</v>
      </c>
      <c r="AG85" s="311">
        <f t="shared" si="21"/>
        <v>50290.25</v>
      </c>
      <c r="AH85" s="311">
        <f t="shared" si="21"/>
        <v>0</v>
      </c>
      <c r="AI85" s="311">
        <f t="shared" si="21"/>
        <v>1479125</v>
      </c>
      <c r="AJ85" s="311">
        <f t="shared" si="21"/>
        <v>0</v>
      </c>
      <c r="AK85" s="311">
        <f t="shared" si="21"/>
        <v>0</v>
      </c>
      <c r="AL85" s="311">
        <f t="shared" si="21"/>
        <v>0</v>
      </c>
      <c r="AM85" s="311">
        <f t="shared" si="21"/>
        <v>0</v>
      </c>
      <c r="AN85" s="311">
        <f t="shared" si="21"/>
        <v>0</v>
      </c>
      <c r="AO85" s="311"/>
      <c r="AP85" s="311"/>
      <c r="AQ85" s="311"/>
      <c r="AR85" s="311"/>
      <c r="AS85" s="311"/>
      <c r="AT85" s="311"/>
      <c r="AU85" s="311"/>
      <c r="AV85" s="311"/>
      <c r="AW85" s="311"/>
      <c r="AX85" s="311"/>
      <c r="AY85" s="311"/>
      <c r="AZ85" s="311"/>
      <c r="BA85" s="311"/>
      <c r="BB85" s="311"/>
      <c r="BC85" s="311"/>
      <c r="BD85" s="311"/>
      <c r="BE85" s="311"/>
      <c r="BF85" s="311"/>
      <c r="BG85" s="311"/>
      <c r="BH85" s="311"/>
      <c r="BI85" s="311"/>
      <c r="BJ85" s="311"/>
      <c r="BK85" s="311"/>
    </row>
    <row r="86" spans="1:63" s="80" customFormat="1" ht="12.75">
      <c r="A86" s="167"/>
      <c r="B86" s="210" t="str">
        <f>Servicio_internaColumna_título_amortizaciones</f>
        <v>Amortizaciones</v>
      </c>
      <c r="C86" s="269">
        <v>0</v>
      </c>
      <c r="D86" s="235"/>
      <c r="E86" s="235">
        <v>5574219.1162539329</v>
      </c>
      <c r="F86" s="235">
        <v>4221992.84</v>
      </c>
      <c r="G86" s="235">
        <v>6734396.2400000002</v>
      </c>
      <c r="H86" s="235">
        <v>4790893.38</v>
      </c>
      <c r="I86" s="235">
        <v>6298335.4199999999</v>
      </c>
      <c r="J86" s="235">
        <v>7433248.6800000006</v>
      </c>
      <c r="K86" s="235">
        <v>3098630.86</v>
      </c>
      <c r="L86" s="235">
        <v>3465384</v>
      </c>
      <c r="M86" s="235">
        <v>2876268.72</v>
      </c>
      <c r="N86" s="235">
        <v>3722399.98</v>
      </c>
      <c r="O86" s="235">
        <v>3338319.92</v>
      </c>
      <c r="P86" s="235">
        <v>1758682.38</v>
      </c>
      <c r="Q86" s="235">
        <v>1175342.74</v>
      </c>
      <c r="R86" s="235">
        <v>1337060.6599999999</v>
      </c>
      <c r="S86" s="273">
        <v>459163.38</v>
      </c>
      <c r="T86" s="235">
        <v>329211.48</v>
      </c>
      <c r="U86" s="235">
        <v>283006.36</v>
      </c>
      <c r="V86" s="235">
        <v>3378749.4</v>
      </c>
      <c r="W86" s="235">
        <v>268567.26</v>
      </c>
      <c r="X86" s="235">
        <v>106849.34</v>
      </c>
      <c r="Y86" s="235">
        <v>75083.320000000007</v>
      </c>
      <c r="Z86" s="235">
        <v>72195.5</v>
      </c>
      <c r="AA86" s="235">
        <v>54868.58</v>
      </c>
      <c r="AB86" s="235">
        <v>34653.839999999997</v>
      </c>
      <c r="AC86" s="235">
        <v>620881.30000000005</v>
      </c>
      <c r="AD86" s="235">
        <v>31766.02</v>
      </c>
      <c r="AE86" s="235">
        <v>5775.64</v>
      </c>
      <c r="AF86" s="235">
        <v>5775.64</v>
      </c>
      <c r="AG86" s="235">
        <v>5775.64</v>
      </c>
      <c r="AH86" s="235">
        <v>5775.64</v>
      </c>
      <c r="AI86" s="235">
        <v>1455461.28</v>
      </c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</row>
    <row r="87" spans="1:63" s="133" customFormat="1" ht="12.75">
      <c r="A87" s="168">
        <v>37741</v>
      </c>
      <c r="B87" s="213" t="str">
        <f>Servicio_internaColumna_título_intereses</f>
        <v>Intereses</v>
      </c>
      <c r="C87" s="270">
        <v>0</v>
      </c>
      <c r="D87" s="271"/>
      <c r="E87" s="271">
        <v>3390300.68</v>
      </c>
      <c r="F87" s="271">
        <v>6948094.9200000009</v>
      </c>
      <c r="G87" s="271">
        <v>4530989.58</v>
      </c>
      <c r="H87" s="271">
        <v>5637024.6400000006</v>
      </c>
      <c r="I87" s="271">
        <v>3837912.78</v>
      </c>
      <c r="J87" s="271">
        <v>4366383.84</v>
      </c>
      <c r="K87" s="271">
        <v>6000889.96</v>
      </c>
      <c r="L87" s="271">
        <v>4562755.5999999996</v>
      </c>
      <c r="M87" s="271">
        <v>3144835.98</v>
      </c>
      <c r="N87" s="271">
        <v>2642355.2999999998</v>
      </c>
      <c r="O87" s="271">
        <v>3759941.64</v>
      </c>
      <c r="P87" s="271">
        <v>1062717.76</v>
      </c>
      <c r="Q87" s="271">
        <v>973195.34</v>
      </c>
      <c r="R87" s="271">
        <v>926990.22</v>
      </c>
      <c r="S87" s="274">
        <v>1247538.24</v>
      </c>
      <c r="T87" s="271">
        <v>511144.14</v>
      </c>
      <c r="U87" s="272">
        <v>433173</v>
      </c>
      <c r="V87" s="272">
        <v>401406.98</v>
      </c>
      <c r="W87" s="272">
        <v>3459608.36</v>
      </c>
      <c r="X87" s="272">
        <v>323435.84000000003</v>
      </c>
      <c r="Y87" s="272">
        <v>161717.92000000001</v>
      </c>
      <c r="Z87" s="272">
        <v>121288.44</v>
      </c>
      <c r="AA87" s="272">
        <v>109737.16</v>
      </c>
      <c r="AB87" s="272">
        <v>95298.06</v>
      </c>
      <c r="AC87" s="272">
        <v>77971.14</v>
      </c>
      <c r="AD87" s="236">
        <v>661310.78</v>
      </c>
      <c r="AE87" s="236">
        <v>75083.320000000007</v>
      </c>
      <c r="AF87" s="236">
        <v>49092.94</v>
      </c>
      <c r="AG87" s="236">
        <v>49092.94</v>
      </c>
      <c r="AH87" s="236"/>
      <c r="AI87" s="236"/>
      <c r="AJ87" s="236"/>
      <c r="AK87" s="236"/>
      <c r="AL87" s="236"/>
      <c r="AM87" s="236"/>
      <c r="AN87" s="236"/>
      <c r="AO87" s="236"/>
      <c r="AP87" s="236"/>
      <c r="AQ87" s="236"/>
      <c r="AR87" s="236"/>
      <c r="AS87" s="236"/>
      <c r="AT87" s="236"/>
      <c r="AU87" s="236"/>
      <c r="AV87" s="236"/>
      <c r="AW87" s="236"/>
      <c r="AX87" s="236"/>
      <c r="AY87" s="236"/>
      <c r="AZ87" s="236"/>
      <c r="BA87" s="236"/>
      <c r="BB87" s="236"/>
      <c r="BC87" s="236"/>
      <c r="BD87" s="236"/>
      <c r="BE87" s="236"/>
      <c r="BF87" s="236"/>
      <c r="BG87" s="236"/>
      <c r="BH87" s="236"/>
      <c r="BI87" s="236"/>
      <c r="BJ87" s="236"/>
      <c r="BK87" s="236"/>
    </row>
    <row r="88" spans="1:63" s="133" customFormat="1" ht="12.75">
      <c r="A88" s="169"/>
      <c r="B88" s="307" t="str">
        <f>Servicio_internaColumna_título_total</f>
        <v>Total</v>
      </c>
      <c r="C88" s="310">
        <v>0</v>
      </c>
      <c r="D88" s="311">
        <f t="shared" ref="D88:AN88" si="22">+D86+D87</f>
        <v>0</v>
      </c>
      <c r="E88" s="311">
        <f t="shared" si="22"/>
        <v>8964519.7962539326</v>
      </c>
      <c r="F88" s="311">
        <f t="shared" si="22"/>
        <v>11170087.760000002</v>
      </c>
      <c r="G88" s="311">
        <f t="shared" si="22"/>
        <v>11265385.82</v>
      </c>
      <c r="H88" s="311">
        <f t="shared" si="22"/>
        <v>10427918.02</v>
      </c>
      <c r="I88" s="311">
        <f t="shared" si="22"/>
        <v>10136248.199999999</v>
      </c>
      <c r="J88" s="311">
        <f t="shared" si="22"/>
        <v>11799632.52</v>
      </c>
      <c r="K88" s="311">
        <f t="shared" si="22"/>
        <v>9099520.8200000003</v>
      </c>
      <c r="L88" s="311">
        <f t="shared" si="22"/>
        <v>8028139.5999999996</v>
      </c>
      <c r="M88" s="311">
        <f t="shared" si="22"/>
        <v>6021104.7000000002</v>
      </c>
      <c r="N88" s="311">
        <f t="shared" si="22"/>
        <v>6364755.2799999993</v>
      </c>
      <c r="O88" s="311">
        <f t="shared" si="22"/>
        <v>7098261.5600000005</v>
      </c>
      <c r="P88" s="311">
        <f t="shared" si="22"/>
        <v>2821400.1399999997</v>
      </c>
      <c r="Q88" s="311">
        <f t="shared" si="22"/>
        <v>2148538.08</v>
      </c>
      <c r="R88" s="311">
        <f t="shared" si="22"/>
        <v>2264050.88</v>
      </c>
      <c r="S88" s="312">
        <f t="shared" si="22"/>
        <v>1706701.62</v>
      </c>
      <c r="T88" s="311">
        <f t="shared" si="22"/>
        <v>840355.62</v>
      </c>
      <c r="U88" s="311">
        <f t="shared" si="22"/>
        <v>716179.36</v>
      </c>
      <c r="V88" s="311">
        <f t="shared" si="22"/>
        <v>3780156.38</v>
      </c>
      <c r="W88" s="311">
        <f t="shared" si="22"/>
        <v>3728175.62</v>
      </c>
      <c r="X88" s="311">
        <f t="shared" si="22"/>
        <v>430285.18000000005</v>
      </c>
      <c r="Y88" s="311">
        <f t="shared" si="22"/>
        <v>236801.24000000002</v>
      </c>
      <c r="Z88" s="311">
        <f t="shared" si="22"/>
        <v>193483.94</v>
      </c>
      <c r="AA88" s="311">
        <f t="shared" si="22"/>
        <v>164605.74</v>
      </c>
      <c r="AB88" s="311">
        <f t="shared" si="22"/>
        <v>129951.9</v>
      </c>
      <c r="AC88" s="311">
        <f t="shared" si="22"/>
        <v>698852.44000000006</v>
      </c>
      <c r="AD88" s="311">
        <f t="shared" si="22"/>
        <v>693076.8</v>
      </c>
      <c r="AE88" s="311">
        <f t="shared" si="22"/>
        <v>80858.960000000006</v>
      </c>
      <c r="AF88" s="311">
        <f t="shared" si="22"/>
        <v>54868.58</v>
      </c>
      <c r="AG88" s="311">
        <f t="shared" si="22"/>
        <v>54868.58</v>
      </c>
      <c r="AH88" s="311">
        <f t="shared" si="22"/>
        <v>5775.64</v>
      </c>
      <c r="AI88" s="311">
        <f t="shared" si="22"/>
        <v>1455461.28</v>
      </c>
      <c r="AJ88" s="311">
        <f t="shared" si="22"/>
        <v>0</v>
      </c>
      <c r="AK88" s="311">
        <f t="shared" si="22"/>
        <v>0</v>
      </c>
      <c r="AL88" s="311">
        <f t="shared" si="22"/>
        <v>0</v>
      </c>
      <c r="AM88" s="311">
        <f t="shared" si="22"/>
        <v>0</v>
      </c>
      <c r="AN88" s="311">
        <f t="shared" si="22"/>
        <v>0</v>
      </c>
      <c r="AO88" s="311"/>
      <c r="AP88" s="311"/>
      <c r="AQ88" s="311"/>
      <c r="AR88" s="311"/>
      <c r="AS88" s="311"/>
      <c r="AT88" s="311"/>
      <c r="AU88" s="311"/>
      <c r="AV88" s="311"/>
      <c r="AW88" s="311"/>
      <c r="AX88" s="311"/>
      <c r="AY88" s="311"/>
      <c r="AZ88" s="311"/>
      <c r="BA88" s="311"/>
      <c r="BB88" s="311"/>
      <c r="BC88" s="311"/>
      <c r="BD88" s="311"/>
      <c r="BE88" s="311"/>
      <c r="BF88" s="311"/>
      <c r="BG88" s="311"/>
      <c r="BH88" s="311"/>
      <c r="BI88" s="311"/>
      <c r="BJ88" s="311"/>
      <c r="BK88" s="311"/>
    </row>
    <row r="89" spans="1:63" s="80" customFormat="1" ht="12.75">
      <c r="A89" s="167"/>
      <c r="B89" s="210" t="str">
        <f>Servicio_internaColumna_título_amortizaciones</f>
        <v>Amortizaciones</v>
      </c>
      <c r="C89" s="269">
        <v>0</v>
      </c>
      <c r="D89" s="235"/>
      <c r="E89" s="235">
        <v>5476721.1344306171</v>
      </c>
      <c r="F89" s="235">
        <v>4214368.41</v>
      </c>
      <c r="G89" s="235">
        <v>6691058.8499999996</v>
      </c>
      <c r="H89" s="235">
        <v>4753647.78</v>
      </c>
      <c r="I89" s="235">
        <v>6234526.0499999998</v>
      </c>
      <c r="J89" s="235">
        <v>7355884.7400000002</v>
      </c>
      <c r="K89" s="235">
        <v>3070183.08</v>
      </c>
      <c r="L89" s="235">
        <v>3432555.99</v>
      </c>
      <c r="M89" s="235">
        <v>2847623.34</v>
      </c>
      <c r="N89" s="235">
        <v>3686502.36</v>
      </c>
      <c r="O89" s="235">
        <v>3312716.13</v>
      </c>
      <c r="P89" s="235">
        <v>1746237.96</v>
      </c>
      <c r="Q89" s="235">
        <v>1161305.31</v>
      </c>
      <c r="R89" s="235">
        <v>1323945.1200000001</v>
      </c>
      <c r="S89" s="273">
        <v>456532.8</v>
      </c>
      <c r="T89" s="235">
        <v>328132.95</v>
      </c>
      <c r="U89" s="235">
        <v>282479.67</v>
      </c>
      <c r="V89" s="235">
        <v>3341249.43</v>
      </c>
      <c r="W89" s="235">
        <v>265359.69</v>
      </c>
      <c r="X89" s="235">
        <v>105573.21</v>
      </c>
      <c r="Y89" s="235">
        <v>74186.58</v>
      </c>
      <c r="Z89" s="235">
        <v>71333.25</v>
      </c>
      <c r="AA89" s="235">
        <v>54213.27</v>
      </c>
      <c r="AB89" s="235">
        <v>34239.96</v>
      </c>
      <c r="AC89" s="235">
        <v>613465.94999999995</v>
      </c>
      <c r="AD89" s="235">
        <v>31386.63</v>
      </c>
      <c r="AE89" s="235">
        <v>5706.66</v>
      </c>
      <c r="AF89" s="235">
        <v>5706.66</v>
      </c>
      <c r="AG89" s="235">
        <v>5706.66</v>
      </c>
      <c r="AH89" s="235">
        <v>5706.66</v>
      </c>
      <c r="AI89" s="235">
        <v>1438078.32</v>
      </c>
      <c r="AJ89" s="235"/>
      <c r="AK89" s="235"/>
      <c r="AL89" s="235"/>
      <c r="AM89" s="235"/>
      <c r="AN89" s="235"/>
      <c r="AO89" s="235"/>
      <c r="AP89" s="235"/>
      <c r="AQ89" s="235"/>
      <c r="AR89" s="235"/>
      <c r="AS89" s="235"/>
      <c r="AT89" s="235"/>
      <c r="AU89" s="235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5"/>
      <c r="BI89" s="235"/>
      <c r="BJ89" s="235"/>
      <c r="BK89" s="235"/>
    </row>
    <row r="90" spans="1:63" s="133" customFormat="1" ht="12.75">
      <c r="A90" s="168">
        <v>37772</v>
      </c>
      <c r="B90" s="213" t="str">
        <f>Servicio_internaColumna_título_intereses</f>
        <v>Intereses</v>
      </c>
      <c r="C90" s="270">
        <v>0</v>
      </c>
      <c r="D90" s="271"/>
      <c r="E90" s="271">
        <v>3349809.42</v>
      </c>
      <c r="F90" s="271">
        <v>6865111.9799999995</v>
      </c>
      <c r="G90" s="271">
        <v>4476874.7699999996</v>
      </c>
      <c r="H90" s="271">
        <v>5569700.1600000001</v>
      </c>
      <c r="I90" s="271">
        <v>3792075.57</v>
      </c>
      <c r="J90" s="271">
        <v>4314234.96</v>
      </c>
      <c r="K90" s="271">
        <v>5929219.7400000002</v>
      </c>
      <c r="L90" s="271">
        <v>4508261.4000000004</v>
      </c>
      <c r="M90" s="271">
        <v>3107276.37</v>
      </c>
      <c r="N90" s="271">
        <v>2610796.9500000002</v>
      </c>
      <c r="O90" s="271">
        <v>3715035.66</v>
      </c>
      <c r="P90" s="271">
        <v>1050025.44</v>
      </c>
      <c r="Q90" s="271">
        <v>961572.21</v>
      </c>
      <c r="R90" s="271">
        <v>915918.93</v>
      </c>
      <c r="S90" s="274">
        <v>1232638.56</v>
      </c>
      <c r="T90" s="271">
        <v>505039.41</v>
      </c>
      <c r="U90" s="272">
        <v>427999.5</v>
      </c>
      <c r="V90" s="272">
        <v>396612.87</v>
      </c>
      <c r="W90" s="272">
        <v>3418289.34</v>
      </c>
      <c r="X90" s="272">
        <v>319572.96000000002</v>
      </c>
      <c r="Y90" s="272">
        <v>159786.48000000001</v>
      </c>
      <c r="Z90" s="272">
        <v>119839.86</v>
      </c>
      <c r="AA90" s="272">
        <v>108426.54</v>
      </c>
      <c r="AB90" s="272">
        <v>94159.89</v>
      </c>
      <c r="AC90" s="272">
        <v>77039.91</v>
      </c>
      <c r="AD90" s="236">
        <v>653412.56999999995</v>
      </c>
      <c r="AE90" s="236">
        <v>74186.58</v>
      </c>
      <c r="AF90" s="236">
        <v>48506.61</v>
      </c>
      <c r="AG90" s="236">
        <v>48506.61</v>
      </c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</row>
    <row r="91" spans="1:63" s="133" customFormat="1" ht="12.75">
      <c r="A91" s="169"/>
      <c r="B91" s="307" t="str">
        <f>Servicio_internaColumna_título_total</f>
        <v>Total</v>
      </c>
      <c r="C91" s="310">
        <v>0</v>
      </c>
      <c r="D91" s="311">
        <f t="shared" ref="D91:AN91" si="23">+D89+D90</f>
        <v>0</v>
      </c>
      <c r="E91" s="311">
        <f t="shared" si="23"/>
        <v>8826530.554430617</v>
      </c>
      <c r="F91" s="311">
        <f t="shared" si="23"/>
        <v>11079480.390000001</v>
      </c>
      <c r="G91" s="311">
        <f t="shared" si="23"/>
        <v>11167933.619999999</v>
      </c>
      <c r="H91" s="311">
        <f t="shared" si="23"/>
        <v>10323347.940000001</v>
      </c>
      <c r="I91" s="311">
        <f t="shared" si="23"/>
        <v>10026601.619999999</v>
      </c>
      <c r="J91" s="311">
        <f t="shared" si="23"/>
        <v>11670119.699999999</v>
      </c>
      <c r="K91" s="311">
        <f t="shared" si="23"/>
        <v>8999402.8200000003</v>
      </c>
      <c r="L91" s="311">
        <f t="shared" si="23"/>
        <v>7940817.3900000006</v>
      </c>
      <c r="M91" s="311">
        <f t="shared" si="23"/>
        <v>5954899.71</v>
      </c>
      <c r="N91" s="311">
        <f t="shared" si="23"/>
        <v>6297299.3100000005</v>
      </c>
      <c r="O91" s="311">
        <f t="shared" si="23"/>
        <v>7027751.79</v>
      </c>
      <c r="P91" s="311">
        <f t="shared" si="23"/>
        <v>2796263.4</v>
      </c>
      <c r="Q91" s="311">
        <f t="shared" si="23"/>
        <v>2122877.52</v>
      </c>
      <c r="R91" s="311">
        <f t="shared" si="23"/>
        <v>2239864.0500000003</v>
      </c>
      <c r="S91" s="312">
        <f t="shared" si="23"/>
        <v>1689171.36</v>
      </c>
      <c r="T91" s="311">
        <f t="shared" si="23"/>
        <v>833172.36</v>
      </c>
      <c r="U91" s="311">
        <f t="shared" si="23"/>
        <v>710479.16999999993</v>
      </c>
      <c r="V91" s="311">
        <f t="shared" si="23"/>
        <v>3737862.3000000003</v>
      </c>
      <c r="W91" s="311">
        <f t="shared" si="23"/>
        <v>3683649.03</v>
      </c>
      <c r="X91" s="311">
        <f t="shared" si="23"/>
        <v>425146.17000000004</v>
      </c>
      <c r="Y91" s="311">
        <f t="shared" si="23"/>
        <v>233973.06</v>
      </c>
      <c r="Z91" s="311">
        <f t="shared" si="23"/>
        <v>191173.11</v>
      </c>
      <c r="AA91" s="311">
        <f t="shared" si="23"/>
        <v>162639.81</v>
      </c>
      <c r="AB91" s="311">
        <f t="shared" si="23"/>
        <v>128399.85</v>
      </c>
      <c r="AC91" s="311">
        <f t="shared" si="23"/>
        <v>690505.86</v>
      </c>
      <c r="AD91" s="311">
        <f t="shared" si="23"/>
        <v>684799.2</v>
      </c>
      <c r="AE91" s="311">
        <f t="shared" si="23"/>
        <v>79893.240000000005</v>
      </c>
      <c r="AF91" s="311">
        <f t="shared" si="23"/>
        <v>54213.270000000004</v>
      </c>
      <c r="AG91" s="311">
        <f t="shared" si="23"/>
        <v>54213.270000000004</v>
      </c>
      <c r="AH91" s="311">
        <f t="shared" si="23"/>
        <v>5706.66</v>
      </c>
      <c r="AI91" s="311">
        <f t="shared" si="23"/>
        <v>1438078.32</v>
      </c>
      <c r="AJ91" s="311">
        <f t="shared" si="23"/>
        <v>0</v>
      </c>
      <c r="AK91" s="311">
        <f t="shared" si="23"/>
        <v>0</v>
      </c>
      <c r="AL91" s="311">
        <f t="shared" si="23"/>
        <v>0</v>
      </c>
      <c r="AM91" s="311">
        <f t="shared" si="23"/>
        <v>0</v>
      </c>
      <c r="AN91" s="311">
        <f t="shared" si="23"/>
        <v>0</v>
      </c>
      <c r="AO91" s="311"/>
      <c r="AP91" s="311"/>
      <c r="AQ91" s="311"/>
      <c r="AR91" s="311"/>
      <c r="AS91" s="311"/>
      <c r="AT91" s="311"/>
      <c r="AU91" s="311"/>
      <c r="AV91" s="311"/>
      <c r="AW91" s="311"/>
      <c r="AX91" s="311"/>
      <c r="AY91" s="311"/>
      <c r="AZ91" s="311"/>
      <c r="BA91" s="311"/>
      <c r="BB91" s="311"/>
      <c r="BC91" s="311"/>
      <c r="BD91" s="311"/>
      <c r="BE91" s="311"/>
      <c r="BF91" s="311"/>
      <c r="BG91" s="311"/>
      <c r="BH91" s="311"/>
      <c r="BI91" s="311"/>
      <c r="BJ91" s="311"/>
      <c r="BK91" s="311"/>
    </row>
    <row r="92" spans="1:63" s="80" customFormat="1" ht="12.75">
      <c r="A92" s="167"/>
      <c r="B92" s="210" t="str">
        <f>Servicio_internaColumna_título_amortizaciones</f>
        <v>Amortizaciones</v>
      </c>
      <c r="C92" s="269">
        <v>0</v>
      </c>
      <c r="D92" s="235"/>
      <c r="E92" s="235">
        <v>4028458.0148672792</v>
      </c>
      <c r="F92" s="235">
        <v>3771267.48</v>
      </c>
      <c r="G92" s="235">
        <v>6178579.1600000001</v>
      </c>
      <c r="H92" s="235">
        <v>4943988.24</v>
      </c>
      <c r="I92" s="235">
        <v>6414810.6800000006</v>
      </c>
      <c r="J92" s="235">
        <v>7213498.2000000002</v>
      </c>
      <c r="K92" s="235">
        <v>3208811.48</v>
      </c>
      <c r="L92" s="235">
        <v>3481602.64</v>
      </c>
      <c r="M92" s="235">
        <v>2851651.92</v>
      </c>
      <c r="N92" s="235">
        <v>3737520.12</v>
      </c>
      <c r="O92" s="235">
        <v>3363486.88</v>
      </c>
      <c r="P92" s="235">
        <v>1715490.8</v>
      </c>
      <c r="Q92" s="235">
        <v>1144597.96</v>
      </c>
      <c r="R92" s="235">
        <v>1302085.6399999999</v>
      </c>
      <c r="S92" s="273">
        <v>449964.79999999999</v>
      </c>
      <c r="T92" s="235">
        <v>323412.2</v>
      </c>
      <c r="U92" s="235">
        <v>278415.71999999997</v>
      </c>
      <c r="V92" s="235">
        <v>3290367.6</v>
      </c>
      <c r="W92" s="235">
        <v>258729.76</v>
      </c>
      <c r="X92" s="235">
        <v>106866.64</v>
      </c>
      <c r="Y92" s="235">
        <v>75931.56</v>
      </c>
      <c r="Z92" s="235">
        <v>70307</v>
      </c>
      <c r="AA92" s="235">
        <v>53433.32</v>
      </c>
      <c r="AB92" s="235">
        <v>33747.360000000001</v>
      </c>
      <c r="AC92" s="235">
        <v>604640.19999999995</v>
      </c>
      <c r="AD92" s="235">
        <v>30935.08</v>
      </c>
      <c r="AE92" s="235">
        <v>5624.56</v>
      </c>
      <c r="AF92" s="235">
        <v>5624.56</v>
      </c>
      <c r="AG92" s="235">
        <v>5624.56</v>
      </c>
      <c r="AH92" s="235">
        <v>5624.56</v>
      </c>
      <c r="AI92" s="235">
        <v>1797046.92</v>
      </c>
      <c r="AJ92" s="235"/>
      <c r="AK92" s="235"/>
      <c r="AL92" s="235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</row>
    <row r="93" spans="1:63" s="133" customFormat="1" ht="12.75">
      <c r="A93" s="168">
        <v>37802</v>
      </c>
      <c r="B93" s="213" t="str">
        <f>Servicio_internaColumna_título_intereses</f>
        <v>Intereses</v>
      </c>
      <c r="C93" s="270">
        <v>0</v>
      </c>
      <c r="D93" s="271"/>
      <c r="E93" s="271">
        <v>3301616.72</v>
      </c>
      <c r="F93" s="271">
        <v>6766345.6800000006</v>
      </c>
      <c r="G93" s="271">
        <v>4412467.32</v>
      </c>
      <c r="H93" s="271">
        <v>5489570.5600000005</v>
      </c>
      <c r="I93" s="271">
        <v>3737520.12</v>
      </c>
      <c r="J93" s="271">
        <v>4252167.3600000003</v>
      </c>
      <c r="K93" s="271">
        <v>5843917.8400000008</v>
      </c>
      <c r="L93" s="271">
        <v>4443402.4000000004</v>
      </c>
      <c r="M93" s="271">
        <v>3062572.92</v>
      </c>
      <c r="N93" s="271">
        <v>2573236.2000000002</v>
      </c>
      <c r="O93" s="271">
        <v>3661588.56</v>
      </c>
      <c r="P93" s="271">
        <v>1034919.04</v>
      </c>
      <c r="Q93" s="271">
        <v>947738.36</v>
      </c>
      <c r="R93" s="271">
        <v>902741.88</v>
      </c>
      <c r="S93" s="274">
        <v>1214904.96</v>
      </c>
      <c r="T93" s="271">
        <v>497773.56</v>
      </c>
      <c r="U93" s="272">
        <v>421842</v>
      </c>
      <c r="V93" s="272">
        <v>390906.92</v>
      </c>
      <c r="W93" s="272">
        <v>3369111.44</v>
      </c>
      <c r="X93" s="272">
        <v>314975.35999999999</v>
      </c>
      <c r="Y93" s="272">
        <v>157487.67999999999</v>
      </c>
      <c r="Z93" s="272">
        <v>118115.76</v>
      </c>
      <c r="AA93" s="272">
        <v>106866.64</v>
      </c>
      <c r="AB93" s="272">
        <v>92805.24</v>
      </c>
      <c r="AC93" s="272">
        <v>75931.56</v>
      </c>
      <c r="AD93" s="236">
        <v>644012.12</v>
      </c>
      <c r="AE93" s="236">
        <v>73119.28</v>
      </c>
      <c r="AF93" s="236">
        <v>47808.76</v>
      </c>
      <c r="AG93" s="236">
        <v>47808.76</v>
      </c>
      <c r="AH93" s="236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6"/>
      <c r="AT93" s="236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6"/>
      <c r="BF93" s="236"/>
      <c r="BG93" s="236"/>
      <c r="BH93" s="236"/>
      <c r="BI93" s="236"/>
      <c r="BJ93" s="236"/>
      <c r="BK93" s="236"/>
    </row>
    <row r="94" spans="1:63" s="133" customFormat="1" ht="12.75">
      <c r="A94" s="169"/>
      <c r="B94" s="307" t="str">
        <f>Servicio_internaColumna_título_total</f>
        <v>Total</v>
      </c>
      <c r="C94" s="310">
        <v>0</v>
      </c>
      <c r="D94" s="311">
        <f t="shared" ref="D94:AN94" si="24">+D92+D93</f>
        <v>0</v>
      </c>
      <c r="E94" s="311">
        <f t="shared" si="24"/>
        <v>7330074.7348672794</v>
      </c>
      <c r="F94" s="311">
        <f t="shared" si="24"/>
        <v>10537613.16</v>
      </c>
      <c r="G94" s="311">
        <f t="shared" si="24"/>
        <v>10591046.48</v>
      </c>
      <c r="H94" s="311">
        <f t="shared" si="24"/>
        <v>10433558.800000001</v>
      </c>
      <c r="I94" s="311">
        <f t="shared" si="24"/>
        <v>10152330.800000001</v>
      </c>
      <c r="J94" s="311">
        <f t="shared" si="24"/>
        <v>11465665.560000001</v>
      </c>
      <c r="K94" s="311">
        <f t="shared" si="24"/>
        <v>9052729.3200000003</v>
      </c>
      <c r="L94" s="311">
        <f t="shared" si="24"/>
        <v>7925005.040000001</v>
      </c>
      <c r="M94" s="311">
        <f t="shared" si="24"/>
        <v>5914224.8399999999</v>
      </c>
      <c r="N94" s="311">
        <f t="shared" si="24"/>
        <v>6310756.3200000003</v>
      </c>
      <c r="O94" s="311">
        <f t="shared" si="24"/>
        <v>7025075.4399999995</v>
      </c>
      <c r="P94" s="311">
        <f t="shared" si="24"/>
        <v>2750409.84</v>
      </c>
      <c r="Q94" s="311">
        <f t="shared" si="24"/>
        <v>2092336.3199999998</v>
      </c>
      <c r="R94" s="311">
        <f t="shared" si="24"/>
        <v>2204827.52</v>
      </c>
      <c r="S94" s="312">
        <f t="shared" si="24"/>
        <v>1664869.76</v>
      </c>
      <c r="T94" s="311">
        <f t="shared" si="24"/>
        <v>821185.76</v>
      </c>
      <c r="U94" s="311">
        <f t="shared" si="24"/>
        <v>700257.72</v>
      </c>
      <c r="V94" s="311">
        <f t="shared" si="24"/>
        <v>3681274.52</v>
      </c>
      <c r="W94" s="311">
        <f t="shared" si="24"/>
        <v>3627841.2</v>
      </c>
      <c r="X94" s="311">
        <f t="shared" si="24"/>
        <v>421842</v>
      </c>
      <c r="Y94" s="311">
        <f t="shared" si="24"/>
        <v>233419.24</v>
      </c>
      <c r="Z94" s="311">
        <f t="shared" si="24"/>
        <v>188422.76</v>
      </c>
      <c r="AA94" s="311">
        <f t="shared" si="24"/>
        <v>160299.96</v>
      </c>
      <c r="AB94" s="311">
        <f t="shared" si="24"/>
        <v>126552.6</v>
      </c>
      <c r="AC94" s="311">
        <f t="shared" si="24"/>
        <v>680571.76</v>
      </c>
      <c r="AD94" s="311">
        <f t="shared" si="24"/>
        <v>674947.2</v>
      </c>
      <c r="AE94" s="311">
        <f t="shared" si="24"/>
        <v>78743.839999999997</v>
      </c>
      <c r="AF94" s="311">
        <f t="shared" si="24"/>
        <v>53433.32</v>
      </c>
      <c r="AG94" s="311">
        <f t="shared" si="24"/>
        <v>53433.32</v>
      </c>
      <c r="AH94" s="311">
        <f t="shared" si="24"/>
        <v>5624.56</v>
      </c>
      <c r="AI94" s="311">
        <f t="shared" si="24"/>
        <v>1797046.92</v>
      </c>
      <c r="AJ94" s="311">
        <f t="shared" si="24"/>
        <v>0</v>
      </c>
      <c r="AK94" s="311">
        <f t="shared" si="24"/>
        <v>0</v>
      </c>
      <c r="AL94" s="311">
        <f t="shared" si="24"/>
        <v>0</v>
      </c>
      <c r="AM94" s="311">
        <f t="shared" si="24"/>
        <v>0</v>
      </c>
      <c r="AN94" s="311">
        <f t="shared" si="24"/>
        <v>0</v>
      </c>
      <c r="AO94" s="311"/>
      <c r="AP94" s="311"/>
      <c r="AQ94" s="311"/>
      <c r="AR94" s="311"/>
      <c r="AS94" s="311"/>
      <c r="AT94" s="311"/>
      <c r="AU94" s="311"/>
      <c r="AV94" s="311"/>
      <c r="AW94" s="311"/>
      <c r="AX94" s="311"/>
      <c r="AY94" s="311"/>
      <c r="AZ94" s="311"/>
      <c r="BA94" s="311"/>
      <c r="BB94" s="311"/>
      <c r="BC94" s="311"/>
      <c r="BD94" s="311"/>
      <c r="BE94" s="311"/>
      <c r="BF94" s="311"/>
      <c r="BG94" s="311"/>
      <c r="BH94" s="311"/>
      <c r="BI94" s="311"/>
      <c r="BJ94" s="311"/>
      <c r="BK94" s="311"/>
    </row>
    <row r="95" spans="1:63" s="80" customFormat="1" ht="12.75">
      <c r="A95" s="167"/>
      <c r="B95" s="210" t="str">
        <f>Servicio_internaColumna_título_amortizaciones</f>
        <v>Amortizaciones</v>
      </c>
      <c r="C95" s="269">
        <v>0</v>
      </c>
      <c r="D95" s="235"/>
      <c r="E95" s="235">
        <v>2467236.4981011599</v>
      </c>
      <c r="F95" s="235">
        <v>3882779.2</v>
      </c>
      <c r="G95" s="235">
        <v>6357042.7999999998</v>
      </c>
      <c r="H95" s="235">
        <v>5550530.7999999998</v>
      </c>
      <c r="I95" s="235">
        <v>6751657.6000000006</v>
      </c>
      <c r="J95" s="235">
        <v>7319096.4000000004</v>
      </c>
      <c r="K95" s="235">
        <v>3283656</v>
      </c>
      <c r="L95" s="235">
        <v>3563054.8</v>
      </c>
      <c r="M95" s="235">
        <v>2886160.8</v>
      </c>
      <c r="N95" s="235">
        <v>3825171.2</v>
      </c>
      <c r="O95" s="235">
        <v>3439197.6</v>
      </c>
      <c r="P95" s="235">
        <v>1757044</v>
      </c>
      <c r="Q95" s="235">
        <v>1169442.3999999999</v>
      </c>
      <c r="R95" s="235">
        <v>1330744.8</v>
      </c>
      <c r="S95" s="273">
        <v>460864</v>
      </c>
      <c r="T95" s="235">
        <v>331246</v>
      </c>
      <c r="U95" s="235">
        <v>285159.59999999998</v>
      </c>
      <c r="V95" s="235">
        <v>3370068</v>
      </c>
      <c r="W95" s="235">
        <v>264996.8</v>
      </c>
      <c r="X95" s="235">
        <v>109455.2</v>
      </c>
      <c r="Y95" s="235">
        <v>77770.8</v>
      </c>
      <c r="Z95" s="235">
        <v>72010</v>
      </c>
      <c r="AA95" s="235">
        <v>54727.6</v>
      </c>
      <c r="AB95" s="235">
        <v>34564.800000000003</v>
      </c>
      <c r="AC95" s="235">
        <v>619286</v>
      </c>
      <c r="AD95" s="235">
        <v>31684.400000000001</v>
      </c>
      <c r="AE95" s="235">
        <v>5760.8</v>
      </c>
      <c r="AF95" s="235">
        <v>5760.8</v>
      </c>
      <c r="AG95" s="235">
        <v>5760.8</v>
      </c>
      <c r="AH95" s="235">
        <v>5760.8</v>
      </c>
      <c r="AI95" s="235">
        <v>1834814.8</v>
      </c>
      <c r="AJ95" s="235"/>
      <c r="AK95" s="235"/>
      <c r="AL95" s="235"/>
      <c r="AM95" s="235"/>
      <c r="AN95" s="235"/>
      <c r="AO95" s="235"/>
      <c r="AP95" s="235"/>
      <c r="AQ95" s="235"/>
      <c r="AR95" s="235"/>
      <c r="AS95" s="235"/>
      <c r="AT95" s="235"/>
      <c r="AU95" s="235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5"/>
      <c r="BI95" s="235"/>
      <c r="BJ95" s="235"/>
      <c r="BK95" s="235"/>
    </row>
    <row r="96" spans="1:63" s="133" customFormat="1" ht="12.75">
      <c r="A96" s="168">
        <v>37833</v>
      </c>
      <c r="B96" s="213" t="str">
        <f>Servicio_internaColumna_título_intereses</f>
        <v>Intereses</v>
      </c>
      <c r="C96" s="270">
        <v>0</v>
      </c>
      <c r="D96" s="271"/>
      <c r="E96" s="271">
        <v>3381589.6</v>
      </c>
      <c r="F96" s="271">
        <v>6930242.4000000004</v>
      </c>
      <c r="G96" s="271">
        <v>4519347.5999999996</v>
      </c>
      <c r="H96" s="271">
        <v>5622540.7999999998</v>
      </c>
      <c r="I96" s="271">
        <v>3828051.6</v>
      </c>
      <c r="J96" s="271">
        <v>4355164.8</v>
      </c>
      <c r="K96" s="271">
        <v>5985471.2000000002</v>
      </c>
      <c r="L96" s="271">
        <v>4551032</v>
      </c>
      <c r="M96" s="271">
        <v>3136755.6</v>
      </c>
      <c r="N96" s="271">
        <v>2635566</v>
      </c>
      <c r="O96" s="271">
        <v>3750280.8</v>
      </c>
      <c r="P96" s="271">
        <v>1059987.2</v>
      </c>
      <c r="Q96" s="271">
        <v>970694.8</v>
      </c>
      <c r="R96" s="271">
        <v>924608.4</v>
      </c>
      <c r="S96" s="274">
        <v>1244332.8</v>
      </c>
      <c r="T96" s="271">
        <v>509830.8</v>
      </c>
      <c r="U96" s="272">
        <v>432060</v>
      </c>
      <c r="V96" s="272">
        <v>400375.6</v>
      </c>
      <c r="W96" s="272">
        <v>3450719.2</v>
      </c>
      <c r="X96" s="272">
        <v>322604.79999999999</v>
      </c>
      <c r="Y96" s="272">
        <v>161302.39999999999</v>
      </c>
      <c r="Z96" s="272">
        <v>120976.8</v>
      </c>
      <c r="AA96" s="272">
        <v>109455.2</v>
      </c>
      <c r="AB96" s="272">
        <v>95053.2</v>
      </c>
      <c r="AC96" s="272">
        <v>77770.8</v>
      </c>
      <c r="AD96" s="236">
        <v>659611.6</v>
      </c>
      <c r="AE96" s="236">
        <v>74890.399999999994</v>
      </c>
      <c r="AF96" s="236">
        <v>48966.8</v>
      </c>
      <c r="AG96" s="236">
        <v>48966.8</v>
      </c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6"/>
      <c r="BF96" s="236"/>
      <c r="BG96" s="236"/>
      <c r="BH96" s="236"/>
      <c r="BI96" s="236"/>
      <c r="BJ96" s="236"/>
      <c r="BK96" s="236"/>
    </row>
    <row r="97" spans="1:63" s="133" customFormat="1" ht="12.75">
      <c r="A97" s="169"/>
      <c r="B97" s="307" t="str">
        <f>Servicio_internaColumna_título_total</f>
        <v>Total</v>
      </c>
      <c r="C97" s="310">
        <v>0</v>
      </c>
      <c r="D97" s="311">
        <f t="shared" ref="D97:AN97" si="25">+D95+D96</f>
        <v>0</v>
      </c>
      <c r="E97" s="311">
        <f t="shared" si="25"/>
        <v>5848826.0981011596</v>
      </c>
      <c r="F97" s="311">
        <f t="shared" si="25"/>
        <v>10813021.600000001</v>
      </c>
      <c r="G97" s="311">
        <f t="shared" si="25"/>
        <v>10876390.399999999</v>
      </c>
      <c r="H97" s="311">
        <f t="shared" si="25"/>
        <v>11173071.6</v>
      </c>
      <c r="I97" s="311">
        <f t="shared" si="25"/>
        <v>10579709.200000001</v>
      </c>
      <c r="J97" s="311">
        <f t="shared" si="25"/>
        <v>11674261.199999999</v>
      </c>
      <c r="K97" s="311">
        <f t="shared" si="25"/>
        <v>9269127.1999999993</v>
      </c>
      <c r="L97" s="311">
        <f t="shared" si="25"/>
        <v>8114086.7999999998</v>
      </c>
      <c r="M97" s="311">
        <f t="shared" si="25"/>
        <v>6022916.4000000004</v>
      </c>
      <c r="N97" s="311">
        <f t="shared" si="25"/>
        <v>6460737.2000000002</v>
      </c>
      <c r="O97" s="311">
        <f t="shared" si="25"/>
        <v>7189478.4000000004</v>
      </c>
      <c r="P97" s="311">
        <f t="shared" si="25"/>
        <v>2817031.2</v>
      </c>
      <c r="Q97" s="311">
        <f t="shared" si="25"/>
        <v>2140137.2000000002</v>
      </c>
      <c r="R97" s="311">
        <f t="shared" si="25"/>
        <v>2255353.2000000002</v>
      </c>
      <c r="S97" s="312">
        <f t="shared" si="25"/>
        <v>1705196.8</v>
      </c>
      <c r="T97" s="311">
        <f t="shared" si="25"/>
        <v>841076.8</v>
      </c>
      <c r="U97" s="311">
        <f t="shared" si="25"/>
        <v>717219.6</v>
      </c>
      <c r="V97" s="311">
        <f t="shared" si="25"/>
        <v>3770443.6</v>
      </c>
      <c r="W97" s="311">
        <f t="shared" si="25"/>
        <v>3715716</v>
      </c>
      <c r="X97" s="311">
        <f t="shared" si="25"/>
        <v>432060</v>
      </c>
      <c r="Y97" s="311">
        <f t="shared" si="25"/>
        <v>239073.2</v>
      </c>
      <c r="Z97" s="311">
        <f t="shared" si="25"/>
        <v>192986.8</v>
      </c>
      <c r="AA97" s="311">
        <f t="shared" si="25"/>
        <v>164182.79999999999</v>
      </c>
      <c r="AB97" s="311">
        <f t="shared" si="25"/>
        <v>129618</v>
      </c>
      <c r="AC97" s="311">
        <f t="shared" si="25"/>
        <v>697056.8</v>
      </c>
      <c r="AD97" s="311">
        <f t="shared" si="25"/>
        <v>691296</v>
      </c>
      <c r="AE97" s="311">
        <f t="shared" si="25"/>
        <v>80651.199999999997</v>
      </c>
      <c r="AF97" s="311">
        <f t="shared" si="25"/>
        <v>54727.600000000006</v>
      </c>
      <c r="AG97" s="311">
        <f t="shared" si="25"/>
        <v>54727.600000000006</v>
      </c>
      <c r="AH97" s="311">
        <f t="shared" si="25"/>
        <v>5760.8</v>
      </c>
      <c r="AI97" s="311">
        <f t="shared" si="25"/>
        <v>1834814.8</v>
      </c>
      <c r="AJ97" s="311">
        <f t="shared" si="25"/>
        <v>0</v>
      </c>
      <c r="AK97" s="311">
        <f t="shared" si="25"/>
        <v>0</v>
      </c>
      <c r="AL97" s="311">
        <f t="shared" si="25"/>
        <v>0</v>
      </c>
      <c r="AM97" s="311">
        <f t="shared" si="25"/>
        <v>0</v>
      </c>
      <c r="AN97" s="311">
        <f t="shared" si="25"/>
        <v>0</v>
      </c>
      <c r="AO97" s="311"/>
      <c r="AP97" s="311"/>
      <c r="AQ97" s="311"/>
      <c r="AR97" s="311"/>
      <c r="AS97" s="311"/>
      <c r="AT97" s="311"/>
      <c r="AU97" s="311"/>
      <c r="AV97" s="311"/>
      <c r="AW97" s="311"/>
      <c r="AX97" s="311"/>
      <c r="AY97" s="311"/>
      <c r="AZ97" s="311"/>
      <c r="BA97" s="311"/>
      <c r="BB97" s="311"/>
      <c r="BC97" s="311"/>
      <c r="BD97" s="311"/>
      <c r="BE97" s="311"/>
      <c r="BF97" s="311"/>
      <c r="BG97" s="311"/>
      <c r="BH97" s="311"/>
      <c r="BI97" s="311"/>
      <c r="BJ97" s="311"/>
      <c r="BK97" s="311"/>
    </row>
    <row r="98" spans="1:63" s="80" customFormat="1" ht="12.75">
      <c r="A98" s="167"/>
      <c r="B98" s="210" t="str">
        <f>Servicio_internaColumna_título_amortizaciones</f>
        <v>Amortizaciones</v>
      </c>
      <c r="C98" s="269">
        <v>0</v>
      </c>
      <c r="D98" s="235"/>
      <c r="E98" s="235">
        <v>1931887.5747894342</v>
      </c>
      <c r="F98" s="235">
        <v>3833912.22</v>
      </c>
      <c r="G98" s="235">
        <v>6278849.5600000005</v>
      </c>
      <c r="H98" s="235">
        <v>5484743.0200000005</v>
      </c>
      <c r="I98" s="235">
        <v>6671633.4400000004</v>
      </c>
      <c r="J98" s="235">
        <v>7232346.6600000001</v>
      </c>
      <c r="K98" s="235">
        <v>3295969.08</v>
      </c>
      <c r="L98" s="235">
        <v>3572056.3</v>
      </c>
      <c r="M98" s="235">
        <v>2903185.2</v>
      </c>
      <c r="N98" s="235">
        <v>3831065.96</v>
      </c>
      <c r="O98" s="235">
        <v>3449667.12</v>
      </c>
      <c r="P98" s="235">
        <v>1787451.28</v>
      </c>
      <c r="Q98" s="235">
        <v>1206814.24</v>
      </c>
      <c r="R98" s="235">
        <v>1366204.8</v>
      </c>
      <c r="S98" s="273">
        <v>506634.28</v>
      </c>
      <c r="T98" s="235">
        <v>378552.58</v>
      </c>
      <c r="U98" s="235">
        <v>333012.42</v>
      </c>
      <c r="V98" s="235">
        <v>3330124.2</v>
      </c>
      <c r="W98" s="235">
        <v>261855.92</v>
      </c>
      <c r="X98" s="235">
        <v>108157.88</v>
      </c>
      <c r="Y98" s="235">
        <v>76849.02</v>
      </c>
      <c r="Z98" s="235">
        <v>71156.5</v>
      </c>
      <c r="AA98" s="235">
        <v>54078.94</v>
      </c>
      <c r="AB98" s="235">
        <v>34155.120000000003</v>
      </c>
      <c r="AC98" s="235">
        <v>611945.9</v>
      </c>
      <c r="AD98" s="235">
        <v>31308.86</v>
      </c>
      <c r="AE98" s="235">
        <v>5692.52</v>
      </c>
      <c r="AF98" s="235">
        <v>5692.52</v>
      </c>
      <c r="AG98" s="235">
        <v>5692.52</v>
      </c>
      <c r="AH98" s="235">
        <v>5692.52</v>
      </c>
      <c r="AI98" s="235">
        <v>1818760.14</v>
      </c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</row>
    <row r="99" spans="1:63" s="133" customFormat="1" ht="12.75">
      <c r="A99" s="168">
        <v>37864</v>
      </c>
      <c r="B99" s="213" t="str">
        <f>Servicio_internaColumna_título_intereses</f>
        <v>Intereses</v>
      </c>
      <c r="C99" s="270">
        <v>0</v>
      </c>
      <c r="D99" s="271"/>
      <c r="E99" s="271">
        <v>3341509.24</v>
      </c>
      <c r="F99" s="271">
        <v>6848101.5600000005</v>
      </c>
      <c r="G99" s="271">
        <v>4465781.9400000004</v>
      </c>
      <c r="H99" s="271">
        <v>5555899.5200000005</v>
      </c>
      <c r="I99" s="271">
        <v>3782679.54</v>
      </c>
      <c r="J99" s="271">
        <v>4303545.12</v>
      </c>
      <c r="K99" s="271">
        <v>5914528.2800000003</v>
      </c>
      <c r="L99" s="271">
        <v>4497090.8</v>
      </c>
      <c r="M99" s="271">
        <v>3099577.14</v>
      </c>
      <c r="N99" s="271">
        <v>2604327.9</v>
      </c>
      <c r="O99" s="271">
        <v>3705830.52</v>
      </c>
      <c r="P99" s="271">
        <v>1047423.68</v>
      </c>
      <c r="Q99" s="271">
        <v>959189.62</v>
      </c>
      <c r="R99" s="271">
        <v>913649.46</v>
      </c>
      <c r="S99" s="274">
        <v>1229584.32</v>
      </c>
      <c r="T99" s="271">
        <v>503788.02</v>
      </c>
      <c r="U99" s="272">
        <v>426939</v>
      </c>
      <c r="V99" s="272">
        <v>395630.14</v>
      </c>
      <c r="W99" s="272">
        <v>3409819.48</v>
      </c>
      <c r="X99" s="272">
        <v>318781.12</v>
      </c>
      <c r="Y99" s="272">
        <v>159390.56</v>
      </c>
      <c r="Z99" s="272">
        <v>119542.92</v>
      </c>
      <c r="AA99" s="272">
        <v>108157.88</v>
      </c>
      <c r="AB99" s="272">
        <v>93926.58</v>
      </c>
      <c r="AC99" s="272">
        <v>76849.02</v>
      </c>
      <c r="AD99" s="236">
        <v>651793.54</v>
      </c>
      <c r="AE99" s="236">
        <v>74002.759999999995</v>
      </c>
      <c r="AF99" s="236">
        <v>48386.42</v>
      </c>
      <c r="AG99" s="236">
        <v>48386.42</v>
      </c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6"/>
      <c r="BF99" s="236"/>
      <c r="BG99" s="236"/>
      <c r="BH99" s="236"/>
      <c r="BI99" s="236"/>
      <c r="BJ99" s="236"/>
      <c r="BK99" s="236"/>
    </row>
    <row r="100" spans="1:63" s="133" customFormat="1" ht="12.75">
      <c r="A100" s="169"/>
      <c r="B100" s="307" t="str">
        <f>Servicio_internaColumna_título_total</f>
        <v>Total</v>
      </c>
      <c r="C100" s="310">
        <v>0</v>
      </c>
      <c r="D100" s="311">
        <f t="shared" ref="D100:AN100" si="26">+D98+D99</f>
        <v>0</v>
      </c>
      <c r="E100" s="311">
        <f t="shared" si="26"/>
        <v>5273396.8147894349</v>
      </c>
      <c r="F100" s="311">
        <f t="shared" si="26"/>
        <v>10682013.780000001</v>
      </c>
      <c r="G100" s="311">
        <f t="shared" si="26"/>
        <v>10744631.5</v>
      </c>
      <c r="H100" s="311">
        <f t="shared" si="26"/>
        <v>11040642.540000001</v>
      </c>
      <c r="I100" s="311">
        <f t="shared" si="26"/>
        <v>10454312.98</v>
      </c>
      <c r="J100" s="311">
        <f t="shared" si="26"/>
        <v>11535891.780000001</v>
      </c>
      <c r="K100" s="311">
        <f t="shared" si="26"/>
        <v>9210497.3599999994</v>
      </c>
      <c r="L100" s="311">
        <f t="shared" si="26"/>
        <v>8069147.0999999996</v>
      </c>
      <c r="M100" s="311">
        <f t="shared" si="26"/>
        <v>6002762.3399999999</v>
      </c>
      <c r="N100" s="311">
        <f t="shared" si="26"/>
        <v>6435393.8599999994</v>
      </c>
      <c r="O100" s="311">
        <f t="shared" si="26"/>
        <v>7155497.6400000006</v>
      </c>
      <c r="P100" s="311">
        <f t="shared" si="26"/>
        <v>2834874.96</v>
      </c>
      <c r="Q100" s="311">
        <f t="shared" si="26"/>
        <v>2166003.86</v>
      </c>
      <c r="R100" s="311">
        <f t="shared" si="26"/>
        <v>2279854.2599999998</v>
      </c>
      <c r="S100" s="312">
        <f t="shared" si="26"/>
        <v>1736218.6</v>
      </c>
      <c r="T100" s="311">
        <f t="shared" si="26"/>
        <v>882340.60000000009</v>
      </c>
      <c r="U100" s="311">
        <f t="shared" si="26"/>
        <v>759951.41999999993</v>
      </c>
      <c r="V100" s="311">
        <f t="shared" si="26"/>
        <v>3725754.3400000003</v>
      </c>
      <c r="W100" s="311">
        <f t="shared" si="26"/>
        <v>3671675.4</v>
      </c>
      <c r="X100" s="311">
        <f t="shared" si="26"/>
        <v>426939</v>
      </c>
      <c r="Y100" s="311">
        <f t="shared" si="26"/>
        <v>236239.58000000002</v>
      </c>
      <c r="Z100" s="311">
        <f t="shared" si="26"/>
        <v>190699.41999999998</v>
      </c>
      <c r="AA100" s="311">
        <f t="shared" si="26"/>
        <v>162236.82</v>
      </c>
      <c r="AB100" s="311">
        <f t="shared" si="26"/>
        <v>128081.70000000001</v>
      </c>
      <c r="AC100" s="311">
        <f t="shared" si="26"/>
        <v>688794.92</v>
      </c>
      <c r="AD100" s="311">
        <f t="shared" si="26"/>
        <v>683102.4</v>
      </c>
      <c r="AE100" s="311">
        <f t="shared" si="26"/>
        <v>79695.28</v>
      </c>
      <c r="AF100" s="311">
        <f t="shared" si="26"/>
        <v>54078.94</v>
      </c>
      <c r="AG100" s="311">
        <f t="shared" si="26"/>
        <v>54078.94</v>
      </c>
      <c r="AH100" s="311">
        <f t="shared" si="26"/>
        <v>5692.52</v>
      </c>
      <c r="AI100" s="311">
        <f t="shared" si="26"/>
        <v>1818760.14</v>
      </c>
      <c r="AJ100" s="311">
        <f t="shared" si="26"/>
        <v>0</v>
      </c>
      <c r="AK100" s="311">
        <f t="shared" si="26"/>
        <v>0</v>
      </c>
      <c r="AL100" s="311">
        <f t="shared" si="26"/>
        <v>0</v>
      </c>
      <c r="AM100" s="311">
        <f t="shared" si="26"/>
        <v>0</v>
      </c>
      <c r="AN100" s="311">
        <f t="shared" si="26"/>
        <v>0</v>
      </c>
      <c r="AO100" s="311"/>
      <c r="AP100" s="311"/>
      <c r="AQ100" s="311"/>
      <c r="AR100" s="311"/>
      <c r="AS100" s="311"/>
      <c r="AT100" s="311"/>
      <c r="AU100" s="311"/>
      <c r="AV100" s="311"/>
      <c r="AW100" s="311"/>
      <c r="AX100" s="311"/>
      <c r="AY100" s="311"/>
      <c r="AZ100" s="311"/>
      <c r="BA100" s="311"/>
      <c r="BB100" s="311"/>
      <c r="BC100" s="311"/>
      <c r="BD100" s="311"/>
      <c r="BE100" s="311"/>
      <c r="BF100" s="311"/>
      <c r="BG100" s="311"/>
      <c r="BH100" s="311"/>
      <c r="BI100" s="311"/>
      <c r="BJ100" s="311"/>
      <c r="BK100" s="311"/>
    </row>
    <row r="101" spans="1:63" s="80" customFormat="1" ht="12.75">
      <c r="A101" s="167"/>
      <c r="B101" s="210" t="str">
        <f>Servicio_internaColumna_título_amortizaciones</f>
        <v>Amortizaciones</v>
      </c>
      <c r="C101" s="269">
        <v>0</v>
      </c>
      <c r="D101" s="235"/>
      <c r="E101" s="235">
        <v>1882115.9377873673</v>
      </c>
      <c r="F101" s="235">
        <v>3918012.84</v>
      </c>
      <c r="G101" s="235">
        <v>6464721.1859999998</v>
      </c>
      <c r="H101" s="235">
        <v>5576522.7000000002</v>
      </c>
      <c r="I101" s="235">
        <v>6781398.3300000001</v>
      </c>
      <c r="J101" s="235">
        <v>7521082.1699999999</v>
      </c>
      <c r="K101" s="235">
        <v>4152053.43</v>
      </c>
      <c r="L101" s="235">
        <v>3709976.76</v>
      </c>
      <c r="M101" s="235">
        <v>3100315.47</v>
      </c>
      <c r="N101" s="235">
        <v>3967132.47</v>
      </c>
      <c r="O101" s="235">
        <v>3585732.99</v>
      </c>
      <c r="P101" s="235">
        <v>1892550.45</v>
      </c>
      <c r="Q101" s="235">
        <v>1303114.8899999999</v>
      </c>
      <c r="R101" s="235">
        <v>1470699.51</v>
      </c>
      <c r="S101" s="273">
        <v>592324.94999999995</v>
      </c>
      <c r="T101" s="235">
        <v>462302.4</v>
      </c>
      <c r="U101" s="235">
        <v>416072.16</v>
      </c>
      <c r="V101" s="235">
        <v>3461489.22</v>
      </c>
      <c r="W101" s="235">
        <v>343837.41</v>
      </c>
      <c r="X101" s="235">
        <v>187810.35</v>
      </c>
      <c r="Y101" s="235">
        <v>153137.67000000001</v>
      </c>
      <c r="Z101" s="235">
        <v>72234.75</v>
      </c>
      <c r="AA101" s="235">
        <v>54898.41</v>
      </c>
      <c r="AB101" s="235">
        <v>34672.68</v>
      </c>
      <c r="AC101" s="235">
        <v>621218.85</v>
      </c>
      <c r="AD101" s="235">
        <v>31783.29</v>
      </c>
      <c r="AE101" s="235">
        <v>5778.78</v>
      </c>
      <c r="AF101" s="235">
        <v>5778.78</v>
      </c>
      <c r="AG101" s="235">
        <v>5778.78</v>
      </c>
      <c r="AH101" s="235">
        <v>5778.78</v>
      </c>
      <c r="AI101" s="235">
        <v>1846320.21</v>
      </c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</row>
    <row r="102" spans="1:63" s="133" customFormat="1" ht="12.75">
      <c r="A102" s="168">
        <v>37894</v>
      </c>
      <c r="B102" s="213" t="str">
        <f>Servicio_internaColumna_título_intereses</f>
        <v>Intereses</v>
      </c>
      <c r="C102" s="270">
        <v>0</v>
      </c>
      <c r="D102" s="271"/>
      <c r="E102" s="271">
        <v>3392143.86</v>
      </c>
      <c r="F102" s="271">
        <v>6951872.3399999999</v>
      </c>
      <c r="G102" s="271">
        <v>4533452.91</v>
      </c>
      <c r="H102" s="271">
        <v>5640089.2799999993</v>
      </c>
      <c r="I102" s="271">
        <v>3839999.31</v>
      </c>
      <c r="J102" s="271">
        <v>4368757.68</v>
      </c>
      <c r="K102" s="271">
        <v>6004152.4199999999</v>
      </c>
      <c r="L102" s="271">
        <v>4565236.2</v>
      </c>
      <c r="M102" s="271">
        <v>3146545.71</v>
      </c>
      <c r="N102" s="271">
        <v>2643791.85</v>
      </c>
      <c r="O102" s="271">
        <v>3761985.78</v>
      </c>
      <c r="P102" s="271">
        <v>1063295.52</v>
      </c>
      <c r="Q102" s="271">
        <v>973724.43</v>
      </c>
      <c r="R102" s="271">
        <v>927494.19</v>
      </c>
      <c r="S102" s="274">
        <v>1248216.48</v>
      </c>
      <c r="T102" s="271">
        <v>511422.03</v>
      </c>
      <c r="U102" s="272">
        <v>433408.5</v>
      </c>
      <c r="V102" s="272">
        <v>401625.21</v>
      </c>
      <c r="W102" s="272">
        <v>3461489.22</v>
      </c>
      <c r="X102" s="272">
        <v>323611.68</v>
      </c>
      <c r="Y102" s="272">
        <v>161805.84</v>
      </c>
      <c r="Z102" s="272">
        <v>121354.38</v>
      </c>
      <c r="AA102" s="272">
        <v>109796.82</v>
      </c>
      <c r="AB102" s="272">
        <v>95349.87</v>
      </c>
      <c r="AC102" s="272">
        <v>78013.53</v>
      </c>
      <c r="AD102" s="236">
        <v>661670.31000000006</v>
      </c>
      <c r="AE102" s="236">
        <v>75124.14</v>
      </c>
      <c r="AF102" s="236">
        <v>49119.63</v>
      </c>
      <c r="AG102" s="236">
        <v>49119.63</v>
      </c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6"/>
      <c r="BF102" s="236"/>
      <c r="BG102" s="236"/>
      <c r="BH102" s="236"/>
      <c r="BI102" s="236"/>
      <c r="BJ102" s="236"/>
      <c r="BK102" s="236"/>
    </row>
    <row r="103" spans="1:63" s="133" customFormat="1" ht="12.75">
      <c r="A103" s="169"/>
      <c r="B103" s="307" t="str">
        <f>Servicio_internaColumna_título_total</f>
        <v>Total</v>
      </c>
      <c r="C103" s="310">
        <v>0</v>
      </c>
      <c r="D103" s="311">
        <f t="shared" ref="D103:AN103" si="27">+D101+D102</f>
        <v>0</v>
      </c>
      <c r="E103" s="311">
        <f t="shared" si="27"/>
        <v>5274259.7977873674</v>
      </c>
      <c r="F103" s="311">
        <f t="shared" si="27"/>
        <v>10869885.18</v>
      </c>
      <c r="G103" s="311">
        <f t="shared" si="27"/>
        <v>10998174.096000001</v>
      </c>
      <c r="H103" s="311">
        <f t="shared" si="27"/>
        <v>11216611.98</v>
      </c>
      <c r="I103" s="311">
        <f t="shared" si="27"/>
        <v>10621397.640000001</v>
      </c>
      <c r="J103" s="311">
        <f t="shared" si="27"/>
        <v>11889839.85</v>
      </c>
      <c r="K103" s="311">
        <f t="shared" si="27"/>
        <v>10156205.85</v>
      </c>
      <c r="L103" s="311">
        <f t="shared" si="27"/>
        <v>8275212.96</v>
      </c>
      <c r="M103" s="311">
        <f t="shared" si="27"/>
        <v>6246861.1799999997</v>
      </c>
      <c r="N103" s="311">
        <f t="shared" si="27"/>
        <v>6610924.3200000003</v>
      </c>
      <c r="O103" s="311">
        <f t="shared" si="27"/>
        <v>7347718.7699999996</v>
      </c>
      <c r="P103" s="311">
        <f t="shared" si="27"/>
        <v>2955845.9699999997</v>
      </c>
      <c r="Q103" s="311">
        <f t="shared" si="27"/>
        <v>2276839.3199999998</v>
      </c>
      <c r="R103" s="311">
        <f t="shared" si="27"/>
        <v>2398193.7000000002</v>
      </c>
      <c r="S103" s="312">
        <f t="shared" si="27"/>
        <v>1840541.43</v>
      </c>
      <c r="T103" s="311">
        <f t="shared" si="27"/>
        <v>973724.43</v>
      </c>
      <c r="U103" s="311">
        <f t="shared" si="27"/>
        <v>849480.65999999992</v>
      </c>
      <c r="V103" s="311">
        <f t="shared" si="27"/>
        <v>3863114.43</v>
      </c>
      <c r="W103" s="311">
        <f t="shared" si="27"/>
        <v>3805326.6300000004</v>
      </c>
      <c r="X103" s="311">
        <f t="shared" si="27"/>
        <v>511422.03</v>
      </c>
      <c r="Y103" s="311">
        <f t="shared" si="27"/>
        <v>314943.51</v>
      </c>
      <c r="Z103" s="311">
        <f t="shared" si="27"/>
        <v>193589.13</v>
      </c>
      <c r="AA103" s="311">
        <f t="shared" si="27"/>
        <v>164695.23000000001</v>
      </c>
      <c r="AB103" s="311">
        <f t="shared" si="27"/>
        <v>130022.54999999999</v>
      </c>
      <c r="AC103" s="311">
        <f t="shared" si="27"/>
        <v>699232.38</v>
      </c>
      <c r="AD103" s="311">
        <f t="shared" si="27"/>
        <v>693453.60000000009</v>
      </c>
      <c r="AE103" s="311">
        <f t="shared" si="27"/>
        <v>80902.92</v>
      </c>
      <c r="AF103" s="311">
        <f t="shared" si="27"/>
        <v>54898.409999999996</v>
      </c>
      <c r="AG103" s="311">
        <f t="shared" si="27"/>
        <v>54898.409999999996</v>
      </c>
      <c r="AH103" s="311">
        <f t="shared" si="27"/>
        <v>5778.78</v>
      </c>
      <c r="AI103" s="311">
        <f t="shared" si="27"/>
        <v>1846320.21</v>
      </c>
      <c r="AJ103" s="311">
        <f t="shared" si="27"/>
        <v>0</v>
      </c>
      <c r="AK103" s="311">
        <f t="shared" si="27"/>
        <v>0</v>
      </c>
      <c r="AL103" s="311">
        <f t="shared" si="27"/>
        <v>0</v>
      </c>
      <c r="AM103" s="311">
        <f t="shared" si="27"/>
        <v>0</v>
      </c>
      <c r="AN103" s="311">
        <f t="shared" si="27"/>
        <v>0</v>
      </c>
      <c r="AO103" s="311"/>
      <c r="AP103" s="311"/>
      <c r="AQ103" s="311"/>
      <c r="AR103" s="311"/>
      <c r="AS103" s="311"/>
      <c r="AT103" s="311"/>
      <c r="AU103" s="311"/>
      <c r="AV103" s="311"/>
      <c r="AW103" s="311"/>
      <c r="AX103" s="311"/>
      <c r="AY103" s="311"/>
      <c r="AZ103" s="311"/>
      <c r="BA103" s="311"/>
      <c r="BB103" s="311"/>
      <c r="BC103" s="311"/>
      <c r="BD103" s="311"/>
      <c r="BE103" s="311"/>
      <c r="BF103" s="311"/>
      <c r="BG103" s="311"/>
      <c r="BH103" s="311"/>
      <c r="BI103" s="311"/>
      <c r="BJ103" s="311"/>
      <c r="BK103" s="311"/>
    </row>
    <row r="104" spans="1:63" s="80" customFormat="1" ht="12.75">
      <c r="A104" s="167"/>
      <c r="B104" s="210" t="str">
        <f>Servicio_internaColumna_título_amortizaciones</f>
        <v>Amortizaciones</v>
      </c>
      <c r="C104" s="269">
        <v>0</v>
      </c>
      <c r="D104" s="235"/>
      <c r="E104" s="235">
        <v>1553974.0800428807</v>
      </c>
      <c r="F104" s="235">
        <v>3908050.35</v>
      </c>
      <c r="G104" s="235">
        <v>6495150.8399999999</v>
      </c>
      <c r="H104" s="235">
        <v>5563563.9299999997</v>
      </c>
      <c r="I104" s="235">
        <v>6774915.3300000001</v>
      </c>
      <c r="J104" s="235">
        <v>7628629.6500000004</v>
      </c>
      <c r="K104" s="235">
        <v>4199351.5199999996</v>
      </c>
      <c r="L104" s="235">
        <v>3749421</v>
      </c>
      <c r="M104" s="235">
        <v>3192776.19</v>
      </c>
      <c r="N104" s="235">
        <v>4008996.3</v>
      </c>
      <c r="O104" s="235">
        <v>3625401.69</v>
      </c>
      <c r="P104" s="235">
        <v>1892015.52</v>
      </c>
      <c r="Q104" s="235">
        <v>1346907.39</v>
      </c>
      <c r="R104" s="235">
        <v>1514189.25</v>
      </c>
      <c r="S104" s="273">
        <v>634517.4</v>
      </c>
      <c r="T104" s="235">
        <v>504729.75</v>
      </c>
      <c r="U104" s="235">
        <v>458583.03</v>
      </c>
      <c r="V104" s="235">
        <v>3455235.66</v>
      </c>
      <c r="W104" s="235">
        <v>346100.4</v>
      </c>
      <c r="X104" s="235">
        <v>187471.05</v>
      </c>
      <c r="Y104" s="235">
        <v>152861.01</v>
      </c>
      <c r="Z104" s="235">
        <v>72104.25</v>
      </c>
      <c r="AA104" s="235">
        <v>54799.23</v>
      </c>
      <c r="AB104" s="235">
        <v>34610.04</v>
      </c>
      <c r="AC104" s="235">
        <v>620096.55000000005</v>
      </c>
      <c r="AD104" s="235">
        <v>31725.87</v>
      </c>
      <c r="AE104" s="235">
        <v>5768.34</v>
      </c>
      <c r="AF104" s="235">
        <v>5768.34</v>
      </c>
      <c r="AG104" s="235">
        <v>5768.34</v>
      </c>
      <c r="AH104" s="235">
        <v>5768.34</v>
      </c>
      <c r="AI104" s="235">
        <v>1842984.63</v>
      </c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</row>
    <row r="105" spans="1:63" s="133" customFormat="1" ht="12.75">
      <c r="A105" s="168">
        <v>37925</v>
      </c>
      <c r="B105" s="213" t="str">
        <f>Servicio_internaColumna_título_intereses</f>
        <v>Intereses</v>
      </c>
      <c r="C105" s="270">
        <v>0</v>
      </c>
      <c r="D105" s="271"/>
      <c r="E105" s="271">
        <v>3386015.58</v>
      </c>
      <c r="F105" s="271">
        <v>6939313.0200000005</v>
      </c>
      <c r="G105" s="271">
        <v>4525262.7300000004</v>
      </c>
      <c r="H105" s="271">
        <v>5629899.8399999999</v>
      </c>
      <c r="I105" s="271">
        <v>3833061.93</v>
      </c>
      <c r="J105" s="271">
        <v>4360865.04</v>
      </c>
      <c r="K105" s="271">
        <v>5993305.2599999998</v>
      </c>
      <c r="L105" s="271">
        <v>4556988.5999999996</v>
      </c>
      <c r="M105" s="271">
        <v>3140861.13</v>
      </c>
      <c r="N105" s="271">
        <v>2639015.5499999998</v>
      </c>
      <c r="O105" s="271">
        <v>3755189.34</v>
      </c>
      <c r="P105" s="271">
        <v>1061374.56</v>
      </c>
      <c r="Q105" s="271">
        <v>971965.29</v>
      </c>
      <c r="R105" s="271">
        <v>925818.57</v>
      </c>
      <c r="S105" s="274">
        <v>1245961.44</v>
      </c>
      <c r="T105" s="271">
        <v>510498.09</v>
      </c>
      <c r="U105" s="272">
        <v>432625.5</v>
      </c>
      <c r="V105" s="272">
        <v>400899.63</v>
      </c>
      <c r="W105" s="272">
        <v>3455235.66</v>
      </c>
      <c r="X105" s="272">
        <v>323027.03999999998</v>
      </c>
      <c r="Y105" s="272">
        <v>161513.51999999999</v>
      </c>
      <c r="Z105" s="272">
        <v>121135.14</v>
      </c>
      <c r="AA105" s="272">
        <v>109598.46</v>
      </c>
      <c r="AB105" s="272">
        <v>95177.61</v>
      </c>
      <c r="AC105" s="272">
        <v>77872.59</v>
      </c>
      <c r="AD105" s="236">
        <v>660474.93000000005</v>
      </c>
      <c r="AE105" s="236">
        <v>74988.42</v>
      </c>
      <c r="AF105" s="236">
        <v>49030.89</v>
      </c>
      <c r="AG105" s="236">
        <v>49030.89</v>
      </c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6"/>
      <c r="BF105" s="236"/>
      <c r="BG105" s="236"/>
      <c r="BH105" s="236"/>
      <c r="BI105" s="236"/>
      <c r="BJ105" s="236"/>
      <c r="BK105" s="236"/>
    </row>
    <row r="106" spans="1:63" s="133" customFormat="1" ht="12.75">
      <c r="A106" s="169"/>
      <c r="B106" s="307" t="str">
        <f>Servicio_internaColumna_título_total</f>
        <v>Total</v>
      </c>
      <c r="C106" s="310">
        <v>0</v>
      </c>
      <c r="D106" s="311">
        <f t="shared" ref="D106:AN106" si="28">+D104+D105</f>
        <v>0</v>
      </c>
      <c r="E106" s="311">
        <f t="shared" si="28"/>
        <v>4939989.660042881</v>
      </c>
      <c r="F106" s="311">
        <f t="shared" si="28"/>
        <v>10847363.370000001</v>
      </c>
      <c r="G106" s="311">
        <f t="shared" si="28"/>
        <v>11020413.57</v>
      </c>
      <c r="H106" s="311">
        <f t="shared" si="28"/>
        <v>11193463.77</v>
      </c>
      <c r="I106" s="311">
        <f t="shared" si="28"/>
        <v>10607977.26</v>
      </c>
      <c r="J106" s="311">
        <f t="shared" si="28"/>
        <v>11989494.690000001</v>
      </c>
      <c r="K106" s="311">
        <f t="shared" si="28"/>
        <v>10192656.779999999</v>
      </c>
      <c r="L106" s="311">
        <f t="shared" si="28"/>
        <v>8306409.5999999996</v>
      </c>
      <c r="M106" s="311">
        <f t="shared" si="28"/>
        <v>6333637.3200000003</v>
      </c>
      <c r="N106" s="311">
        <f t="shared" si="28"/>
        <v>6648011.8499999996</v>
      </c>
      <c r="O106" s="311">
        <f t="shared" si="28"/>
        <v>7380591.0299999993</v>
      </c>
      <c r="P106" s="311">
        <f t="shared" si="28"/>
        <v>2953390.0800000001</v>
      </c>
      <c r="Q106" s="311">
        <f t="shared" si="28"/>
        <v>2318872.6799999997</v>
      </c>
      <c r="R106" s="311">
        <f t="shared" si="28"/>
        <v>2440007.8199999998</v>
      </c>
      <c r="S106" s="312">
        <f t="shared" si="28"/>
        <v>1880478.8399999999</v>
      </c>
      <c r="T106" s="311">
        <f t="shared" si="28"/>
        <v>1015227.8400000001</v>
      </c>
      <c r="U106" s="311">
        <f t="shared" si="28"/>
        <v>891208.53</v>
      </c>
      <c r="V106" s="311">
        <f t="shared" si="28"/>
        <v>3856135.29</v>
      </c>
      <c r="W106" s="311">
        <f t="shared" si="28"/>
        <v>3801336.06</v>
      </c>
      <c r="X106" s="311">
        <f t="shared" si="28"/>
        <v>510498.08999999997</v>
      </c>
      <c r="Y106" s="311">
        <f t="shared" si="28"/>
        <v>314374.53000000003</v>
      </c>
      <c r="Z106" s="311">
        <f t="shared" si="28"/>
        <v>193239.39</v>
      </c>
      <c r="AA106" s="311">
        <f t="shared" si="28"/>
        <v>164397.69</v>
      </c>
      <c r="AB106" s="311">
        <f t="shared" si="28"/>
        <v>129787.65</v>
      </c>
      <c r="AC106" s="311">
        <f t="shared" si="28"/>
        <v>697969.14</v>
      </c>
      <c r="AD106" s="311">
        <f t="shared" si="28"/>
        <v>692200.8</v>
      </c>
      <c r="AE106" s="311">
        <f t="shared" si="28"/>
        <v>80756.759999999995</v>
      </c>
      <c r="AF106" s="311">
        <f t="shared" si="28"/>
        <v>54799.229999999996</v>
      </c>
      <c r="AG106" s="311">
        <f t="shared" si="28"/>
        <v>54799.229999999996</v>
      </c>
      <c r="AH106" s="311">
        <f t="shared" si="28"/>
        <v>5768.34</v>
      </c>
      <c r="AI106" s="311">
        <f t="shared" si="28"/>
        <v>1842984.63</v>
      </c>
      <c r="AJ106" s="311">
        <f t="shared" si="28"/>
        <v>0</v>
      </c>
      <c r="AK106" s="311">
        <f t="shared" si="28"/>
        <v>0</v>
      </c>
      <c r="AL106" s="311">
        <f t="shared" si="28"/>
        <v>0</v>
      </c>
      <c r="AM106" s="311">
        <f t="shared" si="28"/>
        <v>0</v>
      </c>
      <c r="AN106" s="311">
        <f t="shared" si="28"/>
        <v>0</v>
      </c>
      <c r="AO106" s="311"/>
      <c r="AP106" s="311"/>
      <c r="AQ106" s="311"/>
      <c r="AR106" s="311"/>
      <c r="AS106" s="311"/>
      <c r="AT106" s="311"/>
      <c r="AU106" s="311"/>
      <c r="AV106" s="311"/>
      <c r="AW106" s="311"/>
      <c r="AX106" s="311"/>
      <c r="AY106" s="311"/>
      <c r="AZ106" s="311"/>
      <c r="BA106" s="311"/>
      <c r="BB106" s="311"/>
      <c r="BC106" s="311"/>
      <c r="BD106" s="311"/>
      <c r="BE106" s="311"/>
      <c r="BF106" s="311"/>
      <c r="BG106" s="311"/>
      <c r="BH106" s="311"/>
      <c r="BI106" s="311"/>
      <c r="BJ106" s="311"/>
      <c r="BK106" s="311"/>
    </row>
    <row r="107" spans="1:63" s="80" customFormat="1" ht="12.75">
      <c r="A107" s="167"/>
      <c r="B107" s="210" t="str">
        <f>Servicio_internaColumna_título_amortizaciones</f>
        <v>Amortizaciones</v>
      </c>
      <c r="C107" s="269">
        <v>0</v>
      </c>
      <c r="D107" s="235"/>
      <c r="E107" s="235">
        <v>1055807.9916203679</v>
      </c>
      <c r="F107" s="235">
        <v>3857793.3</v>
      </c>
      <c r="G107" s="235">
        <v>6404107.1999999993</v>
      </c>
      <c r="H107" s="235">
        <v>5501400.5999999996</v>
      </c>
      <c r="I107" s="235">
        <v>6679461.0999999996</v>
      </c>
      <c r="J107" s="235">
        <v>7516877.5999999996</v>
      </c>
      <c r="K107" s="235">
        <v>4141663.3</v>
      </c>
      <c r="L107" s="235">
        <v>3860632</v>
      </c>
      <c r="M107" s="235">
        <v>3145279.6</v>
      </c>
      <c r="N107" s="235">
        <v>3945793</v>
      </c>
      <c r="O107" s="235">
        <v>3571084.6</v>
      </c>
      <c r="P107" s="235">
        <v>1862187.2</v>
      </c>
      <c r="Q107" s="235">
        <v>1328511.6000000001</v>
      </c>
      <c r="R107" s="235">
        <v>1490317.5</v>
      </c>
      <c r="S107" s="273">
        <v>624514</v>
      </c>
      <c r="T107" s="235">
        <v>496772.5</v>
      </c>
      <c r="U107" s="235">
        <v>451353.3</v>
      </c>
      <c r="V107" s="235">
        <v>3400762.6</v>
      </c>
      <c r="W107" s="235">
        <v>340644</v>
      </c>
      <c r="X107" s="235">
        <v>184515.5</v>
      </c>
      <c r="Y107" s="235">
        <v>150451.1</v>
      </c>
      <c r="Z107" s="235">
        <v>70967.5</v>
      </c>
      <c r="AA107" s="235">
        <v>53935.3</v>
      </c>
      <c r="AB107" s="235">
        <v>34064.400000000001</v>
      </c>
      <c r="AC107" s="235">
        <v>610320.5</v>
      </c>
      <c r="AD107" s="235">
        <v>31225.7</v>
      </c>
      <c r="AE107" s="235">
        <v>5677.4</v>
      </c>
      <c r="AF107" s="235">
        <v>5677.4</v>
      </c>
      <c r="AG107" s="235">
        <v>5677.4</v>
      </c>
      <c r="AH107" s="235">
        <v>5677.4</v>
      </c>
      <c r="AI107" s="235">
        <v>1808251.9</v>
      </c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35"/>
      <c r="BF107" s="235"/>
      <c r="BG107" s="235"/>
      <c r="BH107" s="235"/>
      <c r="BI107" s="235"/>
      <c r="BJ107" s="235"/>
      <c r="BK107" s="235"/>
    </row>
    <row r="108" spans="1:63" s="133" customFormat="1" ht="12.75">
      <c r="A108" s="168">
        <v>37955</v>
      </c>
      <c r="B108" s="213" t="str">
        <f>Servicio_internaColumna_título_intereses</f>
        <v>Intereses</v>
      </c>
      <c r="C108" s="270">
        <v>0</v>
      </c>
      <c r="D108" s="271"/>
      <c r="E108" s="271">
        <v>3332633.8</v>
      </c>
      <c r="F108" s="271">
        <v>6829912.1999999993</v>
      </c>
      <c r="G108" s="271">
        <v>4453920.3</v>
      </c>
      <c r="H108" s="271">
        <v>5541142.3999999994</v>
      </c>
      <c r="I108" s="271">
        <v>3772632.3</v>
      </c>
      <c r="J108" s="271">
        <v>4292114.4000000004</v>
      </c>
      <c r="K108" s="271">
        <v>5898818.5999999996</v>
      </c>
      <c r="L108" s="271">
        <v>4485146</v>
      </c>
      <c r="M108" s="271">
        <v>3091344.3</v>
      </c>
      <c r="N108" s="271">
        <v>2597410.5</v>
      </c>
      <c r="O108" s="271">
        <v>3695987.4</v>
      </c>
      <c r="P108" s="271">
        <v>1044641.6</v>
      </c>
      <c r="Q108" s="271">
        <v>956641.9</v>
      </c>
      <c r="R108" s="271">
        <v>911222.7</v>
      </c>
      <c r="S108" s="274">
        <v>1226318.3999999999</v>
      </c>
      <c r="T108" s="271">
        <v>502449.9</v>
      </c>
      <c r="U108" s="272">
        <v>425805</v>
      </c>
      <c r="V108" s="272">
        <v>394579.3</v>
      </c>
      <c r="W108" s="272">
        <v>3400762.6</v>
      </c>
      <c r="X108" s="272">
        <v>317934.40000000002</v>
      </c>
      <c r="Y108" s="272">
        <v>158967.20000000001</v>
      </c>
      <c r="Z108" s="272">
        <v>119225.4</v>
      </c>
      <c r="AA108" s="272">
        <v>107870.6</v>
      </c>
      <c r="AB108" s="272">
        <v>93677.1</v>
      </c>
      <c r="AC108" s="272">
        <v>76644.899999999994</v>
      </c>
      <c r="AD108" s="236">
        <v>650062.30000000005</v>
      </c>
      <c r="AE108" s="236">
        <v>73806.2</v>
      </c>
      <c r="AF108" s="236">
        <v>48257.9</v>
      </c>
      <c r="AG108" s="236">
        <v>48257.9</v>
      </c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  <c r="AR108" s="236"/>
      <c r="AS108" s="236"/>
      <c r="AT108" s="236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6"/>
      <c r="BF108" s="236"/>
      <c r="BG108" s="236"/>
      <c r="BH108" s="236"/>
      <c r="BI108" s="236"/>
      <c r="BJ108" s="236"/>
      <c r="BK108" s="236"/>
    </row>
    <row r="109" spans="1:63" s="133" customFormat="1" ht="12.75">
      <c r="A109" s="169"/>
      <c r="B109" s="307" t="str">
        <f>Servicio_internaColumna_título_total</f>
        <v>Total</v>
      </c>
      <c r="C109" s="310">
        <v>0</v>
      </c>
      <c r="D109" s="311">
        <f t="shared" ref="D109:AN109" si="29">+D107+D108</f>
        <v>0</v>
      </c>
      <c r="E109" s="311">
        <f t="shared" si="29"/>
        <v>4388441.7916203681</v>
      </c>
      <c r="F109" s="311">
        <f t="shared" si="29"/>
        <v>10687705.5</v>
      </c>
      <c r="G109" s="311">
        <f t="shared" si="29"/>
        <v>10858027.5</v>
      </c>
      <c r="H109" s="311">
        <f t="shared" si="29"/>
        <v>11042543</v>
      </c>
      <c r="I109" s="311">
        <f t="shared" si="29"/>
        <v>10452093.399999999</v>
      </c>
      <c r="J109" s="311">
        <f t="shared" si="29"/>
        <v>11808992</v>
      </c>
      <c r="K109" s="311">
        <f t="shared" si="29"/>
        <v>10040481.899999999</v>
      </c>
      <c r="L109" s="311">
        <f t="shared" si="29"/>
        <v>8345778</v>
      </c>
      <c r="M109" s="311">
        <f t="shared" si="29"/>
        <v>6236623.9000000004</v>
      </c>
      <c r="N109" s="311">
        <f t="shared" si="29"/>
        <v>6543203.5</v>
      </c>
      <c r="O109" s="311">
        <f t="shared" si="29"/>
        <v>7267072</v>
      </c>
      <c r="P109" s="311">
        <f t="shared" si="29"/>
        <v>2906828.7999999998</v>
      </c>
      <c r="Q109" s="311">
        <f t="shared" si="29"/>
        <v>2285153.5</v>
      </c>
      <c r="R109" s="311">
        <f t="shared" si="29"/>
        <v>2401540.2000000002</v>
      </c>
      <c r="S109" s="312">
        <f t="shared" si="29"/>
        <v>1850832.4</v>
      </c>
      <c r="T109" s="311">
        <f t="shared" si="29"/>
        <v>999222.4</v>
      </c>
      <c r="U109" s="311">
        <f t="shared" si="29"/>
        <v>877158.3</v>
      </c>
      <c r="V109" s="311">
        <f t="shared" si="29"/>
        <v>3795341.9</v>
      </c>
      <c r="W109" s="311">
        <f t="shared" si="29"/>
        <v>3741406.6</v>
      </c>
      <c r="X109" s="311">
        <f t="shared" si="29"/>
        <v>502449.9</v>
      </c>
      <c r="Y109" s="311">
        <f t="shared" si="29"/>
        <v>309418.30000000005</v>
      </c>
      <c r="Z109" s="311">
        <f t="shared" si="29"/>
        <v>190192.9</v>
      </c>
      <c r="AA109" s="311">
        <f t="shared" si="29"/>
        <v>161805.90000000002</v>
      </c>
      <c r="AB109" s="311">
        <f t="shared" si="29"/>
        <v>127741.5</v>
      </c>
      <c r="AC109" s="311">
        <f t="shared" si="29"/>
        <v>686965.4</v>
      </c>
      <c r="AD109" s="311">
        <f t="shared" si="29"/>
        <v>681288</v>
      </c>
      <c r="AE109" s="311">
        <f t="shared" si="29"/>
        <v>79483.599999999991</v>
      </c>
      <c r="AF109" s="311">
        <f t="shared" si="29"/>
        <v>53935.3</v>
      </c>
      <c r="AG109" s="311">
        <f t="shared" si="29"/>
        <v>53935.3</v>
      </c>
      <c r="AH109" s="311">
        <f t="shared" si="29"/>
        <v>5677.4</v>
      </c>
      <c r="AI109" s="311">
        <f t="shared" si="29"/>
        <v>1808251.9</v>
      </c>
      <c r="AJ109" s="311">
        <f t="shared" si="29"/>
        <v>0</v>
      </c>
      <c r="AK109" s="311">
        <f t="shared" si="29"/>
        <v>0</v>
      </c>
      <c r="AL109" s="311">
        <f t="shared" si="29"/>
        <v>0</v>
      </c>
      <c r="AM109" s="311">
        <f t="shared" si="29"/>
        <v>0</v>
      </c>
      <c r="AN109" s="311">
        <f t="shared" si="29"/>
        <v>0</v>
      </c>
      <c r="AO109" s="311"/>
      <c r="AP109" s="311"/>
      <c r="AQ109" s="311"/>
      <c r="AR109" s="311"/>
      <c r="AS109" s="311"/>
      <c r="AT109" s="311"/>
      <c r="AU109" s="311"/>
      <c r="AV109" s="311"/>
      <c r="AW109" s="311"/>
      <c r="AX109" s="311"/>
      <c r="AY109" s="311"/>
      <c r="AZ109" s="311"/>
      <c r="BA109" s="311"/>
      <c r="BB109" s="311"/>
      <c r="BC109" s="311"/>
      <c r="BD109" s="311"/>
      <c r="BE109" s="311"/>
      <c r="BF109" s="311"/>
      <c r="BG109" s="311"/>
      <c r="BH109" s="311"/>
      <c r="BI109" s="311"/>
      <c r="BJ109" s="311"/>
      <c r="BK109" s="311"/>
    </row>
    <row r="110" spans="1:63" s="80" customFormat="1" ht="12.75">
      <c r="A110" s="167"/>
      <c r="B110" s="210" t="str">
        <f>Servicio_internaColumna_título_amortizaciones</f>
        <v>Amortizaciones</v>
      </c>
      <c r="C110" s="269">
        <v>0</v>
      </c>
      <c r="D110" s="235"/>
      <c r="E110" s="235"/>
      <c r="F110" s="235">
        <v>3783922.02</v>
      </c>
      <c r="G110" s="235">
        <v>5528637.9000000004</v>
      </c>
      <c r="H110" s="235">
        <v>5378614.5600000005</v>
      </c>
      <c r="I110" s="235">
        <v>6526015.29</v>
      </c>
      <c r="J110" s="235">
        <v>7351143.6600000001</v>
      </c>
      <c r="K110" s="235">
        <v>4778521.2</v>
      </c>
      <c r="L110" s="235">
        <v>3586669.11</v>
      </c>
      <c r="M110" s="235">
        <v>3067143.84</v>
      </c>
      <c r="N110" s="235">
        <v>3850599.06</v>
      </c>
      <c r="O110" s="235">
        <v>3486653.55</v>
      </c>
      <c r="P110" s="235">
        <v>1814171.13</v>
      </c>
      <c r="Q110" s="235">
        <v>1291867.6499999999</v>
      </c>
      <c r="R110" s="235">
        <v>1453003.83</v>
      </c>
      <c r="S110" s="273">
        <v>605649.78</v>
      </c>
      <c r="T110" s="235">
        <v>480630.33</v>
      </c>
      <c r="U110" s="235">
        <v>436178.97</v>
      </c>
      <c r="V110" s="235">
        <v>3322739.16</v>
      </c>
      <c r="W110" s="235">
        <v>327828.78000000003</v>
      </c>
      <c r="X110" s="235">
        <v>172249.02</v>
      </c>
      <c r="Y110" s="235">
        <v>141688.71</v>
      </c>
      <c r="Z110" s="235">
        <v>61120.62</v>
      </c>
      <c r="AA110" s="235">
        <v>47229.57</v>
      </c>
      <c r="AB110" s="235">
        <v>27782.1</v>
      </c>
      <c r="AC110" s="235">
        <v>591758.73</v>
      </c>
      <c r="AD110" s="235">
        <v>30560.31</v>
      </c>
      <c r="AE110" s="235">
        <v>5556.42</v>
      </c>
      <c r="AF110" s="235">
        <v>5556.42</v>
      </c>
      <c r="AG110" s="235">
        <v>5556.42</v>
      </c>
      <c r="AH110" s="235">
        <v>5556.42</v>
      </c>
      <c r="AI110" s="235">
        <v>1769719.77</v>
      </c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35"/>
      <c r="AT110" s="235"/>
      <c r="AU110" s="235"/>
      <c r="AV110" s="235"/>
      <c r="AW110" s="235"/>
      <c r="AX110" s="235"/>
      <c r="AY110" s="235"/>
      <c r="AZ110" s="235"/>
      <c r="BA110" s="235"/>
      <c r="BB110" s="235"/>
      <c r="BC110" s="235"/>
      <c r="BD110" s="235"/>
      <c r="BE110" s="235"/>
      <c r="BF110" s="235"/>
      <c r="BG110" s="235"/>
      <c r="BH110" s="235"/>
      <c r="BI110" s="235"/>
      <c r="BJ110" s="235"/>
      <c r="BK110" s="235"/>
    </row>
    <row r="111" spans="1:63" s="133" customFormat="1" ht="12.75">
      <c r="A111" s="168">
        <v>37986</v>
      </c>
      <c r="B111" s="213" t="str">
        <f>Servicio_internaColumna_título_intereses</f>
        <v>Intereses</v>
      </c>
      <c r="C111" s="270">
        <v>0</v>
      </c>
      <c r="D111" s="271"/>
      <c r="E111" s="271"/>
      <c r="F111" s="271">
        <v>3261618.54</v>
      </c>
      <c r="G111" s="271">
        <v>6684373.2599999998</v>
      </c>
      <c r="H111" s="271">
        <v>4359011.49</v>
      </c>
      <c r="I111" s="271">
        <v>5423065.9199999999</v>
      </c>
      <c r="J111" s="271">
        <v>3692241.09</v>
      </c>
      <c r="K111" s="271">
        <v>4200653.5199999996</v>
      </c>
      <c r="L111" s="271">
        <v>5773120.3799999999</v>
      </c>
      <c r="M111" s="271">
        <v>4389571.8</v>
      </c>
      <c r="N111" s="271">
        <v>3025470.69</v>
      </c>
      <c r="O111" s="271">
        <v>2542062.15</v>
      </c>
      <c r="P111" s="271">
        <v>3617229.42</v>
      </c>
      <c r="Q111" s="271">
        <v>1022381.28</v>
      </c>
      <c r="R111" s="271">
        <v>936256.77</v>
      </c>
      <c r="S111" s="274">
        <v>891805.41</v>
      </c>
      <c r="T111" s="271">
        <v>1200186.72</v>
      </c>
      <c r="U111" s="272">
        <v>491743.17</v>
      </c>
      <c r="V111" s="272">
        <v>416731.5</v>
      </c>
      <c r="W111" s="272">
        <v>386171.19</v>
      </c>
      <c r="X111" s="272">
        <v>3328295.58</v>
      </c>
      <c r="Y111" s="272">
        <v>311159.52</v>
      </c>
      <c r="Z111" s="272">
        <v>155579.76</v>
      </c>
      <c r="AA111" s="272">
        <v>116684.82</v>
      </c>
      <c r="AB111" s="272">
        <v>105571.98</v>
      </c>
      <c r="AC111" s="272">
        <v>91680.93</v>
      </c>
      <c r="AD111" s="236">
        <v>75011.67</v>
      </c>
      <c r="AE111" s="236">
        <v>636210.09</v>
      </c>
      <c r="AF111" s="236">
        <v>72233.460000000006</v>
      </c>
      <c r="AG111" s="236">
        <v>47229.57</v>
      </c>
      <c r="AH111" s="236">
        <v>47229.57</v>
      </c>
      <c r="AI111" s="236"/>
      <c r="AJ111" s="236"/>
      <c r="AK111" s="236"/>
      <c r="AL111" s="236"/>
      <c r="AM111" s="23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6"/>
      <c r="BF111" s="236"/>
      <c r="BG111" s="236"/>
      <c r="BH111" s="236"/>
      <c r="BI111" s="236"/>
      <c r="BJ111" s="236"/>
      <c r="BK111" s="236"/>
    </row>
    <row r="112" spans="1:63" s="133" customFormat="1" ht="12.75">
      <c r="A112" s="169"/>
      <c r="B112" s="307" t="str">
        <f>Servicio_internaColumna_título_total</f>
        <v>Total</v>
      </c>
      <c r="C112" s="310">
        <v>0</v>
      </c>
      <c r="D112" s="311">
        <f t="shared" ref="D112:AN112" si="30">+D110+D111</f>
        <v>0</v>
      </c>
      <c r="E112" s="311">
        <f t="shared" si="30"/>
        <v>0</v>
      </c>
      <c r="F112" s="311">
        <f t="shared" si="30"/>
        <v>7045540.5600000005</v>
      </c>
      <c r="G112" s="311">
        <f t="shared" si="30"/>
        <v>12213011.16</v>
      </c>
      <c r="H112" s="311">
        <f t="shared" si="30"/>
        <v>9737626.0500000007</v>
      </c>
      <c r="I112" s="311">
        <f t="shared" si="30"/>
        <v>11949081.210000001</v>
      </c>
      <c r="J112" s="311">
        <f t="shared" si="30"/>
        <v>11043384.75</v>
      </c>
      <c r="K112" s="311">
        <f t="shared" si="30"/>
        <v>8979174.7199999988</v>
      </c>
      <c r="L112" s="311">
        <f t="shared" si="30"/>
        <v>9359789.4900000002</v>
      </c>
      <c r="M112" s="311">
        <f t="shared" si="30"/>
        <v>7456715.6399999997</v>
      </c>
      <c r="N112" s="311">
        <f t="shared" si="30"/>
        <v>6876069.75</v>
      </c>
      <c r="O112" s="311">
        <f t="shared" si="30"/>
        <v>6028715.6999999993</v>
      </c>
      <c r="P112" s="311">
        <f t="shared" si="30"/>
        <v>5431400.5499999998</v>
      </c>
      <c r="Q112" s="311">
        <f t="shared" si="30"/>
        <v>2314248.9299999997</v>
      </c>
      <c r="R112" s="311">
        <f t="shared" si="30"/>
        <v>2389260.6</v>
      </c>
      <c r="S112" s="312">
        <f t="shared" si="30"/>
        <v>1497455.19</v>
      </c>
      <c r="T112" s="311">
        <f t="shared" si="30"/>
        <v>1680817.05</v>
      </c>
      <c r="U112" s="311">
        <f t="shared" si="30"/>
        <v>927922.1399999999</v>
      </c>
      <c r="V112" s="311">
        <f t="shared" si="30"/>
        <v>3739470.66</v>
      </c>
      <c r="W112" s="311">
        <f t="shared" si="30"/>
        <v>713999.97</v>
      </c>
      <c r="X112" s="311">
        <f t="shared" si="30"/>
        <v>3500544.6</v>
      </c>
      <c r="Y112" s="311">
        <f t="shared" si="30"/>
        <v>452848.23</v>
      </c>
      <c r="Z112" s="311">
        <f t="shared" si="30"/>
        <v>216700.38</v>
      </c>
      <c r="AA112" s="311">
        <f t="shared" si="30"/>
        <v>163914.39000000001</v>
      </c>
      <c r="AB112" s="311">
        <f t="shared" si="30"/>
        <v>133354.07999999999</v>
      </c>
      <c r="AC112" s="311">
        <f t="shared" si="30"/>
        <v>683439.65999999992</v>
      </c>
      <c r="AD112" s="311">
        <f t="shared" si="30"/>
        <v>105571.98</v>
      </c>
      <c r="AE112" s="311">
        <f t="shared" si="30"/>
        <v>641766.51</v>
      </c>
      <c r="AF112" s="311">
        <f t="shared" si="30"/>
        <v>77789.88</v>
      </c>
      <c r="AG112" s="311">
        <f t="shared" si="30"/>
        <v>52785.99</v>
      </c>
      <c r="AH112" s="311">
        <f t="shared" si="30"/>
        <v>52785.99</v>
      </c>
      <c r="AI112" s="311">
        <f t="shared" si="30"/>
        <v>1769719.77</v>
      </c>
      <c r="AJ112" s="311">
        <f t="shared" si="30"/>
        <v>0</v>
      </c>
      <c r="AK112" s="311">
        <f t="shared" si="30"/>
        <v>0</v>
      </c>
      <c r="AL112" s="311">
        <f t="shared" si="30"/>
        <v>0</v>
      </c>
      <c r="AM112" s="311">
        <f t="shared" si="30"/>
        <v>0</v>
      </c>
      <c r="AN112" s="311">
        <f t="shared" si="30"/>
        <v>0</v>
      </c>
      <c r="AO112" s="311"/>
      <c r="AP112" s="311"/>
      <c r="AQ112" s="311"/>
      <c r="AR112" s="311"/>
      <c r="AS112" s="311"/>
      <c r="AT112" s="311"/>
      <c r="AU112" s="311"/>
      <c r="AV112" s="311"/>
      <c r="AW112" s="311"/>
      <c r="AX112" s="311"/>
      <c r="AY112" s="311"/>
      <c r="AZ112" s="311"/>
      <c r="BA112" s="311"/>
      <c r="BB112" s="311"/>
      <c r="BC112" s="311"/>
      <c r="BD112" s="311"/>
      <c r="BE112" s="311"/>
      <c r="BF112" s="311"/>
      <c r="BG112" s="311"/>
      <c r="BH112" s="311"/>
      <c r="BI112" s="311"/>
      <c r="BJ112" s="311"/>
      <c r="BK112" s="311"/>
    </row>
    <row r="113" spans="1:63" s="80" customFormat="1" ht="12.75">
      <c r="A113" s="167"/>
      <c r="B113" s="210" t="str">
        <f>Servicio_internaColumna_título_amortizaciones</f>
        <v>Amortizaciones</v>
      </c>
      <c r="C113" s="269">
        <v>0</v>
      </c>
      <c r="D113" s="235"/>
      <c r="E113" s="235"/>
      <c r="F113" s="235">
        <v>3740729.08</v>
      </c>
      <c r="G113" s="235">
        <v>5641260.79</v>
      </c>
      <c r="H113" s="235">
        <v>5309421.92</v>
      </c>
      <c r="I113" s="235">
        <v>6453031.9099999992</v>
      </c>
      <c r="J113" s="235">
        <v>7407411.4699999997</v>
      </c>
      <c r="K113" s="235">
        <v>4752700.51</v>
      </c>
      <c r="L113" s="235">
        <v>3589893.23</v>
      </c>
      <c r="M113" s="235">
        <v>3109960.98</v>
      </c>
      <c r="N113" s="235">
        <v>3836715.53</v>
      </c>
      <c r="O113" s="235">
        <v>3477451.96</v>
      </c>
      <c r="P113" s="235">
        <v>1823742.55</v>
      </c>
      <c r="Q113" s="235">
        <v>1324613.01</v>
      </c>
      <c r="R113" s="235">
        <v>1467221.45</v>
      </c>
      <c r="S113" s="273">
        <v>628025.63</v>
      </c>
      <c r="T113" s="235">
        <v>504614.48</v>
      </c>
      <c r="U113" s="235">
        <v>460734.96</v>
      </c>
      <c r="V113" s="235">
        <v>3310161.29</v>
      </c>
      <c r="W113" s="235">
        <v>353778.63</v>
      </c>
      <c r="X113" s="235">
        <v>202942.78</v>
      </c>
      <c r="Y113" s="235">
        <v>170033.14</v>
      </c>
      <c r="Z113" s="235">
        <v>1458994.04</v>
      </c>
      <c r="AA113" s="235">
        <v>65819.28</v>
      </c>
      <c r="AB113" s="235">
        <v>46621.99</v>
      </c>
      <c r="AC113" s="235">
        <v>606085.87</v>
      </c>
      <c r="AD113" s="235">
        <v>49364.46</v>
      </c>
      <c r="AE113" s="235">
        <v>16454.82</v>
      </c>
      <c r="AF113" s="235">
        <v>5484.94</v>
      </c>
      <c r="AG113" s="235">
        <v>5484.94</v>
      </c>
      <c r="AH113" s="235">
        <v>5484.94</v>
      </c>
      <c r="AI113" s="235">
        <v>1746953.39</v>
      </c>
      <c r="AJ113" s="235">
        <v>5484.94</v>
      </c>
      <c r="AK113" s="235">
        <v>0</v>
      </c>
      <c r="AL113" s="235">
        <v>0</v>
      </c>
      <c r="AM113" s="235">
        <v>0</v>
      </c>
      <c r="AN113" s="235">
        <v>0</v>
      </c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</row>
    <row r="114" spans="1:63" s="133" customFormat="1" ht="12.75">
      <c r="A114" s="168">
        <v>38017</v>
      </c>
      <c r="B114" s="213" t="str">
        <f>Servicio_internaColumna_título_intereses</f>
        <v>Intereses</v>
      </c>
      <c r="C114" s="270">
        <v>0</v>
      </c>
      <c r="D114" s="271"/>
      <c r="E114" s="271"/>
      <c r="F114" s="271">
        <v>3219659.78</v>
      </c>
      <c r="G114" s="271">
        <v>6598382.8199999994</v>
      </c>
      <c r="H114" s="271">
        <v>4302935.43</v>
      </c>
      <c r="I114" s="271">
        <v>5353301.4400000004</v>
      </c>
      <c r="J114" s="271">
        <v>3644742.63</v>
      </c>
      <c r="K114" s="271">
        <v>4146614.64</v>
      </c>
      <c r="L114" s="271">
        <v>5698852.6599999992</v>
      </c>
      <c r="M114" s="271">
        <v>4333102.5999999996</v>
      </c>
      <c r="N114" s="271">
        <v>2986549.83</v>
      </c>
      <c r="O114" s="271">
        <v>2509360.0499999998</v>
      </c>
      <c r="P114" s="271">
        <v>3570695.94</v>
      </c>
      <c r="Q114" s="271">
        <v>1009228.96</v>
      </c>
      <c r="R114" s="271">
        <v>924212.39</v>
      </c>
      <c r="S114" s="274">
        <v>880332.87</v>
      </c>
      <c r="T114" s="271">
        <v>1184747.04</v>
      </c>
      <c r="U114" s="272">
        <v>485417.19</v>
      </c>
      <c r="V114" s="272">
        <v>411370.5</v>
      </c>
      <c r="W114" s="272">
        <v>381203.33</v>
      </c>
      <c r="X114" s="272">
        <v>3285479.06</v>
      </c>
      <c r="Y114" s="272">
        <v>307156.64</v>
      </c>
      <c r="Z114" s="272">
        <v>153578.32</v>
      </c>
      <c r="AA114" s="272">
        <v>115183.74</v>
      </c>
      <c r="AB114" s="272">
        <v>104213.86</v>
      </c>
      <c r="AC114" s="272">
        <v>90501.51</v>
      </c>
      <c r="AD114" s="236">
        <v>74046.69</v>
      </c>
      <c r="AE114" s="236">
        <v>628025.63</v>
      </c>
      <c r="AF114" s="236">
        <v>71304.22</v>
      </c>
      <c r="AG114" s="236">
        <v>46621.99</v>
      </c>
      <c r="AH114" s="236">
        <v>46621.99</v>
      </c>
      <c r="AI114" s="236"/>
      <c r="AJ114" s="236"/>
      <c r="AK114" s="236"/>
      <c r="AL114" s="236"/>
      <c r="AM114" s="23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6"/>
      <c r="BF114" s="236"/>
      <c r="BG114" s="236"/>
      <c r="BH114" s="236"/>
      <c r="BI114" s="236"/>
      <c r="BJ114" s="236"/>
      <c r="BK114" s="236"/>
    </row>
    <row r="115" spans="1:63" s="133" customFormat="1" ht="12.75">
      <c r="A115" s="169"/>
      <c r="B115" s="307" t="str">
        <f>Servicio_internaColumna_título_total</f>
        <v>Total</v>
      </c>
      <c r="C115" s="310">
        <v>0</v>
      </c>
      <c r="D115" s="311">
        <f t="shared" ref="D115:AN115" si="31">+D113+D114</f>
        <v>0</v>
      </c>
      <c r="E115" s="311">
        <f t="shared" si="31"/>
        <v>0</v>
      </c>
      <c r="F115" s="311">
        <f t="shared" si="31"/>
        <v>6960388.8599999994</v>
      </c>
      <c r="G115" s="311">
        <f t="shared" si="31"/>
        <v>12239643.609999999</v>
      </c>
      <c r="H115" s="311">
        <f t="shared" si="31"/>
        <v>9612357.3499999996</v>
      </c>
      <c r="I115" s="311">
        <f t="shared" si="31"/>
        <v>11806333.35</v>
      </c>
      <c r="J115" s="311">
        <f t="shared" si="31"/>
        <v>11052154.1</v>
      </c>
      <c r="K115" s="311">
        <f t="shared" si="31"/>
        <v>8899315.1500000004</v>
      </c>
      <c r="L115" s="311">
        <f t="shared" si="31"/>
        <v>9288745.8899999987</v>
      </c>
      <c r="M115" s="311">
        <f t="shared" si="31"/>
        <v>7443063.5800000001</v>
      </c>
      <c r="N115" s="311">
        <f t="shared" si="31"/>
        <v>6823265.3599999994</v>
      </c>
      <c r="O115" s="311">
        <f t="shared" si="31"/>
        <v>5986812.0099999998</v>
      </c>
      <c r="P115" s="311">
        <f t="shared" si="31"/>
        <v>5394438.4900000002</v>
      </c>
      <c r="Q115" s="311">
        <f t="shared" si="31"/>
        <v>2333841.9699999997</v>
      </c>
      <c r="R115" s="311">
        <f t="shared" si="31"/>
        <v>2391433.84</v>
      </c>
      <c r="S115" s="312">
        <f t="shared" si="31"/>
        <v>1508358.5</v>
      </c>
      <c r="T115" s="311">
        <f t="shared" si="31"/>
        <v>1689361.52</v>
      </c>
      <c r="U115" s="311">
        <f t="shared" si="31"/>
        <v>946152.15</v>
      </c>
      <c r="V115" s="311">
        <f t="shared" si="31"/>
        <v>3721531.79</v>
      </c>
      <c r="W115" s="311">
        <f t="shared" si="31"/>
        <v>734981.96</v>
      </c>
      <c r="X115" s="311">
        <f t="shared" si="31"/>
        <v>3488421.84</v>
      </c>
      <c r="Y115" s="311">
        <f t="shared" si="31"/>
        <v>477189.78</v>
      </c>
      <c r="Z115" s="311">
        <f t="shared" si="31"/>
        <v>1612572.36</v>
      </c>
      <c r="AA115" s="311">
        <f t="shared" si="31"/>
        <v>181003.02000000002</v>
      </c>
      <c r="AB115" s="311">
        <f t="shared" si="31"/>
        <v>150835.85</v>
      </c>
      <c r="AC115" s="311">
        <f t="shared" si="31"/>
        <v>696587.38</v>
      </c>
      <c r="AD115" s="311">
        <f t="shared" si="31"/>
        <v>123411.15</v>
      </c>
      <c r="AE115" s="311">
        <f t="shared" si="31"/>
        <v>644480.44999999995</v>
      </c>
      <c r="AF115" s="311">
        <f t="shared" si="31"/>
        <v>76789.16</v>
      </c>
      <c r="AG115" s="311">
        <f t="shared" si="31"/>
        <v>52106.93</v>
      </c>
      <c r="AH115" s="311">
        <f t="shared" si="31"/>
        <v>52106.93</v>
      </c>
      <c r="AI115" s="311">
        <f t="shared" si="31"/>
        <v>1746953.39</v>
      </c>
      <c r="AJ115" s="311">
        <f t="shared" si="31"/>
        <v>5484.94</v>
      </c>
      <c r="AK115" s="311">
        <f t="shared" si="31"/>
        <v>0</v>
      </c>
      <c r="AL115" s="311">
        <f t="shared" si="31"/>
        <v>0</v>
      </c>
      <c r="AM115" s="311">
        <f t="shared" si="31"/>
        <v>0</v>
      </c>
      <c r="AN115" s="311">
        <f t="shared" si="31"/>
        <v>0</v>
      </c>
      <c r="AO115" s="311"/>
      <c r="AP115" s="311"/>
      <c r="AQ115" s="311"/>
      <c r="AR115" s="311"/>
      <c r="AS115" s="311"/>
      <c r="AT115" s="311"/>
      <c r="AU115" s="311"/>
      <c r="AV115" s="311"/>
      <c r="AW115" s="311"/>
      <c r="AX115" s="311"/>
      <c r="AY115" s="311"/>
      <c r="AZ115" s="311"/>
      <c r="BA115" s="311"/>
      <c r="BB115" s="311"/>
      <c r="BC115" s="311"/>
      <c r="BD115" s="311"/>
      <c r="BE115" s="311"/>
      <c r="BF115" s="311"/>
      <c r="BG115" s="311"/>
      <c r="BH115" s="311"/>
      <c r="BI115" s="311"/>
      <c r="BJ115" s="311"/>
      <c r="BK115" s="311"/>
    </row>
    <row r="116" spans="1:63" s="80" customFormat="1" ht="12.75">
      <c r="A116" s="167"/>
      <c r="B116" s="210" t="str">
        <f>Servicio_internaColumna_título_amortizaciones</f>
        <v>Amortizaciones</v>
      </c>
      <c r="C116" s="269">
        <v>0</v>
      </c>
      <c r="D116" s="235"/>
      <c r="E116" s="235"/>
      <c r="F116" s="235">
        <v>3672500.18</v>
      </c>
      <c r="G116" s="235">
        <v>5542332.0199999996</v>
      </c>
      <c r="H116" s="235">
        <v>5198454.9000000004</v>
      </c>
      <c r="I116" s="235">
        <v>6318742.0800000001</v>
      </c>
      <c r="J116" s="235">
        <v>7210673.3600000003</v>
      </c>
      <c r="K116" s="235">
        <v>4653087.28</v>
      </c>
      <c r="L116" s="235">
        <v>3513994.32</v>
      </c>
      <c r="M116" s="235">
        <v>3025044.04</v>
      </c>
      <c r="N116" s="235">
        <v>3758469.46</v>
      </c>
      <c r="O116" s="235">
        <v>3406532.72</v>
      </c>
      <c r="P116" s="235">
        <v>1786549.1</v>
      </c>
      <c r="Q116" s="235">
        <v>1281479.58</v>
      </c>
      <c r="R116" s="235">
        <v>1437298.9</v>
      </c>
      <c r="S116" s="273">
        <v>615217.66</v>
      </c>
      <c r="T116" s="235">
        <v>494323.36</v>
      </c>
      <c r="U116" s="235">
        <v>451338.72</v>
      </c>
      <c r="V116" s="235">
        <v>3242653.78</v>
      </c>
      <c r="W116" s="235">
        <v>346563.66</v>
      </c>
      <c r="X116" s="235">
        <v>198803.96</v>
      </c>
      <c r="Y116" s="235">
        <v>166565.48000000001</v>
      </c>
      <c r="Z116" s="235">
        <v>1429239.28</v>
      </c>
      <c r="AA116" s="235">
        <v>64476.959999999999</v>
      </c>
      <c r="AB116" s="235">
        <v>45671.18</v>
      </c>
      <c r="AC116" s="235">
        <v>593725.34</v>
      </c>
      <c r="AD116" s="235">
        <v>48357.72</v>
      </c>
      <c r="AE116" s="235">
        <v>16119.24</v>
      </c>
      <c r="AF116" s="235">
        <v>5373.08</v>
      </c>
      <c r="AG116" s="235">
        <v>5373.08</v>
      </c>
      <c r="AH116" s="235">
        <v>5373.08</v>
      </c>
      <c r="AI116" s="235">
        <v>1711325.98</v>
      </c>
      <c r="AJ116" s="235">
        <v>5373.08</v>
      </c>
      <c r="AK116" s="235">
        <v>0</v>
      </c>
      <c r="AL116" s="235">
        <v>0</v>
      </c>
      <c r="AM116" s="235">
        <v>0</v>
      </c>
      <c r="AN116" s="235">
        <v>0</v>
      </c>
      <c r="AO116" s="235"/>
      <c r="AP116" s="235"/>
      <c r="AQ116" s="235"/>
      <c r="AR116" s="235"/>
      <c r="AS116" s="235"/>
      <c r="AT116" s="235"/>
      <c r="AU116" s="235"/>
      <c r="AV116" s="235"/>
      <c r="AW116" s="235"/>
      <c r="AX116" s="235"/>
      <c r="AY116" s="235"/>
      <c r="AZ116" s="235"/>
      <c r="BA116" s="235"/>
      <c r="BB116" s="235"/>
      <c r="BC116" s="235"/>
      <c r="BD116" s="235"/>
      <c r="BE116" s="235"/>
      <c r="BF116" s="235"/>
      <c r="BG116" s="235"/>
      <c r="BH116" s="235"/>
      <c r="BI116" s="235"/>
      <c r="BJ116" s="235"/>
      <c r="BK116" s="235"/>
    </row>
    <row r="117" spans="1:63" s="133" customFormat="1" ht="12.75">
      <c r="A117" s="168">
        <v>38046</v>
      </c>
      <c r="B117" s="213" t="str">
        <f>Servicio_internaColumna_título_intereses</f>
        <v>Intereses</v>
      </c>
      <c r="C117" s="270">
        <v>0</v>
      </c>
      <c r="D117" s="271"/>
      <c r="E117" s="271"/>
      <c r="F117" s="271">
        <v>3153997.96</v>
      </c>
      <c r="G117" s="271">
        <v>6463815.2400000002</v>
      </c>
      <c r="H117" s="271">
        <v>4215181.26</v>
      </c>
      <c r="I117" s="271">
        <v>5244126.08</v>
      </c>
      <c r="J117" s="271">
        <v>3570411.66</v>
      </c>
      <c r="K117" s="271">
        <v>4062048.48</v>
      </c>
      <c r="L117" s="271">
        <v>5582630.1200000001</v>
      </c>
      <c r="M117" s="271">
        <v>4244733.2</v>
      </c>
      <c r="N117" s="271">
        <v>2925642.06</v>
      </c>
      <c r="O117" s="271">
        <v>2458184.1</v>
      </c>
      <c r="P117" s="271">
        <v>3497875.08</v>
      </c>
      <c r="Q117" s="271">
        <v>988646.72</v>
      </c>
      <c r="R117" s="271">
        <v>905363.98</v>
      </c>
      <c r="S117" s="274">
        <v>862379.34</v>
      </c>
      <c r="T117" s="271">
        <v>1160585.28</v>
      </c>
      <c r="U117" s="272">
        <v>475517.58</v>
      </c>
      <c r="V117" s="272">
        <v>402981</v>
      </c>
      <c r="W117" s="272">
        <v>373429.06</v>
      </c>
      <c r="X117" s="272">
        <v>3218474.92</v>
      </c>
      <c r="Y117" s="272">
        <v>300892.48</v>
      </c>
      <c r="Z117" s="272">
        <v>150446.24</v>
      </c>
      <c r="AA117" s="272">
        <v>112834.68</v>
      </c>
      <c r="AB117" s="272">
        <v>102088.52</v>
      </c>
      <c r="AC117" s="272">
        <v>88655.82</v>
      </c>
      <c r="AD117" s="236">
        <v>72536.58</v>
      </c>
      <c r="AE117" s="236">
        <v>615217.66</v>
      </c>
      <c r="AF117" s="236">
        <v>69850.039999999994</v>
      </c>
      <c r="AG117" s="236">
        <v>45671.18</v>
      </c>
      <c r="AH117" s="236">
        <v>45671.18</v>
      </c>
      <c r="AI117" s="236"/>
      <c r="AJ117" s="236"/>
      <c r="AK117" s="236"/>
      <c r="AL117" s="236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6"/>
      <c r="BF117" s="236"/>
      <c r="BG117" s="236"/>
      <c r="BH117" s="236"/>
      <c r="BI117" s="236"/>
      <c r="BJ117" s="236"/>
      <c r="BK117" s="236"/>
    </row>
    <row r="118" spans="1:63" s="133" customFormat="1" ht="12.75">
      <c r="A118" s="169"/>
      <c r="B118" s="307" t="str">
        <f>Servicio_internaColumna_título_total</f>
        <v>Total</v>
      </c>
      <c r="C118" s="310">
        <v>0</v>
      </c>
      <c r="D118" s="311">
        <f t="shared" ref="D118:AN118" si="32">+D116+D117</f>
        <v>0</v>
      </c>
      <c r="E118" s="311">
        <f t="shared" si="32"/>
        <v>0</v>
      </c>
      <c r="F118" s="311">
        <f t="shared" si="32"/>
        <v>6826498.1400000006</v>
      </c>
      <c r="G118" s="311">
        <f t="shared" si="32"/>
        <v>12006147.26</v>
      </c>
      <c r="H118" s="311">
        <f t="shared" si="32"/>
        <v>9413636.1600000001</v>
      </c>
      <c r="I118" s="311">
        <f t="shared" si="32"/>
        <v>11562868.16</v>
      </c>
      <c r="J118" s="311">
        <f t="shared" si="32"/>
        <v>10781085.02</v>
      </c>
      <c r="K118" s="311">
        <f t="shared" si="32"/>
        <v>8715135.7599999998</v>
      </c>
      <c r="L118" s="311">
        <f t="shared" si="32"/>
        <v>9096624.4399999995</v>
      </c>
      <c r="M118" s="311">
        <f t="shared" si="32"/>
        <v>7269777.2400000002</v>
      </c>
      <c r="N118" s="311">
        <f t="shared" si="32"/>
        <v>6684111.5199999996</v>
      </c>
      <c r="O118" s="311">
        <f t="shared" si="32"/>
        <v>5864716.8200000003</v>
      </c>
      <c r="P118" s="311">
        <f t="shared" si="32"/>
        <v>5284424.18</v>
      </c>
      <c r="Q118" s="311">
        <f t="shared" si="32"/>
        <v>2270126.2999999998</v>
      </c>
      <c r="R118" s="311">
        <f t="shared" si="32"/>
        <v>2342662.88</v>
      </c>
      <c r="S118" s="312">
        <f t="shared" si="32"/>
        <v>1477597</v>
      </c>
      <c r="T118" s="311">
        <f t="shared" si="32"/>
        <v>1654908.6400000001</v>
      </c>
      <c r="U118" s="311">
        <f t="shared" si="32"/>
        <v>926856.3</v>
      </c>
      <c r="V118" s="311">
        <f t="shared" si="32"/>
        <v>3645634.78</v>
      </c>
      <c r="W118" s="311">
        <f t="shared" si="32"/>
        <v>719992.72</v>
      </c>
      <c r="X118" s="311">
        <f t="shared" si="32"/>
        <v>3417278.88</v>
      </c>
      <c r="Y118" s="311">
        <f t="shared" si="32"/>
        <v>467457.95999999996</v>
      </c>
      <c r="Z118" s="311">
        <f t="shared" si="32"/>
        <v>1579685.52</v>
      </c>
      <c r="AA118" s="311">
        <f t="shared" si="32"/>
        <v>177311.63999999998</v>
      </c>
      <c r="AB118" s="311">
        <f t="shared" si="32"/>
        <v>147759.70000000001</v>
      </c>
      <c r="AC118" s="311">
        <f t="shared" si="32"/>
        <v>682381.15999999992</v>
      </c>
      <c r="AD118" s="311">
        <f t="shared" si="32"/>
        <v>120894.3</v>
      </c>
      <c r="AE118" s="311">
        <f t="shared" si="32"/>
        <v>631336.9</v>
      </c>
      <c r="AF118" s="311">
        <f t="shared" si="32"/>
        <v>75223.12</v>
      </c>
      <c r="AG118" s="311">
        <f t="shared" si="32"/>
        <v>51044.26</v>
      </c>
      <c r="AH118" s="311">
        <f t="shared" si="32"/>
        <v>51044.26</v>
      </c>
      <c r="AI118" s="311">
        <f t="shared" si="32"/>
        <v>1711325.98</v>
      </c>
      <c r="AJ118" s="311">
        <f t="shared" si="32"/>
        <v>5373.08</v>
      </c>
      <c r="AK118" s="311">
        <f t="shared" si="32"/>
        <v>0</v>
      </c>
      <c r="AL118" s="311">
        <f t="shared" si="32"/>
        <v>0</v>
      </c>
      <c r="AM118" s="311">
        <f t="shared" si="32"/>
        <v>0</v>
      </c>
      <c r="AN118" s="311">
        <f t="shared" si="32"/>
        <v>0</v>
      </c>
      <c r="AO118" s="311"/>
      <c r="AP118" s="311"/>
      <c r="AQ118" s="311"/>
      <c r="AR118" s="311"/>
      <c r="AS118" s="311"/>
      <c r="AT118" s="311"/>
      <c r="AU118" s="311"/>
      <c r="AV118" s="311"/>
      <c r="AW118" s="311"/>
      <c r="AX118" s="311"/>
      <c r="AY118" s="311"/>
      <c r="AZ118" s="311"/>
      <c r="BA118" s="311"/>
      <c r="BB118" s="311"/>
      <c r="BC118" s="311"/>
      <c r="BD118" s="311"/>
      <c r="BE118" s="311"/>
      <c r="BF118" s="311"/>
      <c r="BG118" s="311"/>
      <c r="BH118" s="311"/>
      <c r="BI118" s="311"/>
      <c r="BJ118" s="311"/>
      <c r="BK118" s="311"/>
    </row>
    <row r="119" spans="1:63" s="80" customFormat="1" ht="12.75">
      <c r="A119" s="167"/>
      <c r="B119" s="210" t="str">
        <f>Servicio_internaColumna_título_amortizaciones</f>
        <v>Amortizaciones</v>
      </c>
      <c r="C119" s="269">
        <v>0</v>
      </c>
      <c r="D119" s="235"/>
      <c r="E119" s="235"/>
      <c r="F119" s="235">
        <v>1950453.0429599995</v>
      </c>
      <c r="G119" s="235">
        <v>5439342.96</v>
      </c>
      <c r="H119" s="235">
        <v>5182239.5999999996</v>
      </c>
      <c r="I119" s="235">
        <v>6309744.96</v>
      </c>
      <c r="J119" s="235">
        <v>7113192.96</v>
      </c>
      <c r="K119" s="235">
        <v>4676067.3600000003</v>
      </c>
      <c r="L119" s="235">
        <v>3540527.52</v>
      </c>
      <c r="M119" s="235">
        <v>3015608.16</v>
      </c>
      <c r="N119" s="235">
        <v>3778883.76</v>
      </c>
      <c r="O119" s="235">
        <v>3428044.7999999998</v>
      </c>
      <c r="P119" s="235">
        <v>1789010.88</v>
      </c>
      <c r="Q119" s="235">
        <v>1261413.3600000001</v>
      </c>
      <c r="R119" s="235">
        <v>1416746.64</v>
      </c>
      <c r="S119" s="273">
        <v>610620.48</v>
      </c>
      <c r="T119" s="235">
        <v>498137.76</v>
      </c>
      <c r="U119" s="235">
        <v>455287.2</v>
      </c>
      <c r="V119" s="235">
        <v>3382516.08</v>
      </c>
      <c r="W119" s="235">
        <v>313344.71999999997</v>
      </c>
      <c r="X119" s="235">
        <v>163367.76</v>
      </c>
      <c r="Y119" s="235">
        <v>163367.76</v>
      </c>
      <c r="Z119" s="235">
        <v>1422102.96</v>
      </c>
      <c r="AA119" s="235">
        <v>64275.839999999997</v>
      </c>
      <c r="AB119" s="235">
        <v>45528.72</v>
      </c>
      <c r="AC119" s="235">
        <v>591873.36</v>
      </c>
      <c r="AD119" s="235">
        <v>48206.879999999997</v>
      </c>
      <c r="AE119" s="235">
        <v>16068.96</v>
      </c>
      <c r="AF119" s="235">
        <v>5356.32</v>
      </c>
      <c r="AG119" s="235">
        <v>5356.32</v>
      </c>
      <c r="AH119" s="235">
        <v>5356.32</v>
      </c>
      <c r="AI119" s="235">
        <v>1705987.92</v>
      </c>
      <c r="AJ119" s="235">
        <v>5356.32</v>
      </c>
      <c r="AK119" s="235">
        <v>0</v>
      </c>
      <c r="AL119" s="235">
        <v>0</v>
      </c>
      <c r="AM119" s="235">
        <v>0</v>
      </c>
      <c r="AN119" s="235">
        <v>0</v>
      </c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/>
      <c r="BJ119" s="235"/>
      <c r="BK119" s="235"/>
    </row>
    <row r="120" spans="1:63" s="133" customFormat="1" ht="12.75">
      <c r="A120" s="168">
        <v>38077</v>
      </c>
      <c r="B120" s="213" t="str">
        <f>Servicio_internaColumna_título_intereses</f>
        <v>Intereses</v>
      </c>
      <c r="C120" s="270">
        <v>0</v>
      </c>
      <c r="D120" s="271"/>
      <c r="E120" s="271"/>
      <c r="F120" s="271">
        <v>3144159.84</v>
      </c>
      <c r="G120" s="271">
        <v>6443652.96</v>
      </c>
      <c r="H120" s="271">
        <v>4202033.04</v>
      </c>
      <c r="I120" s="271">
        <v>5227768.32</v>
      </c>
      <c r="J120" s="271">
        <v>3559274.64</v>
      </c>
      <c r="K120" s="271">
        <v>4049377.92</v>
      </c>
      <c r="L120" s="271">
        <v>5565216.4799999995</v>
      </c>
      <c r="M120" s="271">
        <v>4231492.8</v>
      </c>
      <c r="N120" s="271">
        <v>2916516.24</v>
      </c>
      <c r="O120" s="271">
        <v>2450516.4</v>
      </c>
      <c r="P120" s="271">
        <v>3486964.32</v>
      </c>
      <c r="Q120" s="271">
        <v>985562.88</v>
      </c>
      <c r="R120" s="271">
        <v>902539.92</v>
      </c>
      <c r="S120" s="274">
        <v>859689.36</v>
      </c>
      <c r="T120" s="271">
        <v>1156965.1200000001</v>
      </c>
      <c r="U120" s="272">
        <v>474034.32</v>
      </c>
      <c r="V120" s="272">
        <v>401724</v>
      </c>
      <c r="W120" s="272">
        <v>372264.24</v>
      </c>
      <c r="X120" s="272">
        <v>3208435.68</v>
      </c>
      <c r="Y120" s="272">
        <v>299953.91999999998</v>
      </c>
      <c r="Z120" s="272">
        <v>149976.95999999999</v>
      </c>
      <c r="AA120" s="272">
        <v>112482.72</v>
      </c>
      <c r="AB120" s="272">
        <v>101770.08</v>
      </c>
      <c r="AC120" s="272">
        <v>88379.28</v>
      </c>
      <c r="AD120" s="236">
        <v>72310.320000000007</v>
      </c>
      <c r="AE120" s="236">
        <v>613298.64</v>
      </c>
      <c r="AF120" s="236">
        <v>69632.160000000003</v>
      </c>
      <c r="AG120" s="236">
        <v>45528.72</v>
      </c>
      <c r="AH120" s="236">
        <v>45528.72</v>
      </c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/>
      <c r="BK120" s="236"/>
    </row>
    <row r="121" spans="1:63" s="133" customFormat="1" ht="12.75">
      <c r="A121" s="169"/>
      <c r="B121" s="307" t="str">
        <f>Servicio_internaColumna_título_total</f>
        <v>Total</v>
      </c>
      <c r="C121" s="310">
        <v>0</v>
      </c>
      <c r="D121" s="311">
        <f t="shared" ref="D121:AN121" si="33">+D119+D120</f>
        <v>0</v>
      </c>
      <c r="E121" s="311">
        <f t="shared" si="33"/>
        <v>0</v>
      </c>
      <c r="F121" s="311">
        <f t="shared" si="33"/>
        <v>5094612.8829599991</v>
      </c>
      <c r="G121" s="311">
        <f t="shared" si="33"/>
        <v>11882995.92</v>
      </c>
      <c r="H121" s="311">
        <f t="shared" si="33"/>
        <v>9384272.6400000006</v>
      </c>
      <c r="I121" s="311">
        <f t="shared" si="33"/>
        <v>11537513.280000001</v>
      </c>
      <c r="J121" s="311">
        <f t="shared" si="33"/>
        <v>10672467.6</v>
      </c>
      <c r="K121" s="311">
        <f t="shared" si="33"/>
        <v>8725445.2800000012</v>
      </c>
      <c r="L121" s="311">
        <f t="shared" si="33"/>
        <v>9105744</v>
      </c>
      <c r="M121" s="311">
        <f t="shared" si="33"/>
        <v>7247100.96</v>
      </c>
      <c r="N121" s="311">
        <f t="shared" si="33"/>
        <v>6695400</v>
      </c>
      <c r="O121" s="311">
        <f t="shared" si="33"/>
        <v>5878561.1999999993</v>
      </c>
      <c r="P121" s="311">
        <f t="shared" si="33"/>
        <v>5275975.1999999993</v>
      </c>
      <c r="Q121" s="311">
        <f t="shared" si="33"/>
        <v>2246976.2400000002</v>
      </c>
      <c r="R121" s="311">
        <f t="shared" si="33"/>
        <v>2319286.56</v>
      </c>
      <c r="S121" s="312">
        <f t="shared" si="33"/>
        <v>1470309.8399999999</v>
      </c>
      <c r="T121" s="311">
        <f t="shared" si="33"/>
        <v>1655102.8800000001</v>
      </c>
      <c r="U121" s="311">
        <f t="shared" si="33"/>
        <v>929321.52</v>
      </c>
      <c r="V121" s="311">
        <f t="shared" si="33"/>
        <v>3784240.08</v>
      </c>
      <c r="W121" s="311">
        <f t="shared" si="33"/>
        <v>685608.95999999996</v>
      </c>
      <c r="X121" s="311">
        <f t="shared" si="33"/>
        <v>3371803.4400000004</v>
      </c>
      <c r="Y121" s="311">
        <f t="shared" si="33"/>
        <v>463321.68</v>
      </c>
      <c r="Z121" s="311">
        <f t="shared" si="33"/>
        <v>1572079.92</v>
      </c>
      <c r="AA121" s="311">
        <f t="shared" si="33"/>
        <v>176758.56</v>
      </c>
      <c r="AB121" s="311">
        <f t="shared" si="33"/>
        <v>147298.79999999999</v>
      </c>
      <c r="AC121" s="311">
        <f t="shared" si="33"/>
        <v>680252.64</v>
      </c>
      <c r="AD121" s="311">
        <f t="shared" si="33"/>
        <v>120517.20000000001</v>
      </c>
      <c r="AE121" s="311">
        <f t="shared" si="33"/>
        <v>629367.6</v>
      </c>
      <c r="AF121" s="311">
        <f t="shared" si="33"/>
        <v>74988.48000000001</v>
      </c>
      <c r="AG121" s="311">
        <f t="shared" si="33"/>
        <v>50885.04</v>
      </c>
      <c r="AH121" s="311">
        <f t="shared" si="33"/>
        <v>50885.04</v>
      </c>
      <c r="AI121" s="311">
        <f t="shared" si="33"/>
        <v>1705987.92</v>
      </c>
      <c r="AJ121" s="311">
        <f t="shared" si="33"/>
        <v>5356.32</v>
      </c>
      <c r="AK121" s="311">
        <f t="shared" si="33"/>
        <v>0</v>
      </c>
      <c r="AL121" s="311">
        <f t="shared" si="33"/>
        <v>0</v>
      </c>
      <c r="AM121" s="311">
        <f t="shared" si="33"/>
        <v>0</v>
      </c>
      <c r="AN121" s="311">
        <f t="shared" si="33"/>
        <v>0</v>
      </c>
      <c r="AO121" s="311"/>
      <c r="AP121" s="311"/>
      <c r="AQ121" s="311"/>
      <c r="AR121" s="311"/>
      <c r="AS121" s="311"/>
      <c r="AT121" s="311"/>
      <c r="AU121" s="311"/>
      <c r="AV121" s="311"/>
      <c r="AW121" s="311"/>
      <c r="AX121" s="311"/>
      <c r="AY121" s="311"/>
      <c r="AZ121" s="311"/>
      <c r="BA121" s="311"/>
      <c r="BB121" s="311"/>
      <c r="BC121" s="311"/>
      <c r="BD121" s="311"/>
      <c r="BE121" s="311"/>
      <c r="BF121" s="311"/>
      <c r="BG121" s="311"/>
      <c r="BH121" s="311"/>
      <c r="BI121" s="311"/>
      <c r="BJ121" s="311"/>
      <c r="BK121" s="311"/>
    </row>
    <row r="122" spans="1:63" s="80" customFormat="1" ht="12.75">
      <c r="A122" s="167"/>
      <c r="B122" s="210" t="str">
        <f>Servicio_internaColumna_título_amortizaciones</f>
        <v>Amortizaciones</v>
      </c>
      <c r="C122" s="269">
        <v>0</v>
      </c>
      <c r="D122" s="235"/>
      <c r="E122" s="235"/>
      <c r="F122" s="235">
        <v>1722515.2383775867</v>
      </c>
      <c r="G122" s="235">
        <v>5399859.5999999996</v>
      </c>
      <c r="H122" s="235">
        <v>5312508.93</v>
      </c>
      <c r="I122" s="235">
        <v>6456008.6099999994</v>
      </c>
      <c r="J122" s="235">
        <v>7091286.209999999</v>
      </c>
      <c r="K122" s="235">
        <v>4870461.5999999996</v>
      </c>
      <c r="L122" s="235">
        <v>3499320.78</v>
      </c>
      <c r="M122" s="235">
        <v>3004333.65</v>
      </c>
      <c r="N122" s="235">
        <v>3740196.87</v>
      </c>
      <c r="O122" s="235">
        <v>3390794.19</v>
      </c>
      <c r="P122" s="235">
        <v>1770836.31</v>
      </c>
      <c r="Q122" s="235">
        <v>1249379.28</v>
      </c>
      <c r="R122" s="235">
        <v>1402904.7</v>
      </c>
      <c r="S122" s="273">
        <v>600866.73</v>
      </c>
      <c r="T122" s="235">
        <v>492340.14</v>
      </c>
      <c r="U122" s="235">
        <v>449988.3</v>
      </c>
      <c r="V122" s="235">
        <v>3200210.91</v>
      </c>
      <c r="W122" s="235">
        <v>309697.83</v>
      </c>
      <c r="X122" s="235">
        <v>161466.39000000001</v>
      </c>
      <c r="Y122" s="235">
        <v>161466.39000000001</v>
      </c>
      <c r="Z122" s="235">
        <v>1405551.69</v>
      </c>
      <c r="AA122" s="235">
        <v>63527.76</v>
      </c>
      <c r="AB122" s="235">
        <v>44998.83</v>
      </c>
      <c r="AC122" s="235">
        <v>584984.79</v>
      </c>
      <c r="AD122" s="235">
        <v>47645.82</v>
      </c>
      <c r="AE122" s="235">
        <v>15881.94</v>
      </c>
      <c r="AF122" s="235">
        <v>5293.98</v>
      </c>
      <c r="AG122" s="235">
        <v>5293.98</v>
      </c>
      <c r="AH122" s="235">
        <v>5293.98</v>
      </c>
      <c r="AI122" s="235">
        <v>1686132.63</v>
      </c>
      <c r="AJ122" s="235">
        <v>5293.98</v>
      </c>
      <c r="AK122" s="235">
        <v>0</v>
      </c>
      <c r="AL122" s="235">
        <v>0</v>
      </c>
      <c r="AM122" s="235">
        <v>0</v>
      </c>
      <c r="AN122" s="235">
        <v>0</v>
      </c>
      <c r="AO122" s="235"/>
      <c r="AP122" s="235"/>
      <c r="AQ122" s="235"/>
      <c r="AR122" s="235"/>
      <c r="AS122" s="235"/>
      <c r="AT122" s="235"/>
      <c r="AU122" s="235"/>
      <c r="AV122" s="235"/>
      <c r="AW122" s="235"/>
      <c r="AX122" s="235"/>
      <c r="AY122" s="235"/>
      <c r="AZ122" s="235"/>
      <c r="BA122" s="235"/>
      <c r="BB122" s="235"/>
      <c r="BC122" s="235"/>
      <c r="BD122" s="235"/>
      <c r="BE122" s="235"/>
      <c r="BF122" s="235"/>
      <c r="BG122" s="235"/>
      <c r="BH122" s="235"/>
      <c r="BI122" s="235"/>
      <c r="BJ122" s="235"/>
      <c r="BK122" s="235"/>
    </row>
    <row r="123" spans="1:63" s="133" customFormat="1" ht="12.75">
      <c r="A123" s="168">
        <v>38107</v>
      </c>
      <c r="B123" s="213" t="str">
        <f>Servicio_internaColumna_título_intereses</f>
        <v>Intereses</v>
      </c>
      <c r="C123" s="270">
        <v>0</v>
      </c>
      <c r="D123" s="271"/>
      <c r="E123" s="271"/>
      <c r="F123" s="271">
        <v>3107566.26</v>
      </c>
      <c r="G123" s="271">
        <v>6368657.9399999995</v>
      </c>
      <c r="H123" s="271">
        <v>4153127.31</v>
      </c>
      <c r="I123" s="271">
        <v>5166924.4800000004</v>
      </c>
      <c r="J123" s="271">
        <v>3517849.71</v>
      </c>
      <c r="K123" s="271">
        <v>4002248.88</v>
      </c>
      <c r="L123" s="271">
        <v>5500445.2199999997</v>
      </c>
      <c r="M123" s="271">
        <v>4182244.2</v>
      </c>
      <c r="N123" s="271">
        <v>2882572.11</v>
      </c>
      <c r="O123" s="271">
        <v>2421995.85</v>
      </c>
      <c r="P123" s="271">
        <v>3446380.98</v>
      </c>
      <c r="Q123" s="271">
        <v>974092.32</v>
      </c>
      <c r="R123" s="271">
        <v>892035.63</v>
      </c>
      <c r="S123" s="274">
        <v>849683.79</v>
      </c>
      <c r="T123" s="271">
        <v>1143499.68</v>
      </c>
      <c r="U123" s="272">
        <v>468517.23</v>
      </c>
      <c r="V123" s="272">
        <v>397048.5</v>
      </c>
      <c r="W123" s="272">
        <v>367931.61</v>
      </c>
      <c r="X123" s="272">
        <v>3171094.02</v>
      </c>
      <c r="Y123" s="272">
        <v>296462.88</v>
      </c>
      <c r="Z123" s="272">
        <v>148231.44</v>
      </c>
      <c r="AA123" s="272">
        <v>111173.58</v>
      </c>
      <c r="AB123" s="272">
        <v>100585.62</v>
      </c>
      <c r="AC123" s="272">
        <v>87350.67</v>
      </c>
      <c r="AD123" s="236">
        <v>71468.73</v>
      </c>
      <c r="AE123" s="236">
        <v>606160.71</v>
      </c>
      <c r="AF123" s="236">
        <v>68821.740000000005</v>
      </c>
      <c r="AG123" s="236">
        <v>44998.83</v>
      </c>
      <c r="AH123" s="236">
        <v>44998.83</v>
      </c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6"/>
      <c r="BF123" s="236"/>
      <c r="BG123" s="236"/>
      <c r="BH123" s="236"/>
      <c r="BI123" s="236"/>
      <c r="BJ123" s="236"/>
      <c r="BK123" s="236"/>
    </row>
    <row r="124" spans="1:63" s="133" customFormat="1" ht="12.75">
      <c r="A124" s="169"/>
      <c r="B124" s="307" t="str">
        <f>Servicio_internaColumna_título_total</f>
        <v>Total</v>
      </c>
      <c r="C124" s="310">
        <v>0</v>
      </c>
      <c r="D124" s="311">
        <f t="shared" ref="D124:AN124" si="34">+D122+D123</f>
        <v>0</v>
      </c>
      <c r="E124" s="311">
        <f t="shared" si="34"/>
        <v>0</v>
      </c>
      <c r="F124" s="311">
        <f t="shared" si="34"/>
        <v>4830081.4983775867</v>
      </c>
      <c r="G124" s="311">
        <f t="shared" si="34"/>
        <v>11768517.539999999</v>
      </c>
      <c r="H124" s="311">
        <f t="shared" si="34"/>
        <v>9465636.2400000002</v>
      </c>
      <c r="I124" s="311">
        <f t="shared" si="34"/>
        <v>11622933.09</v>
      </c>
      <c r="J124" s="311">
        <f t="shared" si="34"/>
        <v>10609135.919999998</v>
      </c>
      <c r="K124" s="311">
        <f t="shared" si="34"/>
        <v>8872710.4800000004</v>
      </c>
      <c r="L124" s="311">
        <f t="shared" si="34"/>
        <v>8999766</v>
      </c>
      <c r="M124" s="311">
        <f t="shared" si="34"/>
        <v>7186577.8499999996</v>
      </c>
      <c r="N124" s="311">
        <f t="shared" si="34"/>
        <v>6622768.9800000004</v>
      </c>
      <c r="O124" s="311">
        <f t="shared" si="34"/>
        <v>5812790.04</v>
      </c>
      <c r="P124" s="311">
        <f t="shared" si="34"/>
        <v>5217217.29</v>
      </c>
      <c r="Q124" s="311">
        <f t="shared" si="34"/>
        <v>2223471.6</v>
      </c>
      <c r="R124" s="311">
        <f t="shared" si="34"/>
        <v>2294940.33</v>
      </c>
      <c r="S124" s="312">
        <f t="shared" si="34"/>
        <v>1450550.52</v>
      </c>
      <c r="T124" s="311">
        <f t="shared" si="34"/>
        <v>1635839.8199999998</v>
      </c>
      <c r="U124" s="311">
        <f t="shared" si="34"/>
        <v>918505.53</v>
      </c>
      <c r="V124" s="311">
        <f t="shared" si="34"/>
        <v>3597259.41</v>
      </c>
      <c r="W124" s="311">
        <f t="shared" si="34"/>
        <v>677629.43999999994</v>
      </c>
      <c r="X124" s="311">
        <f t="shared" si="34"/>
        <v>3332560.41</v>
      </c>
      <c r="Y124" s="311">
        <f t="shared" si="34"/>
        <v>457929.27</v>
      </c>
      <c r="Z124" s="311">
        <f t="shared" si="34"/>
        <v>1553783.13</v>
      </c>
      <c r="AA124" s="311">
        <f t="shared" si="34"/>
        <v>174701.34</v>
      </c>
      <c r="AB124" s="311">
        <f t="shared" si="34"/>
        <v>145584.45000000001</v>
      </c>
      <c r="AC124" s="311">
        <f t="shared" si="34"/>
        <v>672335.46000000008</v>
      </c>
      <c r="AD124" s="311">
        <f t="shared" si="34"/>
        <v>119114.54999999999</v>
      </c>
      <c r="AE124" s="311">
        <f t="shared" si="34"/>
        <v>622042.64999999991</v>
      </c>
      <c r="AF124" s="311">
        <f t="shared" si="34"/>
        <v>74115.72</v>
      </c>
      <c r="AG124" s="311">
        <f t="shared" si="34"/>
        <v>50292.81</v>
      </c>
      <c r="AH124" s="311">
        <f t="shared" si="34"/>
        <v>50292.81</v>
      </c>
      <c r="AI124" s="311">
        <f t="shared" si="34"/>
        <v>1686132.63</v>
      </c>
      <c r="AJ124" s="311">
        <f t="shared" si="34"/>
        <v>5293.98</v>
      </c>
      <c r="AK124" s="311">
        <f t="shared" si="34"/>
        <v>0</v>
      </c>
      <c r="AL124" s="311">
        <f t="shared" si="34"/>
        <v>0</v>
      </c>
      <c r="AM124" s="311">
        <f t="shared" si="34"/>
        <v>0</v>
      </c>
      <c r="AN124" s="311">
        <f t="shared" si="34"/>
        <v>0</v>
      </c>
      <c r="AO124" s="311"/>
      <c r="AP124" s="311"/>
      <c r="AQ124" s="311"/>
      <c r="AR124" s="311"/>
      <c r="AS124" s="311"/>
      <c r="AT124" s="311"/>
      <c r="AU124" s="311"/>
      <c r="AV124" s="311"/>
      <c r="AW124" s="311"/>
      <c r="AX124" s="311"/>
      <c r="AY124" s="311"/>
      <c r="AZ124" s="311"/>
      <c r="BA124" s="311"/>
      <c r="BB124" s="311"/>
      <c r="BC124" s="311"/>
      <c r="BD124" s="311"/>
      <c r="BE124" s="311"/>
      <c r="BF124" s="311"/>
      <c r="BG124" s="311"/>
      <c r="BH124" s="311"/>
      <c r="BI124" s="311"/>
      <c r="BJ124" s="311"/>
      <c r="BK124" s="311"/>
    </row>
    <row r="125" spans="1:63" s="80" customFormat="1" ht="12.75">
      <c r="A125" s="167"/>
      <c r="B125" s="210" t="str">
        <f>Servicio_internaColumna_título_amortizaciones</f>
        <v>Amortizaciones</v>
      </c>
      <c r="C125" s="269">
        <v>0</v>
      </c>
      <c r="D125" s="235"/>
      <c r="E125" s="235"/>
      <c r="F125" s="235">
        <v>1724238.6423604684</v>
      </c>
      <c r="G125" s="235">
        <v>5564286.6400000006</v>
      </c>
      <c r="H125" s="235">
        <v>5466189.5200000005</v>
      </c>
      <c r="I125" s="235">
        <v>6643354.96</v>
      </c>
      <c r="J125" s="235">
        <v>7289161</v>
      </c>
      <c r="K125" s="235">
        <v>5011127.88</v>
      </c>
      <c r="L125" s="235">
        <v>3599619.32</v>
      </c>
      <c r="M125" s="235">
        <v>3095509.12</v>
      </c>
      <c r="N125" s="235">
        <v>3844862.12</v>
      </c>
      <c r="O125" s="235">
        <v>3487897.6000000001</v>
      </c>
      <c r="P125" s="235">
        <v>1820246.56</v>
      </c>
      <c r="Q125" s="235">
        <v>1291612.08</v>
      </c>
      <c r="R125" s="235">
        <v>1446932.52</v>
      </c>
      <c r="S125" s="273">
        <v>621281.76</v>
      </c>
      <c r="T125" s="235">
        <v>509560.04</v>
      </c>
      <c r="U125" s="235">
        <v>465961.32</v>
      </c>
      <c r="V125" s="235">
        <v>3302603.04</v>
      </c>
      <c r="W125" s="235">
        <v>321540.56</v>
      </c>
      <c r="X125" s="235">
        <v>166220.12</v>
      </c>
      <c r="Y125" s="235">
        <v>166220.12</v>
      </c>
      <c r="Z125" s="235">
        <v>1446932.52</v>
      </c>
      <c r="AA125" s="235">
        <v>65398.080000000002</v>
      </c>
      <c r="AB125" s="235">
        <v>46323.64</v>
      </c>
      <c r="AC125" s="235">
        <v>602207.31999999995</v>
      </c>
      <c r="AD125" s="235">
        <v>49048.56</v>
      </c>
      <c r="AE125" s="235">
        <v>16349.52</v>
      </c>
      <c r="AF125" s="235">
        <v>5449.84</v>
      </c>
      <c r="AG125" s="235">
        <v>5449.84</v>
      </c>
      <c r="AH125" s="235">
        <v>5449.84</v>
      </c>
      <c r="AI125" s="235">
        <v>1735774.04</v>
      </c>
      <c r="AJ125" s="235">
        <v>5449.84</v>
      </c>
      <c r="AK125" s="235">
        <v>0</v>
      </c>
      <c r="AL125" s="235">
        <v>0</v>
      </c>
      <c r="AM125" s="235">
        <v>0</v>
      </c>
      <c r="AN125" s="235">
        <v>0</v>
      </c>
      <c r="AO125" s="235"/>
      <c r="AP125" s="235"/>
      <c r="AQ125" s="235"/>
      <c r="AR125" s="235"/>
      <c r="AS125" s="235"/>
      <c r="AT125" s="235"/>
      <c r="AU125" s="235"/>
      <c r="AV125" s="235"/>
      <c r="AW125" s="235"/>
      <c r="AX125" s="235"/>
      <c r="AY125" s="235"/>
      <c r="AZ125" s="235"/>
      <c r="BA125" s="235"/>
      <c r="BB125" s="235"/>
      <c r="BC125" s="235"/>
      <c r="BD125" s="235"/>
      <c r="BE125" s="235"/>
      <c r="BF125" s="235"/>
      <c r="BG125" s="235"/>
      <c r="BH125" s="235"/>
      <c r="BI125" s="235"/>
      <c r="BJ125" s="235"/>
      <c r="BK125" s="235"/>
    </row>
    <row r="126" spans="1:63" s="133" customFormat="1" ht="12.75">
      <c r="A126" s="168">
        <v>38138</v>
      </c>
      <c r="B126" s="213" t="str">
        <f>Servicio_internaColumna_título_intereses</f>
        <v>Intereses</v>
      </c>
      <c r="C126" s="270">
        <v>0</v>
      </c>
      <c r="D126" s="271"/>
      <c r="E126" s="271"/>
      <c r="F126" s="271">
        <v>3199056.08</v>
      </c>
      <c r="G126" s="271">
        <v>6556157.5200000005</v>
      </c>
      <c r="H126" s="271">
        <v>4275399.4800000004</v>
      </c>
      <c r="I126" s="271">
        <v>5319043.84</v>
      </c>
      <c r="J126" s="271">
        <v>3621418.68</v>
      </c>
      <c r="K126" s="271">
        <v>4120079.04</v>
      </c>
      <c r="L126" s="271">
        <v>5662383.7599999998</v>
      </c>
      <c r="M126" s="271">
        <v>4305373.5999999996</v>
      </c>
      <c r="N126" s="271">
        <v>2967437.88</v>
      </c>
      <c r="O126" s="271">
        <v>2493301.7999999998</v>
      </c>
      <c r="P126" s="271">
        <v>3547845.84</v>
      </c>
      <c r="Q126" s="271">
        <v>1002770.56</v>
      </c>
      <c r="R126" s="271">
        <v>918298.04</v>
      </c>
      <c r="S126" s="274">
        <v>874699.32</v>
      </c>
      <c r="T126" s="271">
        <v>1177165.44</v>
      </c>
      <c r="U126" s="272">
        <v>482310.84</v>
      </c>
      <c r="V126" s="272">
        <v>408738</v>
      </c>
      <c r="W126" s="272">
        <v>378763.88</v>
      </c>
      <c r="X126" s="272">
        <v>3264454.16</v>
      </c>
      <c r="Y126" s="272">
        <v>305191.03999999998</v>
      </c>
      <c r="Z126" s="272">
        <v>152595.51999999999</v>
      </c>
      <c r="AA126" s="272">
        <v>114446.64</v>
      </c>
      <c r="AB126" s="272">
        <v>103546.96</v>
      </c>
      <c r="AC126" s="272">
        <v>89922.36</v>
      </c>
      <c r="AD126" s="236">
        <v>73572.84</v>
      </c>
      <c r="AE126" s="236">
        <v>624006.68000000005</v>
      </c>
      <c r="AF126" s="236">
        <v>70847.92</v>
      </c>
      <c r="AG126" s="236">
        <v>46323.64</v>
      </c>
      <c r="AH126" s="236">
        <v>46323.64</v>
      </c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/>
      <c r="BK126" s="236"/>
    </row>
    <row r="127" spans="1:63" s="133" customFormat="1" ht="12.75">
      <c r="A127" s="169"/>
      <c r="B127" s="307" t="str">
        <f>Servicio_internaColumna_título_total</f>
        <v>Total</v>
      </c>
      <c r="C127" s="310">
        <v>0</v>
      </c>
      <c r="D127" s="311">
        <f t="shared" ref="D127:AN127" si="35">+D125+D126</f>
        <v>0</v>
      </c>
      <c r="E127" s="311">
        <f t="shared" si="35"/>
        <v>0</v>
      </c>
      <c r="F127" s="311">
        <f t="shared" si="35"/>
        <v>4923294.7223604685</v>
      </c>
      <c r="G127" s="311">
        <f t="shared" si="35"/>
        <v>12120444.16</v>
      </c>
      <c r="H127" s="311">
        <f t="shared" si="35"/>
        <v>9741589</v>
      </c>
      <c r="I127" s="311">
        <f t="shared" si="35"/>
        <v>11962398.800000001</v>
      </c>
      <c r="J127" s="311">
        <f t="shared" si="35"/>
        <v>10910579.68</v>
      </c>
      <c r="K127" s="311">
        <f t="shared" si="35"/>
        <v>9131206.9199999999</v>
      </c>
      <c r="L127" s="311">
        <f t="shared" si="35"/>
        <v>9262003.0800000001</v>
      </c>
      <c r="M127" s="311">
        <f t="shared" si="35"/>
        <v>7400882.7199999997</v>
      </c>
      <c r="N127" s="311">
        <f t="shared" si="35"/>
        <v>6812300</v>
      </c>
      <c r="O127" s="311">
        <f t="shared" si="35"/>
        <v>5981199.4000000004</v>
      </c>
      <c r="P127" s="311">
        <f t="shared" si="35"/>
        <v>5368092.4000000004</v>
      </c>
      <c r="Q127" s="311">
        <f t="shared" si="35"/>
        <v>2294382.64</v>
      </c>
      <c r="R127" s="311">
        <f t="shared" si="35"/>
        <v>2365230.56</v>
      </c>
      <c r="S127" s="312">
        <f t="shared" si="35"/>
        <v>1495981.08</v>
      </c>
      <c r="T127" s="311">
        <f t="shared" si="35"/>
        <v>1686725.48</v>
      </c>
      <c r="U127" s="311">
        <f t="shared" si="35"/>
        <v>948272.16</v>
      </c>
      <c r="V127" s="311">
        <f t="shared" si="35"/>
        <v>3711341.04</v>
      </c>
      <c r="W127" s="311">
        <f t="shared" si="35"/>
        <v>700304.44</v>
      </c>
      <c r="X127" s="311">
        <f t="shared" si="35"/>
        <v>3430674.2800000003</v>
      </c>
      <c r="Y127" s="311">
        <f t="shared" si="35"/>
        <v>471411.16</v>
      </c>
      <c r="Z127" s="311">
        <f t="shared" si="35"/>
        <v>1599528.04</v>
      </c>
      <c r="AA127" s="311">
        <f t="shared" si="35"/>
        <v>179844.72</v>
      </c>
      <c r="AB127" s="311">
        <f t="shared" si="35"/>
        <v>149870.6</v>
      </c>
      <c r="AC127" s="311">
        <f t="shared" si="35"/>
        <v>692129.67999999993</v>
      </c>
      <c r="AD127" s="311">
        <f t="shared" si="35"/>
        <v>122621.4</v>
      </c>
      <c r="AE127" s="311">
        <f t="shared" si="35"/>
        <v>640356.20000000007</v>
      </c>
      <c r="AF127" s="311">
        <f t="shared" si="35"/>
        <v>76297.759999999995</v>
      </c>
      <c r="AG127" s="311">
        <f t="shared" si="35"/>
        <v>51773.479999999996</v>
      </c>
      <c r="AH127" s="311">
        <f t="shared" si="35"/>
        <v>51773.479999999996</v>
      </c>
      <c r="AI127" s="311">
        <f t="shared" si="35"/>
        <v>1735774.04</v>
      </c>
      <c r="AJ127" s="311">
        <f t="shared" si="35"/>
        <v>5449.84</v>
      </c>
      <c r="AK127" s="311">
        <f t="shared" si="35"/>
        <v>0</v>
      </c>
      <c r="AL127" s="311">
        <f t="shared" si="35"/>
        <v>0</v>
      </c>
      <c r="AM127" s="311">
        <f t="shared" si="35"/>
        <v>0</v>
      </c>
      <c r="AN127" s="311">
        <f t="shared" si="35"/>
        <v>0</v>
      </c>
      <c r="AO127" s="311"/>
      <c r="AP127" s="311"/>
      <c r="AQ127" s="311"/>
      <c r="AR127" s="311"/>
      <c r="AS127" s="311"/>
      <c r="AT127" s="311"/>
      <c r="AU127" s="311"/>
      <c r="AV127" s="311"/>
      <c r="AW127" s="311"/>
      <c r="AX127" s="311"/>
      <c r="AY127" s="311"/>
      <c r="AZ127" s="311"/>
      <c r="BA127" s="311"/>
      <c r="BB127" s="311"/>
      <c r="BC127" s="311"/>
      <c r="BD127" s="311"/>
      <c r="BE127" s="311"/>
      <c r="BF127" s="311"/>
      <c r="BG127" s="311"/>
      <c r="BH127" s="311"/>
      <c r="BI127" s="311"/>
      <c r="BJ127" s="311"/>
      <c r="BK127" s="311"/>
    </row>
    <row r="128" spans="1:63" s="80" customFormat="1" ht="12.75">
      <c r="A128" s="167"/>
      <c r="B128" s="210" t="str">
        <f>Servicio_internaColumna_título_amortizaciones</f>
        <v>Amortizaciones</v>
      </c>
      <c r="C128" s="269">
        <v>0</v>
      </c>
      <c r="D128" s="235"/>
      <c r="E128" s="235"/>
      <c r="F128" s="235">
        <v>1365987.48</v>
      </c>
      <c r="G128" s="235">
        <v>5504443.6200000001</v>
      </c>
      <c r="H128" s="235">
        <v>5418057.0599999996</v>
      </c>
      <c r="I128" s="235">
        <v>6581576.04</v>
      </c>
      <c r="J128" s="235">
        <v>7229475.2400000002</v>
      </c>
      <c r="K128" s="235">
        <v>4969926.78</v>
      </c>
      <c r="L128" s="235">
        <v>3571544.34</v>
      </c>
      <c r="M128" s="235">
        <v>3204401.46</v>
      </c>
      <c r="N128" s="235">
        <v>3971082.18</v>
      </c>
      <c r="O128" s="235">
        <v>3412269.12</v>
      </c>
      <c r="P128" s="235">
        <v>1673739.6</v>
      </c>
      <c r="Q128" s="235">
        <v>1182416.04</v>
      </c>
      <c r="R128" s="235">
        <v>1433476.98</v>
      </c>
      <c r="S128" s="273">
        <v>618203.81999999995</v>
      </c>
      <c r="T128" s="235">
        <v>510220.62</v>
      </c>
      <c r="U128" s="235">
        <v>464327.76</v>
      </c>
      <c r="V128" s="235">
        <v>3274590.54</v>
      </c>
      <c r="W128" s="235">
        <v>321250.02</v>
      </c>
      <c r="X128" s="235">
        <v>167373.96</v>
      </c>
      <c r="Y128" s="235">
        <v>167373.96</v>
      </c>
      <c r="Z128" s="235">
        <v>1436176.56</v>
      </c>
      <c r="AA128" s="235">
        <v>67489.5</v>
      </c>
      <c r="AB128" s="235">
        <v>48592.44</v>
      </c>
      <c r="AC128" s="235">
        <v>596607.18000000005</v>
      </c>
      <c r="AD128" s="235">
        <v>51292.02</v>
      </c>
      <c r="AE128" s="235">
        <v>18897.060000000001</v>
      </c>
      <c r="AF128" s="235">
        <v>5399.16</v>
      </c>
      <c r="AG128" s="235">
        <v>5399.16</v>
      </c>
      <c r="AH128" s="235">
        <v>5399.16</v>
      </c>
      <c r="AI128" s="235">
        <v>1719632.46</v>
      </c>
      <c r="AJ128" s="235">
        <v>5399.16</v>
      </c>
      <c r="AK128" s="235">
        <v>0</v>
      </c>
      <c r="AL128" s="235">
        <v>0</v>
      </c>
      <c r="AM128" s="235">
        <v>0</v>
      </c>
      <c r="AN128" s="235">
        <v>0</v>
      </c>
      <c r="AO128" s="235"/>
      <c r="AP128" s="235"/>
      <c r="AQ128" s="235"/>
      <c r="AR128" s="235"/>
      <c r="AS128" s="235"/>
      <c r="AT128" s="235"/>
      <c r="AU128" s="235"/>
      <c r="AV128" s="235"/>
      <c r="AW128" s="235"/>
      <c r="AX128" s="235"/>
      <c r="AY128" s="235"/>
      <c r="AZ128" s="235"/>
      <c r="BA128" s="235"/>
      <c r="BB128" s="235"/>
      <c r="BC128" s="235"/>
      <c r="BD128" s="235"/>
      <c r="BE128" s="235"/>
      <c r="BF128" s="235"/>
      <c r="BG128" s="235"/>
      <c r="BH128" s="235"/>
      <c r="BI128" s="235"/>
      <c r="BJ128" s="235"/>
      <c r="BK128" s="235"/>
    </row>
    <row r="129" spans="1:63" s="133" customFormat="1" ht="12.75">
      <c r="A129" s="168">
        <v>38168</v>
      </c>
      <c r="B129" s="213" t="str">
        <f>Servicio_internaColumna_título_intereses</f>
        <v>Intereses</v>
      </c>
      <c r="C129" s="270">
        <v>0</v>
      </c>
      <c r="D129" s="271"/>
      <c r="E129" s="271"/>
      <c r="F129" s="271">
        <v>3169306.92</v>
      </c>
      <c r="G129" s="271">
        <v>6495189.4799999995</v>
      </c>
      <c r="H129" s="271">
        <v>4235641.0199999996</v>
      </c>
      <c r="I129" s="271">
        <v>5269580.16</v>
      </c>
      <c r="J129" s="271">
        <v>3587741.82</v>
      </c>
      <c r="K129" s="271">
        <v>4081764.96</v>
      </c>
      <c r="L129" s="271">
        <v>5609727.2400000002</v>
      </c>
      <c r="M129" s="271">
        <v>4265336.4000000004</v>
      </c>
      <c r="N129" s="271">
        <v>2939842.62</v>
      </c>
      <c r="O129" s="271">
        <v>2470115.7000000002</v>
      </c>
      <c r="P129" s="271">
        <v>3514853.16</v>
      </c>
      <c r="Q129" s="271">
        <v>993445.44</v>
      </c>
      <c r="R129" s="271">
        <v>909758.46</v>
      </c>
      <c r="S129" s="274">
        <v>866565.18</v>
      </c>
      <c r="T129" s="271">
        <v>1166218.56</v>
      </c>
      <c r="U129" s="272">
        <v>477825.66</v>
      </c>
      <c r="V129" s="272">
        <v>404937</v>
      </c>
      <c r="W129" s="272">
        <v>375241.62</v>
      </c>
      <c r="X129" s="272">
        <v>3234096.84</v>
      </c>
      <c r="Y129" s="272">
        <v>302352.96000000002</v>
      </c>
      <c r="Z129" s="272">
        <v>151176.48000000001</v>
      </c>
      <c r="AA129" s="272">
        <v>113382.36</v>
      </c>
      <c r="AB129" s="272">
        <v>102584.04</v>
      </c>
      <c r="AC129" s="272">
        <v>89086.14</v>
      </c>
      <c r="AD129" s="236">
        <v>72888.66</v>
      </c>
      <c r="AE129" s="236">
        <v>618203.81999999995</v>
      </c>
      <c r="AF129" s="236">
        <v>70189.08</v>
      </c>
      <c r="AG129" s="236">
        <v>45892.86</v>
      </c>
      <c r="AH129" s="236">
        <v>45892.86</v>
      </c>
      <c r="AI129" s="236"/>
      <c r="AJ129" s="236"/>
      <c r="AK129" s="236"/>
      <c r="AL129" s="236"/>
      <c r="AM129" s="236"/>
      <c r="AN129" s="236"/>
      <c r="AO129" s="236"/>
      <c r="AP129" s="236"/>
      <c r="AQ129" s="236"/>
      <c r="AR129" s="236"/>
      <c r="AS129" s="236"/>
      <c r="AT129" s="236"/>
      <c r="AU129" s="236"/>
      <c r="AV129" s="236"/>
      <c r="AW129" s="236"/>
      <c r="AX129" s="236"/>
      <c r="AY129" s="236"/>
      <c r="AZ129" s="236"/>
      <c r="BA129" s="236"/>
      <c r="BB129" s="236"/>
      <c r="BC129" s="236"/>
      <c r="BD129" s="236"/>
      <c r="BE129" s="236"/>
      <c r="BF129" s="236"/>
      <c r="BG129" s="236"/>
      <c r="BH129" s="236"/>
      <c r="BI129" s="236"/>
      <c r="BJ129" s="236"/>
      <c r="BK129" s="236"/>
    </row>
    <row r="130" spans="1:63" s="133" customFormat="1" ht="12.75">
      <c r="A130" s="169"/>
      <c r="B130" s="307" t="str">
        <f>Servicio_internaColumna_título_total</f>
        <v>Total</v>
      </c>
      <c r="C130" s="310">
        <v>0</v>
      </c>
      <c r="D130" s="311">
        <f t="shared" ref="D130:AN130" si="36">+D128+D129</f>
        <v>0</v>
      </c>
      <c r="E130" s="311">
        <f t="shared" si="36"/>
        <v>0</v>
      </c>
      <c r="F130" s="311">
        <f t="shared" si="36"/>
        <v>4535294.4000000004</v>
      </c>
      <c r="G130" s="311">
        <f t="shared" si="36"/>
        <v>11999633.1</v>
      </c>
      <c r="H130" s="311">
        <f t="shared" si="36"/>
        <v>9653698.0799999982</v>
      </c>
      <c r="I130" s="311">
        <f t="shared" si="36"/>
        <v>11851156.199999999</v>
      </c>
      <c r="J130" s="311">
        <f t="shared" si="36"/>
        <v>10817217.060000001</v>
      </c>
      <c r="K130" s="311">
        <f t="shared" si="36"/>
        <v>9051691.7400000002</v>
      </c>
      <c r="L130" s="311">
        <f t="shared" si="36"/>
        <v>9181271.5800000001</v>
      </c>
      <c r="M130" s="311">
        <f t="shared" si="36"/>
        <v>7469737.8600000003</v>
      </c>
      <c r="N130" s="311">
        <f t="shared" si="36"/>
        <v>6910924.8000000007</v>
      </c>
      <c r="O130" s="311">
        <f t="shared" si="36"/>
        <v>5882384.8200000003</v>
      </c>
      <c r="P130" s="311">
        <f t="shared" si="36"/>
        <v>5188592.76</v>
      </c>
      <c r="Q130" s="311">
        <f t="shared" si="36"/>
        <v>2175861.48</v>
      </c>
      <c r="R130" s="311">
        <f t="shared" si="36"/>
        <v>2343235.44</v>
      </c>
      <c r="S130" s="312">
        <f t="shared" si="36"/>
        <v>1484769</v>
      </c>
      <c r="T130" s="311">
        <f t="shared" si="36"/>
        <v>1676439.1800000002</v>
      </c>
      <c r="U130" s="311">
        <f t="shared" si="36"/>
        <v>942153.41999999993</v>
      </c>
      <c r="V130" s="311">
        <f t="shared" si="36"/>
        <v>3679527.54</v>
      </c>
      <c r="W130" s="311">
        <f t="shared" si="36"/>
        <v>696491.64</v>
      </c>
      <c r="X130" s="311">
        <f t="shared" si="36"/>
        <v>3401470.8</v>
      </c>
      <c r="Y130" s="311">
        <f t="shared" si="36"/>
        <v>469726.92000000004</v>
      </c>
      <c r="Z130" s="311">
        <f t="shared" si="36"/>
        <v>1587353.04</v>
      </c>
      <c r="AA130" s="311">
        <f t="shared" si="36"/>
        <v>180871.86</v>
      </c>
      <c r="AB130" s="311">
        <f t="shared" si="36"/>
        <v>151176.47999999998</v>
      </c>
      <c r="AC130" s="311">
        <f t="shared" si="36"/>
        <v>685693.32000000007</v>
      </c>
      <c r="AD130" s="311">
        <f t="shared" si="36"/>
        <v>124180.68</v>
      </c>
      <c r="AE130" s="311">
        <f t="shared" si="36"/>
        <v>637100.88</v>
      </c>
      <c r="AF130" s="311">
        <f t="shared" si="36"/>
        <v>75588.240000000005</v>
      </c>
      <c r="AG130" s="311">
        <f t="shared" si="36"/>
        <v>51292.020000000004</v>
      </c>
      <c r="AH130" s="311">
        <f t="shared" si="36"/>
        <v>51292.020000000004</v>
      </c>
      <c r="AI130" s="311">
        <f t="shared" si="36"/>
        <v>1719632.46</v>
      </c>
      <c r="AJ130" s="311">
        <f t="shared" si="36"/>
        <v>5399.16</v>
      </c>
      <c r="AK130" s="311">
        <f t="shared" si="36"/>
        <v>0</v>
      </c>
      <c r="AL130" s="311">
        <f t="shared" si="36"/>
        <v>0</v>
      </c>
      <c r="AM130" s="311">
        <f t="shared" si="36"/>
        <v>0</v>
      </c>
      <c r="AN130" s="311">
        <f t="shared" si="36"/>
        <v>0</v>
      </c>
      <c r="AO130" s="311"/>
      <c r="AP130" s="311"/>
      <c r="AQ130" s="311"/>
      <c r="AR130" s="311"/>
      <c r="AS130" s="311"/>
      <c r="AT130" s="311"/>
      <c r="AU130" s="311"/>
      <c r="AV130" s="311"/>
      <c r="AW130" s="311"/>
      <c r="AX130" s="311"/>
      <c r="AY130" s="311"/>
      <c r="AZ130" s="311"/>
      <c r="BA130" s="311"/>
      <c r="BB130" s="311"/>
      <c r="BC130" s="311"/>
      <c r="BD130" s="311"/>
      <c r="BE130" s="311"/>
      <c r="BF130" s="311"/>
      <c r="BG130" s="311"/>
      <c r="BH130" s="311"/>
      <c r="BI130" s="311"/>
      <c r="BJ130" s="311"/>
      <c r="BK130" s="311"/>
    </row>
    <row r="131" spans="1:63" s="80" customFormat="1" ht="12.75">
      <c r="A131" s="167"/>
      <c r="B131" s="210" t="str">
        <f>Servicio_internaColumna_título_amortizaciones</f>
        <v>Amortizaciones</v>
      </c>
      <c r="C131" s="269">
        <v>0</v>
      </c>
      <c r="D131" s="235"/>
      <c r="E131" s="235"/>
      <c r="F131" s="235">
        <v>1105450.1000000001</v>
      </c>
      <c r="G131" s="235">
        <v>5307208.3</v>
      </c>
      <c r="H131" s="235">
        <v>5252197.75</v>
      </c>
      <c r="I131" s="235">
        <v>6391702</v>
      </c>
      <c r="J131" s="235">
        <v>7007296.2500000009</v>
      </c>
      <c r="K131" s="235">
        <v>4817352.45</v>
      </c>
      <c r="L131" s="235">
        <v>3531153.4</v>
      </c>
      <c r="M131" s="235">
        <v>3117264.5</v>
      </c>
      <c r="N131" s="235">
        <v>3845499.4</v>
      </c>
      <c r="O131" s="235">
        <v>3305872.1</v>
      </c>
      <c r="P131" s="235">
        <v>1616262.35</v>
      </c>
      <c r="Q131" s="235">
        <v>1147362.8999999999</v>
      </c>
      <c r="R131" s="235">
        <v>1385741.95</v>
      </c>
      <c r="S131" s="273">
        <v>594637.85</v>
      </c>
      <c r="T131" s="235">
        <v>492475.4</v>
      </c>
      <c r="U131" s="235">
        <v>447943.05</v>
      </c>
      <c r="V131" s="235">
        <v>3172275.05</v>
      </c>
      <c r="W131" s="235">
        <v>309106.90000000002</v>
      </c>
      <c r="X131" s="235">
        <v>159792.54999999999</v>
      </c>
      <c r="Y131" s="235">
        <v>159792.54999999999</v>
      </c>
      <c r="Z131" s="235">
        <v>1388361.5</v>
      </c>
      <c r="AA131" s="235">
        <v>65488.75</v>
      </c>
      <c r="AB131" s="235">
        <v>47151.9</v>
      </c>
      <c r="AC131" s="235">
        <v>578920.55000000005</v>
      </c>
      <c r="AD131" s="235">
        <v>49771.45</v>
      </c>
      <c r="AE131" s="235">
        <v>18336.849999999999</v>
      </c>
      <c r="AF131" s="235">
        <v>5239.1000000000004</v>
      </c>
      <c r="AG131" s="235">
        <v>5239.1000000000004</v>
      </c>
      <c r="AH131" s="235">
        <v>5239.1000000000004</v>
      </c>
      <c r="AI131" s="235">
        <v>1668653.35</v>
      </c>
      <c r="AJ131" s="235">
        <v>5239.1000000000004</v>
      </c>
      <c r="AK131" s="235">
        <v>0</v>
      </c>
      <c r="AL131" s="235">
        <v>0</v>
      </c>
      <c r="AM131" s="235">
        <v>0</v>
      </c>
      <c r="AN131" s="235">
        <v>0</v>
      </c>
      <c r="AO131" s="235"/>
      <c r="AP131" s="235"/>
      <c r="AQ131" s="235"/>
      <c r="AR131" s="235"/>
      <c r="AS131" s="235"/>
      <c r="AT131" s="235"/>
      <c r="AU131" s="235"/>
      <c r="AV131" s="235"/>
      <c r="AW131" s="235"/>
      <c r="AX131" s="235"/>
      <c r="AY131" s="235"/>
      <c r="AZ131" s="235"/>
      <c r="BA131" s="235"/>
      <c r="BB131" s="235"/>
      <c r="BC131" s="235"/>
      <c r="BD131" s="235"/>
      <c r="BE131" s="235"/>
      <c r="BF131" s="235"/>
      <c r="BG131" s="235"/>
      <c r="BH131" s="235"/>
      <c r="BI131" s="235"/>
      <c r="BJ131" s="235"/>
      <c r="BK131" s="235"/>
    </row>
    <row r="132" spans="1:63" s="133" customFormat="1" ht="12.75">
      <c r="A132" s="168">
        <v>38199</v>
      </c>
      <c r="B132" s="213" t="str">
        <f>Servicio_internaColumna_título_intereses</f>
        <v>Intereses</v>
      </c>
      <c r="C132" s="270">
        <v>0</v>
      </c>
      <c r="D132" s="271"/>
      <c r="E132" s="271"/>
      <c r="F132" s="271">
        <v>3075351.7</v>
      </c>
      <c r="G132" s="271">
        <v>6302637.3000000007</v>
      </c>
      <c r="H132" s="271">
        <v>4110073.95</v>
      </c>
      <c r="I132" s="271">
        <v>5113361.5999999996</v>
      </c>
      <c r="J132" s="271">
        <v>3481381.95</v>
      </c>
      <c r="K132" s="271">
        <v>3960759.6</v>
      </c>
      <c r="L132" s="271">
        <v>5443424.9000000004</v>
      </c>
      <c r="M132" s="271">
        <v>4138889</v>
      </c>
      <c r="N132" s="271">
        <v>2852689.95</v>
      </c>
      <c r="O132" s="271">
        <v>2396888.25</v>
      </c>
      <c r="P132" s="271">
        <v>3410654.1</v>
      </c>
      <c r="Q132" s="271">
        <v>963994.4</v>
      </c>
      <c r="R132" s="271">
        <v>882788.35</v>
      </c>
      <c r="S132" s="274">
        <v>840875.55</v>
      </c>
      <c r="T132" s="271">
        <v>1131645.6000000001</v>
      </c>
      <c r="U132" s="272">
        <v>463660.35</v>
      </c>
      <c r="V132" s="272">
        <v>392932.5</v>
      </c>
      <c r="W132" s="272">
        <v>364117.45</v>
      </c>
      <c r="X132" s="272">
        <v>3138220.9</v>
      </c>
      <c r="Y132" s="272">
        <v>293389.59999999998</v>
      </c>
      <c r="Z132" s="272">
        <v>146694.79999999999</v>
      </c>
      <c r="AA132" s="272">
        <v>110021.1</v>
      </c>
      <c r="AB132" s="272">
        <v>99542.9</v>
      </c>
      <c r="AC132" s="272">
        <v>86445.15</v>
      </c>
      <c r="AD132" s="236">
        <v>70727.850000000006</v>
      </c>
      <c r="AE132" s="236">
        <v>599876.94999999995</v>
      </c>
      <c r="AF132" s="236">
        <v>68108.3</v>
      </c>
      <c r="AG132" s="236">
        <v>44532.35</v>
      </c>
      <c r="AH132" s="236">
        <v>44532.35</v>
      </c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6"/>
      <c r="BF132" s="236"/>
      <c r="BG132" s="236"/>
      <c r="BH132" s="236"/>
      <c r="BI132" s="236"/>
      <c r="BJ132" s="236"/>
      <c r="BK132" s="236"/>
    </row>
    <row r="133" spans="1:63" s="133" customFormat="1" ht="12.75">
      <c r="A133" s="169"/>
      <c r="B133" s="307" t="str">
        <f>Servicio_internaColumna_título_total</f>
        <v>Total</v>
      </c>
      <c r="C133" s="310">
        <v>0</v>
      </c>
      <c r="D133" s="311">
        <f t="shared" ref="D133:AN133" si="37">+D131+D132</f>
        <v>0</v>
      </c>
      <c r="E133" s="311">
        <f t="shared" si="37"/>
        <v>0</v>
      </c>
      <c r="F133" s="311">
        <f t="shared" si="37"/>
        <v>4180801.8000000003</v>
      </c>
      <c r="G133" s="311">
        <f t="shared" si="37"/>
        <v>11609845.600000001</v>
      </c>
      <c r="H133" s="311">
        <f t="shared" si="37"/>
        <v>9362271.6999999993</v>
      </c>
      <c r="I133" s="311">
        <f t="shared" si="37"/>
        <v>11505063.6</v>
      </c>
      <c r="J133" s="311">
        <f t="shared" si="37"/>
        <v>10488678.200000001</v>
      </c>
      <c r="K133" s="311">
        <f t="shared" si="37"/>
        <v>8778112.0500000007</v>
      </c>
      <c r="L133" s="311">
        <f t="shared" si="37"/>
        <v>8974578.3000000007</v>
      </c>
      <c r="M133" s="311">
        <f t="shared" si="37"/>
        <v>7256153.5</v>
      </c>
      <c r="N133" s="311">
        <f t="shared" si="37"/>
        <v>6698189.3499999996</v>
      </c>
      <c r="O133" s="311">
        <f t="shared" si="37"/>
        <v>5702760.3499999996</v>
      </c>
      <c r="P133" s="311">
        <f t="shared" si="37"/>
        <v>5026916.45</v>
      </c>
      <c r="Q133" s="311">
        <f t="shared" si="37"/>
        <v>2111357.2999999998</v>
      </c>
      <c r="R133" s="311">
        <f t="shared" si="37"/>
        <v>2268530.2999999998</v>
      </c>
      <c r="S133" s="312">
        <f t="shared" si="37"/>
        <v>1435513.4</v>
      </c>
      <c r="T133" s="311">
        <f t="shared" si="37"/>
        <v>1624121</v>
      </c>
      <c r="U133" s="311">
        <f t="shared" si="37"/>
        <v>911603.39999999991</v>
      </c>
      <c r="V133" s="311">
        <f t="shared" si="37"/>
        <v>3565207.55</v>
      </c>
      <c r="W133" s="311">
        <f t="shared" si="37"/>
        <v>673224.35000000009</v>
      </c>
      <c r="X133" s="311">
        <f t="shared" si="37"/>
        <v>3298013.4499999997</v>
      </c>
      <c r="Y133" s="311">
        <f t="shared" si="37"/>
        <v>453182.14999999997</v>
      </c>
      <c r="Z133" s="311">
        <f t="shared" si="37"/>
        <v>1535056.3</v>
      </c>
      <c r="AA133" s="311">
        <f t="shared" si="37"/>
        <v>175509.85</v>
      </c>
      <c r="AB133" s="311">
        <f t="shared" si="37"/>
        <v>146694.79999999999</v>
      </c>
      <c r="AC133" s="311">
        <f t="shared" si="37"/>
        <v>665365.70000000007</v>
      </c>
      <c r="AD133" s="311">
        <f t="shared" si="37"/>
        <v>120499.3</v>
      </c>
      <c r="AE133" s="311">
        <f t="shared" si="37"/>
        <v>618213.79999999993</v>
      </c>
      <c r="AF133" s="311">
        <f t="shared" si="37"/>
        <v>73347.400000000009</v>
      </c>
      <c r="AG133" s="311">
        <f t="shared" si="37"/>
        <v>49771.45</v>
      </c>
      <c r="AH133" s="311">
        <f t="shared" si="37"/>
        <v>49771.45</v>
      </c>
      <c r="AI133" s="311">
        <f t="shared" si="37"/>
        <v>1668653.35</v>
      </c>
      <c r="AJ133" s="311">
        <f t="shared" si="37"/>
        <v>5239.1000000000004</v>
      </c>
      <c r="AK133" s="311">
        <f t="shared" si="37"/>
        <v>0</v>
      </c>
      <c r="AL133" s="311">
        <f t="shared" si="37"/>
        <v>0</v>
      </c>
      <c r="AM133" s="311">
        <f t="shared" si="37"/>
        <v>0</v>
      </c>
      <c r="AN133" s="311">
        <f t="shared" si="37"/>
        <v>0</v>
      </c>
      <c r="AO133" s="311"/>
      <c r="AP133" s="311"/>
      <c r="AQ133" s="311"/>
      <c r="AR133" s="311"/>
      <c r="AS133" s="311"/>
      <c r="AT133" s="311"/>
      <c r="AU133" s="311"/>
      <c r="AV133" s="311"/>
      <c r="AW133" s="311"/>
      <c r="AX133" s="311"/>
      <c r="AY133" s="311"/>
      <c r="AZ133" s="311"/>
      <c r="BA133" s="311"/>
      <c r="BB133" s="311"/>
      <c r="BC133" s="311"/>
      <c r="BD133" s="311"/>
      <c r="BE133" s="311"/>
      <c r="BF133" s="311"/>
      <c r="BG133" s="311"/>
      <c r="BH133" s="311"/>
      <c r="BI133" s="311"/>
      <c r="BJ133" s="311"/>
      <c r="BK133" s="311"/>
    </row>
    <row r="134" spans="1:63" s="80" customFormat="1" ht="12.75">
      <c r="A134" s="167"/>
      <c r="B134" s="210" t="str">
        <f>Servicio_internaColumna_título_amortizaciones</f>
        <v>Amortizaciones</v>
      </c>
      <c r="C134" s="269">
        <v>0</v>
      </c>
      <c r="D134" s="235"/>
      <c r="E134" s="235"/>
      <c r="F134" s="235">
        <v>1025810.5710209574</v>
      </c>
      <c r="G134" s="235">
        <v>5156123.7357035317</v>
      </c>
      <c r="H134" s="235">
        <v>5117661.0906989649</v>
      </c>
      <c r="I134" s="235">
        <v>6223057.3446550071</v>
      </c>
      <c r="J134" s="235">
        <v>6800053.5474205799</v>
      </c>
      <c r="K134" s="235">
        <v>4694060.9077342879</v>
      </c>
      <c r="L134" s="235">
        <v>3442636.8901509685</v>
      </c>
      <c r="M134" s="235">
        <v>3027594.3805265604</v>
      </c>
      <c r="N134" s="235">
        <v>3749414.4528113673</v>
      </c>
      <c r="O134" s="235">
        <v>3219841.7229831899</v>
      </c>
      <c r="P134" s="235">
        <v>1576957.2081026691</v>
      </c>
      <c r="Q134" s="235">
        <v>1113594.569530562</v>
      </c>
      <c r="R134" s="235">
        <v>1350592.2969759547</v>
      </c>
      <c r="S134" s="273">
        <v>579413.72343691054</v>
      </c>
      <c r="T134" s="235">
        <v>478939.61790938687</v>
      </c>
      <c r="U134" s="235">
        <v>436142.19439696282</v>
      </c>
      <c r="V134" s="235">
        <v>3090869.3344957032</v>
      </c>
      <c r="W134" s="235">
        <v>300613.86876331305</v>
      </c>
      <c r="X134" s="235">
        <v>157473.99004142047</v>
      </c>
      <c r="Y134" s="235">
        <v>156161.17788707797</v>
      </c>
      <c r="Z134" s="235">
        <v>1353942.4464732802</v>
      </c>
      <c r="AA134" s="235">
        <v>65226.909314576791</v>
      </c>
      <c r="AB134" s="235">
        <v>48014.656745691296</v>
      </c>
      <c r="AC134" s="235">
        <v>566398.67940854165</v>
      </c>
      <c r="AD134" s="235">
        <v>51972.610474560999</v>
      </c>
      <c r="AE134" s="235">
        <v>19139.440137222999</v>
      </c>
      <c r="AF134" s="235">
        <v>7404.3010416857996</v>
      </c>
      <c r="AG134" s="235">
        <v>7404.3010416857996</v>
      </c>
      <c r="AH134" s="235">
        <v>5933.5581514019996</v>
      </c>
      <c r="AI134" s="235">
        <v>1626091.6081514021</v>
      </c>
      <c r="AJ134" s="235">
        <v>5102.8599999999997</v>
      </c>
      <c r="AK134" s="235">
        <v>0</v>
      </c>
      <c r="AL134" s="235">
        <v>0</v>
      </c>
      <c r="AM134" s="235">
        <v>0</v>
      </c>
      <c r="AN134" s="235">
        <v>0</v>
      </c>
      <c r="AO134" s="235"/>
      <c r="AP134" s="235"/>
      <c r="AQ134" s="235"/>
      <c r="AR134" s="235"/>
      <c r="AS134" s="235"/>
      <c r="AT134" s="235"/>
      <c r="AU134" s="235"/>
      <c r="AV134" s="235"/>
      <c r="AW134" s="235"/>
      <c r="AX134" s="235"/>
      <c r="AY134" s="235"/>
      <c r="AZ134" s="235"/>
      <c r="BA134" s="235"/>
      <c r="BB134" s="235"/>
      <c r="BC134" s="235"/>
      <c r="BD134" s="235"/>
      <c r="BE134" s="235"/>
      <c r="BF134" s="235"/>
      <c r="BG134" s="235"/>
      <c r="BH134" s="235"/>
      <c r="BI134" s="235"/>
      <c r="BJ134" s="235"/>
      <c r="BK134" s="235"/>
    </row>
    <row r="135" spans="1:63" s="133" customFormat="1" ht="12.75">
      <c r="A135" s="168">
        <v>38230</v>
      </c>
      <c r="B135" s="213" t="str">
        <f>Servicio_internaColumna_título_intereses</f>
        <v>Intereses</v>
      </c>
      <c r="C135" s="270">
        <v>0</v>
      </c>
      <c r="D135" s="271"/>
      <c r="E135" s="271"/>
      <c r="F135" s="271">
        <v>2995378.82</v>
      </c>
      <c r="G135" s="271">
        <v>6138740.5799999991</v>
      </c>
      <c r="H135" s="271">
        <v>4003193.67</v>
      </c>
      <c r="I135" s="271">
        <v>4980391.3600000003</v>
      </c>
      <c r="J135" s="271">
        <v>3390850.47</v>
      </c>
      <c r="K135" s="271">
        <v>3857762.16</v>
      </c>
      <c r="L135" s="271">
        <v>5301871.54</v>
      </c>
      <c r="M135" s="271">
        <v>4031259.4</v>
      </c>
      <c r="N135" s="271">
        <v>2778507.27</v>
      </c>
      <c r="O135" s="271">
        <v>2334558.4500000002</v>
      </c>
      <c r="P135" s="271">
        <v>3321961.86</v>
      </c>
      <c r="Q135" s="271">
        <v>938926.24</v>
      </c>
      <c r="R135" s="271">
        <v>859831.91</v>
      </c>
      <c r="S135" s="274">
        <v>819009.03</v>
      </c>
      <c r="T135" s="271">
        <v>1102217.76</v>
      </c>
      <c r="U135" s="272">
        <v>451603.11</v>
      </c>
      <c r="V135" s="272">
        <v>382714.5</v>
      </c>
      <c r="W135" s="272">
        <v>354648.77</v>
      </c>
      <c r="X135" s="272">
        <v>3056613.14</v>
      </c>
      <c r="Y135" s="272">
        <v>285760.15999999997</v>
      </c>
      <c r="Z135" s="272">
        <v>142880.07999999999</v>
      </c>
      <c r="AA135" s="272">
        <v>107160.06</v>
      </c>
      <c r="AB135" s="272">
        <v>96954.34</v>
      </c>
      <c r="AC135" s="272">
        <v>84197.19</v>
      </c>
      <c r="AD135" s="236">
        <v>68888.61</v>
      </c>
      <c r="AE135" s="236">
        <v>584277.47</v>
      </c>
      <c r="AF135" s="236">
        <v>66337.179999999993</v>
      </c>
      <c r="AG135" s="236">
        <v>43374.31</v>
      </c>
      <c r="AH135" s="236">
        <v>43374.31</v>
      </c>
      <c r="AI135" s="236"/>
      <c r="AJ135" s="236"/>
      <c r="AK135" s="236"/>
      <c r="AL135" s="236"/>
      <c r="AM135" s="236"/>
      <c r="AN135" s="236"/>
      <c r="AO135" s="236"/>
      <c r="AP135" s="236"/>
      <c r="AQ135" s="236"/>
      <c r="AR135" s="236"/>
      <c r="AS135" s="236"/>
      <c r="AT135" s="236"/>
      <c r="AU135" s="236"/>
      <c r="AV135" s="236"/>
      <c r="AW135" s="236"/>
      <c r="AX135" s="236"/>
      <c r="AY135" s="236"/>
      <c r="AZ135" s="236"/>
      <c r="BA135" s="236"/>
      <c r="BB135" s="236"/>
      <c r="BC135" s="236"/>
      <c r="BD135" s="236"/>
      <c r="BE135" s="236"/>
      <c r="BF135" s="236"/>
      <c r="BG135" s="236"/>
      <c r="BH135" s="236"/>
      <c r="BI135" s="236"/>
      <c r="BJ135" s="236"/>
      <c r="BK135" s="236"/>
    </row>
    <row r="136" spans="1:63" s="133" customFormat="1" ht="12.75">
      <c r="A136" s="169"/>
      <c r="B136" s="307" t="str">
        <f>Servicio_internaColumna_título_total</f>
        <v>Total</v>
      </c>
      <c r="C136" s="310">
        <v>0</v>
      </c>
      <c r="D136" s="311">
        <f t="shared" ref="D136:AN136" si="38">+D134+D135</f>
        <v>0</v>
      </c>
      <c r="E136" s="311">
        <f t="shared" si="38"/>
        <v>0</v>
      </c>
      <c r="F136" s="311">
        <f t="shared" si="38"/>
        <v>4021189.3910209574</v>
      </c>
      <c r="G136" s="311">
        <f t="shared" si="38"/>
        <v>11294864.31570353</v>
      </c>
      <c r="H136" s="311">
        <f t="shared" si="38"/>
        <v>9120854.7606989648</v>
      </c>
      <c r="I136" s="311">
        <f t="shared" si="38"/>
        <v>11203448.704655007</v>
      </c>
      <c r="J136" s="311">
        <f t="shared" si="38"/>
        <v>10190904.017420581</v>
      </c>
      <c r="K136" s="311">
        <f t="shared" si="38"/>
        <v>8551823.0677342881</v>
      </c>
      <c r="L136" s="311">
        <f t="shared" si="38"/>
        <v>8744508.430150969</v>
      </c>
      <c r="M136" s="311">
        <f t="shared" si="38"/>
        <v>7058853.7805265598</v>
      </c>
      <c r="N136" s="311">
        <f t="shared" si="38"/>
        <v>6527921.7228113674</v>
      </c>
      <c r="O136" s="311">
        <f t="shared" si="38"/>
        <v>5554400.17298319</v>
      </c>
      <c r="P136" s="311">
        <f t="shared" si="38"/>
        <v>4898919.068102669</v>
      </c>
      <c r="Q136" s="311">
        <f t="shared" si="38"/>
        <v>2052520.809530562</v>
      </c>
      <c r="R136" s="311">
        <f t="shared" si="38"/>
        <v>2210424.2069759546</v>
      </c>
      <c r="S136" s="312">
        <f t="shared" si="38"/>
        <v>1398422.7534369105</v>
      </c>
      <c r="T136" s="311">
        <f t="shared" si="38"/>
        <v>1581157.377909387</v>
      </c>
      <c r="U136" s="311">
        <f t="shared" si="38"/>
        <v>887745.30439696275</v>
      </c>
      <c r="V136" s="311">
        <f t="shared" si="38"/>
        <v>3473583.8344957032</v>
      </c>
      <c r="W136" s="311">
        <f t="shared" si="38"/>
        <v>655262.63876331307</v>
      </c>
      <c r="X136" s="311">
        <f t="shared" si="38"/>
        <v>3214087.1300414205</v>
      </c>
      <c r="Y136" s="311">
        <f t="shared" si="38"/>
        <v>441921.33788707794</v>
      </c>
      <c r="Z136" s="311">
        <f t="shared" si="38"/>
        <v>1496822.5264732803</v>
      </c>
      <c r="AA136" s="311">
        <f t="shared" si="38"/>
        <v>172386.9693145768</v>
      </c>
      <c r="AB136" s="311">
        <f t="shared" si="38"/>
        <v>144968.99674569129</v>
      </c>
      <c r="AC136" s="311">
        <f t="shared" si="38"/>
        <v>650595.86940854159</v>
      </c>
      <c r="AD136" s="311">
        <f t="shared" si="38"/>
        <v>120861.22047456101</v>
      </c>
      <c r="AE136" s="311">
        <f t="shared" si="38"/>
        <v>603416.91013722296</v>
      </c>
      <c r="AF136" s="311">
        <f t="shared" si="38"/>
        <v>73741.481041685794</v>
      </c>
      <c r="AG136" s="311">
        <f t="shared" si="38"/>
        <v>50778.611041685799</v>
      </c>
      <c r="AH136" s="311">
        <f t="shared" si="38"/>
        <v>49307.868151401999</v>
      </c>
      <c r="AI136" s="311">
        <f t="shared" si="38"/>
        <v>1626091.6081514021</v>
      </c>
      <c r="AJ136" s="311">
        <f t="shared" si="38"/>
        <v>5102.8599999999997</v>
      </c>
      <c r="AK136" s="311">
        <f t="shared" si="38"/>
        <v>0</v>
      </c>
      <c r="AL136" s="311">
        <f t="shared" si="38"/>
        <v>0</v>
      </c>
      <c r="AM136" s="311">
        <f t="shared" si="38"/>
        <v>0</v>
      </c>
      <c r="AN136" s="311">
        <f t="shared" si="38"/>
        <v>0</v>
      </c>
      <c r="AO136" s="311"/>
      <c r="AP136" s="311"/>
      <c r="AQ136" s="311"/>
      <c r="AR136" s="311"/>
      <c r="AS136" s="311"/>
      <c r="AT136" s="311"/>
      <c r="AU136" s="311"/>
      <c r="AV136" s="311"/>
      <c r="AW136" s="311"/>
      <c r="AX136" s="311"/>
      <c r="AY136" s="311"/>
      <c r="AZ136" s="311"/>
      <c r="BA136" s="311"/>
      <c r="BB136" s="311"/>
      <c r="BC136" s="311"/>
      <c r="BD136" s="311"/>
      <c r="BE136" s="311"/>
      <c r="BF136" s="311"/>
      <c r="BG136" s="311"/>
      <c r="BH136" s="311"/>
      <c r="BI136" s="311"/>
      <c r="BJ136" s="311"/>
      <c r="BK136" s="311"/>
    </row>
    <row r="137" spans="1:63" s="80" customFormat="1" ht="12.75">
      <c r="A137" s="167"/>
      <c r="B137" s="210" t="str">
        <f>Servicio_internaColumna_título_amortizaciones</f>
        <v>Amortizaciones</v>
      </c>
      <c r="C137" s="269">
        <v>0</v>
      </c>
      <c r="D137" s="235"/>
      <c r="E137" s="235"/>
      <c r="F137" s="235">
        <v>769683.3135279062</v>
      </c>
      <c r="G137" s="235">
        <v>5135611.8792307889</v>
      </c>
      <c r="H137" s="235">
        <v>5082361.751313962</v>
      </c>
      <c r="I137" s="235">
        <v>6207922.2018897459</v>
      </c>
      <c r="J137" s="235">
        <v>6824570.5718536628</v>
      </c>
      <c r="K137" s="235">
        <v>4678097.6167313252</v>
      </c>
      <c r="L137" s="235">
        <v>3402645.642637731</v>
      </c>
      <c r="M137" s="235">
        <v>3005754.6832747781</v>
      </c>
      <c r="N137" s="235">
        <v>3849438.0240450101</v>
      </c>
      <c r="O137" s="235">
        <v>3299080.7257297998</v>
      </c>
      <c r="P137" s="235">
        <v>1763351.1048442472</v>
      </c>
      <c r="Q137" s="235">
        <v>1437583.6958493479</v>
      </c>
      <c r="R137" s="235">
        <v>1524545.0318859254</v>
      </c>
      <c r="S137" s="273">
        <v>675599.44522372365</v>
      </c>
      <c r="T137" s="235">
        <v>470270.25553122372</v>
      </c>
      <c r="U137" s="235">
        <v>428168.23454369564</v>
      </c>
      <c r="V137" s="235">
        <v>3129378.7223516507</v>
      </c>
      <c r="W137" s="235">
        <v>303328.13685815863</v>
      </c>
      <c r="X137" s="235">
        <v>157786.76129834933</v>
      </c>
      <c r="Y137" s="235">
        <v>156524.24512805443</v>
      </c>
      <c r="Z137" s="235">
        <v>1374604.4501354797</v>
      </c>
      <c r="AA137" s="235">
        <v>66374.912012958637</v>
      </c>
      <c r="AB137" s="235">
        <v>48867.584161834129</v>
      </c>
      <c r="AC137" s="235">
        <v>575736.18252903165</v>
      </c>
      <c r="AD137" s="235">
        <v>52348.404687578426</v>
      </c>
      <c r="AE137" s="235">
        <v>19497.35025935643</v>
      </c>
      <c r="AF137" s="235">
        <v>7531.2353870746283</v>
      </c>
      <c r="AG137" s="235">
        <v>7531.2353870746283</v>
      </c>
      <c r="AH137" s="235">
        <v>6035.2790818379999</v>
      </c>
      <c r="AI137" s="235">
        <v>1653968.2290818382</v>
      </c>
      <c r="AJ137" s="235">
        <v>6035.2790818379999</v>
      </c>
      <c r="AK137" s="235">
        <v>0</v>
      </c>
      <c r="AL137" s="235">
        <v>0</v>
      </c>
      <c r="AM137" s="235">
        <v>0</v>
      </c>
      <c r="AN137" s="235">
        <v>0</v>
      </c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5"/>
      <c r="BB137" s="235"/>
      <c r="BC137" s="235"/>
      <c r="BD137" s="235"/>
      <c r="BE137" s="235"/>
      <c r="BF137" s="235"/>
      <c r="BG137" s="235"/>
      <c r="BH137" s="235"/>
      <c r="BI137" s="235"/>
      <c r="BJ137" s="235"/>
      <c r="BK137" s="235"/>
    </row>
    <row r="138" spans="1:63" s="133" customFormat="1" ht="12.75">
      <c r="A138" s="168">
        <v>38260</v>
      </c>
      <c r="B138" s="213" t="str">
        <f>Servicio_internaColumna_título_intereses</f>
        <v>Intereses</v>
      </c>
      <c r="C138" s="270">
        <v>0</v>
      </c>
      <c r="D138" s="271"/>
      <c r="E138" s="271"/>
      <c r="F138" s="271">
        <v>3046729.58</v>
      </c>
      <c r="G138" s="271">
        <v>6243979.0200000005</v>
      </c>
      <c r="H138" s="271">
        <v>4071821.73</v>
      </c>
      <c r="I138" s="271">
        <v>5065771.84</v>
      </c>
      <c r="J138" s="271">
        <v>3448980.93</v>
      </c>
      <c r="K138" s="271">
        <v>3923897.04</v>
      </c>
      <c r="L138" s="271">
        <v>5392763.2599999998</v>
      </c>
      <c r="M138" s="271">
        <v>4100368.6</v>
      </c>
      <c r="N138" s="271">
        <v>2826140.13</v>
      </c>
      <c r="O138" s="271">
        <v>2374580.5499999998</v>
      </c>
      <c r="P138" s="271">
        <v>3378911.34</v>
      </c>
      <c r="Q138" s="271">
        <v>955022.56</v>
      </c>
      <c r="R138" s="271">
        <v>874572.29</v>
      </c>
      <c r="S138" s="274">
        <v>833049.57</v>
      </c>
      <c r="T138" s="271">
        <v>1121113.44</v>
      </c>
      <c r="U138" s="272">
        <v>459345.09</v>
      </c>
      <c r="V138" s="272">
        <v>389275.5</v>
      </c>
      <c r="W138" s="272">
        <v>360728.63</v>
      </c>
      <c r="X138" s="272">
        <v>3109013.66</v>
      </c>
      <c r="Y138" s="272">
        <v>290659.03999999998</v>
      </c>
      <c r="Z138" s="272">
        <v>145329.51999999999</v>
      </c>
      <c r="AA138" s="272">
        <v>108997.14</v>
      </c>
      <c r="AB138" s="272">
        <v>98616.46</v>
      </c>
      <c r="AC138" s="272">
        <v>85640.61</v>
      </c>
      <c r="AD138" s="236">
        <v>70069.59</v>
      </c>
      <c r="AE138" s="236">
        <v>594293.93000000005</v>
      </c>
      <c r="AF138" s="236">
        <v>67474.42</v>
      </c>
      <c r="AG138" s="236">
        <v>44117.89</v>
      </c>
      <c r="AH138" s="236">
        <v>44117.89</v>
      </c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/>
      <c r="BK138" s="236"/>
    </row>
    <row r="139" spans="1:63" s="133" customFormat="1" ht="12.75">
      <c r="A139" s="169"/>
      <c r="B139" s="307" t="str">
        <f>Servicio_internaColumna_título_total</f>
        <v>Total</v>
      </c>
      <c r="C139" s="310">
        <v>0</v>
      </c>
      <c r="D139" s="311">
        <f t="shared" ref="D139:AN139" si="39">+D137+D138</f>
        <v>0</v>
      </c>
      <c r="E139" s="311">
        <f t="shared" si="39"/>
        <v>0</v>
      </c>
      <c r="F139" s="311">
        <f t="shared" si="39"/>
        <v>3816412.8935279064</v>
      </c>
      <c r="G139" s="311">
        <f t="shared" si="39"/>
        <v>11379590.899230789</v>
      </c>
      <c r="H139" s="311">
        <f t="shared" si="39"/>
        <v>9154183.4813139625</v>
      </c>
      <c r="I139" s="311">
        <f t="shared" si="39"/>
        <v>11273694.041889746</v>
      </c>
      <c r="J139" s="311">
        <f t="shared" si="39"/>
        <v>10273551.501853663</v>
      </c>
      <c r="K139" s="311">
        <f t="shared" si="39"/>
        <v>8601994.6567313261</v>
      </c>
      <c r="L139" s="311">
        <f t="shared" si="39"/>
        <v>8795408.9026377313</v>
      </c>
      <c r="M139" s="311">
        <f t="shared" si="39"/>
        <v>7106123.2832747782</v>
      </c>
      <c r="N139" s="311">
        <f t="shared" si="39"/>
        <v>6675578.15404501</v>
      </c>
      <c r="O139" s="311">
        <f t="shared" si="39"/>
        <v>5673661.2757297996</v>
      </c>
      <c r="P139" s="311">
        <f t="shared" si="39"/>
        <v>5142262.4448442468</v>
      </c>
      <c r="Q139" s="311">
        <f t="shared" si="39"/>
        <v>2392606.2558493479</v>
      </c>
      <c r="R139" s="311">
        <f t="shared" si="39"/>
        <v>2399117.3218859257</v>
      </c>
      <c r="S139" s="312">
        <f t="shared" si="39"/>
        <v>1508649.0152237236</v>
      </c>
      <c r="T139" s="311">
        <f t="shared" si="39"/>
        <v>1591383.6955312237</v>
      </c>
      <c r="U139" s="311">
        <f t="shared" si="39"/>
        <v>887513.32454369566</v>
      </c>
      <c r="V139" s="311">
        <f t="shared" si="39"/>
        <v>3518654.2223516507</v>
      </c>
      <c r="W139" s="311">
        <f t="shared" si="39"/>
        <v>664056.76685815863</v>
      </c>
      <c r="X139" s="311">
        <f t="shared" si="39"/>
        <v>3266800.4212983493</v>
      </c>
      <c r="Y139" s="311">
        <f t="shared" si="39"/>
        <v>447183.28512805444</v>
      </c>
      <c r="Z139" s="311">
        <f t="shared" si="39"/>
        <v>1519933.9701354797</v>
      </c>
      <c r="AA139" s="311">
        <f t="shared" si="39"/>
        <v>175372.05201295862</v>
      </c>
      <c r="AB139" s="311">
        <f t="shared" si="39"/>
        <v>147484.04416183414</v>
      </c>
      <c r="AC139" s="311">
        <f t="shared" si="39"/>
        <v>661376.79252903163</v>
      </c>
      <c r="AD139" s="311">
        <f t="shared" si="39"/>
        <v>122417.99468757842</v>
      </c>
      <c r="AE139" s="311">
        <f t="shared" si="39"/>
        <v>613791.28025935648</v>
      </c>
      <c r="AF139" s="311">
        <f t="shared" si="39"/>
        <v>75005.655387074628</v>
      </c>
      <c r="AG139" s="311">
        <f t="shared" si="39"/>
        <v>51649.12538707463</v>
      </c>
      <c r="AH139" s="311">
        <f t="shared" si="39"/>
        <v>50153.169081838001</v>
      </c>
      <c r="AI139" s="311">
        <f t="shared" si="39"/>
        <v>1653968.2290818382</v>
      </c>
      <c r="AJ139" s="311">
        <f t="shared" si="39"/>
        <v>6035.2790818379999</v>
      </c>
      <c r="AK139" s="311">
        <f t="shared" si="39"/>
        <v>0</v>
      </c>
      <c r="AL139" s="311">
        <f t="shared" si="39"/>
        <v>0</v>
      </c>
      <c r="AM139" s="311">
        <f t="shared" si="39"/>
        <v>0</v>
      </c>
      <c r="AN139" s="311">
        <f t="shared" si="39"/>
        <v>0</v>
      </c>
      <c r="AO139" s="311"/>
      <c r="AP139" s="311"/>
      <c r="AQ139" s="311"/>
      <c r="AR139" s="311"/>
      <c r="AS139" s="311"/>
      <c r="AT139" s="311"/>
      <c r="AU139" s="311"/>
      <c r="AV139" s="311"/>
      <c r="AW139" s="311"/>
      <c r="AX139" s="311"/>
      <c r="AY139" s="311"/>
      <c r="AZ139" s="311"/>
      <c r="BA139" s="311"/>
      <c r="BB139" s="311"/>
      <c r="BC139" s="311"/>
      <c r="BD139" s="311"/>
      <c r="BE139" s="311"/>
      <c r="BF139" s="311"/>
      <c r="BG139" s="311"/>
      <c r="BH139" s="311"/>
      <c r="BI139" s="311"/>
      <c r="BJ139" s="311"/>
      <c r="BK139" s="311"/>
    </row>
    <row r="140" spans="1:63" s="80" customFormat="1" ht="12.75">
      <c r="A140" s="167"/>
      <c r="B140" s="210" t="str">
        <f>Servicio_internaColumna_título_amortizaciones</f>
        <v>Amortizaciones</v>
      </c>
      <c r="C140" s="269">
        <v>0</v>
      </c>
      <c r="D140" s="235"/>
      <c r="E140" s="235"/>
      <c r="F140" s="235">
        <v>408582.94654682401</v>
      </c>
      <c r="G140" s="235">
        <v>5286682.9904327318</v>
      </c>
      <c r="H140" s="235">
        <v>5180828.3670572946</v>
      </c>
      <c r="I140" s="235">
        <v>6301607.1339156181</v>
      </c>
      <c r="J140" s="235">
        <v>7054730.0336751984</v>
      </c>
      <c r="K140" s="235">
        <v>4752920.592454385</v>
      </c>
      <c r="L140" s="235">
        <v>3483069.849820694</v>
      </c>
      <c r="M140" s="235">
        <v>3139839.6168232099</v>
      </c>
      <c r="N140" s="235">
        <v>3906808.9629737982</v>
      </c>
      <c r="O140" s="235">
        <v>3326394.7232729639</v>
      </c>
      <c r="P140" s="235">
        <v>3075624.4685273943</v>
      </c>
      <c r="Q140" s="235">
        <v>1465993.3561702517</v>
      </c>
      <c r="R140" s="235">
        <v>1536579.0902011341</v>
      </c>
      <c r="S140" s="273">
        <v>688679.09372077207</v>
      </c>
      <c r="T140" s="235">
        <v>486657.30706966802</v>
      </c>
      <c r="U140" s="235">
        <v>442907.75480362616</v>
      </c>
      <c r="V140" s="235">
        <v>3133393.4164005201</v>
      </c>
      <c r="W140" s="235">
        <v>305548.60486000206</v>
      </c>
      <c r="X140" s="235">
        <v>160339.38416266401</v>
      </c>
      <c r="Y140" s="235">
        <v>159045.74291723603</v>
      </c>
      <c r="Z140" s="235">
        <v>1372728.0038745983</v>
      </c>
      <c r="AA140" s="235">
        <v>65828.451463992009</v>
      </c>
      <c r="AB140" s="235">
        <v>48384.334755862001</v>
      </c>
      <c r="AC140" s="235">
        <v>573751.44488688605</v>
      </c>
      <c r="AD140" s="235">
        <v>52395.605593044005</v>
      </c>
      <c r="AE140" s="235">
        <v>19120.143652764</v>
      </c>
      <c r="AF140" s="235">
        <v>7197.2330778320011</v>
      </c>
      <c r="AG140" s="235">
        <v>7197.2330778320011</v>
      </c>
      <c r="AH140" s="235">
        <v>6202.6946282280005</v>
      </c>
      <c r="AI140" s="235">
        <v>1648185.6946282282</v>
      </c>
      <c r="AJ140" s="235">
        <v>6202.6946282280005</v>
      </c>
      <c r="AK140" s="235">
        <v>0</v>
      </c>
      <c r="AL140" s="235">
        <v>0</v>
      </c>
      <c r="AM140" s="235">
        <v>0</v>
      </c>
      <c r="AN140" s="235">
        <v>0</v>
      </c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</row>
    <row r="141" spans="1:63" s="133" customFormat="1" ht="12.75">
      <c r="A141" s="168">
        <v>38291</v>
      </c>
      <c r="B141" s="213" t="str">
        <f>Servicio_internaColumna_título_intereses</f>
        <v>Intereses</v>
      </c>
      <c r="C141" s="270">
        <v>0</v>
      </c>
      <c r="D141" s="271"/>
      <c r="E141" s="271"/>
      <c r="F141" s="271">
        <v>3035729.2</v>
      </c>
      <c r="G141" s="271">
        <v>6221434.8000000007</v>
      </c>
      <c r="H141" s="271">
        <v>4057120.2</v>
      </c>
      <c r="I141" s="271">
        <v>5047481.5999999996</v>
      </c>
      <c r="J141" s="271">
        <v>3436528.2</v>
      </c>
      <c r="K141" s="271">
        <v>3909729.6</v>
      </c>
      <c r="L141" s="271">
        <v>5373292.4000000004</v>
      </c>
      <c r="M141" s="271">
        <v>4085564</v>
      </c>
      <c r="N141" s="271">
        <v>2815936.2</v>
      </c>
      <c r="O141" s="271">
        <v>2366007</v>
      </c>
      <c r="P141" s="271">
        <v>3366711.6</v>
      </c>
      <c r="Q141" s="271">
        <v>951574.4</v>
      </c>
      <c r="R141" s="271">
        <v>871414.6</v>
      </c>
      <c r="S141" s="274">
        <v>830041.8</v>
      </c>
      <c r="T141" s="271">
        <v>1117065.6000000001</v>
      </c>
      <c r="U141" s="272">
        <v>457686.6</v>
      </c>
      <c r="V141" s="272">
        <v>387870</v>
      </c>
      <c r="W141" s="272">
        <v>359426.2</v>
      </c>
      <c r="X141" s="272">
        <v>3097788.4</v>
      </c>
      <c r="Y141" s="272">
        <v>289609.59999999998</v>
      </c>
      <c r="Z141" s="272">
        <v>144804.79999999999</v>
      </c>
      <c r="AA141" s="272">
        <v>108603.6</v>
      </c>
      <c r="AB141" s="272">
        <v>98260.4</v>
      </c>
      <c r="AC141" s="272">
        <v>85331.4</v>
      </c>
      <c r="AD141" s="236">
        <v>69816.600000000006</v>
      </c>
      <c r="AE141" s="236">
        <v>592148.19999999995</v>
      </c>
      <c r="AF141" s="236">
        <v>67230.8</v>
      </c>
      <c r="AG141" s="236">
        <v>43958.6</v>
      </c>
      <c r="AH141" s="236">
        <v>43958.6</v>
      </c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/>
      <c r="BK141" s="236"/>
    </row>
    <row r="142" spans="1:63" s="133" customFormat="1" ht="12.75">
      <c r="A142" s="169"/>
      <c r="B142" s="307" t="str">
        <f>Servicio_internaColumna_título_total</f>
        <v>Total</v>
      </c>
      <c r="C142" s="310">
        <v>0</v>
      </c>
      <c r="D142" s="311">
        <f t="shared" ref="D142:AN142" si="40">+D140+D141</f>
        <v>0</v>
      </c>
      <c r="E142" s="311">
        <f t="shared" si="40"/>
        <v>0</v>
      </c>
      <c r="F142" s="311">
        <f t="shared" si="40"/>
        <v>3444312.1465468244</v>
      </c>
      <c r="G142" s="311">
        <f t="shared" si="40"/>
        <v>11508117.790432733</v>
      </c>
      <c r="H142" s="311">
        <f t="shared" si="40"/>
        <v>9237948.5670572948</v>
      </c>
      <c r="I142" s="311">
        <f t="shared" si="40"/>
        <v>11349088.733915618</v>
      </c>
      <c r="J142" s="311">
        <f t="shared" si="40"/>
        <v>10491258.233675199</v>
      </c>
      <c r="K142" s="311">
        <f t="shared" si="40"/>
        <v>8662650.1924543846</v>
      </c>
      <c r="L142" s="311">
        <f t="shared" si="40"/>
        <v>8856362.2498206943</v>
      </c>
      <c r="M142" s="311">
        <f t="shared" si="40"/>
        <v>7225403.6168232094</v>
      </c>
      <c r="N142" s="311">
        <f t="shared" si="40"/>
        <v>6722745.1629737988</v>
      </c>
      <c r="O142" s="311">
        <f t="shared" si="40"/>
        <v>5692401.7232729644</v>
      </c>
      <c r="P142" s="311">
        <f t="shared" si="40"/>
        <v>6442336.0685273949</v>
      </c>
      <c r="Q142" s="311">
        <f t="shared" si="40"/>
        <v>2417567.7561702519</v>
      </c>
      <c r="R142" s="311">
        <f t="shared" si="40"/>
        <v>2407993.690201134</v>
      </c>
      <c r="S142" s="312">
        <f t="shared" si="40"/>
        <v>1518720.8937207721</v>
      </c>
      <c r="T142" s="311">
        <f t="shared" si="40"/>
        <v>1603722.9070696682</v>
      </c>
      <c r="U142" s="311">
        <f t="shared" si="40"/>
        <v>900594.35480362619</v>
      </c>
      <c r="V142" s="311">
        <f t="shared" si="40"/>
        <v>3521263.4164005201</v>
      </c>
      <c r="W142" s="311">
        <f t="shared" si="40"/>
        <v>664974.80486000213</v>
      </c>
      <c r="X142" s="311">
        <f t="shared" si="40"/>
        <v>3258127.7841626639</v>
      </c>
      <c r="Y142" s="311">
        <f t="shared" si="40"/>
        <v>448655.34291723603</v>
      </c>
      <c r="Z142" s="311">
        <f t="shared" si="40"/>
        <v>1517532.8038745984</v>
      </c>
      <c r="AA142" s="311">
        <f t="shared" si="40"/>
        <v>174432.05146399201</v>
      </c>
      <c r="AB142" s="311">
        <f t="shared" si="40"/>
        <v>146644.73475586198</v>
      </c>
      <c r="AC142" s="311">
        <f t="shared" si="40"/>
        <v>659082.84488688607</v>
      </c>
      <c r="AD142" s="311">
        <f t="shared" si="40"/>
        <v>122212.20559304401</v>
      </c>
      <c r="AE142" s="311">
        <f t="shared" si="40"/>
        <v>611268.34365276399</v>
      </c>
      <c r="AF142" s="311">
        <f t="shared" si="40"/>
        <v>74428.033077832006</v>
      </c>
      <c r="AG142" s="311">
        <f t="shared" si="40"/>
        <v>51155.833077832001</v>
      </c>
      <c r="AH142" s="311">
        <f t="shared" si="40"/>
        <v>50161.294628228003</v>
      </c>
      <c r="AI142" s="311">
        <f t="shared" si="40"/>
        <v>1648185.6946282282</v>
      </c>
      <c r="AJ142" s="311">
        <f t="shared" si="40"/>
        <v>6202.6946282280005</v>
      </c>
      <c r="AK142" s="311">
        <f t="shared" si="40"/>
        <v>0</v>
      </c>
      <c r="AL142" s="311">
        <f t="shared" si="40"/>
        <v>0</v>
      </c>
      <c r="AM142" s="311">
        <f t="shared" si="40"/>
        <v>0</v>
      </c>
      <c r="AN142" s="311">
        <f t="shared" si="40"/>
        <v>0</v>
      </c>
      <c r="AO142" s="311"/>
      <c r="AP142" s="311"/>
      <c r="AQ142" s="311"/>
      <c r="AR142" s="311"/>
      <c r="AS142" s="311"/>
      <c r="AT142" s="311"/>
      <c r="AU142" s="311"/>
      <c r="AV142" s="311"/>
      <c r="AW142" s="311"/>
      <c r="AX142" s="311"/>
      <c r="AY142" s="311"/>
      <c r="AZ142" s="311"/>
      <c r="BA142" s="311"/>
      <c r="BB142" s="311"/>
      <c r="BC142" s="311"/>
      <c r="BD142" s="311"/>
      <c r="BE142" s="311"/>
      <c r="BF142" s="311"/>
      <c r="BG142" s="311"/>
      <c r="BH142" s="311"/>
      <c r="BI142" s="311"/>
      <c r="BJ142" s="311"/>
      <c r="BK142" s="311"/>
    </row>
    <row r="143" spans="1:63" s="80" customFormat="1" ht="12.75">
      <c r="A143" s="167"/>
      <c r="B143" s="210" t="str">
        <f>Servicio_internaColumna_título_amortizaciones</f>
        <v>Amortizaciones</v>
      </c>
      <c r="C143" s="269">
        <v>0</v>
      </c>
      <c r="D143" s="235"/>
      <c r="E143" s="235"/>
      <c r="F143" s="235">
        <v>314055.80087780597</v>
      </c>
      <c r="G143" s="235">
        <v>5068534.1881902386</v>
      </c>
      <c r="H143" s="235">
        <v>4967047.5715357112</v>
      </c>
      <c r="I143" s="235">
        <v>6041578.7748779953</v>
      </c>
      <c r="J143" s="235">
        <v>6763624.8789033731</v>
      </c>
      <c r="K143" s="235">
        <v>4556796.9008190203</v>
      </c>
      <c r="L143" s="235">
        <v>4109168.1297103716</v>
      </c>
      <c r="M143" s="235">
        <v>3010277.8169734916</v>
      </c>
      <c r="N143" s="235">
        <v>3745599.079630421</v>
      </c>
      <c r="O143" s="235">
        <v>3251112.4518392771</v>
      </c>
      <c r="P143" s="235">
        <v>3072667.4371282626</v>
      </c>
      <c r="Q143" s="235">
        <v>1535653.6121245536</v>
      </c>
      <c r="R143" s="235">
        <v>1597128.958742993</v>
      </c>
      <c r="S143" s="273">
        <v>716041.30976609397</v>
      </c>
      <c r="T143" s="235">
        <v>466575.96486828598</v>
      </c>
      <c r="U143" s="235">
        <v>424631.68649302708</v>
      </c>
      <c r="V143" s="235">
        <v>3004097.61721654</v>
      </c>
      <c r="W143" s="235">
        <v>292940.500544679</v>
      </c>
      <c r="X143" s="235">
        <v>153723.16779242799</v>
      </c>
      <c r="Y143" s="235">
        <v>152482.90713362201</v>
      </c>
      <c r="Z143" s="235">
        <v>1316083.9950520212</v>
      </c>
      <c r="AA143" s="235">
        <v>63112.117729284</v>
      </c>
      <c r="AB143" s="235">
        <v>46387.812009148998</v>
      </c>
      <c r="AC143" s="235">
        <v>550076.26537979697</v>
      </c>
      <c r="AD143" s="235">
        <v>50233.562466438001</v>
      </c>
      <c r="AE143" s="235">
        <v>18331.173381378001</v>
      </c>
      <c r="AF143" s="235">
        <v>6900.2477079640003</v>
      </c>
      <c r="AG143" s="235">
        <v>6900.2477079640003</v>
      </c>
      <c r="AH143" s="235">
        <v>5946.7477194059993</v>
      </c>
      <c r="AI143" s="235">
        <v>1580175.2477194059</v>
      </c>
      <c r="AJ143" s="235">
        <v>5946.7477194059993</v>
      </c>
      <c r="AK143" s="235">
        <v>0</v>
      </c>
      <c r="AL143" s="235">
        <v>0</v>
      </c>
      <c r="AM143" s="235">
        <v>0</v>
      </c>
      <c r="AN143" s="235">
        <v>0</v>
      </c>
      <c r="AO143" s="235"/>
      <c r="AP143" s="235"/>
      <c r="AQ143" s="235"/>
      <c r="AR143" s="235"/>
      <c r="AS143" s="235"/>
      <c r="AT143" s="235"/>
      <c r="AU143" s="235"/>
      <c r="AV143" s="235"/>
      <c r="AW143" s="235"/>
      <c r="AX143" s="235"/>
      <c r="AY143" s="235"/>
      <c r="AZ143" s="235"/>
      <c r="BA143" s="235"/>
      <c r="BB143" s="235"/>
      <c r="BC143" s="235"/>
      <c r="BD143" s="235"/>
      <c r="BE143" s="235"/>
      <c r="BF143" s="235"/>
      <c r="BG143" s="235"/>
      <c r="BH143" s="235"/>
      <c r="BI143" s="235"/>
      <c r="BJ143" s="235"/>
      <c r="BK143" s="235"/>
    </row>
    <row r="144" spans="1:63" s="133" customFormat="1" ht="12.75">
      <c r="A144" s="168">
        <v>38321</v>
      </c>
      <c r="B144" s="213" t="str">
        <f>Servicio_internaColumna_título_intereses</f>
        <v>Intereses</v>
      </c>
      <c r="C144" s="270">
        <v>0</v>
      </c>
      <c r="D144" s="271"/>
      <c r="E144" s="271"/>
      <c r="F144" s="271">
        <v>2910463.4</v>
      </c>
      <c r="G144" s="271">
        <v>5964714.5999999996</v>
      </c>
      <c r="H144" s="271">
        <v>3889707.9</v>
      </c>
      <c r="I144" s="271">
        <v>4839203.2</v>
      </c>
      <c r="J144" s="271">
        <v>3294723.9</v>
      </c>
      <c r="K144" s="271">
        <v>3748399.2</v>
      </c>
      <c r="L144" s="271">
        <v>5151569.8</v>
      </c>
      <c r="M144" s="271">
        <v>3916978</v>
      </c>
      <c r="N144" s="271">
        <v>2699739.9</v>
      </c>
      <c r="O144" s="271">
        <v>2268376.5</v>
      </c>
      <c r="P144" s="271">
        <v>3227788.2</v>
      </c>
      <c r="Q144" s="271">
        <v>912308.8</v>
      </c>
      <c r="R144" s="271">
        <v>835456.7</v>
      </c>
      <c r="S144" s="274">
        <v>795791.1</v>
      </c>
      <c r="T144" s="271">
        <v>1070971.2</v>
      </c>
      <c r="U144" s="272">
        <v>438800.7</v>
      </c>
      <c r="V144" s="272">
        <v>371865</v>
      </c>
      <c r="W144" s="272">
        <v>344594.9</v>
      </c>
      <c r="X144" s="272">
        <v>2969961.8</v>
      </c>
      <c r="Y144" s="272">
        <v>277659.2</v>
      </c>
      <c r="Z144" s="272">
        <v>138829.6</v>
      </c>
      <c r="AA144" s="272">
        <v>104122.2</v>
      </c>
      <c r="AB144" s="272">
        <v>94205.8</v>
      </c>
      <c r="AC144" s="272">
        <v>81810.3</v>
      </c>
      <c r="AD144" s="236">
        <v>66935.7</v>
      </c>
      <c r="AE144" s="236">
        <v>567713.9</v>
      </c>
      <c r="AF144" s="236">
        <v>64456.6</v>
      </c>
      <c r="AG144" s="236">
        <v>42144.7</v>
      </c>
      <c r="AH144" s="236">
        <v>42144.7</v>
      </c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/>
      <c r="BK144" s="236"/>
    </row>
    <row r="145" spans="1:63" s="133" customFormat="1" ht="12.75">
      <c r="A145" s="169"/>
      <c r="B145" s="307" t="str">
        <f>Servicio_internaColumna_título_total</f>
        <v>Total</v>
      </c>
      <c r="C145" s="310">
        <v>0</v>
      </c>
      <c r="D145" s="311">
        <f t="shared" ref="D145:AN145" si="41">+D143+D144</f>
        <v>0</v>
      </c>
      <c r="E145" s="311">
        <f t="shared" si="41"/>
        <v>0</v>
      </c>
      <c r="F145" s="311">
        <f t="shared" si="41"/>
        <v>3224519.2008778057</v>
      </c>
      <c r="G145" s="311">
        <f t="shared" si="41"/>
        <v>11033248.788190238</v>
      </c>
      <c r="H145" s="311">
        <f t="shared" si="41"/>
        <v>8856755.4715357106</v>
      </c>
      <c r="I145" s="311">
        <f t="shared" si="41"/>
        <v>10880781.974877995</v>
      </c>
      <c r="J145" s="311">
        <f t="shared" si="41"/>
        <v>10058348.778903373</v>
      </c>
      <c r="K145" s="311">
        <f t="shared" si="41"/>
        <v>8305196.1008190205</v>
      </c>
      <c r="L145" s="311">
        <f t="shared" si="41"/>
        <v>9260737.9297103714</v>
      </c>
      <c r="M145" s="311">
        <f t="shared" si="41"/>
        <v>6927255.8169734916</v>
      </c>
      <c r="N145" s="311">
        <f t="shared" si="41"/>
        <v>6445338.9796304209</v>
      </c>
      <c r="O145" s="311">
        <f t="shared" si="41"/>
        <v>5519488.9518392775</v>
      </c>
      <c r="P145" s="311">
        <f t="shared" si="41"/>
        <v>6300455.6371282628</v>
      </c>
      <c r="Q145" s="311">
        <f t="shared" si="41"/>
        <v>2447962.4121245537</v>
      </c>
      <c r="R145" s="311">
        <f t="shared" si="41"/>
        <v>2432585.6587429931</v>
      </c>
      <c r="S145" s="312">
        <f t="shared" si="41"/>
        <v>1511832.4097660938</v>
      </c>
      <c r="T145" s="311">
        <f t="shared" si="41"/>
        <v>1537547.1648682859</v>
      </c>
      <c r="U145" s="311">
        <f t="shared" si="41"/>
        <v>863432.38649302709</v>
      </c>
      <c r="V145" s="311">
        <f t="shared" si="41"/>
        <v>3375962.61721654</v>
      </c>
      <c r="W145" s="311">
        <f t="shared" si="41"/>
        <v>637535.40054467903</v>
      </c>
      <c r="X145" s="311">
        <f t="shared" si="41"/>
        <v>3123684.9677924276</v>
      </c>
      <c r="Y145" s="311">
        <f t="shared" si="41"/>
        <v>430142.10713362205</v>
      </c>
      <c r="Z145" s="311">
        <f t="shared" si="41"/>
        <v>1454913.5950520213</v>
      </c>
      <c r="AA145" s="311">
        <f t="shared" si="41"/>
        <v>167234.317729284</v>
      </c>
      <c r="AB145" s="311">
        <f t="shared" si="41"/>
        <v>140593.61200914899</v>
      </c>
      <c r="AC145" s="311">
        <f t="shared" si="41"/>
        <v>631886.56537979702</v>
      </c>
      <c r="AD145" s="311">
        <f t="shared" si="41"/>
        <v>117169.262466438</v>
      </c>
      <c r="AE145" s="311">
        <f t="shared" si="41"/>
        <v>586045.07338137808</v>
      </c>
      <c r="AF145" s="311">
        <f t="shared" si="41"/>
        <v>71356.847707964</v>
      </c>
      <c r="AG145" s="311">
        <f t="shared" si="41"/>
        <v>49044.947707963998</v>
      </c>
      <c r="AH145" s="311">
        <f t="shared" si="41"/>
        <v>48091.447719405995</v>
      </c>
      <c r="AI145" s="311">
        <f t="shared" si="41"/>
        <v>1580175.2477194059</v>
      </c>
      <c r="AJ145" s="311">
        <f t="shared" si="41"/>
        <v>5946.7477194059993</v>
      </c>
      <c r="AK145" s="311">
        <f t="shared" si="41"/>
        <v>0</v>
      </c>
      <c r="AL145" s="311">
        <f t="shared" si="41"/>
        <v>0</v>
      </c>
      <c r="AM145" s="311">
        <f t="shared" si="41"/>
        <v>0</v>
      </c>
      <c r="AN145" s="311">
        <f t="shared" si="41"/>
        <v>0</v>
      </c>
      <c r="AO145" s="311"/>
      <c r="AP145" s="311"/>
      <c r="AQ145" s="311"/>
      <c r="AR145" s="311"/>
      <c r="AS145" s="311"/>
      <c r="AT145" s="311"/>
      <c r="AU145" s="311"/>
      <c r="AV145" s="311"/>
      <c r="AW145" s="311"/>
      <c r="AX145" s="311"/>
      <c r="AY145" s="311"/>
      <c r="AZ145" s="311"/>
      <c r="BA145" s="311"/>
      <c r="BB145" s="311"/>
      <c r="BC145" s="311"/>
      <c r="BD145" s="311"/>
      <c r="BE145" s="311"/>
      <c r="BF145" s="311"/>
      <c r="BG145" s="311"/>
      <c r="BH145" s="311"/>
      <c r="BI145" s="311"/>
      <c r="BJ145" s="311"/>
      <c r="BK145" s="311"/>
    </row>
    <row r="146" spans="1:63" s="80" customFormat="1" ht="12.75">
      <c r="A146" s="167"/>
      <c r="B146" s="210" t="str">
        <f>Servicio_internaColumna_título_amortizaciones</f>
        <v>Amortizaciones</v>
      </c>
      <c r="C146" s="269">
        <v>0</v>
      </c>
      <c r="D146" s="235"/>
      <c r="E146" s="235"/>
      <c r="F146" s="235">
        <v>0</v>
      </c>
      <c r="G146" s="235">
        <v>4934223.4497423172</v>
      </c>
      <c r="H146" s="235">
        <v>4796771.6185220415</v>
      </c>
      <c r="I146" s="235">
        <v>5848726.1157589816</v>
      </c>
      <c r="J146" s="235">
        <v>6713748.9417578783</v>
      </c>
      <c r="K146" s="235">
        <v>4419218.2770748921</v>
      </c>
      <c r="L146" s="235">
        <v>4010140.7840126045</v>
      </c>
      <c r="M146" s="235">
        <v>3114657.0352090318</v>
      </c>
      <c r="N146" s="235">
        <v>3721187.4566028253</v>
      </c>
      <c r="O146" s="235">
        <v>3244238.9125504596</v>
      </c>
      <c r="P146" s="235">
        <v>3072059.5991494195</v>
      </c>
      <c r="Q146" s="235">
        <v>1585901.7362703898</v>
      </c>
      <c r="R146" s="235">
        <v>1645110.3006825026</v>
      </c>
      <c r="S146" s="273">
        <v>786786.42981757491</v>
      </c>
      <c r="T146" s="235">
        <v>546311.26812647004</v>
      </c>
      <c r="U146" s="235">
        <v>505654.06650723238</v>
      </c>
      <c r="V146" s="235">
        <v>2990795.0172755597</v>
      </c>
      <c r="W146" s="235">
        <v>379054.2578452024</v>
      </c>
      <c r="X146" s="235">
        <v>244581.29884641751</v>
      </c>
      <c r="Y146" s="235">
        <v>243329.40132864003</v>
      </c>
      <c r="Z146" s="235">
        <v>1365040.158353355</v>
      </c>
      <c r="AA146" s="235">
        <v>60842.854956235002</v>
      </c>
      <c r="AB146" s="235">
        <v>50853.956806564987</v>
      </c>
      <c r="AC146" s="235">
        <v>530256.17908507749</v>
      </c>
      <c r="AD146" s="235">
        <v>48428.459635600004</v>
      </c>
      <c r="AE146" s="235">
        <v>17675.87429575</v>
      </c>
      <c r="AF146" s="235">
        <v>6656.9341045350002</v>
      </c>
      <c r="AG146" s="235">
        <v>6656.9341045350002</v>
      </c>
      <c r="AH146" s="235">
        <v>5737.79950018</v>
      </c>
      <c r="AI146" s="235">
        <v>1523229.0495001799</v>
      </c>
      <c r="AJ146" s="235">
        <v>5737.79950018</v>
      </c>
      <c r="AK146" s="235">
        <v>90.12067476499999</v>
      </c>
      <c r="AL146" s="235">
        <v>0</v>
      </c>
      <c r="AM146" s="235">
        <v>0</v>
      </c>
      <c r="AN146" s="235">
        <v>0</v>
      </c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  <c r="BA146" s="235"/>
      <c r="BB146" s="235"/>
      <c r="BC146" s="235"/>
      <c r="BD146" s="235"/>
      <c r="BE146" s="235"/>
      <c r="BF146" s="235"/>
      <c r="BG146" s="235"/>
      <c r="BH146" s="235"/>
      <c r="BI146" s="235"/>
      <c r="BJ146" s="235"/>
      <c r="BK146" s="235"/>
    </row>
    <row r="147" spans="1:63" s="133" customFormat="1" ht="12.75">
      <c r="A147" s="168">
        <v>38352</v>
      </c>
      <c r="B147" s="213" t="str">
        <f>Servicio_internaColumna_título_intereses</f>
        <v>Intereses</v>
      </c>
      <c r="C147" s="270">
        <v>0</v>
      </c>
      <c r="D147" s="271"/>
      <c r="E147" s="271"/>
      <c r="F147" s="271"/>
      <c r="G147" s="271">
        <v>2805566.5</v>
      </c>
      <c r="H147" s="271">
        <v>5749738.5</v>
      </c>
      <c r="I147" s="271">
        <v>3749517.75</v>
      </c>
      <c r="J147" s="271">
        <v>4664792</v>
      </c>
      <c r="K147" s="271">
        <v>3175977.75</v>
      </c>
      <c r="L147" s="271">
        <v>3613302</v>
      </c>
      <c r="M147" s="271">
        <v>4965900.5</v>
      </c>
      <c r="N147" s="271">
        <v>3775805</v>
      </c>
      <c r="O147" s="271">
        <v>2602437.75</v>
      </c>
      <c r="P147" s="271">
        <v>2186621.25</v>
      </c>
      <c r="Q147" s="271">
        <v>3111454.5</v>
      </c>
      <c r="R147" s="271">
        <v>879428</v>
      </c>
      <c r="S147" s="274">
        <v>805345.75</v>
      </c>
      <c r="T147" s="271">
        <v>767109.75</v>
      </c>
      <c r="U147" s="272">
        <v>1032372</v>
      </c>
      <c r="V147" s="272">
        <v>422985.75</v>
      </c>
      <c r="W147" s="272">
        <v>358462.5</v>
      </c>
      <c r="X147" s="272">
        <v>332175.25</v>
      </c>
      <c r="Y147" s="272">
        <v>2862920.5</v>
      </c>
      <c r="Z147" s="272">
        <v>267652</v>
      </c>
      <c r="AA147" s="272">
        <v>133826</v>
      </c>
      <c r="AB147" s="272">
        <v>100369.5</v>
      </c>
      <c r="AC147" s="272">
        <v>90810.5</v>
      </c>
      <c r="AD147" s="236">
        <v>78861.75</v>
      </c>
      <c r="AE147" s="236">
        <v>64523.25</v>
      </c>
      <c r="AF147" s="236">
        <v>547252.75</v>
      </c>
      <c r="AG147" s="236">
        <v>62133.5</v>
      </c>
      <c r="AH147" s="236">
        <v>40625.75</v>
      </c>
      <c r="AI147" s="236">
        <v>40625.75</v>
      </c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/>
      <c r="BK147" s="236"/>
    </row>
    <row r="148" spans="1:63" s="133" customFormat="1" ht="12.75">
      <c r="A148" s="169"/>
      <c r="B148" s="307" t="str">
        <f>Servicio_internaColumna_título_total</f>
        <v>Total</v>
      </c>
      <c r="C148" s="310">
        <v>0</v>
      </c>
      <c r="D148" s="311"/>
      <c r="E148" s="311"/>
      <c r="F148" s="311">
        <v>0</v>
      </c>
      <c r="G148" s="311">
        <v>4934223.4497423172</v>
      </c>
      <c r="H148" s="311">
        <v>4796771.6185220415</v>
      </c>
      <c r="I148" s="311">
        <v>5848726.1157589816</v>
      </c>
      <c r="J148" s="311">
        <v>6713748.9417578783</v>
      </c>
      <c r="K148" s="311">
        <v>4419218.2770748921</v>
      </c>
      <c r="L148" s="311">
        <v>4010140.7840126045</v>
      </c>
      <c r="M148" s="311">
        <v>3114657.0352090318</v>
      </c>
      <c r="N148" s="311">
        <v>3721187.4566028253</v>
      </c>
      <c r="O148" s="311">
        <v>3244238.9125504596</v>
      </c>
      <c r="P148" s="311">
        <v>3072059.5991494195</v>
      </c>
      <c r="Q148" s="311">
        <v>1585901.7362703898</v>
      </c>
      <c r="R148" s="311">
        <v>1645110.3006825026</v>
      </c>
      <c r="S148" s="312">
        <v>786786.42981757491</v>
      </c>
      <c r="T148" s="311">
        <v>546311.26812647004</v>
      </c>
      <c r="U148" s="311">
        <v>505654.06650723238</v>
      </c>
      <c r="V148" s="311">
        <v>2990795.0172755597</v>
      </c>
      <c r="W148" s="311">
        <v>379054.2578452024</v>
      </c>
      <c r="X148" s="311">
        <v>244581.29884641751</v>
      </c>
      <c r="Y148" s="311">
        <v>243329.40132864003</v>
      </c>
      <c r="Z148" s="311">
        <v>1365040.158353355</v>
      </c>
      <c r="AA148" s="311">
        <v>60842.854956235002</v>
      </c>
      <c r="AB148" s="311">
        <v>50853.956806564987</v>
      </c>
      <c r="AC148" s="311">
        <v>530256.17908507749</v>
      </c>
      <c r="AD148" s="311">
        <v>48428.459635600004</v>
      </c>
      <c r="AE148" s="311">
        <v>17675.87429575</v>
      </c>
      <c r="AF148" s="311">
        <v>6656.9341045350002</v>
      </c>
      <c r="AG148" s="311">
        <v>6656.9341045350002</v>
      </c>
      <c r="AH148" s="311">
        <v>5737.79950018</v>
      </c>
      <c r="AI148" s="311">
        <v>1523229.0495001799</v>
      </c>
      <c r="AJ148" s="311">
        <v>5737.79950018</v>
      </c>
      <c r="AK148" s="311">
        <v>90.12067476499999</v>
      </c>
      <c r="AL148" s="311">
        <v>0</v>
      </c>
      <c r="AM148" s="311">
        <v>0</v>
      </c>
      <c r="AN148" s="311">
        <v>0</v>
      </c>
      <c r="AO148" s="311"/>
      <c r="AP148" s="311"/>
      <c r="AQ148" s="311"/>
      <c r="AR148" s="311"/>
      <c r="AS148" s="311"/>
      <c r="AT148" s="311"/>
      <c r="AU148" s="311"/>
      <c r="AV148" s="311"/>
      <c r="AW148" s="311"/>
      <c r="AX148" s="311"/>
      <c r="AY148" s="311"/>
      <c r="AZ148" s="311"/>
      <c r="BA148" s="311"/>
      <c r="BB148" s="311"/>
      <c r="BC148" s="311"/>
      <c r="BD148" s="311"/>
      <c r="BE148" s="311"/>
      <c r="BF148" s="311"/>
      <c r="BG148" s="311"/>
      <c r="BH148" s="311"/>
      <c r="BI148" s="311"/>
      <c r="BJ148" s="311"/>
      <c r="BK148" s="311"/>
    </row>
    <row r="149" spans="1:63" s="80" customFormat="1" ht="12.75">
      <c r="A149" s="167"/>
      <c r="B149" s="210" t="str">
        <f>Servicio_internaColumna_título_amortizaciones</f>
        <v>Amortizaciones</v>
      </c>
      <c r="C149" s="269">
        <v>0</v>
      </c>
      <c r="D149" s="235"/>
      <c r="E149" s="235"/>
      <c r="F149" s="235"/>
      <c r="G149" s="235">
        <v>4613778.5983619178</v>
      </c>
      <c r="H149" s="235">
        <v>4756401.7497260058</v>
      </c>
      <c r="I149" s="235">
        <v>5797283.0926279463</v>
      </c>
      <c r="J149" s="235">
        <v>6526350.3047269695</v>
      </c>
      <c r="K149" s="235">
        <v>4377765.0637741461</v>
      </c>
      <c r="L149" s="235">
        <v>4331759.4999257913</v>
      </c>
      <c r="M149" s="235">
        <v>2997209.2524095629</v>
      </c>
      <c r="N149" s="235">
        <v>3680765.0105470093</v>
      </c>
      <c r="O149" s="235">
        <v>3209087.7238081475</v>
      </c>
      <c r="P149" s="235">
        <v>3038651.5712553617</v>
      </c>
      <c r="Q149" s="235">
        <v>1566292.3485572054</v>
      </c>
      <c r="R149" s="235">
        <v>1664121.3510144344</v>
      </c>
      <c r="S149" s="273">
        <v>780094.95733570901</v>
      </c>
      <c r="T149" s="235">
        <v>541318.16487976233</v>
      </c>
      <c r="U149" s="235">
        <v>500712.5632869433</v>
      </c>
      <c r="V149" s="235">
        <v>2962993.6856180355</v>
      </c>
      <c r="W149" s="235">
        <v>375287.94903775433</v>
      </c>
      <c r="X149" s="235">
        <v>242280.88499383445</v>
      </c>
      <c r="Y149" s="235">
        <v>241087.62717254562</v>
      </c>
      <c r="Z149" s="235">
        <v>1352476.6268808162</v>
      </c>
      <c r="AA149" s="235">
        <v>60280.285384188814</v>
      </c>
      <c r="AB149" s="235">
        <v>50383.30307103361</v>
      </c>
      <c r="AC149" s="235">
        <v>525374.16229152563</v>
      </c>
      <c r="AD149" s="235">
        <v>47980.124838363212</v>
      </c>
      <c r="AE149" s="235">
        <v>17510.518618347203</v>
      </c>
      <c r="AF149" s="235">
        <v>6592.9725038368006</v>
      </c>
      <c r="AG149" s="235">
        <v>6592.9725038368006</v>
      </c>
      <c r="AH149" s="235">
        <v>5682.2955916880001</v>
      </c>
      <c r="AI149" s="235">
        <v>1509209.8955916881</v>
      </c>
      <c r="AJ149" s="235">
        <v>5682.2955916880001</v>
      </c>
      <c r="AK149" s="235">
        <v>87.938488012000008</v>
      </c>
      <c r="AL149" s="235">
        <v>0</v>
      </c>
      <c r="AM149" s="235">
        <v>0</v>
      </c>
      <c r="AN149" s="235">
        <v>0</v>
      </c>
      <c r="AO149" s="235"/>
      <c r="AP149" s="235"/>
      <c r="AQ149" s="235"/>
      <c r="AR149" s="235"/>
      <c r="AS149" s="235"/>
      <c r="AT149" s="235"/>
      <c r="AU149" s="235"/>
      <c r="AV149" s="235"/>
      <c r="AW149" s="235"/>
      <c r="AX149" s="235"/>
      <c r="AY149" s="235"/>
      <c r="AZ149" s="235"/>
      <c r="BA149" s="235"/>
      <c r="BB149" s="235"/>
      <c r="BC149" s="235"/>
      <c r="BD149" s="235"/>
      <c r="BE149" s="235"/>
      <c r="BF149" s="235"/>
      <c r="BG149" s="235"/>
      <c r="BH149" s="235"/>
      <c r="BI149" s="235"/>
      <c r="BJ149" s="235"/>
      <c r="BK149" s="235"/>
    </row>
    <row r="150" spans="1:63" s="133" customFormat="1" ht="12.75">
      <c r="A150" s="168">
        <v>38383</v>
      </c>
      <c r="B150" s="213" t="str">
        <f>Servicio_internaColumna_título_intereses</f>
        <v>Intereses</v>
      </c>
      <c r="C150" s="270">
        <v>0</v>
      </c>
      <c r="D150" s="271"/>
      <c r="E150" s="271"/>
      <c r="F150" s="271"/>
      <c r="G150" s="271">
        <v>3380269.8161343061</v>
      </c>
      <c r="H150" s="271">
        <v>3831101.6157230483</v>
      </c>
      <c r="I150" s="271">
        <v>3530037.7682773005</v>
      </c>
      <c r="J150" s="271">
        <v>3173175.5994874076</v>
      </c>
      <c r="K150" s="271">
        <v>2587938.5401893286</v>
      </c>
      <c r="L150" s="271">
        <v>2323848.3925051498</v>
      </c>
      <c r="M150" s="271">
        <v>1949599.1849647898</v>
      </c>
      <c r="N150" s="271">
        <v>1608711.8889076854</v>
      </c>
      <c r="O150" s="271">
        <v>1318712.2309089215</v>
      </c>
      <c r="P150" s="271">
        <v>1132935.0108639784</v>
      </c>
      <c r="Q150" s="271">
        <v>938825.4428060858</v>
      </c>
      <c r="R150" s="271">
        <v>836969.01891339594</v>
      </c>
      <c r="S150" s="274">
        <v>757400.74979121203</v>
      </c>
      <c r="T150" s="271">
        <v>719084.69372185913</v>
      </c>
      <c r="U150" s="272">
        <v>692921.58087347937</v>
      </c>
      <c r="V150" s="272">
        <v>518069.43814831122</v>
      </c>
      <c r="W150" s="272">
        <v>347986.17228395765</v>
      </c>
      <c r="X150" s="272">
        <v>331053.03689022886</v>
      </c>
      <c r="Y150" s="272">
        <v>319579.65762402961</v>
      </c>
      <c r="Z150" s="272">
        <v>260861.23848654079</v>
      </c>
      <c r="AA150" s="272">
        <v>206359.58470334561</v>
      </c>
      <c r="AB150" s="272">
        <v>203889.431608796</v>
      </c>
      <c r="AC150" s="272">
        <v>181706.92960435443</v>
      </c>
      <c r="AD150" s="236">
        <v>158575.13910453682</v>
      </c>
      <c r="AE150" s="236">
        <v>156304.2507721872</v>
      </c>
      <c r="AF150" s="236">
        <v>156002.78439618877</v>
      </c>
      <c r="AG150" s="236">
        <v>156001.46526973759</v>
      </c>
      <c r="AH150" s="236">
        <v>156000.14621431919</v>
      </c>
      <c r="AI150" s="236">
        <v>78003.332885223208</v>
      </c>
      <c r="AJ150" s="236">
        <v>2.9679161272000005</v>
      </c>
      <c r="AK150" s="236">
        <v>0.98929748320000011</v>
      </c>
      <c r="AL150" s="236">
        <v>0</v>
      </c>
      <c r="AM150" s="236">
        <v>0</v>
      </c>
      <c r="AN150" s="236">
        <v>0</v>
      </c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/>
      <c r="BK150" s="236"/>
    </row>
    <row r="151" spans="1:63" s="133" customFormat="1" ht="12.75">
      <c r="A151" s="169"/>
      <c r="B151" s="307" t="str">
        <f>Servicio_internaColumna_título_total</f>
        <v>Total</v>
      </c>
      <c r="C151" s="310">
        <v>0</v>
      </c>
      <c r="D151" s="311"/>
      <c r="E151" s="311"/>
      <c r="F151" s="311"/>
      <c r="G151" s="311">
        <v>7994048.4144962244</v>
      </c>
      <c r="H151" s="311">
        <v>8587503.3654490542</v>
      </c>
      <c r="I151" s="311">
        <v>9327320.8609052468</v>
      </c>
      <c r="J151" s="311">
        <v>9699525.9042143766</v>
      </c>
      <c r="K151" s="311">
        <v>6965703.6039634747</v>
      </c>
      <c r="L151" s="311">
        <v>6655607.8924309406</v>
      </c>
      <c r="M151" s="311">
        <v>4946808.4373743525</v>
      </c>
      <c r="N151" s="311">
        <v>5289476.8994546942</v>
      </c>
      <c r="O151" s="311">
        <v>4527799.9547170689</v>
      </c>
      <c r="P151" s="311">
        <v>4171586.5821193401</v>
      </c>
      <c r="Q151" s="311">
        <v>2505117.7913632914</v>
      </c>
      <c r="R151" s="311">
        <v>2501090.3699278301</v>
      </c>
      <c r="S151" s="312">
        <v>1537495.707126921</v>
      </c>
      <c r="T151" s="311">
        <v>1260402.8586016214</v>
      </c>
      <c r="U151" s="311">
        <v>1193634.1441604227</v>
      </c>
      <c r="V151" s="311">
        <v>3481063.1237663468</v>
      </c>
      <c r="W151" s="311">
        <v>723274.12132171192</v>
      </c>
      <c r="X151" s="311">
        <v>573333.92188406328</v>
      </c>
      <c r="Y151" s="311">
        <v>560667.2847965752</v>
      </c>
      <c r="Z151" s="311">
        <v>1613337.8653673569</v>
      </c>
      <c r="AA151" s="311">
        <v>266639.87008753442</v>
      </c>
      <c r="AB151" s="311">
        <v>254272.73467982962</v>
      </c>
      <c r="AC151" s="311">
        <v>707081.09189588006</v>
      </c>
      <c r="AD151" s="311">
        <v>206555.26394290003</v>
      </c>
      <c r="AE151" s="311">
        <v>173814.76939053441</v>
      </c>
      <c r="AF151" s="311">
        <v>162595.75690002556</v>
      </c>
      <c r="AG151" s="311">
        <v>162594.43777357438</v>
      </c>
      <c r="AH151" s="311">
        <v>161682.44180600718</v>
      </c>
      <c r="AI151" s="311">
        <v>1587213.2284769113</v>
      </c>
      <c r="AJ151" s="311">
        <v>5685.2635078151998</v>
      </c>
      <c r="AK151" s="311">
        <v>88.927785495200013</v>
      </c>
      <c r="AL151" s="311">
        <v>0</v>
      </c>
      <c r="AM151" s="311">
        <v>0</v>
      </c>
      <c r="AN151" s="311">
        <v>0</v>
      </c>
      <c r="AO151" s="311"/>
      <c r="AP151" s="311"/>
      <c r="AQ151" s="311"/>
      <c r="AR151" s="311"/>
      <c r="AS151" s="311"/>
      <c r="AT151" s="311"/>
      <c r="AU151" s="311"/>
      <c r="AV151" s="311"/>
      <c r="AW151" s="311"/>
      <c r="AX151" s="311"/>
      <c r="AY151" s="311"/>
      <c r="AZ151" s="311"/>
      <c r="BA151" s="311"/>
      <c r="BB151" s="311"/>
      <c r="BC151" s="311"/>
      <c r="BD151" s="311"/>
      <c r="BE151" s="311"/>
      <c r="BF151" s="311"/>
      <c r="BG151" s="311"/>
      <c r="BH151" s="311"/>
      <c r="BI151" s="311"/>
      <c r="BJ151" s="311"/>
      <c r="BK151" s="311"/>
    </row>
    <row r="152" spans="1:63" s="80" customFormat="1" ht="12.75">
      <c r="A152" s="167"/>
      <c r="B152" s="210" t="str">
        <f>Servicio_internaColumna_título_amortizaciones</f>
        <v>Amortizaciones</v>
      </c>
      <c r="C152" s="269">
        <v>0</v>
      </c>
      <c r="D152" s="235"/>
      <c r="E152" s="235"/>
      <c r="F152" s="235"/>
      <c r="G152" s="235">
        <v>4438782.425790851</v>
      </c>
      <c r="H152" s="235">
        <v>4681664.7640835224</v>
      </c>
      <c r="I152" s="235">
        <v>5704487.1615171833</v>
      </c>
      <c r="J152" s="235">
        <v>6421011.5342210867</v>
      </c>
      <c r="K152" s="235">
        <v>4313126.9151840834</v>
      </c>
      <c r="L152" s="235">
        <v>4265964.4128782712</v>
      </c>
      <c r="M152" s="235">
        <v>2956394.2524714461</v>
      </c>
      <c r="N152" s="235">
        <v>3621911.033562779</v>
      </c>
      <c r="O152" s="235">
        <v>3152939.4844980463</v>
      </c>
      <c r="P152" s="235">
        <v>2985669.8210492046</v>
      </c>
      <c r="Q152" s="235">
        <v>2144892.4261864251</v>
      </c>
      <c r="R152" s="235">
        <v>1639893.7904703675</v>
      </c>
      <c r="S152" s="273">
        <v>770452.09417062462</v>
      </c>
      <c r="T152" s="235">
        <v>531708.54124652699</v>
      </c>
      <c r="U152" s="235">
        <v>491898.14422434574</v>
      </c>
      <c r="V152" s="235">
        <v>2908433.1830962421</v>
      </c>
      <c r="W152" s="235">
        <v>368803.76140943303</v>
      </c>
      <c r="X152" s="235">
        <v>237863.18145902612</v>
      </c>
      <c r="Y152" s="235">
        <v>236608.52256763619</v>
      </c>
      <c r="Z152" s="235">
        <v>1327349.313801582</v>
      </c>
      <c r="AA152" s="235">
        <v>59160.35356928761</v>
      </c>
      <c r="AB152" s="235">
        <v>49447.2447280872</v>
      </c>
      <c r="AC152" s="235">
        <v>515613.37175565865</v>
      </c>
      <c r="AD152" s="235">
        <v>47088.714521591406</v>
      </c>
      <c r="AE152" s="235">
        <v>17185.195226609401</v>
      </c>
      <c r="AF152" s="235">
        <v>6470.4833746836002</v>
      </c>
      <c r="AG152" s="235">
        <v>6470.4833746836002</v>
      </c>
      <c r="AH152" s="235">
        <v>5576.7256931009997</v>
      </c>
      <c r="AI152" s="235">
        <v>1481170.675693101</v>
      </c>
      <c r="AJ152" s="235">
        <v>5576.7256931009997</v>
      </c>
      <c r="AK152" s="235">
        <v>172.60940322299999</v>
      </c>
      <c r="AL152" s="235">
        <v>0</v>
      </c>
      <c r="AM152" s="235">
        <v>0</v>
      </c>
      <c r="AN152" s="235">
        <v>0</v>
      </c>
      <c r="AO152" s="235"/>
      <c r="AP152" s="235"/>
      <c r="AQ152" s="235"/>
      <c r="AR152" s="235"/>
      <c r="AS152" s="235"/>
      <c r="AT152" s="235"/>
      <c r="AU152" s="235"/>
      <c r="AV152" s="235"/>
      <c r="AW152" s="235"/>
      <c r="AX152" s="235"/>
      <c r="AY152" s="235"/>
      <c r="AZ152" s="235"/>
      <c r="BA152" s="235"/>
      <c r="BB152" s="235"/>
      <c r="BC152" s="235"/>
      <c r="BD152" s="235"/>
      <c r="BE152" s="235"/>
      <c r="BF152" s="235"/>
      <c r="BG152" s="235"/>
      <c r="BH152" s="235"/>
      <c r="BI152" s="235"/>
      <c r="BJ152" s="235"/>
      <c r="BK152" s="235"/>
    </row>
    <row r="153" spans="1:63" s="133" customFormat="1" ht="12.75">
      <c r="A153" s="168">
        <v>38411</v>
      </c>
      <c r="B153" s="213" t="str">
        <f>Servicio_internaColumna_título_intereses</f>
        <v>Intereses</v>
      </c>
      <c r="C153" s="270">
        <v>0</v>
      </c>
      <c r="D153" s="271"/>
      <c r="E153" s="271"/>
      <c r="F153" s="271"/>
      <c r="G153" s="271">
        <v>2932650.6196868825</v>
      </c>
      <c r="H153" s="271">
        <v>3858384.7383381287</v>
      </c>
      <c r="I153" s="271">
        <v>3536555.3819739469</v>
      </c>
      <c r="J153" s="271">
        <v>3181739.1932909829</v>
      </c>
      <c r="K153" s="271">
        <v>2607631.6187432497</v>
      </c>
      <c r="L153" s="271">
        <v>2350184.7190025742</v>
      </c>
      <c r="M153" s="271">
        <v>1983927.1280908261</v>
      </c>
      <c r="N153" s="271">
        <v>1650400.8853007823</v>
      </c>
      <c r="O153" s="271">
        <v>1366657.2570946929</v>
      </c>
      <c r="P153" s="271">
        <v>1185442.7568389841</v>
      </c>
      <c r="Q153" s="271">
        <v>995550.47950750683</v>
      </c>
      <c r="R153" s="271">
        <v>821908.30061959999</v>
      </c>
      <c r="S153" s="274">
        <v>743513.93384547113</v>
      </c>
      <c r="T153" s="271">
        <v>705723.76573806407</v>
      </c>
      <c r="U153" s="272">
        <v>680033.18949358491</v>
      </c>
      <c r="V153" s="272">
        <v>508412.36812906619</v>
      </c>
      <c r="W153" s="272">
        <v>341480.9034472137</v>
      </c>
      <c r="X153" s="272">
        <v>324855.20929481433</v>
      </c>
      <c r="Y153" s="272">
        <v>313595.30591196148</v>
      </c>
      <c r="Z153" s="272">
        <v>255968.65420644148</v>
      </c>
      <c r="AA153" s="272">
        <v>202525.68340798619</v>
      </c>
      <c r="AB153" s="272">
        <v>200101.42264822946</v>
      </c>
      <c r="AC153" s="272">
        <v>178331.0436052263</v>
      </c>
      <c r="AD153" s="236">
        <v>155629.01265202111</v>
      </c>
      <c r="AE153" s="236">
        <v>153400.31456603939</v>
      </c>
      <c r="AF153" s="236">
        <v>153104.44905578755</v>
      </c>
      <c r="AG153" s="236">
        <v>153103.15443704516</v>
      </c>
      <c r="AH153" s="236">
        <v>153101.85988801587</v>
      </c>
      <c r="AI153" s="236">
        <v>76554.129159498902</v>
      </c>
      <c r="AJ153" s="236">
        <v>2.9127759818999999</v>
      </c>
      <c r="AK153" s="236">
        <v>1.6182037148999999</v>
      </c>
      <c r="AL153" s="236">
        <v>0</v>
      </c>
      <c r="AM153" s="236">
        <v>0</v>
      </c>
      <c r="AN153" s="236">
        <v>0</v>
      </c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</row>
    <row r="154" spans="1:63" s="133" customFormat="1" ht="12.75">
      <c r="A154" s="169"/>
      <c r="B154" s="307" t="str">
        <f>Servicio_internaColumna_título_total</f>
        <v>Total</v>
      </c>
      <c r="C154" s="310">
        <v>0</v>
      </c>
      <c r="D154" s="311"/>
      <c r="E154" s="311"/>
      <c r="F154" s="311"/>
      <c r="G154" s="311">
        <v>7371433.045477733</v>
      </c>
      <c r="H154" s="311">
        <v>8540049.502421651</v>
      </c>
      <c r="I154" s="311">
        <v>9241042.5434911307</v>
      </c>
      <c r="J154" s="311">
        <v>9602750.727512069</v>
      </c>
      <c r="K154" s="311">
        <v>6920758.5339273326</v>
      </c>
      <c r="L154" s="311">
        <v>6616149.1318808459</v>
      </c>
      <c r="M154" s="311">
        <v>4940321.3805622719</v>
      </c>
      <c r="N154" s="311">
        <v>5272311.918863561</v>
      </c>
      <c r="O154" s="311">
        <v>4519596.7415927388</v>
      </c>
      <c r="P154" s="311">
        <v>4171112.5778881889</v>
      </c>
      <c r="Q154" s="311">
        <v>3140442.905693932</v>
      </c>
      <c r="R154" s="311">
        <v>2461802.0910899676</v>
      </c>
      <c r="S154" s="312">
        <v>1513966.0280160957</v>
      </c>
      <c r="T154" s="311">
        <v>1237432.3069845911</v>
      </c>
      <c r="U154" s="311">
        <v>1171931.3337179306</v>
      </c>
      <c r="V154" s="311">
        <v>3416845.5512253083</v>
      </c>
      <c r="W154" s="311">
        <v>710284.66485664668</v>
      </c>
      <c r="X154" s="311">
        <v>562718.39075384045</v>
      </c>
      <c r="Y154" s="311">
        <v>550203.82847959769</v>
      </c>
      <c r="Z154" s="311">
        <v>1583317.9680080235</v>
      </c>
      <c r="AA154" s="311">
        <v>261686.03697727379</v>
      </c>
      <c r="AB154" s="311">
        <v>249548.66737631668</v>
      </c>
      <c r="AC154" s="311">
        <v>693944.41536088497</v>
      </c>
      <c r="AD154" s="311">
        <v>202717.72717361251</v>
      </c>
      <c r="AE154" s="311">
        <v>170585.50979264878</v>
      </c>
      <c r="AF154" s="311">
        <v>159574.93243047115</v>
      </c>
      <c r="AG154" s="311">
        <v>159573.63781172875</v>
      </c>
      <c r="AH154" s="311">
        <v>158678.58558111687</v>
      </c>
      <c r="AI154" s="311">
        <v>1557724.8048526</v>
      </c>
      <c r="AJ154" s="311">
        <v>5579.6384690829</v>
      </c>
      <c r="AK154" s="311">
        <v>174.22760693789999</v>
      </c>
      <c r="AL154" s="311">
        <v>0</v>
      </c>
      <c r="AM154" s="311">
        <v>0</v>
      </c>
      <c r="AN154" s="311">
        <v>0</v>
      </c>
      <c r="AO154" s="311"/>
      <c r="AP154" s="311"/>
      <c r="AQ154" s="311"/>
      <c r="AR154" s="311"/>
      <c r="AS154" s="311"/>
      <c r="AT154" s="311"/>
      <c r="AU154" s="311"/>
      <c r="AV154" s="311"/>
      <c r="AW154" s="311"/>
      <c r="AX154" s="311"/>
      <c r="AY154" s="311"/>
      <c r="AZ154" s="311"/>
      <c r="BA154" s="311"/>
      <c r="BB154" s="311"/>
      <c r="BC154" s="311"/>
      <c r="BD154" s="311"/>
      <c r="BE154" s="311"/>
      <c r="BF154" s="311"/>
      <c r="BG154" s="311"/>
      <c r="BH154" s="311"/>
      <c r="BI154" s="311"/>
      <c r="BJ154" s="311"/>
      <c r="BK154" s="311"/>
    </row>
    <row r="155" spans="1:63" s="80" customFormat="1" ht="12.75">
      <c r="A155" s="167"/>
      <c r="B155" s="210" t="str">
        <f>Servicio_internaColumna_título_amortizaciones</f>
        <v>Amortizaciones</v>
      </c>
      <c r="C155" s="269">
        <v>0</v>
      </c>
      <c r="D155" s="235"/>
      <c r="E155" s="235"/>
      <c r="F155" s="235"/>
      <c r="G155" s="235">
        <v>6726947.4337156434</v>
      </c>
      <c r="H155" s="235">
        <v>4049385.4482119898</v>
      </c>
      <c r="I155" s="235">
        <v>4367170.9364991598</v>
      </c>
      <c r="J155" s="235">
        <v>5983723.2328244122</v>
      </c>
      <c r="K155" s="235">
        <v>5004224.8721456397</v>
      </c>
      <c r="L155" s="235">
        <v>4426661.5989139872</v>
      </c>
      <c r="M155" s="235">
        <v>3186762.2499760226</v>
      </c>
      <c r="N155" s="235">
        <v>3765489.8661090331</v>
      </c>
      <c r="O155" s="235">
        <v>3285508.8701337269</v>
      </c>
      <c r="P155" s="235">
        <v>3114216.4852963774</v>
      </c>
      <c r="Q155" s="235">
        <v>2235127.4353425498</v>
      </c>
      <c r="R155" s="235">
        <v>1695525.8055976802</v>
      </c>
      <c r="S155" s="273">
        <v>792653.64778852335</v>
      </c>
      <c r="T155" s="235">
        <v>544038.78254968324</v>
      </c>
      <c r="U155" s="235">
        <v>503011.73438390874</v>
      </c>
      <c r="V155" s="235">
        <v>2974355.6171724959</v>
      </c>
      <c r="W155" s="235">
        <v>377115.99496183667</v>
      </c>
      <c r="X155" s="235">
        <v>243254.83377931206</v>
      </c>
      <c r="Y155" s="235">
        <v>241978.22185144323</v>
      </c>
      <c r="Z155" s="235">
        <v>1357460.2512913824</v>
      </c>
      <c r="AA155" s="235">
        <v>60505.001755996804</v>
      </c>
      <c r="AB155" s="235">
        <v>50571.570780067188</v>
      </c>
      <c r="AC155" s="235">
        <v>527311.72903948312</v>
      </c>
      <c r="AD155" s="235">
        <v>48159.542108927999</v>
      </c>
      <c r="AE155" s="235">
        <v>17577.722249759998</v>
      </c>
      <c r="AF155" s="235">
        <v>6619.9689343007994</v>
      </c>
      <c r="AG155" s="235">
        <v>6619.9689343007994</v>
      </c>
      <c r="AH155" s="235">
        <v>5705.9381760383994</v>
      </c>
      <c r="AI155" s="235">
        <v>1514770.7381760385</v>
      </c>
      <c r="AJ155" s="235">
        <v>5705.9381760383994</v>
      </c>
      <c r="AK155" s="235">
        <v>89.620245283199992</v>
      </c>
      <c r="AL155" s="235">
        <v>0</v>
      </c>
      <c r="AM155" s="235">
        <v>0</v>
      </c>
      <c r="AN155" s="235">
        <v>0</v>
      </c>
      <c r="AO155" s="235"/>
      <c r="AP155" s="235"/>
      <c r="AQ155" s="235"/>
      <c r="AR155" s="235"/>
      <c r="AS155" s="235"/>
      <c r="AT155" s="235"/>
      <c r="AU155" s="235"/>
      <c r="AV155" s="235"/>
      <c r="AW155" s="235"/>
      <c r="AX155" s="235"/>
      <c r="AY155" s="235"/>
      <c r="AZ155" s="235"/>
      <c r="BA155" s="235"/>
      <c r="BB155" s="235"/>
      <c r="BC155" s="235"/>
      <c r="BD155" s="235"/>
      <c r="BE155" s="235"/>
      <c r="BF155" s="235"/>
      <c r="BG155" s="235"/>
      <c r="BH155" s="235"/>
      <c r="BI155" s="235"/>
      <c r="BJ155" s="235"/>
      <c r="BK155" s="235"/>
    </row>
    <row r="156" spans="1:63" s="133" customFormat="1" ht="12.75">
      <c r="A156" s="168">
        <v>38442</v>
      </c>
      <c r="B156" s="213" t="str">
        <f>Servicio_internaColumna_título_intereses</f>
        <v>Intereses</v>
      </c>
      <c r="C156" s="270">
        <v>0</v>
      </c>
      <c r="D156" s="271"/>
      <c r="E156" s="271"/>
      <c r="F156" s="271"/>
      <c r="G156" s="271">
        <v>2719445.6701542665</v>
      </c>
      <c r="H156" s="271">
        <v>3812474.14348982</v>
      </c>
      <c r="I156" s="271">
        <v>3568628.0512538403</v>
      </c>
      <c r="J156" s="271">
        <v>3331364.0102869342</v>
      </c>
      <c r="K156" s="271">
        <v>2737202.3980746041</v>
      </c>
      <c r="L156" s="271">
        <v>2441747.3212610641</v>
      </c>
      <c r="M156" s="271">
        <v>2062304.1629171274</v>
      </c>
      <c r="N156" s="271">
        <v>1705682.0141777759</v>
      </c>
      <c r="O156" s="271">
        <v>1410925.3940094479</v>
      </c>
      <c r="P156" s="271">
        <v>1220943.0619384465</v>
      </c>
      <c r="Q156" s="271">
        <v>1021993.9511908848</v>
      </c>
      <c r="R156" s="271">
        <v>841977.03428459994</v>
      </c>
      <c r="S156" s="274">
        <v>760583.68668116152</v>
      </c>
      <c r="T156" s="271">
        <v>721732.63531175023</v>
      </c>
      <c r="U156" s="272">
        <v>695456.70471542398</v>
      </c>
      <c r="V156" s="272">
        <v>519943.59548334242</v>
      </c>
      <c r="W156" s="272">
        <v>349226.31778410723</v>
      </c>
      <c r="X156" s="272">
        <v>332224.11537197762</v>
      </c>
      <c r="Y156" s="272">
        <v>320708.84802360961</v>
      </c>
      <c r="Z156" s="272">
        <v>261775.03246869598</v>
      </c>
      <c r="AA156" s="272">
        <v>207119.7960724656</v>
      </c>
      <c r="AB156" s="272">
        <v>204640.52554137597</v>
      </c>
      <c r="AC156" s="272">
        <v>182376.3093259056</v>
      </c>
      <c r="AD156" s="236">
        <v>159159.30856998722</v>
      </c>
      <c r="AE156" s="236">
        <v>156880.03663073276</v>
      </c>
      <c r="AF156" s="236">
        <v>156577.43964621596</v>
      </c>
      <c r="AG156" s="236">
        <v>156576.09527147998</v>
      </c>
      <c r="AH156" s="236">
        <v>156574.75099180316</v>
      </c>
      <c r="AI156" s="236">
        <v>78290.670212126395</v>
      </c>
      <c r="AJ156" s="236">
        <v>3.0246649200000002</v>
      </c>
      <c r="AK156" s="236">
        <v>1.0082216399999999</v>
      </c>
      <c r="AL156" s="236">
        <v>0</v>
      </c>
      <c r="AM156" s="236">
        <v>0</v>
      </c>
      <c r="AN156" s="236">
        <v>0</v>
      </c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</row>
    <row r="157" spans="1:63" s="133" customFormat="1" ht="12.75">
      <c r="A157" s="169"/>
      <c r="B157" s="307" t="str">
        <f>Servicio_internaColumna_título_total</f>
        <v>Total</v>
      </c>
      <c r="C157" s="310">
        <v>0</v>
      </c>
      <c r="D157" s="311"/>
      <c r="E157" s="311"/>
      <c r="F157" s="311"/>
      <c r="G157" s="311">
        <v>9446393.1038699094</v>
      </c>
      <c r="H157" s="311">
        <v>7861859.5917018093</v>
      </c>
      <c r="I157" s="311">
        <v>7935798.9877530001</v>
      </c>
      <c r="J157" s="311">
        <v>9315087.2431113459</v>
      </c>
      <c r="K157" s="311">
        <v>7741427.2702202443</v>
      </c>
      <c r="L157" s="311">
        <v>6868408.9201750513</v>
      </c>
      <c r="M157" s="311">
        <v>5249066.41289315</v>
      </c>
      <c r="N157" s="311">
        <v>5471171.8802868091</v>
      </c>
      <c r="O157" s="311">
        <v>4696434.2641431745</v>
      </c>
      <c r="P157" s="311">
        <v>4335159.5472348239</v>
      </c>
      <c r="Q157" s="311">
        <v>3257121.3865334345</v>
      </c>
      <c r="R157" s="311">
        <v>2537502.8398822802</v>
      </c>
      <c r="S157" s="312">
        <v>1553237.3344696849</v>
      </c>
      <c r="T157" s="311">
        <v>1265771.4178614335</v>
      </c>
      <c r="U157" s="311">
        <v>1198468.4390993328</v>
      </c>
      <c r="V157" s="311">
        <v>3494299.2126558386</v>
      </c>
      <c r="W157" s="311">
        <v>726342.3127459439</v>
      </c>
      <c r="X157" s="311">
        <v>575478.94915128965</v>
      </c>
      <c r="Y157" s="311">
        <v>562687.0698750529</v>
      </c>
      <c r="Z157" s="311">
        <v>1619235.2837600783</v>
      </c>
      <c r="AA157" s="311">
        <v>267624.79782846238</v>
      </c>
      <c r="AB157" s="311">
        <v>255212.09632144315</v>
      </c>
      <c r="AC157" s="311">
        <v>709688.03836538875</v>
      </c>
      <c r="AD157" s="311">
        <v>207318.85067891522</v>
      </c>
      <c r="AE157" s="311">
        <v>174457.75888049277</v>
      </c>
      <c r="AF157" s="311">
        <v>163197.40858051676</v>
      </c>
      <c r="AG157" s="311">
        <v>163196.06420578077</v>
      </c>
      <c r="AH157" s="311">
        <v>162280.68916784157</v>
      </c>
      <c r="AI157" s="311">
        <v>1593061.4083881648</v>
      </c>
      <c r="AJ157" s="311">
        <v>5708.9628409583993</v>
      </c>
      <c r="AK157" s="311">
        <v>90.628466923199994</v>
      </c>
      <c r="AL157" s="311">
        <v>0</v>
      </c>
      <c r="AM157" s="311">
        <v>0</v>
      </c>
      <c r="AN157" s="311">
        <v>0</v>
      </c>
      <c r="AO157" s="311"/>
      <c r="AP157" s="311"/>
      <c r="AQ157" s="311"/>
      <c r="AR157" s="311"/>
      <c r="AS157" s="311"/>
      <c r="AT157" s="311"/>
      <c r="AU157" s="311"/>
      <c r="AV157" s="311"/>
      <c r="AW157" s="311"/>
      <c r="AX157" s="311"/>
      <c r="AY157" s="311"/>
      <c r="AZ157" s="311"/>
      <c r="BA157" s="311"/>
      <c r="BB157" s="311"/>
      <c r="BC157" s="311"/>
      <c r="BD157" s="311"/>
      <c r="BE157" s="311"/>
      <c r="BF157" s="311"/>
      <c r="BG157" s="311"/>
      <c r="BH157" s="311"/>
      <c r="BI157" s="311"/>
      <c r="BJ157" s="311"/>
      <c r="BK157" s="311"/>
    </row>
    <row r="158" spans="1:63" s="80" customFormat="1" ht="12.75">
      <c r="A158" s="167"/>
      <c r="B158" s="210" t="str">
        <f>Servicio_internaColumna_título_amortizaciones</f>
        <v>Amortizaciones</v>
      </c>
      <c r="C158" s="269">
        <v>0</v>
      </c>
      <c r="D158" s="235"/>
      <c r="E158" s="235"/>
      <c r="F158" s="235"/>
      <c r="G158" s="235">
        <v>2908315.3626444992</v>
      </c>
      <c r="H158" s="235">
        <v>3993620.432276669</v>
      </c>
      <c r="I158" s="235">
        <v>4307633.6113319928</v>
      </c>
      <c r="J158" s="235">
        <v>5882431.1062430022</v>
      </c>
      <c r="K158" s="235">
        <v>4939413.7731300611</v>
      </c>
      <c r="L158" s="235">
        <v>4385322.885401547</v>
      </c>
      <c r="M158" s="235">
        <v>3163054.7817670163</v>
      </c>
      <c r="N158" s="235">
        <v>3711645.1810556138</v>
      </c>
      <c r="O158" s="235">
        <v>3265920.3315868713</v>
      </c>
      <c r="P158" s="235">
        <v>3124598.7496964624</v>
      </c>
      <c r="Q158" s="235">
        <v>2263631.0540098227</v>
      </c>
      <c r="R158" s="235">
        <v>1724704.4736574255</v>
      </c>
      <c r="S158" s="273">
        <v>832473.16330636258</v>
      </c>
      <c r="T158" s="235">
        <v>563715.22988721263</v>
      </c>
      <c r="U158" s="235">
        <v>499755.38180804724</v>
      </c>
      <c r="V158" s="235">
        <v>2938226.9800665346</v>
      </c>
      <c r="W158" s="235">
        <v>375471.74361288123</v>
      </c>
      <c r="X158" s="235">
        <v>243294.88370239802</v>
      </c>
      <c r="Y158" s="235">
        <v>242028.12096034441</v>
      </c>
      <c r="Z158" s="235">
        <v>1342672.9176229842</v>
      </c>
      <c r="AA158" s="235">
        <v>62968.709728097798</v>
      </c>
      <c r="AB158" s="235">
        <v>53167.405154725391</v>
      </c>
      <c r="AC158" s="235">
        <v>523566.35439804185</v>
      </c>
      <c r="AD158" s="235">
        <v>50787.459323035597</v>
      </c>
      <c r="AE158" s="235">
        <v>20612.413905793597</v>
      </c>
      <c r="AF158" s="235">
        <v>8164.4558765483998</v>
      </c>
      <c r="AG158" s="235">
        <v>6528.5000593229997</v>
      </c>
      <c r="AH158" s="235">
        <v>5626.6269932223995</v>
      </c>
      <c r="AI158" s="235">
        <v>1494619.0769932223</v>
      </c>
      <c r="AJ158" s="235">
        <v>5626.6269932223995</v>
      </c>
      <c r="AK158" s="235">
        <v>86.720467902199985</v>
      </c>
      <c r="AL158" s="235">
        <v>0</v>
      </c>
      <c r="AM158" s="235">
        <v>0</v>
      </c>
      <c r="AN158" s="235">
        <v>0</v>
      </c>
      <c r="AO158" s="235"/>
      <c r="AP158" s="235"/>
      <c r="AQ158" s="235"/>
      <c r="AR158" s="235"/>
      <c r="AS158" s="235"/>
      <c r="AT158" s="235"/>
      <c r="AU158" s="235"/>
      <c r="AV158" s="235"/>
      <c r="AW158" s="235"/>
      <c r="AX158" s="235"/>
      <c r="AY158" s="235"/>
      <c r="AZ158" s="235"/>
      <c r="BA158" s="235"/>
      <c r="BB158" s="235"/>
      <c r="BC158" s="235"/>
      <c r="BD158" s="235"/>
      <c r="BE158" s="235"/>
      <c r="BF158" s="235"/>
      <c r="BG158" s="235"/>
      <c r="BH158" s="235"/>
      <c r="BI158" s="235"/>
      <c r="BJ158" s="235"/>
      <c r="BK158" s="235"/>
    </row>
    <row r="159" spans="1:63" s="133" customFormat="1" ht="12.75">
      <c r="A159" s="168">
        <v>38472</v>
      </c>
      <c r="B159" s="213" t="str">
        <f>Servicio_internaColumna_título_intereses</f>
        <v>Intereses</v>
      </c>
      <c r="C159" s="270">
        <v>0</v>
      </c>
      <c r="D159" s="271"/>
      <c r="E159" s="271"/>
      <c r="F159" s="271"/>
      <c r="G159" s="271">
        <v>2387844.3360454966</v>
      </c>
      <c r="H159" s="271">
        <v>3836269.579792357</v>
      </c>
      <c r="I159" s="271">
        <v>3582241.9988117097</v>
      </c>
      <c r="J159" s="271">
        <v>3302427.8472211147</v>
      </c>
      <c r="K159" s="271">
        <v>2718834.9424614487</v>
      </c>
      <c r="L159" s="271">
        <v>2427308.1410686937</v>
      </c>
      <c r="M159" s="271">
        <v>2055080.8034134321</v>
      </c>
      <c r="N159" s="271">
        <v>1701026.4284649128</v>
      </c>
      <c r="O159" s="271">
        <v>1410579.1506315838</v>
      </c>
      <c r="P159" s="271">
        <v>1221037.3853196178</v>
      </c>
      <c r="Q159" s="271">
        <v>1021682.13634364</v>
      </c>
      <c r="R159" s="271">
        <v>840282.2815928387</v>
      </c>
      <c r="S159" s="274">
        <v>756857.69346069184</v>
      </c>
      <c r="T159" s="271">
        <v>715380.27995759912</v>
      </c>
      <c r="U159" s="272">
        <v>688491.94399281451</v>
      </c>
      <c r="V159" s="272">
        <v>515089.37694449391</v>
      </c>
      <c r="W159" s="272">
        <v>346409.08039492695</v>
      </c>
      <c r="X159" s="272">
        <v>329414.4422981643</v>
      </c>
      <c r="Y159" s="272">
        <v>317837.73019069387</v>
      </c>
      <c r="Z159" s="272">
        <v>259476.65636371158</v>
      </c>
      <c r="AA159" s="272">
        <v>205330.46877520427</v>
      </c>
      <c r="AB159" s="272">
        <v>202669.63626562065</v>
      </c>
      <c r="AC159" s="272">
        <v>180473.33991484487</v>
      </c>
      <c r="AD159" s="236">
        <v>157405.08799083749</v>
      </c>
      <c r="AE159" s="236">
        <v>154994.16497262829</v>
      </c>
      <c r="AF159" s="236">
        <v>154534.72678511121</v>
      </c>
      <c r="AG159" s="236">
        <v>154493.31319188798</v>
      </c>
      <c r="AH159" s="236">
        <v>154492.01239870419</v>
      </c>
      <c r="AI159" s="236">
        <v>77249.228285219084</v>
      </c>
      <c r="AJ159" s="236">
        <v>2.9268198366</v>
      </c>
      <c r="AK159" s="236">
        <v>0.97558316349999996</v>
      </c>
      <c r="AL159" s="236">
        <v>0</v>
      </c>
      <c r="AM159" s="236">
        <v>0</v>
      </c>
      <c r="AN159" s="236">
        <v>0</v>
      </c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</row>
    <row r="160" spans="1:63" s="133" customFormat="1" ht="12.75">
      <c r="A160" s="169"/>
      <c r="B160" s="307" t="str">
        <f>Servicio_internaColumna_título_total</f>
        <v>Total</v>
      </c>
      <c r="C160" s="310">
        <v>0</v>
      </c>
      <c r="D160" s="311"/>
      <c r="E160" s="311"/>
      <c r="F160" s="311"/>
      <c r="G160" s="311">
        <v>5296159.6986899953</v>
      </c>
      <c r="H160" s="311">
        <v>7829890.012069026</v>
      </c>
      <c r="I160" s="311">
        <v>7889875.6101437025</v>
      </c>
      <c r="J160" s="311">
        <v>9184858.9534641169</v>
      </c>
      <c r="K160" s="311">
        <v>7658248.7155915098</v>
      </c>
      <c r="L160" s="311">
        <v>6812631.0264702402</v>
      </c>
      <c r="M160" s="311">
        <v>5218135.5851804484</v>
      </c>
      <c r="N160" s="311">
        <v>5412671.6095205266</v>
      </c>
      <c r="O160" s="311">
        <v>4676499.4822184555</v>
      </c>
      <c r="P160" s="311">
        <v>4345636.13501608</v>
      </c>
      <c r="Q160" s="311">
        <v>3285313.1903534625</v>
      </c>
      <c r="R160" s="311">
        <v>2564986.755250264</v>
      </c>
      <c r="S160" s="312">
        <v>1589330.8567670544</v>
      </c>
      <c r="T160" s="311">
        <v>1279095.5098448116</v>
      </c>
      <c r="U160" s="311">
        <v>1188247.3258008617</v>
      </c>
      <c r="V160" s="311">
        <v>3453316.3570110286</v>
      </c>
      <c r="W160" s="311">
        <v>721880.82400780823</v>
      </c>
      <c r="X160" s="311">
        <v>572709.32600056229</v>
      </c>
      <c r="Y160" s="311">
        <v>559865.85115103831</v>
      </c>
      <c r="Z160" s="311">
        <v>1602149.5739866956</v>
      </c>
      <c r="AA160" s="311">
        <v>268299.17850330204</v>
      </c>
      <c r="AB160" s="311">
        <v>255837.04142034604</v>
      </c>
      <c r="AC160" s="311">
        <v>704039.69431288668</v>
      </c>
      <c r="AD160" s="311">
        <v>208192.54731387307</v>
      </c>
      <c r="AE160" s="311">
        <v>175606.57887842189</v>
      </c>
      <c r="AF160" s="311">
        <v>162699.18266165961</v>
      </c>
      <c r="AG160" s="311">
        <v>161021.81325121099</v>
      </c>
      <c r="AH160" s="311">
        <v>160118.63939192658</v>
      </c>
      <c r="AI160" s="311">
        <v>1571868.3052784414</v>
      </c>
      <c r="AJ160" s="311">
        <v>5629.5538130589994</v>
      </c>
      <c r="AK160" s="311">
        <v>87.69605106569999</v>
      </c>
      <c r="AL160" s="311">
        <v>0</v>
      </c>
      <c r="AM160" s="311">
        <v>0</v>
      </c>
      <c r="AN160" s="311">
        <v>0</v>
      </c>
      <c r="AO160" s="311"/>
      <c r="AP160" s="311"/>
      <c r="AQ160" s="311"/>
      <c r="AR160" s="311"/>
      <c r="AS160" s="311"/>
      <c r="AT160" s="311"/>
      <c r="AU160" s="311"/>
      <c r="AV160" s="311"/>
      <c r="AW160" s="311"/>
      <c r="AX160" s="311"/>
      <c r="AY160" s="311"/>
      <c r="AZ160" s="311"/>
      <c r="BA160" s="311"/>
      <c r="BB160" s="311"/>
      <c r="BC160" s="311"/>
      <c r="BD160" s="311"/>
      <c r="BE160" s="311"/>
      <c r="BF160" s="311"/>
      <c r="BG160" s="311"/>
      <c r="BH160" s="311"/>
      <c r="BI160" s="311"/>
      <c r="BJ160" s="311"/>
      <c r="BK160" s="311"/>
    </row>
    <row r="161" spans="1:63" s="80" customFormat="1" ht="12.75">
      <c r="A161" s="167"/>
      <c r="B161" s="210" t="str">
        <f>Servicio_internaColumna_título_amortizaciones</f>
        <v>Amortizaciones</v>
      </c>
      <c r="C161" s="269">
        <v>0</v>
      </c>
      <c r="D161" s="235"/>
      <c r="E161" s="235"/>
      <c r="F161" s="235"/>
      <c r="G161" s="235">
        <v>2771634.0470982911</v>
      </c>
      <c r="H161" s="235">
        <v>3826783.1092562973</v>
      </c>
      <c r="I161" s="235">
        <v>4139587.9863480162</v>
      </c>
      <c r="J161" s="235">
        <v>5841110.8077097712</v>
      </c>
      <c r="K161" s="235">
        <v>4842948.3182206014</v>
      </c>
      <c r="L161" s="235">
        <v>4620386.0837006522</v>
      </c>
      <c r="M161" s="235">
        <v>3526214.7064271644</v>
      </c>
      <c r="N161" s="235">
        <v>3772314.1021011421</v>
      </c>
      <c r="O161" s="235">
        <v>3328932.4903532853</v>
      </c>
      <c r="P161" s="235">
        <v>3110205.4961222373</v>
      </c>
      <c r="Q161" s="235">
        <v>2265604.4529350111</v>
      </c>
      <c r="R161" s="235">
        <v>1717545.5878438021</v>
      </c>
      <c r="S161" s="273">
        <v>831991.04734873236</v>
      </c>
      <c r="T161" s="235">
        <v>564619.09859773715</v>
      </c>
      <c r="U161" s="235">
        <v>501059.59458606405</v>
      </c>
      <c r="V161" s="235">
        <v>2926970.1892400486</v>
      </c>
      <c r="W161" s="235">
        <v>377418.29559471505</v>
      </c>
      <c r="X161" s="235">
        <v>246008.45260232073</v>
      </c>
      <c r="Y161" s="235">
        <v>244765.96766120044</v>
      </c>
      <c r="Z161" s="235">
        <v>1339740.6040798281</v>
      </c>
      <c r="AA161" s="235">
        <v>62645.047602308798</v>
      </c>
      <c r="AB161" s="235">
        <v>52894.236130577992</v>
      </c>
      <c r="AC161" s="235">
        <v>520869.84450345841</v>
      </c>
      <c r="AD161" s="235">
        <v>50526.550998051403</v>
      </c>
      <c r="AE161" s="235">
        <v>20506.957502937399</v>
      </c>
      <c r="AF161" s="235">
        <v>8123.1272645689996</v>
      </c>
      <c r="AG161" s="235">
        <v>6495.5993543371997</v>
      </c>
      <c r="AH161" s="235">
        <v>5598.372442027</v>
      </c>
      <c r="AI161" s="235">
        <v>1486920.022442027</v>
      </c>
      <c r="AJ161" s="235">
        <v>5598.372442027</v>
      </c>
      <c r="AK161" s="235">
        <v>86.6397039605</v>
      </c>
      <c r="AL161" s="235">
        <v>0</v>
      </c>
      <c r="AM161" s="235">
        <v>0</v>
      </c>
      <c r="AN161" s="235">
        <v>0</v>
      </c>
      <c r="AO161" s="235"/>
      <c r="AP161" s="235"/>
      <c r="AQ161" s="235"/>
      <c r="AR161" s="235"/>
      <c r="AS161" s="235"/>
      <c r="AT161" s="235"/>
      <c r="AU161" s="235"/>
      <c r="AV161" s="235"/>
      <c r="AW161" s="235"/>
      <c r="AX161" s="235"/>
      <c r="AY161" s="235"/>
      <c r="AZ161" s="235"/>
      <c r="BA161" s="235"/>
      <c r="BB161" s="235"/>
      <c r="BC161" s="235"/>
      <c r="BD161" s="235"/>
      <c r="BE161" s="235"/>
      <c r="BF161" s="235"/>
      <c r="BG161" s="235"/>
      <c r="BH161" s="235"/>
      <c r="BI161" s="235"/>
      <c r="BJ161" s="235"/>
      <c r="BK161" s="235"/>
    </row>
    <row r="162" spans="1:63" s="133" customFormat="1" ht="12.75">
      <c r="A162" s="168">
        <v>38503</v>
      </c>
      <c r="B162" s="213" t="str">
        <f>Servicio_internaColumna_título_intereses</f>
        <v>Intereses</v>
      </c>
      <c r="C162" s="270">
        <v>0</v>
      </c>
      <c r="D162" s="271"/>
      <c r="E162" s="271"/>
      <c r="F162" s="271"/>
      <c r="G162" s="271">
        <v>2077580.4860928797</v>
      </c>
      <c r="H162" s="271">
        <v>3850642.9052516688</v>
      </c>
      <c r="I162" s="271">
        <v>3605851.8872283157</v>
      </c>
      <c r="J162" s="271">
        <v>3339774.9258200345</v>
      </c>
      <c r="K162" s="271">
        <v>2778615.5011515412</v>
      </c>
      <c r="L162" s="271">
        <v>2498924.5457540262</v>
      </c>
      <c r="M162" s="271">
        <v>2094101.7675351202</v>
      </c>
      <c r="N162" s="271">
        <v>1708385.8926210378</v>
      </c>
      <c r="O162" s="271">
        <v>1406407.3534153779</v>
      </c>
      <c r="P162" s="271">
        <v>1215822.3806140069</v>
      </c>
      <c r="Q162" s="271">
        <v>1017625.0638141657</v>
      </c>
      <c r="R162" s="271">
        <v>835859.02248997893</v>
      </c>
      <c r="S162" s="274">
        <v>752962.16755068942</v>
      </c>
      <c r="T162" s="271">
        <v>711701.5567364085</v>
      </c>
      <c r="U162" s="272">
        <v>684953.80413898942</v>
      </c>
      <c r="V162" s="272">
        <v>512445.82253069052</v>
      </c>
      <c r="W162" s="272">
        <v>344635.73269994446</v>
      </c>
      <c r="X162" s="272">
        <v>327729.52842727723</v>
      </c>
      <c r="Y162" s="272">
        <v>316211.77232372208</v>
      </c>
      <c r="Z162" s="272">
        <v>258150.49232978348</v>
      </c>
      <c r="AA162" s="272">
        <v>204272.7354190523</v>
      </c>
      <c r="AB162" s="272">
        <v>201625.60513914668</v>
      </c>
      <c r="AC162" s="272">
        <v>179543.6513341016</v>
      </c>
      <c r="AD162" s="236">
        <v>156594.23398451929</v>
      </c>
      <c r="AE162" s="236">
        <v>154195.72574437849</v>
      </c>
      <c r="AF162" s="236">
        <v>153738.64894943131</v>
      </c>
      <c r="AG162" s="236">
        <v>153697.4432233804</v>
      </c>
      <c r="AH162" s="236">
        <v>153696.14364939931</v>
      </c>
      <c r="AI162" s="236">
        <v>76851.283458340302</v>
      </c>
      <c r="AJ162" s="236">
        <v>2.9240822813</v>
      </c>
      <c r="AK162" s="236">
        <v>0.97468631780000003</v>
      </c>
      <c r="AL162" s="236">
        <v>0</v>
      </c>
      <c r="AM162" s="236">
        <v>0</v>
      </c>
      <c r="AN162" s="236">
        <v>0</v>
      </c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/>
      <c r="AY162" s="236"/>
      <c r="AZ162" s="236"/>
      <c r="BA162" s="236"/>
      <c r="BB162" s="236"/>
      <c r="BC162" s="236"/>
      <c r="BD162" s="236"/>
      <c r="BE162" s="236"/>
      <c r="BF162" s="236"/>
      <c r="BG162" s="236"/>
      <c r="BH162" s="236"/>
      <c r="BI162" s="236"/>
      <c r="BJ162" s="236"/>
      <c r="BK162" s="236"/>
    </row>
    <row r="163" spans="1:63" s="133" customFormat="1" ht="12.75">
      <c r="A163" s="169"/>
      <c r="B163" s="307" t="str">
        <f>Servicio_internaColumna_título_total</f>
        <v>Total</v>
      </c>
      <c r="C163" s="310">
        <v>0</v>
      </c>
      <c r="D163" s="311"/>
      <c r="E163" s="311"/>
      <c r="F163" s="311"/>
      <c r="G163" s="311">
        <v>4849214.5331911705</v>
      </c>
      <c r="H163" s="311">
        <v>7677426.0145079661</v>
      </c>
      <c r="I163" s="311">
        <v>7745439.8735763319</v>
      </c>
      <c r="J163" s="311">
        <v>9180885.7335298061</v>
      </c>
      <c r="K163" s="311">
        <v>7621563.8193721427</v>
      </c>
      <c r="L163" s="311">
        <v>7119310.6294546779</v>
      </c>
      <c r="M163" s="311">
        <v>5620316.4739622846</v>
      </c>
      <c r="N163" s="311">
        <v>5480699.9947221801</v>
      </c>
      <c r="O163" s="311">
        <v>4735339.8437686637</v>
      </c>
      <c r="P163" s="311">
        <v>4326027.8767362442</v>
      </c>
      <c r="Q163" s="311">
        <v>3283229.5167491767</v>
      </c>
      <c r="R163" s="311">
        <v>2553404.6103337808</v>
      </c>
      <c r="S163" s="312">
        <v>1584953.2148994217</v>
      </c>
      <c r="T163" s="311">
        <v>1276320.6553341458</v>
      </c>
      <c r="U163" s="311">
        <v>1186013.3987250535</v>
      </c>
      <c r="V163" s="311">
        <v>3439416.0117707392</v>
      </c>
      <c r="W163" s="311">
        <v>722054.02829465945</v>
      </c>
      <c r="X163" s="311">
        <v>573737.98102959793</v>
      </c>
      <c r="Y163" s="311">
        <v>560977.73998492258</v>
      </c>
      <c r="Z163" s="311">
        <v>1597891.0964096116</v>
      </c>
      <c r="AA163" s="311">
        <v>266917.7830213611</v>
      </c>
      <c r="AB163" s="311">
        <v>254519.84126972465</v>
      </c>
      <c r="AC163" s="311">
        <v>700413.49583756004</v>
      </c>
      <c r="AD163" s="311">
        <v>207120.78498257068</v>
      </c>
      <c r="AE163" s="311">
        <v>174702.6832473159</v>
      </c>
      <c r="AF163" s="311">
        <v>161861.7762140003</v>
      </c>
      <c r="AG163" s="311">
        <v>160193.0425777176</v>
      </c>
      <c r="AH163" s="311">
        <v>159294.51609142631</v>
      </c>
      <c r="AI163" s="311">
        <v>1563771.3059003672</v>
      </c>
      <c r="AJ163" s="311">
        <v>5601.2965243082999</v>
      </c>
      <c r="AK163" s="311">
        <v>87.614390278300007</v>
      </c>
      <c r="AL163" s="311">
        <v>0</v>
      </c>
      <c r="AM163" s="311">
        <v>0</v>
      </c>
      <c r="AN163" s="311">
        <v>0</v>
      </c>
      <c r="AO163" s="311"/>
      <c r="AP163" s="311"/>
      <c r="AQ163" s="311"/>
      <c r="AR163" s="311"/>
      <c r="AS163" s="311"/>
      <c r="AT163" s="311"/>
      <c r="AU163" s="311"/>
      <c r="AV163" s="311"/>
      <c r="AW163" s="311"/>
      <c r="AX163" s="311"/>
      <c r="AY163" s="311"/>
      <c r="AZ163" s="311"/>
      <c r="BA163" s="311"/>
      <c r="BB163" s="311"/>
      <c r="BC163" s="311"/>
      <c r="BD163" s="311"/>
      <c r="BE163" s="311"/>
      <c r="BF163" s="311"/>
      <c r="BG163" s="311"/>
      <c r="BH163" s="311"/>
      <c r="BI163" s="311"/>
      <c r="BJ163" s="311"/>
      <c r="BK163" s="311"/>
    </row>
    <row r="164" spans="1:63" s="80" customFormat="1" ht="12.75">
      <c r="A164" s="167"/>
      <c r="B164" s="210" t="str">
        <f>Servicio_internaColumna_título_amortizaciones</f>
        <v>Amortizaciones</v>
      </c>
      <c r="C164" s="269">
        <v>0</v>
      </c>
      <c r="D164" s="235"/>
      <c r="E164" s="235"/>
      <c r="F164" s="235"/>
      <c r="G164" s="235">
        <v>2072170.9202840568</v>
      </c>
      <c r="H164" s="235">
        <v>3540082.9382689092</v>
      </c>
      <c r="I164" s="235">
        <v>3760485.1954292613</v>
      </c>
      <c r="J164" s="235">
        <v>5484499.5409024386</v>
      </c>
      <c r="K164" s="235">
        <v>4841968.4900885373</v>
      </c>
      <c r="L164" s="235">
        <v>4659834.0084130457</v>
      </c>
      <c r="M164" s="235">
        <v>3452672.6450204505</v>
      </c>
      <c r="N164" s="235">
        <v>3802103.9616899891</v>
      </c>
      <c r="O164" s="235">
        <v>3359777.3627289534</v>
      </c>
      <c r="P164" s="235">
        <v>3141225.7939574816</v>
      </c>
      <c r="Q164" s="235">
        <v>2303986.0983232036</v>
      </c>
      <c r="R164" s="235">
        <v>1752554.8377563849</v>
      </c>
      <c r="S164" s="273">
        <v>868356.85403365479</v>
      </c>
      <c r="T164" s="235">
        <v>597699.42945552454</v>
      </c>
      <c r="U164" s="235">
        <v>531867.66416103067</v>
      </c>
      <c r="V164" s="235">
        <v>2943703.5331630679</v>
      </c>
      <c r="W164" s="235">
        <v>389511.59818052431</v>
      </c>
      <c r="X164" s="235">
        <v>258338.29834846806</v>
      </c>
      <c r="Y164" s="235">
        <v>257133.72960685805</v>
      </c>
      <c r="Z164" s="235">
        <v>1351648.3695647286</v>
      </c>
      <c r="AA164" s="235">
        <v>75089.318149965606</v>
      </c>
      <c r="AB164" s="235">
        <v>65342.602972904395</v>
      </c>
      <c r="AC164" s="235">
        <v>533121.61581159383</v>
      </c>
      <c r="AD164" s="235">
        <v>62975.912499747006</v>
      </c>
      <c r="AE164" s="235">
        <v>32968.930170501</v>
      </c>
      <c r="AF164" s="235">
        <v>14352.710602253401</v>
      </c>
      <c r="AG164" s="235">
        <v>6488.2746629532003</v>
      </c>
      <c r="AH164" s="235">
        <v>5591.4246737153999</v>
      </c>
      <c r="AI164" s="235">
        <v>1486290.7746737155</v>
      </c>
      <c r="AJ164" s="235">
        <v>5591.4246737153999</v>
      </c>
      <c r="AK164" s="235">
        <v>84.3053546907</v>
      </c>
      <c r="AL164" s="235">
        <v>0</v>
      </c>
      <c r="AM164" s="235">
        <v>0</v>
      </c>
      <c r="AN164" s="235">
        <v>0</v>
      </c>
      <c r="AO164" s="235"/>
      <c r="AP164" s="235"/>
      <c r="AQ164" s="235"/>
      <c r="AR164" s="235"/>
      <c r="AS164" s="235"/>
      <c r="AT164" s="235"/>
      <c r="AU164" s="235"/>
      <c r="AV164" s="235"/>
      <c r="AW164" s="235"/>
      <c r="AX164" s="235"/>
      <c r="AY164" s="235"/>
      <c r="AZ164" s="235"/>
      <c r="BA164" s="235"/>
      <c r="BB164" s="235"/>
      <c r="BC164" s="235"/>
      <c r="BD164" s="235"/>
      <c r="BE164" s="235"/>
      <c r="BF164" s="235"/>
      <c r="BG164" s="235"/>
      <c r="BH164" s="235"/>
      <c r="BI164" s="235"/>
      <c r="BJ164" s="235"/>
      <c r="BK164" s="235"/>
    </row>
    <row r="165" spans="1:63" s="133" customFormat="1" ht="12.75">
      <c r="A165" s="168">
        <v>38533</v>
      </c>
      <c r="B165" s="213" t="str">
        <f>Servicio_internaColumna_título_intereses</f>
        <v>Intereses</v>
      </c>
      <c r="C165" s="270">
        <v>0</v>
      </c>
      <c r="D165" s="271"/>
      <c r="E165" s="271"/>
      <c r="F165" s="271"/>
      <c r="G165" s="271">
        <v>1739372.396509636</v>
      </c>
      <c r="H165" s="271">
        <v>3770173.425826807</v>
      </c>
      <c r="I165" s="271">
        <v>3562490.4513071445</v>
      </c>
      <c r="J165" s="271">
        <v>3316048.5987518881</v>
      </c>
      <c r="K165" s="271">
        <v>2795590.5674776435</v>
      </c>
      <c r="L165" s="271">
        <v>2516374.2390280883</v>
      </c>
      <c r="M165" s="271">
        <v>2103409.9872492291</v>
      </c>
      <c r="N165" s="271">
        <v>1727438.5644102872</v>
      </c>
      <c r="O165" s="271">
        <v>1424165.6979502055</v>
      </c>
      <c r="P165" s="271">
        <v>1232183.716118831</v>
      </c>
      <c r="Q165" s="271">
        <v>1032476.9071240259</v>
      </c>
      <c r="R165" s="271">
        <v>848710.02604836237</v>
      </c>
      <c r="S165" s="274">
        <v>763716.00930598355</v>
      </c>
      <c r="T165" s="271">
        <v>720727.9099614945</v>
      </c>
      <c r="U165" s="272">
        <v>692299.30552378832</v>
      </c>
      <c r="V165" s="272">
        <v>518390.14606982452</v>
      </c>
      <c r="W165" s="272">
        <v>349758.77743477712</v>
      </c>
      <c r="X165" s="272">
        <v>332371.19244965218</v>
      </c>
      <c r="Y165" s="272">
        <v>320366.49247046339</v>
      </c>
      <c r="Z165" s="272">
        <v>261860.76082467986</v>
      </c>
      <c r="AA165" s="272">
        <v>207462.9432957939</v>
      </c>
      <c r="AB165" s="272">
        <v>204203.50980371545</v>
      </c>
      <c r="AC165" s="272">
        <v>181517.41717363798</v>
      </c>
      <c r="AD165" s="236">
        <v>157968.42717696301</v>
      </c>
      <c r="AE165" s="236">
        <v>154953.30949736037</v>
      </c>
      <c r="AF165" s="236">
        <v>153826.79051711789</v>
      </c>
      <c r="AG165" s="236">
        <v>153632.69429034149</v>
      </c>
      <c r="AH165" s="236">
        <v>153631.4297264604</v>
      </c>
      <c r="AI165" s="236">
        <v>76818.88640464739</v>
      </c>
      <c r="AJ165" s="236">
        <v>2.8452978801</v>
      </c>
      <c r="AK165" s="236">
        <v>0.94841708130000002</v>
      </c>
      <c r="AL165" s="236">
        <v>0</v>
      </c>
      <c r="AM165" s="236">
        <v>0</v>
      </c>
      <c r="AN165" s="236">
        <v>0</v>
      </c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/>
      <c r="BK165" s="236"/>
    </row>
    <row r="166" spans="1:63" s="133" customFormat="1" ht="12.75">
      <c r="A166" s="169"/>
      <c r="B166" s="307" t="str">
        <f>Servicio_internaColumna_título_total</f>
        <v>Total</v>
      </c>
      <c r="C166" s="310">
        <v>0</v>
      </c>
      <c r="D166" s="311"/>
      <c r="E166" s="311"/>
      <c r="F166" s="311"/>
      <c r="G166" s="311">
        <v>3811543.3167936928</v>
      </c>
      <c r="H166" s="311">
        <v>7310256.3640957158</v>
      </c>
      <c r="I166" s="311">
        <v>7322975.6467364058</v>
      </c>
      <c r="J166" s="311">
        <v>8800548.1396543272</v>
      </c>
      <c r="K166" s="311">
        <v>7637559.0575661808</v>
      </c>
      <c r="L166" s="311">
        <v>7176208.2474411335</v>
      </c>
      <c r="M166" s="311">
        <v>5556082.6322696796</v>
      </c>
      <c r="N166" s="311">
        <v>5529542.526100276</v>
      </c>
      <c r="O166" s="311">
        <v>4783943.0606791591</v>
      </c>
      <c r="P166" s="311">
        <v>4373409.5100763123</v>
      </c>
      <c r="Q166" s="311">
        <v>3336463.0054472294</v>
      </c>
      <c r="R166" s="311">
        <v>2601264.8638047474</v>
      </c>
      <c r="S166" s="312">
        <v>1632072.8633396383</v>
      </c>
      <c r="T166" s="311">
        <v>1318427.3394170189</v>
      </c>
      <c r="U166" s="311">
        <v>1224166.969684819</v>
      </c>
      <c r="V166" s="311">
        <v>3462093.6792328926</v>
      </c>
      <c r="W166" s="311">
        <v>739270.37561530143</v>
      </c>
      <c r="X166" s="311">
        <v>590709.49079812027</v>
      </c>
      <c r="Y166" s="311">
        <v>577500.22207732149</v>
      </c>
      <c r="Z166" s="311">
        <v>1613509.1303894084</v>
      </c>
      <c r="AA166" s="311">
        <v>282552.2614457595</v>
      </c>
      <c r="AB166" s="311">
        <v>269546.11277661985</v>
      </c>
      <c r="AC166" s="311">
        <v>714639.03298523184</v>
      </c>
      <c r="AD166" s="311">
        <v>220944.33967671002</v>
      </c>
      <c r="AE166" s="311">
        <v>187922.23966786137</v>
      </c>
      <c r="AF166" s="311">
        <v>168179.5011193713</v>
      </c>
      <c r="AG166" s="311">
        <v>160120.96895329468</v>
      </c>
      <c r="AH166" s="311">
        <v>159222.8544001758</v>
      </c>
      <c r="AI166" s="311">
        <v>1563109.661078363</v>
      </c>
      <c r="AJ166" s="311">
        <v>5594.2699715954996</v>
      </c>
      <c r="AK166" s="311">
        <v>85.253771771999993</v>
      </c>
      <c r="AL166" s="311">
        <v>0</v>
      </c>
      <c r="AM166" s="311">
        <v>0</v>
      </c>
      <c r="AN166" s="311">
        <v>0</v>
      </c>
      <c r="AO166" s="311"/>
      <c r="AP166" s="311"/>
      <c r="AQ166" s="311"/>
      <c r="AR166" s="311"/>
      <c r="AS166" s="311"/>
      <c r="AT166" s="311"/>
      <c r="AU166" s="311"/>
      <c r="AV166" s="311"/>
      <c r="AW166" s="311"/>
      <c r="AX166" s="311"/>
      <c r="AY166" s="311"/>
      <c r="AZ166" s="311"/>
      <c r="BA166" s="311"/>
      <c r="BB166" s="311"/>
      <c r="BC166" s="311"/>
      <c r="BD166" s="311"/>
      <c r="BE166" s="311"/>
      <c r="BF166" s="311"/>
      <c r="BG166" s="311"/>
      <c r="BH166" s="311"/>
      <c r="BI166" s="311"/>
      <c r="BJ166" s="311"/>
      <c r="BK166" s="311"/>
    </row>
    <row r="167" spans="1:63" s="80" customFormat="1" ht="12.75">
      <c r="A167" s="167"/>
      <c r="B167" s="210" t="str">
        <f>Servicio_internaColumna_título_amortizaciones</f>
        <v>Amortizaciones</v>
      </c>
      <c r="C167" s="269">
        <v>0</v>
      </c>
      <c r="D167" s="235"/>
      <c r="E167" s="235"/>
      <c r="F167" s="235"/>
      <c r="G167" s="235">
        <v>1840680.3684511669</v>
      </c>
      <c r="H167" s="235">
        <v>3507277.4451736915</v>
      </c>
      <c r="I167" s="235">
        <v>3726235.9711300908</v>
      </c>
      <c r="J167" s="235">
        <v>5404016.5648548938</v>
      </c>
      <c r="K167" s="235">
        <v>4837116.0360371843</v>
      </c>
      <c r="L167" s="235">
        <v>4653831.5993577484</v>
      </c>
      <c r="M167" s="235">
        <v>3447558.4870765088</v>
      </c>
      <c r="N167" s="235">
        <v>3806942.7240749388</v>
      </c>
      <c r="O167" s="235">
        <v>3375718.8253478212</v>
      </c>
      <c r="P167" s="235">
        <v>4319014.2418032512</v>
      </c>
      <c r="Q167" s="235">
        <v>2333362.5521960249</v>
      </c>
      <c r="R167" s="235">
        <v>1786798.689920522</v>
      </c>
      <c r="S167" s="273">
        <v>910489.64325899037</v>
      </c>
      <c r="T167" s="235">
        <v>603860.06198785198</v>
      </c>
      <c r="U167" s="235">
        <v>534624.87642876757</v>
      </c>
      <c r="V167" s="235">
        <v>2918447.1173966876</v>
      </c>
      <c r="W167" s="235">
        <v>386578.86191646155</v>
      </c>
      <c r="X167" s="235">
        <v>256558.27896171223</v>
      </c>
      <c r="Y167" s="235">
        <v>255365.52972173764</v>
      </c>
      <c r="Z167" s="235">
        <v>1340314.1208324286</v>
      </c>
      <c r="AA167" s="235">
        <v>74912.184906420385</v>
      </c>
      <c r="AB167" s="235">
        <v>59078.39136259829</v>
      </c>
      <c r="AC167" s="235">
        <v>528460.0654514269</v>
      </c>
      <c r="AD167" s="235">
        <v>62423.431675046195</v>
      </c>
      <c r="AE167" s="235">
        <v>32678.710121708202</v>
      </c>
      <c r="AF167" s="235">
        <v>14225.1961576054</v>
      </c>
      <c r="AG167" s="235">
        <v>6429.4953229847997</v>
      </c>
      <c r="AH167" s="235">
        <v>5540.4837951913996</v>
      </c>
      <c r="AI167" s="235">
        <v>1473298.5337951914</v>
      </c>
      <c r="AJ167" s="235">
        <v>5540.4837951913996</v>
      </c>
      <c r="AK167" s="235">
        <v>165.06517978939999</v>
      </c>
      <c r="AL167" s="235">
        <v>0</v>
      </c>
      <c r="AM167" s="235">
        <v>0</v>
      </c>
      <c r="AN167" s="235">
        <v>0</v>
      </c>
      <c r="AO167" s="235"/>
      <c r="AP167" s="235"/>
      <c r="AQ167" s="235"/>
      <c r="AR167" s="235"/>
      <c r="AS167" s="235"/>
      <c r="AT167" s="235"/>
      <c r="AU167" s="235"/>
      <c r="AV167" s="235"/>
      <c r="AW167" s="235"/>
      <c r="AX167" s="235"/>
      <c r="AY167" s="235"/>
      <c r="AZ167" s="235"/>
      <c r="BA167" s="235"/>
      <c r="BB167" s="235"/>
      <c r="BC167" s="235"/>
      <c r="BD167" s="235"/>
      <c r="BE167" s="235"/>
      <c r="BF167" s="235"/>
      <c r="BG167" s="235"/>
      <c r="BH167" s="235"/>
      <c r="BI167" s="235"/>
      <c r="BJ167" s="235"/>
      <c r="BK167" s="235"/>
    </row>
    <row r="168" spans="1:63" s="133" customFormat="1" ht="12.75">
      <c r="A168" s="168">
        <v>38564</v>
      </c>
      <c r="B168" s="213" t="str">
        <f>Servicio_internaColumna_título_intereses</f>
        <v>Intereses</v>
      </c>
      <c r="C168" s="270">
        <v>0</v>
      </c>
      <c r="D168" s="271"/>
      <c r="E168" s="271"/>
      <c r="F168" s="271"/>
      <c r="G168" s="271">
        <v>1378141.1729065378</v>
      </c>
      <c r="H168" s="271">
        <v>3855121.9525879184</v>
      </c>
      <c r="I168" s="271">
        <v>3642000.1773197609</v>
      </c>
      <c r="J168" s="271">
        <v>3399162.3919028947</v>
      </c>
      <c r="K168" s="271">
        <v>2885845.9569071936</v>
      </c>
      <c r="L168" s="271">
        <v>2605582.5425750334</v>
      </c>
      <c r="M168" s="271">
        <v>2194587.7598758233</v>
      </c>
      <c r="N168" s="271">
        <v>1820946.4067729446</v>
      </c>
      <c r="O168" s="271">
        <v>1518042.1000711424</v>
      </c>
      <c r="P168" s="271">
        <v>1325091.045834173</v>
      </c>
      <c r="Q168" s="271">
        <v>1030399.8968453993</v>
      </c>
      <c r="R168" s="271">
        <v>846110.49679236417</v>
      </c>
      <c r="S168" s="274">
        <v>757698.77542382979</v>
      </c>
      <c r="T168" s="271">
        <v>712966.6104843819</v>
      </c>
      <c r="U168" s="272">
        <v>684531.64335859043</v>
      </c>
      <c r="V168" s="272">
        <v>512217.47822260828</v>
      </c>
      <c r="W168" s="272">
        <v>345344.0245837252</v>
      </c>
      <c r="X168" s="272">
        <v>328367.30275509157</v>
      </c>
      <c r="Y168" s="272">
        <v>316726.30567807017</v>
      </c>
      <c r="Z168" s="272">
        <v>258981.00632715627</v>
      </c>
      <c r="AA168" s="272">
        <v>205327.07015135259</v>
      </c>
      <c r="AB168" s="272">
        <v>202354.89282995136</v>
      </c>
      <c r="AC168" s="272">
        <v>179930.81273299656</v>
      </c>
      <c r="AD168" s="236">
        <v>156587.65622266688</v>
      </c>
      <c r="AE168" s="236">
        <v>153598.90620242298</v>
      </c>
      <c r="AF168" s="236">
        <v>152482.2485215051</v>
      </c>
      <c r="AG168" s="236">
        <v>152289.86425005979</v>
      </c>
      <c r="AH168" s="236">
        <v>152288.62627126608</v>
      </c>
      <c r="AI168" s="236">
        <v>76147.439448722376</v>
      </c>
      <c r="AJ168" s="236">
        <v>2.7854811787</v>
      </c>
      <c r="AK168" s="236">
        <v>1.5474561563999998</v>
      </c>
      <c r="AL168" s="236">
        <v>0</v>
      </c>
      <c r="AM168" s="236">
        <v>0</v>
      </c>
      <c r="AN168" s="236">
        <v>0</v>
      </c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/>
      <c r="AY168" s="236"/>
      <c r="AZ168" s="236"/>
      <c r="BA168" s="236"/>
      <c r="BB168" s="236"/>
      <c r="BC168" s="236"/>
      <c r="BD168" s="236"/>
      <c r="BE168" s="236"/>
      <c r="BF168" s="236"/>
      <c r="BG168" s="236"/>
      <c r="BH168" s="236"/>
      <c r="BI168" s="236"/>
      <c r="BJ168" s="236"/>
      <c r="BK168" s="236"/>
    </row>
    <row r="169" spans="1:63" s="133" customFormat="1" ht="12.75">
      <c r="A169" s="169"/>
      <c r="B169" s="307" t="str">
        <f>Servicio_internaColumna_título_total</f>
        <v>Total</v>
      </c>
      <c r="C169" s="310">
        <v>0</v>
      </c>
      <c r="D169" s="311"/>
      <c r="E169" s="311"/>
      <c r="F169" s="311"/>
      <c r="G169" s="311">
        <v>3218821.5413577044</v>
      </c>
      <c r="H169" s="311">
        <v>7362399.3977616094</v>
      </c>
      <c r="I169" s="311">
        <v>7368236.1484498512</v>
      </c>
      <c r="J169" s="311">
        <v>8803178.9567577876</v>
      </c>
      <c r="K169" s="311">
        <v>7722961.9929443784</v>
      </c>
      <c r="L169" s="311">
        <v>7259414.1419327818</v>
      </c>
      <c r="M169" s="311">
        <v>5642146.2469523326</v>
      </c>
      <c r="N169" s="311">
        <v>5627889.1308478834</v>
      </c>
      <c r="O169" s="311">
        <v>4893760.9254189637</v>
      </c>
      <c r="P169" s="311">
        <v>5644105.2876374237</v>
      </c>
      <c r="Q169" s="311">
        <v>3363762.4490414243</v>
      </c>
      <c r="R169" s="311">
        <v>2632909.1867128862</v>
      </c>
      <c r="S169" s="312">
        <v>1668188.4186828202</v>
      </c>
      <c r="T169" s="311">
        <v>1316826.6724722339</v>
      </c>
      <c r="U169" s="311">
        <v>1219156.5197873581</v>
      </c>
      <c r="V169" s="311">
        <v>3430664.5956192957</v>
      </c>
      <c r="W169" s="311">
        <v>731922.88650018675</v>
      </c>
      <c r="X169" s="311">
        <v>584925.58171680383</v>
      </c>
      <c r="Y169" s="311">
        <v>572091.83539980778</v>
      </c>
      <c r="Z169" s="311">
        <v>1599295.1271595848</v>
      </c>
      <c r="AA169" s="311">
        <v>280239.25505777297</v>
      </c>
      <c r="AB169" s="311">
        <v>261433.28419254965</v>
      </c>
      <c r="AC169" s="311">
        <v>708390.87818442343</v>
      </c>
      <c r="AD169" s="311">
        <v>219011.08789771306</v>
      </c>
      <c r="AE169" s="311">
        <v>186277.61632413117</v>
      </c>
      <c r="AF169" s="311">
        <v>166707.44467911049</v>
      </c>
      <c r="AG169" s="311">
        <v>158719.35957304458</v>
      </c>
      <c r="AH169" s="311">
        <v>157829.11006645748</v>
      </c>
      <c r="AI169" s="311">
        <v>1549445.9732439138</v>
      </c>
      <c r="AJ169" s="311">
        <v>5543.2692763700998</v>
      </c>
      <c r="AK169" s="311">
        <v>166.61263594579998</v>
      </c>
      <c r="AL169" s="311">
        <v>0</v>
      </c>
      <c r="AM169" s="311">
        <v>0</v>
      </c>
      <c r="AN169" s="311">
        <v>0</v>
      </c>
      <c r="AO169" s="311"/>
      <c r="AP169" s="311"/>
      <c r="AQ169" s="311"/>
      <c r="AR169" s="311"/>
      <c r="AS169" s="311"/>
      <c r="AT169" s="311"/>
      <c r="AU169" s="311"/>
      <c r="AV169" s="311"/>
      <c r="AW169" s="311"/>
      <c r="AX169" s="311"/>
      <c r="AY169" s="311"/>
      <c r="AZ169" s="311"/>
      <c r="BA169" s="311"/>
      <c r="BB169" s="311"/>
      <c r="BC169" s="311"/>
      <c r="BD169" s="311"/>
      <c r="BE169" s="311"/>
      <c r="BF169" s="311"/>
      <c r="BG169" s="311"/>
      <c r="BH169" s="311"/>
      <c r="BI169" s="311"/>
      <c r="BJ169" s="311"/>
      <c r="BK169" s="311"/>
    </row>
    <row r="170" spans="1:63" s="80" customFormat="1" ht="12.75">
      <c r="A170" s="167"/>
      <c r="B170" s="210" t="str">
        <f>Servicio_internaColumna_título_amortizaciones</f>
        <v>Amortizaciones</v>
      </c>
      <c r="C170" s="269">
        <v>0</v>
      </c>
      <c r="D170" s="235"/>
      <c r="E170" s="235"/>
      <c r="F170" s="235"/>
      <c r="G170" s="235">
        <v>1849032.111256209</v>
      </c>
      <c r="H170" s="235">
        <v>3496224.0249398882</v>
      </c>
      <c r="I170" s="235">
        <v>3714412.044666606</v>
      </c>
      <c r="J170" s="235">
        <v>5422860.1892120773</v>
      </c>
      <c r="K170" s="235">
        <v>4844255.7836889578</v>
      </c>
      <c r="L170" s="235">
        <v>4643815.449242061</v>
      </c>
      <c r="M170" s="235">
        <v>3474545.2829205994</v>
      </c>
      <c r="N170" s="235">
        <v>3817600.8113245955</v>
      </c>
      <c r="O170" s="235">
        <v>3387735.1253625927</v>
      </c>
      <c r="P170" s="235">
        <v>4328073.3591675311</v>
      </c>
      <c r="Q170" s="235">
        <v>2339516.8197475295</v>
      </c>
      <c r="R170" s="235">
        <v>1804124.189101551</v>
      </c>
      <c r="S170" s="273">
        <v>929699.93609394308</v>
      </c>
      <c r="T170" s="235">
        <v>613043.06735447422</v>
      </c>
      <c r="U170" s="235">
        <v>532992.94947041117</v>
      </c>
      <c r="V170" s="235">
        <v>2909461.1416193554</v>
      </c>
      <c r="W170" s="235">
        <v>385402.32786687306</v>
      </c>
      <c r="X170" s="235">
        <v>255729.59211844509</v>
      </c>
      <c r="Y170" s="235">
        <v>254529.54675904207</v>
      </c>
      <c r="Z170" s="235">
        <v>1336085.7520080302</v>
      </c>
      <c r="AA170" s="235">
        <v>74680.556014026006</v>
      </c>
      <c r="AB170" s="235">
        <v>58895.604506504998</v>
      </c>
      <c r="AC170" s="235">
        <v>526829.39077859104</v>
      </c>
      <c r="AD170" s="235">
        <v>62230.326471684013</v>
      </c>
      <c r="AE170" s="235">
        <v>32577.357584304002</v>
      </c>
      <c r="AF170" s="235">
        <v>14180.766630876</v>
      </c>
      <c r="AG170" s="235">
        <v>6409.1129648699998</v>
      </c>
      <c r="AH170" s="235">
        <v>5522.8437447359993</v>
      </c>
      <c r="AI170" s="235">
        <v>1468753.3437447362</v>
      </c>
      <c r="AJ170" s="235">
        <v>5522.8437447359993</v>
      </c>
      <c r="AK170" s="235">
        <v>164.006524716</v>
      </c>
      <c r="AL170" s="235">
        <v>0</v>
      </c>
      <c r="AM170" s="235">
        <v>0</v>
      </c>
      <c r="AN170" s="235">
        <v>0</v>
      </c>
      <c r="AO170" s="235"/>
      <c r="AP170" s="235"/>
      <c r="AQ170" s="235"/>
      <c r="AR170" s="235"/>
      <c r="AS170" s="235"/>
      <c r="AT170" s="235"/>
      <c r="AU170" s="235"/>
      <c r="AV170" s="235"/>
      <c r="AW170" s="235"/>
      <c r="AX170" s="235"/>
      <c r="AY170" s="235"/>
      <c r="AZ170" s="235"/>
      <c r="BA170" s="235"/>
      <c r="BB170" s="235"/>
      <c r="BC170" s="235"/>
      <c r="BD170" s="235"/>
      <c r="BE170" s="235"/>
      <c r="BF170" s="235"/>
      <c r="BG170" s="235"/>
      <c r="BH170" s="235"/>
      <c r="BI170" s="235"/>
      <c r="BJ170" s="235"/>
      <c r="BK170" s="235"/>
    </row>
    <row r="171" spans="1:63" s="133" customFormat="1" ht="12.75">
      <c r="A171" s="168">
        <v>38595</v>
      </c>
      <c r="B171" s="213" t="str">
        <f>Servicio_internaColumna_título_intereses</f>
        <v>Intereses</v>
      </c>
      <c r="C171" s="270">
        <v>0</v>
      </c>
      <c r="D171" s="271"/>
      <c r="E171" s="271"/>
      <c r="F171" s="271"/>
      <c r="G171" s="271">
        <v>1125815.543663793</v>
      </c>
      <c r="H171" s="271">
        <v>3859009.7265607901</v>
      </c>
      <c r="I171" s="271">
        <v>3644691.7155232085</v>
      </c>
      <c r="J171" s="271">
        <v>3424001.1785279103</v>
      </c>
      <c r="K171" s="271">
        <v>2870006.6789390789</v>
      </c>
      <c r="L171" s="271">
        <v>2578262.8400012129</v>
      </c>
      <c r="M171" s="271">
        <v>2200229.9479310457</v>
      </c>
      <c r="N171" s="271">
        <v>1824475.9423813829</v>
      </c>
      <c r="O171" s="271">
        <v>1520976.6451915288</v>
      </c>
      <c r="P171" s="271">
        <v>1326999.9156115591</v>
      </c>
      <c r="Q171" s="271">
        <v>1031717.3790633631</v>
      </c>
      <c r="R171" s="271">
        <v>847264.41680445592</v>
      </c>
      <c r="S171" s="274">
        <v>757521.42681086401</v>
      </c>
      <c r="T171" s="271">
        <v>711189.20846159686</v>
      </c>
      <c r="U171" s="272">
        <v>682410.20929354196</v>
      </c>
      <c r="V171" s="272">
        <v>510628.62706870498</v>
      </c>
      <c r="W171" s="272">
        <v>344271.00496920897</v>
      </c>
      <c r="X171" s="272">
        <v>327347.94194857805</v>
      </c>
      <c r="Y171" s="272">
        <v>315745.11310874403</v>
      </c>
      <c r="Z171" s="272">
        <v>258180.309783003</v>
      </c>
      <c r="AA171" s="272">
        <v>204693.65740376699</v>
      </c>
      <c r="AB171" s="272">
        <v>201730.65239485199</v>
      </c>
      <c r="AC171" s="272">
        <v>179375.747321601</v>
      </c>
      <c r="AD171" s="236">
        <v>156104.60090594404</v>
      </c>
      <c r="AE171" s="236">
        <v>153125.07429645897</v>
      </c>
      <c r="AF171" s="236">
        <v>152011.86526127698</v>
      </c>
      <c r="AG171" s="236">
        <v>151820.07855662101</v>
      </c>
      <c r="AH171" s="236">
        <v>151818.848521281</v>
      </c>
      <c r="AI171" s="236">
        <v>75912.536298441002</v>
      </c>
      <c r="AJ171" s="236">
        <v>2.7676025580000001</v>
      </c>
      <c r="AK171" s="236">
        <v>1.5375441750000001</v>
      </c>
      <c r="AL171" s="236">
        <v>0</v>
      </c>
      <c r="AM171" s="236">
        <v>0</v>
      </c>
      <c r="AN171" s="236">
        <v>0</v>
      </c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/>
      <c r="BK171" s="236"/>
    </row>
    <row r="172" spans="1:63" s="133" customFormat="1" ht="12.75">
      <c r="A172" s="169"/>
      <c r="B172" s="307" t="str">
        <f>Servicio_internaColumna_título_total</f>
        <v>Total</v>
      </c>
      <c r="C172" s="310">
        <v>0</v>
      </c>
      <c r="D172" s="311"/>
      <c r="E172" s="311"/>
      <c r="F172" s="311"/>
      <c r="G172" s="311">
        <v>2974847.654920002</v>
      </c>
      <c r="H172" s="311">
        <v>7355233.7515006782</v>
      </c>
      <c r="I172" s="311">
        <v>7359103.7601898145</v>
      </c>
      <c r="J172" s="311">
        <v>8846861.3677399866</v>
      </c>
      <c r="K172" s="311">
        <v>7714262.4626280367</v>
      </c>
      <c r="L172" s="311">
        <v>7222078.2892432734</v>
      </c>
      <c r="M172" s="311">
        <v>5674775.2308516447</v>
      </c>
      <c r="N172" s="311">
        <v>5642076.7537059784</v>
      </c>
      <c r="O172" s="311">
        <v>4908711.7705541216</v>
      </c>
      <c r="P172" s="311">
        <v>5655073.2747790907</v>
      </c>
      <c r="Q172" s="311">
        <v>3371234.1988108926</v>
      </c>
      <c r="R172" s="311">
        <v>2651388.6059060069</v>
      </c>
      <c r="S172" s="312">
        <v>1687221.3629048071</v>
      </c>
      <c r="T172" s="311">
        <v>1324232.2758160711</v>
      </c>
      <c r="U172" s="311">
        <v>1215403.158763953</v>
      </c>
      <c r="V172" s="311">
        <v>3420089.7686880603</v>
      </c>
      <c r="W172" s="311">
        <v>729673.33283608197</v>
      </c>
      <c r="X172" s="311">
        <v>583077.53406702308</v>
      </c>
      <c r="Y172" s="311">
        <v>570274.6598677861</v>
      </c>
      <c r="Z172" s="311">
        <v>1594266.0617910333</v>
      </c>
      <c r="AA172" s="311">
        <v>279374.21341779298</v>
      </c>
      <c r="AB172" s="311">
        <v>260626.25690135697</v>
      </c>
      <c r="AC172" s="311">
        <v>706205.13810019207</v>
      </c>
      <c r="AD172" s="311">
        <v>218334.92737762805</v>
      </c>
      <c r="AE172" s="311">
        <v>185702.43188076298</v>
      </c>
      <c r="AF172" s="311">
        <v>166192.63189215297</v>
      </c>
      <c r="AG172" s="311">
        <v>158229.19152149101</v>
      </c>
      <c r="AH172" s="311">
        <v>157341.69226601699</v>
      </c>
      <c r="AI172" s="311">
        <v>1544665.8800431772</v>
      </c>
      <c r="AJ172" s="311">
        <v>5525.6113472939996</v>
      </c>
      <c r="AK172" s="311">
        <v>165.54406889099999</v>
      </c>
      <c r="AL172" s="311">
        <v>0</v>
      </c>
      <c r="AM172" s="311">
        <v>0</v>
      </c>
      <c r="AN172" s="311">
        <v>0</v>
      </c>
      <c r="AO172" s="311"/>
      <c r="AP172" s="311"/>
      <c r="AQ172" s="311"/>
      <c r="AR172" s="311"/>
      <c r="AS172" s="311"/>
      <c r="AT172" s="311"/>
      <c r="AU172" s="311"/>
      <c r="AV172" s="311"/>
      <c r="AW172" s="311"/>
      <c r="AX172" s="311"/>
      <c r="AY172" s="311"/>
      <c r="AZ172" s="311"/>
      <c r="BA172" s="311"/>
      <c r="BB172" s="311"/>
      <c r="BC172" s="311"/>
      <c r="BD172" s="311"/>
      <c r="BE172" s="311"/>
      <c r="BF172" s="311"/>
      <c r="BG172" s="311"/>
      <c r="BH172" s="311"/>
      <c r="BI172" s="311"/>
      <c r="BJ172" s="311"/>
      <c r="BK172" s="311"/>
    </row>
    <row r="173" spans="1:63" s="80" customFormat="1" ht="12.75">
      <c r="A173" s="167"/>
      <c r="B173" s="210" t="str">
        <f>Servicio_internaColumna_título_amortizaciones</f>
        <v>Amortizaciones</v>
      </c>
      <c r="C173" s="269">
        <v>0</v>
      </c>
      <c r="D173" s="235"/>
      <c r="E173" s="235"/>
      <c r="F173" s="235"/>
      <c r="G173" s="235">
        <v>1530024.1138303741</v>
      </c>
      <c r="H173" s="235">
        <v>3367719.3416758063</v>
      </c>
      <c r="I173" s="235">
        <v>3317982.2151045338</v>
      </c>
      <c r="J173" s="235">
        <v>4552973.7911419403</v>
      </c>
      <c r="K173" s="235">
        <v>4671198.577883835</v>
      </c>
      <c r="L173" s="235">
        <v>4328100.2012883173</v>
      </c>
      <c r="M173" s="235">
        <v>3266677.2011548667</v>
      </c>
      <c r="N173" s="235">
        <v>3794418.0818153643</v>
      </c>
      <c r="O173" s="235">
        <v>3425257.1255107736</v>
      </c>
      <c r="P173" s="235">
        <v>4359578.4618603932</v>
      </c>
      <c r="Q173" s="235">
        <v>2412359.2504439903</v>
      </c>
      <c r="R173" s="235">
        <v>1662915.2277620339</v>
      </c>
      <c r="S173" s="273">
        <v>982214.44228006655</v>
      </c>
      <c r="T173" s="235">
        <v>660706.71585423604</v>
      </c>
      <c r="U173" s="235">
        <v>529628.16075763619</v>
      </c>
      <c r="V173" s="235">
        <v>2890945.9132521441</v>
      </c>
      <c r="W173" s="235">
        <v>382977.80622140138</v>
      </c>
      <c r="X173" s="235">
        <v>254105.60041878768</v>
      </c>
      <c r="Y173" s="235">
        <v>252907.81526294586</v>
      </c>
      <c r="Z173" s="235">
        <v>2472374.0586340935</v>
      </c>
      <c r="AA173" s="235">
        <v>74205.368663242596</v>
      </c>
      <c r="AB173" s="235">
        <v>58521.046820975898</v>
      </c>
      <c r="AC173" s="235">
        <v>456173.23070696811</v>
      </c>
      <c r="AD173" s="235">
        <v>61834.509806999202</v>
      </c>
      <c r="AE173" s="235">
        <v>32370.579722273207</v>
      </c>
      <c r="AF173" s="235">
        <v>14091.267734737601</v>
      </c>
      <c r="AG173" s="235">
        <v>6369.1586559614007</v>
      </c>
      <c r="AH173" s="235">
        <v>5488.5394357596006</v>
      </c>
      <c r="AI173" s="235">
        <v>1159729.0222457596</v>
      </c>
      <c r="AJ173" s="235">
        <v>5488.5394357596006</v>
      </c>
      <c r="AK173" s="235">
        <v>163.86500650560001</v>
      </c>
      <c r="AL173" s="235">
        <v>0</v>
      </c>
      <c r="AM173" s="235">
        <v>0</v>
      </c>
      <c r="AN173" s="235">
        <v>0</v>
      </c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35"/>
      <c r="BD173" s="235"/>
      <c r="BE173" s="235"/>
      <c r="BF173" s="235"/>
      <c r="BG173" s="235"/>
      <c r="BH173" s="235"/>
      <c r="BI173" s="235"/>
      <c r="BJ173" s="235"/>
      <c r="BK173" s="235"/>
    </row>
    <row r="174" spans="1:63" s="133" customFormat="1" ht="12.75">
      <c r="A174" s="168">
        <v>38625</v>
      </c>
      <c r="B174" s="213" t="str">
        <f>Servicio_internaColumna_título_intereses</f>
        <v>Intereses</v>
      </c>
      <c r="C174" s="270">
        <v>0</v>
      </c>
      <c r="D174" s="271"/>
      <c r="E174" s="271"/>
      <c r="F174" s="271"/>
      <c r="G174" s="271">
        <v>961949.81225485518</v>
      </c>
      <c r="H174" s="271">
        <v>3702563.0997810718</v>
      </c>
      <c r="I174" s="271">
        <v>3512439.574695583</v>
      </c>
      <c r="J174" s="271">
        <v>3311528.3681249325</v>
      </c>
      <c r="K174" s="271">
        <v>2852389.232765201</v>
      </c>
      <c r="L174" s="271">
        <v>2577862.0958745126</v>
      </c>
      <c r="M174" s="271">
        <v>2231047.2980524371</v>
      </c>
      <c r="N174" s="271">
        <v>1873717.5218741964</v>
      </c>
      <c r="O174" s="271">
        <v>1571509.1316444981</v>
      </c>
      <c r="P174" s="271">
        <v>1376108.0112737454</v>
      </c>
      <c r="Q174" s="271">
        <v>1079684.578427549</v>
      </c>
      <c r="R174" s="271">
        <v>898182.95657528297</v>
      </c>
      <c r="S174" s="274">
        <v>814156.77818647958</v>
      </c>
      <c r="T174" s="271">
        <v>765018.27486630413</v>
      </c>
      <c r="U174" s="272">
        <v>734408.75107962149</v>
      </c>
      <c r="V174" s="272">
        <v>563721.62772385194</v>
      </c>
      <c r="W174" s="272">
        <v>398423.90201942646</v>
      </c>
      <c r="X174" s="272">
        <v>381608.18723172165</v>
      </c>
      <c r="Y174" s="272">
        <v>370079.26545898966</v>
      </c>
      <c r="Z174" s="272">
        <v>266373.73003808333</v>
      </c>
      <c r="AA174" s="272">
        <v>166720.3471965405</v>
      </c>
      <c r="AB174" s="272">
        <v>163776.2246798244</v>
      </c>
      <c r="AC174" s="272">
        <v>144381.95117880791</v>
      </c>
      <c r="AD174" s="236">
        <v>124077.2774087352</v>
      </c>
      <c r="AE174" s="236">
        <v>121116.73861728009</v>
      </c>
      <c r="AF174" s="236">
        <v>120010.61955472309</v>
      </c>
      <c r="AG174" s="236">
        <v>119820.0486745541</v>
      </c>
      <c r="AH174" s="236">
        <v>119818.8197034905</v>
      </c>
      <c r="AI174" s="236">
        <v>59912.509674587898</v>
      </c>
      <c r="AJ174" s="236">
        <v>2.7652077892000002</v>
      </c>
      <c r="AK174" s="236">
        <v>1.5362138295000001</v>
      </c>
      <c r="AL174" s="236">
        <v>0</v>
      </c>
      <c r="AM174" s="236">
        <v>0</v>
      </c>
      <c r="AN174" s="236">
        <v>0</v>
      </c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</row>
    <row r="175" spans="1:63" s="133" customFormat="1" ht="12.75">
      <c r="A175" s="169"/>
      <c r="B175" s="307" t="str">
        <f>Servicio_internaColumna_título_total</f>
        <v>Total</v>
      </c>
      <c r="C175" s="310">
        <v>0</v>
      </c>
      <c r="D175" s="311"/>
      <c r="E175" s="311"/>
      <c r="F175" s="311"/>
      <c r="G175" s="311">
        <v>2491973.926085229</v>
      </c>
      <c r="H175" s="311">
        <v>7070282.4414568786</v>
      </c>
      <c r="I175" s="311">
        <v>6830421.7898001168</v>
      </c>
      <c r="J175" s="311">
        <v>7864502.1592668723</v>
      </c>
      <c r="K175" s="311">
        <v>7523587.8106490355</v>
      </c>
      <c r="L175" s="311">
        <v>6905962.2971628299</v>
      </c>
      <c r="M175" s="311">
        <v>5497724.4992073039</v>
      </c>
      <c r="N175" s="311">
        <v>5668135.6036895607</v>
      </c>
      <c r="O175" s="311">
        <v>4996766.2571552712</v>
      </c>
      <c r="P175" s="311">
        <v>5735686.4731341386</v>
      </c>
      <c r="Q175" s="311">
        <v>3492043.8288715393</v>
      </c>
      <c r="R175" s="311">
        <v>2561098.184337317</v>
      </c>
      <c r="S175" s="312">
        <v>1796371.2204665462</v>
      </c>
      <c r="T175" s="311">
        <v>1425724.9907205403</v>
      </c>
      <c r="U175" s="311">
        <v>1264036.9118372577</v>
      </c>
      <c r="V175" s="311">
        <v>3454667.5409759963</v>
      </c>
      <c r="W175" s="311">
        <v>781401.70824082778</v>
      </c>
      <c r="X175" s="311">
        <v>635713.78765050927</v>
      </c>
      <c r="Y175" s="311">
        <v>622987.08072193549</v>
      </c>
      <c r="Z175" s="311">
        <v>2738747.7886721767</v>
      </c>
      <c r="AA175" s="311">
        <v>240925.71585978311</v>
      </c>
      <c r="AB175" s="311">
        <v>222297.2715008003</v>
      </c>
      <c r="AC175" s="311">
        <v>600555.18188577599</v>
      </c>
      <c r="AD175" s="311">
        <v>185911.7872157344</v>
      </c>
      <c r="AE175" s="311">
        <v>153487.31833955331</v>
      </c>
      <c r="AF175" s="311">
        <v>134101.88728946069</v>
      </c>
      <c r="AG175" s="311">
        <v>126189.20733051549</v>
      </c>
      <c r="AH175" s="311">
        <v>125307.3591392501</v>
      </c>
      <c r="AI175" s="311">
        <v>1219641.5319203476</v>
      </c>
      <c r="AJ175" s="311">
        <v>5491.3046435488004</v>
      </c>
      <c r="AK175" s="311">
        <v>165.40122033510002</v>
      </c>
      <c r="AL175" s="311">
        <v>0</v>
      </c>
      <c r="AM175" s="311">
        <v>0</v>
      </c>
      <c r="AN175" s="311">
        <v>0</v>
      </c>
      <c r="AO175" s="311"/>
      <c r="AP175" s="311"/>
      <c r="AQ175" s="311"/>
      <c r="AR175" s="311"/>
      <c r="AS175" s="311"/>
      <c r="AT175" s="311"/>
      <c r="AU175" s="311"/>
      <c r="AV175" s="311"/>
      <c r="AW175" s="311"/>
      <c r="AX175" s="311"/>
      <c r="AY175" s="311"/>
      <c r="AZ175" s="311"/>
      <c r="BA175" s="311"/>
      <c r="BB175" s="311"/>
      <c r="BC175" s="311"/>
      <c r="BD175" s="311"/>
      <c r="BE175" s="311"/>
      <c r="BF175" s="311"/>
      <c r="BG175" s="311"/>
      <c r="BH175" s="311"/>
      <c r="BI175" s="311"/>
      <c r="BJ175" s="311"/>
      <c r="BK175" s="311"/>
    </row>
    <row r="176" spans="1:63" s="80" customFormat="1" ht="12.75">
      <c r="A176" s="167"/>
      <c r="B176" s="210" t="str">
        <f>Servicio_internaColumna_título_amortizaciones</f>
        <v>Amortizaciones</v>
      </c>
      <c r="C176" s="269">
        <v>0</v>
      </c>
      <c r="D176" s="235"/>
      <c r="E176" s="235"/>
      <c r="F176" s="235"/>
      <c r="G176" s="235">
        <v>419987.7596896863</v>
      </c>
      <c r="H176" s="235">
        <v>3364178.418198783</v>
      </c>
      <c r="I176" s="235">
        <v>3317924.2492113886</v>
      </c>
      <c r="J176" s="235">
        <v>4552894.2496690927</v>
      </c>
      <c r="K176" s="235">
        <v>4671116.9709974593</v>
      </c>
      <c r="L176" s="235">
        <v>4328024.5884074988</v>
      </c>
      <c r="M176" s="235">
        <v>3266620.1315718172</v>
      </c>
      <c r="N176" s="235">
        <v>3794351.7924808171</v>
      </c>
      <c r="O176" s="235">
        <v>3484726.1055008941</v>
      </c>
      <c r="P176" s="235">
        <v>4454748.411047305</v>
      </c>
      <c r="Q176" s="235">
        <v>2507563.2179870666</v>
      </c>
      <c r="R176" s="235">
        <v>1758132.2882602012</v>
      </c>
      <c r="S176" s="273">
        <v>1077443.3947735606</v>
      </c>
      <c r="T176" s="235">
        <v>755941.28515978856</v>
      </c>
      <c r="U176" s="235">
        <v>589147.72803493217</v>
      </c>
      <c r="V176" s="235">
        <v>2890895.4077789281</v>
      </c>
      <c r="W176" s="235">
        <v>382971.11551326816</v>
      </c>
      <c r="X176" s="235">
        <v>254101.16113698127</v>
      </c>
      <c r="Y176" s="235">
        <v>252903.39690671468</v>
      </c>
      <c r="Z176" s="235">
        <v>2472330.8657050161</v>
      </c>
      <c r="AA176" s="235">
        <v>74204.072278816195</v>
      </c>
      <c r="AB176" s="235">
        <v>58520.024445168296</v>
      </c>
      <c r="AC176" s="235">
        <v>456165.26125835971</v>
      </c>
      <c r="AD176" s="235">
        <v>61833.429544250408</v>
      </c>
      <c r="AE176" s="235">
        <v>32370.014200988408</v>
      </c>
      <c r="AF176" s="235">
        <v>14091.021557131202</v>
      </c>
      <c r="AG176" s="235">
        <v>6369.0473853318008</v>
      </c>
      <c r="AH176" s="235">
        <v>5488.4435497452005</v>
      </c>
      <c r="AI176" s="235">
        <v>1159708.7615197452</v>
      </c>
      <c r="AJ176" s="235">
        <v>5488.4435497452005</v>
      </c>
      <c r="AK176" s="235">
        <v>163.86214374720001</v>
      </c>
      <c r="AL176" s="235">
        <v>0</v>
      </c>
      <c r="AM176" s="235">
        <v>0</v>
      </c>
      <c r="AN176" s="235">
        <v>0</v>
      </c>
      <c r="AO176" s="235"/>
      <c r="AP176" s="235"/>
      <c r="AQ176" s="235"/>
      <c r="AR176" s="235"/>
      <c r="AS176" s="235"/>
      <c r="AT176" s="235"/>
      <c r="AU176" s="235"/>
      <c r="AV176" s="235"/>
      <c r="AW176" s="235"/>
      <c r="AX176" s="235"/>
      <c r="AY176" s="235"/>
      <c r="AZ176" s="235"/>
      <c r="BA176" s="235"/>
      <c r="BB176" s="235"/>
      <c r="BC176" s="235"/>
      <c r="BD176" s="235"/>
      <c r="BE176" s="235"/>
      <c r="BF176" s="235"/>
      <c r="BG176" s="235"/>
      <c r="BH176" s="235"/>
      <c r="BI176" s="235"/>
      <c r="BJ176" s="235"/>
      <c r="BK176" s="235"/>
    </row>
    <row r="177" spans="1:63" s="133" customFormat="1" ht="12.75">
      <c r="A177" s="168">
        <v>38656</v>
      </c>
      <c r="B177" s="213" t="str">
        <f>Servicio_internaColumna_título_intereses</f>
        <v>Intereses</v>
      </c>
      <c r="C177" s="270">
        <v>0</v>
      </c>
      <c r="D177" s="271"/>
      <c r="E177" s="271"/>
      <c r="F177" s="271"/>
      <c r="G177" s="271">
        <v>520211.45039983297</v>
      </c>
      <c r="H177" s="271">
        <v>3714005.1598743466</v>
      </c>
      <c r="I177" s="271">
        <v>3518076.2535723136</v>
      </c>
      <c r="J177" s="271">
        <v>3318041.8068396044</v>
      </c>
      <c r="K177" s="271">
        <v>2859543.0275140512</v>
      </c>
      <c r="L177" s="271">
        <v>2597511.4195301463</v>
      </c>
      <c r="M177" s="271">
        <v>2253149.5041234479</v>
      </c>
      <c r="N177" s="271">
        <v>1903992.7800833858</v>
      </c>
      <c r="O177" s="271">
        <v>1602149.6948141132</v>
      </c>
      <c r="P177" s="271">
        <v>1403119.3622669347</v>
      </c>
      <c r="Q177" s="271">
        <v>1101787.4260415852</v>
      </c>
      <c r="R177" s="271">
        <v>915499.52594701771</v>
      </c>
      <c r="S177" s="274">
        <v>826444.77416965412</v>
      </c>
      <c r="T177" s="271">
        <v>772241.25356190826</v>
      </c>
      <c r="U177" s="272">
        <v>736034.75085718592</v>
      </c>
      <c r="V177" s="272">
        <v>563711.77938063676</v>
      </c>
      <c r="W177" s="272">
        <v>398416.94146453688</v>
      </c>
      <c r="X177" s="272">
        <v>381601.52045113925</v>
      </c>
      <c r="Y177" s="272">
        <v>370072.80009125528</v>
      </c>
      <c r="Z177" s="272">
        <v>266369.07642930211</v>
      </c>
      <c r="AA177" s="272">
        <v>166717.4345546985</v>
      </c>
      <c r="AB177" s="272">
        <v>163773.36347246281</v>
      </c>
      <c r="AC177" s="272">
        <v>144379.4287937523</v>
      </c>
      <c r="AD177" s="236">
        <v>124075.1097508824</v>
      </c>
      <c r="AE177" s="236">
        <v>121114.62268070369</v>
      </c>
      <c r="AF177" s="236">
        <v>120008.52294229469</v>
      </c>
      <c r="AG177" s="236">
        <v>119817.95539144169</v>
      </c>
      <c r="AH177" s="236">
        <v>119816.7264418485</v>
      </c>
      <c r="AI177" s="236">
        <v>59911.462989612301</v>
      </c>
      <c r="AJ177" s="236">
        <v>2.7651594804000004</v>
      </c>
      <c r="AK177" s="236">
        <v>1.5361869915000002</v>
      </c>
      <c r="AL177" s="236">
        <v>0</v>
      </c>
      <c r="AM177" s="236">
        <v>0</v>
      </c>
      <c r="AN177" s="236">
        <v>0</v>
      </c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</row>
    <row r="178" spans="1:63" s="133" customFormat="1" ht="12.75">
      <c r="A178" s="169"/>
      <c r="B178" s="307" t="str">
        <f>Servicio_internaColumna_título_total</f>
        <v>Total</v>
      </c>
      <c r="C178" s="310">
        <v>0</v>
      </c>
      <c r="D178" s="311"/>
      <c r="E178" s="311"/>
      <c r="F178" s="311"/>
      <c r="G178" s="311">
        <v>940199.21008951927</v>
      </c>
      <c r="H178" s="311">
        <v>7078183.5780731291</v>
      </c>
      <c r="I178" s="311">
        <v>6836000.5027837027</v>
      </c>
      <c r="J178" s="311">
        <v>7870936.0565086976</v>
      </c>
      <c r="K178" s="311">
        <v>7530659.99851151</v>
      </c>
      <c r="L178" s="311">
        <v>6925536.0079376455</v>
      </c>
      <c r="M178" s="311">
        <v>5519769.6356952656</v>
      </c>
      <c r="N178" s="311">
        <v>5698344.5725642033</v>
      </c>
      <c r="O178" s="311">
        <v>5086875.8003150076</v>
      </c>
      <c r="P178" s="311">
        <v>5857867.7733142395</v>
      </c>
      <c r="Q178" s="311">
        <v>3609350.6440286515</v>
      </c>
      <c r="R178" s="311">
        <v>2673631.8142072191</v>
      </c>
      <c r="S178" s="312">
        <v>1903888.1689432147</v>
      </c>
      <c r="T178" s="311">
        <v>1528182.5387216969</v>
      </c>
      <c r="U178" s="311">
        <v>1325182.4788921182</v>
      </c>
      <c r="V178" s="311">
        <v>3454607.1871595648</v>
      </c>
      <c r="W178" s="311">
        <v>781388.05697780498</v>
      </c>
      <c r="X178" s="311">
        <v>635702.68158812053</v>
      </c>
      <c r="Y178" s="311">
        <v>622976.19699796999</v>
      </c>
      <c r="Z178" s="311">
        <v>2738699.9421343179</v>
      </c>
      <c r="AA178" s="311">
        <v>240921.50683351469</v>
      </c>
      <c r="AB178" s="311">
        <v>222293.3879176311</v>
      </c>
      <c r="AC178" s="311">
        <v>600544.69005211198</v>
      </c>
      <c r="AD178" s="311">
        <v>185908.5392951328</v>
      </c>
      <c r="AE178" s="311">
        <v>153484.6368816921</v>
      </c>
      <c r="AF178" s="311">
        <v>134099.54449942589</v>
      </c>
      <c r="AG178" s="311">
        <v>126187.00277677349</v>
      </c>
      <c r="AH178" s="311">
        <v>125305.16999159371</v>
      </c>
      <c r="AI178" s="311">
        <v>1219620.2245093575</v>
      </c>
      <c r="AJ178" s="311">
        <v>5491.2087092256006</v>
      </c>
      <c r="AK178" s="311">
        <v>165.3983307387</v>
      </c>
      <c r="AL178" s="311">
        <v>0</v>
      </c>
      <c r="AM178" s="311">
        <v>0</v>
      </c>
      <c r="AN178" s="311">
        <v>0</v>
      </c>
      <c r="AO178" s="311"/>
      <c r="AP178" s="311"/>
      <c r="AQ178" s="311"/>
      <c r="AR178" s="311"/>
      <c r="AS178" s="311"/>
      <c r="AT178" s="311"/>
      <c r="AU178" s="311"/>
      <c r="AV178" s="311"/>
      <c r="AW178" s="311"/>
      <c r="AX178" s="311"/>
      <c r="AY178" s="311"/>
      <c r="AZ178" s="311"/>
      <c r="BA178" s="311"/>
      <c r="BB178" s="311"/>
      <c r="BC178" s="311"/>
      <c r="BD178" s="311"/>
      <c r="BE178" s="311"/>
      <c r="BF178" s="311"/>
      <c r="BG178" s="311"/>
      <c r="BH178" s="311"/>
      <c r="BI178" s="311"/>
      <c r="BJ178" s="311"/>
      <c r="BK178" s="311"/>
    </row>
    <row r="179" spans="1:63" s="80" customFormat="1" ht="12.75">
      <c r="A179" s="167"/>
      <c r="B179" s="210" t="str">
        <f>Servicio_internaColumna_título_amortizaciones</f>
        <v>Amortizaciones</v>
      </c>
      <c r="C179" s="269">
        <v>0</v>
      </c>
      <c r="D179" s="235"/>
      <c r="E179" s="235"/>
      <c r="F179" s="235"/>
      <c r="G179" s="235">
        <v>315421.97215113672</v>
      </c>
      <c r="H179" s="235">
        <v>2750618.6096497229</v>
      </c>
      <c r="I179" s="235">
        <v>2972964.2336410782</v>
      </c>
      <c r="J179" s="235">
        <v>4484660.7443428542</v>
      </c>
      <c r="K179" s="235">
        <v>4427522.4119300023</v>
      </c>
      <c r="L179" s="235">
        <v>4293492.3633862184</v>
      </c>
      <c r="M179" s="235">
        <v>3215711.0724126385</v>
      </c>
      <c r="N179" s="235">
        <v>3766583.1725290199</v>
      </c>
      <c r="O179" s="235">
        <v>3459913.0259687747</v>
      </c>
      <c r="P179" s="235">
        <v>4423377.4998699222</v>
      </c>
      <c r="Q179" s="235">
        <v>3405505.8113434687</v>
      </c>
      <c r="R179" s="235">
        <v>1748795.708574496</v>
      </c>
      <c r="S179" s="273">
        <v>1070122.7242117352</v>
      </c>
      <c r="T179" s="235">
        <v>750801.08568629052</v>
      </c>
      <c r="U179" s="235">
        <v>585142.54354774184</v>
      </c>
      <c r="V179" s="235">
        <v>2871277.7074997416</v>
      </c>
      <c r="W179" s="235">
        <v>380364.55899463565</v>
      </c>
      <c r="X179" s="235">
        <v>252374.78332118609</v>
      </c>
      <c r="Y179" s="235">
        <v>251186.39364446167</v>
      </c>
      <c r="Z179" s="235">
        <v>2455559.6345351483</v>
      </c>
      <c r="AA179" s="235">
        <v>73699.174569776791</v>
      </c>
      <c r="AB179" s="235">
        <v>58121.510582377996</v>
      </c>
      <c r="AC179" s="235">
        <v>453069.54638065875</v>
      </c>
      <c r="AD179" s="235">
        <v>61412.441076539209</v>
      </c>
      <c r="AE179" s="235">
        <v>32148.874106675205</v>
      </c>
      <c r="AF179" s="235">
        <v>13993.866645956799</v>
      </c>
      <c r="AG179" s="235">
        <v>6324.2701078999999</v>
      </c>
      <c r="AH179" s="235">
        <v>5449.6393491647996</v>
      </c>
      <c r="AI179" s="235">
        <v>1151840.9581891648</v>
      </c>
      <c r="AJ179" s="235">
        <v>5449.6393491647996</v>
      </c>
      <c r="AK179" s="235">
        <v>161.17422230880001</v>
      </c>
      <c r="AL179" s="235">
        <v>0</v>
      </c>
      <c r="AM179" s="235">
        <v>0</v>
      </c>
      <c r="AN179" s="235">
        <v>0</v>
      </c>
      <c r="AO179" s="235"/>
      <c r="AP179" s="235"/>
      <c r="AQ179" s="235"/>
      <c r="AR179" s="235"/>
      <c r="AS179" s="235"/>
      <c r="AT179" s="235"/>
      <c r="AU179" s="235"/>
      <c r="AV179" s="235"/>
      <c r="AW179" s="235"/>
      <c r="AX179" s="235"/>
      <c r="AY179" s="235"/>
      <c r="AZ179" s="235"/>
      <c r="BA179" s="235"/>
      <c r="BB179" s="235"/>
      <c r="BC179" s="235"/>
      <c r="BD179" s="235"/>
      <c r="BE179" s="235"/>
      <c r="BF179" s="235"/>
      <c r="BG179" s="235"/>
      <c r="BH179" s="235"/>
      <c r="BI179" s="235"/>
      <c r="BJ179" s="235"/>
      <c r="BK179" s="235"/>
    </row>
    <row r="180" spans="1:63" s="133" customFormat="1" ht="12.75">
      <c r="A180" s="168">
        <v>38686</v>
      </c>
      <c r="B180" s="213" t="str">
        <f>Servicio_internaColumna_título_intereses</f>
        <v>Intereses</v>
      </c>
      <c r="C180" s="270">
        <v>0</v>
      </c>
      <c r="D180" s="271"/>
      <c r="E180" s="271"/>
      <c r="F180" s="271"/>
      <c r="G180" s="271">
        <v>278860.62093711481</v>
      </c>
      <c r="H180" s="271">
        <v>3674158.5897479672</v>
      </c>
      <c r="I180" s="271">
        <v>3506486.9139719387</v>
      </c>
      <c r="J180" s="271">
        <v>3327364.5743604652</v>
      </c>
      <c r="K180" s="271">
        <v>2883474.8286946127</v>
      </c>
      <c r="L180" s="271">
        <v>2635696.1075492064</v>
      </c>
      <c r="M180" s="271">
        <v>2296007.0680813352</v>
      </c>
      <c r="N180" s="271">
        <v>1953339.8586427709</v>
      </c>
      <c r="O180" s="271">
        <v>1671047.3142755313</v>
      </c>
      <c r="P180" s="271">
        <v>1479298.4002192724</v>
      </c>
      <c r="Q180" s="271">
        <v>1179961.6248781758</v>
      </c>
      <c r="R180" s="271">
        <v>909335.17918698688</v>
      </c>
      <c r="S180" s="274">
        <v>820837.95274200349</v>
      </c>
      <c r="T180" s="271">
        <v>767002.35959466791</v>
      </c>
      <c r="U180" s="272">
        <v>731041.63960497314</v>
      </c>
      <c r="V180" s="272">
        <v>559887.68555792759</v>
      </c>
      <c r="W180" s="272">
        <v>395714.19009627245</v>
      </c>
      <c r="X180" s="272">
        <v>379012.96176273644</v>
      </c>
      <c r="Y180" s="272">
        <v>367562.4644324992</v>
      </c>
      <c r="Z180" s="272">
        <v>264562.16796365322</v>
      </c>
      <c r="AA180" s="272">
        <v>165586.468328202</v>
      </c>
      <c r="AB180" s="272">
        <v>162662.37850798958</v>
      </c>
      <c r="AC180" s="272">
        <v>143400.0034145916</v>
      </c>
      <c r="AD180" s="236">
        <v>123233.41903321678</v>
      </c>
      <c r="AE180" s="236">
        <v>120293.02457360839</v>
      </c>
      <c r="AF180" s="236">
        <v>119194.4392606684</v>
      </c>
      <c r="AG180" s="236">
        <v>119005.17614176038</v>
      </c>
      <c r="AH180" s="236">
        <v>119003.96735305799</v>
      </c>
      <c r="AI180" s="236">
        <v>59505.049116559596</v>
      </c>
      <c r="AJ180" s="236">
        <v>2.7197973207999997</v>
      </c>
      <c r="AK180" s="236">
        <v>1.5109858780000001</v>
      </c>
      <c r="AL180" s="236">
        <v>0</v>
      </c>
      <c r="AM180" s="236">
        <v>0</v>
      </c>
      <c r="AN180" s="236">
        <v>0</v>
      </c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</row>
    <row r="181" spans="1:63" s="133" customFormat="1" ht="12.75">
      <c r="A181" s="169"/>
      <c r="B181" s="307" t="str">
        <f>Servicio_internaColumna_título_total</f>
        <v>Total</v>
      </c>
      <c r="C181" s="310">
        <v>0</v>
      </c>
      <c r="D181" s="311"/>
      <c r="E181" s="311"/>
      <c r="F181" s="311"/>
      <c r="G181" s="311">
        <v>594282.59308825154</v>
      </c>
      <c r="H181" s="311">
        <v>6424777.1993976906</v>
      </c>
      <c r="I181" s="311">
        <v>6479451.1476130169</v>
      </c>
      <c r="J181" s="311">
        <v>7812025.3187033199</v>
      </c>
      <c r="K181" s="311">
        <v>7310997.240624615</v>
      </c>
      <c r="L181" s="311">
        <v>6929188.4709354248</v>
      </c>
      <c r="M181" s="311">
        <v>5511718.1404939741</v>
      </c>
      <c r="N181" s="311">
        <v>5719923.0311717913</v>
      </c>
      <c r="O181" s="311">
        <v>5130960.3402443063</v>
      </c>
      <c r="P181" s="311">
        <v>5902675.900089195</v>
      </c>
      <c r="Q181" s="311">
        <v>4585467.4362216443</v>
      </c>
      <c r="R181" s="311">
        <v>2658130.887761483</v>
      </c>
      <c r="S181" s="312">
        <v>1890960.6769537386</v>
      </c>
      <c r="T181" s="311">
        <v>1517803.4452809584</v>
      </c>
      <c r="U181" s="311">
        <v>1316184.183152715</v>
      </c>
      <c r="V181" s="311">
        <v>3431165.393057669</v>
      </c>
      <c r="W181" s="311">
        <v>776078.7490909081</v>
      </c>
      <c r="X181" s="311">
        <v>631387.74508392252</v>
      </c>
      <c r="Y181" s="311">
        <v>618748.8580769609</v>
      </c>
      <c r="Z181" s="311">
        <v>2720121.8024988016</v>
      </c>
      <c r="AA181" s="311">
        <v>239285.64289797877</v>
      </c>
      <c r="AB181" s="311">
        <v>220783.88909036756</v>
      </c>
      <c r="AC181" s="311">
        <v>596469.54979525041</v>
      </c>
      <c r="AD181" s="311">
        <v>184645.860109756</v>
      </c>
      <c r="AE181" s="311">
        <v>152441.8986802836</v>
      </c>
      <c r="AF181" s="311">
        <v>133188.3059066252</v>
      </c>
      <c r="AG181" s="311">
        <v>125329.44624966038</v>
      </c>
      <c r="AH181" s="311">
        <v>124453.60670222279</v>
      </c>
      <c r="AI181" s="311">
        <v>1211346.0073057243</v>
      </c>
      <c r="AJ181" s="311">
        <v>5452.3591464855999</v>
      </c>
      <c r="AK181" s="311">
        <v>162.68520818680003</v>
      </c>
      <c r="AL181" s="311">
        <v>0</v>
      </c>
      <c r="AM181" s="311">
        <v>0</v>
      </c>
      <c r="AN181" s="311">
        <v>0</v>
      </c>
      <c r="AO181" s="311"/>
      <c r="AP181" s="311"/>
      <c r="AQ181" s="311"/>
      <c r="AR181" s="311"/>
      <c r="AS181" s="311"/>
      <c r="AT181" s="311"/>
      <c r="AU181" s="311"/>
      <c r="AV181" s="311"/>
      <c r="AW181" s="311"/>
      <c r="AX181" s="311"/>
      <c r="AY181" s="311"/>
      <c r="AZ181" s="311"/>
      <c r="BA181" s="311"/>
      <c r="BB181" s="311"/>
      <c r="BC181" s="311"/>
      <c r="BD181" s="311"/>
      <c r="BE181" s="311"/>
      <c r="BF181" s="311"/>
      <c r="BG181" s="311"/>
      <c r="BH181" s="311"/>
      <c r="BI181" s="311"/>
      <c r="BJ181" s="311"/>
      <c r="BK181" s="311"/>
    </row>
    <row r="182" spans="1:63" s="80" customFormat="1" ht="12.75">
      <c r="A182" s="167"/>
      <c r="B182" s="210" t="str">
        <f>Servicio_internaColumna_título_amortizaciones</f>
        <v>Amortizaciones</v>
      </c>
      <c r="C182" s="269">
        <v>0</v>
      </c>
      <c r="D182" s="235"/>
      <c r="E182" s="235"/>
      <c r="F182" s="235"/>
      <c r="G182" s="235"/>
      <c r="H182" s="235">
        <v>2753187.4946576711</v>
      </c>
      <c r="I182" s="235">
        <v>2984287.9480275759</v>
      </c>
      <c r="J182" s="235">
        <v>4468244.1989983646</v>
      </c>
      <c r="K182" s="235">
        <v>4450296.5941606564</v>
      </c>
      <c r="L182" s="235">
        <v>4377775.0386570478</v>
      </c>
      <c r="M182" s="235">
        <v>3303450.5424370733</v>
      </c>
      <c r="N182" s="235">
        <v>4454870.6593265114</v>
      </c>
      <c r="O182" s="235">
        <v>3572813.415329434</v>
      </c>
      <c r="P182" s="235">
        <v>4512646.5116084479</v>
      </c>
      <c r="Q182" s="235">
        <v>4056771.4475122173</v>
      </c>
      <c r="R182" s="235">
        <v>1887063.4868076036</v>
      </c>
      <c r="S182" s="273">
        <v>1207045.3514174826</v>
      </c>
      <c r="T182" s="235">
        <v>873034.09083380573</v>
      </c>
      <c r="U182" s="235">
        <v>691830.35995944845</v>
      </c>
      <c r="V182" s="235">
        <v>2968464.9860502393</v>
      </c>
      <c r="W182" s="235">
        <v>466401.68784833152</v>
      </c>
      <c r="X182" s="235">
        <v>337452.16630570788</v>
      </c>
      <c r="Y182" s="235">
        <v>289103.76071867201</v>
      </c>
      <c r="Z182" s="235">
        <v>2503345.1303987671</v>
      </c>
      <c r="AA182" s="235">
        <v>110821.99981966561</v>
      </c>
      <c r="AB182" s="235">
        <v>64040.682015939994</v>
      </c>
      <c r="AC182" s="235">
        <v>460079.09590107697</v>
      </c>
      <c r="AD182" s="235">
        <v>66668.692795689189</v>
      </c>
      <c r="AE182" s="235">
        <v>37274.12412323719</v>
      </c>
      <c r="AF182" s="235">
        <v>19037.843696365999</v>
      </c>
      <c r="AG182" s="235">
        <v>6350.1606095939987</v>
      </c>
      <c r="AH182" s="235">
        <v>5471.6144662903989</v>
      </c>
      <c r="AI182" s="235">
        <v>1156994.8850862903</v>
      </c>
      <c r="AJ182" s="235">
        <v>5471.6144662903989</v>
      </c>
      <c r="AK182" s="235">
        <v>159.47492078240001</v>
      </c>
      <c r="AL182" s="235">
        <v>0</v>
      </c>
      <c r="AM182" s="235">
        <v>0</v>
      </c>
      <c r="AN182" s="235">
        <v>0</v>
      </c>
      <c r="AO182" s="235"/>
      <c r="AP182" s="235"/>
      <c r="AQ182" s="235"/>
      <c r="AR182" s="235"/>
      <c r="AS182" s="235"/>
      <c r="AT182" s="235"/>
      <c r="AU182" s="235"/>
      <c r="AV182" s="235"/>
      <c r="AW182" s="235"/>
      <c r="AX182" s="235"/>
      <c r="AY182" s="235"/>
      <c r="AZ182" s="235"/>
      <c r="BA182" s="235"/>
      <c r="BB182" s="235"/>
      <c r="BC182" s="235"/>
      <c r="BD182" s="235"/>
      <c r="BE182" s="235"/>
      <c r="BF182" s="235"/>
      <c r="BG182" s="235"/>
      <c r="BH182" s="235"/>
      <c r="BI182" s="235"/>
      <c r="BJ182" s="235"/>
      <c r="BK182" s="235"/>
    </row>
    <row r="183" spans="1:63" s="133" customFormat="1" ht="12.75">
      <c r="A183" s="168">
        <v>38717</v>
      </c>
      <c r="B183" s="213" t="str">
        <f>Servicio_internaColumna_título_intereses</f>
        <v>Intereses</v>
      </c>
      <c r="C183" s="270">
        <v>0</v>
      </c>
      <c r="D183" s="271"/>
      <c r="E183" s="271"/>
      <c r="F183" s="271"/>
      <c r="G183" s="271"/>
      <c r="H183" s="271">
        <v>3829460.4066675468</v>
      </c>
      <c r="I183" s="271">
        <v>3679426.8232873417</v>
      </c>
      <c r="J183" s="271">
        <v>3507867.7398999771</v>
      </c>
      <c r="K183" s="271">
        <v>3050545.3574185409</v>
      </c>
      <c r="L183" s="271">
        <v>2810437.348613109</v>
      </c>
      <c r="M183" s="271">
        <v>2455723.9806686188</v>
      </c>
      <c r="N183" s="271">
        <v>2109790.8222100139</v>
      </c>
      <c r="O183" s="271">
        <v>1810444.8533723138</v>
      </c>
      <c r="P183" s="271">
        <v>1606399.4630129354</v>
      </c>
      <c r="Q183" s="271">
        <v>1293824.6789821459</v>
      </c>
      <c r="R183" s="271">
        <v>947662.28150373162</v>
      </c>
      <c r="S183" s="274">
        <v>859673.89779088588</v>
      </c>
      <c r="T183" s="271">
        <v>799985.38740145764</v>
      </c>
      <c r="U183" s="272">
        <v>758769.05196768208</v>
      </c>
      <c r="V183" s="272">
        <v>581801.81511354353</v>
      </c>
      <c r="W183" s="272">
        <v>412321.88005091739</v>
      </c>
      <c r="X183" s="272">
        <v>390815.32728318195</v>
      </c>
      <c r="Y183" s="272">
        <v>375383.0303586346</v>
      </c>
      <c r="Z183" s="272">
        <v>270145.12972883659</v>
      </c>
      <c r="AA183" s="272">
        <v>168924.24297255359</v>
      </c>
      <c r="AB183" s="272">
        <v>164565.0099083338</v>
      </c>
      <c r="AC183" s="272">
        <v>144953.04524051497</v>
      </c>
      <c r="AD183" s="236">
        <v>124455.15071108479</v>
      </c>
      <c r="AE183" s="236">
        <v>121256.56582817217</v>
      </c>
      <c r="AF183" s="236">
        <v>119910.03280286459</v>
      </c>
      <c r="AG183" s="236">
        <v>119537.82111829378</v>
      </c>
      <c r="AH183" s="236">
        <v>119536.62507785957</v>
      </c>
      <c r="AI183" s="236">
        <v>59771.371269405186</v>
      </c>
      <c r="AJ183" s="236">
        <v>2.6911309507999999</v>
      </c>
      <c r="AK183" s="236">
        <v>1.4950676744</v>
      </c>
      <c r="AL183" s="236">
        <v>0</v>
      </c>
      <c r="AM183" s="236">
        <v>0</v>
      </c>
      <c r="AN183" s="236">
        <v>0</v>
      </c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</row>
    <row r="184" spans="1:63" s="133" customFormat="1" ht="12.75">
      <c r="A184" s="169"/>
      <c r="B184" s="307" t="str">
        <f>Servicio_internaColumna_título_total</f>
        <v>Total</v>
      </c>
      <c r="C184" s="310">
        <v>0</v>
      </c>
      <c r="D184" s="311"/>
      <c r="E184" s="311"/>
      <c r="F184" s="311"/>
      <c r="G184" s="311"/>
      <c r="H184" s="311">
        <v>6582647.9013252184</v>
      </c>
      <c r="I184" s="311">
        <v>6663714.7713149171</v>
      </c>
      <c r="J184" s="311">
        <v>7976111.9388983417</v>
      </c>
      <c r="K184" s="311">
        <v>7500841.9515791973</v>
      </c>
      <c r="L184" s="311">
        <v>7188212.3872701563</v>
      </c>
      <c r="M184" s="311">
        <v>5759174.5231056921</v>
      </c>
      <c r="N184" s="311">
        <v>6564661.4815365253</v>
      </c>
      <c r="O184" s="311">
        <v>5383258.268701748</v>
      </c>
      <c r="P184" s="311">
        <v>6119045.9746213835</v>
      </c>
      <c r="Q184" s="311">
        <v>5350596.126494363</v>
      </c>
      <c r="R184" s="311">
        <v>2834725.7683113352</v>
      </c>
      <c r="S184" s="312">
        <v>2066719.2492083684</v>
      </c>
      <c r="T184" s="311">
        <v>1673019.4782352634</v>
      </c>
      <c r="U184" s="311">
        <v>1450599.4119271305</v>
      </c>
      <c r="V184" s="311">
        <v>3550266.8011637828</v>
      </c>
      <c r="W184" s="311">
        <v>878723.56789924891</v>
      </c>
      <c r="X184" s="311">
        <v>728267.49358888983</v>
      </c>
      <c r="Y184" s="311">
        <v>664486.79107730661</v>
      </c>
      <c r="Z184" s="311">
        <v>2773490.2601276035</v>
      </c>
      <c r="AA184" s="311">
        <v>279746.24279221921</v>
      </c>
      <c r="AB184" s="311">
        <v>228605.69192427379</v>
      </c>
      <c r="AC184" s="311">
        <v>605032.14114159194</v>
      </c>
      <c r="AD184" s="311">
        <v>191123.84350677399</v>
      </c>
      <c r="AE184" s="311">
        <v>158530.68995140935</v>
      </c>
      <c r="AF184" s="311">
        <v>138947.8764992306</v>
      </c>
      <c r="AG184" s="311">
        <v>125887.98172788777</v>
      </c>
      <c r="AH184" s="311">
        <v>125008.23954414997</v>
      </c>
      <c r="AI184" s="311">
        <v>1216766.2563556954</v>
      </c>
      <c r="AJ184" s="311">
        <v>5474.3055972411985</v>
      </c>
      <c r="AK184" s="311">
        <v>160.9699884568</v>
      </c>
      <c r="AL184" s="311">
        <v>0</v>
      </c>
      <c r="AM184" s="311">
        <v>0</v>
      </c>
      <c r="AN184" s="311">
        <v>0</v>
      </c>
      <c r="AO184" s="311"/>
      <c r="AP184" s="311"/>
      <c r="AQ184" s="311"/>
      <c r="AR184" s="311"/>
      <c r="AS184" s="311"/>
      <c r="AT184" s="311"/>
      <c r="AU184" s="311"/>
      <c r="AV184" s="311"/>
      <c r="AW184" s="311"/>
      <c r="AX184" s="311"/>
      <c r="AY184" s="311"/>
      <c r="AZ184" s="311"/>
      <c r="BA184" s="311"/>
      <c r="BB184" s="311"/>
      <c r="BC184" s="311"/>
      <c r="BD184" s="311"/>
      <c r="BE184" s="311"/>
      <c r="BF184" s="311"/>
      <c r="BG184" s="311"/>
      <c r="BH184" s="311"/>
      <c r="BI184" s="311"/>
      <c r="BJ184" s="311"/>
      <c r="BK184" s="311"/>
    </row>
    <row r="185" spans="1:63" s="80" customFormat="1" ht="12.75">
      <c r="A185" s="167"/>
      <c r="B185" s="210" t="str">
        <f>Servicio_internaColumna_título_amortizaciones</f>
        <v>Amortizaciones</v>
      </c>
      <c r="C185" s="269">
        <v>0</v>
      </c>
      <c r="D185" s="235"/>
      <c r="E185" s="235"/>
      <c r="F185" s="235"/>
      <c r="G185" s="235"/>
      <c r="H185" s="235">
        <v>2538369.7928097397</v>
      </c>
      <c r="I185" s="235">
        <v>2959914.1736021456</v>
      </c>
      <c r="J185" s="235">
        <v>4429846.1936369203</v>
      </c>
      <c r="K185" s="235">
        <v>3847466.855616346</v>
      </c>
      <c r="L185" s="235">
        <v>4337545.7514784886</v>
      </c>
      <c r="M185" s="235">
        <v>3277386.502307991</v>
      </c>
      <c r="N185" s="235">
        <v>4971294.4185877219</v>
      </c>
      <c r="O185" s="235">
        <v>3543975.3779536961</v>
      </c>
      <c r="P185" s="235">
        <v>4473433.9103831155</v>
      </c>
      <c r="Q185" s="235">
        <v>4013356.3369578011</v>
      </c>
      <c r="R185" s="235">
        <v>1871321.6082209849</v>
      </c>
      <c r="S185" s="273">
        <v>1197254.616290427</v>
      </c>
      <c r="T185" s="235">
        <v>865958.82478978415</v>
      </c>
      <c r="U185" s="235">
        <v>686219.18359332206</v>
      </c>
      <c r="V185" s="235">
        <v>2944345.3331865035</v>
      </c>
      <c r="W185" s="235">
        <v>462622.92972185113</v>
      </c>
      <c r="X185" s="235">
        <v>334711.46618261759</v>
      </c>
      <c r="Y185" s="235">
        <v>286754.00201748905</v>
      </c>
      <c r="Z185" s="235">
        <v>2482994.2762536434</v>
      </c>
      <c r="AA185" s="235">
        <v>109921.61652886102</v>
      </c>
      <c r="AB185" s="235">
        <v>63520.616326599004</v>
      </c>
      <c r="AC185" s="235">
        <v>456339.36076402647</v>
      </c>
      <c r="AD185" s="235">
        <v>66127.262193957999</v>
      </c>
      <c r="AE185" s="235">
        <v>36971.662246168002</v>
      </c>
      <c r="AF185" s="235">
        <v>18883.637121993997</v>
      </c>
      <c r="AG185" s="235">
        <v>6299.1009628040001</v>
      </c>
      <c r="AH185" s="235">
        <v>5427.6971271069997</v>
      </c>
      <c r="AI185" s="235">
        <v>1147589.4407771069</v>
      </c>
      <c r="AJ185" s="235">
        <v>5427.6971271069997</v>
      </c>
      <c r="AK185" s="235">
        <v>158.74362819700002</v>
      </c>
      <c r="AL185" s="235">
        <v>0</v>
      </c>
      <c r="AM185" s="235">
        <v>0</v>
      </c>
      <c r="AN185" s="235">
        <v>0</v>
      </c>
      <c r="AO185" s="235"/>
      <c r="AP185" s="235"/>
      <c r="AQ185" s="235"/>
      <c r="AR185" s="235"/>
      <c r="AS185" s="235"/>
      <c r="AT185" s="235"/>
      <c r="AU185" s="235"/>
      <c r="AV185" s="235"/>
      <c r="AW185" s="235"/>
      <c r="AX185" s="235"/>
      <c r="AY185" s="235"/>
      <c r="AZ185" s="235"/>
      <c r="BA185" s="235"/>
      <c r="BB185" s="235"/>
      <c r="BC185" s="235"/>
      <c r="BD185" s="235"/>
      <c r="BE185" s="235"/>
      <c r="BF185" s="235"/>
      <c r="BG185" s="235"/>
      <c r="BH185" s="235"/>
      <c r="BI185" s="235"/>
      <c r="BJ185" s="235"/>
      <c r="BK185" s="235"/>
    </row>
    <row r="186" spans="1:63" s="133" customFormat="1" ht="12.75">
      <c r="A186" s="168">
        <v>38748</v>
      </c>
      <c r="B186" s="213" t="str">
        <f>Servicio_internaColumna_título_intereses</f>
        <v>Intereses</v>
      </c>
      <c r="C186" s="270">
        <v>0</v>
      </c>
      <c r="D186" s="271"/>
      <c r="E186" s="271"/>
      <c r="F186" s="271"/>
      <c r="G186" s="271"/>
      <c r="H186" s="271">
        <v>3399056.7983252411</v>
      </c>
      <c r="I186" s="271">
        <v>3642576.3289951547</v>
      </c>
      <c r="J186" s="271">
        <v>3472395.5710451729</v>
      </c>
      <c r="K186" s="271">
        <v>3018419.1638993607</v>
      </c>
      <c r="L186" s="271">
        <v>2826538.5409552353</v>
      </c>
      <c r="M186" s="271">
        <v>2475308.9057778348</v>
      </c>
      <c r="N186" s="271">
        <v>2132519.5641071168</v>
      </c>
      <c r="O186" s="271">
        <v>1794204.9905493238</v>
      </c>
      <c r="P186" s="271">
        <v>1591893.3826348514</v>
      </c>
      <c r="Q186" s="271">
        <v>1281934.8781095678</v>
      </c>
      <c r="R186" s="271">
        <v>939918.10620975716</v>
      </c>
      <c r="S186" s="274">
        <v>852676.54251734901</v>
      </c>
      <c r="T186" s="271">
        <v>793472.81708269485</v>
      </c>
      <c r="U186" s="272">
        <v>752591.21847959654</v>
      </c>
      <c r="V186" s="272">
        <v>577062.41158059402</v>
      </c>
      <c r="W186" s="272">
        <v>408960.04314946954</v>
      </c>
      <c r="X186" s="272">
        <v>387628.11960204295</v>
      </c>
      <c r="Y186" s="272">
        <v>372321.25679434306</v>
      </c>
      <c r="Z186" s="272">
        <v>267938.90343614906</v>
      </c>
      <c r="AA186" s="272">
        <v>167540.90682950453</v>
      </c>
      <c r="AB186" s="272">
        <v>163222.14981228049</v>
      </c>
      <c r="AC186" s="272">
        <v>143774.6611451075</v>
      </c>
      <c r="AD186" s="236">
        <v>123443.40392533199</v>
      </c>
      <c r="AE186" s="236">
        <v>120270.81830850198</v>
      </c>
      <c r="AF186" s="236">
        <v>118935.22794220949</v>
      </c>
      <c r="AG186" s="236">
        <v>118566.03796374651</v>
      </c>
      <c r="AH186" s="236">
        <v>118564.8474099845</v>
      </c>
      <c r="AI186" s="236">
        <v>59285.462360787496</v>
      </c>
      <c r="AJ186" s="236">
        <v>2.6787912775000002</v>
      </c>
      <c r="AK186" s="236">
        <v>1.4881922025000003</v>
      </c>
      <c r="AL186" s="236">
        <v>0</v>
      </c>
      <c r="AM186" s="236">
        <v>0</v>
      </c>
      <c r="AN186" s="236">
        <v>0</v>
      </c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</row>
    <row r="187" spans="1:63" s="133" customFormat="1" ht="12.75">
      <c r="A187" s="169"/>
      <c r="B187" s="307" t="str">
        <f>Servicio_internaColumna_título_total</f>
        <v>Total</v>
      </c>
      <c r="C187" s="310">
        <v>0</v>
      </c>
      <c r="D187" s="311"/>
      <c r="E187" s="311"/>
      <c r="F187" s="311"/>
      <c r="G187" s="311"/>
      <c r="H187" s="311">
        <v>5937426.5911349803</v>
      </c>
      <c r="I187" s="311">
        <v>6602490.5025973003</v>
      </c>
      <c r="J187" s="311">
        <v>7902241.7646820936</v>
      </c>
      <c r="K187" s="311">
        <v>6865886.0195157062</v>
      </c>
      <c r="L187" s="311">
        <v>7164084.2924337238</v>
      </c>
      <c r="M187" s="311">
        <v>5752695.4080858259</v>
      </c>
      <c r="N187" s="311">
        <v>7103813.9826948382</v>
      </c>
      <c r="O187" s="311">
        <v>5338180.3685030201</v>
      </c>
      <c r="P187" s="311">
        <v>6065327.2930179667</v>
      </c>
      <c r="Q187" s="311">
        <v>5295291.2150673689</v>
      </c>
      <c r="R187" s="311">
        <v>2811239.714430742</v>
      </c>
      <c r="S187" s="312">
        <v>2049931.1588077759</v>
      </c>
      <c r="T187" s="311">
        <v>1659431.6418724791</v>
      </c>
      <c r="U187" s="311">
        <v>1438810.4020729186</v>
      </c>
      <c r="V187" s="311">
        <v>3521407.7447670978</v>
      </c>
      <c r="W187" s="311">
        <v>871582.97287132067</v>
      </c>
      <c r="X187" s="311">
        <v>722339.58578466054</v>
      </c>
      <c r="Y187" s="311">
        <v>659075.25881183217</v>
      </c>
      <c r="Z187" s="311">
        <v>2750933.1796897925</v>
      </c>
      <c r="AA187" s="311">
        <v>277462.52335836552</v>
      </c>
      <c r="AB187" s="311">
        <v>226742.76613887949</v>
      </c>
      <c r="AC187" s="311">
        <v>600114.021909134</v>
      </c>
      <c r="AD187" s="311">
        <v>189570.66611928999</v>
      </c>
      <c r="AE187" s="311">
        <v>157242.48055466998</v>
      </c>
      <c r="AF187" s="311">
        <v>137818.86506420348</v>
      </c>
      <c r="AG187" s="311">
        <v>124865.13892655051</v>
      </c>
      <c r="AH187" s="311">
        <v>123992.54453709151</v>
      </c>
      <c r="AI187" s="311">
        <v>1206874.9031378943</v>
      </c>
      <c r="AJ187" s="311">
        <v>5430.3759183844995</v>
      </c>
      <c r="AK187" s="311">
        <v>160.23182039950001</v>
      </c>
      <c r="AL187" s="311">
        <v>0</v>
      </c>
      <c r="AM187" s="311">
        <v>0</v>
      </c>
      <c r="AN187" s="311">
        <v>0</v>
      </c>
      <c r="AO187" s="311"/>
      <c r="AP187" s="311"/>
      <c r="AQ187" s="311"/>
      <c r="AR187" s="311"/>
      <c r="AS187" s="311"/>
      <c r="AT187" s="311"/>
      <c r="AU187" s="311"/>
      <c r="AV187" s="311"/>
      <c r="AW187" s="311"/>
      <c r="AX187" s="311"/>
      <c r="AY187" s="311"/>
      <c r="AZ187" s="311"/>
      <c r="BA187" s="311"/>
      <c r="BB187" s="311"/>
      <c r="BC187" s="311"/>
      <c r="BD187" s="311"/>
      <c r="BE187" s="311"/>
      <c r="BF187" s="311"/>
      <c r="BG187" s="311"/>
      <c r="BH187" s="311"/>
      <c r="BI187" s="311"/>
      <c r="BJ187" s="311"/>
      <c r="BK187" s="311"/>
    </row>
    <row r="188" spans="1:63" s="80" customFormat="1" ht="12.75">
      <c r="A188" s="167"/>
      <c r="B188" s="210" t="str">
        <f>Servicio_internaColumna_título_amortizaciones</f>
        <v>Amortizaciones</v>
      </c>
      <c r="C188" s="269">
        <v>0</v>
      </c>
      <c r="D188" s="235"/>
      <c r="E188" s="235"/>
      <c r="F188" s="235"/>
      <c r="G188" s="235"/>
      <c r="H188" s="235">
        <v>2420670.6036064066</v>
      </c>
      <c r="I188" s="235">
        <v>2936571.688523123</v>
      </c>
      <c r="J188" s="235">
        <v>4426755.8726354502</v>
      </c>
      <c r="K188" s="235">
        <v>3816463.8939078888</v>
      </c>
      <c r="L188" s="235">
        <v>4259575.3653558167</v>
      </c>
      <c r="M188" s="235">
        <v>3284454.7883134554</v>
      </c>
      <c r="N188" s="235">
        <v>4938279.0188813228</v>
      </c>
      <c r="O188" s="235">
        <v>3517326.713567771</v>
      </c>
      <c r="P188" s="235">
        <v>4408150.2105478486</v>
      </c>
      <c r="Q188" s="235">
        <v>3899371.6347911642</v>
      </c>
      <c r="R188" s="235">
        <v>1837818.0591859075</v>
      </c>
      <c r="S188" s="273">
        <v>1185578.2214011722</v>
      </c>
      <c r="T188" s="235">
        <v>858831.77859675547</v>
      </c>
      <c r="U188" s="235">
        <v>680749.97978170658</v>
      </c>
      <c r="V188" s="235">
        <v>2920606.1522301226</v>
      </c>
      <c r="W188" s="235">
        <v>458961.1213106236</v>
      </c>
      <c r="X188" s="235">
        <v>332018.84450462006</v>
      </c>
      <c r="Y188" s="235">
        <v>284435.8330278733</v>
      </c>
      <c r="Z188" s="235">
        <v>2462907.725522304</v>
      </c>
      <c r="AA188" s="235">
        <v>109034.08578339389</v>
      </c>
      <c r="AB188" s="235">
        <v>63008.486530865557</v>
      </c>
      <c r="AC188" s="235">
        <v>452649.18460954644</v>
      </c>
      <c r="AD188" s="235">
        <v>65594.043686128702</v>
      </c>
      <c r="AE188" s="235">
        <v>36674.323134531573</v>
      </c>
      <c r="AF188" s="235">
        <v>18732.63670523102</v>
      </c>
      <c r="AG188" s="235">
        <v>6249.9140156973772</v>
      </c>
      <c r="AH188" s="235">
        <v>5385.5601536237109</v>
      </c>
      <c r="AI188" s="235">
        <v>1138306.8003350201</v>
      </c>
      <c r="AJ188" s="235">
        <v>5385.5601536237109</v>
      </c>
      <c r="AK188" s="235">
        <v>159.23440280041993</v>
      </c>
      <c r="AL188" s="235">
        <v>0</v>
      </c>
      <c r="AM188" s="235">
        <v>0</v>
      </c>
      <c r="AN188" s="235">
        <v>0</v>
      </c>
      <c r="AO188" s="235"/>
      <c r="AP188" s="235"/>
      <c r="AQ188" s="235"/>
      <c r="AR188" s="235"/>
      <c r="AS188" s="235"/>
      <c r="AT188" s="235"/>
      <c r="AU188" s="235"/>
      <c r="AV188" s="235"/>
      <c r="AW188" s="235"/>
      <c r="AX188" s="235"/>
      <c r="AY188" s="235"/>
      <c r="AZ188" s="235"/>
      <c r="BA188" s="235"/>
      <c r="BB188" s="235"/>
      <c r="BC188" s="235"/>
      <c r="BD188" s="235"/>
      <c r="BE188" s="235"/>
      <c r="BF188" s="235"/>
      <c r="BG188" s="235"/>
      <c r="BH188" s="235"/>
      <c r="BI188" s="235"/>
      <c r="BJ188" s="235"/>
      <c r="BK188" s="235"/>
    </row>
    <row r="189" spans="1:63" s="133" customFormat="1" ht="12.75">
      <c r="A189" s="168">
        <v>38776</v>
      </c>
      <c r="B189" s="213" t="str">
        <f>Servicio_internaColumna_título_intereses</f>
        <v>Intereses</v>
      </c>
      <c r="C189" s="270">
        <v>0</v>
      </c>
      <c r="D189" s="271"/>
      <c r="E189" s="271"/>
      <c r="F189" s="271"/>
      <c r="G189" s="271"/>
      <c r="H189" s="271">
        <v>2784820.1036191732</v>
      </c>
      <c r="I189" s="271">
        <v>3648451.0282215672</v>
      </c>
      <c r="J189" s="271">
        <v>3461920.805069285</v>
      </c>
      <c r="K189" s="271">
        <v>3010818.5818590745</v>
      </c>
      <c r="L189" s="271">
        <v>2818637.5095206313</v>
      </c>
      <c r="M189" s="271">
        <v>2471873.2161374339</v>
      </c>
      <c r="N189" s="271">
        <v>2127350.7310903426</v>
      </c>
      <c r="O189" s="271">
        <v>1790590.7764297721</v>
      </c>
      <c r="P189" s="271">
        <v>1588839.293950893</v>
      </c>
      <c r="Q189" s="271">
        <v>1274496.1308468611</v>
      </c>
      <c r="R189" s="271">
        <v>930465.69960756577</v>
      </c>
      <c r="S189" s="274">
        <v>845349.38497090712</v>
      </c>
      <c r="T189" s="271">
        <v>787060.45513352042</v>
      </c>
      <c r="U189" s="272">
        <v>746507.39988378051</v>
      </c>
      <c r="V189" s="272">
        <v>572397.04255291622</v>
      </c>
      <c r="W189" s="272">
        <v>405653.07991581876</v>
      </c>
      <c r="X189" s="272">
        <v>384492.39411179489</v>
      </c>
      <c r="Y189" s="272">
        <v>369309.21897226287</v>
      </c>
      <c r="Z189" s="272">
        <v>265771.34342714562</v>
      </c>
      <c r="AA189" s="272">
        <v>166185.58978483477</v>
      </c>
      <c r="AB189" s="272">
        <v>161901.75977680684</v>
      </c>
      <c r="AC189" s="272">
        <v>142611.59505434646</v>
      </c>
      <c r="AD189" s="236">
        <v>122444.81176548569</v>
      </c>
      <c r="AE189" s="236">
        <v>119297.88019233018</v>
      </c>
      <c r="AF189" s="236">
        <v>117973.08193320384</v>
      </c>
      <c r="AG189" s="236">
        <v>117606.8655316634</v>
      </c>
      <c r="AH189" s="236">
        <v>117605.67130577906</v>
      </c>
      <c r="AI189" s="236">
        <v>58805.864692007075</v>
      </c>
      <c r="AJ189" s="236">
        <v>2.6870756593359375</v>
      </c>
      <c r="AK189" s="236">
        <v>1.4927823554077149</v>
      </c>
      <c r="AL189" s="236">
        <v>0</v>
      </c>
      <c r="AM189" s="236">
        <v>0</v>
      </c>
      <c r="AN189" s="236">
        <v>0</v>
      </c>
      <c r="AO189" s="236"/>
      <c r="AP189" s="236"/>
      <c r="AQ189" s="236"/>
      <c r="AR189" s="236"/>
      <c r="AS189" s="236"/>
      <c r="AT189" s="236"/>
      <c r="AU189" s="236"/>
      <c r="AV189" s="236"/>
      <c r="AW189" s="236"/>
      <c r="AX189" s="236"/>
      <c r="AY189" s="236"/>
      <c r="AZ189" s="236"/>
      <c r="BA189" s="236"/>
      <c r="BB189" s="236"/>
      <c r="BC189" s="236"/>
      <c r="BD189" s="236"/>
      <c r="BE189" s="236"/>
      <c r="BF189" s="236"/>
      <c r="BG189" s="236"/>
      <c r="BH189" s="236"/>
      <c r="BI189" s="236"/>
      <c r="BJ189" s="236"/>
      <c r="BK189" s="236"/>
    </row>
    <row r="190" spans="1:63" s="133" customFormat="1" ht="12.75">
      <c r="A190" s="169"/>
      <c r="B190" s="307" t="str">
        <f>Servicio_internaColumna_título_total</f>
        <v>Total</v>
      </c>
      <c r="C190" s="310">
        <v>0</v>
      </c>
      <c r="D190" s="311"/>
      <c r="E190" s="311"/>
      <c r="F190" s="311"/>
      <c r="G190" s="311"/>
      <c r="H190" s="311">
        <v>5205490.7072255798</v>
      </c>
      <c r="I190" s="311">
        <v>6585022.7167446902</v>
      </c>
      <c r="J190" s="311">
        <v>7888676.6777047347</v>
      </c>
      <c r="K190" s="311">
        <v>6827282.4757669633</v>
      </c>
      <c r="L190" s="311">
        <v>7078212.874876448</v>
      </c>
      <c r="M190" s="311">
        <v>5756328.0044508893</v>
      </c>
      <c r="N190" s="311">
        <v>7065629.7499716654</v>
      </c>
      <c r="O190" s="311">
        <v>5307917.4899975434</v>
      </c>
      <c r="P190" s="311">
        <v>5996989.5044987416</v>
      </c>
      <c r="Q190" s="311">
        <v>5173867.7656380255</v>
      </c>
      <c r="R190" s="311">
        <v>2768283.7587934732</v>
      </c>
      <c r="S190" s="312">
        <v>2030927.6063720793</v>
      </c>
      <c r="T190" s="311">
        <v>1645892.2337302759</v>
      </c>
      <c r="U190" s="311">
        <v>1427257.379665487</v>
      </c>
      <c r="V190" s="311">
        <v>3493003.1947830389</v>
      </c>
      <c r="W190" s="311">
        <v>864614.20122644235</v>
      </c>
      <c r="X190" s="311">
        <v>716511.23861641495</v>
      </c>
      <c r="Y190" s="311">
        <v>653745.05200013611</v>
      </c>
      <c r="Z190" s="311">
        <v>2728679.0689494498</v>
      </c>
      <c r="AA190" s="311">
        <v>275219.67556822865</v>
      </c>
      <c r="AB190" s="311">
        <v>224910.24630767241</v>
      </c>
      <c r="AC190" s="311">
        <v>595260.77966389293</v>
      </c>
      <c r="AD190" s="311">
        <v>188038.85545161439</v>
      </c>
      <c r="AE190" s="311">
        <v>155972.20332686175</v>
      </c>
      <c r="AF190" s="311">
        <v>136705.71863843486</v>
      </c>
      <c r="AG190" s="311">
        <v>123856.77954736077</v>
      </c>
      <c r="AH190" s="311">
        <v>122991.23145940277</v>
      </c>
      <c r="AI190" s="311">
        <v>1197112.665027027</v>
      </c>
      <c r="AJ190" s="311">
        <v>5388.2472292830471</v>
      </c>
      <c r="AK190" s="311">
        <v>160.72718515582764</v>
      </c>
      <c r="AL190" s="311">
        <v>0</v>
      </c>
      <c r="AM190" s="311">
        <v>0</v>
      </c>
      <c r="AN190" s="311">
        <v>0</v>
      </c>
      <c r="AO190" s="311"/>
      <c r="AP190" s="311"/>
      <c r="AQ190" s="311"/>
      <c r="AR190" s="311"/>
      <c r="AS190" s="311"/>
      <c r="AT190" s="311"/>
      <c r="AU190" s="311"/>
      <c r="AV190" s="311"/>
      <c r="AW190" s="311"/>
      <c r="AX190" s="311"/>
      <c r="AY190" s="311"/>
      <c r="AZ190" s="311"/>
      <c r="BA190" s="311"/>
      <c r="BB190" s="311"/>
      <c r="BC190" s="311"/>
      <c r="BD190" s="311"/>
      <c r="BE190" s="311"/>
      <c r="BF190" s="311"/>
      <c r="BG190" s="311"/>
      <c r="BH190" s="311"/>
      <c r="BI190" s="311"/>
      <c r="BJ190" s="311"/>
      <c r="BK190" s="311"/>
    </row>
    <row r="191" spans="1:63" s="80" customFormat="1" ht="12.75">
      <c r="A191" s="167"/>
      <c r="B191" s="210" t="str">
        <f>Servicio_internaColumna_título_amortizaciones</f>
        <v>Amortizaciones</v>
      </c>
      <c r="C191" s="269">
        <v>0</v>
      </c>
      <c r="D191" s="235"/>
      <c r="E191" s="235"/>
      <c r="F191" s="235"/>
      <c r="G191" s="235"/>
      <c r="H191" s="235">
        <v>1934380.8711023717</v>
      </c>
      <c r="I191" s="235">
        <v>2712034.3782673683</v>
      </c>
      <c r="J191" s="235">
        <v>3901721.7244237233</v>
      </c>
      <c r="K191" s="235">
        <v>3852930.8007220491</v>
      </c>
      <c r="L191" s="235">
        <v>4321952.4298300035</v>
      </c>
      <c r="M191" s="235">
        <v>2803192.8561132038</v>
      </c>
      <c r="N191" s="235">
        <v>4352970.101827641</v>
      </c>
      <c r="O191" s="235">
        <v>3643956.041520657</v>
      </c>
      <c r="P191" s="235">
        <v>4650319.4910251629</v>
      </c>
      <c r="Q191" s="235">
        <v>4599566.2975448659</v>
      </c>
      <c r="R191" s="235">
        <v>1876155.0469915948</v>
      </c>
      <c r="S191" s="273">
        <v>1207666.1314887251</v>
      </c>
      <c r="T191" s="235">
        <v>875047.31189885258</v>
      </c>
      <c r="U191" s="235">
        <v>693637.79151371331</v>
      </c>
      <c r="V191" s="235">
        <v>2976013.1386356754</v>
      </c>
      <c r="W191" s="235">
        <v>467590.23657630908</v>
      </c>
      <c r="X191" s="235">
        <v>338304.72545377206</v>
      </c>
      <c r="Y191" s="235">
        <v>289832.17006876448</v>
      </c>
      <c r="Z191" s="235">
        <v>2509657.078238741</v>
      </c>
      <c r="AA191" s="235">
        <v>111100.84522986681</v>
      </c>
      <c r="AB191" s="235">
        <v>64201.561384976398</v>
      </c>
      <c r="AC191" s="235">
        <v>461278.37170964776</v>
      </c>
      <c r="AD191" s="235">
        <v>66838.0468233016</v>
      </c>
      <c r="AE191" s="235">
        <v>37369.355380033594</v>
      </c>
      <c r="AF191" s="235">
        <v>19087.089555071998</v>
      </c>
      <c r="AG191" s="235">
        <v>6367.4124993248006</v>
      </c>
      <c r="AH191" s="235">
        <v>5486.6509714324002</v>
      </c>
      <c r="AI191" s="235">
        <v>1159913.6585514322</v>
      </c>
      <c r="AJ191" s="235">
        <v>5486.6509714324002</v>
      </c>
      <c r="AK191" s="235">
        <v>161.11607706039999</v>
      </c>
      <c r="AL191" s="235">
        <v>0</v>
      </c>
      <c r="AM191" s="235">
        <v>0</v>
      </c>
      <c r="AN191" s="235">
        <v>0</v>
      </c>
      <c r="AO191" s="235"/>
      <c r="AP191" s="235"/>
      <c r="AQ191" s="235"/>
      <c r="AR191" s="235"/>
      <c r="AS191" s="235"/>
      <c r="AT191" s="235"/>
      <c r="AU191" s="235"/>
      <c r="AV191" s="235"/>
      <c r="AW191" s="235"/>
      <c r="AX191" s="235"/>
      <c r="AY191" s="235"/>
      <c r="AZ191" s="235"/>
      <c r="BA191" s="235"/>
      <c r="BB191" s="235"/>
      <c r="BC191" s="235"/>
      <c r="BD191" s="235"/>
      <c r="BE191" s="235"/>
      <c r="BF191" s="235"/>
      <c r="BG191" s="235"/>
      <c r="BH191" s="235"/>
      <c r="BI191" s="235"/>
      <c r="BJ191" s="235"/>
      <c r="BK191" s="235"/>
    </row>
    <row r="192" spans="1:63" s="133" customFormat="1" ht="12.75">
      <c r="A192" s="168">
        <v>38807</v>
      </c>
      <c r="B192" s="213" t="str">
        <f>Servicio_internaColumna_título_intereses</f>
        <v>Intereses</v>
      </c>
      <c r="C192" s="270">
        <v>0</v>
      </c>
      <c r="D192" s="271"/>
      <c r="E192" s="271"/>
      <c r="F192" s="271"/>
      <c r="G192" s="271"/>
      <c r="H192" s="271">
        <v>2602976.1858314825</v>
      </c>
      <c r="I192" s="271">
        <v>3697986.0983240111</v>
      </c>
      <c r="J192" s="271">
        <v>3531161.9738120888</v>
      </c>
      <c r="K192" s="271">
        <v>3100054.3392407508</v>
      </c>
      <c r="L192" s="271">
        <v>2896702.5880759889</v>
      </c>
      <c r="M192" s="271">
        <v>2535831.9805213786</v>
      </c>
      <c r="N192" s="271">
        <v>2236443.4813350323</v>
      </c>
      <c r="O192" s="271">
        <v>1899120.0398826194</v>
      </c>
      <c r="P192" s="271">
        <v>1689748.1568150874</v>
      </c>
      <c r="Q192" s="271">
        <v>1364934.8107695454</v>
      </c>
      <c r="R192" s="271">
        <v>947530.28250857897</v>
      </c>
      <c r="S192" s="274">
        <v>860773.86399407464</v>
      </c>
      <c r="T192" s="271">
        <v>801489.86698676273</v>
      </c>
      <c r="U192" s="272">
        <v>760255.202519582</v>
      </c>
      <c r="V192" s="272">
        <v>582924.71448249498</v>
      </c>
      <c r="W192" s="272">
        <v>413120.90351216297</v>
      </c>
      <c r="X192" s="272">
        <v>391656.5302786752</v>
      </c>
      <c r="Y192" s="272">
        <v>376280.97305089061</v>
      </c>
      <c r="Z192" s="272">
        <v>270867.6561815532</v>
      </c>
      <c r="AA192" s="272">
        <v>169191.8192883842</v>
      </c>
      <c r="AB192" s="272">
        <v>164852.50096649179</v>
      </c>
      <c r="AC192" s="272">
        <v>145221.98901280839</v>
      </c>
      <c r="AD192" s="236">
        <v>124696.2152633736</v>
      </c>
      <c r="AE192" s="236">
        <v>121517.37929737559</v>
      </c>
      <c r="AF192" s="236">
        <v>120193.262779513</v>
      </c>
      <c r="AG192" s="236">
        <v>119839.302288398</v>
      </c>
      <c r="AH192" s="236">
        <v>119838.09391175158</v>
      </c>
      <c r="AI192" s="236">
        <v>59922.123887502799</v>
      </c>
      <c r="AJ192" s="236">
        <v>2.7188245546000003</v>
      </c>
      <c r="AK192" s="236">
        <v>1.5104250083999999</v>
      </c>
      <c r="AL192" s="236">
        <v>0</v>
      </c>
      <c r="AM192" s="236">
        <v>0</v>
      </c>
      <c r="AN192" s="236">
        <v>0</v>
      </c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</row>
    <row r="193" spans="1:63" s="133" customFormat="1" ht="12.75">
      <c r="A193" s="169"/>
      <c r="B193" s="307" t="str">
        <f>Servicio_internaColumna_título_total</f>
        <v>Total</v>
      </c>
      <c r="C193" s="310">
        <v>0</v>
      </c>
      <c r="D193" s="311"/>
      <c r="E193" s="311"/>
      <c r="F193" s="311"/>
      <c r="G193" s="311"/>
      <c r="H193" s="311">
        <v>4537357.0569338538</v>
      </c>
      <c r="I193" s="311">
        <v>6410020.4765913794</v>
      </c>
      <c r="J193" s="311">
        <v>7432883.6982358117</v>
      </c>
      <c r="K193" s="311">
        <v>6952985.1399627998</v>
      </c>
      <c r="L193" s="311">
        <v>7218655.0179059925</v>
      </c>
      <c r="M193" s="311">
        <v>5339024.8366345819</v>
      </c>
      <c r="N193" s="311">
        <v>6589413.5831626728</v>
      </c>
      <c r="O193" s="311">
        <v>5543076.081403276</v>
      </c>
      <c r="P193" s="311">
        <v>6340067.6478402503</v>
      </c>
      <c r="Q193" s="311">
        <v>5964501.1083144117</v>
      </c>
      <c r="R193" s="311">
        <v>2823685.3295001737</v>
      </c>
      <c r="S193" s="312">
        <v>2068439.9954827996</v>
      </c>
      <c r="T193" s="311">
        <v>1676537.1788856154</v>
      </c>
      <c r="U193" s="311">
        <v>1453892.9940332952</v>
      </c>
      <c r="V193" s="311">
        <v>3558937.8531181705</v>
      </c>
      <c r="W193" s="311">
        <v>880711.14008847205</v>
      </c>
      <c r="X193" s="311">
        <v>729961.25573244726</v>
      </c>
      <c r="Y193" s="311">
        <v>666113.14311965508</v>
      </c>
      <c r="Z193" s="311">
        <v>2780524.7344202944</v>
      </c>
      <c r="AA193" s="311">
        <v>280292.66451825103</v>
      </c>
      <c r="AB193" s="311">
        <v>229054.06235146819</v>
      </c>
      <c r="AC193" s="311">
        <v>606500.36072245613</v>
      </c>
      <c r="AD193" s="311">
        <v>191534.26208667521</v>
      </c>
      <c r="AE193" s="311">
        <v>158886.73467740917</v>
      </c>
      <c r="AF193" s="311">
        <v>139280.35233458498</v>
      </c>
      <c r="AG193" s="311">
        <v>126206.7147877228</v>
      </c>
      <c r="AH193" s="311">
        <v>125324.74488318399</v>
      </c>
      <c r="AI193" s="311">
        <v>1219835.782438935</v>
      </c>
      <c r="AJ193" s="311">
        <v>5489.3697959870005</v>
      </c>
      <c r="AK193" s="311">
        <v>162.62650206879999</v>
      </c>
      <c r="AL193" s="311">
        <v>0</v>
      </c>
      <c r="AM193" s="311">
        <v>0</v>
      </c>
      <c r="AN193" s="311">
        <v>0</v>
      </c>
      <c r="AO193" s="311"/>
      <c r="AP193" s="311"/>
      <c r="AQ193" s="311"/>
      <c r="AR193" s="311"/>
      <c r="AS193" s="311"/>
      <c r="AT193" s="311"/>
      <c r="AU193" s="311"/>
      <c r="AV193" s="311"/>
      <c r="AW193" s="311"/>
      <c r="AX193" s="311"/>
      <c r="AY193" s="311"/>
      <c r="AZ193" s="311"/>
      <c r="BA193" s="311"/>
      <c r="BB193" s="311"/>
      <c r="BC193" s="311"/>
      <c r="BD193" s="311"/>
      <c r="BE193" s="311"/>
      <c r="BF193" s="311"/>
      <c r="BG193" s="311"/>
      <c r="BH193" s="311"/>
      <c r="BI193" s="311"/>
      <c r="BJ193" s="311"/>
      <c r="BK193" s="311"/>
    </row>
    <row r="194" spans="1:63" s="80" customFormat="1" ht="12.75">
      <c r="A194" s="167"/>
      <c r="B194" s="210" t="str">
        <f>Servicio_internaColumna_título_amortizaciones</f>
        <v>Amortizaciones</v>
      </c>
      <c r="C194" s="269">
        <v>0</v>
      </c>
      <c r="D194" s="235"/>
      <c r="E194" s="235"/>
      <c r="F194" s="235"/>
      <c r="G194" s="235"/>
      <c r="H194" s="235">
        <v>1903644.0147884253</v>
      </c>
      <c r="I194" s="235">
        <v>2814022.4514777651</v>
      </c>
      <c r="J194" s="235">
        <v>4062678.3508253573</v>
      </c>
      <c r="K194" s="235">
        <v>3997637.8629066763</v>
      </c>
      <c r="L194" s="235">
        <v>4436414.5694380272</v>
      </c>
      <c r="M194" s="235">
        <v>2918647.0355585162</v>
      </c>
      <c r="N194" s="235">
        <v>4505349.7654311489</v>
      </c>
      <c r="O194" s="235">
        <v>3780655.4494333109</v>
      </c>
      <c r="P194" s="235">
        <v>4818848.5799049027</v>
      </c>
      <c r="Q194" s="235">
        <v>4745189.1727882884</v>
      </c>
      <c r="R194" s="235">
        <v>1945972.595059725</v>
      </c>
      <c r="S194" s="273">
        <v>1252645.6012356898</v>
      </c>
      <c r="T194" s="235">
        <v>907673.75889042043</v>
      </c>
      <c r="U194" s="235">
        <v>719475.40073177963</v>
      </c>
      <c r="V194" s="235">
        <v>3086617.4576983629</v>
      </c>
      <c r="W194" s="235">
        <v>485030.95505566185</v>
      </c>
      <c r="X194" s="235">
        <v>350882.6402120362</v>
      </c>
      <c r="Y194" s="235">
        <v>300597.20493686391</v>
      </c>
      <c r="Z194" s="235">
        <v>2602866.5486214994</v>
      </c>
      <c r="AA194" s="235">
        <v>115227.78754801021</v>
      </c>
      <c r="AB194" s="235">
        <v>66586.661376545802</v>
      </c>
      <c r="AC194" s="235">
        <v>478410.9291978387</v>
      </c>
      <c r="AD194" s="235">
        <v>69321.066048458</v>
      </c>
      <c r="AE194" s="235">
        <v>38757.905567360009</v>
      </c>
      <c r="AF194" s="235">
        <v>19796.635249602397</v>
      </c>
      <c r="AG194" s="235">
        <v>6604.5485948232008</v>
      </c>
      <c r="AH194" s="235">
        <v>5691.0755288618002</v>
      </c>
      <c r="AI194" s="235">
        <v>1202993.5741588618</v>
      </c>
      <c r="AJ194" s="235">
        <v>5691.0755288618002</v>
      </c>
      <c r="AK194" s="235">
        <v>167.74993641980001</v>
      </c>
      <c r="AL194" s="235">
        <v>0</v>
      </c>
      <c r="AM194" s="235">
        <v>0</v>
      </c>
      <c r="AN194" s="235">
        <v>0</v>
      </c>
      <c r="AO194" s="235"/>
      <c r="AP194" s="235"/>
      <c r="AQ194" s="235"/>
      <c r="AR194" s="235"/>
      <c r="AS194" s="235"/>
      <c r="AT194" s="235"/>
      <c r="AU194" s="235"/>
      <c r="AV194" s="235"/>
      <c r="AW194" s="235"/>
      <c r="AX194" s="235"/>
      <c r="AY194" s="235"/>
      <c r="AZ194" s="235"/>
      <c r="BA194" s="235"/>
      <c r="BB194" s="235"/>
      <c r="BC194" s="235"/>
      <c r="BD194" s="235"/>
      <c r="BE194" s="235"/>
      <c r="BF194" s="235"/>
      <c r="BG194" s="235"/>
      <c r="BH194" s="235"/>
      <c r="BI194" s="235"/>
      <c r="BJ194" s="235"/>
      <c r="BK194" s="235"/>
    </row>
    <row r="195" spans="1:63" s="133" customFormat="1" ht="12.75">
      <c r="A195" s="168">
        <v>38837</v>
      </c>
      <c r="B195" s="213" t="str">
        <f>Servicio_internaColumna_título_intereses</f>
        <v>Intereses</v>
      </c>
      <c r="C195" s="270">
        <v>0</v>
      </c>
      <c r="D195" s="271"/>
      <c r="E195" s="271"/>
      <c r="F195" s="271"/>
      <c r="G195" s="271"/>
      <c r="H195" s="271">
        <v>2464066.3636456504</v>
      </c>
      <c r="I195" s="271">
        <v>3771932.881147394</v>
      </c>
      <c r="J195" s="271">
        <v>3609483.5496492563</v>
      </c>
      <c r="K195" s="271">
        <v>3155644.9042979907</v>
      </c>
      <c r="L195" s="271">
        <v>2945927.812689703</v>
      </c>
      <c r="M195" s="271">
        <v>2583556.0904917535</v>
      </c>
      <c r="N195" s="271">
        <v>2272130.9500751952</v>
      </c>
      <c r="O195" s="271">
        <v>1966133.4750040048</v>
      </c>
      <c r="P195" s="271">
        <v>1749032.8445548911</v>
      </c>
      <c r="Q195" s="271">
        <v>1412513.5615286937</v>
      </c>
      <c r="R195" s="271">
        <v>982754.82523960772</v>
      </c>
      <c r="S195" s="274">
        <v>892752.23927794793</v>
      </c>
      <c r="T195" s="271">
        <v>831263.69391659368</v>
      </c>
      <c r="U195" s="272">
        <v>788495.57684207044</v>
      </c>
      <c r="V195" s="272">
        <v>604577.50192948221</v>
      </c>
      <c r="W195" s="272">
        <v>428465.68165347038</v>
      </c>
      <c r="X195" s="272">
        <v>406202.87538762746</v>
      </c>
      <c r="Y195" s="272">
        <v>390256.13643142983</v>
      </c>
      <c r="Z195" s="272">
        <v>280927.7575313244</v>
      </c>
      <c r="AA195" s="272">
        <v>175475.66884676641</v>
      </c>
      <c r="AB195" s="272">
        <v>170975.1830792432</v>
      </c>
      <c r="AC195" s="272">
        <v>150615.58784240711</v>
      </c>
      <c r="AD195" s="236">
        <v>129327.4807071478</v>
      </c>
      <c r="AE195" s="236">
        <v>126030.57770633329</v>
      </c>
      <c r="AF195" s="236">
        <v>124657.2785258654</v>
      </c>
      <c r="AG195" s="236">
        <v>124290.1670274761</v>
      </c>
      <c r="AH195" s="236">
        <v>124288.90892658451</v>
      </c>
      <c r="AI195" s="236">
        <v>62147.651146795899</v>
      </c>
      <c r="AJ195" s="236">
        <v>2.8307745067000005</v>
      </c>
      <c r="AK195" s="236">
        <v>1.5726261145000002</v>
      </c>
      <c r="AL195" s="236">
        <v>0</v>
      </c>
      <c r="AM195" s="236">
        <v>0</v>
      </c>
      <c r="AN195" s="236">
        <v>0</v>
      </c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</row>
    <row r="196" spans="1:63" s="133" customFormat="1" ht="12.75">
      <c r="A196" s="169"/>
      <c r="B196" s="307" t="str">
        <f>Servicio_internaColumna_título_total</f>
        <v>Total</v>
      </c>
      <c r="C196" s="310">
        <v>0</v>
      </c>
      <c r="D196" s="311"/>
      <c r="E196" s="311"/>
      <c r="F196" s="311"/>
      <c r="G196" s="311"/>
      <c r="H196" s="311">
        <v>4367710.378434076</v>
      </c>
      <c r="I196" s="311">
        <v>6585955.3326251591</v>
      </c>
      <c r="J196" s="311">
        <v>7672161.9004746135</v>
      </c>
      <c r="K196" s="311">
        <v>7153282.7672046665</v>
      </c>
      <c r="L196" s="311">
        <v>7382342.3821277302</v>
      </c>
      <c r="M196" s="311">
        <v>5502203.1260502692</v>
      </c>
      <c r="N196" s="311">
        <v>6777480.7155063441</v>
      </c>
      <c r="O196" s="311">
        <v>5746788.9244373161</v>
      </c>
      <c r="P196" s="311">
        <v>6567881.4244597936</v>
      </c>
      <c r="Q196" s="311">
        <v>6157702.7343169823</v>
      </c>
      <c r="R196" s="311">
        <v>2928727.4202993326</v>
      </c>
      <c r="S196" s="312">
        <v>2145397.8405136378</v>
      </c>
      <c r="T196" s="311">
        <v>1738937.4528070141</v>
      </c>
      <c r="U196" s="311">
        <v>1507970.9775738502</v>
      </c>
      <c r="V196" s="311">
        <v>3691194.9596278453</v>
      </c>
      <c r="W196" s="311">
        <v>913496.63670913223</v>
      </c>
      <c r="X196" s="311">
        <v>757085.5155996636</v>
      </c>
      <c r="Y196" s="311">
        <v>690853.34136829374</v>
      </c>
      <c r="Z196" s="311">
        <v>2883794.3061528238</v>
      </c>
      <c r="AA196" s="311">
        <v>290703.45639477659</v>
      </c>
      <c r="AB196" s="311">
        <v>237561.84445578902</v>
      </c>
      <c r="AC196" s="311">
        <v>629026.51704024582</v>
      </c>
      <c r="AD196" s="311">
        <v>198648.54675560578</v>
      </c>
      <c r="AE196" s="311">
        <v>164788.4832736933</v>
      </c>
      <c r="AF196" s="311">
        <v>144453.91377546781</v>
      </c>
      <c r="AG196" s="311">
        <v>130894.71562229929</v>
      </c>
      <c r="AH196" s="311">
        <v>129979.98445544631</v>
      </c>
      <c r="AI196" s="311">
        <v>1265141.2253056576</v>
      </c>
      <c r="AJ196" s="311">
        <v>5693.9063033685006</v>
      </c>
      <c r="AK196" s="311">
        <v>169.3225625343</v>
      </c>
      <c r="AL196" s="311">
        <v>0</v>
      </c>
      <c r="AM196" s="311">
        <v>0</v>
      </c>
      <c r="AN196" s="311">
        <v>0</v>
      </c>
      <c r="AO196" s="311"/>
      <c r="AP196" s="311"/>
      <c r="AQ196" s="311"/>
      <c r="AR196" s="311"/>
      <c r="AS196" s="311"/>
      <c r="AT196" s="311"/>
      <c r="AU196" s="311"/>
      <c r="AV196" s="311"/>
      <c r="AW196" s="311"/>
      <c r="AX196" s="311"/>
      <c r="AY196" s="311"/>
      <c r="AZ196" s="311"/>
      <c r="BA196" s="311"/>
      <c r="BB196" s="311"/>
      <c r="BC196" s="311"/>
      <c r="BD196" s="311"/>
      <c r="BE196" s="311"/>
      <c r="BF196" s="311"/>
      <c r="BG196" s="311"/>
      <c r="BH196" s="311"/>
      <c r="BI196" s="311"/>
      <c r="BJ196" s="311"/>
      <c r="BK196" s="311"/>
    </row>
    <row r="197" spans="1:63" s="80" customFormat="1" ht="12.75">
      <c r="A197" s="167"/>
      <c r="B197" s="210" t="str">
        <f>Servicio_internaColumna_título_amortizaciones</f>
        <v>Amortizaciones</v>
      </c>
      <c r="C197" s="269">
        <v>0</v>
      </c>
      <c r="D197" s="235"/>
      <c r="E197" s="235"/>
      <c r="F197" s="235"/>
      <c r="G197" s="235"/>
      <c r="H197" s="235">
        <v>1829212.1351642124</v>
      </c>
      <c r="I197" s="235">
        <v>2862850.882533127</v>
      </c>
      <c r="J197" s="235">
        <v>4278449.9334117984</v>
      </c>
      <c r="K197" s="235">
        <v>4120311.0983383269</v>
      </c>
      <c r="L197" s="235">
        <v>4537566.8206152963</v>
      </c>
      <c r="M197" s="235">
        <v>3031903.8544288031</v>
      </c>
      <c r="N197" s="235">
        <v>4719554.211727879</v>
      </c>
      <c r="O197" s="235">
        <v>3965680.056596139</v>
      </c>
      <c r="P197" s="235">
        <v>5041196.4640922826</v>
      </c>
      <c r="Q197" s="235">
        <v>4910246.60229214</v>
      </c>
      <c r="R197" s="235">
        <v>2049263.6086173824</v>
      </c>
      <c r="S197" s="273">
        <v>1317013.6936072286</v>
      </c>
      <c r="T197" s="235">
        <v>953961.09032975731</v>
      </c>
      <c r="U197" s="235">
        <v>754383.33349215682</v>
      </c>
      <c r="V197" s="235">
        <v>3228542.1775208912</v>
      </c>
      <c r="W197" s="235">
        <v>509327.82232671994</v>
      </c>
      <c r="X197" s="235">
        <v>368642.58608876163</v>
      </c>
      <c r="Y197" s="235">
        <v>315986.3516379738</v>
      </c>
      <c r="Z197" s="235">
        <v>2722346.0361287696</v>
      </c>
      <c r="AA197" s="235">
        <v>121408.5640379346</v>
      </c>
      <c r="AB197" s="235">
        <v>70407.686764421989</v>
      </c>
      <c r="AC197" s="235">
        <v>500045.381417108</v>
      </c>
      <c r="AD197" s="235">
        <v>72459.722633575191</v>
      </c>
      <c r="AE197" s="235">
        <v>40514.738692369196</v>
      </c>
      <c r="AF197" s="235">
        <v>20696.190274241999</v>
      </c>
      <c r="AG197" s="235">
        <v>6907.6621997795992</v>
      </c>
      <c r="AH197" s="235">
        <v>5952.8891343137993</v>
      </c>
      <c r="AI197" s="235">
        <v>1257387.9007443136</v>
      </c>
      <c r="AJ197" s="235">
        <v>5952.8891343137993</v>
      </c>
      <c r="AK197" s="235">
        <v>179.8426111398</v>
      </c>
      <c r="AL197" s="235">
        <v>0</v>
      </c>
      <c r="AM197" s="235">
        <v>0</v>
      </c>
      <c r="AN197" s="235">
        <v>0</v>
      </c>
      <c r="AO197" s="235"/>
      <c r="AP197" s="235"/>
      <c r="AQ197" s="235"/>
      <c r="AR197" s="235"/>
      <c r="AS197" s="235"/>
      <c r="AT197" s="235"/>
      <c r="AU197" s="235"/>
      <c r="AV197" s="235"/>
      <c r="AW197" s="235"/>
      <c r="AX197" s="235"/>
      <c r="AY197" s="235"/>
      <c r="AZ197" s="235"/>
      <c r="BA197" s="235"/>
      <c r="BB197" s="235"/>
      <c r="BC197" s="235"/>
      <c r="BD197" s="235"/>
      <c r="BE197" s="235"/>
      <c r="BF197" s="235"/>
      <c r="BG197" s="235"/>
      <c r="BH197" s="235"/>
      <c r="BI197" s="235"/>
      <c r="BJ197" s="235"/>
      <c r="BK197" s="235"/>
    </row>
    <row r="198" spans="1:63" s="133" customFormat="1" ht="12.75">
      <c r="A198" s="168">
        <v>38868</v>
      </c>
      <c r="B198" s="213" t="str">
        <f>Servicio_internaColumna_título_intereses</f>
        <v>Intereses</v>
      </c>
      <c r="C198" s="270">
        <v>0</v>
      </c>
      <c r="D198" s="271"/>
      <c r="E198" s="271"/>
      <c r="F198" s="271"/>
      <c r="G198" s="271"/>
      <c r="H198" s="271">
        <v>2211928.2783031347</v>
      </c>
      <c r="I198" s="271">
        <v>3916028.1289596353</v>
      </c>
      <c r="J198" s="271">
        <v>3765420.2662498252</v>
      </c>
      <c r="K198" s="271">
        <v>3271800.5924681779</v>
      </c>
      <c r="L198" s="271">
        <v>3062080.1153120496</v>
      </c>
      <c r="M198" s="271">
        <v>2691694.4512479631</v>
      </c>
      <c r="N198" s="271">
        <v>2365953.430094318</v>
      </c>
      <c r="O198" s="271">
        <v>2046723.5281867541</v>
      </c>
      <c r="P198" s="271">
        <v>1820348.9815948494</v>
      </c>
      <c r="Q198" s="271">
        <v>1468153.79296475</v>
      </c>
      <c r="R198" s="271">
        <v>1035940.2656664852</v>
      </c>
      <c r="S198" s="274">
        <v>933823.4733108161</v>
      </c>
      <c r="T198" s="271">
        <v>869572.74197134108</v>
      </c>
      <c r="U198" s="272">
        <v>825479.3237123494</v>
      </c>
      <c r="V198" s="272">
        <v>633964.21314860112</v>
      </c>
      <c r="W198" s="272">
        <v>449685.05901397043</v>
      </c>
      <c r="X198" s="272">
        <v>426471.87482139654</v>
      </c>
      <c r="Y198" s="272">
        <v>409691.47631026863</v>
      </c>
      <c r="Z198" s="272">
        <v>294949.61661481252</v>
      </c>
      <c r="AA198" s="272">
        <v>184236.02995635176</v>
      </c>
      <c r="AB198" s="272">
        <v>178844.09696752197</v>
      </c>
      <c r="AC198" s="272">
        <v>157425.54166788957</v>
      </c>
      <c r="AD198" s="236">
        <v>135174.92153491828</v>
      </c>
      <c r="AE198" s="236">
        <v>131728.92492098847</v>
      </c>
      <c r="AF198" s="236">
        <v>130293.50226931709</v>
      </c>
      <c r="AG198" s="236">
        <v>129909.75909323579</v>
      </c>
      <c r="AH198" s="236">
        <v>129908.41030058639</v>
      </c>
      <c r="AI198" s="236">
        <v>64957.584380553897</v>
      </c>
      <c r="AJ198" s="236">
        <v>3.0348206972999994</v>
      </c>
      <c r="AK198" s="236">
        <v>1.6860032237999998</v>
      </c>
      <c r="AL198" s="236">
        <v>0</v>
      </c>
      <c r="AM198" s="236">
        <v>0</v>
      </c>
      <c r="AN198" s="236">
        <v>0</v>
      </c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</row>
    <row r="199" spans="1:63" s="133" customFormat="1" ht="12.75">
      <c r="A199" s="169"/>
      <c r="B199" s="307" t="str">
        <f>Servicio_internaColumna_título_total</f>
        <v>Total</v>
      </c>
      <c r="C199" s="310">
        <v>0</v>
      </c>
      <c r="D199" s="311"/>
      <c r="E199" s="311"/>
      <c r="F199" s="311"/>
      <c r="G199" s="311"/>
      <c r="H199" s="311">
        <v>4041140.4134673472</v>
      </c>
      <c r="I199" s="311">
        <v>6778879.0114927627</v>
      </c>
      <c r="J199" s="311">
        <v>8043870.1996616237</v>
      </c>
      <c r="K199" s="311">
        <v>7392111.6908065043</v>
      </c>
      <c r="L199" s="311">
        <v>7599646.9359273463</v>
      </c>
      <c r="M199" s="311">
        <v>5723598.3056767657</v>
      </c>
      <c r="N199" s="311">
        <v>7085507.6418221965</v>
      </c>
      <c r="O199" s="311">
        <v>6012403.5847828928</v>
      </c>
      <c r="P199" s="311">
        <v>6861545.445687132</v>
      </c>
      <c r="Q199" s="311">
        <v>6378400.39525689</v>
      </c>
      <c r="R199" s="311">
        <v>3085203.8742838674</v>
      </c>
      <c r="S199" s="312">
        <v>2250837.1669180449</v>
      </c>
      <c r="T199" s="311">
        <v>1823533.8323010984</v>
      </c>
      <c r="U199" s="311">
        <v>1579862.6572045062</v>
      </c>
      <c r="V199" s="311">
        <v>3862506.3906694921</v>
      </c>
      <c r="W199" s="311">
        <v>959012.88134069042</v>
      </c>
      <c r="X199" s="311">
        <v>795114.46091015823</v>
      </c>
      <c r="Y199" s="311">
        <v>725677.82794824243</v>
      </c>
      <c r="Z199" s="311">
        <v>3017295.6527435821</v>
      </c>
      <c r="AA199" s="311">
        <v>305644.59399428638</v>
      </c>
      <c r="AB199" s="311">
        <v>249251.78373194396</v>
      </c>
      <c r="AC199" s="311">
        <v>657470.92308499757</v>
      </c>
      <c r="AD199" s="311">
        <v>207634.64416849345</v>
      </c>
      <c r="AE199" s="311">
        <v>172243.66361335767</v>
      </c>
      <c r="AF199" s="311">
        <v>150989.6925435591</v>
      </c>
      <c r="AG199" s="311">
        <v>136817.42129301539</v>
      </c>
      <c r="AH199" s="311">
        <v>135861.2994349002</v>
      </c>
      <c r="AI199" s="311">
        <v>1322345.4851248674</v>
      </c>
      <c r="AJ199" s="311">
        <v>5955.9239550110997</v>
      </c>
      <c r="AK199" s="311">
        <v>181.52861436359998</v>
      </c>
      <c r="AL199" s="311">
        <v>0</v>
      </c>
      <c r="AM199" s="311">
        <v>0</v>
      </c>
      <c r="AN199" s="311">
        <v>0</v>
      </c>
      <c r="AO199" s="311"/>
      <c r="AP199" s="311"/>
      <c r="AQ199" s="311"/>
      <c r="AR199" s="311"/>
      <c r="AS199" s="311"/>
      <c r="AT199" s="311"/>
      <c r="AU199" s="311"/>
      <c r="AV199" s="311"/>
      <c r="AW199" s="311"/>
      <c r="AX199" s="311"/>
      <c r="AY199" s="311"/>
      <c r="AZ199" s="311"/>
      <c r="BA199" s="311"/>
      <c r="BB199" s="311"/>
      <c r="BC199" s="311"/>
      <c r="BD199" s="311"/>
      <c r="BE199" s="311"/>
      <c r="BF199" s="311"/>
      <c r="BG199" s="311"/>
      <c r="BH199" s="311"/>
      <c r="BI199" s="311"/>
      <c r="BJ199" s="311"/>
      <c r="BK199" s="311"/>
    </row>
    <row r="200" spans="1:63" s="80" customFormat="1" ht="12.75">
      <c r="A200" s="167"/>
      <c r="B200" s="210" t="str">
        <f>Servicio_internaColumna_título_amortizaciones</f>
        <v>Amortizaciones</v>
      </c>
      <c r="C200" s="269">
        <v>0</v>
      </c>
      <c r="D200" s="235"/>
      <c r="E200" s="235"/>
      <c r="F200" s="235"/>
      <c r="G200" s="235"/>
      <c r="H200" s="235">
        <v>798237.03505693283</v>
      </c>
      <c r="I200" s="235">
        <v>3038924.401108881</v>
      </c>
      <c r="J200" s="235">
        <v>4570113.6701338608</v>
      </c>
      <c r="K200" s="235">
        <v>4372004.6643446758</v>
      </c>
      <c r="L200" s="235">
        <v>4759241.7091943137</v>
      </c>
      <c r="M200" s="235">
        <v>3231741.89889926</v>
      </c>
      <c r="N200" s="235">
        <v>5012142.100566742</v>
      </c>
      <c r="O200" s="235">
        <v>4204290.2924992368</v>
      </c>
      <c r="P200" s="235">
        <v>5321406.8415320963</v>
      </c>
      <c r="Q200" s="235">
        <v>5110916.7336128391</v>
      </c>
      <c r="R200" s="235">
        <v>2162871.318696883</v>
      </c>
      <c r="S200" s="273">
        <v>1397152.3240596207</v>
      </c>
      <c r="T200" s="235">
        <v>1012058.0299546529</v>
      </c>
      <c r="U200" s="235">
        <v>800569.96463146084</v>
      </c>
      <c r="V200" s="235">
        <v>3424941.3824337819</v>
      </c>
      <c r="W200" s="235">
        <v>540642.90142718237</v>
      </c>
      <c r="X200" s="235">
        <v>391667.7714909456</v>
      </c>
      <c r="Y200" s="235">
        <v>335866.9805406048</v>
      </c>
      <c r="Z200" s="235">
        <v>2889151.0653589917</v>
      </c>
      <c r="AA200" s="235">
        <v>129516.74751323843</v>
      </c>
      <c r="AB200" s="235">
        <v>75419.547628275206</v>
      </c>
      <c r="AC200" s="235">
        <v>530404.8242548944</v>
      </c>
      <c r="AD200" s="235">
        <v>76859.942524601604</v>
      </c>
      <c r="AE200" s="235">
        <v>42975.541432409598</v>
      </c>
      <c r="AF200" s="235">
        <v>21953.785876019196</v>
      </c>
      <c r="AG200" s="235">
        <v>7328.1402157823995</v>
      </c>
      <c r="AH200" s="235">
        <v>6315.4017663967988</v>
      </c>
      <c r="AI200" s="235">
        <v>1333726.4892863967</v>
      </c>
      <c r="AJ200" s="235">
        <v>6315.4017663967988</v>
      </c>
      <c r="AK200" s="235">
        <v>191.86687042879998</v>
      </c>
      <c r="AL200" s="235">
        <v>0</v>
      </c>
      <c r="AM200" s="235">
        <v>0</v>
      </c>
      <c r="AN200" s="235">
        <v>0</v>
      </c>
      <c r="AO200" s="235"/>
      <c r="AP200" s="235"/>
      <c r="AQ200" s="235"/>
      <c r="AR200" s="235"/>
      <c r="AS200" s="235"/>
      <c r="AT200" s="235"/>
      <c r="AU200" s="235"/>
      <c r="AV200" s="235"/>
      <c r="AW200" s="235"/>
      <c r="AX200" s="235"/>
      <c r="AY200" s="235"/>
      <c r="AZ200" s="235"/>
      <c r="BA200" s="235"/>
      <c r="BB200" s="235"/>
      <c r="BC200" s="235"/>
      <c r="BD200" s="235"/>
      <c r="BE200" s="235"/>
      <c r="BF200" s="235"/>
      <c r="BG200" s="235"/>
      <c r="BH200" s="235"/>
      <c r="BI200" s="235"/>
      <c r="BJ200" s="235"/>
      <c r="BK200" s="235"/>
    </row>
    <row r="201" spans="1:63" s="133" customFormat="1" ht="12.75">
      <c r="A201" s="168">
        <v>38898</v>
      </c>
      <c r="B201" s="213" t="str">
        <f>Servicio_internaColumna_título_intereses</f>
        <v>Intereses</v>
      </c>
      <c r="C201" s="270">
        <v>0</v>
      </c>
      <c r="D201" s="271"/>
      <c r="E201" s="271"/>
      <c r="F201" s="271"/>
      <c r="G201" s="271"/>
      <c r="H201" s="271">
        <v>1988183.7508430236</v>
      </c>
      <c r="I201" s="271">
        <v>4136090.6891063657</v>
      </c>
      <c r="J201" s="271">
        <v>3974735.0121017504</v>
      </c>
      <c r="K201" s="271">
        <v>3451377.9574473808</v>
      </c>
      <c r="L201" s="271">
        <v>3229957.5591014149</v>
      </c>
      <c r="M201" s="271">
        <v>2844178.0212946907</v>
      </c>
      <c r="N201" s="271">
        <v>2497066.0420631291</v>
      </c>
      <c r="O201" s="271">
        <v>2157478.8457918414</v>
      </c>
      <c r="P201" s="271">
        <v>1917431.7841346415</v>
      </c>
      <c r="Q201" s="271">
        <v>1545722.0174480113</v>
      </c>
      <c r="R201" s="271">
        <v>1098669.891018403</v>
      </c>
      <c r="S201" s="274">
        <v>990762.29747232632</v>
      </c>
      <c r="T201" s="271">
        <v>922589.71489358228</v>
      </c>
      <c r="U201" s="272">
        <v>875795.15153502382</v>
      </c>
      <c r="V201" s="272">
        <v>672629.3762610351</v>
      </c>
      <c r="W201" s="272">
        <v>477133.38388853759</v>
      </c>
      <c r="X201" s="272">
        <v>452483.54225785757</v>
      </c>
      <c r="Y201" s="272">
        <v>434651.99353005918</v>
      </c>
      <c r="Z201" s="272">
        <v>312898.73955261597</v>
      </c>
      <c r="AA201" s="272">
        <v>195415.21259554557</v>
      </c>
      <c r="AB201" s="272">
        <v>189661.3541606784</v>
      </c>
      <c r="AC201" s="272">
        <v>166916.73568096798</v>
      </c>
      <c r="AD201" s="236">
        <v>143315.2462112784</v>
      </c>
      <c r="AE201" s="236">
        <v>139660.03086464797</v>
      </c>
      <c r="AF201" s="236">
        <v>138137.45373899519</v>
      </c>
      <c r="AG201" s="236">
        <v>137730.40477378559</v>
      </c>
      <c r="AH201" s="236">
        <v>137728.9657737056</v>
      </c>
      <c r="AI201" s="236">
        <v>68868.076621691187</v>
      </c>
      <c r="AJ201" s="236">
        <v>3.2377370143999995</v>
      </c>
      <c r="AK201" s="236">
        <v>1.7987369343999997</v>
      </c>
      <c r="AL201" s="236">
        <v>0</v>
      </c>
      <c r="AM201" s="236">
        <v>0</v>
      </c>
      <c r="AN201" s="236">
        <v>0</v>
      </c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</row>
    <row r="202" spans="1:63" s="133" customFormat="1" ht="12.75">
      <c r="A202" s="169"/>
      <c r="B202" s="307" t="str">
        <f>Servicio_internaColumna_título_total</f>
        <v>Total</v>
      </c>
      <c r="C202" s="310">
        <v>0</v>
      </c>
      <c r="D202" s="311"/>
      <c r="E202" s="311"/>
      <c r="F202" s="311"/>
      <c r="G202" s="311"/>
      <c r="H202" s="311">
        <v>2786420.7858999567</v>
      </c>
      <c r="I202" s="311">
        <v>7175015.0902152471</v>
      </c>
      <c r="J202" s="311">
        <v>8544848.6822356116</v>
      </c>
      <c r="K202" s="311">
        <v>7823382.6217920566</v>
      </c>
      <c r="L202" s="311">
        <v>7989199.2682957286</v>
      </c>
      <c r="M202" s="311">
        <v>6075919.9201939506</v>
      </c>
      <c r="N202" s="311">
        <v>7509208.1426298711</v>
      </c>
      <c r="O202" s="311">
        <v>6361769.1382910777</v>
      </c>
      <c r="P202" s="311">
        <v>7238838.6256667376</v>
      </c>
      <c r="Q202" s="311">
        <v>6656638.7510608509</v>
      </c>
      <c r="R202" s="311">
        <v>3261541.2097152863</v>
      </c>
      <c r="S202" s="312">
        <v>2387914.6215319471</v>
      </c>
      <c r="T202" s="311">
        <v>1934647.744848235</v>
      </c>
      <c r="U202" s="311">
        <v>1676365.1161664845</v>
      </c>
      <c r="V202" s="311">
        <v>4097570.7586948168</v>
      </c>
      <c r="W202" s="311">
        <v>1017776.2853157199</v>
      </c>
      <c r="X202" s="311">
        <v>844151.31374880322</v>
      </c>
      <c r="Y202" s="311">
        <v>770518.97407066403</v>
      </c>
      <c r="Z202" s="311">
        <v>3202049.8049116079</v>
      </c>
      <c r="AA202" s="311">
        <v>324931.96010878403</v>
      </c>
      <c r="AB202" s="311">
        <v>265080.90178895358</v>
      </c>
      <c r="AC202" s="311">
        <v>697321.55993586243</v>
      </c>
      <c r="AD202" s="311">
        <v>220175.18873588002</v>
      </c>
      <c r="AE202" s="311">
        <v>182635.57229705757</v>
      </c>
      <c r="AF202" s="311">
        <v>160091.23961501438</v>
      </c>
      <c r="AG202" s="311">
        <v>145058.54498956798</v>
      </c>
      <c r="AH202" s="311">
        <v>144044.36754010239</v>
      </c>
      <c r="AI202" s="311">
        <v>1402594.5659080879</v>
      </c>
      <c r="AJ202" s="311">
        <v>6318.6395034111993</v>
      </c>
      <c r="AK202" s="311">
        <v>193.6656073632</v>
      </c>
      <c r="AL202" s="311">
        <v>0</v>
      </c>
      <c r="AM202" s="311">
        <v>0</v>
      </c>
      <c r="AN202" s="311">
        <v>0</v>
      </c>
      <c r="AO202" s="311"/>
      <c r="AP202" s="311"/>
      <c r="AQ202" s="311"/>
      <c r="AR202" s="311"/>
      <c r="AS202" s="311"/>
      <c r="AT202" s="311"/>
      <c r="AU202" s="311"/>
      <c r="AV202" s="311"/>
      <c r="AW202" s="311"/>
      <c r="AX202" s="311"/>
      <c r="AY202" s="311"/>
      <c r="AZ202" s="311"/>
      <c r="BA202" s="311"/>
      <c r="BB202" s="311"/>
      <c r="BC202" s="311"/>
      <c r="BD202" s="311"/>
      <c r="BE202" s="311"/>
      <c r="BF202" s="311"/>
      <c r="BG202" s="311"/>
      <c r="BH202" s="311"/>
      <c r="BI202" s="311"/>
      <c r="BJ202" s="311"/>
      <c r="BK202" s="311"/>
    </row>
    <row r="203" spans="1:63" s="80" customFormat="1" ht="12.75">
      <c r="A203" s="167"/>
      <c r="B203" s="210" t="str">
        <f>Servicio_internaColumna_título_amortizaciones</f>
        <v>Amortizaciones</v>
      </c>
      <c r="C203" s="269">
        <v>0</v>
      </c>
      <c r="D203" s="235"/>
      <c r="E203" s="235"/>
      <c r="F203" s="235"/>
      <c r="G203" s="235"/>
      <c r="H203" s="235">
        <v>541394.07681432005</v>
      </c>
      <c r="I203" s="235">
        <v>2747664.6856294195</v>
      </c>
      <c r="J203" s="235">
        <v>4194842.32502966</v>
      </c>
      <c r="K203" s="235">
        <v>4016524.6520740604</v>
      </c>
      <c r="L203" s="235">
        <v>4380733.7719993992</v>
      </c>
      <c r="M203" s="235">
        <v>2981453.058239941</v>
      </c>
      <c r="N203" s="235">
        <v>4643820.2044965206</v>
      </c>
      <c r="O203" s="235">
        <v>3910126.9437779002</v>
      </c>
      <c r="P203" s="235">
        <v>4952827.1387652205</v>
      </c>
      <c r="Q203" s="235">
        <v>4807770.3910679007</v>
      </c>
      <c r="R203" s="235">
        <v>2032597.5147275201</v>
      </c>
      <c r="S203" s="273">
        <v>3750101.9581033606</v>
      </c>
      <c r="T203" s="235">
        <v>969784.61846252007</v>
      </c>
      <c r="U203" s="235">
        <v>775429.00322259997</v>
      </c>
      <c r="V203" s="235">
        <v>3193368.7990323799</v>
      </c>
      <c r="W203" s="235">
        <v>535948.05933637999</v>
      </c>
      <c r="X203" s="235">
        <v>398706.91428224009</v>
      </c>
      <c r="Y203" s="235">
        <v>347298.61742044002</v>
      </c>
      <c r="Z203" s="235">
        <v>2699742.5583609999</v>
      </c>
      <c r="AA203" s="235">
        <v>157179.79817771999</v>
      </c>
      <c r="AB203" s="235">
        <v>107337.85898736</v>
      </c>
      <c r="AC203" s="235">
        <v>494196.22592645994</v>
      </c>
      <c r="AD203" s="235">
        <v>76326.974590520011</v>
      </c>
      <c r="AE203" s="235">
        <v>45107.904798920004</v>
      </c>
      <c r="AF203" s="235">
        <v>25739.710800999997</v>
      </c>
      <c r="AG203" s="235">
        <v>12264.5116321</v>
      </c>
      <c r="AH203" s="235">
        <v>5817.7983631999996</v>
      </c>
      <c r="AI203" s="235">
        <v>1228815.3443632</v>
      </c>
      <c r="AJ203" s="235">
        <v>5817.7983631999996</v>
      </c>
      <c r="AK203" s="235">
        <v>175.9378868</v>
      </c>
      <c r="AL203" s="235">
        <v>0</v>
      </c>
      <c r="AM203" s="235">
        <v>0</v>
      </c>
      <c r="AN203" s="235">
        <v>0</v>
      </c>
      <c r="AO203" s="235"/>
      <c r="AP203" s="235"/>
      <c r="AQ203" s="235"/>
      <c r="AR203" s="235"/>
      <c r="AS203" s="235"/>
      <c r="AT203" s="235"/>
      <c r="AU203" s="235"/>
      <c r="AV203" s="235"/>
      <c r="AW203" s="235"/>
      <c r="AX203" s="235"/>
      <c r="AY203" s="235"/>
      <c r="AZ203" s="235"/>
      <c r="BA203" s="235"/>
      <c r="BB203" s="235"/>
      <c r="BC203" s="235"/>
      <c r="BD203" s="235"/>
      <c r="BE203" s="235"/>
      <c r="BF203" s="235"/>
      <c r="BG203" s="235"/>
      <c r="BH203" s="235"/>
      <c r="BI203" s="235"/>
      <c r="BJ203" s="235"/>
      <c r="BK203" s="235"/>
    </row>
    <row r="204" spans="1:63" s="133" customFormat="1" ht="12.75">
      <c r="A204" s="168">
        <v>38929</v>
      </c>
      <c r="B204" s="213" t="str">
        <f>Servicio_internaColumna_título_intereses</f>
        <v>Intereses</v>
      </c>
      <c r="C204" s="270">
        <v>0</v>
      </c>
      <c r="D204" s="271"/>
      <c r="E204" s="271"/>
      <c r="F204" s="271"/>
      <c r="G204" s="271"/>
      <c r="H204" s="271">
        <v>1418226.4615118001</v>
      </c>
      <c r="I204" s="271">
        <v>3981038.6501736213</v>
      </c>
      <c r="J204" s="271">
        <v>3848095.6658648006</v>
      </c>
      <c r="K204" s="271">
        <v>3395926.2355575003</v>
      </c>
      <c r="L204" s="271">
        <v>3184626.9883081606</v>
      </c>
      <c r="M204" s="271">
        <v>2836644.0261760405</v>
      </c>
      <c r="N204" s="271">
        <v>2518367.7360566598</v>
      </c>
      <c r="O204" s="271">
        <v>2203707.6134199398</v>
      </c>
      <c r="P204" s="271">
        <v>1980181.9168773398</v>
      </c>
      <c r="Q204" s="271">
        <v>1634821.5538550999</v>
      </c>
      <c r="R204" s="271">
        <v>1213582.5023233797</v>
      </c>
      <c r="S204" s="274">
        <v>1022680.7984702198</v>
      </c>
      <c r="T204" s="271">
        <v>868536.14346802002</v>
      </c>
      <c r="U204" s="272">
        <v>823486.40323209995</v>
      </c>
      <c r="V204" s="272">
        <v>634387.32043541991</v>
      </c>
      <c r="W204" s="272">
        <v>452277.25620626006</v>
      </c>
      <c r="X204" s="272">
        <v>427613.32871038001</v>
      </c>
      <c r="Y204" s="272">
        <v>409231.08694936003</v>
      </c>
      <c r="Z204" s="272">
        <v>295118.86328155996</v>
      </c>
      <c r="AA204" s="272">
        <v>184905.86702679997</v>
      </c>
      <c r="AB204" s="272">
        <v>177651.25771822</v>
      </c>
      <c r="AC204" s="272">
        <v>155155.18230371998</v>
      </c>
      <c r="AD204" s="236">
        <v>133125.04595334001</v>
      </c>
      <c r="AE204" s="236">
        <v>129466.69770571998</v>
      </c>
      <c r="AF204" s="236">
        <v>127775.99601077999</v>
      </c>
      <c r="AG204" s="236">
        <v>127113.07554769998</v>
      </c>
      <c r="AH204" s="236">
        <v>126895.24243613999</v>
      </c>
      <c r="AI204" s="236">
        <v>63450.925199599995</v>
      </c>
      <c r="AJ204" s="236">
        <v>2.9689630599999997</v>
      </c>
      <c r="AK204" s="236">
        <v>1.6493888800000001</v>
      </c>
      <c r="AL204" s="236">
        <v>0</v>
      </c>
      <c r="AM204" s="236">
        <v>0</v>
      </c>
      <c r="AN204" s="236">
        <v>0</v>
      </c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</row>
    <row r="205" spans="1:63" s="133" customFormat="1" ht="12.75">
      <c r="A205" s="169"/>
      <c r="B205" s="307" t="str">
        <f>Servicio_internaColumna_título_total</f>
        <v>Total</v>
      </c>
      <c r="C205" s="310">
        <v>0</v>
      </c>
      <c r="D205" s="311"/>
      <c r="E205" s="311"/>
      <c r="F205" s="311"/>
      <c r="G205" s="311"/>
      <c r="H205" s="311">
        <v>1959620.53832612</v>
      </c>
      <c r="I205" s="311">
        <v>6728703.3358030412</v>
      </c>
      <c r="J205" s="311">
        <v>8042937.9908944611</v>
      </c>
      <c r="K205" s="311">
        <v>7412450.8876315607</v>
      </c>
      <c r="L205" s="311">
        <v>7565360.7603075597</v>
      </c>
      <c r="M205" s="311">
        <v>5818097.0844159815</v>
      </c>
      <c r="N205" s="311">
        <v>7162187.9405531809</v>
      </c>
      <c r="O205" s="311">
        <v>6113834.55719784</v>
      </c>
      <c r="P205" s="311">
        <v>6933009.0556425601</v>
      </c>
      <c r="Q205" s="311">
        <v>6442591.9449230004</v>
      </c>
      <c r="R205" s="311">
        <v>3246180.0170508996</v>
      </c>
      <c r="S205" s="312">
        <v>4772782.7565735802</v>
      </c>
      <c r="T205" s="311">
        <v>1838320.7619305402</v>
      </c>
      <c r="U205" s="311">
        <v>1598915.4064547</v>
      </c>
      <c r="V205" s="311">
        <v>3827756.1194677996</v>
      </c>
      <c r="W205" s="311">
        <v>988225.31554264005</v>
      </c>
      <c r="X205" s="311">
        <v>826320.2429926201</v>
      </c>
      <c r="Y205" s="311">
        <v>756529.70436980005</v>
      </c>
      <c r="Z205" s="311">
        <v>2994861.42164256</v>
      </c>
      <c r="AA205" s="311">
        <v>342085.66520451999</v>
      </c>
      <c r="AB205" s="311">
        <v>284989.11670558003</v>
      </c>
      <c r="AC205" s="311">
        <v>649351.40823017992</v>
      </c>
      <c r="AD205" s="311">
        <v>209452.02054386004</v>
      </c>
      <c r="AE205" s="311">
        <v>174574.60250464</v>
      </c>
      <c r="AF205" s="311">
        <v>153515.70681177999</v>
      </c>
      <c r="AG205" s="311">
        <v>139377.58717979997</v>
      </c>
      <c r="AH205" s="311">
        <v>132713.04079934</v>
      </c>
      <c r="AI205" s="311">
        <v>1292266.2695627999</v>
      </c>
      <c r="AJ205" s="311">
        <v>5820.7673262599992</v>
      </c>
      <c r="AK205" s="311">
        <v>177.58727568</v>
      </c>
      <c r="AL205" s="311">
        <v>0</v>
      </c>
      <c r="AM205" s="311">
        <v>0</v>
      </c>
      <c r="AN205" s="311">
        <v>0</v>
      </c>
      <c r="AO205" s="311"/>
      <c r="AP205" s="311"/>
      <c r="AQ205" s="311"/>
      <c r="AR205" s="311"/>
      <c r="AS205" s="311"/>
      <c r="AT205" s="311"/>
      <c r="AU205" s="311"/>
      <c r="AV205" s="311"/>
      <c r="AW205" s="311"/>
      <c r="AX205" s="311"/>
      <c r="AY205" s="311"/>
      <c r="AZ205" s="311"/>
      <c r="BA205" s="311"/>
      <c r="BB205" s="311"/>
      <c r="BC205" s="311"/>
      <c r="BD205" s="311"/>
      <c r="BE205" s="311"/>
      <c r="BF205" s="311"/>
      <c r="BG205" s="311"/>
      <c r="BH205" s="311"/>
      <c r="BI205" s="311"/>
      <c r="BJ205" s="311"/>
      <c r="BK205" s="311"/>
    </row>
    <row r="206" spans="1:63" s="80" customFormat="1" ht="12.75">
      <c r="A206" s="167"/>
      <c r="B206" s="210" t="str">
        <f>Servicio_internaColumna_título_amortizaciones</f>
        <v>Amortizaciones</v>
      </c>
      <c r="C206" s="269">
        <v>0</v>
      </c>
      <c r="D206" s="235"/>
      <c r="E206" s="235"/>
      <c r="F206" s="235"/>
      <c r="G206" s="235"/>
      <c r="H206" s="235">
        <v>432214.37270052475</v>
      </c>
      <c r="I206" s="235">
        <v>2712923.6798977</v>
      </c>
      <c r="J206" s="235">
        <v>4143378.0536579513</v>
      </c>
      <c r="K206" s="235">
        <v>3967898.0002094</v>
      </c>
      <c r="L206" s="235">
        <v>4415534.3436666429</v>
      </c>
      <c r="M206" s="235">
        <v>2959338.1942037907</v>
      </c>
      <c r="N206" s="235">
        <v>4611565.5914676869</v>
      </c>
      <c r="O206" s="235">
        <v>3886751.184939364</v>
      </c>
      <c r="P206" s="235">
        <v>4916828.088613091</v>
      </c>
      <c r="Q206" s="235">
        <v>5450225.5795700671</v>
      </c>
      <c r="R206" s="235">
        <v>2175749.5803453773</v>
      </c>
      <c r="S206" s="273">
        <v>3872461.3174137366</v>
      </c>
      <c r="T206" s="235">
        <v>1125642.3924859529</v>
      </c>
      <c r="U206" s="235">
        <v>873889.49924601219</v>
      </c>
      <c r="V206" s="235">
        <v>3202641.2094127168</v>
      </c>
      <c r="W206" s="235">
        <v>577392.13404013682</v>
      </c>
      <c r="X206" s="235">
        <v>441812.61914748553</v>
      </c>
      <c r="Y206" s="235">
        <v>414992.99953353225</v>
      </c>
      <c r="Z206" s="235">
        <v>2738957.4357150551</v>
      </c>
      <c r="AA206" s="235">
        <v>156076.00923307863</v>
      </c>
      <c r="AB206" s="235">
        <v>106038.38952385681</v>
      </c>
      <c r="AC206" s="235">
        <v>488213.31448562728</v>
      </c>
      <c r="AD206" s="235">
        <v>75402.933682142611</v>
      </c>
      <c r="AE206" s="235">
        <v>44561.812810484604</v>
      </c>
      <c r="AF206" s="235">
        <v>25428.096907254996</v>
      </c>
      <c r="AG206" s="235">
        <v>12116.0331874855</v>
      </c>
      <c r="AH206" s="235">
        <v>5747.3660722160002</v>
      </c>
      <c r="AI206" s="235">
        <v>1213938.8783022161</v>
      </c>
      <c r="AJ206" s="235">
        <v>5747.3660722160002</v>
      </c>
      <c r="AK206" s="235">
        <v>173.807921534</v>
      </c>
      <c r="AL206" s="235">
        <v>0</v>
      </c>
      <c r="AM206" s="235">
        <v>0</v>
      </c>
      <c r="AN206" s="235">
        <v>0</v>
      </c>
      <c r="AO206" s="235"/>
      <c r="AP206" s="235"/>
      <c r="AQ206" s="235"/>
      <c r="AR206" s="235"/>
      <c r="AS206" s="235"/>
      <c r="AT206" s="235"/>
      <c r="AU206" s="235"/>
      <c r="AV206" s="235"/>
      <c r="AW206" s="235"/>
      <c r="AX206" s="235"/>
      <c r="AY206" s="235"/>
      <c r="AZ206" s="235"/>
      <c r="BA206" s="235"/>
      <c r="BB206" s="235"/>
      <c r="BC206" s="235"/>
      <c r="BD206" s="235"/>
      <c r="BE206" s="235"/>
      <c r="BF206" s="235"/>
      <c r="BG206" s="235"/>
      <c r="BH206" s="235"/>
      <c r="BI206" s="235"/>
      <c r="BJ206" s="235"/>
      <c r="BK206" s="235"/>
    </row>
    <row r="207" spans="1:63" s="133" customFormat="1" ht="12.75">
      <c r="A207" s="168">
        <v>38960</v>
      </c>
      <c r="B207" s="213" t="str">
        <f>Servicio_internaColumna_título_intereses</f>
        <v>Intereses</v>
      </c>
      <c r="C207" s="270">
        <v>0</v>
      </c>
      <c r="D207" s="271"/>
      <c r="E207" s="271"/>
      <c r="F207" s="271"/>
      <c r="G207" s="271"/>
      <c r="H207" s="271">
        <v>1177849.9981446946</v>
      </c>
      <c r="I207" s="271">
        <v>4091578.670732439</v>
      </c>
      <c r="J207" s="271">
        <v>3962653.2867287053</v>
      </c>
      <c r="K207" s="271">
        <v>3515495.8040616116</v>
      </c>
      <c r="L207" s="271">
        <v>3306459.6702376078</v>
      </c>
      <c r="M207" s="271">
        <v>2952696.7890367121</v>
      </c>
      <c r="N207" s="271">
        <v>2634564.4027876258</v>
      </c>
      <c r="O207" s="271">
        <v>2319927.7093251585</v>
      </c>
      <c r="P207" s="271">
        <v>2097210.59713544</v>
      </c>
      <c r="Q207" s="271">
        <v>1754236.8272414533</v>
      </c>
      <c r="R207" s="271">
        <v>1256099.124989586</v>
      </c>
      <c r="S207" s="274">
        <v>1056185.3075893205</v>
      </c>
      <c r="T207" s="271">
        <v>893591.36064050253</v>
      </c>
      <c r="U207" s="272">
        <v>837714.52552419167</v>
      </c>
      <c r="V207" s="272">
        <v>645382.35222237802</v>
      </c>
      <c r="W207" s="272">
        <v>461842.99013912206</v>
      </c>
      <c r="X207" s="272">
        <v>434316.59973663907</v>
      </c>
      <c r="Y207" s="272">
        <v>412295.56663286081</v>
      </c>
      <c r="Z207" s="272">
        <v>294969.85519651551</v>
      </c>
      <c r="AA207" s="272">
        <v>182693.21371926696</v>
      </c>
      <c r="AB207" s="272">
        <v>175500.54978780611</v>
      </c>
      <c r="AC207" s="272">
        <v>153276.81968860858</v>
      </c>
      <c r="AD207" s="236">
        <v>131513.38783312173</v>
      </c>
      <c r="AE207" s="236">
        <v>127899.32882211859</v>
      </c>
      <c r="AF207" s="236">
        <v>126229.09535008889</v>
      </c>
      <c r="AG207" s="236">
        <v>125574.20043276349</v>
      </c>
      <c r="AH207" s="236">
        <v>125359.00448463569</v>
      </c>
      <c r="AI207" s="236">
        <v>62682.766224697996</v>
      </c>
      <c r="AJ207" s="236">
        <v>2.9330197602999997</v>
      </c>
      <c r="AK207" s="236">
        <v>1.6294208044</v>
      </c>
      <c r="AL207" s="236">
        <v>0</v>
      </c>
      <c r="AM207" s="236">
        <v>0</v>
      </c>
      <c r="AN207" s="236">
        <v>0</v>
      </c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</row>
    <row r="208" spans="1:63" s="133" customFormat="1" ht="12.75">
      <c r="A208" s="169"/>
      <c r="B208" s="307" t="str">
        <f>Servicio_internaColumna_título_total</f>
        <v>Total</v>
      </c>
      <c r="C208" s="310">
        <v>0</v>
      </c>
      <c r="D208" s="311"/>
      <c r="E208" s="311"/>
      <c r="F208" s="311"/>
      <c r="G208" s="311"/>
      <c r="H208" s="311">
        <v>1610064.3708452194</v>
      </c>
      <c r="I208" s="311">
        <v>6804502.350630139</v>
      </c>
      <c r="J208" s="311">
        <v>8106031.340386657</v>
      </c>
      <c r="K208" s="311">
        <v>7483393.8042710116</v>
      </c>
      <c r="L208" s="311">
        <v>7721994.0139042512</v>
      </c>
      <c r="M208" s="311">
        <v>5912034.9832405029</v>
      </c>
      <c r="N208" s="311">
        <v>7246129.9942553127</v>
      </c>
      <c r="O208" s="311">
        <v>6206678.8942645229</v>
      </c>
      <c r="P208" s="311">
        <v>7014038.6857485306</v>
      </c>
      <c r="Q208" s="311">
        <v>7204462.4068115205</v>
      </c>
      <c r="R208" s="311">
        <v>3431848.7053349633</v>
      </c>
      <c r="S208" s="312">
        <v>4928646.6250030566</v>
      </c>
      <c r="T208" s="311">
        <v>2019233.7531264555</v>
      </c>
      <c r="U208" s="311">
        <v>1711604.024770204</v>
      </c>
      <c r="V208" s="311">
        <v>3848023.5616350947</v>
      </c>
      <c r="W208" s="311">
        <v>1039235.1241792589</v>
      </c>
      <c r="X208" s="311">
        <v>876129.21888412465</v>
      </c>
      <c r="Y208" s="311">
        <v>827288.56616639299</v>
      </c>
      <c r="Z208" s="311">
        <v>3033927.2909115707</v>
      </c>
      <c r="AA208" s="311">
        <v>338769.22295234562</v>
      </c>
      <c r="AB208" s="311">
        <v>281538.93931166292</v>
      </c>
      <c r="AC208" s="311">
        <v>641490.13417423586</v>
      </c>
      <c r="AD208" s="311">
        <v>206916.32151526434</v>
      </c>
      <c r="AE208" s="311">
        <v>172461.14163260319</v>
      </c>
      <c r="AF208" s="311">
        <v>151657.19225734388</v>
      </c>
      <c r="AG208" s="311">
        <v>137690.233620249</v>
      </c>
      <c r="AH208" s="311">
        <v>131106.3705568517</v>
      </c>
      <c r="AI208" s="311">
        <v>1276621.644526914</v>
      </c>
      <c r="AJ208" s="311">
        <v>5750.2990919763006</v>
      </c>
      <c r="AK208" s="311">
        <v>175.43734233840001</v>
      </c>
      <c r="AL208" s="311">
        <v>0</v>
      </c>
      <c r="AM208" s="311">
        <v>0</v>
      </c>
      <c r="AN208" s="311">
        <v>0</v>
      </c>
      <c r="AO208" s="311"/>
      <c r="AP208" s="311"/>
      <c r="AQ208" s="311"/>
      <c r="AR208" s="311"/>
      <c r="AS208" s="311"/>
      <c r="AT208" s="311"/>
      <c r="AU208" s="311"/>
      <c r="AV208" s="311"/>
      <c r="AW208" s="311"/>
      <c r="AX208" s="311"/>
      <c r="AY208" s="311"/>
      <c r="AZ208" s="311"/>
      <c r="BA208" s="311"/>
      <c r="BB208" s="311"/>
      <c r="BC208" s="311"/>
      <c r="BD208" s="311"/>
      <c r="BE208" s="311"/>
      <c r="BF208" s="311"/>
      <c r="BG208" s="311"/>
      <c r="BH208" s="311"/>
      <c r="BI208" s="311"/>
      <c r="BJ208" s="311"/>
      <c r="BK208" s="311"/>
    </row>
    <row r="209" spans="1:63" s="80" customFormat="1" ht="12.75">
      <c r="A209" s="167"/>
      <c r="B209" s="210" t="str">
        <f>Servicio_internaColumna_título_amortizaciones</f>
        <v>Amortizaciones</v>
      </c>
      <c r="C209" s="269">
        <v>0</v>
      </c>
      <c r="D209" s="235"/>
      <c r="E209" s="235"/>
      <c r="F209" s="235"/>
      <c r="G209" s="235"/>
      <c r="H209" s="235">
        <v>217932.29940573266</v>
      </c>
      <c r="I209" s="235">
        <v>2711554.9615281192</v>
      </c>
      <c r="J209" s="235">
        <v>4139265.8731469298</v>
      </c>
      <c r="K209" s="235">
        <v>3966223.156966933</v>
      </c>
      <c r="L209" s="235">
        <v>4423050.8350781426</v>
      </c>
      <c r="M209" s="235">
        <v>2947722.4393126969</v>
      </c>
      <c r="N209" s="235">
        <v>4599193.1577937547</v>
      </c>
      <c r="O209" s="235">
        <v>3881332.466989574</v>
      </c>
      <c r="P209" s="235">
        <v>4942289.090895189</v>
      </c>
      <c r="Q209" s="235">
        <v>5638486.0799004352</v>
      </c>
      <c r="R209" s="235">
        <v>2177667.4998981995</v>
      </c>
      <c r="S209" s="273">
        <v>3869149.8551238002</v>
      </c>
      <c r="T209" s="235">
        <v>1125740.8498884225</v>
      </c>
      <c r="U209" s="235">
        <v>873965.88079585345</v>
      </c>
      <c r="V209" s="235">
        <v>2534504.6090165637</v>
      </c>
      <c r="W209" s="235">
        <v>577415.14303909661</v>
      </c>
      <c r="X209" s="235">
        <v>441858.44101676036</v>
      </c>
      <c r="Y209" s="235">
        <v>415043.74836575304</v>
      </c>
      <c r="Z209" s="235">
        <v>2739434.8435548954</v>
      </c>
      <c r="AA209" s="235">
        <v>156079.22296383561</v>
      </c>
      <c r="AB209" s="235">
        <v>106032.41679167542</v>
      </c>
      <c r="AC209" s="235">
        <v>426322.99395923776</v>
      </c>
      <c r="AD209" s="235">
        <v>75417.86382316942</v>
      </c>
      <c r="AE209" s="235">
        <v>44571.079980403607</v>
      </c>
      <c r="AF209" s="235">
        <v>25433.851967908806</v>
      </c>
      <c r="AG209" s="235">
        <v>12119.3444151975</v>
      </c>
      <c r="AH209" s="235">
        <v>5749.5080691620005</v>
      </c>
      <c r="AI209" s="235">
        <v>821978.210839162</v>
      </c>
      <c r="AJ209" s="235">
        <v>5749.5080691620005</v>
      </c>
      <c r="AK209" s="235">
        <v>174.92666266400002</v>
      </c>
      <c r="AL209" s="235">
        <v>0</v>
      </c>
      <c r="AM209" s="235">
        <v>0</v>
      </c>
      <c r="AN209" s="235">
        <v>0</v>
      </c>
      <c r="AO209" s="235"/>
      <c r="AP209" s="235"/>
      <c r="AQ209" s="235"/>
      <c r="AR209" s="235"/>
      <c r="AS209" s="235"/>
      <c r="AT209" s="235"/>
      <c r="AU209" s="235"/>
      <c r="AV209" s="235"/>
      <c r="AW209" s="235"/>
      <c r="AX209" s="235"/>
      <c r="AY209" s="235"/>
      <c r="AZ209" s="235"/>
      <c r="BA209" s="235"/>
      <c r="BB209" s="235"/>
      <c r="BC209" s="235"/>
      <c r="BD209" s="235"/>
      <c r="BE209" s="235"/>
      <c r="BF209" s="235"/>
      <c r="BG209" s="235"/>
      <c r="BH209" s="235"/>
      <c r="BI209" s="235"/>
      <c r="BJ209" s="235"/>
      <c r="BK209" s="235"/>
    </row>
    <row r="210" spans="1:63" s="133" customFormat="1" ht="12.75">
      <c r="A210" s="168">
        <v>38990</v>
      </c>
      <c r="B210" s="213" t="str">
        <f>Servicio_internaColumna_título_intereses</f>
        <v>Intereses</v>
      </c>
      <c r="C210" s="270">
        <v>0</v>
      </c>
      <c r="D210" s="271"/>
      <c r="E210" s="271"/>
      <c r="F210" s="271"/>
      <c r="G210" s="271"/>
      <c r="H210" s="271">
        <v>1034609.4304264068</v>
      </c>
      <c r="I210" s="271">
        <v>4148818.0622857152</v>
      </c>
      <c r="J210" s="271">
        <v>4024044.2713951757</v>
      </c>
      <c r="K210" s="271">
        <v>3576813.0149322194</v>
      </c>
      <c r="L210" s="271">
        <v>3368236.0706764921</v>
      </c>
      <c r="M210" s="271">
        <v>3017876.5964432498</v>
      </c>
      <c r="N210" s="271">
        <v>2700218.591695054</v>
      </c>
      <c r="O210" s="271">
        <v>2386108.6366908653</v>
      </c>
      <c r="P210" s="271">
        <v>2158265.6576264855</v>
      </c>
      <c r="Q210" s="271">
        <v>1820206.0820483733</v>
      </c>
      <c r="R210" s="271">
        <v>1311048.4713608306</v>
      </c>
      <c r="S210" s="274">
        <v>1109943.2381614835</v>
      </c>
      <c r="T210" s="271">
        <v>946067.35939354741</v>
      </c>
      <c r="U210" s="272">
        <v>890184.31364636426</v>
      </c>
      <c r="V210" s="272">
        <v>737101.32808088523</v>
      </c>
      <c r="W210" s="272">
        <v>592816.40192625369</v>
      </c>
      <c r="X210" s="272">
        <v>565288.40814547008</v>
      </c>
      <c r="Y210" s="272">
        <v>543265.91887763911</v>
      </c>
      <c r="Z210" s="272">
        <v>425920.37402788253</v>
      </c>
      <c r="AA210" s="272">
        <v>313626.38899130112</v>
      </c>
      <c r="AB210" s="272">
        <v>306434.89256540674</v>
      </c>
      <c r="AC210" s="272">
        <v>286804.33728745236</v>
      </c>
      <c r="AD210" s="236">
        <v>267632.35765674978</v>
      </c>
      <c r="AE210" s="236">
        <v>264017.62701051659</v>
      </c>
      <c r="AF210" s="236">
        <v>262347.0787244346</v>
      </c>
      <c r="AG210" s="236">
        <v>261692.05544814671</v>
      </c>
      <c r="AH210" s="236">
        <v>261476.81181794382</v>
      </c>
      <c r="AI210" s="236">
        <v>219133.63590938301</v>
      </c>
      <c r="AJ210" s="236">
        <v>176786.86439582222</v>
      </c>
      <c r="AK210" s="236">
        <v>176785.55240749911</v>
      </c>
      <c r="AL210" s="236">
        <v>0</v>
      </c>
      <c r="AM210" s="236">
        <v>0</v>
      </c>
      <c r="AN210" s="236">
        <v>0</v>
      </c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</row>
    <row r="211" spans="1:63" s="133" customFormat="1" ht="12.75">
      <c r="A211" s="169"/>
      <c r="B211" s="307" t="str">
        <f>Servicio_internaColumna_título_total</f>
        <v>Total</v>
      </c>
      <c r="C211" s="310">
        <v>0</v>
      </c>
      <c r="D211" s="311"/>
      <c r="E211" s="311"/>
      <c r="F211" s="311"/>
      <c r="G211" s="311"/>
      <c r="H211" s="311">
        <v>1252541.7298321393</v>
      </c>
      <c r="I211" s="311">
        <v>6860373.0238138344</v>
      </c>
      <c r="J211" s="311">
        <v>8163310.1445421055</v>
      </c>
      <c r="K211" s="311">
        <v>7543036.1718991529</v>
      </c>
      <c r="L211" s="311">
        <v>7791286.9057546351</v>
      </c>
      <c r="M211" s="311">
        <v>5965599.0357559472</v>
      </c>
      <c r="N211" s="311">
        <v>7299411.7494888082</v>
      </c>
      <c r="O211" s="311">
        <v>6267441.1036804393</v>
      </c>
      <c r="P211" s="311">
        <v>7100554.7485216744</v>
      </c>
      <c r="Q211" s="311">
        <v>7458692.1619488085</v>
      </c>
      <c r="R211" s="311">
        <v>3488715.97125903</v>
      </c>
      <c r="S211" s="312">
        <v>4979093.093285284</v>
      </c>
      <c r="T211" s="311">
        <v>2071808.2092819698</v>
      </c>
      <c r="U211" s="311">
        <v>1764150.1944422177</v>
      </c>
      <c r="V211" s="311">
        <v>3271605.9370974489</v>
      </c>
      <c r="W211" s="311">
        <v>1170231.5449653503</v>
      </c>
      <c r="X211" s="311">
        <v>1007146.8491622305</v>
      </c>
      <c r="Y211" s="311">
        <v>958309.66724339221</v>
      </c>
      <c r="Z211" s="311">
        <v>3165355.2175827781</v>
      </c>
      <c r="AA211" s="311">
        <v>469705.61195513676</v>
      </c>
      <c r="AB211" s="311">
        <v>412467.30935708218</v>
      </c>
      <c r="AC211" s="311">
        <v>713127.33124669013</v>
      </c>
      <c r="AD211" s="311">
        <v>343050.22147991922</v>
      </c>
      <c r="AE211" s="311">
        <v>308588.70699092018</v>
      </c>
      <c r="AF211" s="311">
        <v>287780.93069234339</v>
      </c>
      <c r="AG211" s="311">
        <v>273811.39986334421</v>
      </c>
      <c r="AH211" s="311">
        <v>267226.31988710584</v>
      </c>
      <c r="AI211" s="311">
        <v>1041111.8467485451</v>
      </c>
      <c r="AJ211" s="311">
        <v>182536.37246498422</v>
      </c>
      <c r="AK211" s="311">
        <v>176960.4790701631</v>
      </c>
      <c r="AL211" s="311">
        <v>0</v>
      </c>
      <c r="AM211" s="311">
        <v>0</v>
      </c>
      <c r="AN211" s="311">
        <v>0</v>
      </c>
      <c r="AO211" s="311"/>
      <c r="AP211" s="311"/>
      <c r="AQ211" s="311"/>
      <c r="AR211" s="311"/>
      <c r="AS211" s="311"/>
      <c r="AT211" s="311"/>
      <c r="AU211" s="311"/>
      <c r="AV211" s="311"/>
      <c r="AW211" s="311"/>
      <c r="AX211" s="311"/>
      <c r="AY211" s="311"/>
      <c r="AZ211" s="311"/>
      <c r="BA211" s="311"/>
      <c r="BB211" s="311"/>
      <c r="BC211" s="311"/>
      <c r="BD211" s="311"/>
      <c r="BE211" s="311"/>
      <c r="BF211" s="311"/>
      <c r="BG211" s="311"/>
      <c r="BH211" s="311"/>
      <c r="BI211" s="311"/>
      <c r="BJ211" s="311"/>
      <c r="BK211" s="311"/>
    </row>
    <row r="212" spans="1:63" s="80" customFormat="1" ht="12.75">
      <c r="A212" s="167"/>
      <c r="B212" s="210" t="str">
        <f>Servicio_internaColumna_título_amortizaciones</f>
        <v>Amortizaciones</v>
      </c>
      <c r="C212" s="269">
        <v>0</v>
      </c>
      <c r="D212" s="235"/>
      <c r="E212" s="235"/>
      <c r="F212" s="235"/>
      <c r="G212" s="235"/>
      <c r="H212" s="235">
        <v>124943.20361659142</v>
      </c>
      <c r="I212" s="235">
        <v>2617915.6324255061</v>
      </c>
      <c r="J212" s="235">
        <v>3973338.9051456326</v>
      </c>
      <c r="K212" s="235">
        <v>3829621.0305224783</v>
      </c>
      <c r="L212" s="235">
        <v>4203100.7242643535</v>
      </c>
      <c r="M212" s="235">
        <v>2834281.0777803226</v>
      </c>
      <c r="N212" s="235">
        <v>4426924.1095034303</v>
      </c>
      <c r="O212" s="235">
        <v>3744705.4558837418</v>
      </c>
      <c r="P212" s="235">
        <v>4749368.8837491674</v>
      </c>
      <c r="Q212" s="235">
        <v>5320267.8119107764</v>
      </c>
      <c r="R212" s="235">
        <v>2094119.7367394688</v>
      </c>
      <c r="S212" s="273">
        <v>3734717.7684639473</v>
      </c>
      <c r="T212" s="235">
        <v>1087219.2606568993</v>
      </c>
      <c r="U212" s="235">
        <v>844071.79147989827</v>
      </c>
      <c r="V212" s="235">
        <v>2448021.6993734143</v>
      </c>
      <c r="W212" s="235">
        <v>557628.70838638779</v>
      </c>
      <c r="X212" s="235">
        <v>426752.81361139787</v>
      </c>
      <c r="Y212" s="235">
        <v>400864.5462425588</v>
      </c>
      <c r="Z212" s="235">
        <v>2646042.473453294</v>
      </c>
      <c r="AA212" s="235">
        <v>150725.30006906719</v>
      </c>
      <c r="AB212" s="235">
        <v>102384.04425472041</v>
      </c>
      <c r="AC212" s="235">
        <v>411793.3126856758</v>
      </c>
      <c r="AD212" s="235">
        <v>72846.715292003602</v>
      </c>
      <c r="AE212" s="235">
        <v>43051.162231866409</v>
      </c>
      <c r="AF212" s="235">
        <v>24566.113820443203</v>
      </c>
      <c r="AG212" s="235">
        <v>11705.352767409</v>
      </c>
      <c r="AH212" s="235">
        <v>5552.594742452</v>
      </c>
      <c r="AI212" s="235">
        <v>793964.95392245206</v>
      </c>
      <c r="AJ212" s="235">
        <v>5552.594742452</v>
      </c>
      <c r="AK212" s="235">
        <v>167.99008051999999</v>
      </c>
      <c r="AL212" s="235">
        <v>83.994391953600001</v>
      </c>
      <c r="AM212" s="235">
        <v>2315380</v>
      </c>
      <c r="AN212" s="235">
        <v>0</v>
      </c>
      <c r="AO212" s="235"/>
      <c r="AP212" s="235"/>
      <c r="AQ212" s="235"/>
      <c r="AR212" s="235"/>
      <c r="AS212" s="235"/>
      <c r="AT212" s="235"/>
      <c r="AU212" s="235"/>
      <c r="AV212" s="235"/>
      <c r="AW212" s="235"/>
      <c r="AX212" s="235"/>
      <c r="AY212" s="235"/>
      <c r="AZ212" s="235"/>
      <c r="BA212" s="235"/>
      <c r="BB212" s="235"/>
      <c r="BC212" s="235"/>
      <c r="BD212" s="235"/>
      <c r="BE212" s="235"/>
      <c r="BF212" s="235"/>
      <c r="BG212" s="235"/>
      <c r="BH212" s="235"/>
      <c r="BI212" s="235"/>
      <c r="BJ212" s="235"/>
      <c r="BK212" s="235"/>
    </row>
    <row r="213" spans="1:63" s="133" customFormat="1" ht="12.75">
      <c r="A213" s="168">
        <v>39021</v>
      </c>
      <c r="B213" s="213" t="str">
        <f>Servicio_internaColumna_título_intereses</f>
        <v>Intereses</v>
      </c>
      <c r="C213" s="270">
        <v>0</v>
      </c>
      <c r="D213" s="271"/>
      <c r="E213" s="271"/>
      <c r="F213" s="271"/>
      <c r="G213" s="271"/>
      <c r="H213" s="271">
        <v>489228.39325411042</v>
      </c>
      <c r="I213" s="271">
        <v>4008475.3227231242</v>
      </c>
      <c r="J213" s="271">
        <v>3880932.6540436619</v>
      </c>
      <c r="K213" s="271">
        <v>3437923.6202222151</v>
      </c>
      <c r="L213" s="271">
        <v>3225961.3244464919</v>
      </c>
      <c r="M213" s="271">
        <v>2902887.2955346233</v>
      </c>
      <c r="N213" s="271">
        <v>2590457.0119411759</v>
      </c>
      <c r="O213" s="271">
        <v>2287110.3523074924</v>
      </c>
      <c r="P213" s="271">
        <v>2068140.8811005892</v>
      </c>
      <c r="Q213" s="271">
        <v>1742973.8444791452</v>
      </c>
      <c r="R213" s="271">
        <v>1265710.7243140985</v>
      </c>
      <c r="S213" s="274">
        <v>1071933.092862034</v>
      </c>
      <c r="T213" s="271">
        <v>913806.37360357889</v>
      </c>
      <c r="U213" s="272">
        <v>859831.33748861204</v>
      </c>
      <c r="V213" s="272">
        <v>711968.31638076319</v>
      </c>
      <c r="W213" s="272">
        <v>572603.50603215641</v>
      </c>
      <c r="X213" s="272">
        <v>546016.40694395558</v>
      </c>
      <c r="Y213" s="272">
        <v>524746.08383104764</v>
      </c>
      <c r="Z213" s="272">
        <v>411401.103266644</v>
      </c>
      <c r="AA213" s="272">
        <v>302935.52987859718</v>
      </c>
      <c r="AB213" s="272">
        <v>295990.64638901554</v>
      </c>
      <c r="AC213" s="272">
        <v>277030.2345106242</v>
      </c>
      <c r="AD213" s="236">
        <v>258511.62612479037</v>
      </c>
      <c r="AE213" s="236">
        <v>255020.08955690858</v>
      </c>
      <c r="AF213" s="236">
        <v>253406.47940087519</v>
      </c>
      <c r="AG213" s="236">
        <v>252773.78602498359</v>
      </c>
      <c r="AH213" s="236">
        <v>252565.88504478958</v>
      </c>
      <c r="AI213" s="236">
        <v>211665.73398672321</v>
      </c>
      <c r="AJ213" s="236">
        <v>170762.10983550301</v>
      </c>
      <c r="AK213" s="236">
        <v>170760.84987516841</v>
      </c>
      <c r="AL213" s="236">
        <v>170759.58998429522</v>
      </c>
      <c r="AM213" s="236">
        <v>170759.27499999999</v>
      </c>
      <c r="AN213" s="236">
        <v>0</v>
      </c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</row>
    <row r="214" spans="1:63" s="133" customFormat="1" ht="12.75">
      <c r="A214" s="169"/>
      <c r="B214" s="307" t="str">
        <f>Servicio_internaColumna_título_total</f>
        <v>Total</v>
      </c>
      <c r="C214" s="310">
        <v>0</v>
      </c>
      <c r="D214" s="311"/>
      <c r="E214" s="311"/>
      <c r="F214" s="311"/>
      <c r="G214" s="311"/>
      <c r="H214" s="311">
        <v>614171.59687070188</v>
      </c>
      <c r="I214" s="311">
        <v>6626390.9551486298</v>
      </c>
      <c r="J214" s="311">
        <v>7854271.5591892945</v>
      </c>
      <c r="K214" s="311">
        <v>7267544.6507446934</v>
      </c>
      <c r="L214" s="311">
        <v>7429062.0487108454</v>
      </c>
      <c r="M214" s="311">
        <v>5737168.373314946</v>
      </c>
      <c r="N214" s="311">
        <v>7017381.1214446062</v>
      </c>
      <c r="O214" s="311">
        <v>6031815.8081912342</v>
      </c>
      <c r="P214" s="311">
        <v>6817509.7648497568</v>
      </c>
      <c r="Q214" s="311">
        <v>7063241.6563899219</v>
      </c>
      <c r="R214" s="311">
        <v>3359830.461053567</v>
      </c>
      <c r="S214" s="312">
        <v>4806650.8613259811</v>
      </c>
      <c r="T214" s="311">
        <v>2001025.6342604782</v>
      </c>
      <c r="U214" s="311">
        <v>1703903.1289685103</v>
      </c>
      <c r="V214" s="311">
        <v>3159990.0157541772</v>
      </c>
      <c r="W214" s="311">
        <v>1130232.2144185442</v>
      </c>
      <c r="X214" s="311">
        <v>972769.22055535344</v>
      </c>
      <c r="Y214" s="311">
        <v>925610.6300736065</v>
      </c>
      <c r="Z214" s="311">
        <v>3057443.5767199378</v>
      </c>
      <c r="AA214" s="311">
        <v>453660.8299476644</v>
      </c>
      <c r="AB214" s="311">
        <v>398374.69064373593</v>
      </c>
      <c r="AC214" s="311">
        <v>688823.5471963</v>
      </c>
      <c r="AD214" s="311">
        <v>331358.34141679399</v>
      </c>
      <c r="AE214" s="311">
        <v>298071.25178877497</v>
      </c>
      <c r="AF214" s="311">
        <v>277972.59322131838</v>
      </c>
      <c r="AG214" s="311">
        <v>264479.13879239256</v>
      </c>
      <c r="AH214" s="311">
        <v>258118.47978724158</v>
      </c>
      <c r="AI214" s="311">
        <v>1005630.6879091753</v>
      </c>
      <c r="AJ214" s="311">
        <v>176314.70457795501</v>
      </c>
      <c r="AK214" s="311">
        <v>170928.8399556884</v>
      </c>
      <c r="AL214" s="311">
        <v>170843.58437624882</v>
      </c>
      <c r="AM214" s="311">
        <v>2486139.2749999999</v>
      </c>
      <c r="AN214" s="311">
        <v>0</v>
      </c>
      <c r="AO214" s="311"/>
      <c r="AP214" s="311"/>
      <c r="AQ214" s="311"/>
      <c r="AR214" s="311"/>
      <c r="AS214" s="311"/>
      <c r="AT214" s="311"/>
      <c r="AU214" s="311"/>
      <c r="AV214" s="311"/>
      <c r="AW214" s="311"/>
      <c r="AX214" s="311"/>
      <c r="AY214" s="311"/>
      <c r="AZ214" s="311"/>
      <c r="BA214" s="311"/>
      <c r="BB214" s="311"/>
      <c r="BC214" s="311"/>
      <c r="BD214" s="311"/>
      <c r="BE214" s="311"/>
      <c r="BF214" s="311"/>
      <c r="BG214" s="311"/>
      <c r="BH214" s="311"/>
      <c r="BI214" s="311"/>
      <c r="BJ214" s="311"/>
      <c r="BK214" s="311"/>
    </row>
    <row r="215" spans="1:63" s="80" customFormat="1" ht="12.75">
      <c r="A215" s="167"/>
      <c r="B215" s="210" t="str">
        <f>Servicio_internaColumna_título_amortizaciones</f>
        <v>Amortizaciones</v>
      </c>
      <c r="C215" s="269">
        <v>0</v>
      </c>
      <c r="D215" s="235"/>
      <c r="E215" s="235"/>
      <c r="F215" s="235"/>
      <c r="G215" s="235"/>
      <c r="H215" s="235">
        <v>69636.479332991206</v>
      </c>
      <c r="I215" s="235">
        <v>2601545.8154679015</v>
      </c>
      <c r="J215" s="235">
        <v>3962363.1078012343</v>
      </c>
      <c r="K215" s="235">
        <v>3804993.1331451181</v>
      </c>
      <c r="L215" s="235">
        <v>4170512.0648821336</v>
      </c>
      <c r="M215" s="235">
        <v>2822232.8667648132</v>
      </c>
      <c r="N215" s="235">
        <v>4399114.028186921</v>
      </c>
      <c r="O215" s="235">
        <v>3720047.1248744335</v>
      </c>
      <c r="P215" s="235">
        <v>4718853.6644797828</v>
      </c>
      <c r="Q215" s="235">
        <v>5281709.3178549642</v>
      </c>
      <c r="R215" s="235">
        <v>2081382.2686382623</v>
      </c>
      <c r="S215" s="273">
        <v>3711906.7936295606</v>
      </c>
      <c r="T215" s="235">
        <v>1081157.5278093207</v>
      </c>
      <c r="U215" s="235">
        <v>839099.50500968262</v>
      </c>
      <c r="V215" s="235">
        <v>2432685.7355237245</v>
      </c>
      <c r="W215" s="235">
        <v>554506.60506971658</v>
      </c>
      <c r="X215" s="235">
        <v>424452.76867126249</v>
      </c>
      <c r="Y215" s="235">
        <v>398726.91545245762</v>
      </c>
      <c r="Z215" s="235">
        <v>2629398.4282555911</v>
      </c>
      <c r="AA215" s="235">
        <v>150203.85458019321</v>
      </c>
      <c r="AB215" s="235">
        <v>102174.93850575201</v>
      </c>
      <c r="AC215" s="235">
        <v>409997.66674488498</v>
      </c>
      <c r="AD215" s="235">
        <v>73241.051599055208</v>
      </c>
      <c r="AE215" s="235">
        <v>43638.011851540403</v>
      </c>
      <c r="AF215" s="235">
        <v>25272.3979710516</v>
      </c>
      <c r="AG215" s="235">
        <v>12494.732127163801</v>
      </c>
      <c r="AH215" s="235">
        <v>6381.7279482508002</v>
      </c>
      <c r="AI215" s="235">
        <v>789700.04256825079</v>
      </c>
      <c r="AJ215" s="235">
        <v>6381.7279482508002</v>
      </c>
      <c r="AK215" s="235">
        <v>1031.9139840628</v>
      </c>
      <c r="AL215" s="235">
        <v>830.4771086536</v>
      </c>
      <c r="AM215" s="235">
        <v>3377936.7280000001</v>
      </c>
      <c r="AN215" s="235">
        <v>0</v>
      </c>
      <c r="AO215" s="235"/>
      <c r="AP215" s="235"/>
      <c r="AQ215" s="235"/>
      <c r="AR215" s="235"/>
      <c r="AS215" s="235"/>
      <c r="AT215" s="235"/>
      <c r="AU215" s="235"/>
      <c r="AV215" s="235"/>
      <c r="AW215" s="235"/>
      <c r="AX215" s="235"/>
      <c r="AY215" s="235"/>
      <c r="AZ215" s="235"/>
      <c r="BA215" s="235"/>
      <c r="BB215" s="235"/>
      <c r="BC215" s="235"/>
      <c r="BD215" s="235"/>
      <c r="BE215" s="235"/>
      <c r="BF215" s="235"/>
      <c r="BG215" s="235"/>
      <c r="BH215" s="235"/>
      <c r="BI215" s="235"/>
      <c r="BJ215" s="235"/>
      <c r="BK215" s="235"/>
    </row>
    <row r="216" spans="1:63" s="133" customFormat="1" ht="12.75">
      <c r="A216" s="168">
        <v>39051</v>
      </c>
      <c r="B216" s="213" t="str">
        <f>Servicio_internaColumna_título_intereses</f>
        <v>Intereses</v>
      </c>
      <c r="C216" s="270">
        <v>0</v>
      </c>
      <c r="D216" s="271"/>
      <c r="E216" s="271"/>
      <c r="F216" s="271"/>
      <c r="G216" s="271"/>
      <c r="H216" s="271">
        <v>251896.68935068426</v>
      </c>
      <c r="I216" s="271">
        <v>4077072.523135555</v>
      </c>
      <c r="J216" s="271">
        <v>3937216.2260593548</v>
      </c>
      <c r="K216" s="271">
        <v>3494348.1684221546</v>
      </c>
      <c r="L216" s="271">
        <v>3285192.6678152131</v>
      </c>
      <c r="M216" s="271">
        <v>2964150.4300384223</v>
      </c>
      <c r="N216" s="271">
        <v>2652597.0455143908</v>
      </c>
      <c r="O216" s="271">
        <v>2350962.9363745921</v>
      </c>
      <c r="P216" s="271">
        <v>2133761.3110465663</v>
      </c>
      <c r="Q216" s="271">
        <v>1810731.8172658039</v>
      </c>
      <c r="R216" s="271">
        <v>1337152.3901774012</v>
      </c>
      <c r="S216" s="274">
        <v>1144631.1843087401</v>
      </c>
      <c r="T216" s="271">
        <v>987533.20993317233</v>
      </c>
      <c r="U216" s="272">
        <v>933907.42548349604</v>
      </c>
      <c r="V216" s="272">
        <v>787000.46482388349</v>
      </c>
      <c r="W216" s="272">
        <v>648536.81408858462</v>
      </c>
      <c r="X216" s="272">
        <v>622122.29768385354</v>
      </c>
      <c r="Y216" s="272">
        <v>600990.63061521982</v>
      </c>
      <c r="Z216" s="272">
        <v>488379.2622035644</v>
      </c>
      <c r="AA216" s="272">
        <v>380615.77453846118</v>
      </c>
      <c r="AB216" s="272">
        <v>373717.03701800376</v>
      </c>
      <c r="AC216" s="272">
        <v>354875.76347678318</v>
      </c>
      <c r="AD216" s="236">
        <v>336459.51371743082</v>
      </c>
      <c r="AE216" s="236">
        <v>332973.24370144214</v>
      </c>
      <c r="AF216" s="236">
        <v>331352.76654724916</v>
      </c>
      <c r="AG216" s="236">
        <v>330706.86833015241</v>
      </c>
      <c r="AH216" s="236">
        <v>330483.01791058236</v>
      </c>
      <c r="AI216" s="236">
        <v>289829.83579139237</v>
      </c>
      <c r="AJ216" s="236">
        <v>249173.20301919823</v>
      </c>
      <c r="AK216" s="236">
        <v>249154.65845941863</v>
      </c>
      <c r="AL216" s="236">
        <v>249134.9370967838</v>
      </c>
      <c r="AM216" s="236">
        <v>249122.83369</v>
      </c>
      <c r="AN216" s="236">
        <v>0</v>
      </c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</row>
    <row r="217" spans="1:63" s="133" customFormat="1" ht="12.75">
      <c r="A217" s="169"/>
      <c r="B217" s="307" t="str">
        <f>Servicio_internaColumna_título_total</f>
        <v>Total</v>
      </c>
      <c r="C217" s="310">
        <v>0</v>
      </c>
      <c r="D217" s="311"/>
      <c r="E217" s="311"/>
      <c r="F217" s="311"/>
      <c r="G217" s="311"/>
      <c r="H217" s="311">
        <v>321533.16868367547</v>
      </c>
      <c r="I217" s="311">
        <v>6678618.3386034565</v>
      </c>
      <c r="J217" s="311">
        <v>7899579.3338605892</v>
      </c>
      <c r="K217" s="311">
        <v>7299341.3015672732</v>
      </c>
      <c r="L217" s="311">
        <v>7455704.7326973472</v>
      </c>
      <c r="M217" s="311">
        <v>5786383.296803236</v>
      </c>
      <c r="N217" s="311">
        <v>7051711.0737013118</v>
      </c>
      <c r="O217" s="311">
        <v>6071010.0612490252</v>
      </c>
      <c r="P217" s="311">
        <v>6852614.9755263496</v>
      </c>
      <c r="Q217" s="311">
        <v>7092441.1351207681</v>
      </c>
      <c r="R217" s="311">
        <v>3418534.6588156633</v>
      </c>
      <c r="S217" s="312">
        <v>4856537.9779383009</v>
      </c>
      <c r="T217" s="311">
        <v>2068690.7377424929</v>
      </c>
      <c r="U217" s="311">
        <v>1773006.9304931788</v>
      </c>
      <c r="V217" s="311">
        <v>3219686.200347608</v>
      </c>
      <c r="W217" s="311">
        <v>1203043.4191583013</v>
      </c>
      <c r="X217" s="311">
        <v>1046575.066355116</v>
      </c>
      <c r="Y217" s="311">
        <v>999717.54606767744</v>
      </c>
      <c r="Z217" s="311">
        <v>3117777.6904591555</v>
      </c>
      <c r="AA217" s="311">
        <v>530819.62911865441</v>
      </c>
      <c r="AB217" s="311">
        <v>475891.97552375577</v>
      </c>
      <c r="AC217" s="311">
        <v>764873.43022166821</v>
      </c>
      <c r="AD217" s="311">
        <v>409700.56531648606</v>
      </c>
      <c r="AE217" s="311">
        <v>376611.25555298256</v>
      </c>
      <c r="AF217" s="311">
        <v>356625.16451830079</v>
      </c>
      <c r="AG217" s="311">
        <v>343201.60045731621</v>
      </c>
      <c r="AH217" s="311">
        <v>336864.74585883314</v>
      </c>
      <c r="AI217" s="311">
        <v>1079529.8783596433</v>
      </c>
      <c r="AJ217" s="311">
        <v>255554.93096744904</v>
      </c>
      <c r="AK217" s="311">
        <v>250186.57244348142</v>
      </c>
      <c r="AL217" s="311">
        <v>249965.41420543741</v>
      </c>
      <c r="AM217" s="311">
        <v>3627059.5616899999</v>
      </c>
      <c r="AN217" s="311">
        <v>0</v>
      </c>
      <c r="AO217" s="311"/>
      <c r="AP217" s="311"/>
      <c r="AQ217" s="311"/>
      <c r="AR217" s="311"/>
      <c r="AS217" s="311"/>
      <c r="AT217" s="311"/>
      <c r="AU217" s="311"/>
      <c r="AV217" s="311"/>
      <c r="AW217" s="311"/>
      <c r="AX217" s="311"/>
      <c r="AY217" s="311"/>
      <c r="AZ217" s="311"/>
      <c r="BA217" s="311"/>
      <c r="BB217" s="311"/>
      <c r="BC217" s="311"/>
      <c r="BD217" s="311"/>
      <c r="BE217" s="311"/>
      <c r="BF217" s="311"/>
      <c r="BG217" s="311"/>
      <c r="BH217" s="311"/>
      <c r="BI217" s="311"/>
      <c r="BJ217" s="311"/>
      <c r="BK217" s="311"/>
    </row>
    <row r="218" spans="1:63" s="80" customFormat="1" ht="12.75">
      <c r="A218" s="167"/>
      <c r="B218" s="210" t="str">
        <f>Servicio_internaColumna_título_amortizaciones</f>
        <v>Amortizaciones</v>
      </c>
      <c r="C218" s="269">
        <v>0</v>
      </c>
      <c r="D218" s="235"/>
      <c r="E218" s="235"/>
      <c r="F218" s="235"/>
      <c r="G218" s="235"/>
      <c r="H218" s="235">
        <v>0</v>
      </c>
      <c r="I218" s="235">
        <v>2525622.0481108245</v>
      </c>
      <c r="J218" s="235">
        <v>3930395.8703865753</v>
      </c>
      <c r="K218" s="235">
        <v>3706537.1243614987</v>
      </c>
      <c r="L218" s="235">
        <v>4057145.7178431526</v>
      </c>
      <c r="M218" s="235">
        <v>2773633.5538524487</v>
      </c>
      <c r="N218" s="235">
        <v>4294784.7384040589</v>
      </c>
      <c r="O218" s="235">
        <v>3754851.9496834348</v>
      </c>
      <c r="P218" s="235">
        <v>4614963.2099256143</v>
      </c>
      <c r="Q218" s="235">
        <v>5159207.25060884</v>
      </c>
      <c r="R218" s="235">
        <v>2138160.4846275044</v>
      </c>
      <c r="S218" s="273">
        <v>3722736.1211884273</v>
      </c>
      <c r="T218" s="235">
        <v>1209550.9623679556</v>
      </c>
      <c r="U218" s="235">
        <v>975744.90297252906</v>
      </c>
      <c r="V218" s="235">
        <v>2437040.1853948082</v>
      </c>
      <c r="W218" s="235">
        <v>586879.69389747456</v>
      </c>
      <c r="X218" s="235">
        <v>460225.07838843536</v>
      </c>
      <c r="Y218" s="235">
        <v>435036.58989595977</v>
      </c>
      <c r="Z218" s="235">
        <v>2583648.3692763331</v>
      </c>
      <c r="AA218" s="235">
        <v>170873.30228911201</v>
      </c>
      <c r="AB218" s="235">
        <v>122639.05339239258</v>
      </c>
      <c r="AC218" s="235">
        <v>421817.40975315229</v>
      </c>
      <c r="AD218" s="235">
        <v>93690.959054451014</v>
      </c>
      <c r="AE218" s="235">
        <v>64881.007238548402</v>
      </c>
      <c r="AF218" s="235">
        <v>47007.422110832791</v>
      </c>
      <c r="AG218" s="235">
        <v>34572.079645266698</v>
      </c>
      <c r="AH218" s="235">
        <v>6234.9474938731992</v>
      </c>
      <c r="AI218" s="235">
        <v>768567.56918387313</v>
      </c>
      <c r="AJ218" s="235">
        <v>6234.9474938731992</v>
      </c>
      <c r="AK218" s="235">
        <v>1028.4591113672</v>
      </c>
      <c r="AL218" s="235">
        <v>945.28470468219996</v>
      </c>
      <c r="AM218" s="235">
        <v>3287733.0867471336</v>
      </c>
      <c r="AN218" s="235">
        <v>0</v>
      </c>
      <c r="AO218" s="235"/>
      <c r="AP218" s="235"/>
      <c r="AQ218" s="235"/>
      <c r="AR218" s="235"/>
      <c r="AS218" s="235"/>
      <c r="AT218" s="235"/>
      <c r="AU218" s="235"/>
      <c r="AV218" s="235"/>
      <c r="AW218" s="235"/>
      <c r="AX218" s="235"/>
      <c r="AY218" s="235"/>
      <c r="AZ218" s="235"/>
      <c r="BA218" s="235"/>
      <c r="BB218" s="235"/>
      <c r="BC218" s="235"/>
      <c r="BD218" s="235"/>
      <c r="BE218" s="235"/>
      <c r="BF218" s="235"/>
      <c r="BG218" s="235"/>
      <c r="BH218" s="235"/>
      <c r="BI218" s="235"/>
      <c r="BJ218" s="235"/>
      <c r="BK218" s="235"/>
    </row>
    <row r="219" spans="1:63" s="133" customFormat="1" ht="12.75">
      <c r="A219" s="168">
        <v>39082</v>
      </c>
      <c r="B219" s="213" t="str">
        <f>Servicio_internaColumna_título_intereses</f>
        <v>Intereses</v>
      </c>
      <c r="C219" s="270">
        <v>0</v>
      </c>
      <c r="D219" s="271"/>
      <c r="E219" s="271"/>
      <c r="F219" s="271"/>
      <c r="G219" s="271"/>
      <c r="H219" s="271">
        <v>0</v>
      </c>
      <c r="I219" s="271">
        <v>4030777.1733729499</v>
      </c>
      <c r="J219" s="271">
        <v>3905644.9696756038</v>
      </c>
      <c r="K219" s="271">
        <v>3464970.9356728019</v>
      </c>
      <c r="L219" s="271">
        <v>3263722.5715084383</v>
      </c>
      <c r="M219" s="271">
        <v>2950397.2178770783</v>
      </c>
      <c r="N219" s="271">
        <v>2643813.7768470952</v>
      </c>
      <c r="O219" s="271">
        <v>2346826.2084780065</v>
      </c>
      <c r="P219" s="271">
        <v>2130220.7364737331</v>
      </c>
      <c r="Q219" s="271">
        <v>1814466.6932790899</v>
      </c>
      <c r="R219" s="271">
        <v>1351832.5566500195</v>
      </c>
      <c r="S219" s="274">
        <v>1157972.0347778751</v>
      </c>
      <c r="T219" s="271">
        <v>997583.41458555753</v>
      </c>
      <c r="U219" s="272">
        <v>936741.76309989661</v>
      </c>
      <c r="V219" s="272">
        <v>785995.71406371205</v>
      </c>
      <c r="W219" s="272">
        <v>647678.98758827476</v>
      </c>
      <c r="X219" s="272">
        <v>619473.80609264143</v>
      </c>
      <c r="Y219" s="272">
        <v>596324.10816116713</v>
      </c>
      <c r="Z219" s="272">
        <v>484494.63423451781</v>
      </c>
      <c r="AA219" s="272">
        <v>378354.66628960054</v>
      </c>
      <c r="AB219" s="272">
        <v>370412.65239079832</v>
      </c>
      <c r="AC219" s="272">
        <v>350866.74699089333</v>
      </c>
      <c r="AD219" s="236">
        <v>331781.64802029682</v>
      </c>
      <c r="AE219" s="236">
        <v>327235.35888355982</v>
      </c>
      <c r="AF219" s="236">
        <v>324504.87655516912</v>
      </c>
      <c r="AG219" s="236">
        <v>322722.86349829624</v>
      </c>
      <c r="AH219" s="236">
        <v>321639.8353806684</v>
      </c>
      <c r="AI219" s="236">
        <v>282075.34081090207</v>
      </c>
      <c r="AJ219" s="236">
        <v>242507.48801135999</v>
      </c>
      <c r="AK219" s="236">
        <v>242488.99815818062</v>
      </c>
      <c r="AL219" s="236">
        <v>242470.50832738908</v>
      </c>
      <c r="AM219" s="236">
        <v>242451.58215642659</v>
      </c>
      <c r="AN219" s="236">
        <v>0</v>
      </c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  <c r="BE219" s="236"/>
      <c r="BF219" s="236"/>
      <c r="BG219" s="236"/>
      <c r="BH219" s="236"/>
      <c r="BI219" s="236"/>
      <c r="BJ219" s="236"/>
      <c r="BK219" s="236"/>
    </row>
    <row r="220" spans="1:63" s="133" customFormat="1" ht="12.75">
      <c r="A220" s="169"/>
      <c r="B220" s="307" t="str">
        <f>Servicio_internaColumna_título_total</f>
        <v>Total</v>
      </c>
      <c r="C220" s="310">
        <v>0</v>
      </c>
      <c r="D220" s="311"/>
      <c r="E220" s="311"/>
      <c r="F220" s="311"/>
      <c r="G220" s="311"/>
      <c r="H220" s="311"/>
      <c r="I220" s="311">
        <v>6556399.2214837745</v>
      </c>
      <c r="J220" s="311">
        <v>7836040.8400621787</v>
      </c>
      <c r="K220" s="311">
        <v>7171508.0600343011</v>
      </c>
      <c r="L220" s="311">
        <v>7320868.2893515909</v>
      </c>
      <c r="M220" s="311">
        <v>5724030.771729527</v>
      </c>
      <c r="N220" s="311">
        <v>6938598.5152511541</v>
      </c>
      <c r="O220" s="311">
        <v>6101678.1581614409</v>
      </c>
      <c r="P220" s="311">
        <v>6745183.9463993479</v>
      </c>
      <c r="Q220" s="311">
        <v>6973673.9438879304</v>
      </c>
      <c r="R220" s="311">
        <v>3489993.0412775241</v>
      </c>
      <c r="S220" s="312">
        <v>4880708.1559663024</v>
      </c>
      <c r="T220" s="311">
        <v>2207134.3769535134</v>
      </c>
      <c r="U220" s="311">
        <v>1912486.6660724257</v>
      </c>
      <c r="V220" s="311">
        <v>3223035.8994585201</v>
      </c>
      <c r="W220" s="311">
        <v>1234558.6814857493</v>
      </c>
      <c r="X220" s="311">
        <v>1079698.8844810768</v>
      </c>
      <c r="Y220" s="311">
        <v>1031360.698057127</v>
      </c>
      <c r="Z220" s="311">
        <v>3068143.0035108509</v>
      </c>
      <c r="AA220" s="311">
        <v>549227.96857871255</v>
      </c>
      <c r="AB220" s="311">
        <v>493051.7057831909</v>
      </c>
      <c r="AC220" s="311">
        <v>772684.15674404567</v>
      </c>
      <c r="AD220" s="311">
        <v>425472.60707474785</v>
      </c>
      <c r="AE220" s="311">
        <v>392116.36612210824</v>
      </c>
      <c r="AF220" s="311">
        <v>371512.29866600188</v>
      </c>
      <c r="AG220" s="311">
        <v>357294.94314356294</v>
      </c>
      <c r="AH220" s="311">
        <v>327874.78287454159</v>
      </c>
      <c r="AI220" s="311">
        <v>1050642.9099947752</v>
      </c>
      <c r="AJ220" s="311">
        <v>248742.43550523318</v>
      </c>
      <c r="AK220" s="311">
        <v>243517.45726954783</v>
      </c>
      <c r="AL220" s="311">
        <v>243415.79303207129</v>
      </c>
      <c r="AM220" s="311">
        <v>3530184.6689035604</v>
      </c>
      <c r="AN220" s="311">
        <v>0</v>
      </c>
      <c r="AO220" s="311"/>
      <c r="AP220" s="311"/>
      <c r="AQ220" s="311"/>
      <c r="AR220" s="311"/>
      <c r="AS220" s="311"/>
      <c r="AT220" s="311"/>
      <c r="AU220" s="311"/>
      <c r="AV220" s="311"/>
      <c r="AW220" s="311"/>
      <c r="AX220" s="311"/>
      <c r="AY220" s="311"/>
      <c r="AZ220" s="311"/>
      <c r="BA220" s="311"/>
      <c r="BB220" s="311"/>
      <c r="BC220" s="311"/>
      <c r="BD220" s="311"/>
      <c r="BE220" s="311"/>
      <c r="BF220" s="311"/>
      <c r="BG220" s="311"/>
      <c r="BH220" s="311"/>
      <c r="BI220" s="311"/>
      <c r="BJ220" s="311"/>
      <c r="BK220" s="311"/>
    </row>
    <row r="221" spans="1:63" s="80" customFormat="1" ht="12.75">
      <c r="A221" s="167"/>
      <c r="B221" s="210" t="str">
        <f>Servicio_internaColumna_título_amortizaciones</f>
        <v>Amortizaciones</v>
      </c>
      <c r="C221" s="269">
        <v>0</v>
      </c>
      <c r="D221" s="235"/>
      <c r="E221" s="235"/>
      <c r="F221" s="235"/>
      <c r="G221" s="235"/>
      <c r="H221" s="235"/>
      <c r="I221" s="235">
        <v>2336249.3666381026</v>
      </c>
      <c r="J221" s="235">
        <v>3935352.0608254904</v>
      </c>
      <c r="K221" s="235">
        <v>3727264.5720341853</v>
      </c>
      <c r="L221" s="235">
        <v>4211724.3002437167</v>
      </c>
      <c r="M221" s="235">
        <v>2784931.9328510133</v>
      </c>
      <c r="N221" s="235">
        <v>4324348.5734179839</v>
      </c>
      <c r="O221" s="235">
        <v>3793446.5417743139</v>
      </c>
      <c r="P221" s="235">
        <v>4676363.4930730788</v>
      </c>
      <c r="Q221" s="235">
        <v>5312888.1212288653</v>
      </c>
      <c r="R221" s="235">
        <v>2163534.3278781367</v>
      </c>
      <c r="S221" s="273">
        <v>3759178.0960719283</v>
      </c>
      <c r="T221" s="235">
        <v>1219556.879272314</v>
      </c>
      <c r="U221" s="235">
        <v>983170.13862824626</v>
      </c>
      <c r="V221" s="235">
        <v>2458127.4374429062</v>
      </c>
      <c r="W221" s="235">
        <v>590670.6426880667</v>
      </c>
      <c r="X221" s="235">
        <v>462879.19506099954</v>
      </c>
      <c r="Y221" s="235">
        <v>437464.96006883035</v>
      </c>
      <c r="Z221" s="235">
        <v>2606163.6812983411</v>
      </c>
      <c r="AA221" s="235">
        <v>170832.06271313995</v>
      </c>
      <c r="AB221" s="235">
        <v>122146.88241838317</v>
      </c>
      <c r="AC221" s="235">
        <v>424517.66056079639</v>
      </c>
      <c r="AD221" s="235">
        <v>93719.085353949602</v>
      </c>
      <c r="AE221" s="235">
        <v>64639.795059892807</v>
      </c>
      <c r="AF221" s="235">
        <v>46599.113359151997</v>
      </c>
      <c r="AG221" s="235">
        <v>34047.515363677194</v>
      </c>
      <c r="AH221" s="235">
        <v>5445.4650306191998</v>
      </c>
      <c r="AI221" s="235">
        <v>774904.98195061914</v>
      </c>
      <c r="AJ221" s="235">
        <v>5445.4650306191998</v>
      </c>
      <c r="AK221" s="235">
        <v>190.30222941119999</v>
      </c>
      <c r="AL221" s="235">
        <v>95.151114705599994</v>
      </c>
      <c r="AM221" s="235">
        <v>3318172.8479999998</v>
      </c>
      <c r="AN221" s="235">
        <v>0</v>
      </c>
      <c r="AO221" s="235"/>
      <c r="AP221" s="235"/>
      <c r="AQ221" s="235"/>
      <c r="AR221" s="235"/>
      <c r="AS221" s="235"/>
      <c r="AT221" s="235"/>
      <c r="AU221" s="235"/>
      <c r="AV221" s="235"/>
      <c r="AW221" s="235"/>
      <c r="AX221" s="235"/>
      <c r="AY221" s="235"/>
      <c r="AZ221" s="235"/>
      <c r="BA221" s="235"/>
      <c r="BB221" s="235"/>
      <c r="BC221" s="235"/>
      <c r="BD221" s="235"/>
      <c r="BE221" s="235"/>
      <c r="BF221" s="235"/>
      <c r="BG221" s="235"/>
      <c r="BH221" s="235"/>
      <c r="BI221" s="235"/>
      <c r="BJ221" s="235"/>
      <c r="BK221" s="235"/>
    </row>
    <row r="222" spans="1:63" s="133" customFormat="1" ht="12.75">
      <c r="A222" s="168">
        <v>39113</v>
      </c>
      <c r="B222" s="213" t="str">
        <f>Servicio_internaColumna_título_intereses</f>
        <v>Intereses</v>
      </c>
      <c r="C222" s="270">
        <v>0</v>
      </c>
      <c r="D222" s="271"/>
      <c r="E222" s="271"/>
      <c r="F222" s="271"/>
      <c r="G222" s="271"/>
      <c r="H222" s="271"/>
      <c r="I222" s="271">
        <v>3488981.336839559</v>
      </c>
      <c r="J222" s="271">
        <v>3996451.6412327974</v>
      </c>
      <c r="K222" s="271">
        <v>3549803.6095832228</v>
      </c>
      <c r="L222" s="271">
        <v>3336219.3558916226</v>
      </c>
      <c r="M222" s="271">
        <v>2990445.1651368714</v>
      </c>
      <c r="N222" s="271">
        <v>2682178.6379993451</v>
      </c>
      <c r="O222" s="271">
        <v>2383180.0217543957</v>
      </c>
      <c r="P222" s="271">
        <v>2163053.4107425739</v>
      </c>
      <c r="Q222" s="271">
        <v>1843307.6858787597</v>
      </c>
      <c r="R222" s="271">
        <v>1364007.0781673566</v>
      </c>
      <c r="S222" s="274">
        <v>1168027.2874323933</v>
      </c>
      <c r="T222" s="271">
        <v>1006011.8202659327</v>
      </c>
      <c r="U222" s="272">
        <v>944669.37862095819</v>
      </c>
      <c r="V222" s="272">
        <v>792598.19362507772</v>
      </c>
      <c r="W222" s="272">
        <v>653072.38936664746</v>
      </c>
      <c r="X222" s="272">
        <v>624687.41166870238</v>
      </c>
      <c r="Y222" s="272">
        <v>601404.3259752203</v>
      </c>
      <c r="Z222" s="272">
        <v>488612.36494541512</v>
      </c>
      <c r="AA222" s="272">
        <v>381563.00481677393</v>
      </c>
      <c r="AB222" s="272">
        <v>373661.67929895717</v>
      </c>
      <c r="AC222" s="272">
        <v>353961.38728073158</v>
      </c>
      <c r="AD222" s="236">
        <v>334724.01083582756</v>
      </c>
      <c r="AE222" s="236">
        <v>330152.4032336711</v>
      </c>
      <c r="AF222" s="236">
        <v>327413.60978105874</v>
      </c>
      <c r="AG222" s="236">
        <v>325632.15267210716</v>
      </c>
      <c r="AH222" s="236">
        <v>324556.23094566114</v>
      </c>
      <c r="AI222" s="236">
        <v>284639.05559660395</v>
      </c>
      <c r="AJ222" s="236">
        <v>244718.50648558678</v>
      </c>
      <c r="AK222" s="236">
        <v>244717.05936089877</v>
      </c>
      <c r="AL222" s="236">
        <v>244715.61228140519</v>
      </c>
      <c r="AM222" s="236">
        <v>244715.24753999998</v>
      </c>
      <c r="AN222" s="236">
        <v>0</v>
      </c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</row>
    <row r="223" spans="1:63" s="133" customFormat="1" ht="12.75">
      <c r="A223" s="169"/>
      <c r="B223" s="307" t="str">
        <f>Servicio_internaColumna_título_total</f>
        <v>Total</v>
      </c>
      <c r="C223" s="310">
        <v>0</v>
      </c>
      <c r="D223" s="311"/>
      <c r="E223" s="311"/>
      <c r="F223" s="311"/>
      <c r="G223" s="311"/>
      <c r="H223" s="311"/>
      <c r="I223" s="311">
        <v>5825230.7034776621</v>
      </c>
      <c r="J223" s="311">
        <v>7931803.7020582873</v>
      </c>
      <c r="K223" s="311">
        <v>7277068.1816174081</v>
      </c>
      <c r="L223" s="311">
        <v>7547943.6561353393</v>
      </c>
      <c r="M223" s="311">
        <v>5775377.0979878847</v>
      </c>
      <c r="N223" s="311">
        <v>7006527.2114173286</v>
      </c>
      <c r="O223" s="311">
        <v>6176626.5635287091</v>
      </c>
      <c r="P223" s="311">
        <v>6839416.9038156532</v>
      </c>
      <c r="Q223" s="311">
        <v>7156195.8071076255</v>
      </c>
      <c r="R223" s="311">
        <v>3527541.4060454932</v>
      </c>
      <c r="S223" s="312">
        <v>4927205.3835043218</v>
      </c>
      <c r="T223" s="311">
        <v>2225568.6995382467</v>
      </c>
      <c r="U223" s="311">
        <v>1927839.5172492045</v>
      </c>
      <c r="V223" s="311">
        <v>3250725.6310679838</v>
      </c>
      <c r="W223" s="311">
        <v>1243743.0320547142</v>
      </c>
      <c r="X223" s="311">
        <v>1087566.6067297019</v>
      </c>
      <c r="Y223" s="311">
        <v>1038869.2860440507</v>
      </c>
      <c r="Z223" s="311">
        <v>3094776.0462437561</v>
      </c>
      <c r="AA223" s="311">
        <v>552395.06752991385</v>
      </c>
      <c r="AB223" s="311">
        <v>495808.56171734037</v>
      </c>
      <c r="AC223" s="311">
        <v>778479.04784152796</v>
      </c>
      <c r="AD223" s="311">
        <v>428443.09618977713</v>
      </c>
      <c r="AE223" s="311">
        <v>394792.19829356391</v>
      </c>
      <c r="AF223" s="311">
        <v>374012.72314021073</v>
      </c>
      <c r="AG223" s="311">
        <v>359679.66803578433</v>
      </c>
      <c r="AH223" s="311">
        <v>330001.69597628032</v>
      </c>
      <c r="AI223" s="311">
        <v>1059544.037547223</v>
      </c>
      <c r="AJ223" s="311">
        <v>250163.97151620599</v>
      </c>
      <c r="AK223" s="311">
        <v>244907.36159030997</v>
      </c>
      <c r="AL223" s="311">
        <v>244810.76339611079</v>
      </c>
      <c r="AM223" s="311">
        <v>3562888.0955399997</v>
      </c>
      <c r="AN223" s="311">
        <v>0</v>
      </c>
      <c r="AO223" s="311"/>
      <c r="AP223" s="311"/>
      <c r="AQ223" s="311"/>
      <c r="AR223" s="311"/>
      <c r="AS223" s="311"/>
      <c r="AT223" s="311"/>
      <c r="AU223" s="311"/>
      <c r="AV223" s="311"/>
      <c r="AW223" s="311"/>
      <c r="AX223" s="311"/>
      <c r="AY223" s="311"/>
      <c r="AZ223" s="311"/>
      <c r="BA223" s="311"/>
      <c r="BB223" s="311"/>
      <c r="BC223" s="311"/>
      <c r="BD223" s="311"/>
      <c r="BE223" s="311"/>
      <c r="BF223" s="311"/>
      <c r="BG223" s="311"/>
      <c r="BH223" s="311"/>
      <c r="BI223" s="311"/>
      <c r="BJ223" s="311"/>
      <c r="BK223" s="311"/>
    </row>
    <row r="224" spans="1:63" s="80" customFormat="1" ht="12.75">
      <c r="A224" s="167"/>
      <c r="B224" s="210" t="str">
        <f>Servicio_internaColumna_título_amortizaciones</f>
        <v>Amortizaciones</v>
      </c>
      <c r="C224" s="269">
        <v>0</v>
      </c>
      <c r="D224" s="235"/>
      <c r="E224" s="235"/>
      <c r="F224" s="235"/>
      <c r="G224" s="235"/>
      <c r="H224" s="235"/>
      <c r="I224" s="235">
        <v>1237903.9400675762</v>
      </c>
      <c r="J224" s="235">
        <v>3842621.1585088875</v>
      </c>
      <c r="K224" s="235">
        <v>3667547.1298415242</v>
      </c>
      <c r="L224" s="235">
        <v>4069630.2426244114</v>
      </c>
      <c r="M224" s="235">
        <v>2731005.550962884</v>
      </c>
      <c r="N224" s="235">
        <v>4252500.287075012</v>
      </c>
      <c r="O224" s="235">
        <v>3728946.7936573196</v>
      </c>
      <c r="P224" s="235">
        <v>4572098.1509618238</v>
      </c>
      <c r="Q224" s="235">
        <v>5070953.4598606816</v>
      </c>
      <c r="R224" s="235">
        <v>2117872.3169673732</v>
      </c>
      <c r="S224" s="273">
        <v>3696034.9009725442</v>
      </c>
      <c r="T224" s="235">
        <v>1199661.2117781858</v>
      </c>
      <c r="U224" s="235">
        <v>967649.02461394318</v>
      </c>
      <c r="V224" s="235">
        <v>2419369.956073964</v>
      </c>
      <c r="W224" s="235">
        <v>581333.63733434922</v>
      </c>
      <c r="X224" s="235">
        <v>455580.68058912002</v>
      </c>
      <c r="Y224" s="235">
        <v>430572.02840157668</v>
      </c>
      <c r="Z224" s="235">
        <v>2565104.7138055121</v>
      </c>
      <c r="AA224" s="235">
        <v>168139.70950067841</v>
      </c>
      <c r="AB224" s="235">
        <v>120221.52353198559</v>
      </c>
      <c r="AC224" s="235">
        <v>417828.70277636271</v>
      </c>
      <c r="AD224" s="235">
        <v>92241.582651279998</v>
      </c>
      <c r="AE224" s="235">
        <v>63620.412272287205</v>
      </c>
      <c r="AF224" s="235">
        <v>45863.946433930396</v>
      </c>
      <c r="AG224" s="235">
        <v>33510.088374659594</v>
      </c>
      <c r="AH224" s="235">
        <v>5358.6394399415994</v>
      </c>
      <c r="AI224" s="235">
        <v>762695.96475994156</v>
      </c>
      <c r="AJ224" s="235">
        <v>5358.6394399415994</v>
      </c>
      <c r="AK224" s="235">
        <v>186.26733657359998</v>
      </c>
      <c r="AL224" s="235">
        <v>93.133668286799988</v>
      </c>
      <c r="AM224" s="235">
        <v>3265897.8080000002</v>
      </c>
      <c r="AN224" s="235">
        <v>0</v>
      </c>
      <c r="AO224" s="235"/>
      <c r="AP224" s="235"/>
      <c r="AQ224" s="235"/>
      <c r="AR224" s="235"/>
      <c r="AS224" s="235"/>
      <c r="AT224" s="235"/>
      <c r="AU224" s="235"/>
      <c r="AV224" s="235"/>
      <c r="AW224" s="235"/>
      <c r="AX224" s="235"/>
      <c r="AY224" s="235"/>
      <c r="AZ224" s="235"/>
      <c r="BA224" s="235"/>
      <c r="BB224" s="235"/>
      <c r="BC224" s="235"/>
      <c r="BD224" s="235"/>
      <c r="BE224" s="235"/>
      <c r="BF224" s="235"/>
      <c r="BG224" s="235"/>
      <c r="BH224" s="235"/>
      <c r="BI224" s="235"/>
      <c r="BJ224" s="235"/>
      <c r="BK224" s="235"/>
    </row>
    <row r="225" spans="1:63" s="133" customFormat="1" ht="12.75">
      <c r="A225" s="168">
        <v>39141</v>
      </c>
      <c r="B225" s="213" t="str">
        <f>Servicio_internaColumna_título_intereses</f>
        <v>Intereses</v>
      </c>
      <c r="C225" s="270">
        <v>0</v>
      </c>
      <c r="D225" s="271"/>
      <c r="E225" s="271"/>
      <c r="F225" s="271"/>
      <c r="G225" s="271"/>
      <c r="H225" s="271"/>
      <c r="I225" s="271">
        <v>2979541.8521683877</v>
      </c>
      <c r="J225" s="271">
        <v>3893049.1569396504</v>
      </c>
      <c r="K225" s="271">
        <v>3458352.1069532936</v>
      </c>
      <c r="L225" s="271">
        <v>3250378.974624774</v>
      </c>
      <c r="M225" s="271">
        <v>2919927.4967272244</v>
      </c>
      <c r="N225" s="271">
        <v>2617612.5487455335</v>
      </c>
      <c r="O225" s="271">
        <v>2323494.0846550264</v>
      </c>
      <c r="P225" s="271">
        <v>2108187.6621515295</v>
      </c>
      <c r="Q225" s="271">
        <v>1795162.778266618</v>
      </c>
      <c r="R225" s="271">
        <v>1341646.3178840368</v>
      </c>
      <c r="S225" s="274">
        <v>1149317.3909070529</v>
      </c>
      <c r="T225" s="271">
        <v>990133.77460594079</v>
      </c>
      <c r="U225" s="272">
        <v>929784.97463989304</v>
      </c>
      <c r="V225" s="272">
        <v>780110.17078003823</v>
      </c>
      <c r="W225" s="272">
        <v>642783.09864091431</v>
      </c>
      <c r="X225" s="272">
        <v>614845.81907299394</v>
      </c>
      <c r="Y225" s="272">
        <v>591929.59896437079</v>
      </c>
      <c r="Z225" s="272">
        <v>480914.58866373438</v>
      </c>
      <c r="AA225" s="272">
        <v>375551.70985360711</v>
      </c>
      <c r="AB225" s="272">
        <v>367774.87101128034</v>
      </c>
      <c r="AC225" s="272">
        <v>348384.94850232761</v>
      </c>
      <c r="AD225" s="236">
        <v>329450.64858528122</v>
      </c>
      <c r="AE225" s="236">
        <v>324951.07086916995</v>
      </c>
      <c r="AF225" s="236">
        <v>322255.43269179435</v>
      </c>
      <c r="AG225" s="236">
        <v>320502.04884633678</v>
      </c>
      <c r="AH225" s="236">
        <v>319443.08517413196</v>
      </c>
      <c r="AI225" s="236">
        <v>280154.77950133913</v>
      </c>
      <c r="AJ225" s="236">
        <v>240863.15317290399</v>
      </c>
      <c r="AK225" s="236">
        <v>240861.73674208199</v>
      </c>
      <c r="AL225" s="236">
        <v>240860.32035574238</v>
      </c>
      <c r="AM225" s="236">
        <v>240859.96333999999</v>
      </c>
      <c r="AN225" s="236">
        <v>0</v>
      </c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</row>
    <row r="226" spans="1:63" s="133" customFormat="1" ht="12.75">
      <c r="A226" s="169"/>
      <c r="B226" s="307" t="str">
        <f>Servicio_internaColumna_título_total</f>
        <v>Total</v>
      </c>
      <c r="C226" s="310">
        <v>0</v>
      </c>
      <c r="D226" s="311"/>
      <c r="E226" s="311"/>
      <c r="F226" s="311"/>
      <c r="G226" s="311"/>
      <c r="H226" s="311"/>
      <c r="I226" s="311">
        <v>4217445.792235964</v>
      </c>
      <c r="J226" s="311">
        <v>7735670.3154485375</v>
      </c>
      <c r="K226" s="311">
        <v>7125899.2367948182</v>
      </c>
      <c r="L226" s="311">
        <v>7320009.2172491848</v>
      </c>
      <c r="M226" s="311">
        <v>5650933.0476901084</v>
      </c>
      <c r="N226" s="311">
        <v>6870112.8358205454</v>
      </c>
      <c r="O226" s="311">
        <v>6052440.8783123456</v>
      </c>
      <c r="P226" s="311">
        <v>6680285.8131133532</v>
      </c>
      <c r="Q226" s="311">
        <v>6866116.2381272996</v>
      </c>
      <c r="R226" s="311">
        <v>3459518.6348514101</v>
      </c>
      <c r="S226" s="312">
        <v>4845352.2918795971</v>
      </c>
      <c r="T226" s="311">
        <v>2189794.9863841264</v>
      </c>
      <c r="U226" s="311">
        <v>1897433.9992538362</v>
      </c>
      <c r="V226" s="311">
        <v>3199480.1268540025</v>
      </c>
      <c r="W226" s="311">
        <v>1224116.7359752636</v>
      </c>
      <c r="X226" s="311">
        <v>1070426.4996621138</v>
      </c>
      <c r="Y226" s="311">
        <v>1022501.6273659475</v>
      </c>
      <c r="Z226" s="311">
        <v>3046019.3024692466</v>
      </c>
      <c r="AA226" s="311">
        <v>543691.41935428558</v>
      </c>
      <c r="AB226" s="311">
        <v>487996.39454326592</v>
      </c>
      <c r="AC226" s="311">
        <v>766213.65127869032</v>
      </c>
      <c r="AD226" s="311">
        <v>421692.2312365612</v>
      </c>
      <c r="AE226" s="311">
        <v>388571.48314145714</v>
      </c>
      <c r="AF226" s="311">
        <v>368119.37912572478</v>
      </c>
      <c r="AG226" s="311">
        <v>354012.13722099637</v>
      </c>
      <c r="AH226" s="311">
        <v>324801.72461407358</v>
      </c>
      <c r="AI226" s="311">
        <v>1042850.7442612806</v>
      </c>
      <c r="AJ226" s="311">
        <v>246221.79261284557</v>
      </c>
      <c r="AK226" s="311">
        <v>241048.00407865559</v>
      </c>
      <c r="AL226" s="311">
        <v>240953.4540240292</v>
      </c>
      <c r="AM226" s="311">
        <v>3506757.77134</v>
      </c>
      <c r="AN226" s="311">
        <v>0</v>
      </c>
      <c r="AO226" s="311"/>
      <c r="AP226" s="311"/>
      <c r="AQ226" s="311"/>
      <c r="AR226" s="311"/>
      <c r="AS226" s="311"/>
      <c r="AT226" s="311"/>
      <c r="AU226" s="311"/>
      <c r="AV226" s="311"/>
      <c r="AW226" s="311"/>
      <c r="AX226" s="311"/>
      <c r="AY226" s="311"/>
      <c r="AZ226" s="311"/>
      <c r="BA226" s="311"/>
      <c r="BB226" s="311"/>
      <c r="BC226" s="311"/>
      <c r="BD226" s="311"/>
      <c r="BE226" s="311"/>
      <c r="BF226" s="311"/>
      <c r="BG226" s="311"/>
      <c r="BH226" s="311"/>
      <c r="BI226" s="311"/>
      <c r="BJ226" s="311"/>
      <c r="BK226" s="311"/>
    </row>
    <row r="227" spans="1:63" s="80" customFormat="1" ht="12.75">
      <c r="A227" s="167"/>
      <c r="B227" s="210" t="str">
        <f>Servicio_internaColumna_título_amortizaciones</f>
        <v>Amortizaciones</v>
      </c>
      <c r="C227" s="269">
        <v>0</v>
      </c>
      <c r="D227" s="235"/>
      <c r="E227" s="235"/>
      <c r="F227" s="235"/>
      <c r="G227" s="235"/>
      <c r="H227" s="235"/>
      <c r="I227" s="235">
        <v>1015256.3389454918</v>
      </c>
      <c r="J227" s="235">
        <v>3733168.5778344027</v>
      </c>
      <c r="K227" s="235">
        <v>3551645.2544296687</v>
      </c>
      <c r="L227" s="235">
        <v>3971279.9967776933</v>
      </c>
      <c r="M227" s="235">
        <v>2652196.873440654</v>
      </c>
      <c r="N227" s="235">
        <v>4133325.9836301929</v>
      </c>
      <c r="O227" s="235">
        <v>3618201.0106744757</v>
      </c>
      <c r="P227" s="235">
        <v>4445671.5772566097</v>
      </c>
      <c r="Q227" s="235">
        <v>4980749.8660741178</v>
      </c>
      <c r="R227" s="235">
        <v>2059977.9532511891</v>
      </c>
      <c r="S227" s="273">
        <v>3585916.0136701744</v>
      </c>
      <c r="T227" s="235">
        <v>1165550.2461891277</v>
      </c>
      <c r="U227" s="235">
        <v>940528.4303401456</v>
      </c>
      <c r="V227" s="235">
        <v>2347172.4182685618</v>
      </c>
      <c r="W227" s="235">
        <v>566207.79210843495</v>
      </c>
      <c r="X227" s="235">
        <v>444337.47971275658</v>
      </c>
      <c r="Y227" s="235">
        <v>420100.81454505154</v>
      </c>
      <c r="Z227" s="235">
        <v>2488355.2293277988</v>
      </c>
      <c r="AA227" s="235">
        <v>165817.14587134239</v>
      </c>
      <c r="AB227" s="235">
        <v>119386.84271607597</v>
      </c>
      <c r="AC227" s="235">
        <v>404819.46194215334</v>
      </c>
      <c r="AD227" s="235">
        <v>89378.496222731192</v>
      </c>
      <c r="AE227" s="235">
        <v>61646.027004814809</v>
      </c>
      <c r="AF227" s="235">
        <v>44440.908005116398</v>
      </c>
      <c r="AG227" s="235">
        <v>32470.643204110995</v>
      </c>
      <c r="AH227" s="235">
        <v>5193.3103528019992</v>
      </c>
      <c r="AI227" s="235">
        <v>739014.94601280196</v>
      </c>
      <c r="AJ227" s="235">
        <v>5193.3103528019992</v>
      </c>
      <c r="AK227" s="235">
        <v>181.54290091800002</v>
      </c>
      <c r="AL227" s="235">
        <v>90.771450459000008</v>
      </c>
      <c r="AM227" s="235">
        <v>3164490.1040000003</v>
      </c>
      <c r="AN227" s="235">
        <v>0</v>
      </c>
      <c r="AO227" s="235"/>
      <c r="AP227" s="235"/>
      <c r="AQ227" s="235"/>
      <c r="AR227" s="235"/>
      <c r="AS227" s="235"/>
      <c r="AT227" s="235"/>
      <c r="AU227" s="235"/>
      <c r="AV227" s="235"/>
      <c r="AW227" s="235"/>
      <c r="AX227" s="235"/>
      <c r="AY227" s="235"/>
      <c r="AZ227" s="235"/>
      <c r="BA227" s="235"/>
      <c r="BB227" s="235"/>
      <c r="BC227" s="235"/>
      <c r="BD227" s="235"/>
      <c r="BE227" s="235"/>
      <c r="BF227" s="235"/>
      <c r="BG227" s="235"/>
      <c r="BH227" s="235"/>
      <c r="BI227" s="235"/>
      <c r="BJ227" s="235"/>
      <c r="BK227" s="235"/>
    </row>
    <row r="228" spans="1:63" s="133" customFormat="1" ht="12.75">
      <c r="A228" s="168">
        <v>39172</v>
      </c>
      <c r="B228" s="213" t="str">
        <f>Servicio_internaColumna_título_intereses</f>
        <v>Intereses</v>
      </c>
      <c r="C228" s="270">
        <v>0</v>
      </c>
      <c r="D228" s="271"/>
      <c r="E228" s="271"/>
      <c r="F228" s="271"/>
      <c r="G228" s="271"/>
      <c r="H228" s="271"/>
      <c r="I228" s="271">
        <v>2668705.2004464013</v>
      </c>
      <c r="J228" s="271">
        <v>3814762.0759412311</v>
      </c>
      <c r="K228" s="271">
        <v>3381922.0183235519</v>
      </c>
      <c r="L228" s="271">
        <v>3179228.4347775318</v>
      </c>
      <c r="M228" s="271">
        <v>2841027.2853213912</v>
      </c>
      <c r="N228" s="271">
        <v>2547310.2806020919</v>
      </c>
      <c r="O228" s="271">
        <v>2262688.7021302665</v>
      </c>
      <c r="P228" s="271">
        <v>2053333.8207754923</v>
      </c>
      <c r="Q228" s="271">
        <v>1749159.5670950953</v>
      </c>
      <c r="R228" s="271">
        <v>1302145.7346174908</v>
      </c>
      <c r="S228" s="274">
        <v>1115340.9750473546</v>
      </c>
      <c r="T228" s="271">
        <v>960839.31683887157</v>
      </c>
      <c r="U228" s="272">
        <v>902199.5369639924</v>
      </c>
      <c r="V228" s="272">
        <v>757000.36174544448</v>
      </c>
      <c r="W228" s="272">
        <v>623765.66850455001</v>
      </c>
      <c r="X228" s="272">
        <v>596549.66547135217</v>
      </c>
      <c r="Y228" s="272">
        <v>574173.28580919711</v>
      </c>
      <c r="Z228" s="272">
        <v>466435.9716935649</v>
      </c>
      <c r="AA228" s="272">
        <v>364178.52768127428</v>
      </c>
      <c r="AB228" s="272">
        <v>356480.96638373937</v>
      </c>
      <c r="AC228" s="272">
        <v>337572.40188694454</v>
      </c>
      <c r="AD228" s="236">
        <v>319224.3460835258</v>
      </c>
      <c r="AE228" s="236">
        <v>314864.47421751154</v>
      </c>
      <c r="AF228" s="236">
        <v>312252.52884730935</v>
      </c>
      <c r="AG228" s="236">
        <v>310553.58035701618</v>
      </c>
      <c r="AH228" s="236">
        <v>309527.49006602238</v>
      </c>
      <c r="AI228" s="236">
        <v>271459.09711007919</v>
      </c>
      <c r="AJ228" s="236">
        <v>233387.48669265723</v>
      </c>
      <c r="AK228" s="236">
        <v>233386.10618277182</v>
      </c>
      <c r="AL228" s="236">
        <v>233384.72571598762</v>
      </c>
      <c r="AM228" s="236">
        <v>233381.14517</v>
      </c>
      <c r="AN228" s="236">
        <v>0</v>
      </c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</row>
    <row r="229" spans="1:63" s="133" customFormat="1" ht="12.75">
      <c r="A229" s="169"/>
      <c r="B229" s="307" t="str">
        <f>Servicio_internaColumna_título_total</f>
        <v>Total</v>
      </c>
      <c r="C229" s="310">
        <v>0</v>
      </c>
      <c r="D229" s="311"/>
      <c r="E229" s="311"/>
      <c r="F229" s="311"/>
      <c r="G229" s="311"/>
      <c r="H229" s="311"/>
      <c r="I229" s="311">
        <v>3683961.539391893</v>
      </c>
      <c r="J229" s="311">
        <v>7547930.6537756342</v>
      </c>
      <c r="K229" s="311">
        <v>6933567.2727532201</v>
      </c>
      <c r="L229" s="311">
        <v>7150508.4315552246</v>
      </c>
      <c r="M229" s="311">
        <v>5493224.1587620452</v>
      </c>
      <c r="N229" s="311">
        <v>6680636.2642322853</v>
      </c>
      <c r="O229" s="311">
        <v>5880889.7128047422</v>
      </c>
      <c r="P229" s="311">
        <v>6499005.3980321018</v>
      </c>
      <c r="Q229" s="311">
        <v>6729909.4331692131</v>
      </c>
      <c r="R229" s="311">
        <v>3362123.6878686799</v>
      </c>
      <c r="S229" s="312">
        <v>4701256.988717529</v>
      </c>
      <c r="T229" s="311">
        <v>2126389.5630279994</v>
      </c>
      <c r="U229" s="311">
        <v>1842727.967304138</v>
      </c>
      <c r="V229" s="311">
        <v>3104172.7800140064</v>
      </c>
      <c r="W229" s="311">
        <v>1189973.4606129848</v>
      </c>
      <c r="X229" s="311">
        <v>1040887.1451841088</v>
      </c>
      <c r="Y229" s="311">
        <v>994274.10035424866</v>
      </c>
      <c r="Z229" s="311">
        <v>2954791.201021364</v>
      </c>
      <c r="AA229" s="311">
        <v>529995.67355261673</v>
      </c>
      <c r="AB229" s="311">
        <v>475867.80909981532</v>
      </c>
      <c r="AC229" s="311">
        <v>742391.86382909794</v>
      </c>
      <c r="AD229" s="311">
        <v>408602.84230625699</v>
      </c>
      <c r="AE229" s="311">
        <v>376510.50122232636</v>
      </c>
      <c r="AF229" s="311">
        <v>356693.43685242574</v>
      </c>
      <c r="AG229" s="311">
        <v>343024.2235611272</v>
      </c>
      <c r="AH229" s="311">
        <v>314720.80041882436</v>
      </c>
      <c r="AI229" s="311">
        <v>1010474.0431228811</v>
      </c>
      <c r="AJ229" s="311">
        <v>238580.79704545921</v>
      </c>
      <c r="AK229" s="311">
        <v>233567.64908368982</v>
      </c>
      <c r="AL229" s="311">
        <v>233475.49716644661</v>
      </c>
      <c r="AM229" s="311">
        <v>3397871.2491700002</v>
      </c>
      <c r="AN229" s="311">
        <v>0</v>
      </c>
      <c r="AO229" s="311"/>
      <c r="AP229" s="311"/>
      <c r="AQ229" s="311"/>
      <c r="AR229" s="311"/>
      <c r="AS229" s="311"/>
      <c r="AT229" s="311"/>
      <c r="AU229" s="311"/>
      <c r="AV229" s="311"/>
      <c r="AW229" s="311"/>
      <c r="AX229" s="311"/>
      <c r="AY229" s="311"/>
      <c r="AZ229" s="311"/>
      <c r="BA229" s="311"/>
      <c r="BB229" s="311"/>
      <c r="BC229" s="311"/>
      <c r="BD229" s="311"/>
      <c r="BE229" s="311"/>
      <c r="BF229" s="311"/>
      <c r="BG229" s="311"/>
      <c r="BH229" s="311"/>
      <c r="BI229" s="311"/>
      <c r="BJ229" s="311"/>
      <c r="BK229" s="311"/>
    </row>
    <row r="230" spans="1:63" s="80" customFormat="1" ht="12.75">
      <c r="A230" s="167"/>
      <c r="B230" s="210" t="str">
        <f>Servicio_internaColumna_título_amortizaciones</f>
        <v>Amortizaciones</v>
      </c>
      <c r="C230" s="269">
        <v>0</v>
      </c>
      <c r="D230" s="235"/>
      <c r="E230" s="235"/>
      <c r="F230" s="235"/>
      <c r="G230" s="235"/>
      <c r="H230" s="235"/>
      <c r="I230" s="235">
        <v>882116.26465416083</v>
      </c>
      <c r="J230" s="235">
        <v>3675931.4597128434</v>
      </c>
      <c r="K230" s="235">
        <v>3479084.5273106205</v>
      </c>
      <c r="L230" s="235">
        <v>3919935.887808938</v>
      </c>
      <c r="M230" s="235">
        <v>2601521.6130103837</v>
      </c>
      <c r="N230" s="235">
        <v>4044199.2643059678</v>
      </c>
      <c r="O230" s="235">
        <v>3545720.4390979009</v>
      </c>
      <c r="P230" s="235">
        <v>4362035.7134114625</v>
      </c>
      <c r="Q230" s="235">
        <v>4939427.6850848058</v>
      </c>
      <c r="R230" s="235">
        <v>2061776.1740202608</v>
      </c>
      <c r="S230" s="273">
        <v>3575338.6526689683</v>
      </c>
      <c r="T230" s="235">
        <v>1203293.5715592082</v>
      </c>
      <c r="U230" s="235">
        <v>960511.55878371338</v>
      </c>
      <c r="V230" s="235">
        <v>2293941.6368773063</v>
      </c>
      <c r="W230" s="235">
        <v>552059.75024611515</v>
      </c>
      <c r="X230" s="235">
        <v>435086.3599373154</v>
      </c>
      <c r="Y230" s="235">
        <v>411346.47897297895</v>
      </c>
      <c r="Z230" s="235">
        <v>2436998.9181855773</v>
      </c>
      <c r="AA230" s="235">
        <v>162300.5540523096</v>
      </c>
      <c r="AB230" s="235">
        <v>116826.62387833479</v>
      </c>
      <c r="AC230" s="235">
        <v>396370.03671850293</v>
      </c>
      <c r="AD230" s="235">
        <v>87426.534860080006</v>
      </c>
      <c r="AE230" s="235">
        <v>60265.299996930211</v>
      </c>
      <c r="AF230" s="235">
        <v>43414.572630131392</v>
      </c>
      <c r="AG230" s="235">
        <v>31690.871755196098</v>
      </c>
      <c r="AH230" s="235">
        <v>4975.3983441206001</v>
      </c>
      <c r="AI230" s="235">
        <v>723681.75071412069</v>
      </c>
      <c r="AJ230" s="235">
        <v>4975.3983441206001</v>
      </c>
      <c r="AK230" s="235">
        <v>4975.3983441206001</v>
      </c>
      <c r="AL230" s="235">
        <v>4886.1878160991</v>
      </c>
      <c r="AM230" s="235">
        <v>3104104.8052880778</v>
      </c>
      <c r="AN230" s="235">
        <v>0</v>
      </c>
      <c r="AO230" s="235"/>
      <c r="AP230" s="235"/>
      <c r="AQ230" s="235"/>
      <c r="AR230" s="235"/>
      <c r="AS230" s="235"/>
      <c r="AT230" s="235"/>
      <c r="AU230" s="235"/>
      <c r="AV230" s="235"/>
      <c r="AW230" s="235"/>
      <c r="AX230" s="235"/>
      <c r="AY230" s="235"/>
      <c r="AZ230" s="235"/>
      <c r="BA230" s="235"/>
      <c r="BB230" s="235"/>
      <c r="BC230" s="235"/>
      <c r="BD230" s="235"/>
      <c r="BE230" s="235"/>
      <c r="BF230" s="235"/>
      <c r="BG230" s="235"/>
      <c r="BH230" s="235"/>
      <c r="BI230" s="235"/>
      <c r="BJ230" s="235"/>
      <c r="BK230" s="235"/>
    </row>
    <row r="231" spans="1:63" s="133" customFormat="1" ht="12.75">
      <c r="A231" s="168">
        <v>39202</v>
      </c>
      <c r="B231" s="213" t="str">
        <f>Servicio_internaColumna_título_intereses</f>
        <v>Intereses</v>
      </c>
      <c r="C231" s="270">
        <v>0</v>
      </c>
      <c r="D231" s="271"/>
      <c r="E231" s="271"/>
      <c r="F231" s="271"/>
      <c r="G231" s="271"/>
      <c r="H231" s="271"/>
      <c r="I231" s="271">
        <v>2459196.5334040751</v>
      </c>
      <c r="J231" s="271">
        <v>3804458.425828971</v>
      </c>
      <c r="K231" s="271">
        <v>3376417.1532559888</v>
      </c>
      <c r="L231" s="271">
        <v>3180210.809008806</v>
      </c>
      <c r="M231" s="271">
        <v>2805074.9814320351</v>
      </c>
      <c r="N231" s="271">
        <v>2516631.4396423753</v>
      </c>
      <c r="O231" s="271">
        <v>2238116.6115294411</v>
      </c>
      <c r="P231" s="271">
        <v>2032699.9268519622</v>
      </c>
      <c r="Q231" s="271">
        <v>1734226.0684807836</v>
      </c>
      <c r="R231" s="271">
        <v>1288281.2030460099</v>
      </c>
      <c r="S231" s="274">
        <v>1102532.1743902685</v>
      </c>
      <c r="T231" s="271">
        <v>946451.63924309413</v>
      </c>
      <c r="U231" s="272">
        <v>885662.4604621341</v>
      </c>
      <c r="V231" s="272">
        <v>741411.87514370459</v>
      </c>
      <c r="W231" s="272">
        <v>610920.70363223238</v>
      </c>
      <c r="X231" s="272">
        <v>584264.58017199358</v>
      </c>
      <c r="Y231" s="272">
        <v>562348.51950889535</v>
      </c>
      <c r="Z231" s="272">
        <v>456829.82414930261</v>
      </c>
      <c r="AA231" s="272">
        <v>356678.13550563547</v>
      </c>
      <c r="AB231" s="272">
        <v>349138.59515754343</v>
      </c>
      <c r="AC231" s="272">
        <v>330619.11740128498</v>
      </c>
      <c r="AD231" s="236">
        <v>312648.99085999111</v>
      </c>
      <c r="AE231" s="236">
        <v>308378.91899340326</v>
      </c>
      <c r="AF231" s="236">
        <v>305820.76987808303</v>
      </c>
      <c r="AG231" s="236">
        <v>304156.81168043148</v>
      </c>
      <c r="AH231" s="236">
        <v>303151.85216796165</v>
      </c>
      <c r="AI231" s="236">
        <v>265867.58855152852</v>
      </c>
      <c r="AJ231" s="236">
        <v>228580.17378921213</v>
      </c>
      <c r="AK231" s="236">
        <v>228578.81702942943</v>
      </c>
      <c r="AL231" s="236">
        <v>228577.46029075343</v>
      </c>
      <c r="AM231" s="236">
        <v>228573.952315</v>
      </c>
      <c r="AN231" s="236">
        <v>0</v>
      </c>
      <c r="AO231" s="236"/>
      <c r="AP231" s="236"/>
      <c r="AQ231" s="236"/>
      <c r="AR231" s="236"/>
      <c r="AS231" s="236"/>
      <c r="AT231" s="236"/>
      <c r="AU231" s="236"/>
      <c r="AV231" s="236"/>
      <c r="AW231" s="236"/>
      <c r="AX231" s="236"/>
      <c r="AY231" s="236"/>
      <c r="AZ231" s="236"/>
      <c r="BA231" s="236"/>
      <c r="BB231" s="236"/>
      <c r="BC231" s="236"/>
      <c r="BD231" s="236"/>
      <c r="BE231" s="236"/>
      <c r="BF231" s="236"/>
      <c r="BG231" s="236"/>
      <c r="BH231" s="236"/>
      <c r="BI231" s="236"/>
      <c r="BJ231" s="236"/>
      <c r="BK231" s="236"/>
    </row>
    <row r="232" spans="1:63" s="133" customFormat="1" ht="12.75">
      <c r="A232" s="169"/>
      <c r="B232" s="307" t="str">
        <f>Servicio_internaColumna_título_total</f>
        <v>Total</v>
      </c>
      <c r="C232" s="310">
        <v>0</v>
      </c>
      <c r="D232" s="311"/>
      <c r="E232" s="311"/>
      <c r="F232" s="311"/>
      <c r="G232" s="311"/>
      <c r="H232" s="311"/>
      <c r="I232" s="311">
        <v>3341312.798058236</v>
      </c>
      <c r="J232" s="311">
        <v>7480389.8855418144</v>
      </c>
      <c r="K232" s="311">
        <v>6855501.6805666089</v>
      </c>
      <c r="L232" s="311">
        <v>7100146.6968177445</v>
      </c>
      <c r="M232" s="311">
        <v>5406596.5944424188</v>
      </c>
      <c r="N232" s="311">
        <v>6560830.7039483432</v>
      </c>
      <c r="O232" s="311">
        <v>5783837.0506273415</v>
      </c>
      <c r="P232" s="311">
        <v>6394735.6402634252</v>
      </c>
      <c r="Q232" s="311">
        <v>6673653.753565589</v>
      </c>
      <c r="R232" s="311">
        <v>3350057.3770662704</v>
      </c>
      <c r="S232" s="312">
        <v>4677870.8270592373</v>
      </c>
      <c r="T232" s="311">
        <v>2149745.2108023022</v>
      </c>
      <c r="U232" s="311">
        <v>1846174.0192458476</v>
      </c>
      <c r="V232" s="311">
        <v>3035353.5120210107</v>
      </c>
      <c r="W232" s="311">
        <v>1162980.4538783475</v>
      </c>
      <c r="X232" s="311">
        <v>1019350.940109309</v>
      </c>
      <c r="Y232" s="311">
        <v>973694.99848187435</v>
      </c>
      <c r="Z232" s="311">
        <v>2893828.7423348799</v>
      </c>
      <c r="AA232" s="311">
        <v>518978.68955794506</v>
      </c>
      <c r="AB232" s="311">
        <v>465965.2190358782</v>
      </c>
      <c r="AC232" s="311">
        <v>726989.15411978797</v>
      </c>
      <c r="AD232" s="311">
        <v>400075.52572007111</v>
      </c>
      <c r="AE232" s="311">
        <v>368644.21899033349</v>
      </c>
      <c r="AF232" s="311">
        <v>349235.34250821441</v>
      </c>
      <c r="AG232" s="311">
        <v>335847.68343562755</v>
      </c>
      <c r="AH232" s="311">
        <v>308127.25051208225</v>
      </c>
      <c r="AI232" s="311">
        <v>989549.33926564921</v>
      </c>
      <c r="AJ232" s="311">
        <v>233555.57213333272</v>
      </c>
      <c r="AK232" s="311">
        <v>233554.21537355002</v>
      </c>
      <c r="AL232" s="311">
        <v>233463.64810685252</v>
      </c>
      <c r="AM232" s="311">
        <v>3332678.7576030777</v>
      </c>
      <c r="AN232" s="311">
        <v>0</v>
      </c>
      <c r="AO232" s="311"/>
      <c r="AP232" s="311"/>
      <c r="AQ232" s="311"/>
      <c r="AR232" s="311"/>
      <c r="AS232" s="311"/>
      <c r="AT232" s="311"/>
      <c r="AU232" s="311"/>
      <c r="AV232" s="311"/>
      <c r="AW232" s="311"/>
      <c r="AX232" s="311"/>
      <c r="AY232" s="311"/>
      <c r="AZ232" s="311"/>
      <c r="BA232" s="311"/>
      <c r="BB232" s="311"/>
      <c r="BC232" s="311"/>
      <c r="BD232" s="311"/>
      <c r="BE232" s="311"/>
      <c r="BF232" s="311"/>
      <c r="BG232" s="311"/>
      <c r="BH232" s="311"/>
      <c r="BI232" s="311"/>
      <c r="BJ232" s="311"/>
      <c r="BK232" s="311"/>
    </row>
    <row r="233" spans="1:63" s="80" customFormat="1" ht="12.75">
      <c r="A233" s="167"/>
      <c r="B233" s="210" t="str">
        <f>Servicio_internaColumna_título_amortizaciones</f>
        <v>Amortizaciones</v>
      </c>
      <c r="C233" s="269">
        <v>0</v>
      </c>
      <c r="D233" s="235"/>
      <c r="E233" s="235"/>
      <c r="F233" s="235"/>
      <c r="G233" s="235"/>
      <c r="H233" s="235"/>
      <c r="I233" s="235">
        <v>743208.78942952096</v>
      </c>
      <c r="J233" s="235">
        <v>3390606.6275697858</v>
      </c>
      <c r="K233" s="235">
        <v>3177375.761110846</v>
      </c>
      <c r="L233" s="235">
        <v>3605219.6916409079</v>
      </c>
      <c r="M233" s="235">
        <v>2384850.4751266125</v>
      </c>
      <c r="N233" s="235">
        <v>3693862.277430356</v>
      </c>
      <c r="O233" s="235">
        <v>3245121.4434645032</v>
      </c>
      <c r="P233" s="235">
        <v>4002193.7713704146</v>
      </c>
      <c r="Q233" s="235">
        <v>4584522.5168334031</v>
      </c>
      <c r="R233" s="235">
        <v>1891111.5716424952</v>
      </c>
      <c r="S233" s="273">
        <v>3271718.9190548216</v>
      </c>
      <c r="T233" s="235">
        <v>1100470.9930490728</v>
      </c>
      <c r="U233" s="235">
        <v>878665.72090214642</v>
      </c>
      <c r="V233" s="235">
        <v>2098359.9975265712</v>
      </c>
      <c r="W233" s="235">
        <v>503208.91746853286</v>
      </c>
      <c r="X233" s="235">
        <v>394324.83658192802</v>
      </c>
      <c r="Y233" s="235">
        <v>375303.4626412096</v>
      </c>
      <c r="Z233" s="235">
        <v>2230880.3898809697</v>
      </c>
      <c r="AA233" s="235">
        <v>150202.8563346304</v>
      </c>
      <c r="AB233" s="235">
        <v>108607.6337033888</v>
      </c>
      <c r="AC233" s="235">
        <v>364283.12280472397</v>
      </c>
      <c r="AD233" s="235">
        <v>81691.015830187229</v>
      </c>
      <c r="AE233" s="235">
        <v>56846.503672345614</v>
      </c>
      <c r="AF233" s="235">
        <v>41433.062308496003</v>
      </c>
      <c r="AG233" s="235">
        <v>30709.336734538399</v>
      </c>
      <c r="AH233" s="235">
        <v>6272.5647207423999</v>
      </c>
      <c r="AI233" s="235">
        <v>663676.72176074248</v>
      </c>
      <c r="AJ233" s="235">
        <v>6272.5647207423999</v>
      </c>
      <c r="AK233" s="235">
        <v>6272.5647207423999</v>
      </c>
      <c r="AL233" s="235">
        <v>6190.2047574200005</v>
      </c>
      <c r="AM233" s="235">
        <v>2841059.6207940979</v>
      </c>
      <c r="AN233" s="235">
        <v>0</v>
      </c>
      <c r="AO233" s="235"/>
      <c r="AP233" s="235"/>
      <c r="AQ233" s="235"/>
      <c r="AR233" s="235"/>
      <c r="AS233" s="235"/>
      <c r="AT233" s="235"/>
      <c r="AU233" s="235"/>
      <c r="AV233" s="235"/>
      <c r="AW233" s="235"/>
      <c r="AX233" s="235"/>
      <c r="AY233" s="235"/>
      <c r="AZ233" s="235"/>
      <c r="BA233" s="235"/>
      <c r="BB233" s="235"/>
      <c r="BC233" s="235"/>
      <c r="BD233" s="235"/>
      <c r="BE233" s="235"/>
      <c r="BF233" s="235"/>
      <c r="BG233" s="235"/>
      <c r="BH233" s="235"/>
      <c r="BI233" s="235"/>
      <c r="BJ233" s="235"/>
      <c r="BK233" s="235"/>
    </row>
    <row r="234" spans="1:63" s="133" customFormat="1" ht="12.75">
      <c r="A234" s="168">
        <v>39233</v>
      </c>
      <c r="B234" s="213" t="str">
        <f>Servicio_internaColumna_título_intereses</f>
        <v>Intereses</v>
      </c>
      <c r="C234" s="270">
        <v>0</v>
      </c>
      <c r="D234" s="271"/>
      <c r="E234" s="271"/>
      <c r="F234" s="271"/>
      <c r="G234" s="271"/>
      <c r="H234" s="271"/>
      <c r="I234" s="271">
        <v>1983857.5934369611</v>
      </c>
      <c r="J234" s="271">
        <v>3483317.6730405306</v>
      </c>
      <c r="K234" s="271">
        <v>3094819.3360164966</v>
      </c>
      <c r="L234" s="271">
        <v>2918606.2730012136</v>
      </c>
      <c r="M234" s="271">
        <v>2575842.1485653431</v>
      </c>
      <c r="N234" s="271">
        <v>2311281.1467395928</v>
      </c>
      <c r="O234" s="271">
        <v>2056455.5467191362</v>
      </c>
      <c r="P234" s="271">
        <v>1867912.7534697067</v>
      </c>
      <c r="Q234" s="271">
        <v>1594323.0388330431</v>
      </c>
      <c r="R234" s="271">
        <v>1178762.8488002999</v>
      </c>
      <c r="S234" s="274">
        <v>1008585.7501490182</v>
      </c>
      <c r="T234" s="271">
        <v>865723.89803326176</v>
      </c>
      <c r="U234" s="272">
        <v>810133.34618788888</v>
      </c>
      <c r="V234" s="272">
        <v>678184.14846619277</v>
      </c>
      <c r="W234" s="272">
        <v>558820.76896456082</v>
      </c>
      <c r="X234" s="272">
        <v>534436.20274989365</v>
      </c>
      <c r="Y234" s="272">
        <v>514387.99317437038</v>
      </c>
      <c r="Z234" s="272">
        <v>417868.16367794719</v>
      </c>
      <c r="AA234" s="272">
        <v>326257.58839368878</v>
      </c>
      <c r="AB234" s="272">
        <v>319359.8233633624</v>
      </c>
      <c r="AC234" s="272">
        <v>302419.00350280554</v>
      </c>
      <c r="AD234" s="236">
        <v>285981.63105549919</v>
      </c>
      <c r="AE234" s="236">
        <v>282075.76400585758</v>
      </c>
      <c r="AF234" s="236">
        <v>279735.80118105916</v>
      </c>
      <c r="AG234" s="236">
        <v>278213.7590505376</v>
      </c>
      <c r="AH234" s="236">
        <v>277294.50634117355</v>
      </c>
      <c r="AI234" s="236">
        <v>243190.39943621363</v>
      </c>
      <c r="AJ234" s="236">
        <v>209083.41025949121</v>
      </c>
      <c r="AK234" s="236">
        <v>209082.15769887203</v>
      </c>
      <c r="AL234" s="236">
        <v>209080.9051575592</v>
      </c>
      <c r="AM234" s="236">
        <v>209077.69348000002</v>
      </c>
      <c r="AN234" s="236">
        <v>0</v>
      </c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  <c r="BE234" s="236"/>
      <c r="BF234" s="236"/>
      <c r="BG234" s="236"/>
      <c r="BH234" s="236"/>
      <c r="BI234" s="236"/>
      <c r="BJ234" s="236"/>
      <c r="BK234" s="236"/>
    </row>
    <row r="235" spans="1:63" s="133" customFormat="1" ht="12.75">
      <c r="A235" s="169"/>
      <c r="B235" s="307" t="str">
        <f>Servicio_internaColumna_título_total</f>
        <v>Total</v>
      </c>
      <c r="C235" s="310">
        <v>0</v>
      </c>
      <c r="D235" s="311"/>
      <c r="E235" s="311"/>
      <c r="F235" s="311"/>
      <c r="G235" s="311"/>
      <c r="H235" s="311"/>
      <c r="I235" s="311">
        <v>2727066.3828664823</v>
      </c>
      <c r="J235" s="311">
        <v>6873924.3006103169</v>
      </c>
      <c r="K235" s="311">
        <v>6272195.0971273426</v>
      </c>
      <c r="L235" s="311">
        <v>6523825.9646421215</v>
      </c>
      <c r="M235" s="311">
        <v>4960692.6236919556</v>
      </c>
      <c r="N235" s="311">
        <v>6005143.4241699483</v>
      </c>
      <c r="O235" s="311">
        <v>5301576.9901836393</v>
      </c>
      <c r="P235" s="311">
        <v>5870106.5248401212</v>
      </c>
      <c r="Q235" s="311">
        <v>6178845.5556664467</v>
      </c>
      <c r="R235" s="311">
        <v>3069874.4204427954</v>
      </c>
      <c r="S235" s="312">
        <v>4280304.6692038402</v>
      </c>
      <c r="T235" s="311">
        <v>1966194.8910823346</v>
      </c>
      <c r="U235" s="311">
        <v>1688799.0670900354</v>
      </c>
      <c r="V235" s="311">
        <v>2776544.1459927638</v>
      </c>
      <c r="W235" s="311">
        <v>1062029.6864330936</v>
      </c>
      <c r="X235" s="311">
        <v>928761.03933182172</v>
      </c>
      <c r="Y235" s="311">
        <v>889691.45581557998</v>
      </c>
      <c r="Z235" s="311">
        <v>2648748.5535589168</v>
      </c>
      <c r="AA235" s="311">
        <v>476460.44472831918</v>
      </c>
      <c r="AB235" s="311">
        <v>427967.4570667512</v>
      </c>
      <c r="AC235" s="311">
        <v>666702.12630752951</v>
      </c>
      <c r="AD235" s="311">
        <v>367672.64688568644</v>
      </c>
      <c r="AE235" s="311">
        <v>338922.26767820318</v>
      </c>
      <c r="AF235" s="311">
        <v>321168.86348955514</v>
      </c>
      <c r="AG235" s="311">
        <v>308923.09578507597</v>
      </c>
      <c r="AH235" s="311">
        <v>283567.07106191595</v>
      </c>
      <c r="AI235" s="311">
        <v>906867.12119695614</v>
      </c>
      <c r="AJ235" s="311">
        <v>215355.97498023362</v>
      </c>
      <c r="AK235" s="311">
        <v>215354.72241961444</v>
      </c>
      <c r="AL235" s="311">
        <v>215271.1099149792</v>
      </c>
      <c r="AM235" s="311">
        <v>3050137.3142740978</v>
      </c>
      <c r="AN235" s="311">
        <v>0</v>
      </c>
      <c r="AO235" s="311"/>
      <c r="AP235" s="311"/>
      <c r="AQ235" s="311"/>
      <c r="AR235" s="311"/>
      <c r="AS235" s="311"/>
      <c r="AT235" s="311"/>
      <c r="AU235" s="311"/>
      <c r="AV235" s="311"/>
      <c r="AW235" s="311"/>
      <c r="AX235" s="311"/>
      <c r="AY235" s="311"/>
      <c r="AZ235" s="311"/>
      <c r="BA235" s="311"/>
      <c r="BB235" s="311"/>
      <c r="BC235" s="311"/>
      <c r="BD235" s="311"/>
      <c r="BE235" s="311"/>
      <c r="BF235" s="311"/>
      <c r="BG235" s="311"/>
      <c r="BH235" s="311"/>
      <c r="BI235" s="311"/>
      <c r="BJ235" s="311"/>
      <c r="BK235" s="311"/>
    </row>
    <row r="236" spans="1:63" s="80" customFormat="1" ht="12.75">
      <c r="A236" s="167"/>
      <c r="B236" s="210" t="str">
        <f>Servicio_internaColumna_título_amortizaciones</f>
        <v>Amortizaciones</v>
      </c>
      <c r="C236" s="269">
        <v>0</v>
      </c>
      <c r="D236" s="235"/>
      <c r="E236" s="235"/>
      <c r="F236" s="235"/>
      <c r="G236" s="235"/>
      <c r="H236" s="235"/>
      <c r="I236" s="235">
        <v>610651.97476192343</v>
      </c>
      <c r="J236" s="235">
        <v>3331391.6629501353</v>
      </c>
      <c r="K236" s="235">
        <v>2364258.8585045049</v>
      </c>
      <c r="L236" s="235">
        <v>3243255.7150501683</v>
      </c>
      <c r="M236" s="235">
        <v>2316767.4864902957</v>
      </c>
      <c r="N236" s="235">
        <v>3732058.7921225727</v>
      </c>
      <c r="O236" s="235">
        <v>3246250.6436596969</v>
      </c>
      <c r="P236" s="235">
        <v>4029884.4647133495</v>
      </c>
      <c r="Q236" s="235">
        <v>4874953.2901409091</v>
      </c>
      <c r="R236" s="235">
        <v>1874765.4496904023</v>
      </c>
      <c r="S236" s="273">
        <v>3263643.3073340342</v>
      </c>
      <c r="T236" s="235">
        <v>1181833.8647459594</v>
      </c>
      <c r="U236" s="235">
        <v>3229726.9768423173</v>
      </c>
      <c r="V236" s="235">
        <v>2141404.9748193193</v>
      </c>
      <c r="W236" s="235">
        <v>511046.19485597359</v>
      </c>
      <c r="X236" s="235">
        <v>400480.04545271752</v>
      </c>
      <c r="Y236" s="235">
        <v>381165.08125471813</v>
      </c>
      <c r="Z236" s="235">
        <v>2265584.609052645</v>
      </c>
      <c r="AA236" s="235">
        <v>152607.99041404019</v>
      </c>
      <c r="AB236" s="235">
        <v>110367.07059313176</v>
      </c>
      <c r="AC236" s="235">
        <v>2064033.2213875821</v>
      </c>
      <c r="AD236" s="235">
        <v>83047.586746470712</v>
      </c>
      <c r="AE236" s="235">
        <v>57817.404850234903</v>
      </c>
      <c r="AF236" s="235">
        <v>42164.6948724186</v>
      </c>
      <c r="AG236" s="235">
        <v>31274.501233963099</v>
      </c>
      <c r="AH236" s="235">
        <v>6368.9979026091996</v>
      </c>
      <c r="AI236" s="235">
        <v>673978.26961260918</v>
      </c>
      <c r="AJ236" s="235">
        <v>6368.9979026091996</v>
      </c>
      <c r="AK236" s="235">
        <v>6368.9979026091996</v>
      </c>
      <c r="AL236" s="235">
        <v>6285.8284538932994</v>
      </c>
      <c r="AM236" s="235">
        <v>2885162.3830051771</v>
      </c>
      <c r="AN236" s="235">
        <v>0</v>
      </c>
      <c r="AO236" s="235"/>
      <c r="AP236" s="235"/>
      <c r="AQ236" s="235"/>
      <c r="AR236" s="235"/>
      <c r="AS236" s="235"/>
      <c r="AT236" s="235"/>
      <c r="AU236" s="235"/>
      <c r="AV236" s="235"/>
      <c r="AW236" s="235"/>
      <c r="AX236" s="235"/>
      <c r="AY236" s="235"/>
      <c r="AZ236" s="235"/>
      <c r="BA236" s="235"/>
      <c r="BB236" s="235"/>
      <c r="BC236" s="235"/>
      <c r="BD236" s="235"/>
      <c r="BE236" s="235"/>
      <c r="BF236" s="235"/>
      <c r="BG236" s="235"/>
      <c r="BH236" s="235"/>
      <c r="BI236" s="235"/>
      <c r="BJ236" s="235"/>
      <c r="BK236" s="235"/>
    </row>
    <row r="237" spans="1:63" s="133" customFormat="1" ht="12.75">
      <c r="A237" s="168">
        <v>39263</v>
      </c>
      <c r="B237" s="213" t="str">
        <f>Servicio_internaColumna_título_intereses</f>
        <v>Intereses</v>
      </c>
      <c r="C237" s="270">
        <v>0</v>
      </c>
      <c r="D237" s="271"/>
      <c r="E237" s="271"/>
      <c r="F237" s="271"/>
      <c r="G237" s="271"/>
      <c r="H237" s="271"/>
      <c r="I237" s="271">
        <v>2034219.3340778104</v>
      </c>
      <c r="J237" s="271">
        <v>3684960.4346956732</v>
      </c>
      <c r="K237" s="271">
        <v>3347068.5227220207</v>
      </c>
      <c r="L237" s="271">
        <v>3232042.1491424572</v>
      </c>
      <c r="M237" s="271">
        <v>2945018.8206869238</v>
      </c>
      <c r="N237" s="271">
        <v>2697226.3112426805</v>
      </c>
      <c r="O237" s="271">
        <v>2444816.5190172549</v>
      </c>
      <c r="P237" s="271">
        <v>2254977.9767327583</v>
      </c>
      <c r="Q237" s="271">
        <v>1978207.2204484073</v>
      </c>
      <c r="R237" s="271">
        <v>1522681.5998843531</v>
      </c>
      <c r="S237" s="274">
        <v>1349841.8750157296</v>
      </c>
      <c r="T237" s="271">
        <v>1204058.1853968224</v>
      </c>
      <c r="U237" s="272">
        <v>1070199.9815275806</v>
      </c>
      <c r="V237" s="272">
        <v>860633.01053083863</v>
      </c>
      <c r="W237" s="272">
        <v>737473.04017074744</v>
      </c>
      <c r="X237" s="272">
        <v>711956.23756128014</v>
      </c>
      <c r="Y237" s="272">
        <v>690839.45012823516</v>
      </c>
      <c r="Z237" s="272">
        <v>592526.45087210287</v>
      </c>
      <c r="AA237" s="272">
        <v>498647.59383666044</v>
      </c>
      <c r="AB237" s="272">
        <v>491556.22578591789</v>
      </c>
      <c r="AC237" s="272">
        <v>474265.68665935233</v>
      </c>
      <c r="AD237" s="236">
        <v>290628.26485015434</v>
      </c>
      <c r="AE237" s="236">
        <v>286572.32669040863</v>
      </c>
      <c r="AF237" s="236">
        <v>284158.36356571218</v>
      </c>
      <c r="AG237" s="236">
        <v>282549.66245470109</v>
      </c>
      <c r="AH237" s="236">
        <v>281599.01556295884</v>
      </c>
      <c r="AI237" s="236">
        <v>246965.50587335759</v>
      </c>
      <c r="AJ237" s="236">
        <v>212329.069130269</v>
      </c>
      <c r="AK237" s="236">
        <v>212327.80424272752</v>
      </c>
      <c r="AL237" s="236">
        <v>212326.5393747921</v>
      </c>
      <c r="AM237" s="236">
        <v>212323.279645</v>
      </c>
      <c r="AN237" s="236">
        <v>0</v>
      </c>
      <c r="AO237" s="236"/>
      <c r="AP237" s="236"/>
      <c r="AQ237" s="236"/>
      <c r="AR237" s="236"/>
      <c r="AS237" s="236"/>
      <c r="AT237" s="236"/>
      <c r="AU237" s="236"/>
      <c r="AV237" s="236"/>
      <c r="AW237" s="236"/>
      <c r="AX237" s="236"/>
      <c r="AY237" s="236"/>
      <c r="AZ237" s="236"/>
      <c r="BA237" s="236"/>
      <c r="BB237" s="236"/>
      <c r="BC237" s="236"/>
      <c r="BD237" s="236"/>
      <c r="BE237" s="236"/>
      <c r="BF237" s="236"/>
      <c r="BG237" s="236"/>
      <c r="BH237" s="236"/>
      <c r="BI237" s="236"/>
      <c r="BJ237" s="236"/>
      <c r="BK237" s="236"/>
    </row>
    <row r="238" spans="1:63" s="133" customFormat="1" ht="12.75">
      <c r="A238" s="169"/>
      <c r="B238" s="307" t="str">
        <f>Servicio_internaColumna_título_total</f>
        <v>Total</v>
      </c>
      <c r="C238" s="310">
        <v>0</v>
      </c>
      <c r="D238" s="311"/>
      <c r="E238" s="311"/>
      <c r="F238" s="311"/>
      <c r="G238" s="311"/>
      <c r="H238" s="311"/>
      <c r="I238" s="311">
        <v>2644871.3088397337</v>
      </c>
      <c r="J238" s="311">
        <v>7016352.097645808</v>
      </c>
      <c r="K238" s="311">
        <v>5711327.3812265256</v>
      </c>
      <c r="L238" s="311">
        <v>6475297.8641926255</v>
      </c>
      <c r="M238" s="311">
        <v>5261786.3071772195</v>
      </c>
      <c r="N238" s="311">
        <v>6429285.1033652537</v>
      </c>
      <c r="O238" s="311">
        <v>5691067.1626769518</v>
      </c>
      <c r="P238" s="311">
        <v>6284862.4414461078</v>
      </c>
      <c r="Q238" s="311">
        <v>6853160.5105893165</v>
      </c>
      <c r="R238" s="311">
        <v>3397447.0495747551</v>
      </c>
      <c r="S238" s="312">
        <v>4613485.1823497638</v>
      </c>
      <c r="T238" s="311">
        <v>2385892.0501427818</v>
      </c>
      <c r="U238" s="311">
        <v>4299926.9583698977</v>
      </c>
      <c r="V238" s="311">
        <v>3002037.9853501581</v>
      </c>
      <c r="W238" s="311">
        <v>1248519.2350267209</v>
      </c>
      <c r="X238" s="311">
        <v>1112436.2830139976</v>
      </c>
      <c r="Y238" s="311">
        <v>1072004.5313829533</v>
      </c>
      <c r="Z238" s="311">
        <v>2858111.0599247478</v>
      </c>
      <c r="AA238" s="311">
        <v>651255.58425070066</v>
      </c>
      <c r="AB238" s="311">
        <v>601923.29637904966</v>
      </c>
      <c r="AC238" s="311">
        <v>2538298.9080469343</v>
      </c>
      <c r="AD238" s="311">
        <v>373675.85159662506</v>
      </c>
      <c r="AE238" s="311">
        <v>344389.73154064355</v>
      </c>
      <c r="AF238" s="311">
        <v>326323.05843813077</v>
      </c>
      <c r="AG238" s="311">
        <v>313824.16368866421</v>
      </c>
      <c r="AH238" s="311">
        <v>287968.01346556802</v>
      </c>
      <c r="AI238" s="311">
        <v>920943.77548596682</v>
      </c>
      <c r="AJ238" s="311">
        <v>218698.0670328782</v>
      </c>
      <c r="AK238" s="311">
        <v>218696.80214533673</v>
      </c>
      <c r="AL238" s="311">
        <v>218612.36782868541</v>
      </c>
      <c r="AM238" s="311">
        <v>3097485.6626501773</v>
      </c>
      <c r="AN238" s="311">
        <v>0</v>
      </c>
      <c r="AO238" s="311"/>
      <c r="AP238" s="311"/>
      <c r="AQ238" s="311"/>
      <c r="AR238" s="311"/>
      <c r="AS238" s="311"/>
      <c r="AT238" s="311"/>
      <c r="AU238" s="311"/>
      <c r="AV238" s="311"/>
      <c r="AW238" s="311"/>
      <c r="AX238" s="311"/>
      <c r="AY238" s="311"/>
      <c r="AZ238" s="311"/>
      <c r="BA238" s="311"/>
      <c r="BB238" s="311"/>
      <c r="BC238" s="311"/>
      <c r="BD238" s="311"/>
      <c r="BE238" s="311"/>
      <c r="BF238" s="311"/>
      <c r="BG238" s="311"/>
      <c r="BH238" s="311"/>
      <c r="BI238" s="311"/>
      <c r="BJ238" s="311"/>
      <c r="BK238" s="311"/>
    </row>
    <row r="239" spans="1:63" s="80" customFormat="1" ht="12.75">
      <c r="A239" s="167"/>
      <c r="B239" s="210" t="str">
        <f>Servicio_internaColumna_título_amortizaciones</f>
        <v>Amortizaciones</v>
      </c>
      <c r="C239" s="269">
        <v>0</v>
      </c>
      <c r="D239" s="235"/>
      <c r="E239" s="235"/>
      <c r="F239" s="235"/>
      <c r="G239" s="235"/>
      <c r="H239" s="235"/>
      <c r="I239" s="235">
        <v>453730.98282683606</v>
      </c>
      <c r="J239" s="235">
        <v>3349670.0922914934</v>
      </c>
      <c r="K239" s="235">
        <v>2377059.9190959637</v>
      </c>
      <c r="L239" s="235">
        <v>3261073.568795159</v>
      </c>
      <c r="M239" s="235">
        <v>2329297.4943362037</v>
      </c>
      <c r="N239" s="235">
        <v>3752666.4442597665</v>
      </c>
      <c r="O239" s="235">
        <v>3306757.0734955384</v>
      </c>
      <c r="P239" s="235">
        <v>4137534.8947239518</v>
      </c>
      <c r="Q239" s="235">
        <v>4987426.8722095611</v>
      </c>
      <c r="R239" s="235">
        <v>1980447.9695115292</v>
      </c>
      <c r="S239" s="273">
        <v>3356588.2548819054</v>
      </c>
      <c r="T239" s="235">
        <v>1157369.9569753015</v>
      </c>
      <c r="U239" s="235">
        <v>895711.44501277665</v>
      </c>
      <c r="V239" s="235">
        <v>2151699.1140990737</v>
      </c>
      <c r="W239" s="235">
        <v>543855.88793917</v>
      </c>
      <c r="X239" s="235">
        <v>402230.80479848792</v>
      </c>
      <c r="Y239" s="235">
        <v>382805.60223111592</v>
      </c>
      <c r="Z239" s="235">
        <v>2277980.2796495738</v>
      </c>
      <c r="AA239" s="235">
        <v>153478.98636635797</v>
      </c>
      <c r="AB239" s="235">
        <v>110996.98040756598</v>
      </c>
      <c r="AC239" s="235">
        <v>2075813.4998257563</v>
      </c>
      <c r="AD239" s="235">
        <v>83521.573136948005</v>
      </c>
      <c r="AE239" s="235">
        <v>58147.392314144003</v>
      </c>
      <c r="AF239" s="235">
        <v>42405.346062058001</v>
      </c>
      <c r="AG239" s="235">
        <v>31452.997553378002</v>
      </c>
      <c r="AH239" s="235">
        <v>6405.3483682959995</v>
      </c>
      <c r="AI239" s="235">
        <v>677824.93816829601</v>
      </c>
      <c r="AJ239" s="235">
        <v>6405.3483682959995</v>
      </c>
      <c r="AK239" s="235">
        <v>6405.3483682959995</v>
      </c>
      <c r="AL239" s="235">
        <v>6321.7042376539994</v>
      </c>
      <c r="AM239" s="235">
        <v>2901629.1801070119</v>
      </c>
      <c r="AN239" s="235">
        <v>0</v>
      </c>
      <c r="AO239" s="235"/>
      <c r="AP239" s="235"/>
      <c r="AQ239" s="235"/>
      <c r="AR239" s="235"/>
      <c r="AS239" s="235"/>
      <c r="AT239" s="235"/>
      <c r="AU239" s="235"/>
      <c r="AV239" s="235"/>
      <c r="AW239" s="235"/>
      <c r="AX239" s="235"/>
      <c r="AY239" s="235"/>
      <c r="AZ239" s="235"/>
      <c r="BA239" s="235"/>
      <c r="BB239" s="235"/>
      <c r="BC239" s="235"/>
      <c r="BD239" s="235"/>
      <c r="BE239" s="235"/>
      <c r="BF239" s="235"/>
      <c r="BG239" s="235"/>
      <c r="BH239" s="235"/>
      <c r="BI239" s="235"/>
      <c r="BJ239" s="235"/>
      <c r="BK239" s="235"/>
    </row>
    <row r="240" spans="1:63" s="133" customFormat="1" ht="12.75">
      <c r="A240" s="168">
        <v>39294</v>
      </c>
      <c r="B240" s="213" t="str">
        <f>Servicio_internaColumna_título_intereses</f>
        <v>Intereses</v>
      </c>
      <c r="C240" s="270">
        <v>0</v>
      </c>
      <c r="D240" s="271"/>
      <c r="E240" s="271"/>
      <c r="F240" s="271"/>
      <c r="G240" s="271"/>
      <c r="H240" s="271"/>
      <c r="I240" s="271">
        <v>1760556.2447518201</v>
      </c>
      <c r="J240" s="271">
        <v>3737742.6861148626</v>
      </c>
      <c r="K240" s="271">
        <v>3404131.3395345029</v>
      </c>
      <c r="L240" s="271">
        <v>3291670.2518220218</v>
      </c>
      <c r="M240" s="271">
        <v>3021035.4179304074</v>
      </c>
      <c r="N240" s="271">
        <v>2770294.3443359574</v>
      </c>
      <c r="O240" s="271">
        <v>2498032.303651758</v>
      </c>
      <c r="P240" s="271">
        <v>2297909.7844610852</v>
      </c>
      <c r="Q240" s="271">
        <v>2014886.2112048334</v>
      </c>
      <c r="R240" s="271">
        <v>1563668.2327408302</v>
      </c>
      <c r="S240" s="274">
        <v>1383422.6334330877</v>
      </c>
      <c r="T240" s="271">
        <v>1235532.923098658</v>
      </c>
      <c r="U240" s="272">
        <v>1097760.895513234</v>
      </c>
      <c r="V240" s="272">
        <v>882773.8070587999</v>
      </c>
      <c r="W240" s="272">
        <v>753769.378905916</v>
      </c>
      <c r="X240" s="272">
        <v>721017.40176821197</v>
      </c>
      <c r="Y240" s="272">
        <v>698640.69067255792</v>
      </c>
      <c r="Z240" s="272">
        <v>598496.24475910387</v>
      </c>
      <c r="AA240" s="272">
        <v>503245.58264635003</v>
      </c>
      <c r="AB240" s="272">
        <v>495687.66849431192</v>
      </c>
      <c r="AC240" s="272">
        <v>477907.27673302795</v>
      </c>
      <c r="AD240" s="236">
        <v>292950.521937766</v>
      </c>
      <c r="AE240" s="236">
        <v>288600.54977160197</v>
      </c>
      <c r="AF240" s="236">
        <v>285965.65123695595</v>
      </c>
      <c r="AG240" s="236">
        <v>284231.79443581798</v>
      </c>
      <c r="AH240" s="236">
        <v>283206.21586498199</v>
      </c>
      <c r="AI240" s="236">
        <v>248375.03862628798</v>
      </c>
      <c r="AJ240" s="236">
        <v>213540.91762822002</v>
      </c>
      <c r="AK240" s="236">
        <v>213539.64552145003</v>
      </c>
      <c r="AL240" s="236">
        <v>213538.373434398</v>
      </c>
      <c r="AM240" s="236">
        <v>213535.09510000001</v>
      </c>
      <c r="AN240" s="236">
        <v>0</v>
      </c>
      <c r="AO240" s="236"/>
      <c r="AP240" s="236"/>
      <c r="AQ240" s="236"/>
      <c r="AR240" s="236"/>
      <c r="AS240" s="236"/>
      <c r="AT240" s="236"/>
      <c r="AU240" s="236"/>
      <c r="AV240" s="236"/>
      <c r="AW240" s="236"/>
      <c r="AX240" s="236"/>
      <c r="AY240" s="236"/>
      <c r="AZ240" s="236"/>
      <c r="BA240" s="236"/>
      <c r="BB240" s="236"/>
      <c r="BC240" s="236"/>
      <c r="BD240" s="236"/>
      <c r="BE240" s="236"/>
      <c r="BF240" s="236"/>
      <c r="BG240" s="236"/>
      <c r="BH240" s="236"/>
      <c r="BI240" s="236"/>
      <c r="BJ240" s="236"/>
      <c r="BK240" s="236"/>
    </row>
    <row r="241" spans="1:63" s="133" customFormat="1" ht="12.75">
      <c r="A241" s="169"/>
      <c r="B241" s="307" t="str">
        <f>Servicio_internaColumna_título_total</f>
        <v>Total</v>
      </c>
      <c r="C241" s="310">
        <v>0</v>
      </c>
      <c r="D241" s="311"/>
      <c r="E241" s="311"/>
      <c r="F241" s="311"/>
      <c r="G241" s="311"/>
      <c r="H241" s="311"/>
      <c r="I241" s="311">
        <v>2214287.2275786563</v>
      </c>
      <c r="J241" s="311">
        <v>7087412.7784063555</v>
      </c>
      <c r="K241" s="311">
        <v>5781191.2586304666</v>
      </c>
      <c r="L241" s="311">
        <v>6552743.8206171803</v>
      </c>
      <c r="M241" s="311">
        <v>5350332.9122666111</v>
      </c>
      <c r="N241" s="311">
        <v>6522960.7885957239</v>
      </c>
      <c r="O241" s="311">
        <v>5804789.3771472964</v>
      </c>
      <c r="P241" s="311">
        <v>6435444.6791850366</v>
      </c>
      <c r="Q241" s="311">
        <v>7002313.0834143944</v>
      </c>
      <c r="R241" s="311">
        <v>3544116.2022523591</v>
      </c>
      <c r="S241" s="312">
        <v>4740010.8883149931</v>
      </c>
      <c r="T241" s="311">
        <v>2392902.8800739595</v>
      </c>
      <c r="U241" s="311">
        <v>1993472.3405260106</v>
      </c>
      <c r="V241" s="311">
        <v>3034472.9211578737</v>
      </c>
      <c r="W241" s="311">
        <v>1297625.2668450861</v>
      </c>
      <c r="X241" s="311">
        <v>1123248.2065666998</v>
      </c>
      <c r="Y241" s="311">
        <v>1081446.2929036738</v>
      </c>
      <c r="Z241" s="311">
        <v>2876476.5244086776</v>
      </c>
      <c r="AA241" s="311">
        <v>656724.56901270803</v>
      </c>
      <c r="AB241" s="311">
        <v>606684.64890187792</v>
      </c>
      <c r="AC241" s="311">
        <v>2553720.7765587843</v>
      </c>
      <c r="AD241" s="311">
        <v>376472.09507471399</v>
      </c>
      <c r="AE241" s="311">
        <v>346747.94208574598</v>
      </c>
      <c r="AF241" s="311">
        <v>328370.99729901395</v>
      </c>
      <c r="AG241" s="311">
        <v>315684.79198919598</v>
      </c>
      <c r="AH241" s="311">
        <v>289611.56423327798</v>
      </c>
      <c r="AI241" s="311">
        <v>926199.97679458396</v>
      </c>
      <c r="AJ241" s="311">
        <v>219946.26599651601</v>
      </c>
      <c r="AK241" s="311">
        <v>219944.99388974602</v>
      </c>
      <c r="AL241" s="311">
        <v>219860.07767205199</v>
      </c>
      <c r="AM241" s="311">
        <v>3115164.275207012</v>
      </c>
      <c r="AN241" s="311">
        <v>0</v>
      </c>
      <c r="AO241" s="311"/>
      <c r="AP241" s="311"/>
      <c r="AQ241" s="311"/>
      <c r="AR241" s="311"/>
      <c r="AS241" s="311"/>
      <c r="AT241" s="311"/>
      <c r="AU241" s="311"/>
      <c r="AV241" s="311"/>
      <c r="AW241" s="311"/>
      <c r="AX241" s="311"/>
      <c r="AY241" s="311"/>
      <c r="AZ241" s="311"/>
      <c r="BA241" s="311"/>
      <c r="BB241" s="311"/>
      <c r="BC241" s="311"/>
      <c r="BD241" s="311"/>
      <c r="BE241" s="311"/>
      <c r="BF241" s="311"/>
      <c r="BG241" s="311"/>
      <c r="BH241" s="311"/>
      <c r="BI241" s="311"/>
      <c r="BJ241" s="311"/>
      <c r="BK241" s="311"/>
    </row>
    <row r="242" spans="1:63" s="80" customFormat="1" ht="12.75">
      <c r="A242" s="167"/>
      <c r="B242" s="210" t="str">
        <f>Servicio_internaColumna_título_amortizaciones</f>
        <v>Amortizaciones</v>
      </c>
      <c r="C242" s="269">
        <v>0</v>
      </c>
      <c r="D242" s="235"/>
      <c r="E242" s="235"/>
      <c r="F242" s="235"/>
      <c r="G242" s="235"/>
      <c r="H242" s="235"/>
      <c r="I242" s="235">
        <v>417489.39281298715</v>
      </c>
      <c r="J242" s="235">
        <v>3654602.0826224927</v>
      </c>
      <c r="K242" s="235">
        <v>2563846.5446215197</v>
      </c>
      <c r="L242" s="235">
        <v>3571529.2065748004</v>
      </c>
      <c r="M242" s="235">
        <v>2526234.7588993753</v>
      </c>
      <c r="N242" s="235">
        <v>4108118.640618288</v>
      </c>
      <c r="O242" s="235">
        <v>3598063.0585510852</v>
      </c>
      <c r="P242" s="235">
        <v>4508283.6618609121</v>
      </c>
      <c r="Q242" s="235">
        <v>5458294.9957227167</v>
      </c>
      <c r="R242" s="235">
        <v>2128624.6947042774</v>
      </c>
      <c r="S242" s="273">
        <v>3665711.7999575282</v>
      </c>
      <c r="T242" s="235">
        <v>1229456.4405185608</v>
      </c>
      <c r="U242" s="235">
        <v>988478.3191985148</v>
      </c>
      <c r="V242" s="235">
        <v>2372819.3926355699</v>
      </c>
      <c r="W242" s="235">
        <v>566749.95011084154</v>
      </c>
      <c r="X242" s="235">
        <v>443191.3941695508</v>
      </c>
      <c r="Y242" s="235">
        <v>421785.27999843808</v>
      </c>
      <c r="Z242" s="235">
        <v>2518263.1882312368</v>
      </c>
      <c r="AA242" s="235">
        <v>168996.7620261288</v>
      </c>
      <c r="AB242" s="235">
        <v>122175.8336956101</v>
      </c>
      <c r="AC242" s="235">
        <v>2299094.05083434</v>
      </c>
      <c r="AD242" s="235">
        <v>91954.019999991302</v>
      </c>
      <c r="AE242" s="235">
        <v>63984.662043067197</v>
      </c>
      <c r="AF242" s="235">
        <v>46638.799798987799</v>
      </c>
      <c r="AG242" s="235">
        <v>34567.942680811793</v>
      </c>
      <c r="AH242" s="235">
        <v>7061.3857670136003</v>
      </c>
      <c r="AI242" s="235">
        <v>747049.67563701374</v>
      </c>
      <c r="AJ242" s="235">
        <v>7061.3857670136003</v>
      </c>
      <c r="AK242" s="235">
        <v>7061.3857670136003</v>
      </c>
      <c r="AL242" s="235">
        <v>6968.2537625906989</v>
      </c>
      <c r="AM242" s="235">
        <v>3197957.9497581678</v>
      </c>
      <c r="AN242" s="235">
        <v>0</v>
      </c>
      <c r="AO242" s="235"/>
      <c r="AP242" s="235"/>
      <c r="AQ242" s="235"/>
      <c r="AR242" s="235"/>
      <c r="AS242" s="235"/>
      <c r="AT242" s="235"/>
      <c r="AU242" s="235"/>
      <c r="AV242" s="235"/>
      <c r="AW242" s="235"/>
      <c r="AX242" s="235"/>
      <c r="AY242" s="235"/>
      <c r="AZ242" s="235"/>
      <c r="BA242" s="235"/>
      <c r="BB242" s="235"/>
      <c r="BC242" s="235"/>
      <c r="BD242" s="235"/>
      <c r="BE242" s="235"/>
      <c r="BF242" s="235"/>
      <c r="BG242" s="235"/>
      <c r="BH242" s="235"/>
      <c r="BI242" s="235"/>
      <c r="BJ242" s="235"/>
      <c r="BK242" s="235"/>
    </row>
    <row r="243" spans="1:63" s="133" customFormat="1" ht="12.75">
      <c r="A243" s="168">
        <v>39325</v>
      </c>
      <c r="B243" s="213" t="str">
        <f>Servicio_internaColumna_título_intereses</f>
        <v>Intereses</v>
      </c>
      <c r="C243" s="270">
        <v>0</v>
      </c>
      <c r="D243" s="271"/>
      <c r="E243" s="271"/>
      <c r="F243" s="271"/>
      <c r="G243" s="271"/>
      <c r="H243" s="271"/>
      <c r="I243" s="271">
        <v>1504316.3061204865</v>
      </c>
      <c r="J243" s="271">
        <v>4017396.5603321125</v>
      </c>
      <c r="K243" s="271">
        <v>3685311.9894743087</v>
      </c>
      <c r="L243" s="271">
        <v>3587751.6372434343</v>
      </c>
      <c r="M243" s="271">
        <v>3278805.8545610565</v>
      </c>
      <c r="N243" s="271">
        <v>3000976.0515177939</v>
      </c>
      <c r="O243" s="271">
        <v>2695132.3793236911</v>
      </c>
      <c r="P243" s="271">
        <v>2475807.0630009156</v>
      </c>
      <c r="Q243" s="271">
        <v>2166456.2958765072</v>
      </c>
      <c r="R243" s="271">
        <v>1669678.1951231856</v>
      </c>
      <c r="S243" s="274">
        <v>1475127.1672055065</v>
      </c>
      <c r="T243" s="271">
        <v>1312976.0083130698</v>
      </c>
      <c r="U243" s="272">
        <v>1182034.8667762305</v>
      </c>
      <c r="V243" s="272">
        <v>965413.71026864729</v>
      </c>
      <c r="W243" s="272">
        <v>827416.92819605512</v>
      </c>
      <c r="X243" s="272">
        <v>795474.78494925739</v>
      </c>
      <c r="Y243" s="272">
        <v>770909.85676471877</v>
      </c>
      <c r="Z243" s="272">
        <v>660628.81267034728</v>
      </c>
      <c r="AA243" s="272">
        <v>555716.99059622944</v>
      </c>
      <c r="AB243" s="272">
        <v>547395.3212848953</v>
      </c>
      <c r="AC243" s="272">
        <v>527806.629880197</v>
      </c>
      <c r="AD243" s="236">
        <v>322845.63193729141</v>
      </c>
      <c r="AE243" s="236">
        <v>318057.46187600697</v>
      </c>
      <c r="AF243" s="236">
        <v>315159.46007778984</v>
      </c>
      <c r="AG243" s="236">
        <v>313254.51880064787</v>
      </c>
      <c r="AH243" s="236">
        <v>312128.70119319897</v>
      </c>
      <c r="AI243" s="236">
        <v>273740.37678707729</v>
      </c>
      <c r="AJ243" s="236">
        <v>235348.80809892603</v>
      </c>
      <c r="AK243" s="236">
        <v>235347.39169191511</v>
      </c>
      <c r="AL243" s="236">
        <v>235345.97532836764</v>
      </c>
      <c r="AM243" s="236">
        <v>235342.358565</v>
      </c>
      <c r="AN243" s="236">
        <v>0</v>
      </c>
      <c r="AO243" s="236"/>
      <c r="AP243" s="236"/>
      <c r="AQ243" s="236"/>
      <c r="AR243" s="236"/>
      <c r="AS243" s="236"/>
      <c r="AT243" s="236"/>
      <c r="AU243" s="236"/>
      <c r="AV243" s="236"/>
      <c r="AW243" s="236"/>
      <c r="AX243" s="236"/>
      <c r="AY243" s="236"/>
      <c r="AZ243" s="236"/>
      <c r="BA243" s="236"/>
      <c r="BB243" s="236"/>
      <c r="BC243" s="236"/>
      <c r="BD243" s="236"/>
      <c r="BE243" s="236"/>
      <c r="BF243" s="236"/>
      <c r="BG243" s="236"/>
      <c r="BH243" s="236"/>
      <c r="BI243" s="236"/>
      <c r="BJ243" s="236"/>
      <c r="BK243" s="236"/>
    </row>
    <row r="244" spans="1:63" s="133" customFormat="1" ht="12.75">
      <c r="A244" s="169"/>
      <c r="B244" s="307" t="str">
        <f>Servicio_internaColumna_título_total</f>
        <v>Total</v>
      </c>
      <c r="C244" s="310">
        <v>0</v>
      </c>
      <c r="D244" s="311"/>
      <c r="E244" s="311"/>
      <c r="F244" s="311"/>
      <c r="G244" s="311"/>
      <c r="H244" s="311"/>
      <c r="I244" s="311">
        <v>1921805.6989334736</v>
      </c>
      <c r="J244" s="311">
        <v>7671998.6429546047</v>
      </c>
      <c r="K244" s="311">
        <v>6249158.5340958284</v>
      </c>
      <c r="L244" s="311">
        <v>7159280.8438182343</v>
      </c>
      <c r="M244" s="311">
        <v>5805040.6134604318</v>
      </c>
      <c r="N244" s="311">
        <v>7109094.6921360819</v>
      </c>
      <c r="O244" s="311">
        <v>6293195.4378747763</v>
      </c>
      <c r="P244" s="311">
        <v>6984090.7248618277</v>
      </c>
      <c r="Q244" s="311">
        <v>7624751.2915992234</v>
      </c>
      <c r="R244" s="311">
        <v>3798302.8898274628</v>
      </c>
      <c r="S244" s="312">
        <v>5140838.9671630347</v>
      </c>
      <c r="T244" s="311">
        <v>2542432.4488316309</v>
      </c>
      <c r="U244" s="311">
        <v>2170513.1859747451</v>
      </c>
      <c r="V244" s="311">
        <v>3338233.1029042173</v>
      </c>
      <c r="W244" s="311">
        <v>1394166.8783068967</v>
      </c>
      <c r="X244" s="311">
        <v>1238666.1791188081</v>
      </c>
      <c r="Y244" s="311">
        <v>1192695.1367631569</v>
      </c>
      <c r="Z244" s="311">
        <v>3178892.000901584</v>
      </c>
      <c r="AA244" s="311">
        <v>724713.75262235827</v>
      </c>
      <c r="AB244" s="311">
        <v>669571.15498050535</v>
      </c>
      <c r="AC244" s="311">
        <v>2826900.6807145369</v>
      </c>
      <c r="AD244" s="311">
        <v>414799.6519372827</v>
      </c>
      <c r="AE244" s="311">
        <v>382042.12391907419</v>
      </c>
      <c r="AF244" s="311">
        <v>361798.25987677765</v>
      </c>
      <c r="AG244" s="311">
        <v>347822.46148145967</v>
      </c>
      <c r="AH244" s="311">
        <v>319190.08696021256</v>
      </c>
      <c r="AI244" s="311">
        <v>1020790.052424091</v>
      </c>
      <c r="AJ244" s="311">
        <v>242410.19386593963</v>
      </c>
      <c r="AK244" s="311">
        <v>242408.7774589287</v>
      </c>
      <c r="AL244" s="311">
        <v>242314.22909095834</v>
      </c>
      <c r="AM244" s="311">
        <v>3433300.3083231677</v>
      </c>
      <c r="AN244" s="311">
        <v>0</v>
      </c>
      <c r="AO244" s="311"/>
      <c r="AP244" s="311"/>
      <c r="AQ244" s="311"/>
      <c r="AR244" s="311"/>
      <c r="AS244" s="311"/>
      <c r="AT244" s="311"/>
      <c r="AU244" s="311"/>
      <c r="AV244" s="311"/>
      <c r="AW244" s="311"/>
      <c r="AX244" s="311"/>
      <c r="AY244" s="311"/>
      <c r="AZ244" s="311"/>
      <c r="BA244" s="311"/>
      <c r="BB244" s="311"/>
      <c r="BC244" s="311"/>
      <c r="BD244" s="311"/>
      <c r="BE244" s="311"/>
      <c r="BF244" s="311"/>
      <c r="BG244" s="311"/>
      <c r="BH244" s="311"/>
      <c r="BI244" s="311"/>
      <c r="BJ244" s="311"/>
      <c r="BK244" s="311"/>
    </row>
    <row r="245" spans="1:63" s="80" customFormat="1" ht="12.75">
      <c r="A245" s="167"/>
      <c r="B245" s="210" t="str">
        <f>Servicio_internaColumna_título_amortizaciones</f>
        <v>Amortizaciones</v>
      </c>
      <c r="C245" s="269">
        <v>0</v>
      </c>
      <c r="D245" s="235"/>
      <c r="E245" s="235"/>
      <c r="F245" s="235"/>
      <c r="G245" s="235"/>
      <c r="H245" s="235"/>
      <c r="I245" s="235">
        <v>227758.02019670964</v>
      </c>
      <c r="J245" s="235">
        <v>3392550.8459847607</v>
      </c>
      <c r="K245" s="235">
        <v>2386390.1620019996</v>
      </c>
      <c r="L245" s="235">
        <v>3220132.5795528535</v>
      </c>
      <c r="M245" s="235">
        <v>2344121.3209261247</v>
      </c>
      <c r="N245" s="235">
        <v>3832080.9087724551</v>
      </c>
      <c r="O245" s="235">
        <v>3421812.7442203145</v>
      </c>
      <c r="P245" s="235">
        <v>4144735.3743599541</v>
      </c>
      <c r="Q245" s="235">
        <v>4814488.1512246551</v>
      </c>
      <c r="R245" s="235">
        <v>2001730.3043066843</v>
      </c>
      <c r="S245" s="273">
        <v>3444555.0274564377</v>
      </c>
      <c r="T245" s="235">
        <v>1182609.6765889991</v>
      </c>
      <c r="U245" s="235">
        <v>959346.68636175187</v>
      </c>
      <c r="V245" s="235">
        <v>2268380.5721175298</v>
      </c>
      <c r="W245" s="235">
        <v>586956.1736688026</v>
      </c>
      <c r="X245" s="235">
        <v>431487.34948782576</v>
      </c>
      <c r="Y245" s="235">
        <v>411563.96793620283</v>
      </c>
      <c r="Z245" s="235">
        <v>2343122.8340325123</v>
      </c>
      <c r="AA245" s="235">
        <v>155989.39278884779</v>
      </c>
      <c r="AB245" s="235">
        <v>113748.76438940689</v>
      </c>
      <c r="AC245" s="235">
        <v>1960533.2769030721</v>
      </c>
      <c r="AD245" s="235">
        <v>85608.162036003108</v>
      </c>
      <c r="AE245" s="235">
        <v>59569.092232504401</v>
      </c>
      <c r="AF245" s="235">
        <v>43420.344074928602</v>
      </c>
      <c r="AG245" s="235">
        <v>32182.549786896598</v>
      </c>
      <c r="AH245" s="235">
        <v>6574.3410952492004</v>
      </c>
      <c r="AI245" s="235">
        <v>695492.79118524923</v>
      </c>
      <c r="AJ245" s="235">
        <v>6574.3410952492004</v>
      </c>
      <c r="AK245" s="235">
        <v>6574.3410952492004</v>
      </c>
      <c r="AL245" s="235">
        <v>6487.4902625818995</v>
      </c>
      <c r="AM245" s="235">
        <v>2977252.8354299148</v>
      </c>
      <c r="AN245" s="235">
        <v>0</v>
      </c>
      <c r="AO245" s="235"/>
      <c r="AP245" s="235"/>
      <c r="AQ245" s="235"/>
      <c r="AR245" s="235"/>
      <c r="AS245" s="235"/>
      <c r="AT245" s="235"/>
      <c r="AU245" s="235"/>
      <c r="AV245" s="235"/>
      <c r="AW245" s="235"/>
      <c r="AX245" s="235"/>
      <c r="AY245" s="235"/>
      <c r="AZ245" s="235"/>
      <c r="BA245" s="235"/>
      <c r="BB245" s="235"/>
      <c r="BC245" s="235"/>
      <c r="BD245" s="235"/>
      <c r="BE245" s="235"/>
      <c r="BF245" s="235"/>
      <c r="BG245" s="235"/>
      <c r="BH245" s="235"/>
      <c r="BI245" s="235"/>
      <c r="BJ245" s="235"/>
      <c r="BK245" s="235"/>
    </row>
    <row r="246" spans="1:63" s="133" customFormat="1" ht="12.75">
      <c r="A246" s="168">
        <v>39355</v>
      </c>
      <c r="B246" s="213" t="str">
        <f>Servicio_internaColumna_título_intereses</f>
        <v>Intereses</v>
      </c>
      <c r="C246" s="270">
        <v>0</v>
      </c>
      <c r="D246" s="271"/>
      <c r="E246" s="271"/>
      <c r="F246" s="271"/>
      <c r="G246" s="271"/>
      <c r="H246" s="271"/>
      <c r="I246" s="271">
        <v>956049.06154629553</v>
      </c>
      <c r="J246" s="271">
        <v>3681112.2542525851</v>
      </c>
      <c r="K246" s="271">
        <v>3321760.6294573029</v>
      </c>
      <c r="L246" s="271">
        <v>3186113.7706458317</v>
      </c>
      <c r="M246" s="271">
        <v>2927304.0827220744</v>
      </c>
      <c r="N246" s="271">
        <v>2669401.9048465053</v>
      </c>
      <c r="O246" s="271">
        <v>2385285.2699015858</v>
      </c>
      <c r="P246" s="271">
        <v>2176876.3748134542</v>
      </c>
      <c r="Q246" s="271">
        <v>1887070.0418985856</v>
      </c>
      <c r="R246" s="271">
        <v>1449774.8341157043</v>
      </c>
      <c r="S246" s="274">
        <v>1259204.2614694592</v>
      </c>
      <c r="T246" s="271">
        <v>1100572.1030850457</v>
      </c>
      <c r="U246" s="272">
        <v>1033506.8586085022</v>
      </c>
      <c r="V246" s="272">
        <v>890081.72455179249</v>
      </c>
      <c r="W246" s="272">
        <v>757807.1179218879</v>
      </c>
      <c r="X246" s="272">
        <v>724911.94275375723</v>
      </c>
      <c r="Y246" s="272">
        <v>700840.51636996795</v>
      </c>
      <c r="Z246" s="272">
        <v>597190.82412494323</v>
      </c>
      <c r="AA246" s="272">
        <v>499612.37793097802</v>
      </c>
      <c r="AB246" s="272">
        <v>491897.99632077909</v>
      </c>
      <c r="AC246" s="272">
        <v>473661.00467379851</v>
      </c>
      <c r="AD246" s="236">
        <v>300564.65628068883</v>
      </c>
      <c r="AE246" s="236">
        <v>296106.93656497326</v>
      </c>
      <c r="AF246" s="236">
        <v>293408.93636501458</v>
      </c>
      <c r="AG246" s="236">
        <v>291635.46124114346</v>
      </c>
      <c r="AH246" s="236">
        <v>290587.33904285409</v>
      </c>
      <c r="AI246" s="236">
        <v>254848.3591289194</v>
      </c>
      <c r="AJ246" s="236">
        <v>219106.35889579324</v>
      </c>
      <c r="AK246" s="236">
        <v>219105.03801573793</v>
      </c>
      <c r="AL246" s="236">
        <v>219103.71717614643</v>
      </c>
      <c r="AM246" s="236">
        <v>219100.34945500002</v>
      </c>
      <c r="AN246" s="236">
        <v>0</v>
      </c>
      <c r="AO246" s="236"/>
      <c r="AP246" s="236"/>
      <c r="AQ246" s="236"/>
      <c r="AR246" s="236"/>
      <c r="AS246" s="236"/>
      <c r="AT246" s="236"/>
      <c r="AU246" s="236"/>
      <c r="AV246" s="236"/>
      <c r="AW246" s="236"/>
      <c r="AX246" s="236"/>
      <c r="AY246" s="236"/>
      <c r="AZ246" s="236"/>
      <c r="BA246" s="236"/>
      <c r="BB246" s="236"/>
      <c r="BC246" s="236"/>
      <c r="BD246" s="236"/>
      <c r="BE246" s="236"/>
      <c r="BF246" s="236"/>
      <c r="BG246" s="236"/>
      <c r="BH246" s="236"/>
      <c r="BI246" s="236"/>
      <c r="BJ246" s="236"/>
      <c r="BK246" s="236"/>
    </row>
    <row r="247" spans="1:63" s="133" customFormat="1" ht="12.75">
      <c r="A247" s="169"/>
      <c r="B247" s="307" t="str">
        <f>Servicio_internaColumna_título_total</f>
        <v>Total</v>
      </c>
      <c r="C247" s="310">
        <v>0</v>
      </c>
      <c r="D247" s="311"/>
      <c r="E247" s="311"/>
      <c r="F247" s="311"/>
      <c r="G247" s="311"/>
      <c r="H247" s="311"/>
      <c r="I247" s="311">
        <v>1183807.0817430052</v>
      </c>
      <c r="J247" s="311">
        <v>7073663.1002373453</v>
      </c>
      <c r="K247" s="311">
        <v>5708150.7914593024</v>
      </c>
      <c r="L247" s="311">
        <v>6406246.3501986852</v>
      </c>
      <c r="M247" s="311">
        <v>5271425.4036481995</v>
      </c>
      <c r="N247" s="311">
        <v>6501482.8136189599</v>
      </c>
      <c r="O247" s="311">
        <v>5807098.0141219003</v>
      </c>
      <c r="P247" s="311">
        <v>6321611.7491734084</v>
      </c>
      <c r="Q247" s="311">
        <v>6701558.193123241</v>
      </c>
      <c r="R247" s="311">
        <v>3451505.1384223886</v>
      </c>
      <c r="S247" s="312">
        <v>4703759.2889258973</v>
      </c>
      <c r="T247" s="311">
        <v>2283181.7796740448</v>
      </c>
      <c r="U247" s="311">
        <v>1992853.5449702539</v>
      </c>
      <c r="V247" s="311">
        <v>3158462.2966693221</v>
      </c>
      <c r="W247" s="311">
        <v>1344763.2915906906</v>
      </c>
      <c r="X247" s="311">
        <v>1156399.2922415831</v>
      </c>
      <c r="Y247" s="311">
        <v>1112404.4843061708</v>
      </c>
      <c r="Z247" s="311">
        <v>2940313.6581574557</v>
      </c>
      <c r="AA247" s="311">
        <v>655601.77071982576</v>
      </c>
      <c r="AB247" s="311">
        <v>605646.76071018598</v>
      </c>
      <c r="AC247" s="311">
        <v>2434194.2815768705</v>
      </c>
      <c r="AD247" s="311">
        <v>386172.8183166919</v>
      </c>
      <c r="AE247" s="311">
        <v>355676.02879747766</v>
      </c>
      <c r="AF247" s="311">
        <v>336829.28043994319</v>
      </c>
      <c r="AG247" s="311">
        <v>323818.01102804008</v>
      </c>
      <c r="AH247" s="311">
        <v>297161.68013810331</v>
      </c>
      <c r="AI247" s="311">
        <v>950341.15031416866</v>
      </c>
      <c r="AJ247" s="311">
        <v>225680.69999104243</v>
      </c>
      <c r="AK247" s="311">
        <v>225679.37911098712</v>
      </c>
      <c r="AL247" s="311">
        <v>225591.20743872834</v>
      </c>
      <c r="AM247" s="311">
        <v>3196353.1848849147</v>
      </c>
      <c r="AN247" s="311">
        <v>0</v>
      </c>
      <c r="AO247" s="311"/>
      <c r="AP247" s="311"/>
      <c r="AQ247" s="311"/>
      <c r="AR247" s="311"/>
      <c r="AS247" s="311"/>
      <c r="AT247" s="311"/>
      <c r="AU247" s="311"/>
      <c r="AV247" s="311"/>
      <c r="AW247" s="311"/>
      <c r="AX247" s="311"/>
      <c r="AY247" s="311"/>
      <c r="AZ247" s="311"/>
      <c r="BA247" s="311"/>
      <c r="BB247" s="311"/>
      <c r="BC247" s="311"/>
      <c r="BD247" s="311"/>
      <c r="BE247" s="311"/>
      <c r="BF247" s="311"/>
      <c r="BG247" s="311"/>
      <c r="BH247" s="311"/>
      <c r="BI247" s="311"/>
      <c r="BJ247" s="311"/>
      <c r="BK247" s="311"/>
    </row>
    <row r="248" spans="1:63" s="80" customFormat="1" ht="12.75">
      <c r="A248" s="167"/>
      <c r="B248" s="210" t="str">
        <f>Servicio_internaColumna_título_amortizaciones</f>
        <v>Amortizaciones</v>
      </c>
      <c r="C248" s="269">
        <v>0</v>
      </c>
      <c r="D248" s="235"/>
      <c r="E248" s="235"/>
      <c r="F248" s="235"/>
      <c r="G248" s="235"/>
      <c r="H248" s="235"/>
      <c r="I248" s="235">
        <v>142416.91533509281</v>
      </c>
      <c r="J248" s="235">
        <v>3394692.9908041032</v>
      </c>
      <c r="K248" s="235">
        <v>2335676.0915860632</v>
      </c>
      <c r="L248" s="235">
        <v>3224278.9878491298</v>
      </c>
      <c r="M248" s="235">
        <v>2305095.4868535791</v>
      </c>
      <c r="N248" s="235">
        <v>3754113.3993232665</v>
      </c>
      <c r="O248" s="235">
        <v>3350561.9311816418</v>
      </c>
      <c r="P248" s="235">
        <v>4090775.0082910922</v>
      </c>
      <c r="Q248" s="235">
        <v>4840777.4867604589</v>
      </c>
      <c r="R248" s="235">
        <v>1985943.310151594</v>
      </c>
      <c r="S248" s="273">
        <v>3406133.8215742745</v>
      </c>
      <c r="T248" s="235">
        <v>1166914.5278604769</v>
      </c>
      <c r="U248" s="235">
        <v>945582.19345142634</v>
      </c>
      <c r="V248" s="235">
        <v>2239249.0328245149</v>
      </c>
      <c r="W248" s="235">
        <v>577562.36440439522</v>
      </c>
      <c r="X248" s="235">
        <v>423886.69650295441</v>
      </c>
      <c r="Y248" s="235">
        <v>404190.62378791918</v>
      </c>
      <c r="Z248" s="235">
        <v>2313075.1374656283</v>
      </c>
      <c r="AA248" s="235">
        <v>151616.20985120159</v>
      </c>
      <c r="AB248" s="235">
        <v>111204.3991273776</v>
      </c>
      <c r="AC248" s="235">
        <v>2048979.9320540063</v>
      </c>
      <c r="AD248" s="235">
        <v>84605.891295477602</v>
      </c>
      <c r="AE248" s="235">
        <v>58872.491205566403</v>
      </c>
      <c r="AF248" s="235">
        <v>42913.311387465597</v>
      </c>
      <c r="AG248" s="235">
        <v>31807.436303433595</v>
      </c>
      <c r="AH248" s="235">
        <v>6499.8394952111994</v>
      </c>
      <c r="AI248" s="235">
        <v>687331.15333521122</v>
      </c>
      <c r="AJ248" s="235">
        <v>6499.8394952111994</v>
      </c>
      <c r="AK248" s="235">
        <v>6499.8394952111994</v>
      </c>
      <c r="AL248" s="235">
        <v>6412.671269150399</v>
      </c>
      <c r="AM248" s="235">
        <v>2942303.1990430895</v>
      </c>
      <c r="AN248" s="235">
        <v>0</v>
      </c>
      <c r="AO248" s="235"/>
      <c r="AP248" s="235"/>
      <c r="AQ248" s="235"/>
      <c r="AR248" s="235"/>
      <c r="AS248" s="235"/>
      <c r="AT248" s="235"/>
      <c r="AU248" s="235"/>
      <c r="AV248" s="235"/>
      <c r="AW248" s="235"/>
      <c r="AX248" s="235"/>
      <c r="AY248" s="235"/>
      <c r="AZ248" s="235"/>
      <c r="BA248" s="235"/>
      <c r="BB248" s="235"/>
      <c r="BC248" s="235"/>
      <c r="BD248" s="235"/>
      <c r="BE248" s="235"/>
      <c r="BF248" s="235"/>
      <c r="BG248" s="235"/>
      <c r="BH248" s="235"/>
      <c r="BI248" s="235"/>
      <c r="BJ248" s="235"/>
      <c r="BK248" s="235"/>
    </row>
    <row r="249" spans="1:63" s="133" customFormat="1" ht="12.75">
      <c r="A249" s="168">
        <v>39386</v>
      </c>
      <c r="B249" s="213" t="str">
        <f>Servicio_internaColumna_título_intereses</f>
        <v>Intereses</v>
      </c>
      <c r="C249" s="270">
        <v>0</v>
      </c>
      <c r="D249" s="271"/>
      <c r="E249" s="271"/>
      <c r="F249" s="271"/>
      <c r="G249" s="271"/>
      <c r="H249" s="271"/>
      <c r="I249" s="271">
        <v>527875.03067441774</v>
      </c>
      <c r="J249" s="271">
        <v>3678551.2526700608</v>
      </c>
      <c r="K249" s="271">
        <v>3314120.6546968548</v>
      </c>
      <c r="L249" s="271">
        <v>3181603.4945539488</v>
      </c>
      <c r="M249" s="271">
        <v>2911181.5432073446</v>
      </c>
      <c r="N249" s="271">
        <v>2660251.06308024</v>
      </c>
      <c r="O249" s="271">
        <v>2380486.6619322337</v>
      </c>
      <c r="P249" s="271">
        <v>2175618.6570597482</v>
      </c>
      <c r="Q249" s="271">
        <v>1892299.0445897181</v>
      </c>
      <c r="R249" s="271">
        <v>1444005.7133984929</v>
      </c>
      <c r="S249" s="274">
        <v>1255051.838421619</v>
      </c>
      <c r="T249" s="271">
        <v>1098081.5695268256</v>
      </c>
      <c r="U249" s="272">
        <v>1031898.6460156033</v>
      </c>
      <c r="V249" s="272">
        <v>890227.60225797596</v>
      </c>
      <c r="W249" s="272">
        <v>759543.95260834554</v>
      </c>
      <c r="X249" s="272">
        <v>727069.94357754954</v>
      </c>
      <c r="Y249" s="272">
        <v>703350.25589024636</v>
      </c>
      <c r="Z249" s="272">
        <v>601022.97335406253</v>
      </c>
      <c r="AA249" s="272">
        <v>504634.09589875431</v>
      </c>
      <c r="AB249" s="272">
        <v>497084.23529179918</v>
      </c>
      <c r="AC249" s="272">
        <v>479079.70937100711</v>
      </c>
      <c r="AD249" s="236">
        <v>297036.52979747037</v>
      </c>
      <c r="AE249" s="236">
        <v>292631.11797826079</v>
      </c>
      <c r="AF249" s="236">
        <v>289964.7689650848</v>
      </c>
      <c r="AG249" s="236">
        <v>288212.09213204635</v>
      </c>
      <c r="AH249" s="236">
        <v>287176.2536080656</v>
      </c>
      <c r="AI249" s="236">
        <v>251856.7890079752</v>
      </c>
      <c r="AJ249" s="236">
        <v>216534.33976381921</v>
      </c>
      <c r="AK249" s="236">
        <v>216533.01407511602</v>
      </c>
      <c r="AL249" s="236">
        <v>216531.68838641283</v>
      </c>
      <c r="AM249" s="236">
        <v>216528.35508000001</v>
      </c>
      <c r="AN249" s="236">
        <v>0</v>
      </c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  <c r="BE249" s="236"/>
      <c r="BF249" s="236"/>
      <c r="BG249" s="236"/>
      <c r="BH249" s="236"/>
      <c r="BI249" s="236"/>
      <c r="BJ249" s="236"/>
      <c r="BK249" s="236"/>
    </row>
    <row r="250" spans="1:63" s="133" customFormat="1" ht="12.75">
      <c r="A250" s="169"/>
      <c r="B250" s="307" t="str">
        <f>Servicio_internaColumna_título_total</f>
        <v>Total</v>
      </c>
      <c r="C250" s="310">
        <v>0</v>
      </c>
      <c r="D250" s="311"/>
      <c r="E250" s="311"/>
      <c r="F250" s="311"/>
      <c r="G250" s="311"/>
      <c r="H250" s="311"/>
      <c r="I250" s="311">
        <v>670291.94600951055</v>
      </c>
      <c r="J250" s="311">
        <v>7073244.243474164</v>
      </c>
      <c r="K250" s="311">
        <v>5649796.7462829184</v>
      </c>
      <c r="L250" s="311">
        <v>6405882.482403079</v>
      </c>
      <c r="M250" s="311">
        <v>5216277.0300609237</v>
      </c>
      <c r="N250" s="311">
        <v>6414364.462403506</v>
      </c>
      <c r="O250" s="311">
        <v>5731048.593113875</v>
      </c>
      <c r="P250" s="311">
        <v>6266393.6653508404</v>
      </c>
      <c r="Q250" s="311">
        <v>6733076.5313501768</v>
      </c>
      <c r="R250" s="311">
        <v>3429949.0235500867</v>
      </c>
      <c r="S250" s="312">
        <v>4661185.659995893</v>
      </c>
      <c r="T250" s="311">
        <v>2264996.0973873027</v>
      </c>
      <c r="U250" s="311">
        <v>1977480.8394670296</v>
      </c>
      <c r="V250" s="311">
        <v>3129476.6350824907</v>
      </c>
      <c r="W250" s="311">
        <v>1337106.3170127408</v>
      </c>
      <c r="X250" s="311">
        <v>1150956.6400805039</v>
      </c>
      <c r="Y250" s="311">
        <v>1107540.8796781655</v>
      </c>
      <c r="Z250" s="311">
        <v>2914098.1108196909</v>
      </c>
      <c r="AA250" s="311">
        <v>656250.30574995594</v>
      </c>
      <c r="AB250" s="311">
        <v>608288.63441917673</v>
      </c>
      <c r="AC250" s="311">
        <v>2528059.6414250135</v>
      </c>
      <c r="AD250" s="311">
        <v>381642.42109294794</v>
      </c>
      <c r="AE250" s="311">
        <v>351503.60918382718</v>
      </c>
      <c r="AF250" s="311">
        <v>332878.08035255037</v>
      </c>
      <c r="AG250" s="311">
        <v>320019.52843547997</v>
      </c>
      <c r="AH250" s="311">
        <v>293676.0931032768</v>
      </c>
      <c r="AI250" s="311">
        <v>939187.94234318635</v>
      </c>
      <c r="AJ250" s="311">
        <v>223034.17925903041</v>
      </c>
      <c r="AK250" s="311">
        <v>223032.85357032722</v>
      </c>
      <c r="AL250" s="311">
        <v>222944.35965556322</v>
      </c>
      <c r="AM250" s="311">
        <v>3158831.5541230896</v>
      </c>
      <c r="AN250" s="311">
        <v>0</v>
      </c>
      <c r="AO250" s="311"/>
      <c r="AP250" s="311"/>
      <c r="AQ250" s="311"/>
      <c r="AR250" s="311"/>
      <c r="AS250" s="311"/>
      <c r="AT250" s="311"/>
      <c r="AU250" s="311"/>
      <c r="AV250" s="311"/>
      <c r="AW250" s="311"/>
      <c r="AX250" s="311"/>
      <c r="AY250" s="311"/>
      <c r="AZ250" s="311"/>
      <c r="BA250" s="311"/>
      <c r="BB250" s="311"/>
      <c r="BC250" s="311"/>
      <c r="BD250" s="311"/>
      <c r="BE250" s="311"/>
      <c r="BF250" s="311"/>
      <c r="BG250" s="311"/>
      <c r="BH250" s="311"/>
      <c r="BI250" s="311"/>
      <c r="BJ250" s="311"/>
      <c r="BK250" s="311"/>
    </row>
    <row r="251" spans="1:63" s="80" customFormat="1" ht="12.75">
      <c r="A251" s="167"/>
      <c r="B251" s="210" t="str">
        <f>Servicio_internaColumna_título_amortizaciones</f>
        <v>Amortizaciones</v>
      </c>
      <c r="C251" s="269">
        <v>0</v>
      </c>
      <c r="D251" s="235"/>
      <c r="E251" s="235"/>
      <c r="F251" s="235"/>
      <c r="G251" s="235"/>
      <c r="H251" s="235"/>
      <c r="I251" s="235">
        <v>88791.822453113404</v>
      </c>
      <c r="J251" s="235">
        <v>3491496.3686297135</v>
      </c>
      <c r="K251" s="235">
        <v>2375539.8879183549</v>
      </c>
      <c r="L251" s="235">
        <v>3324926.8307621786</v>
      </c>
      <c r="M251" s="235">
        <v>2350047.2899990622</v>
      </c>
      <c r="N251" s="235">
        <v>3837602.6901554577</v>
      </c>
      <c r="O251" s="235">
        <v>3426993.7610695679</v>
      </c>
      <c r="P251" s="235">
        <v>4221298.0071131699</v>
      </c>
      <c r="Q251" s="235">
        <v>5083198.2978331298</v>
      </c>
      <c r="R251" s="235">
        <v>2058984.2265493609</v>
      </c>
      <c r="S251" s="273">
        <v>3516175.0776753225</v>
      </c>
      <c r="T251" s="235">
        <v>1207383.1725873551</v>
      </c>
      <c r="U251" s="235">
        <v>978853.00951107568</v>
      </c>
      <c r="V251" s="235">
        <v>2311973.2947139852</v>
      </c>
      <c r="W251" s="235">
        <v>599606.52104677237</v>
      </c>
      <c r="X251" s="235">
        <v>441136.20060999243</v>
      </c>
      <c r="Y251" s="235">
        <v>420820.33660896035</v>
      </c>
      <c r="Z251" s="235">
        <v>2387926.1620472418</v>
      </c>
      <c r="AA251" s="235">
        <v>160545.89354841961</v>
      </c>
      <c r="AB251" s="235">
        <v>117528.39430812959</v>
      </c>
      <c r="AC251" s="235">
        <v>2173004.328496987</v>
      </c>
      <c r="AD251" s="235">
        <v>87968.404404785004</v>
      </c>
      <c r="AE251" s="235">
        <v>61450.173193418392</v>
      </c>
      <c r="AF251" s="235">
        <v>45004.261697793991</v>
      </c>
      <c r="AG251" s="235">
        <v>33559.673642818001</v>
      </c>
      <c r="AH251" s="235">
        <v>7483.3539367477997</v>
      </c>
      <c r="AI251" s="235">
        <v>709082.15040211088</v>
      </c>
      <c r="AJ251" s="235">
        <v>7486.4757821108005</v>
      </c>
      <c r="AK251" s="235">
        <v>7486.4757821108005</v>
      </c>
      <c r="AL251" s="235">
        <v>7395.8016223146005</v>
      </c>
      <c r="AM251" s="235">
        <v>3032826.223247489</v>
      </c>
      <c r="AN251" s="235">
        <v>0</v>
      </c>
      <c r="AO251" s="235"/>
      <c r="AP251" s="235"/>
      <c r="AQ251" s="235"/>
      <c r="AR251" s="235"/>
      <c r="AS251" s="235"/>
      <c r="AT251" s="235"/>
      <c r="AU251" s="235"/>
      <c r="AV251" s="235"/>
      <c r="AW251" s="235"/>
      <c r="AX251" s="235"/>
      <c r="AY251" s="235"/>
      <c r="AZ251" s="235"/>
      <c r="BA251" s="235"/>
      <c r="BB251" s="235"/>
      <c r="BC251" s="235"/>
      <c r="BD251" s="235"/>
      <c r="BE251" s="235"/>
      <c r="BF251" s="235"/>
      <c r="BG251" s="235"/>
      <c r="BH251" s="235"/>
      <c r="BI251" s="235"/>
      <c r="BJ251" s="235"/>
      <c r="BK251" s="235"/>
    </row>
    <row r="252" spans="1:63" s="133" customFormat="1" ht="12.75">
      <c r="A252" s="168">
        <v>39416</v>
      </c>
      <c r="B252" s="213" t="str">
        <f>Servicio_internaColumna_título_intereses</f>
        <v>Intereses</v>
      </c>
      <c r="C252" s="270">
        <v>0</v>
      </c>
      <c r="D252" s="271"/>
      <c r="E252" s="271"/>
      <c r="F252" s="271"/>
      <c r="G252" s="271"/>
      <c r="H252" s="271"/>
      <c r="I252" s="271">
        <v>307898.98988972662</v>
      </c>
      <c r="J252" s="271">
        <v>3781857.3535659737</v>
      </c>
      <c r="K252" s="271">
        <v>3413277.2054899358</v>
      </c>
      <c r="L252" s="271">
        <v>3284807.4456228772</v>
      </c>
      <c r="M252" s="271">
        <v>3008092.4927049913</v>
      </c>
      <c r="N252" s="271">
        <v>2751614.3308437569</v>
      </c>
      <c r="O252" s="271">
        <v>2466334.0353048574</v>
      </c>
      <c r="P252" s="271">
        <v>2258290.4765592492</v>
      </c>
      <c r="Q252" s="271">
        <v>1966233.055076882</v>
      </c>
      <c r="R252" s="271">
        <v>1494228.817826167</v>
      </c>
      <c r="S252" s="274">
        <v>1299733.3052090988</v>
      </c>
      <c r="T252" s="271">
        <v>1138362.0032260269</v>
      </c>
      <c r="U252" s="272">
        <v>1070263.3675105423</v>
      </c>
      <c r="V252" s="272">
        <v>924323.90153338423</v>
      </c>
      <c r="W252" s="272">
        <v>789513.34608608449</v>
      </c>
      <c r="X252" s="272">
        <v>755924.27103282616</v>
      </c>
      <c r="Y252" s="272">
        <v>731358.61438923806</v>
      </c>
      <c r="Z252" s="272">
        <v>625803.93513895676</v>
      </c>
      <c r="AA252" s="272">
        <v>526336.41306637379</v>
      </c>
      <c r="AB252" s="272">
        <v>518432.87669002434</v>
      </c>
      <c r="AC252" s="272">
        <v>499791.95396526332</v>
      </c>
      <c r="AD252" s="236">
        <v>306246.60625644919</v>
      </c>
      <c r="AE252" s="236">
        <v>301692.27984974114</v>
      </c>
      <c r="AF252" s="236">
        <v>298930.04795464635</v>
      </c>
      <c r="AG252" s="236">
        <v>297108.52635975956</v>
      </c>
      <c r="AH252" s="236">
        <v>296025.43073545163</v>
      </c>
      <c r="AI252" s="236">
        <v>259613.0144084444</v>
      </c>
      <c r="AJ252" s="236">
        <v>223197.49133895282</v>
      </c>
      <c r="AK252" s="236">
        <v>223180.33448946744</v>
      </c>
      <c r="AL252" s="236">
        <v>223163.17768119043</v>
      </c>
      <c r="AM252" s="236">
        <v>223143.96164795701</v>
      </c>
      <c r="AN252" s="236">
        <v>0</v>
      </c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  <c r="BE252" s="236"/>
      <c r="BF252" s="236"/>
      <c r="BG252" s="236"/>
      <c r="BH252" s="236"/>
      <c r="BI252" s="236"/>
      <c r="BJ252" s="236"/>
      <c r="BK252" s="236"/>
    </row>
    <row r="253" spans="1:63" s="133" customFormat="1" ht="12.75">
      <c r="A253" s="169"/>
      <c r="B253" s="307" t="str">
        <f>Servicio_internaColumna_título_total</f>
        <v>Total</v>
      </c>
      <c r="C253" s="310">
        <v>0</v>
      </c>
      <c r="D253" s="311"/>
      <c r="E253" s="311"/>
      <c r="F253" s="311"/>
      <c r="G253" s="311"/>
      <c r="H253" s="311"/>
      <c r="I253" s="311">
        <v>396690.81234284001</v>
      </c>
      <c r="J253" s="311">
        <v>7273353.7221956868</v>
      </c>
      <c r="K253" s="311">
        <v>5788817.0934082903</v>
      </c>
      <c r="L253" s="311">
        <v>6609734.2763850559</v>
      </c>
      <c r="M253" s="311">
        <v>5358139.7827040534</v>
      </c>
      <c r="N253" s="311">
        <v>6589217.0209992146</v>
      </c>
      <c r="O253" s="311">
        <v>5893327.7963744253</v>
      </c>
      <c r="P253" s="311">
        <v>6479588.4836724196</v>
      </c>
      <c r="Q253" s="311">
        <v>7049431.352910012</v>
      </c>
      <c r="R253" s="311">
        <v>3553213.0443755277</v>
      </c>
      <c r="S253" s="312">
        <v>4815908.3828844214</v>
      </c>
      <c r="T253" s="311">
        <v>2345745.175813382</v>
      </c>
      <c r="U253" s="311">
        <v>2049116.377021618</v>
      </c>
      <c r="V253" s="311">
        <v>3236297.1962473695</v>
      </c>
      <c r="W253" s="311">
        <v>1389119.867132857</v>
      </c>
      <c r="X253" s="311">
        <v>1197060.4716428185</v>
      </c>
      <c r="Y253" s="311">
        <v>1152178.9509981985</v>
      </c>
      <c r="Z253" s="311">
        <v>3013730.0971861985</v>
      </c>
      <c r="AA253" s="311">
        <v>686882.30661479337</v>
      </c>
      <c r="AB253" s="311">
        <v>635961.27099815395</v>
      </c>
      <c r="AC253" s="311">
        <v>2672796.2824622504</v>
      </c>
      <c r="AD253" s="311">
        <v>394215.01066123421</v>
      </c>
      <c r="AE253" s="311">
        <v>363142.45304315956</v>
      </c>
      <c r="AF253" s="311">
        <v>343934.30965244037</v>
      </c>
      <c r="AG253" s="311">
        <v>330668.20000257756</v>
      </c>
      <c r="AH253" s="311">
        <v>303508.78467219946</v>
      </c>
      <c r="AI253" s="311">
        <v>968695.16481055529</v>
      </c>
      <c r="AJ253" s="311">
        <v>230683.96712106362</v>
      </c>
      <c r="AK253" s="311">
        <v>230666.81027157823</v>
      </c>
      <c r="AL253" s="311">
        <v>230558.97930350504</v>
      </c>
      <c r="AM253" s="311">
        <v>3255970.1848954461</v>
      </c>
      <c r="AN253" s="311">
        <v>0</v>
      </c>
      <c r="AO253" s="311"/>
      <c r="AP253" s="311"/>
      <c r="AQ253" s="311"/>
      <c r="AR253" s="311"/>
      <c r="AS253" s="311"/>
      <c r="AT253" s="311"/>
      <c r="AU253" s="311"/>
      <c r="AV253" s="311"/>
      <c r="AW253" s="311"/>
      <c r="AX253" s="311"/>
      <c r="AY253" s="311"/>
      <c r="AZ253" s="311"/>
      <c r="BA253" s="311"/>
      <c r="BB253" s="311"/>
      <c r="BC253" s="311"/>
      <c r="BD253" s="311"/>
      <c r="BE253" s="311"/>
      <c r="BF253" s="311"/>
      <c r="BG253" s="311"/>
      <c r="BH253" s="311"/>
      <c r="BI253" s="311"/>
      <c r="BJ253" s="311"/>
      <c r="BK253" s="311"/>
    </row>
    <row r="254" spans="1:63" s="80" customFormat="1" ht="12.75">
      <c r="A254" s="167"/>
      <c r="B254" s="210" t="str">
        <f>Servicio_internaColumna_título_amortizaciones</f>
        <v>Amortizaciones</v>
      </c>
      <c r="C254" s="269">
        <v>0</v>
      </c>
      <c r="D254" s="235"/>
      <c r="E254" s="235"/>
      <c r="F254" s="235"/>
      <c r="G254" s="235"/>
      <c r="H254" s="235"/>
      <c r="I254" s="235"/>
      <c r="J254" s="235">
        <v>3422436.1000909554</v>
      </c>
      <c r="K254" s="235">
        <v>2323594.1836122004</v>
      </c>
      <c r="L254" s="235">
        <v>3205540.2853364786</v>
      </c>
      <c r="M254" s="235">
        <v>2300456.2236305363</v>
      </c>
      <c r="N254" s="235">
        <v>3745086.1680684933</v>
      </c>
      <c r="O254" s="235">
        <v>3390898.3027098295</v>
      </c>
      <c r="P254" s="235">
        <v>4128158.9416155485</v>
      </c>
      <c r="Q254" s="235">
        <v>4837112.2358252499</v>
      </c>
      <c r="R254" s="235">
        <v>2131073.2345698797</v>
      </c>
      <c r="S254" s="273">
        <v>3565126.2433690503</v>
      </c>
      <c r="T254" s="235">
        <v>1312995.2923654336</v>
      </c>
      <c r="U254" s="235">
        <v>1088498.7298297817</v>
      </c>
      <c r="V254" s="235">
        <v>2390052.3424980086</v>
      </c>
      <c r="W254" s="235">
        <v>632222.04999258823</v>
      </c>
      <c r="X254" s="235">
        <v>477321.8519518064</v>
      </c>
      <c r="Y254" s="235">
        <v>457165.36716242036</v>
      </c>
      <c r="Z254" s="235">
        <v>2380679.0297014513</v>
      </c>
      <c r="AA254" s="235">
        <v>200621.76714597602</v>
      </c>
      <c r="AB254" s="235">
        <v>155225.81686297839</v>
      </c>
      <c r="AC254" s="235">
        <v>2004596.6592100286</v>
      </c>
      <c r="AD254" s="235">
        <v>86007.323366329219</v>
      </c>
      <c r="AE254" s="235">
        <v>60076.750223274386</v>
      </c>
      <c r="AF254" s="235">
        <v>43995.288848931188</v>
      </c>
      <c r="AG254" s="235">
        <v>32804.318935203199</v>
      </c>
      <c r="AH254" s="235">
        <v>7305.8098048495995</v>
      </c>
      <c r="AI254" s="235">
        <v>693356.75032920565</v>
      </c>
      <c r="AJ254" s="235">
        <v>7308.8079692055999</v>
      </c>
      <c r="AK254" s="235">
        <v>7308.8079692055999</v>
      </c>
      <c r="AL254" s="235">
        <v>7219.1564681719992</v>
      </c>
      <c r="AM254" s="235">
        <v>2965603.4421747141</v>
      </c>
      <c r="AN254" s="235">
        <v>0</v>
      </c>
      <c r="AO254" s="235"/>
      <c r="AP254" s="235"/>
      <c r="AQ254" s="235"/>
      <c r="AR254" s="235"/>
      <c r="AS254" s="235"/>
      <c r="AT254" s="235"/>
      <c r="AU254" s="235"/>
      <c r="AV254" s="235"/>
      <c r="AW254" s="235"/>
      <c r="AX254" s="235"/>
      <c r="AY254" s="235"/>
      <c r="AZ254" s="235"/>
      <c r="BA254" s="235"/>
      <c r="BB254" s="235"/>
      <c r="BC254" s="235"/>
      <c r="BD254" s="235"/>
      <c r="BE254" s="235"/>
      <c r="BF254" s="235"/>
      <c r="BG254" s="235"/>
      <c r="BH254" s="235"/>
      <c r="BI254" s="235"/>
      <c r="BJ254" s="235"/>
      <c r="BK254" s="235"/>
    </row>
    <row r="255" spans="1:63" s="133" customFormat="1" ht="12.75">
      <c r="A255" s="168">
        <v>39447</v>
      </c>
      <c r="B255" s="213" t="str">
        <f>Servicio_internaColumna_título_intereses</f>
        <v>Intereses</v>
      </c>
      <c r="C255" s="270">
        <v>0</v>
      </c>
      <c r="D255" s="271"/>
      <c r="E255" s="271"/>
      <c r="F255" s="271"/>
      <c r="G255" s="271"/>
      <c r="H255" s="271"/>
      <c r="I255" s="271"/>
      <c r="J255" s="271">
        <v>3713709.4761756407</v>
      </c>
      <c r="K255" s="271">
        <v>3354652.5131458645</v>
      </c>
      <c r="L255" s="271">
        <v>3217777.9119688799</v>
      </c>
      <c r="M255" s="271">
        <v>2949263.0670350576</v>
      </c>
      <c r="N255" s="271">
        <v>2685836.1608276092</v>
      </c>
      <c r="O255" s="271">
        <v>2416606.4753789245</v>
      </c>
      <c r="P255" s="271">
        <v>2212174.8907995834</v>
      </c>
      <c r="Q255" s="271">
        <v>1926843.2948475741</v>
      </c>
      <c r="R255" s="271">
        <v>1489530.4706163639</v>
      </c>
      <c r="S255" s="274">
        <v>1293981.0264971652</v>
      </c>
      <c r="T255" s="271">
        <v>1129619.5601837607</v>
      </c>
      <c r="U255" s="272">
        <v>1057084.8893890954</v>
      </c>
      <c r="V255" s="272">
        <v>907434.97953622357</v>
      </c>
      <c r="W255" s="272">
        <v>769723.07585585723</v>
      </c>
      <c r="X255" s="272">
        <v>736351.39454096439</v>
      </c>
      <c r="Y255" s="272">
        <v>710073.12604448886</v>
      </c>
      <c r="Z255" s="272">
        <v>604445.23929394002</v>
      </c>
      <c r="AA255" s="272">
        <v>504812.77765567886</v>
      </c>
      <c r="AB255" s="272">
        <v>494810.40146181162</v>
      </c>
      <c r="AC255" s="272">
        <v>474514.66429864202</v>
      </c>
      <c r="AD255" s="236">
        <v>299457.46677788481</v>
      </c>
      <c r="AE255" s="236">
        <v>295004.32464987878</v>
      </c>
      <c r="AF255" s="236">
        <v>292303.56359098398</v>
      </c>
      <c r="AG255" s="236">
        <v>290522.6661729656</v>
      </c>
      <c r="AH255" s="236">
        <v>289463.8310158496</v>
      </c>
      <c r="AI255" s="236">
        <v>253858.59295026999</v>
      </c>
      <c r="AJ255" s="236">
        <v>218250.31767428562</v>
      </c>
      <c r="AK255" s="236">
        <v>218233.80151800482</v>
      </c>
      <c r="AL255" s="236">
        <v>218217.28540201922</v>
      </c>
      <c r="AM255" s="236">
        <v>218198.76693695519</v>
      </c>
      <c r="AN255" s="236">
        <v>0</v>
      </c>
      <c r="AO255" s="236"/>
      <c r="AP255" s="236"/>
      <c r="AQ255" s="236"/>
      <c r="AR255" s="236"/>
      <c r="AS255" s="236"/>
      <c r="AT255" s="236"/>
      <c r="AU255" s="236"/>
      <c r="AV255" s="236"/>
      <c r="AW255" s="236"/>
      <c r="AX255" s="236"/>
      <c r="AY255" s="236"/>
      <c r="AZ255" s="236"/>
      <c r="BA255" s="236"/>
      <c r="BB255" s="236"/>
      <c r="BC255" s="236"/>
      <c r="BD255" s="236"/>
      <c r="BE255" s="236"/>
      <c r="BF255" s="236"/>
      <c r="BG255" s="236"/>
      <c r="BH255" s="236"/>
      <c r="BI255" s="236"/>
      <c r="BJ255" s="236"/>
      <c r="BK255" s="236"/>
    </row>
    <row r="256" spans="1:63" s="133" customFormat="1" ht="12.75">
      <c r="A256" s="169"/>
      <c r="B256" s="307" t="str">
        <f>Servicio_internaColumna_título_total</f>
        <v>Total</v>
      </c>
      <c r="C256" s="310">
        <v>0</v>
      </c>
      <c r="D256" s="311"/>
      <c r="E256" s="311"/>
      <c r="F256" s="311"/>
      <c r="G256" s="311"/>
      <c r="H256" s="311"/>
      <c r="I256" s="311"/>
      <c r="J256" s="311">
        <v>7136145.5762665961</v>
      </c>
      <c r="K256" s="311">
        <v>5678246.6967580654</v>
      </c>
      <c r="L256" s="311">
        <v>6423318.1973053589</v>
      </c>
      <c r="M256" s="311">
        <v>5249719.2906655939</v>
      </c>
      <c r="N256" s="311">
        <v>6430922.3288961025</v>
      </c>
      <c r="O256" s="311">
        <v>5807504.778088754</v>
      </c>
      <c r="P256" s="311">
        <v>6340333.8324151319</v>
      </c>
      <c r="Q256" s="311">
        <v>6763955.530672824</v>
      </c>
      <c r="R256" s="311">
        <v>3620603.7051862436</v>
      </c>
      <c r="S256" s="312">
        <v>4859107.2698662151</v>
      </c>
      <c r="T256" s="311">
        <v>2442614.8525491944</v>
      </c>
      <c r="U256" s="311">
        <v>2145583.6192188771</v>
      </c>
      <c r="V256" s="311">
        <v>3297487.3220342323</v>
      </c>
      <c r="W256" s="311">
        <v>1401945.1258484456</v>
      </c>
      <c r="X256" s="311">
        <v>1213673.2464927707</v>
      </c>
      <c r="Y256" s="311">
        <v>1167238.4932069092</v>
      </c>
      <c r="Z256" s="311">
        <v>2985124.2689953912</v>
      </c>
      <c r="AA256" s="311">
        <v>705434.54480165488</v>
      </c>
      <c r="AB256" s="311">
        <v>650036.21832479001</v>
      </c>
      <c r="AC256" s="311">
        <v>2479111.3235086706</v>
      </c>
      <c r="AD256" s="311">
        <v>385464.79014421406</v>
      </c>
      <c r="AE256" s="311">
        <v>355081.07487315318</v>
      </c>
      <c r="AF256" s="311">
        <v>336298.85243991518</v>
      </c>
      <c r="AG256" s="311">
        <v>323326.9851081688</v>
      </c>
      <c r="AH256" s="311">
        <v>296769.64082069922</v>
      </c>
      <c r="AI256" s="311">
        <v>947215.34327947558</v>
      </c>
      <c r="AJ256" s="311">
        <v>225559.12564349122</v>
      </c>
      <c r="AK256" s="311">
        <v>225542.60948721043</v>
      </c>
      <c r="AL256" s="311">
        <v>225436.44187019122</v>
      </c>
      <c r="AM256" s="311">
        <v>3183802.2091116691</v>
      </c>
      <c r="AN256" s="311">
        <v>0</v>
      </c>
      <c r="AO256" s="311"/>
      <c r="AP256" s="311"/>
      <c r="AQ256" s="311"/>
      <c r="AR256" s="311"/>
      <c r="AS256" s="311"/>
      <c r="AT256" s="311"/>
      <c r="AU256" s="311"/>
      <c r="AV256" s="311"/>
      <c r="AW256" s="311"/>
      <c r="AX256" s="311"/>
      <c r="AY256" s="311"/>
      <c r="AZ256" s="311"/>
      <c r="BA256" s="311"/>
      <c r="BB256" s="311"/>
      <c r="BC256" s="311"/>
      <c r="BD256" s="311"/>
      <c r="BE256" s="311"/>
      <c r="BF256" s="311"/>
      <c r="BG256" s="311"/>
      <c r="BH256" s="311"/>
      <c r="BI256" s="311"/>
      <c r="BJ256" s="311"/>
      <c r="BK256" s="311"/>
    </row>
    <row r="257" spans="1:63" s="80" customFormat="1" ht="12.75">
      <c r="A257" s="167"/>
      <c r="B257" s="210" t="str">
        <f>Servicio_internaColumna_título_amortizaciones</f>
        <v>Amortizaciones</v>
      </c>
      <c r="C257" s="269">
        <v>0</v>
      </c>
      <c r="D257" s="235"/>
      <c r="E257" s="235"/>
      <c r="F257" s="235"/>
      <c r="G257" s="235"/>
      <c r="H257" s="235"/>
      <c r="I257" s="235"/>
      <c r="J257" s="235">
        <v>1765013.0965243401</v>
      </c>
      <c r="K257" s="235">
        <v>2236649.0384272845</v>
      </c>
      <c r="L257" s="235">
        <v>3063486.0771354833</v>
      </c>
      <c r="M257" s="235">
        <v>2208564.4509168756</v>
      </c>
      <c r="N257" s="235">
        <v>3601501.3440039395</v>
      </c>
      <c r="O257" s="235">
        <v>3260640.7414973597</v>
      </c>
      <c r="P257" s="235">
        <v>3975542.1917115841</v>
      </c>
      <c r="Q257" s="235">
        <v>4682918.4959330801</v>
      </c>
      <c r="R257" s="235">
        <v>2049402.7455059083</v>
      </c>
      <c r="S257" s="273">
        <v>4689799.3152624639</v>
      </c>
      <c r="T257" s="235">
        <v>1262142.7003131961</v>
      </c>
      <c r="U257" s="235">
        <v>1047840.3410774519</v>
      </c>
      <c r="V257" s="235">
        <v>2300840.1529128603</v>
      </c>
      <c r="W257" s="235">
        <v>608585.36157473607</v>
      </c>
      <c r="X257" s="235">
        <v>459481.94440881204</v>
      </c>
      <c r="Y257" s="235">
        <v>440081.14093122398</v>
      </c>
      <c r="Z257" s="235">
        <v>2291838.7028406998</v>
      </c>
      <c r="AA257" s="235">
        <v>193107.80365042403</v>
      </c>
      <c r="AB257" s="235">
        <v>149405.33528252799</v>
      </c>
      <c r="AC257" s="235">
        <v>1951298.6476880522</v>
      </c>
      <c r="AD257" s="235">
        <v>82794.810753459999</v>
      </c>
      <c r="AE257" s="235">
        <v>57831.569638751993</v>
      </c>
      <c r="AF257" s="235">
        <v>42350.022217879996</v>
      </c>
      <c r="AG257" s="235">
        <v>31576.527983</v>
      </c>
      <c r="AH257" s="235">
        <v>7026.3465475839994</v>
      </c>
      <c r="AI257" s="235">
        <v>667481.48214758397</v>
      </c>
      <c r="AJ257" s="235">
        <v>7026.3465475839994</v>
      </c>
      <c r="AK257" s="235">
        <v>7026.3465475839994</v>
      </c>
      <c r="AL257" s="235">
        <v>6940.7201125599986</v>
      </c>
      <c r="AM257" s="235">
        <v>3533823.7331344481</v>
      </c>
      <c r="AN257" s="235">
        <v>0</v>
      </c>
      <c r="AO257" s="235"/>
      <c r="AP257" s="235"/>
      <c r="AQ257" s="235"/>
      <c r="AR257" s="235"/>
      <c r="AS257" s="235"/>
      <c r="AT257" s="235"/>
      <c r="AU257" s="235"/>
      <c r="AV257" s="235"/>
      <c r="AW257" s="235"/>
      <c r="AX257" s="235"/>
      <c r="AY257" s="235"/>
      <c r="AZ257" s="235"/>
      <c r="BA257" s="235"/>
      <c r="BB257" s="235"/>
      <c r="BC257" s="235"/>
      <c r="BD257" s="235"/>
      <c r="BE257" s="235"/>
      <c r="BF257" s="235"/>
      <c r="BG257" s="235"/>
      <c r="BH257" s="235"/>
      <c r="BI257" s="235"/>
      <c r="BJ257" s="235"/>
      <c r="BK257" s="235"/>
    </row>
    <row r="258" spans="1:63" s="133" customFormat="1" ht="12.75">
      <c r="A258" s="168">
        <v>39478</v>
      </c>
      <c r="B258" s="213" t="str">
        <f>Servicio_internaColumna_título_intereses</f>
        <v>Intereses</v>
      </c>
      <c r="C258" s="270">
        <v>0</v>
      </c>
      <c r="D258" s="271"/>
      <c r="E258" s="271"/>
      <c r="F258" s="271"/>
      <c r="G258" s="271"/>
      <c r="H258" s="271"/>
      <c r="I258" s="271"/>
      <c r="J258" s="271">
        <v>3141553.2622575401</v>
      </c>
      <c r="K258" s="271">
        <v>3354202.263122621</v>
      </c>
      <c r="L258" s="271">
        <v>3228760.7630943605</v>
      </c>
      <c r="M258" s="271">
        <v>2979346.1555082677</v>
      </c>
      <c r="N258" s="271">
        <v>2731253.3999273637</v>
      </c>
      <c r="O258" s="271">
        <v>2470672.7314066724</v>
      </c>
      <c r="P258" s="271">
        <v>2275149.1439113324</v>
      </c>
      <c r="Q258" s="271">
        <v>2002269.5804470317</v>
      </c>
      <c r="R258" s="271">
        <v>1579418.0426696879</v>
      </c>
      <c r="S258" s="274">
        <v>1345347.8651203236</v>
      </c>
      <c r="T258" s="271">
        <v>1140585.0150976318</v>
      </c>
      <c r="U258" s="272">
        <v>1070793.3108683717</v>
      </c>
      <c r="V258" s="272">
        <v>926985.7701137797</v>
      </c>
      <c r="W258" s="272">
        <v>793180.85106483579</v>
      </c>
      <c r="X258" s="272">
        <v>761056.0452359278</v>
      </c>
      <c r="Y258" s="272">
        <v>735759.57996839983</v>
      </c>
      <c r="Z258" s="272">
        <v>634079.51677064796</v>
      </c>
      <c r="AA258" s="272">
        <v>538159.58757787186</v>
      </c>
      <c r="AB258" s="272">
        <v>528531.84343933989</v>
      </c>
      <c r="AC258" s="272">
        <v>508994.39533571183</v>
      </c>
      <c r="AD258" s="236">
        <v>338350.97125143599</v>
      </c>
      <c r="AE258" s="236">
        <v>334064.01643633202</v>
      </c>
      <c r="AF258" s="236">
        <v>331464.07042262796</v>
      </c>
      <c r="AG258" s="236">
        <v>329749.67282056791</v>
      </c>
      <c r="AH258" s="236">
        <v>328730.40122779994</v>
      </c>
      <c r="AI258" s="236">
        <v>294453.55659693998</v>
      </c>
      <c r="AJ258" s="236">
        <v>260173.81678334801</v>
      </c>
      <c r="AK258" s="236">
        <v>260158.09659689199</v>
      </c>
      <c r="AL258" s="236">
        <v>260142.37639103996</v>
      </c>
      <c r="AM258" s="236">
        <v>260124.72073593197</v>
      </c>
      <c r="AN258" s="236">
        <v>0</v>
      </c>
      <c r="AO258" s="236"/>
      <c r="AP258" s="236"/>
      <c r="AQ258" s="236"/>
      <c r="AR258" s="236"/>
      <c r="AS258" s="236"/>
      <c r="AT258" s="236"/>
      <c r="AU258" s="236"/>
      <c r="AV258" s="236"/>
      <c r="AW258" s="236"/>
      <c r="AX258" s="236"/>
      <c r="AY258" s="236"/>
      <c r="AZ258" s="236"/>
      <c r="BA258" s="236"/>
      <c r="BB258" s="236"/>
      <c r="BC258" s="236"/>
      <c r="BD258" s="236"/>
      <c r="BE258" s="236"/>
      <c r="BF258" s="236"/>
      <c r="BG258" s="236"/>
      <c r="BH258" s="236"/>
      <c r="BI258" s="236"/>
      <c r="BJ258" s="236"/>
      <c r="BK258" s="236"/>
    </row>
    <row r="259" spans="1:63" s="133" customFormat="1" ht="12.75">
      <c r="A259" s="169"/>
      <c r="B259" s="307" t="str">
        <f>Servicio_internaColumna_título_total</f>
        <v>Total</v>
      </c>
      <c r="C259" s="310">
        <v>0</v>
      </c>
      <c r="D259" s="311"/>
      <c r="E259" s="311"/>
      <c r="F259" s="311"/>
      <c r="G259" s="311"/>
      <c r="H259" s="311"/>
      <c r="I259" s="311"/>
      <c r="J259" s="311">
        <v>4906566.3587818798</v>
      </c>
      <c r="K259" s="311">
        <v>5590851.3015499059</v>
      </c>
      <c r="L259" s="311">
        <v>6292246.8402298437</v>
      </c>
      <c r="M259" s="311">
        <v>5187910.6064251438</v>
      </c>
      <c r="N259" s="311">
        <v>6332754.7439313028</v>
      </c>
      <c r="O259" s="311">
        <v>5731313.4729040321</v>
      </c>
      <c r="P259" s="311">
        <v>6250691.335622916</v>
      </c>
      <c r="Q259" s="311">
        <v>6685188.0763801113</v>
      </c>
      <c r="R259" s="311">
        <v>3628820.7881755959</v>
      </c>
      <c r="S259" s="312">
        <v>6035147.1803827872</v>
      </c>
      <c r="T259" s="311">
        <v>2402727.7154108277</v>
      </c>
      <c r="U259" s="311">
        <v>2118633.6519458238</v>
      </c>
      <c r="V259" s="311">
        <v>3227825.92302664</v>
      </c>
      <c r="W259" s="311">
        <v>1401766.2126395719</v>
      </c>
      <c r="X259" s="311">
        <v>1220537.9896447398</v>
      </c>
      <c r="Y259" s="311">
        <v>1175840.7208996238</v>
      </c>
      <c r="Z259" s="311">
        <v>2925918.2196113477</v>
      </c>
      <c r="AA259" s="311">
        <v>731267.39122829586</v>
      </c>
      <c r="AB259" s="311">
        <v>677937.17872186785</v>
      </c>
      <c r="AC259" s="311">
        <v>2460293.0430237642</v>
      </c>
      <c r="AD259" s="311">
        <v>421145.78200489597</v>
      </c>
      <c r="AE259" s="311">
        <v>391895.58607508399</v>
      </c>
      <c r="AF259" s="311">
        <v>373814.09264050797</v>
      </c>
      <c r="AG259" s="311">
        <v>361326.20080356789</v>
      </c>
      <c r="AH259" s="311">
        <v>335756.74777538393</v>
      </c>
      <c r="AI259" s="311">
        <v>961935.03874452389</v>
      </c>
      <c r="AJ259" s="311">
        <v>267200.16333093203</v>
      </c>
      <c r="AK259" s="311">
        <v>267184.44314447598</v>
      </c>
      <c r="AL259" s="311">
        <v>267083.09650359995</v>
      </c>
      <c r="AM259" s="311">
        <v>3793948.4538703798</v>
      </c>
      <c r="AN259" s="311">
        <v>0</v>
      </c>
      <c r="AO259" s="311"/>
      <c r="AP259" s="311"/>
      <c r="AQ259" s="311"/>
      <c r="AR259" s="311"/>
      <c r="AS259" s="311"/>
      <c r="AT259" s="311"/>
      <c r="AU259" s="311"/>
      <c r="AV259" s="311"/>
      <c r="AW259" s="311"/>
      <c r="AX259" s="311"/>
      <c r="AY259" s="311"/>
      <c r="AZ259" s="311"/>
      <c r="BA259" s="311"/>
      <c r="BB259" s="311"/>
      <c r="BC259" s="311"/>
      <c r="BD259" s="311"/>
      <c r="BE259" s="311"/>
      <c r="BF259" s="311"/>
      <c r="BG259" s="311"/>
      <c r="BH259" s="311"/>
      <c r="BI259" s="311"/>
      <c r="BJ259" s="311"/>
      <c r="BK259" s="311"/>
    </row>
    <row r="260" spans="1:63" s="80" customFormat="1" ht="12.75">
      <c r="A260" s="167"/>
      <c r="B260" s="210" t="str">
        <f>Servicio_internaColumna_título_amortizaciones</f>
        <v>Amortizaciones</v>
      </c>
      <c r="C260" s="269">
        <v>0</v>
      </c>
      <c r="D260" s="235"/>
      <c r="E260" s="235"/>
      <c r="F260" s="235"/>
      <c r="G260" s="235"/>
      <c r="H260" s="235"/>
      <c r="I260" s="235"/>
      <c r="J260" s="235">
        <v>1237772.9648027057</v>
      </c>
      <c r="K260" s="235">
        <v>2116849.019456909</v>
      </c>
      <c r="L260" s="235">
        <v>2926622.6743461872</v>
      </c>
      <c r="M260" s="235">
        <v>2089740.3722812235</v>
      </c>
      <c r="N260" s="235">
        <v>3423106.8586033992</v>
      </c>
      <c r="O260" s="235">
        <v>3094996.3636251744</v>
      </c>
      <c r="P260" s="235">
        <v>3785019.3723858786</v>
      </c>
      <c r="Q260" s="235">
        <v>4508597.6084207445</v>
      </c>
      <c r="R260" s="235">
        <v>1946581.8489453425</v>
      </c>
      <c r="S260" s="273">
        <v>4463135.4554671077</v>
      </c>
      <c r="T260" s="235">
        <v>1202183.1335189277</v>
      </c>
      <c r="U260" s="235">
        <v>996052.09462493076</v>
      </c>
      <c r="V260" s="235">
        <v>2187128.9820818971</v>
      </c>
      <c r="W260" s="235">
        <v>578624.17325443507</v>
      </c>
      <c r="X260" s="235">
        <v>436827.88655229786</v>
      </c>
      <c r="Y260" s="235">
        <v>418390.06647174875</v>
      </c>
      <c r="Z260" s="235">
        <v>2176668.9020919339</v>
      </c>
      <c r="AA260" s="235">
        <v>183573.8559098262</v>
      </c>
      <c r="AB260" s="235">
        <v>142034.65523823869</v>
      </c>
      <c r="AC260" s="235">
        <v>1897691.9412384797</v>
      </c>
      <c r="AD260" s="235">
        <v>78695.274359022311</v>
      </c>
      <c r="AE260" s="235">
        <v>54970.968636782098</v>
      </c>
      <c r="AF260" s="235">
        <v>40252.498685527789</v>
      </c>
      <c r="AG260" s="235">
        <v>30012.291488734794</v>
      </c>
      <c r="AH260" s="235">
        <v>6677.3413185443987</v>
      </c>
      <c r="AI260" s="235">
        <v>634440.01580854435</v>
      </c>
      <c r="AJ260" s="235">
        <v>6677.3413185443987</v>
      </c>
      <c r="AK260" s="235">
        <v>6677.3413185443987</v>
      </c>
      <c r="AL260" s="235">
        <v>6595.0447514573989</v>
      </c>
      <c r="AM260" s="235">
        <v>3358896.8036681656</v>
      </c>
      <c r="AN260" s="235">
        <v>0</v>
      </c>
      <c r="AO260" s="235"/>
      <c r="AP260" s="235"/>
      <c r="AQ260" s="235"/>
      <c r="AR260" s="235"/>
      <c r="AS260" s="235"/>
      <c r="AT260" s="235"/>
      <c r="AU260" s="235"/>
      <c r="AV260" s="235"/>
      <c r="AW260" s="235"/>
      <c r="AX260" s="235"/>
      <c r="AY260" s="235"/>
      <c r="AZ260" s="235"/>
      <c r="BA260" s="235"/>
      <c r="BB260" s="235"/>
      <c r="BC260" s="235"/>
      <c r="BD260" s="235"/>
      <c r="BE260" s="235"/>
      <c r="BF260" s="235"/>
      <c r="BG260" s="235"/>
      <c r="BH260" s="235"/>
      <c r="BI260" s="235"/>
      <c r="BJ260" s="235"/>
      <c r="BK260" s="235"/>
    </row>
    <row r="261" spans="1:63" s="133" customFormat="1" ht="12.75">
      <c r="A261" s="168">
        <v>39507</v>
      </c>
      <c r="B261" s="213" t="str">
        <f>Servicio_internaColumna_título_intereses</f>
        <v>Intereses</v>
      </c>
      <c r="C261" s="270">
        <v>0</v>
      </c>
      <c r="D261" s="271"/>
      <c r="E261" s="271"/>
      <c r="F261" s="271"/>
      <c r="G261" s="271"/>
      <c r="H261" s="271"/>
      <c r="I261" s="271"/>
      <c r="J261" s="271">
        <v>2774902.395751006</v>
      </c>
      <c r="K261" s="271">
        <v>3200864.1715634861</v>
      </c>
      <c r="L261" s="271">
        <v>3083899.5145073673</v>
      </c>
      <c r="M261" s="271">
        <v>2844608.9699734515</v>
      </c>
      <c r="N261" s="271">
        <v>2610881.7116106758</v>
      </c>
      <c r="O261" s="271">
        <v>2362978.3577036173</v>
      </c>
      <c r="P261" s="271">
        <v>2177299.5696190069</v>
      </c>
      <c r="Q261" s="271">
        <v>1916288.9960404318</v>
      </c>
      <c r="R261" s="271">
        <v>1505962.1144143839</v>
      </c>
      <c r="S261" s="274">
        <v>1283517.9369618816</v>
      </c>
      <c r="T261" s="271">
        <v>1088617.1681811467</v>
      </c>
      <c r="U261" s="272">
        <v>1022271.6709840131</v>
      </c>
      <c r="V261" s="272">
        <v>885643.05329501594</v>
      </c>
      <c r="W261" s="272">
        <v>758489.59841574158</v>
      </c>
      <c r="X261" s="272">
        <v>727971.85068632208</v>
      </c>
      <c r="Y261" s="272">
        <v>703836.65360762668</v>
      </c>
      <c r="Z261" s="272">
        <v>607125.80808975676</v>
      </c>
      <c r="AA261" s="272">
        <v>515752.54179868422</v>
      </c>
      <c r="AB261" s="272">
        <v>506598.97208161285</v>
      </c>
      <c r="AC261" s="272">
        <v>488027.58285471739</v>
      </c>
      <c r="AD261" s="236">
        <v>321602.15717734018</v>
      </c>
      <c r="AE261" s="236">
        <v>317527.45262357063</v>
      </c>
      <c r="AF261" s="236">
        <v>315056.25038602471</v>
      </c>
      <c r="AG261" s="236">
        <v>313426.76204193057</v>
      </c>
      <c r="AH261" s="236">
        <v>312457.99115196115</v>
      </c>
      <c r="AI261" s="236">
        <v>279877.89336498809</v>
      </c>
      <c r="AJ261" s="236">
        <v>247295.04389088869</v>
      </c>
      <c r="AK261" s="236">
        <v>247280.14856861191</v>
      </c>
      <c r="AL261" s="236">
        <v>247265.2532278992</v>
      </c>
      <c r="AM261" s="236">
        <v>247248.52860344489</v>
      </c>
      <c r="AN261" s="236">
        <v>0</v>
      </c>
      <c r="AO261" s="236"/>
      <c r="AP261" s="236"/>
      <c r="AQ261" s="236"/>
      <c r="AR261" s="236"/>
      <c r="AS261" s="236"/>
      <c r="AT261" s="236"/>
      <c r="AU261" s="236"/>
      <c r="AV261" s="236"/>
      <c r="AW261" s="236"/>
      <c r="AX261" s="236"/>
      <c r="AY261" s="236"/>
      <c r="AZ261" s="236"/>
      <c r="BA261" s="236"/>
      <c r="BB261" s="236"/>
      <c r="BC261" s="236"/>
      <c r="BD261" s="236"/>
      <c r="BE261" s="236"/>
      <c r="BF261" s="236"/>
      <c r="BG261" s="236"/>
      <c r="BH261" s="236"/>
      <c r="BI261" s="236"/>
      <c r="BJ261" s="236"/>
      <c r="BK261" s="236"/>
    </row>
    <row r="262" spans="1:63" s="133" customFormat="1" ht="12.75">
      <c r="A262" s="169"/>
      <c r="B262" s="307" t="str">
        <f>Servicio_internaColumna_título_total</f>
        <v>Total</v>
      </c>
      <c r="C262" s="310">
        <v>0</v>
      </c>
      <c r="D262" s="311"/>
      <c r="E262" s="311"/>
      <c r="F262" s="311"/>
      <c r="G262" s="311"/>
      <c r="H262" s="311"/>
      <c r="I262" s="311"/>
      <c r="J262" s="311">
        <v>4012675.3605537117</v>
      </c>
      <c r="K262" s="311">
        <v>5317713.1910203956</v>
      </c>
      <c r="L262" s="311">
        <v>6010522.1888535544</v>
      </c>
      <c r="M262" s="311">
        <v>4934349.342254675</v>
      </c>
      <c r="N262" s="311">
        <v>6033988.570214075</v>
      </c>
      <c r="O262" s="311">
        <v>5457974.7213287912</v>
      </c>
      <c r="P262" s="311">
        <v>5962318.9420048855</v>
      </c>
      <c r="Q262" s="311">
        <v>6424886.6044611763</v>
      </c>
      <c r="R262" s="311">
        <v>3452543.9633597266</v>
      </c>
      <c r="S262" s="312">
        <v>5746653.3924289895</v>
      </c>
      <c r="T262" s="311">
        <v>2290800.3017000742</v>
      </c>
      <c r="U262" s="311">
        <v>2018323.765608944</v>
      </c>
      <c r="V262" s="311">
        <v>3072772.0353769129</v>
      </c>
      <c r="W262" s="311">
        <v>1337113.7716701766</v>
      </c>
      <c r="X262" s="311">
        <v>1164799.7372386199</v>
      </c>
      <c r="Y262" s="311">
        <v>1122226.7200793754</v>
      </c>
      <c r="Z262" s="311">
        <v>2783794.7101816908</v>
      </c>
      <c r="AA262" s="311">
        <v>699326.3977085104</v>
      </c>
      <c r="AB262" s="311">
        <v>648633.62731985154</v>
      </c>
      <c r="AC262" s="311">
        <v>2385719.5240931972</v>
      </c>
      <c r="AD262" s="311">
        <v>400297.43153636251</v>
      </c>
      <c r="AE262" s="311">
        <v>372498.42126035271</v>
      </c>
      <c r="AF262" s="311">
        <v>355308.74907155248</v>
      </c>
      <c r="AG262" s="311">
        <v>343439.05353066535</v>
      </c>
      <c r="AH262" s="311">
        <v>319135.33247050556</v>
      </c>
      <c r="AI262" s="311">
        <v>914317.90917353239</v>
      </c>
      <c r="AJ262" s="311">
        <v>253972.38520943309</v>
      </c>
      <c r="AK262" s="311">
        <v>253957.48988715632</v>
      </c>
      <c r="AL262" s="311">
        <v>253860.2979793566</v>
      </c>
      <c r="AM262" s="311">
        <v>3606145.3322716104</v>
      </c>
      <c r="AN262" s="311">
        <v>0</v>
      </c>
      <c r="AO262" s="311"/>
      <c r="AP262" s="311"/>
      <c r="AQ262" s="311"/>
      <c r="AR262" s="311"/>
      <c r="AS262" s="311"/>
      <c r="AT262" s="311"/>
      <c r="AU262" s="311"/>
      <c r="AV262" s="311"/>
      <c r="AW262" s="311"/>
      <c r="AX262" s="311"/>
      <c r="AY262" s="311"/>
      <c r="AZ262" s="311"/>
      <c r="BA262" s="311"/>
      <c r="BB262" s="311"/>
      <c r="BC262" s="311"/>
      <c r="BD262" s="311"/>
      <c r="BE262" s="311"/>
      <c r="BF262" s="311"/>
      <c r="BG262" s="311"/>
      <c r="BH262" s="311"/>
      <c r="BI262" s="311"/>
      <c r="BJ262" s="311"/>
      <c r="BK262" s="311"/>
    </row>
    <row r="263" spans="1:63" s="80" customFormat="1" ht="12.75">
      <c r="A263" s="167"/>
      <c r="B263" s="210" t="str">
        <f>Servicio_internaColumna_título_amortizaciones</f>
        <v>Amortizaciones</v>
      </c>
      <c r="C263" s="269">
        <v>0</v>
      </c>
      <c r="D263" s="235"/>
      <c r="E263" s="235"/>
      <c r="F263" s="235"/>
      <c r="G263" s="235"/>
      <c r="H263" s="235"/>
      <c r="I263" s="235"/>
      <c r="J263" s="235">
        <v>686302.90295846411</v>
      </c>
      <c r="K263" s="235">
        <v>2093502.0353829118</v>
      </c>
      <c r="L263" s="235">
        <v>2893681.8155393275</v>
      </c>
      <c r="M263" s="235">
        <v>2083575.6557161915</v>
      </c>
      <c r="N263" s="235">
        <v>3393095.4759691437</v>
      </c>
      <c r="O263" s="235">
        <v>3078931.7416453199</v>
      </c>
      <c r="P263" s="235">
        <v>3795530.4750884408</v>
      </c>
      <c r="Q263" s="235">
        <v>4497747.1837887596</v>
      </c>
      <c r="R263" s="235">
        <v>1961721.0565262644</v>
      </c>
      <c r="S263" s="273">
        <v>4446574.3681484386</v>
      </c>
      <c r="T263" s="235">
        <v>1224483.9388737124</v>
      </c>
      <c r="U263" s="235">
        <v>1020742.7630328722</v>
      </c>
      <c r="V263" s="235">
        <v>2197611.7773865196</v>
      </c>
      <c r="W263" s="235">
        <v>608292.24357686413</v>
      </c>
      <c r="X263" s="235">
        <v>468120.71313770406</v>
      </c>
      <c r="Y263" s="235">
        <v>449889.15911464801</v>
      </c>
      <c r="Z263" s="235">
        <v>2187195.63268932</v>
      </c>
      <c r="AA263" s="235">
        <v>217873.85500267203</v>
      </c>
      <c r="AB263" s="235">
        <v>176830.12620345602</v>
      </c>
      <c r="AC263" s="235">
        <v>1912959.3970079999</v>
      </c>
      <c r="AD263" s="235">
        <v>95989.797626184009</v>
      </c>
      <c r="AE263" s="235">
        <v>54332.471027735992</v>
      </c>
      <c r="AF263" s="235">
        <v>39789.560259503989</v>
      </c>
      <c r="AG263" s="235">
        <v>29671.496357183998</v>
      </c>
      <c r="AH263" s="235">
        <v>6614.8811498879995</v>
      </c>
      <c r="AI263" s="235">
        <v>626889.71874988801</v>
      </c>
      <c r="AJ263" s="235">
        <v>6614.8811498879995</v>
      </c>
      <c r="AK263" s="235">
        <v>6614.8811498879995</v>
      </c>
      <c r="AL263" s="235">
        <v>6532.7655531599994</v>
      </c>
      <c r="AM263" s="235">
        <v>3318848.089446384</v>
      </c>
      <c r="AN263" s="235">
        <v>0</v>
      </c>
      <c r="AO263" s="235"/>
      <c r="AP263" s="235"/>
      <c r="AQ263" s="235"/>
      <c r="AR263" s="235"/>
      <c r="AS263" s="235"/>
      <c r="AT263" s="235"/>
      <c r="AU263" s="235"/>
      <c r="AV263" s="235"/>
      <c r="AW263" s="235"/>
      <c r="AX263" s="235"/>
      <c r="AY263" s="235"/>
      <c r="AZ263" s="235"/>
      <c r="BA263" s="235"/>
      <c r="BB263" s="235"/>
      <c r="BC263" s="235"/>
      <c r="BD263" s="235"/>
      <c r="BE263" s="235"/>
      <c r="BF263" s="235"/>
      <c r="BG263" s="235"/>
      <c r="BH263" s="235"/>
      <c r="BI263" s="235"/>
      <c r="BJ263" s="235"/>
      <c r="BK263" s="235"/>
    </row>
    <row r="264" spans="1:63" s="133" customFormat="1" ht="12.75">
      <c r="A264" s="168">
        <v>39538</v>
      </c>
      <c r="B264" s="213" t="str">
        <f>Servicio_internaColumna_título_intereses</f>
        <v>Intereses</v>
      </c>
      <c r="C264" s="270">
        <v>0</v>
      </c>
      <c r="D264" s="271"/>
      <c r="E264" s="271"/>
      <c r="F264" s="271"/>
      <c r="G264" s="271"/>
      <c r="H264" s="271"/>
      <c r="I264" s="271"/>
      <c r="J264" s="271">
        <v>2413964.6135486639</v>
      </c>
      <c r="K264" s="271">
        <v>3222559.3778254804</v>
      </c>
      <c r="L264" s="271">
        <v>3084811.0385827688</v>
      </c>
      <c r="M264" s="271">
        <v>2860484.9652989274</v>
      </c>
      <c r="N264" s="271">
        <v>2622423.2831446319</v>
      </c>
      <c r="O264" s="271">
        <v>2372638.3494707523</v>
      </c>
      <c r="P264" s="271">
        <v>2190022.2296290798</v>
      </c>
      <c r="Q264" s="271">
        <v>1919468.0513352959</v>
      </c>
      <c r="R264" s="271">
        <v>1512475.6315973038</v>
      </c>
      <c r="S264" s="274">
        <v>1291443.3516797996</v>
      </c>
      <c r="T264" s="271">
        <v>1096765.317263088</v>
      </c>
      <c r="U264" s="272">
        <v>1029303.930225384</v>
      </c>
      <c r="V264" s="272">
        <v>892311.6907647358</v>
      </c>
      <c r="W264" s="272">
        <v>764368.66368165589</v>
      </c>
      <c r="X264" s="272">
        <v>732185.84788509586</v>
      </c>
      <c r="Y264" s="272">
        <v>706268.36958400789</v>
      </c>
      <c r="Z264" s="272">
        <v>608692.31856100785</v>
      </c>
      <c r="AA264" s="272">
        <v>516349.40741603996</v>
      </c>
      <c r="AB264" s="272">
        <v>505270.96396999189</v>
      </c>
      <c r="AC264" s="272">
        <v>484887.42742968001</v>
      </c>
      <c r="AD264" s="236">
        <v>318275.799773184</v>
      </c>
      <c r="AE264" s="236">
        <v>313742.86652253597</v>
      </c>
      <c r="AF264" s="236">
        <v>311300.81559086393</v>
      </c>
      <c r="AG264" s="236">
        <v>309690.4387452479</v>
      </c>
      <c r="AH264" s="236">
        <v>308732.89858408796</v>
      </c>
      <c r="AI264" s="236">
        <v>276541.08530399995</v>
      </c>
      <c r="AJ264" s="236">
        <v>244346.55328591197</v>
      </c>
      <c r="AK264" s="236">
        <v>244331.51089564798</v>
      </c>
      <c r="AL264" s="236">
        <v>244316.46848716799</v>
      </c>
      <c r="AM264" s="236">
        <v>244299.62772230399</v>
      </c>
      <c r="AN264" s="236">
        <v>0</v>
      </c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  <c r="BE264" s="236"/>
      <c r="BF264" s="236"/>
      <c r="BG264" s="236"/>
      <c r="BH264" s="236"/>
      <c r="BI264" s="236"/>
      <c r="BJ264" s="236"/>
      <c r="BK264" s="236"/>
    </row>
    <row r="265" spans="1:63" s="133" customFormat="1" ht="12.75">
      <c r="A265" s="169"/>
      <c r="B265" s="307" t="str">
        <f>Servicio_internaColumna_título_total</f>
        <v>Total</v>
      </c>
      <c r="C265" s="310">
        <v>0</v>
      </c>
      <c r="D265" s="311"/>
      <c r="E265" s="311"/>
      <c r="F265" s="311"/>
      <c r="G265" s="311"/>
      <c r="H265" s="311"/>
      <c r="I265" s="311"/>
      <c r="J265" s="311">
        <v>3100267.5165071283</v>
      </c>
      <c r="K265" s="311">
        <v>5316061.4132083924</v>
      </c>
      <c r="L265" s="311">
        <v>5978492.8541220967</v>
      </c>
      <c r="M265" s="311">
        <v>4944060.6210151184</v>
      </c>
      <c r="N265" s="311">
        <v>6015518.7591137756</v>
      </c>
      <c r="O265" s="311">
        <v>5451570.0911160726</v>
      </c>
      <c r="P265" s="311">
        <v>5985552.7047175206</v>
      </c>
      <c r="Q265" s="311">
        <v>6417215.2351240553</v>
      </c>
      <c r="R265" s="311">
        <v>3474196.688123568</v>
      </c>
      <c r="S265" s="312">
        <v>5738017.7198282387</v>
      </c>
      <c r="T265" s="311">
        <v>2321249.2561368002</v>
      </c>
      <c r="U265" s="311">
        <v>2050046.6932582562</v>
      </c>
      <c r="V265" s="311">
        <v>3089923.4681512555</v>
      </c>
      <c r="W265" s="311">
        <v>1372660.9072585199</v>
      </c>
      <c r="X265" s="311">
        <v>1200306.5610227999</v>
      </c>
      <c r="Y265" s="311">
        <v>1156157.5286986558</v>
      </c>
      <c r="Z265" s="311">
        <v>2795887.9512503278</v>
      </c>
      <c r="AA265" s="311">
        <v>734223.26241871202</v>
      </c>
      <c r="AB265" s="311">
        <v>682101.09017344797</v>
      </c>
      <c r="AC265" s="311">
        <v>2397846.8244376797</v>
      </c>
      <c r="AD265" s="311">
        <v>414265.59739936801</v>
      </c>
      <c r="AE265" s="311">
        <v>368075.33755027194</v>
      </c>
      <c r="AF265" s="311">
        <v>351090.37585036794</v>
      </c>
      <c r="AG265" s="311">
        <v>339361.93510243192</v>
      </c>
      <c r="AH265" s="311">
        <v>315347.77973397594</v>
      </c>
      <c r="AI265" s="311">
        <v>903430.80405388796</v>
      </c>
      <c r="AJ265" s="311">
        <v>250961.43443579998</v>
      </c>
      <c r="AK265" s="311">
        <v>250946.39204553599</v>
      </c>
      <c r="AL265" s="311">
        <v>250849.23404032798</v>
      </c>
      <c r="AM265" s="311">
        <v>3563147.7171686878</v>
      </c>
      <c r="AN265" s="311">
        <v>0</v>
      </c>
      <c r="AO265" s="311"/>
      <c r="AP265" s="311"/>
      <c r="AQ265" s="311"/>
      <c r="AR265" s="311"/>
      <c r="AS265" s="311"/>
      <c r="AT265" s="311"/>
      <c r="AU265" s="311"/>
      <c r="AV265" s="311"/>
      <c r="AW265" s="311"/>
      <c r="AX265" s="311"/>
      <c r="AY265" s="311"/>
      <c r="AZ265" s="311"/>
      <c r="BA265" s="311"/>
      <c r="BB265" s="311"/>
      <c r="BC265" s="311"/>
      <c r="BD265" s="311"/>
      <c r="BE265" s="311"/>
      <c r="BF265" s="311"/>
      <c r="BG265" s="311"/>
      <c r="BH265" s="311"/>
      <c r="BI265" s="311"/>
      <c r="BJ265" s="311"/>
      <c r="BK265" s="311"/>
    </row>
    <row r="266" spans="1:63" s="80" customFormat="1" ht="12.75">
      <c r="A266" s="167"/>
      <c r="B266" s="210" t="str">
        <f>Servicio_internaColumna_título_amortizaciones</f>
        <v>Amortizaciones</v>
      </c>
      <c r="C266" s="269">
        <v>0</v>
      </c>
      <c r="D266" s="235"/>
      <c r="E266" s="235"/>
      <c r="F266" s="235"/>
      <c r="G266" s="235"/>
      <c r="H266" s="235"/>
      <c r="I266" s="235"/>
      <c r="J266" s="235">
        <v>612552.81490639586</v>
      </c>
      <c r="K266" s="235">
        <v>2047500.9067893617</v>
      </c>
      <c r="L266" s="235">
        <v>3019883.9840266616</v>
      </c>
      <c r="M266" s="235">
        <v>2071932.6737480166</v>
      </c>
      <c r="N266" s="235">
        <v>3353059.5047179903</v>
      </c>
      <c r="O266" s="235">
        <v>3064960.9934718697</v>
      </c>
      <c r="P266" s="235">
        <v>3777048.8204427152</v>
      </c>
      <c r="Q266" s="235">
        <v>4481779.0402490469</v>
      </c>
      <c r="R266" s="235">
        <v>1973703.0932725933</v>
      </c>
      <c r="S266" s="273">
        <v>4400809.9219266679</v>
      </c>
      <c r="T266" s="235">
        <v>1252152.1673680278</v>
      </c>
      <c r="U266" s="235">
        <v>1053012.6616428327</v>
      </c>
      <c r="V266" s="235">
        <v>2203140.1485247351</v>
      </c>
      <c r="W266" s="235">
        <v>649932.08958801499</v>
      </c>
      <c r="X266" s="235">
        <v>512876.3327220222</v>
      </c>
      <c r="Y266" s="235">
        <v>495042.09256145277</v>
      </c>
      <c r="Z266" s="235">
        <v>2192871.1827574526</v>
      </c>
      <c r="AA266" s="235">
        <v>268295.90743286663</v>
      </c>
      <c r="AB266" s="235">
        <v>228244.10550208238</v>
      </c>
      <c r="AC266" s="235">
        <v>1918941.4222891373</v>
      </c>
      <c r="AD266" s="235">
        <v>149191.79555914091</v>
      </c>
      <c r="AE266" s="235">
        <v>108480.9976980171</v>
      </c>
      <c r="AF266" s="235">
        <v>94268.527793145404</v>
      </c>
      <c r="AG266" s="235">
        <v>84380.36434367839</v>
      </c>
      <c r="AH266" s="235">
        <v>61847.636544940804</v>
      </c>
      <c r="AI266" s="235">
        <v>640346.45835494087</v>
      </c>
      <c r="AJ266" s="235">
        <v>6483.1055449408004</v>
      </c>
      <c r="AK266" s="235">
        <v>6483.1055449408004</v>
      </c>
      <c r="AL266" s="235">
        <v>6401.6904889267998</v>
      </c>
      <c r="AM266" s="235">
        <v>3243454.1389166522</v>
      </c>
      <c r="AN266" s="235">
        <v>0</v>
      </c>
      <c r="AO266" s="235"/>
      <c r="AP266" s="235"/>
      <c r="AQ266" s="235"/>
      <c r="AR266" s="235"/>
      <c r="AS266" s="235"/>
      <c r="AT266" s="235"/>
      <c r="AU266" s="235"/>
      <c r="AV266" s="235"/>
      <c r="AW266" s="235"/>
      <c r="AX266" s="235"/>
      <c r="AY266" s="235"/>
      <c r="AZ266" s="235"/>
      <c r="BA266" s="235"/>
      <c r="BB266" s="235"/>
      <c r="BC266" s="235"/>
      <c r="BD266" s="235"/>
      <c r="BE266" s="235"/>
      <c r="BF266" s="235"/>
      <c r="BG266" s="235"/>
      <c r="BH266" s="235"/>
      <c r="BI266" s="235"/>
      <c r="BJ266" s="235"/>
      <c r="BK266" s="235"/>
    </row>
    <row r="267" spans="1:63" s="133" customFormat="1" ht="12.75">
      <c r="A267" s="168">
        <v>39568</v>
      </c>
      <c r="B267" s="213" t="str">
        <f>Servicio_internaColumna_título_intereses</f>
        <v>Intereses</v>
      </c>
      <c r="C267" s="270">
        <v>0</v>
      </c>
      <c r="D267" s="271"/>
      <c r="E267" s="271"/>
      <c r="F267" s="271"/>
      <c r="G267" s="271"/>
      <c r="H267" s="271"/>
      <c r="I267" s="271"/>
      <c r="J267" s="271">
        <v>2297722.4695552643</v>
      </c>
      <c r="K267" s="271">
        <v>3205241.6917750021</v>
      </c>
      <c r="L267" s="271">
        <v>3187588.5886406098</v>
      </c>
      <c r="M267" s="271">
        <v>2871300.4244512334</v>
      </c>
      <c r="N267" s="271">
        <v>2632900.2923033745</v>
      </c>
      <c r="O267" s="271">
        <v>2493546.8562732507</v>
      </c>
      <c r="P267" s="271">
        <v>2208137.1698496155</v>
      </c>
      <c r="Q267" s="271">
        <v>1936924.5996248731</v>
      </c>
      <c r="R267" s="271">
        <v>1532003.2773099085</v>
      </c>
      <c r="S267" s="274">
        <v>1312714.4590564477</v>
      </c>
      <c r="T267" s="271">
        <v>1119343.5712188492</v>
      </c>
      <c r="U267" s="272">
        <v>1050258.6013631371</v>
      </c>
      <c r="V267" s="272">
        <v>913279.35820777772</v>
      </c>
      <c r="W267" s="272">
        <v>785031.42439659766</v>
      </c>
      <c r="X267" s="272">
        <v>750426.84990963258</v>
      </c>
      <c r="Y267" s="272">
        <v>721941.92697426316</v>
      </c>
      <c r="Z267" s="272">
        <v>623474.69957235036</v>
      </c>
      <c r="AA267" s="272">
        <v>530035.0514052388</v>
      </c>
      <c r="AB267" s="272">
        <v>516053.57968074648</v>
      </c>
      <c r="AC267" s="272">
        <v>492980.08505620132</v>
      </c>
      <c r="AD267" s="236">
        <v>327615.36167409347</v>
      </c>
      <c r="AE267" s="236">
        <v>320007.48147927341</v>
      </c>
      <c r="AF267" s="236">
        <v>314469.81945646449</v>
      </c>
      <c r="AG267" s="236">
        <v>309744.93443716591</v>
      </c>
      <c r="AH267" s="236">
        <v>305665.37374485517</v>
      </c>
      <c r="AI267" s="236">
        <v>271046.59570998861</v>
      </c>
      <c r="AJ267" s="236">
        <v>238795.82118696719</v>
      </c>
      <c r="AK267" s="236">
        <v>238780.77805642519</v>
      </c>
      <c r="AL267" s="236">
        <v>238765.7349080811</v>
      </c>
      <c r="AM267" s="236">
        <v>238748.94750997901</v>
      </c>
      <c r="AN267" s="236">
        <v>0</v>
      </c>
      <c r="AO267" s="236"/>
      <c r="AP267" s="236"/>
      <c r="AQ267" s="236"/>
      <c r="AR267" s="236"/>
      <c r="AS267" s="236"/>
      <c r="AT267" s="236"/>
      <c r="AU267" s="236"/>
      <c r="AV267" s="236"/>
      <c r="AW267" s="236"/>
      <c r="AX267" s="236"/>
      <c r="AY267" s="236"/>
      <c r="AZ267" s="236"/>
      <c r="BA267" s="236"/>
      <c r="BB267" s="236"/>
      <c r="BC267" s="236"/>
      <c r="BD267" s="236"/>
      <c r="BE267" s="236"/>
      <c r="BF267" s="236"/>
      <c r="BG267" s="236"/>
      <c r="BH267" s="236"/>
      <c r="BI267" s="236"/>
      <c r="BJ267" s="236"/>
      <c r="BK267" s="236"/>
    </row>
    <row r="268" spans="1:63" s="133" customFormat="1" ht="12.75">
      <c r="A268" s="169"/>
      <c r="B268" s="307" t="str">
        <f>Servicio_internaColumna_título_total</f>
        <v>Total</v>
      </c>
      <c r="C268" s="310">
        <v>0</v>
      </c>
      <c r="D268" s="311"/>
      <c r="E268" s="311"/>
      <c r="F268" s="311"/>
      <c r="G268" s="311"/>
      <c r="H268" s="311"/>
      <c r="I268" s="311"/>
      <c r="J268" s="311">
        <v>2910275.2844616603</v>
      </c>
      <c r="K268" s="311">
        <v>5252742.598564364</v>
      </c>
      <c r="L268" s="311">
        <v>6207472.5726672709</v>
      </c>
      <c r="M268" s="311">
        <v>4943233.0981992502</v>
      </c>
      <c r="N268" s="311">
        <v>5985959.7970213648</v>
      </c>
      <c r="O268" s="311">
        <v>5558507.8497451209</v>
      </c>
      <c r="P268" s="311">
        <v>5985185.9902923312</v>
      </c>
      <c r="Q268" s="311">
        <v>6418703.63987392</v>
      </c>
      <c r="R268" s="311">
        <v>3505706.3705825019</v>
      </c>
      <c r="S268" s="312">
        <v>5713524.3809831161</v>
      </c>
      <c r="T268" s="311">
        <v>2371495.738586877</v>
      </c>
      <c r="U268" s="311">
        <v>2103271.26300597</v>
      </c>
      <c r="V268" s="311">
        <v>3116419.5067325127</v>
      </c>
      <c r="W268" s="311">
        <v>1434963.5139846127</v>
      </c>
      <c r="X268" s="311">
        <v>1263303.1826316547</v>
      </c>
      <c r="Y268" s="311">
        <v>1216984.0195357159</v>
      </c>
      <c r="Z268" s="311">
        <v>2816345.882329803</v>
      </c>
      <c r="AA268" s="311">
        <v>798330.95883810543</v>
      </c>
      <c r="AB268" s="311">
        <v>744297.68518282892</v>
      </c>
      <c r="AC268" s="311">
        <v>2411921.5073453384</v>
      </c>
      <c r="AD268" s="311">
        <v>476807.15723323438</v>
      </c>
      <c r="AE268" s="311">
        <v>428488.47917729052</v>
      </c>
      <c r="AF268" s="311">
        <v>408738.34724960988</v>
      </c>
      <c r="AG268" s="311">
        <v>394125.29878084431</v>
      </c>
      <c r="AH268" s="311">
        <v>367513.01028979599</v>
      </c>
      <c r="AI268" s="311">
        <v>911393.05406492949</v>
      </c>
      <c r="AJ268" s="311">
        <v>245278.926731908</v>
      </c>
      <c r="AK268" s="311">
        <v>245263.88360136599</v>
      </c>
      <c r="AL268" s="311">
        <v>245167.4253970079</v>
      </c>
      <c r="AM268" s="311">
        <v>3482203.0864266311</v>
      </c>
      <c r="AN268" s="311">
        <v>0</v>
      </c>
      <c r="AO268" s="311"/>
      <c r="AP268" s="311"/>
      <c r="AQ268" s="311"/>
      <c r="AR268" s="311"/>
      <c r="AS268" s="311"/>
      <c r="AT268" s="311"/>
      <c r="AU268" s="311"/>
      <c r="AV268" s="311"/>
      <c r="AW268" s="311"/>
      <c r="AX268" s="311"/>
      <c r="AY268" s="311"/>
      <c r="AZ268" s="311"/>
      <c r="BA268" s="311"/>
      <c r="BB268" s="311"/>
      <c r="BC268" s="311"/>
      <c r="BD268" s="311"/>
      <c r="BE268" s="311"/>
      <c r="BF268" s="311"/>
      <c r="BG268" s="311"/>
      <c r="BH268" s="311"/>
      <c r="BI268" s="311"/>
      <c r="BJ268" s="311"/>
      <c r="BK268" s="311"/>
    </row>
    <row r="269" spans="1:63" s="80" customFormat="1" ht="12.75">
      <c r="A269" s="167"/>
      <c r="B269" s="210" t="str">
        <f>Servicio_internaColumna_título_amortizaciones</f>
        <v>Amortizaciones</v>
      </c>
      <c r="C269" s="269">
        <v>0</v>
      </c>
      <c r="D269" s="235"/>
      <c r="E269" s="235"/>
      <c r="F269" s="235"/>
      <c r="G269" s="235"/>
      <c r="H269" s="235"/>
      <c r="I269" s="235"/>
      <c r="J269" s="235">
        <v>560832.36984957824</v>
      </c>
      <c r="K269" s="235">
        <v>2005902.432556662</v>
      </c>
      <c r="L269" s="235">
        <v>2840394.6091924701</v>
      </c>
      <c r="M269" s="235">
        <v>2021947.4578862267</v>
      </c>
      <c r="N269" s="235">
        <v>3275367.2361107892</v>
      </c>
      <c r="O269" s="235">
        <v>2977852.6432409119</v>
      </c>
      <c r="P269" s="235">
        <v>3682330.408983442</v>
      </c>
      <c r="Q269" s="235">
        <v>4402012.4833274176</v>
      </c>
      <c r="R269" s="235">
        <v>1927000.3581285451</v>
      </c>
      <c r="S269" s="273">
        <v>4303143.0816228008</v>
      </c>
      <c r="T269" s="235">
        <v>1212141.590129782</v>
      </c>
      <c r="U269" s="235">
        <v>1016859.6616974939</v>
      </c>
      <c r="V269" s="235">
        <v>2153985.0623942404</v>
      </c>
      <c r="W269" s="235">
        <v>634945.80708983098</v>
      </c>
      <c r="X269" s="235">
        <v>500699.08850199031</v>
      </c>
      <c r="Y269" s="235">
        <v>480806.00033037172</v>
      </c>
      <c r="Z269" s="235">
        <v>2144253.2559140385</v>
      </c>
      <c r="AA269" s="235">
        <v>258813.60203651825</v>
      </c>
      <c r="AB269" s="235">
        <v>219518.1071621656</v>
      </c>
      <c r="AC269" s="235">
        <v>1910216.282959413</v>
      </c>
      <c r="AD269" s="235">
        <v>142098.81970165833</v>
      </c>
      <c r="AE269" s="235">
        <v>102215.8628719705</v>
      </c>
      <c r="AF269" s="235">
        <v>88292.398989172812</v>
      </c>
      <c r="AG269" s="235">
        <v>78605.308175445796</v>
      </c>
      <c r="AH269" s="235">
        <v>56530.776177380205</v>
      </c>
      <c r="AI269" s="235">
        <v>634710.03716834716</v>
      </c>
      <c r="AJ269" s="235">
        <v>1461.5842183553998</v>
      </c>
      <c r="AK269" s="235">
        <v>1461.5842183553998</v>
      </c>
      <c r="AL269" s="235">
        <v>1382.4710589674999</v>
      </c>
      <c r="AM269" s="235">
        <v>3172611.141393817</v>
      </c>
      <c r="AN269" s="235">
        <v>0</v>
      </c>
      <c r="AO269" s="235"/>
      <c r="AP269" s="235"/>
      <c r="AQ269" s="235"/>
      <c r="AR269" s="235"/>
      <c r="AS269" s="235"/>
      <c r="AT269" s="235"/>
      <c r="AU269" s="235"/>
      <c r="AV269" s="235"/>
      <c r="AW269" s="235"/>
      <c r="AX269" s="235"/>
      <c r="AY269" s="235"/>
      <c r="AZ269" s="235"/>
      <c r="BA269" s="235"/>
      <c r="BB269" s="235"/>
      <c r="BC269" s="235"/>
      <c r="BD269" s="235"/>
      <c r="BE269" s="235"/>
      <c r="BF269" s="235"/>
      <c r="BG269" s="235"/>
      <c r="BH269" s="235"/>
      <c r="BI269" s="235"/>
      <c r="BJ269" s="235"/>
      <c r="BK269" s="235"/>
    </row>
    <row r="270" spans="1:63" s="133" customFormat="1" ht="12.75">
      <c r="A270" s="168">
        <v>39599</v>
      </c>
      <c r="B270" s="213" t="str">
        <f>Servicio_internaColumna_título_intereses</f>
        <v>Intereses</v>
      </c>
      <c r="C270" s="270">
        <v>0</v>
      </c>
      <c r="D270" s="271"/>
      <c r="E270" s="271"/>
      <c r="F270" s="271"/>
      <c r="G270" s="271"/>
      <c r="H270" s="271"/>
      <c r="I270" s="271"/>
      <c r="J270" s="271">
        <v>1999919.5413919301</v>
      </c>
      <c r="K270" s="271">
        <v>3158012.4440668114</v>
      </c>
      <c r="L270" s="271">
        <v>3043701.2101500062</v>
      </c>
      <c r="M270" s="271">
        <v>2812967.9876450342</v>
      </c>
      <c r="N270" s="271">
        <v>2588025.3710577688</v>
      </c>
      <c r="O270" s="271">
        <v>2341230.0424764939</v>
      </c>
      <c r="P270" s="271">
        <v>2158453.4948291201</v>
      </c>
      <c r="Q270" s="271">
        <v>1906370.4364052666</v>
      </c>
      <c r="R270" s="271">
        <v>1509847.6507768785</v>
      </c>
      <c r="S270" s="274">
        <v>1294198.2068598473</v>
      </c>
      <c r="T270" s="271">
        <v>1103910.1978876945</v>
      </c>
      <c r="U270" s="272">
        <v>1035095.8121669373</v>
      </c>
      <c r="V270" s="272">
        <v>900115.33984445699</v>
      </c>
      <c r="W270" s="272">
        <v>774197.84552189591</v>
      </c>
      <c r="X270" s="272">
        <v>740052.76253171207</v>
      </c>
      <c r="Y270" s="272">
        <v>711932.75897088402</v>
      </c>
      <c r="Z270" s="272">
        <v>615323.81477377238</v>
      </c>
      <c r="AA270" s="272">
        <v>523723.29866526678</v>
      </c>
      <c r="AB270" s="272">
        <v>509975.28475216374</v>
      </c>
      <c r="AC270" s="272">
        <v>487322.27138641686</v>
      </c>
      <c r="AD270" s="236">
        <v>321886.01247713406</v>
      </c>
      <c r="AE270" s="236">
        <v>314383.03624932806</v>
      </c>
      <c r="AF270" s="236">
        <v>308908.1808133084</v>
      </c>
      <c r="AG270" s="236">
        <v>304229.57476851268</v>
      </c>
      <c r="AH270" s="236">
        <v>300183.17058726685</v>
      </c>
      <c r="AI270" s="236">
        <v>266218.5544208241</v>
      </c>
      <c r="AJ270" s="236">
        <v>233939.57442591092</v>
      </c>
      <c r="AK270" s="236">
        <v>233924.95058813909</v>
      </c>
      <c r="AL270" s="236">
        <v>233910.32669804699</v>
      </c>
      <c r="AM270" s="236">
        <v>233893.98671955499</v>
      </c>
      <c r="AN270" s="236">
        <v>0</v>
      </c>
      <c r="AO270" s="236"/>
      <c r="AP270" s="236"/>
      <c r="AQ270" s="236"/>
      <c r="AR270" s="236"/>
      <c r="AS270" s="236"/>
      <c r="AT270" s="236"/>
      <c r="AU270" s="236"/>
      <c r="AV270" s="236"/>
      <c r="AW270" s="236"/>
      <c r="AX270" s="236"/>
      <c r="AY270" s="236"/>
      <c r="AZ270" s="236"/>
      <c r="BA270" s="236"/>
      <c r="BB270" s="236"/>
      <c r="BC270" s="236"/>
      <c r="BD270" s="236"/>
      <c r="BE270" s="236"/>
      <c r="BF270" s="236"/>
      <c r="BG270" s="236"/>
      <c r="BH270" s="236"/>
      <c r="BI270" s="236"/>
      <c r="BJ270" s="236"/>
      <c r="BK270" s="236"/>
    </row>
    <row r="271" spans="1:63" s="133" customFormat="1" ht="12.75">
      <c r="A271" s="169"/>
      <c r="B271" s="307" t="str">
        <f>Servicio_internaColumna_título_total</f>
        <v>Total</v>
      </c>
      <c r="C271" s="310">
        <v>0</v>
      </c>
      <c r="D271" s="311"/>
      <c r="E271" s="311"/>
      <c r="F271" s="311"/>
      <c r="G271" s="311"/>
      <c r="H271" s="311"/>
      <c r="I271" s="311"/>
      <c r="J271" s="311">
        <v>2560751.9112415081</v>
      </c>
      <c r="K271" s="311">
        <v>5163914.8766234731</v>
      </c>
      <c r="L271" s="311">
        <v>5884095.8193424763</v>
      </c>
      <c r="M271" s="311">
        <v>4834915.4455312612</v>
      </c>
      <c r="N271" s="311">
        <v>5863392.6071685581</v>
      </c>
      <c r="O271" s="311">
        <v>5319082.6857174058</v>
      </c>
      <c r="P271" s="311">
        <v>5840783.9038125621</v>
      </c>
      <c r="Q271" s="311">
        <v>6308382.9197326843</v>
      </c>
      <c r="R271" s="311">
        <v>3436848.0089054238</v>
      </c>
      <c r="S271" s="312">
        <v>5597341.2884826483</v>
      </c>
      <c r="T271" s="311">
        <v>2316051.7880174764</v>
      </c>
      <c r="U271" s="311">
        <v>2051955.473864431</v>
      </c>
      <c r="V271" s="311">
        <v>3054100.4022386973</v>
      </c>
      <c r="W271" s="311">
        <v>1409143.6526117269</v>
      </c>
      <c r="X271" s="311">
        <v>1240751.8510337025</v>
      </c>
      <c r="Y271" s="311">
        <v>1192738.7593012557</v>
      </c>
      <c r="Z271" s="311">
        <v>2759577.0706878109</v>
      </c>
      <c r="AA271" s="311">
        <v>782536.90070178499</v>
      </c>
      <c r="AB271" s="311">
        <v>729493.39191432938</v>
      </c>
      <c r="AC271" s="311">
        <v>2397538.5543458299</v>
      </c>
      <c r="AD271" s="311">
        <v>463984.83217879239</v>
      </c>
      <c r="AE271" s="311">
        <v>416598.89912129857</v>
      </c>
      <c r="AF271" s="311">
        <v>397200.57980248122</v>
      </c>
      <c r="AG271" s="311">
        <v>382834.88294395851</v>
      </c>
      <c r="AH271" s="311">
        <v>356713.94676464703</v>
      </c>
      <c r="AI271" s="311">
        <v>900928.59158917121</v>
      </c>
      <c r="AJ271" s="311">
        <v>235401.15864426631</v>
      </c>
      <c r="AK271" s="311">
        <v>235386.53480649448</v>
      </c>
      <c r="AL271" s="311">
        <v>235292.79775701449</v>
      </c>
      <c r="AM271" s="311">
        <v>3406505.1281133723</v>
      </c>
      <c r="AN271" s="311">
        <v>0</v>
      </c>
      <c r="AO271" s="311"/>
      <c r="AP271" s="311"/>
      <c r="AQ271" s="311"/>
      <c r="AR271" s="311"/>
      <c r="AS271" s="311"/>
      <c r="AT271" s="311"/>
      <c r="AU271" s="311"/>
      <c r="AV271" s="311"/>
      <c r="AW271" s="311"/>
      <c r="AX271" s="311"/>
      <c r="AY271" s="311"/>
      <c r="AZ271" s="311"/>
      <c r="BA271" s="311"/>
      <c r="BB271" s="311"/>
      <c r="BC271" s="311"/>
      <c r="BD271" s="311"/>
      <c r="BE271" s="311"/>
      <c r="BF271" s="311"/>
      <c r="BG271" s="311"/>
      <c r="BH271" s="311"/>
      <c r="BI271" s="311"/>
      <c r="BJ271" s="311"/>
      <c r="BK271" s="311"/>
    </row>
    <row r="272" spans="1:63" s="80" customFormat="1" ht="12.75">
      <c r="A272" s="167"/>
      <c r="B272" s="210" t="str">
        <f>Servicio_internaColumna_título_amortizaciones</f>
        <v>Amortizaciones</v>
      </c>
      <c r="C272" s="269">
        <v>0</v>
      </c>
      <c r="D272" s="235"/>
      <c r="E272" s="235"/>
      <c r="F272" s="235"/>
      <c r="G272" s="235"/>
      <c r="H272" s="235"/>
      <c r="I272" s="235"/>
      <c r="J272" s="235">
        <v>507351.49068785593</v>
      </c>
      <c r="K272" s="235">
        <v>2108181.0489608981</v>
      </c>
      <c r="L272" s="235">
        <v>2985308.6193764461</v>
      </c>
      <c r="M272" s="235">
        <v>2125188.4805093547</v>
      </c>
      <c r="N272" s="235">
        <v>3441910.7666848381</v>
      </c>
      <c r="O272" s="235">
        <v>3089273.2412886522</v>
      </c>
      <c r="P272" s="235">
        <v>3837166.4398399922</v>
      </c>
      <c r="Q272" s="235">
        <v>4593492.6665694164</v>
      </c>
      <c r="R272" s="235">
        <v>1978056.3135225885</v>
      </c>
      <c r="S272" s="273">
        <v>4475185.4269150039</v>
      </c>
      <c r="T272" s="235">
        <v>1223899.4061526086</v>
      </c>
      <c r="U272" s="235">
        <v>1018674.2805799447</v>
      </c>
      <c r="V272" s="235">
        <v>2215208.7972167633</v>
      </c>
      <c r="W272" s="235">
        <v>620269.84288725548</v>
      </c>
      <c r="X272" s="235">
        <v>487783.49694055598</v>
      </c>
      <c r="Y272" s="235">
        <v>466886.21707070211</v>
      </c>
      <c r="Z272" s="235">
        <v>2216002.2989267507</v>
      </c>
      <c r="AA272" s="235">
        <v>275700.90857408545</v>
      </c>
      <c r="AB272" s="235">
        <v>234404.59951584478</v>
      </c>
      <c r="AC272" s="235">
        <v>1974532.0897372041</v>
      </c>
      <c r="AD272" s="235">
        <v>116387.1434161135</v>
      </c>
      <c r="AE272" s="235">
        <v>74473.460520361696</v>
      </c>
      <c r="AF272" s="235">
        <v>59841.053688388005</v>
      </c>
      <c r="AG272" s="235">
        <v>49660.723922900994</v>
      </c>
      <c r="AH272" s="235">
        <v>26462.219905507402</v>
      </c>
      <c r="AI272" s="235">
        <v>650554.18581550755</v>
      </c>
      <c r="AJ272" s="235">
        <v>1536.0039055073998</v>
      </c>
      <c r="AK272" s="235">
        <v>1536.0039055073998</v>
      </c>
      <c r="AL272" s="235">
        <v>1452.8625303674999</v>
      </c>
      <c r="AM272" s="235">
        <v>3334151.4246237129</v>
      </c>
      <c r="AN272" s="235">
        <v>0</v>
      </c>
      <c r="AO272" s="235"/>
      <c r="AP272" s="235"/>
      <c r="AQ272" s="235"/>
      <c r="AR272" s="235"/>
      <c r="AS272" s="235"/>
      <c r="AT272" s="235"/>
      <c r="AU272" s="235"/>
      <c r="AV272" s="235"/>
      <c r="AW272" s="235"/>
      <c r="AX272" s="235"/>
      <c r="AY272" s="235"/>
      <c r="AZ272" s="235"/>
      <c r="BA272" s="235"/>
      <c r="BB272" s="235"/>
      <c r="BC272" s="235"/>
      <c r="BD272" s="235"/>
      <c r="BE272" s="235"/>
      <c r="BF272" s="235"/>
      <c r="BG272" s="235"/>
      <c r="BH272" s="235"/>
      <c r="BI272" s="235"/>
      <c r="BJ272" s="235"/>
      <c r="BK272" s="235"/>
    </row>
    <row r="273" spans="1:63" s="133" customFormat="1" ht="12.75">
      <c r="A273" s="168">
        <v>39629</v>
      </c>
      <c r="B273" s="213" t="str">
        <f>Servicio_internaColumna_título_intereses</f>
        <v>Intereses</v>
      </c>
      <c r="C273" s="270">
        <v>0</v>
      </c>
      <c r="D273" s="271"/>
      <c r="E273" s="271"/>
      <c r="F273" s="271"/>
      <c r="G273" s="271"/>
      <c r="H273" s="271"/>
      <c r="I273" s="271"/>
      <c r="J273" s="271">
        <v>1662596.6172341527</v>
      </c>
      <c r="K273" s="271">
        <v>3309590.444457382</v>
      </c>
      <c r="L273" s="271">
        <v>3184419.1211113348</v>
      </c>
      <c r="M273" s="271">
        <v>2939041.1433189432</v>
      </c>
      <c r="N273" s="271">
        <v>2701651.9238230414</v>
      </c>
      <c r="O273" s="271">
        <v>2439539.5695401304</v>
      </c>
      <c r="P273" s="271">
        <v>2245923.3891034261</v>
      </c>
      <c r="Q273" s="271">
        <v>1982424.6760942475</v>
      </c>
      <c r="R273" s="271">
        <v>1566348.0913500092</v>
      </c>
      <c r="S273" s="274">
        <v>1340814.7861031466</v>
      </c>
      <c r="T273" s="271">
        <v>1141600.7363399551</v>
      </c>
      <c r="U273" s="272">
        <v>1070125.7672938399</v>
      </c>
      <c r="V273" s="272">
        <v>927873.52789847658</v>
      </c>
      <c r="W273" s="272">
        <v>796555.5841774838</v>
      </c>
      <c r="X273" s="272">
        <v>761521.00525453524</v>
      </c>
      <c r="Y273" s="272">
        <v>733312.52041729074</v>
      </c>
      <c r="Z273" s="272">
        <v>632832.7772482303</v>
      </c>
      <c r="AA273" s="272">
        <v>538647.78135187877</v>
      </c>
      <c r="AB273" s="272">
        <v>524171.37542602204</v>
      </c>
      <c r="AC273" s="272">
        <v>500369.97119837487</v>
      </c>
      <c r="AD273" s="236">
        <v>328365.19200246019</v>
      </c>
      <c r="AE273" s="236">
        <v>322390.48092121357</v>
      </c>
      <c r="AF273" s="236">
        <v>318519.51948692958</v>
      </c>
      <c r="AG273" s="236">
        <v>315485.35020331765</v>
      </c>
      <c r="AH273" s="236">
        <v>313108.03520745836</v>
      </c>
      <c r="AI273" s="236">
        <v>279304.23335994832</v>
      </c>
      <c r="AJ273" s="236">
        <v>245851.10830990289</v>
      </c>
      <c r="AK273" s="236">
        <v>245835.73986814709</v>
      </c>
      <c r="AL273" s="236">
        <v>245820.371371407</v>
      </c>
      <c r="AM273" s="236">
        <v>245803.19940795499</v>
      </c>
      <c r="AN273" s="236">
        <v>0</v>
      </c>
      <c r="AO273" s="236"/>
      <c r="AP273" s="236"/>
      <c r="AQ273" s="236"/>
      <c r="AR273" s="236"/>
      <c r="AS273" s="236"/>
      <c r="AT273" s="236"/>
      <c r="AU273" s="236"/>
      <c r="AV273" s="236"/>
      <c r="AW273" s="236"/>
      <c r="AX273" s="236"/>
      <c r="AY273" s="236"/>
      <c r="AZ273" s="236"/>
      <c r="BA273" s="236"/>
      <c r="BB273" s="236"/>
      <c r="BC273" s="236"/>
      <c r="BD273" s="236"/>
      <c r="BE273" s="236"/>
      <c r="BF273" s="236"/>
      <c r="BG273" s="236"/>
      <c r="BH273" s="236"/>
      <c r="BI273" s="236"/>
      <c r="BJ273" s="236"/>
      <c r="BK273" s="236"/>
    </row>
    <row r="274" spans="1:63" s="133" customFormat="1" ht="12.75">
      <c r="A274" s="169"/>
      <c r="B274" s="307" t="str">
        <f>Servicio_internaColumna_título_total</f>
        <v>Total</v>
      </c>
      <c r="C274" s="310">
        <v>0</v>
      </c>
      <c r="D274" s="311"/>
      <c r="E274" s="311"/>
      <c r="F274" s="311"/>
      <c r="G274" s="311"/>
      <c r="H274" s="311"/>
      <c r="I274" s="311"/>
      <c r="J274" s="311">
        <v>2169948.1079220087</v>
      </c>
      <c r="K274" s="311">
        <v>5417771.49341828</v>
      </c>
      <c r="L274" s="311">
        <v>6169727.7404877804</v>
      </c>
      <c r="M274" s="311">
        <v>5064229.6238282975</v>
      </c>
      <c r="N274" s="311">
        <v>6143562.6905078795</v>
      </c>
      <c r="O274" s="311">
        <v>5528812.8108287826</v>
      </c>
      <c r="P274" s="311">
        <v>6083089.8289434183</v>
      </c>
      <c r="Q274" s="311">
        <v>6575917.3426636644</v>
      </c>
      <c r="R274" s="311">
        <v>3544404.4048725977</v>
      </c>
      <c r="S274" s="312">
        <v>5816000.213018151</v>
      </c>
      <c r="T274" s="311">
        <v>2365500.1424925635</v>
      </c>
      <c r="U274" s="311">
        <v>2088800.0478737848</v>
      </c>
      <c r="V274" s="311">
        <v>3143082.3251152397</v>
      </c>
      <c r="W274" s="311">
        <v>1416825.4270647392</v>
      </c>
      <c r="X274" s="311">
        <v>1249304.5021950912</v>
      </c>
      <c r="Y274" s="311">
        <v>1200198.7374879927</v>
      </c>
      <c r="Z274" s="311">
        <v>2848835.076174981</v>
      </c>
      <c r="AA274" s="311">
        <v>814348.68992596422</v>
      </c>
      <c r="AB274" s="311">
        <v>758575.97494186682</v>
      </c>
      <c r="AC274" s="311">
        <v>2474902.0609355792</v>
      </c>
      <c r="AD274" s="311">
        <v>444752.3354185737</v>
      </c>
      <c r="AE274" s="311">
        <v>396863.9414415753</v>
      </c>
      <c r="AF274" s="311">
        <v>378360.57317531761</v>
      </c>
      <c r="AG274" s="311">
        <v>365146.07412621862</v>
      </c>
      <c r="AH274" s="311">
        <v>339570.25511296577</v>
      </c>
      <c r="AI274" s="311">
        <v>929858.41917545581</v>
      </c>
      <c r="AJ274" s="311">
        <v>247387.11221541028</v>
      </c>
      <c r="AK274" s="311">
        <v>247371.74377365448</v>
      </c>
      <c r="AL274" s="311">
        <v>247273.23390177451</v>
      </c>
      <c r="AM274" s="311">
        <v>3579954.6240316681</v>
      </c>
      <c r="AN274" s="311">
        <v>0</v>
      </c>
      <c r="AO274" s="311"/>
      <c r="AP274" s="311"/>
      <c r="AQ274" s="311"/>
      <c r="AR274" s="311"/>
      <c r="AS274" s="311"/>
      <c r="AT274" s="311"/>
      <c r="AU274" s="311"/>
      <c r="AV274" s="311"/>
      <c r="AW274" s="311"/>
      <c r="AX274" s="311"/>
      <c r="AY274" s="311"/>
      <c r="AZ274" s="311"/>
      <c r="BA274" s="311"/>
      <c r="BB274" s="311"/>
      <c r="BC274" s="311"/>
      <c r="BD274" s="311"/>
      <c r="BE274" s="311"/>
      <c r="BF274" s="311"/>
      <c r="BG274" s="311"/>
      <c r="BH274" s="311"/>
      <c r="BI274" s="311"/>
      <c r="BJ274" s="311"/>
      <c r="BK274" s="311"/>
    </row>
    <row r="275" spans="1:63" s="80" customFormat="1" ht="12.75">
      <c r="A275" s="167"/>
      <c r="B275" s="210" t="str">
        <f>Servicio_internaColumna_título_amortizaciones</f>
        <v>Amortizaciones</v>
      </c>
      <c r="C275" s="269">
        <v>0</v>
      </c>
      <c r="D275" s="235"/>
      <c r="E275" s="235"/>
      <c r="F275" s="235"/>
      <c r="G275" s="235"/>
      <c r="H275" s="235"/>
      <c r="I275" s="235"/>
      <c r="J275" s="235">
        <v>349576.35916476476</v>
      </c>
      <c r="K275" s="235">
        <v>2071926.1098948871</v>
      </c>
      <c r="L275" s="235">
        <v>2940705.2724073636</v>
      </c>
      <c r="M275" s="235">
        <v>2095861.8870233286</v>
      </c>
      <c r="N275" s="235">
        <v>3377742.1411325135</v>
      </c>
      <c r="O275" s="235">
        <v>3096666.3044152227</v>
      </c>
      <c r="P275" s="235">
        <v>3882477.0037589888</v>
      </c>
      <c r="Q275" s="235">
        <v>4957643.0752259055</v>
      </c>
      <c r="R275" s="235">
        <v>2030772.7735329221</v>
      </c>
      <c r="S275" s="273">
        <v>4444768.8285334855</v>
      </c>
      <c r="T275" s="235">
        <v>1260302.4443472554</v>
      </c>
      <c r="U275" s="235">
        <v>1057903.6863216064</v>
      </c>
      <c r="V275" s="235">
        <v>2220155.0617615283</v>
      </c>
      <c r="W275" s="235">
        <v>657940.6705329984</v>
      </c>
      <c r="X275" s="235">
        <v>523191.43336017773</v>
      </c>
      <c r="Y275" s="235">
        <v>502863.56677669525</v>
      </c>
      <c r="Z275" s="235">
        <v>2207980.1729721762</v>
      </c>
      <c r="AA275" s="235">
        <v>310628.14856939518</v>
      </c>
      <c r="AB275" s="235">
        <v>270245.95036895201</v>
      </c>
      <c r="AC275" s="235">
        <v>2243166.4361240473</v>
      </c>
      <c r="AD275" s="235">
        <v>145341.62646849841</v>
      </c>
      <c r="AE275" s="235">
        <v>104355.72010991121</v>
      </c>
      <c r="AF275" s="235">
        <v>90047.207596046414</v>
      </c>
      <c r="AG275" s="235">
        <v>80092.223599398392</v>
      </c>
      <c r="AH275" s="235">
        <v>57407.227969664003</v>
      </c>
      <c r="AI275" s="235">
        <v>652002.56246628484</v>
      </c>
      <c r="AJ275" s="235">
        <v>815.11634378880001</v>
      </c>
      <c r="AK275" s="235">
        <v>815.11634378880001</v>
      </c>
      <c r="AL275" s="235">
        <v>733.41810496560004</v>
      </c>
      <c r="AM275" s="235">
        <v>3259660.9358661426</v>
      </c>
      <c r="AN275" s="235">
        <v>0</v>
      </c>
      <c r="AO275" s="235"/>
      <c r="AP275" s="235"/>
      <c r="AQ275" s="235"/>
      <c r="AR275" s="235"/>
      <c r="AS275" s="235"/>
      <c r="AT275" s="235"/>
      <c r="AU275" s="235"/>
      <c r="AV275" s="235"/>
      <c r="AW275" s="235"/>
      <c r="AX275" s="235"/>
      <c r="AY275" s="235"/>
      <c r="AZ275" s="235"/>
      <c r="BA275" s="235"/>
      <c r="BB275" s="235"/>
      <c r="BC275" s="235"/>
      <c r="BD275" s="235"/>
      <c r="BE275" s="235"/>
      <c r="BF275" s="235"/>
      <c r="BG275" s="235"/>
      <c r="BH275" s="235"/>
      <c r="BI275" s="235"/>
      <c r="BJ275" s="235"/>
      <c r="BK275" s="235"/>
    </row>
    <row r="276" spans="1:63" s="133" customFormat="1" ht="12.75">
      <c r="A276" s="168">
        <v>39660</v>
      </c>
      <c r="B276" s="213" t="str">
        <f>Servicio_internaColumna_título_intereses</f>
        <v>Intereses</v>
      </c>
      <c r="C276" s="270">
        <v>0</v>
      </c>
      <c r="D276" s="271"/>
      <c r="E276" s="271"/>
      <c r="F276" s="271"/>
      <c r="G276" s="271"/>
      <c r="H276" s="271"/>
      <c r="I276" s="271"/>
      <c r="J276" s="271">
        <v>1245341.9715024075</v>
      </c>
      <c r="K276" s="271">
        <v>3257154.3175869728</v>
      </c>
      <c r="L276" s="271">
        <v>3184127.5678813644</v>
      </c>
      <c r="M276" s="271">
        <v>2980662.0786442584</v>
      </c>
      <c r="N276" s="271">
        <v>2767733.1551715275</v>
      </c>
      <c r="O276" s="271">
        <v>2551541.6248477544</v>
      </c>
      <c r="P276" s="271">
        <v>2333465.9682789557</v>
      </c>
      <c r="Q276" s="271">
        <v>2068201.498681827</v>
      </c>
      <c r="R276" s="271">
        <v>1607967.6865448095</v>
      </c>
      <c r="S276" s="274">
        <v>1380487.9615934642</v>
      </c>
      <c r="T276" s="271">
        <v>1181213.1957275951</v>
      </c>
      <c r="U276" s="272">
        <v>1106908.2707083961</v>
      </c>
      <c r="V276" s="272">
        <v>963469.71650487673</v>
      </c>
      <c r="W276" s="272">
        <v>834278.70859935763</v>
      </c>
      <c r="X276" s="272">
        <v>796610.75993299822</v>
      </c>
      <c r="Y276" s="272">
        <v>766058.99365195516</v>
      </c>
      <c r="Z276" s="272">
        <v>665013.93102853675</v>
      </c>
      <c r="AA276" s="272">
        <v>570418.98325450637</v>
      </c>
      <c r="AB276" s="272">
        <v>553829.35731368966</v>
      </c>
      <c r="AC276" s="272">
        <v>528282.25439302495</v>
      </c>
      <c r="AD276" s="236">
        <v>330633.09110607277</v>
      </c>
      <c r="AE276" s="236">
        <v>322944.04564029677</v>
      </c>
      <c r="AF276" s="236">
        <v>317339.20809645118</v>
      </c>
      <c r="AG276" s="236">
        <v>312552.63993045915</v>
      </c>
      <c r="AH276" s="236">
        <v>308415.75699014962</v>
      </c>
      <c r="AI276" s="236">
        <v>273533.28407422244</v>
      </c>
      <c r="AJ276" s="236">
        <v>240357.41621054479</v>
      </c>
      <c r="AK276" s="236">
        <v>240356.17370431998</v>
      </c>
      <c r="AL276" s="236">
        <v>240354.93121601761</v>
      </c>
      <c r="AM276" s="236">
        <v>240351.92968</v>
      </c>
      <c r="AN276" s="236">
        <v>0</v>
      </c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  <c r="BB276" s="236"/>
      <c r="BC276" s="236"/>
      <c r="BD276" s="236"/>
      <c r="BE276" s="236"/>
      <c r="BF276" s="236"/>
      <c r="BG276" s="236"/>
      <c r="BH276" s="236"/>
      <c r="BI276" s="236"/>
      <c r="BJ276" s="236"/>
      <c r="BK276" s="236"/>
    </row>
    <row r="277" spans="1:63" s="133" customFormat="1" ht="12.75">
      <c r="A277" s="169"/>
      <c r="B277" s="307" t="str">
        <f>Servicio_internaColumna_título_total</f>
        <v>Total</v>
      </c>
      <c r="C277" s="310">
        <v>0</v>
      </c>
      <c r="D277" s="311"/>
      <c r="E277" s="311"/>
      <c r="F277" s="311"/>
      <c r="G277" s="311"/>
      <c r="H277" s="311"/>
      <c r="I277" s="311"/>
      <c r="J277" s="311">
        <v>1594918.3306671721</v>
      </c>
      <c r="K277" s="311">
        <v>5329080.4274818599</v>
      </c>
      <c r="L277" s="311">
        <v>6124832.8402887285</v>
      </c>
      <c r="M277" s="311">
        <v>5076523.9656675868</v>
      </c>
      <c r="N277" s="311">
        <v>6145475.2963040415</v>
      </c>
      <c r="O277" s="311">
        <v>5648207.9292629771</v>
      </c>
      <c r="P277" s="311">
        <v>6215942.9720379449</v>
      </c>
      <c r="Q277" s="311">
        <v>7025844.573907733</v>
      </c>
      <c r="R277" s="311">
        <v>3638740.4600777319</v>
      </c>
      <c r="S277" s="312">
        <v>5825256.7901269495</v>
      </c>
      <c r="T277" s="311">
        <v>2441515.6400748505</v>
      </c>
      <c r="U277" s="311">
        <v>2164811.9570300025</v>
      </c>
      <c r="V277" s="311">
        <v>3183624.7782664048</v>
      </c>
      <c r="W277" s="311">
        <v>1492219.379132356</v>
      </c>
      <c r="X277" s="311">
        <v>1319802.1932931759</v>
      </c>
      <c r="Y277" s="311">
        <v>1268922.5604286504</v>
      </c>
      <c r="Z277" s="311">
        <v>2872994.1040007127</v>
      </c>
      <c r="AA277" s="311">
        <v>881047.13182390155</v>
      </c>
      <c r="AB277" s="311">
        <v>824075.30768264167</v>
      </c>
      <c r="AC277" s="311">
        <v>2771448.6905170721</v>
      </c>
      <c r="AD277" s="311">
        <v>475974.71757457114</v>
      </c>
      <c r="AE277" s="311">
        <v>427299.765750208</v>
      </c>
      <c r="AF277" s="311">
        <v>407386.41569249763</v>
      </c>
      <c r="AG277" s="311">
        <v>392644.86352985754</v>
      </c>
      <c r="AH277" s="311">
        <v>365822.98495981365</v>
      </c>
      <c r="AI277" s="311">
        <v>925535.84654050728</v>
      </c>
      <c r="AJ277" s="311">
        <v>241172.53255433359</v>
      </c>
      <c r="AK277" s="311">
        <v>241171.29004810879</v>
      </c>
      <c r="AL277" s="311">
        <v>241088.34932098319</v>
      </c>
      <c r="AM277" s="311">
        <v>3500012.8655461427</v>
      </c>
      <c r="AN277" s="311">
        <v>0</v>
      </c>
      <c r="AO277" s="311"/>
      <c r="AP277" s="311"/>
      <c r="AQ277" s="311"/>
      <c r="AR277" s="311"/>
      <c r="AS277" s="311"/>
      <c r="AT277" s="311"/>
      <c r="AU277" s="311"/>
      <c r="AV277" s="311"/>
      <c r="AW277" s="311"/>
      <c r="AX277" s="311"/>
      <c r="AY277" s="311"/>
      <c r="AZ277" s="311"/>
      <c r="BA277" s="311"/>
      <c r="BB277" s="311"/>
      <c r="BC277" s="311"/>
      <c r="BD277" s="311"/>
      <c r="BE277" s="311"/>
      <c r="BF277" s="311"/>
      <c r="BG277" s="311"/>
      <c r="BH277" s="311"/>
      <c r="BI277" s="311"/>
      <c r="BJ277" s="311"/>
      <c r="BK277" s="311"/>
    </row>
    <row r="278" spans="1:63" s="80" customFormat="1" ht="12.75">
      <c r="A278" s="167"/>
      <c r="B278" s="210" t="str">
        <f>Servicio_internaColumna_título_amortizaciones</f>
        <v>Amortizaciones</v>
      </c>
      <c r="C278" s="269">
        <v>0</v>
      </c>
      <c r="D278" s="235"/>
      <c r="E278" s="235"/>
      <c r="F278" s="235"/>
      <c r="G278" s="235"/>
      <c r="H278" s="235"/>
      <c r="I278" s="235"/>
      <c r="J278" s="235">
        <v>296901.27691931406</v>
      </c>
      <c r="K278" s="235">
        <v>2232691.5652503823</v>
      </c>
      <c r="L278" s="235">
        <v>3216388.3030202137</v>
      </c>
      <c r="M278" s="235">
        <v>2252257.0065870201</v>
      </c>
      <c r="N278" s="235">
        <v>3637210.2535358123</v>
      </c>
      <c r="O278" s="235">
        <v>3347095.5084679076</v>
      </c>
      <c r="P278" s="235">
        <v>4208570.8126010075</v>
      </c>
      <c r="Q278" s="235">
        <v>5469741.5441080807</v>
      </c>
      <c r="R278" s="235">
        <v>2202028.7281727251</v>
      </c>
      <c r="S278" s="273">
        <v>4799943.0498782704</v>
      </c>
      <c r="T278" s="235">
        <v>1366186.9102034343</v>
      </c>
      <c r="U278" s="235">
        <v>1147499.1708993497</v>
      </c>
      <c r="V278" s="235">
        <v>2398141.727278634</v>
      </c>
      <c r="W278" s="235">
        <v>713146.07019519596</v>
      </c>
      <c r="X278" s="235">
        <v>566341.42889036203</v>
      </c>
      <c r="Y278" s="235">
        <v>547132.65424528008</v>
      </c>
      <c r="Z278" s="235">
        <v>2386561.6162719424</v>
      </c>
      <c r="AA278" s="235">
        <v>341024.17673126003</v>
      </c>
      <c r="AB278" s="235">
        <v>297488.44303326408</v>
      </c>
      <c r="AC278" s="235">
        <v>2509922.1908427216</v>
      </c>
      <c r="AD278" s="235">
        <v>162850.40429873002</v>
      </c>
      <c r="AE278" s="235">
        <v>118663.817532414</v>
      </c>
      <c r="AF278" s="235">
        <v>103237.92151442001</v>
      </c>
      <c r="AG278" s="235">
        <v>92505.530719479997</v>
      </c>
      <c r="AH278" s="235">
        <v>68049.013425048004</v>
      </c>
      <c r="AI278" s="235">
        <v>709077.617470472</v>
      </c>
      <c r="AJ278" s="235">
        <v>7037.4981795919994</v>
      </c>
      <c r="AK278" s="235">
        <v>7037.4981795919994</v>
      </c>
      <c r="AL278" s="235">
        <v>6949.8481967539992</v>
      </c>
      <c r="AM278" s="235">
        <v>3520374.6776342564</v>
      </c>
      <c r="AN278" s="235">
        <v>0</v>
      </c>
      <c r="AO278" s="235"/>
      <c r="AP278" s="235"/>
      <c r="AQ278" s="235"/>
      <c r="AR278" s="235"/>
      <c r="AS278" s="235"/>
      <c r="AT278" s="235"/>
      <c r="AU278" s="235"/>
      <c r="AV278" s="235"/>
      <c r="AW278" s="235"/>
      <c r="AX278" s="235"/>
      <c r="AY278" s="235"/>
      <c r="AZ278" s="235"/>
      <c r="BA278" s="235"/>
      <c r="BB278" s="235"/>
      <c r="BC278" s="235"/>
      <c r="BD278" s="235"/>
      <c r="BE278" s="235"/>
      <c r="BF278" s="235"/>
      <c r="BG278" s="235"/>
      <c r="BH278" s="235"/>
      <c r="BI278" s="235"/>
      <c r="BJ278" s="235"/>
      <c r="BK278" s="235"/>
    </row>
    <row r="279" spans="1:63" s="133" customFormat="1" ht="12.75">
      <c r="A279" s="168">
        <v>39690</v>
      </c>
      <c r="B279" s="213" t="str">
        <f>Servicio_internaColumna_título_intereses</f>
        <v>Intereses</v>
      </c>
      <c r="C279" s="270">
        <v>0</v>
      </c>
      <c r="D279" s="271"/>
      <c r="E279" s="271"/>
      <c r="F279" s="271"/>
      <c r="G279" s="271"/>
      <c r="H279" s="271"/>
      <c r="I279" s="271"/>
      <c r="J279" s="271">
        <v>1131970.1575409081</v>
      </c>
      <c r="K279" s="271">
        <v>3548779.8088995884</v>
      </c>
      <c r="L279" s="271">
        <v>3471371.8229700914</v>
      </c>
      <c r="M279" s="271">
        <v>3242991.2553276084</v>
      </c>
      <c r="N279" s="271">
        <v>3016707.7010990302</v>
      </c>
      <c r="O279" s="271">
        <v>2777646.0769647681</v>
      </c>
      <c r="P279" s="271">
        <v>2545173.4381962861</v>
      </c>
      <c r="Q279" s="271">
        <v>2257568.5914236875</v>
      </c>
      <c r="R279" s="271">
        <v>1747091.8747645481</v>
      </c>
      <c r="S279" s="274">
        <v>1500847.8915909384</v>
      </c>
      <c r="T279" s="271">
        <v>1286018.2781822679</v>
      </c>
      <c r="U279" s="272">
        <v>1203978.8364059422</v>
      </c>
      <c r="V279" s="272">
        <v>1048724.2563642319</v>
      </c>
      <c r="W279" s="272">
        <v>907758.56063290394</v>
      </c>
      <c r="X279" s="272">
        <v>866897.17245357402</v>
      </c>
      <c r="Y279" s="272">
        <v>833881.23348756204</v>
      </c>
      <c r="Z279" s="272">
        <v>725040.72175989207</v>
      </c>
      <c r="AA279" s="272">
        <v>622974.20202156401</v>
      </c>
      <c r="AB279" s="272">
        <v>605045.95258214592</v>
      </c>
      <c r="AC279" s="272">
        <v>577990.98080776993</v>
      </c>
      <c r="AD279" s="236">
        <v>356575.02041377599</v>
      </c>
      <c r="AE279" s="236">
        <v>348294.91786402598</v>
      </c>
      <c r="AF279" s="236">
        <v>342237.36260285997</v>
      </c>
      <c r="AG279" s="236">
        <v>337061.977230296</v>
      </c>
      <c r="AH279" s="236">
        <v>332587.01238688797</v>
      </c>
      <c r="AI279" s="236">
        <v>294965.46627514</v>
      </c>
      <c r="AJ279" s="236">
        <v>259183.797773158</v>
      </c>
      <c r="AK279" s="236">
        <v>259167.43480220402</v>
      </c>
      <c r="AL279" s="236">
        <v>259151.071792606</v>
      </c>
      <c r="AM279" s="236">
        <v>259132.78668841397</v>
      </c>
      <c r="AN279" s="236">
        <v>0</v>
      </c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  <c r="BE279" s="236"/>
      <c r="BF279" s="236"/>
      <c r="BG279" s="236"/>
      <c r="BH279" s="236"/>
      <c r="BI279" s="236"/>
      <c r="BJ279" s="236"/>
      <c r="BK279" s="236"/>
    </row>
    <row r="280" spans="1:63" s="133" customFormat="1" ht="12.75">
      <c r="A280" s="169"/>
      <c r="B280" s="307" t="str">
        <f>Servicio_internaColumna_título_total</f>
        <v>Total</v>
      </c>
      <c r="C280" s="310">
        <v>0</v>
      </c>
      <c r="D280" s="311"/>
      <c r="E280" s="311"/>
      <c r="F280" s="311"/>
      <c r="G280" s="311"/>
      <c r="H280" s="311"/>
      <c r="I280" s="311"/>
      <c r="J280" s="311">
        <v>1428871.4344602223</v>
      </c>
      <c r="K280" s="311">
        <v>5781471.3741499707</v>
      </c>
      <c r="L280" s="311">
        <v>6687760.1259903051</v>
      </c>
      <c r="M280" s="311">
        <v>5495248.2619146286</v>
      </c>
      <c r="N280" s="311">
        <v>6653917.9546348425</v>
      </c>
      <c r="O280" s="311">
        <v>6124741.5854326757</v>
      </c>
      <c r="P280" s="311">
        <v>6753744.2507972941</v>
      </c>
      <c r="Q280" s="311">
        <v>7727310.1355317682</v>
      </c>
      <c r="R280" s="311">
        <v>3949120.6029372732</v>
      </c>
      <c r="S280" s="312">
        <v>6300790.9414692093</v>
      </c>
      <c r="T280" s="311">
        <v>2652205.1883857022</v>
      </c>
      <c r="U280" s="311">
        <v>2351478.0073052919</v>
      </c>
      <c r="V280" s="311">
        <v>3446865.9836428659</v>
      </c>
      <c r="W280" s="311">
        <v>1620904.6308280998</v>
      </c>
      <c r="X280" s="311">
        <v>1433238.6013439361</v>
      </c>
      <c r="Y280" s="311">
        <v>1381013.887732842</v>
      </c>
      <c r="Z280" s="311">
        <v>3111602.3380318345</v>
      </c>
      <c r="AA280" s="311">
        <v>963998.37875282404</v>
      </c>
      <c r="AB280" s="311">
        <v>902534.39561541006</v>
      </c>
      <c r="AC280" s="311">
        <v>3087913.1716504917</v>
      </c>
      <c r="AD280" s="311">
        <v>519425.42471250601</v>
      </c>
      <c r="AE280" s="311">
        <v>466958.73539643997</v>
      </c>
      <c r="AF280" s="311">
        <v>445475.28411727998</v>
      </c>
      <c r="AG280" s="311">
        <v>429567.50794977602</v>
      </c>
      <c r="AH280" s="311">
        <v>400636.02581193601</v>
      </c>
      <c r="AI280" s="311">
        <v>1004043.0837456121</v>
      </c>
      <c r="AJ280" s="311">
        <v>266221.29595275002</v>
      </c>
      <c r="AK280" s="311">
        <v>266204.93298179604</v>
      </c>
      <c r="AL280" s="311">
        <v>266100.91998936003</v>
      </c>
      <c r="AM280" s="311">
        <v>3779507.4643226704</v>
      </c>
      <c r="AN280" s="311">
        <v>0</v>
      </c>
      <c r="AO280" s="311"/>
      <c r="AP280" s="311"/>
      <c r="AQ280" s="311"/>
      <c r="AR280" s="311"/>
      <c r="AS280" s="311"/>
      <c r="AT280" s="311"/>
      <c r="AU280" s="311"/>
      <c r="AV280" s="311"/>
      <c r="AW280" s="311"/>
      <c r="AX280" s="311"/>
      <c r="AY280" s="311"/>
      <c r="AZ280" s="311"/>
      <c r="BA280" s="311"/>
      <c r="BB280" s="311"/>
      <c r="BC280" s="311"/>
      <c r="BD280" s="311"/>
      <c r="BE280" s="311"/>
      <c r="BF280" s="311"/>
      <c r="BG280" s="311"/>
      <c r="BH280" s="311"/>
      <c r="BI280" s="311"/>
      <c r="BJ280" s="311"/>
      <c r="BK280" s="311"/>
    </row>
    <row r="281" spans="1:63" s="80" customFormat="1" ht="12.75">
      <c r="A281" s="167"/>
      <c r="B281" s="210" t="str">
        <f>Servicio_internaColumna_título_amortizaciones</f>
        <v>Amortizaciones</v>
      </c>
      <c r="C281" s="269">
        <v>0</v>
      </c>
      <c r="D281" s="235"/>
      <c r="E281" s="235"/>
      <c r="F281" s="235"/>
      <c r="G281" s="235"/>
      <c r="H281" s="235"/>
      <c r="I281" s="235"/>
      <c r="J281" s="235">
        <v>208217.16288242661</v>
      </c>
      <c r="K281" s="235">
        <v>2506494.6686431905</v>
      </c>
      <c r="L281" s="235">
        <v>3608714.0249157101</v>
      </c>
      <c r="M281" s="235">
        <v>2496748.4671871131</v>
      </c>
      <c r="N281" s="235">
        <v>4079968.2732585697</v>
      </c>
      <c r="O281" s="235">
        <v>3759591.4765729937</v>
      </c>
      <c r="P281" s="235">
        <v>4724928.5912335617</v>
      </c>
      <c r="Q281" s="235">
        <v>6116584.7432526108</v>
      </c>
      <c r="R281" s="235">
        <v>2468635.4687686739</v>
      </c>
      <c r="S281" s="273">
        <v>5399164.925804507</v>
      </c>
      <c r="T281" s="235">
        <v>1535141.5967510813</v>
      </c>
      <c r="U281" s="235">
        <v>1289332.1364799999</v>
      </c>
      <c r="V281" s="235">
        <v>2697515.286048797</v>
      </c>
      <c r="W281" s="235">
        <v>801324.63966494508</v>
      </c>
      <c r="X281" s="235">
        <v>636734.95826195227</v>
      </c>
      <c r="Y281" s="235">
        <v>615162.76622224902</v>
      </c>
      <c r="Z281" s="235">
        <v>2685786.9297707435</v>
      </c>
      <c r="AA281" s="235">
        <v>427102.21209454123</v>
      </c>
      <c r="AB281" s="235">
        <v>334611.94582068967</v>
      </c>
      <c r="AC281" s="235">
        <v>2802102.3427895932</v>
      </c>
      <c r="AD281" s="235">
        <v>183224.75429771663</v>
      </c>
      <c r="AE281" s="235">
        <v>133494.37684519301</v>
      </c>
      <c r="AF281" s="235">
        <v>116133.09851031561</v>
      </c>
      <c r="AG281" s="235">
        <v>104054.18759504159</v>
      </c>
      <c r="AH281" s="235">
        <v>76529.277317214393</v>
      </c>
      <c r="AI281" s="235">
        <v>782678.20029243606</v>
      </c>
      <c r="AJ281" s="235">
        <v>7863.0619755967991</v>
      </c>
      <c r="AK281" s="235">
        <v>7863.0619755967991</v>
      </c>
      <c r="AL281" s="235">
        <v>7767.3621467385992</v>
      </c>
      <c r="AM281" s="235">
        <v>3962000.6697307327</v>
      </c>
      <c r="AN281" s="235">
        <v>0</v>
      </c>
      <c r="AO281" s="235"/>
      <c r="AP281" s="235"/>
      <c r="AQ281" s="235"/>
      <c r="AR281" s="235"/>
      <c r="AS281" s="235"/>
      <c r="AT281" s="235"/>
      <c r="AU281" s="235"/>
      <c r="AV281" s="235"/>
      <c r="AW281" s="235"/>
      <c r="AX281" s="235"/>
      <c r="AY281" s="235"/>
      <c r="AZ281" s="235"/>
      <c r="BA281" s="235"/>
      <c r="BB281" s="235"/>
      <c r="BC281" s="235"/>
      <c r="BD281" s="235"/>
      <c r="BE281" s="235"/>
      <c r="BF281" s="235"/>
      <c r="BG281" s="235"/>
      <c r="BH281" s="235"/>
      <c r="BI281" s="235"/>
      <c r="BJ281" s="235"/>
      <c r="BK281" s="235"/>
    </row>
    <row r="282" spans="1:63" s="133" customFormat="1" ht="12.75">
      <c r="A282" s="168">
        <v>39721</v>
      </c>
      <c r="B282" s="213" t="str">
        <f>Servicio_internaColumna_título_intereses</f>
        <v>Intereses</v>
      </c>
      <c r="C282" s="270">
        <v>0</v>
      </c>
      <c r="D282" s="271"/>
      <c r="E282" s="271"/>
      <c r="F282" s="271"/>
      <c r="G282" s="271"/>
      <c r="H282" s="271"/>
      <c r="I282" s="271"/>
      <c r="J282" s="271">
        <v>962559.75632247771</v>
      </c>
      <c r="K282" s="271">
        <v>3936005.7694808482</v>
      </c>
      <c r="L282" s="271">
        <v>3844930.9132400067</v>
      </c>
      <c r="M282" s="271">
        <v>3596031.7260598601</v>
      </c>
      <c r="N282" s="271">
        <v>3357765.5618537851</v>
      </c>
      <c r="O282" s="271">
        <v>3078684.7628695187</v>
      </c>
      <c r="P282" s="271">
        <v>2830289.7778634853</v>
      </c>
      <c r="Q282" s="271">
        <v>2513867.8875475195</v>
      </c>
      <c r="R282" s="271">
        <v>1944390.1070353857</v>
      </c>
      <c r="S282" s="274">
        <v>1671566.6866369271</v>
      </c>
      <c r="T282" s="271">
        <v>1433182.0596584135</v>
      </c>
      <c r="U282" s="272">
        <v>1342960.50834386</v>
      </c>
      <c r="V282" s="272">
        <v>1170833.7644893285</v>
      </c>
      <c r="W282" s="272">
        <v>1013271.2937227483</v>
      </c>
      <c r="X282" s="272">
        <v>968559.38668102876</v>
      </c>
      <c r="Y282" s="272">
        <v>932543.64834444248</v>
      </c>
      <c r="Z282" s="272">
        <v>811405.27245143091</v>
      </c>
      <c r="AA282" s="272">
        <v>696816.60520079581</v>
      </c>
      <c r="AB282" s="272">
        <v>675569.93779163563</v>
      </c>
      <c r="AC282" s="272">
        <v>645802.08595503424</v>
      </c>
      <c r="AD282" s="236">
        <v>399233.07475829258</v>
      </c>
      <c r="AE282" s="236">
        <v>390200.06309091777</v>
      </c>
      <c r="AF282" s="236">
        <v>383650.36930119619</v>
      </c>
      <c r="AG282" s="236">
        <v>378040.25007048436</v>
      </c>
      <c r="AH282" s="236">
        <v>373200.73429332959</v>
      </c>
      <c r="AI282" s="236">
        <v>331055.96205157839</v>
      </c>
      <c r="AJ282" s="236">
        <v>291697.8544342072</v>
      </c>
      <c r="AK282" s="236">
        <v>291680.51599323138</v>
      </c>
      <c r="AL282" s="236">
        <v>291663.17748701695</v>
      </c>
      <c r="AM282" s="236">
        <v>291643.64363667398</v>
      </c>
      <c r="AN282" s="236">
        <v>0</v>
      </c>
      <c r="AO282" s="236"/>
      <c r="AP282" s="236"/>
      <c r="AQ282" s="236"/>
      <c r="AR282" s="236"/>
      <c r="AS282" s="236"/>
      <c r="AT282" s="236"/>
      <c r="AU282" s="236"/>
      <c r="AV282" s="236"/>
      <c r="AW282" s="236"/>
      <c r="AX282" s="236"/>
      <c r="AY282" s="236"/>
      <c r="AZ282" s="236"/>
      <c r="BA282" s="236"/>
      <c r="BB282" s="236"/>
      <c r="BC282" s="236"/>
      <c r="BD282" s="236"/>
      <c r="BE282" s="236"/>
      <c r="BF282" s="236"/>
      <c r="BG282" s="236"/>
      <c r="BH282" s="236"/>
      <c r="BI282" s="236"/>
      <c r="BJ282" s="236"/>
      <c r="BK282" s="236"/>
    </row>
    <row r="283" spans="1:63" s="133" customFormat="1" ht="12.75">
      <c r="A283" s="169"/>
      <c r="B283" s="307" t="str">
        <f>Servicio_internaColumna_título_total</f>
        <v>Total</v>
      </c>
      <c r="C283" s="310">
        <v>0</v>
      </c>
      <c r="D283" s="311"/>
      <c r="E283" s="311"/>
      <c r="F283" s="311"/>
      <c r="G283" s="311"/>
      <c r="H283" s="311"/>
      <c r="I283" s="311"/>
      <c r="J283" s="311">
        <v>1170776.9192049042</v>
      </c>
      <c r="K283" s="311">
        <v>6442500.4381240383</v>
      </c>
      <c r="L283" s="311">
        <v>7453644.9381557163</v>
      </c>
      <c r="M283" s="311">
        <v>6092780.1932469737</v>
      </c>
      <c r="N283" s="311">
        <v>7437733.8351123547</v>
      </c>
      <c r="O283" s="311">
        <v>6838276.2394425124</v>
      </c>
      <c r="P283" s="311">
        <v>7555218.3690970466</v>
      </c>
      <c r="Q283" s="311">
        <v>8630452.6308001298</v>
      </c>
      <c r="R283" s="311">
        <v>4413025.5758040594</v>
      </c>
      <c r="S283" s="312">
        <v>7070731.6124414336</v>
      </c>
      <c r="T283" s="311">
        <v>2968323.6564094946</v>
      </c>
      <c r="U283" s="311">
        <v>2632292.6448238599</v>
      </c>
      <c r="V283" s="311">
        <v>3868349.0505381254</v>
      </c>
      <c r="W283" s="311">
        <v>1814595.9333876935</v>
      </c>
      <c r="X283" s="311">
        <v>1605294.3449429809</v>
      </c>
      <c r="Y283" s="311">
        <v>1547706.4145666915</v>
      </c>
      <c r="Z283" s="311">
        <v>3497192.2022221745</v>
      </c>
      <c r="AA283" s="311">
        <v>1123918.8172953371</v>
      </c>
      <c r="AB283" s="311">
        <v>1010181.8836123253</v>
      </c>
      <c r="AC283" s="311">
        <v>3447904.4287446272</v>
      </c>
      <c r="AD283" s="311">
        <v>582457.82905600918</v>
      </c>
      <c r="AE283" s="311">
        <v>523694.43993611075</v>
      </c>
      <c r="AF283" s="311">
        <v>499783.46781151183</v>
      </c>
      <c r="AG283" s="311">
        <v>482094.43766552594</v>
      </c>
      <c r="AH283" s="311">
        <v>449730.011610544</v>
      </c>
      <c r="AI283" s="311">
        <v>1113734.1623440145</v>
      </c>
      <c r="AJ283" s="311">
        <v>299560.91640980402</v>
      </c>
      <c r="AK283" s="311">
        <v>299543.57796882821</v>
      </c>
      <c r="AL283" s="311">
        <v>299430.53963375557</v>
      </c>
      <c r="AM283" s="311">
        <v>4253644.3133674068</v>
      </c>
      <c r="AN283" s="311">
        <v>0</v>
      </c>
      <c r="AO283" s="311"/>
      <c r="AP283" s="311"/>
      <c r="AQ283" s="311"/>
      <c r="AR283" s="311"/>
      <c r="AS283" s="311"/>
      <c r="AT283" s="311"/>
      <c r="AU283" s="311"/>
      <c r="AV283" s="311"/>
      <c r="AW283" s="311"/>
      <c r="AX283" s="311"/>
      <c r="AY283" s="311"/>
      <c r="AZ283" s="311"/>
      <c r="BA283" s="311"/>
      <c r="BB283" s="311"/>
      <c r="BC283" s="311"/>
      <c r="BD283" s="311"/>
      <c r="BE283" s="311"/>
      <c r="BF283" s="311"/>
      <c r="BG283" s="311"/>
      <c r="BH283" s="311"/>
      <c r="BI283" s="311"/>
      <c r="BJ283" s="311"/>
      <c r="BK283" s="311"/>
    </row>
    <row r="284" spans="1:63" s="80" customFormat="1" ht="12.75">
      <c r="A284" s="167"/>
      <c r="B284" s="210" t="str">
        <f>Servicio_internaColumna_título_amortizaciones</f>
        <v>Amortizaciones</v>
      </c>
      <c r="C284" s="269">
        <v>0</v>
      </c>
      <c r="D284" s="235"/>
      <c r="E284" s="235"/>
      <c r="F284" s="235"/>
      <c r="G284" s="235"/>
      <c r="H284" s="235"/>
      <c r="I284" s="235"/>
      <c r="J284" s="235">
        <v>141996.87656730239</v>
      </c>
      <c r="K284" s="235">
        <v>2716254.1432532929</v>
      </c>
      <c r="L284" s="235">
        <v>3845037.5512592969</v>
      </c>
      <c r="M284" s="235">
        <v>2678066.9391782847</v>
      </c>
      <c r="N284" s="235">
        <v>4436728.6216698587</v>
      </c>
      <c r="O284" s="235">
        <v>4059212.9781034444</v>
      </c>
      <c r="P284" s="235">
        <v>5088066.2806657506</v>
      </c>
      <c r="Q284" s="235">
        <v>6456150.5750625581</v>
      </c>
      <c r="R284" s="235">
        <v>2654726.2984709814</v>
      </c>
      <c r="S284" s="273">
        <v>5846057.6723745344</v>
      </c>
      <c r="T284" s="235">
        <v>1694869.9801297407</v>
      </c>
      <c r="U284" s="235">
        <v>1467349.1773703152</v>
      </c>
      <c r="V284" s="235">
        <v>2998719.1059255856</v>
      </c>
      <c r="W284" s="235">
        <v>942473.81930238882</v>
      </c>
      <c r="X284" s="235">
        <v>766183.1645617506</v>
      </c>
      <c r="Y284" s="235">
        <v>742817.00960964011</v>
      </c>
      <c r="Z284" s="235">
        <v>2992002.9199218065</v>
      </c>
      <c r="AA284" s="235">
        <v>493854.61540942726</v>
      </c>
      <c r="AB284" s="235">
        <v>440690.63943639369</v>
      </c>
      <c r="AC284" s="235">
        <v>2997901.4221503818</v>
      </c>
      <c r="AD284" s="235">
        <v>276498.84863406885</v>
      </c>
      <c r="AE284" s="235">
        <v>222540.07873092321</v>
      </c>
      <c r="AF284" s="235">
        <v>203702.63427777283</v>
      </c>
      <c r="AG284" s="235">
        <v>190596.69752069761</v>
      </c>
      <c r="AH284" s="235">
        <v>161638.9524265152</v>
      </c>
      <c r="AI284" s="235">
        <v>927829.14047706896</v>
      </c>
      <c r="AJ284" s="235">
        <v>87264.073065145581</v>
      </c>
      <c r="AK284" s="235">
        <v>8491.4978651455986</v>
      </c>
      <c r="AL284" s="235">
        <v>8388.6314761791982</v>
      </c>
      <c r="AM284" s="235">
        <v>4298836.9324737377</v>
      </c>
      <c r="AN284" s="235">
        <v>0</v>
      </c>
      <c r="AO284" s="235"/>
      <c r="AP284" s="235"/>
      <c r="AQ284" s="235"/>
      <c r="AR284" s="235"/>
      <c r="AS284" s="235"/>
      <c r="AT284" s="235"/>
      <c r="AU284" s="235"/>
      <c r="AV284" s="235"/>
      <c r="AW284" s="235"/>
      <c r="AX284" s="235"/>
      <c r="AY284" s="235"/>
      <c r="AZ284" s="235"/>
      <c r="BA284" s="235"/>
      <c r="BB284" s="235"/>
      <c r="BC284" s="235"/>
      <c r="BD284" s="235"/>
      <c r="BE284" s="235"/>
      <c r="BF284" s="235"/>
      <c r="BG284" s="235"/>
      <c r="BH284" s="235"/>
      <c r="BI284" s="235"/>
      <c r="BJ284" s="235"/>
      <c r="BK284" s="235"/>
    </row>
    <row r="285" spans="1:63" s="133" customFormat="1" ht="12.75">
      <c r="A285" s="168">
        <v>39752</v>
      </c>
      <c r="B285" s="213" t="str">
        <f>Servicio_internaColumna_título_intereses</f>
        <v>Intereses</v>
      </c>
      <c r="C285" s="270">
        <v>0</v>
      </c>
      <c r="D285" s="271"/>
      <c r="E285" s="271"/>
      <c r="F285" s="271"/>
      <c r="G285" s="271"/>
      <c r="H285" s="271"/>
      <c r="I285" s="271"/>
      <c r="J285" s="271">
        <v>517535.41181084805</v>
      </c>
      <c r="K285" s="271">
        <v>4153611.672207626</v>
      </c>
      <c r="L285" s="271">
        <v>3989508.8924332811</v>
      </c>
      <c r="M285" s="271">
        <v>3825355.1508021657</v>
      </c>
      <c r="N285" s="271">
        <v>3567443.6576043586</v>
      </c>
      <c r="O285" s="271">
        <v>3293392.7821841449</v>
      </c>
      <c r="P285" s="271">
        <v>3026041.3224321213</v>
      </c>
      <c r="Q285" s="271">
        <v>2688176.5795315513</v>
      </c>
      <c r="R285" s="271">
        <v>2113711.5146003147</v>
      </c>
      <c r="S285" s="274">
        <v>1828691.4892563038</v>
      </c>
      <c r="T285" s="271">
        <v>1577507.0079175583</v>
      </c>
      <c r="U285" s="272">
        <v>1480631.6142693534</v>
      </c>
      <c r="V285" s="272">
        <v>1294463.2480522767</v>
      </c>
      <c r="W285" s="272">
        <v>1121060.8037143119</v>
      </c>
      <c r="X285" s="272">
        <v>1071707.8251094862</v>
      </c>
      <c r="Y285" s="272">
        <v>1031218.5028707533</v>
      </c>
      <c r="Z285" s="272">
        <v>899058.51466258534</v>
      </c>
      <c r="AA285" s="272">
        <v>773504.46572662215</v>
      </c>
      <c r="AB285" s="272">
        <v>749856.70871635829</v>
      </c>
      <c r="AC285" s="272">
        <v>714643.54763339669</v>
      </c>
      <c r="AD285" s="236">
        <v>455895.08031024481</v>
      </c>
      <c r="AE285" s="236">
        <v>443198.04169172799</v>
      </c>
      <c r="AF285" s="236">
        <v>432673.05283850711</v>
      </c>
      <c r="AG285" s="236">
        <v>423178.10279084963</v>
      </c>
      <c r="AH285" s="236">
        <v>414538.73869151034</v>
      </c>
      <c r="AI285" s="236">
        <v>365407.69816595362</v>
      </c>
      <c r="AJ285" s="236">
        <v>319281.11600140797</v>
      </c>
      <c r="AK285" s="236">
        <v>316478.92119247839</v>
      </c>
      <c r="AL285" s="236">
        <v>316460.88917435356</v>
      </c>
      <c r="AM285" s="236">
        <v>316440.46512204316</v>
      </c>
      <c r="AN285" s="236">
        <v>0</v>
      </c>
      <c r="AO285" s="236"/>
      <c r="AP285" s="236"/>
      <c r="AQ285" s="236"/>
      <c r="AR285" s="236"/>
      <c r="AS285" s="236"/>
      <c r="AT285" s="236"/>
      <c r="AU285" s="236"/>
      <c r="AV285" s="236"/>
      <c r="AW285" s="236"/>
      <c r="AX285" s="236"/>
      <c r="AY285" s="236"/>
      <c r="AZ285" s="236"/>
      <c r="BA285" s="236"/>
      <c r="BB285" s="236"/>
      <c r="BC285" s="236"/>
      <c r="BD285" s="236"/>
      <c r="BE285" s="236"/>
      <c r="BF285" s="236"/>
      <c r="BG285" s="236"/>
      <c r="BH285" s="236"/>
      <c r="BI285" s="236"/>
      <c r="BJ285" s="236"/>
      <c r="BK285" s="236"/>
    </row>
    <row r="286" spans="1:63" s="133" customFormat="1" ht="12.75">
      <c r="A286" s="169"/>
      <c r="B286" s="307" t="str">
        <f>Servicio_internaColumna_título_total</f>
        <v>Total</v>
      </c>
      <c r="C286" s="310">
        <v>0</v>
      </c>
      <c r="D286" s="311"/>
      <c r="E286" s="311"/>
      <c r="F286" s="311"/>
      <c r="G286" s="311"/>
      <c r="H286" s="311"/>
      <c r="I286" s="311"/>
      <c r="J286" s="311">
        <v>659532.28837815044</v>
      </c>
      <c r="K286" s="311">
        <v>6869865.8154609185</v>
      </c>
      <c r="L286" s="311">
        <v>7834546.443692578</v>
      </c>
      <c r="M286" s="311">
        <v>6503422.0899804505</v>
      </c>
      <c r="N286" s="311">
        <v>8004172.2792742178</v>
      </c>
      <c r="O286" s="311">
        <v>7352605.7602875894</v>
      </c>
      <c r="P286" s="311">
        <v>8114107.6030978719</v>
      </c>
      <c r="Q286" s="311">
        <v>9144327.1545941085</v>
      </c>
      <c r="R286" s="311">
        <v>4768437.8130712956</v>
      </c>
      <c r="S286" s="312">
        <v>7674749.1616308382</v>
      </c>
      <c r="T286" s="311">
        <v>3272376.988047299</v>
      </c>
      <c r="U286" s="311">
        <v>2947980.7916396689</v>
      </c>
      <c r="V286" s="311">
        <v>4293182.3539778627</v>
      </c>
      <c r="W286" s="311">
        <v>2063534.6230167006</v>
      </c>
      <c r="X286" s="311">
        <v>1837890.9896712368</v>
      </c>
      <c r="Y286" s="311">
        <v>1774035.5124803935</v>
      </c>
      <c r="Z286" s="311">
        <v>3891061.4345843918</v>
      </c>
      <c r="AA286" s="311">
        <v>1267359.0811360495</v>
      </c>
      <c r="AB286" s="311">
        <v>1190547.348152752</v>
      </c>
      <c r="AC286" s="311">
        <v>3712544.9697837783</v>
      </c>
      <c r="AD286" s="311">
        <v>732393.92894431367</v>
      </c>
      <c r="AE286" s="311">
        <v>665738.12042265118</v>
      </c>
      <c r="AF286" s="311">
        <v>636375.68711627997</v>
      </c>
      <c r="AG286" s="311">
        <v>613774.80031154724</v>
      </c>
      <c r="AH286" s="311">
        <v>576177.69111802557</v>
      </c>
      <c r="AI286" s="311">
        <v>1293236.8386430226</v>
      </c>
      <c r="AJ286" s="311">
        <v>406545.18906655355</v>
      </c>
      <c r="AK286" s="311">
        <v>324970.41905762401</v>
      </c>
      <c r="AL286" s="311">
        <v>324849.52065053274</v>
      </c>
      <c r="AM286" s="311">
        <v>4615277.3975957809</v>
      </c>
      <c r="AN286" s="311">
        <v>0</v>
      </c>
      <c r="AO286" s="311"/>
      <c r="AP286" s="311"/>
      <c r="AQ286" s="311"/>
      <c r="AR286" s="311"/>
      <c r="AS286" s="311"/>
      <c r="AT286" s="311"/>
      <c r="AU286" s="311"/>
      <c r="AV286" s="311"/>
      <c r="AW286" s="311"/>
      <c r="AX286" s="311"/>
      <c r="AY286" s="311"/>
      <c r="AZ286" s="311"/>
      <c r="BA286" s="311"/>
      <c r="BB286" s="311"/>
      <c r="BC286" s="311"/>
      <c r="BD286" s="311"/>
      <c r="BE286" s="311"/>
      <c r="BF286" s="311"/>
      <c r="BG286" s="311"/>
      <c r="BH286" s="311"/>
      <c r="BI286" s="311"/>
      <c r="BJ286" s="311"/>
      <c r="BK286" s="311"/>
    </row>
    <row r="287" spans="1:63" s="80" customFormat="1" ht="12.75">
      <c r="A287" s="167"/>
      <c r="B287" s="210" t="str">
        <f>Servicio_internaColumna_título_amortizaciones</f>
        <v>Amortizaciones</v>
      </c>
      <c r="C287" s="269">
        <v>0</v>
      </c>
      <c r="D287" s="235"/>
      <c r="E287" s="235"/>
      <c r="F287" s="235"/>
      <c r="G287" s="235"/>
      <c r="H287" s="235"/>
      <c r="I287" s="235"/>
      <c r="J287" s="235">
        <v>92521.924350200003</v>
      </c>
      <c r="K287" s="235">
        <v>2659443.3158733598</v>
      </c>
      <c r="L287" s="235">
        <v>3495114.5943246996</v>
      </c>
      <c r="M287" s="235">
        <v>2563783.27146362</v>
      </c>
      <c r="N287" s="235">
        <v>4398312.9332355792</v>
      </c>
      <c r="O287" s="235">
        <v>3869131.6951132799</v>
      </c>
      <c r="P287" s="235">
        <v>4719866.184121401</v>
      </c>
      <c r="Q287" s="235">
        <v>4897442.5370141407</v>
      </c>
      <c r="R287" s="235">
        <v>2447495.0048410203</v>
      </c>
      <c r="S287" s="273">
        <v>5649279.2558180792</v>
      </c>
      <c r="T287" s="235">
        <v>1585850.8607242401</v>
      </c>
      <c r="U287" s="235">
        <v>1368316.0048589197</v>
      </c>
      <c r="V287" s="235">
        <v>2899854.9603709201</v>
      </c>
      <c r="W287" s="235">
        <v>888765.6912515799</v>
      </c>
      <c r="X287" s="235">
        <v>733682.35209616018</v>
      </c>
      <c r="Y287" s="235">
        <v>710831.88247634016</v>
      </c>
      <c r="Z287" s="235">
        <v>2938303.2360892603</v>
      </c>
      <c r="AA287" s="235">
        <v>484150.76093464007</v>
      </c>
      <c r="AB287" s="235">
        <v>431922.30080258008</v>
      </c>
      <c r="AC287" s="235">
        <v>1967788.60900502</v>
      </c>
      <c r="AD287" s="235">
        <v>270817.70896886004</v>
      </c>
      <c r="AE287" s="235">
        <v>217808.44071281998</v>
      </c>
      <c r="AF287" s="235">
        <v>199302.47498996003</v>
      </c>
      <c r="AG287" s="235">
        <v>186427.16077228001</v>
      </c>
      <c r="AH287" s="235">
        <v>157978.97930811998</v>
      </c>
      <c r="AI287" s="235">
        <v>910686.67235636001</v>
      </c>
      <c r="AJ287" s="235">
        <v>84912.859775479999</v>
      </c>
      <c r="AK287" s="235">
        <v>7526.42977548</v>
      </c>
      <c r="AL287" s="235">
        <v>7429.8705647999996</v>
      </c>
      <c r="AM287" s="235">
        <v>4222384.5113541204</v>
      </c>
      <c r="AN287" s="235">
        <v>0</v>
      </c>
      <c r="AO287" s="235"/>
      <c r="AP287" s="235"/>
      <c r="AQ287" s="235"/>
      <c r="AR287" s="235"/>
      <c r="AS287" s="235"/>
      <c r="AT287" s="235"/>
      <c r="AU287" s="235"/>
      <c r="AV287" s="235"/>
      <c r="AW287" s="235"/>
      <c r="AX287" s="235"/>
      <c r="AY287" s="235"/>
      <c r="AZ287" s="235"/>
      <c r="BA287" s="235"/>
      <c r="BB287" s="235"/>
      <c r="BC287" s="235"/>
      <c r="BD287" s="235"/>
      <c r="BE287" s="235"/>
      <c r="BF287" s="235"/>
      <c r="BG287" s="235"/>
      <c r="BH287" s="235"/>
      <c r="BI287" s="235"/>
      <c r="BJ287" s="235"/>
      <c r="BK287" s="235"/>
    </row>
    <row r="288" spans="1:63" s="133" customFormat="1" ht="12.75">
      <c r="A288" s="168">
        <v>39782</v>
      </c>
      <c r="B288" s="213" t="str">
        <f>Servicio_internaColumna_título_intereses</f>
        <v>Intereses</v>
      </c>
      <c r="C288" s="270">
        <v>0</v>
      </c>
      <c r="D288" s="271"/>
      <c r="E288" s="271"/>
      <c r="F288" s="271"/>
      <c r="G288" s="271"/>
      <c r="H288" s="271"/>
      <c r="I288" s="271"/>
      <c r="J288" s="271">
        <v>261880.74949002004</v>
      </c>
      <c r="K288" s="271">
        <v>3836262.3784338417</v>
      </c>
      <c r="L288" s="271">
        <v>3620828.9982348802</v>
      </c>
      <c r="M288" s="271">
        <v>3487516.9340781802</v>
      </c>
      <c r="N288" s="271">
        <v>3234118.3936114996</v>
      </c>
      <c r="O288" s="271">
        <v>2930983.7711922387</v>
      </c>
      <c r="P288" s="271">
        <v>2678779.34135566</v>
      </c>
      <c r="Q288" s="271">
        <v>2356092.2006684402</v>
      </c>
      <c r="R288" s="271">
        <v>1947322.8804001997</v>
      </c>
      <c r="S288" s="274">
        <v>1670331.7968737399</v>
      </c>
      <c r="T288" s="271">
        <v>1425094.4249570202</v>
      </c>
      <c r="U288" s="272">
        <v>1326095.1592452601</v>
      </c>
      <c r="V288" s="272">
        <v>1162665.9790528601</v>
      </c>
      <c r="W288" s="272">
        <v>987609.25057519996</v>
      </c>
      <c r="X288" s="272">
        <v>943173.74135517993</v>
      </c>
      <c r="Y288" s="272">
        <v>906131.92660115974</v>
      </c>
      <c r="Z288" s="272">
        <v>778234.82826839993</v>
      </c>
      <c r="AA288" s="272">
        <v>656364.65728656005</v>
      </c>
      <c r="AB288" s="272">
        <v>634538.42642526014</v>
      </c>
      <c r="AC288" s="272">
        <v>601289.65460615989</v>
      </c>
      <c r="AD288" s="236">
        <v>444226.00442597998</v>
      </c>
      <c r="AE288" s="236">
        <v>433014.35879379994</v>
      </c>
      <c r="AF288" s="236">
        <v>423112.74458417995</v>
      </c>
      <c r="AG288" s="236">
        <v>414211.76486953994</v>
      </c>
      <c r="AH288" s="236">
        <v>406133.94921204</v>
      </c>
      <c r="AI288" s="236">
        <v>358241.08958530001</v>
      </c>
      <c r="AJ288" s="236">
        <v>313447.62829169998</v>
      </c>
      <c r="AK288" s="236">
        <v>310865.34161442</v>
      </c>
      <c r="AL288" s="236">
        <v>310863.87313823996</v>
      </c>
      <c r="AM288" s="236">
        <v>310860.02600000001</v>
      </c>
      <c r="AN288" s="236">
        <v>0</v>
      </c>
      <c r="AO288" s="236"/>
      <c r="AP288" s="236"/>
      <c r="AQ288" s="236"/>
      <c r="AR288" s="236"/>
      <c r="AS288" s="236"/>
      <c r="AT288" s="236"/>
      <c r="AU288" s="236"/>
      <c r="AV288" s="236"/>
      <c r="AW288" s="236"/>
      <c r="AX288" s="236"/>
      <c r="AY288" s="236"/>
      <c r="AZ288" s="236"/>
      <c r="BA288" s="236"/>
      <c r="BB288" s="236"/>
      <c r="BC288" s="236"/>
      <c r="BD288" s="236"/>
      <c r="BE288" s="236"/>
      <c r="BF288" s="236"/>
      <c r="BG288" s="236"/>
      <c r="BH288" s="236"/>
      <c r="BI288" s="236"/>
      <c r="BJ288" s="236"/>
      <c r="BK288" s="236"/>
    </row>
    <row r="289" spans="1:63" s="133" customFormat="1" ht="12.75">
      <c r="A289" s="169"/>
      <c r="B289" s="307" t="str">
        <f>Servicio_internaColumna_título_total</f>
        <v>Total</v>
      </c>
      <c r="C289" s="310">
        <v>0</v>
      </c>
      <c r="D289" s="311"/>
      <c r="E289" s="311"/>
      <c r="F289" s="311"/>
      <c r="G289" s="311"/>
      <c r="H289" s="311"/>
      <c r="I289" s="311"/>
      <c r="J289" s="311">
        <v>354402.67384022003</v>
      </c>
      <c r="K289" s="311">
        <v>6495705.6943072015</v>
      </c>
      <c r="L289" s="311">
        <v>7115943.5925595798</v>
      </c>
      <c r="M289" s="311">
        <v>6051300.2055418007</v>
      </c>
      <c r="N289" s="311">
        <v>7632431.3268470783</v>
      </c>
      <c r="O289" s="311">
        <v>6800115.4663055185</v>
      </c>
      <c r="P289" s="311">
        <v>7398645.525477061</v>
      </c>
      <c r="Q289" s="311">
        <v>7253534.7376825809</v>
      </c>
      <c r="R289" s="311">
        <v>4394817.8852412198</v>
      </c>
      <c r="S289" s="312">
        <v>7319611.0526918191</v>
      </c>
      <c r="T289" s="311">
        <v>3010945.2856812603</v>
      </c>
      <c r="U289" s="311">
        <v>2694411.1641041795</v>
      </c>
      <c r="V289" s="311">
        <v>4062520.93942378</v>
      </c>
      <c r="W289" s="311">
        <v>1876374.9418267799</v>
      </c>
      <c r="X289" s="311">
        <v>1676856.0934513402</v>
      </c>
      <c r="Y289" s="311">
        <v>1616963.8090774999</v>
      </c>
      <c r="Z289" s="311">
        <v>3716538.0643576602</v>
      </c>
      <c r="AA289" s="311">
        <v>1140515.4182212001</v>
      </c>
      <c r="AB289" s="311">
        <v>1066460.7272278401</v>
      </c>
      <c r="AC289" s="311">
        <v>2569078.2636111798</v>
      </c>
      <c r="AD289" s="311">
        <v>715043.71339484002</v>
      </c>
      <c r="AE289" s="311">
        <v>650822.79950661992</v>
      </c>
      <c r="AF289" s="311">
        <v>622415.21957413992</v>
      </c>
      <c r="AG289" s="311">
        <v>600638.92564181995</v>
      </c>
      <c r="AH289" s="311">
        <v>564112.92852016003</v>
      </c>
      <c r="AI289" s="311">
        <v>1268927.76194166</v>
      </c>
      <c r="AJ289" s="311">
        <v>398360.48806717998</v>
      </c>
      <c r="AK289" s="311">
        <v>318391.77138990001</v>
      </c>
      <c r="AL289" s="311">
        <v>318293.74370303995</v>
      </c>
      <c r="AM289" s="311">
        <v>4533244.5373541201</v>
      </c>
      <c r="AN289" s="311">
        <v>0</v>
      </c>
      <c r="AO289" s="311"/>
      <c r="AP289" s="311"/>
      <c r="AQ289" s="311"/>
      <c r="AR289" s="311"/>
      <c r="AS289" s="311"/>
      <c r="AT289" s="311"/>
      <c r="AU289" s="311"/>
      <c r="AV289" s="311"/>
      <c r="AW289" s="311"/>
      <c r="AX289" s="311"/>
      <c r="AY289" s="311"/>
      <c r="AZ289" s="311"/>
      <c r="BA289" s="311"/>
      <c r="BB289" s="311"/>
      <c r="BC289" s="311"/>
      <c r="BD289" s="311"/>
      <c r="BE289" s="311"/>
      <c r="BF289" s="311"/>
      <c r="BG289" s="311"/>
      <c r="BH289" s="311"/>
      <c r="BI289" s="311"/>
      <c r="BJ289" s="311"/>
      <c r="BK289" s="311"/>
    </row>
    <row r="290" spans="1:63" s="80" customFormat="1" ht="12.75">
      <c r="A290" s="167"/>
      <c r="B290" s="210" t="str">
        <f>Servicio_internaColumna_título_amortizaciones</f>
        <v>Amortizaciones</v>
      </c>
      <c r="C290" s="269">
        <v>0</v>
      </c>
      <c r="D290" s="235"/>
      <c r="E290" s="235"/>
      <c r="F290" s="235"/>
      <c r="G290" s="235"/>
      <c r="H290" s="235"/>
      <c r="I290" s="235"/>
      <c r="J290" s="235"/>
      <c r="K290" s="235">
        <v>2575371.0815364234</v>
      </c>
      <c r="L290" s="235">
        <v>3680542.6625564755</v>
      </c>
      <c r="M290" s="235">
        <v>2488952.5590510475</v>
      </c>
      <c r="N290" s="235">
        <v>4255958.6634368869</v>
      </c>
      <c r="O290" s="235">
        <v>3823873.5844916385</v>
      </c>
      <c r="P290" s="235">
        <v>4821877.492116523</v>
      </c>
      <c r="Q290" s="235">
        <v>6200656.4690758605</v>
      </c>
      <c r="R290" s="235">
        <v>2522292.5108869681</v>
      </c>
      <c r="S290" s="273">
        <v>5565053.5841631033</v>
      </c>
      <c r="T290" s="235">
        <v>1616309.4345031083</v>
      </c>
      <c r="U290" s="235">
        <v>1440208.030383646</v>
      </c>
      <c r="V290" s="235">
        <v>2935186.1956998119</v>
      </c>
      <c r="W290" s="235">
        <v>960442.56213985151</v>
      </c>
      <c r="X290" s="235">
        <v>773731.03404177842</v>
      </c>
      <c r="Y290" s="235">
        <v>747977.3061049059</v>
      </c>
      <c r="Z290" s="235">
        <v>2880221.9081617701</v>
      </c>
      <c r="AA290" s="235">
        <v>456401.23951269977</v>
      </c>
      <c r="AB290" s="235">
        <v>405849.36252059956</v>
      </c>
      <c r="AC290" s="235">
        <v>2928906.9252129514</v>
      </c>
      <c r="AD290" s="235">
        <v>294827.30376826308</v>
      </c>
      <c r="AE290" s="235">
        <v>206126.51645795448</v>
      </c>
      <c r="AF290" s="235">
        <v>188214.6097987002</v>
      </c>
      <c r="AG290" s="235">
        <v>175752.60538729181</v>
      </c>
      <c r="AH290" s="235">
        <v>148217.63754813097</v>
      </c>
      <c r="AI290" s="235">
        <v>876762.69925913238</v>
      </c>
      <c r="AJ290" s="235">
        <v>75905.743591607796</v>
      </c>
      <c r="AK290" s="235">
        <v>1003.4914416078001</v>
      </c>
      <c r="AL290" s="235">
        <v>909.66881550059998</v>
      </c>
      <c r="AM290" s="235">
        <v>4080559.902189394</v>
      </c>
      <c r="AN290" s="235">
        <v>0</v>
      </c>
      <c r="AO290" s="235"/>
      <c r="AP290" s="235"/>
      <c r="AQ290" s="235"/>
      <c r="AR290" s="235"/>
      <c r="AS290" s="235"/>
      <c r="AT290" s="235"/>
      <c r="AU290" s="235"/>
      <c r="AV290" s="235"/>
      <c r="AW290" s="235"/>
      <c r="AX290" s="235"/>
      <c r="AY290" s="235"/>
      <c r="AZ290" s="235"/>
      <c r="BA290" s="235"/>
      <c r="BB290" s="235"/>
      <c r="BC290" s="235"/>
      <c r="BD290" s="235"/>
      <c r="BE290" s="235"/>
      <c r="BF290" s="235"/>
      <c r="BG290" s="235"/>
      <c r="BH290" s="235"/>
      <c r="BI290" s="235"/>
      <c r="BJ290" s="235"/>
      <c r="BK290" s="235"/>
    </row>
    <row r="291" spans="1:63" s="133" customFormat="1" ht="12.75">
      <c r="A291" s="168">
        <v>39813</v>
      </c>
      <c r="B291" s="213" t="str">
        <f>Servicio_internaColumna_título_intereses</f>
        <v>Intereses</v>
      </c>
      <c r="C291" s="270">
        <v>0</v>
      </c>
      <c r="D291" s="271"/>
      <c r="E291" s="271"/>
      <c r="F291" s="271"/>
      <c r="G291" s="271"/>
      <c r="H291" s="271"/>
      <c r="I291" s="271"/>
      <c r="J291" s="271"/>
      <c r="K291" s="271">
        <v>3834773.0134103652</v>
      </c>
      <c r="L291" s="271">
        <v>3690667.9453899339</v>
      </c>
      <c r="M291" s="271">
        <v>3521748.3055047053</v>
      </c>
      <c r="N291" s="271">
        <v>3333546.1404958894</v>
      </c>
      <c r="O291" s="271">
        <v>3072978.764543687</v>
      </c>
      <c r="P291" s="271">
        <v>2828642.7215522625</v>
      </c>
      <c r="Q291" s="271">
        <v>2503602.8700138303</v>
      </c>
      <c r="R291" s="271">
        <v>1961671.8414218109</v>
      </c>
      <c r="S291" s="274">
        <v>1698426.4289007278</v>
      </c>
      <c r="T291" s="271">
        <v>1470182.1711618262</v>
      </c>
      <c r="U291" s="272">
        <v>1373686.9036466172</v>
      </c>
      <c r="V291" s="272">
        <v>1219319.2983251202</v>
      </c>
      <c r="W291" s="272">
        <v>1046891.4257921567</v>
      </c>
      <c r="X291" s="272">
        <v>1001485.6183689476</v>
      </c>
      <c r="Y291" s="272">
        <v>964807.44151369506</v>
      </c>
      <c r="Z291" s="272">
        <v>839329.08514446684</v>
      </c>
      <c r="AA291" s="272">
        <v>723014.47330329311</v>
      </c>
      <c r="AB291" s="272">
        <v>704440.46394016466</v>
      </c>
      <c r="AC291" s="272">
        <v>674206.9401740079</v>
      </c>
      <c r="AD291" s="236">
        <v>424712.81000334496</v>
      </c>
      <c r="AE291" s="236">
        <v>413358.20865759935</v>
      </c>
      <c r="AF291" s="236">
        <v>404840.19365206081</v>
      </c>
      <c r="AG291" s="236">
        <v>397270.67429017811</v>
      </c>
      <c r="AH291" s="236">
        <v>390464.12748664612</v>
      </c>
      <c r="AI291" s="236">
        <v>345081.39069748414</v>
      </c>
      <c r="AJ291" s="236">
        <v>302602.3122369636</v>
      </c>
      <c r="AK291" s="236">
        <v>300886.2760408452</v>
      </c>
      <c r="AL291" s="236">
        <v>300884.84916247701</v>
      </c>
      <c r="AM291" s="236">
        <v>300881.12413000001</v>
      </c>
      <c r="AN291" s="236">
        <v>0</v>
      </c>
      <c r="AO291" s="236"/>
      <c r="AP291" s="236"/>
      <c r="AQ291" s="236"/>
      <c r="AR291" s="236"/>
      <c r="AS291" s="236"/>
      <c r="AT291" s="236"/>
      <c r="AU291" s="236"/>
      <c r="AV291" s="236"/>
      <c r="AW291" s="236"/>
      <c r="AX291" s="236"/>
      <c r="AY291" s="236"/>
      <c r="AZ291" s="236"/>
      <c r="BA291" s="236"/>
      <c r="BB291" s="236"/>
      <c r="BC291" s="236"/>
      <c r="BD291" s="236"/>
      <c r="BE291" s="236"/>
      <c r="BF291" s="236"/>
      <c r="BG291" s="236"/>
      <c r="BH291" s="236"/>
      <c r="BI291" s="236"/>
      <c r="BJ291" s="236"/>
      <c r="BK291" s="236"/>
    </row>
    <row r="292" spans="1:63" s="133" customFormat="1" ht="12.75">
      <c r="A292" s="169"/>
      <c r="B292" s="307" t="str">
        <f>Servicio_internaColumna_título_total</f>
        <v>Total</v>
      </c>
      <c r="C292" s="310">
        <v>0</v>
      </c>
      <c r="D292" s="311"/>
      <c r="E292" s="311"/>
      <c r="F292" s="311"/>
      <c r="G292" s="311"/>
      <c r="H292" s="311"/>
      <c r="I292" s="311"/>
      <c r="J292" s="311"/>
      <c r="K292" s="311">
        <v>6410144.0949467886</v>
      </c>
      <c r="L292" s="311">
        <v>7371210.6079464089</v>
      </c>
      <c r="M292" s="311">
        <v>6010700.8645557528</v>
      </c>
      <c r="N292" s="311">
        <v>7589504.8039327767</v>
      </c>
      <c r="O292" s="311">
        <v>6896852.3490353255</v>
      </c>
      <c r="P292" s="311">
        <v>7650520.213668786</v>
      </c>
      <c r="Q292" s="311">
        <v>8704259.3390896916</v>
      </c>
      <c r="R292" s="311">
        <v>4483964.352308779</v>
      </c>
      <c r="S292" s="312">
        <v>7263480.0130638313</v>
      </c>
      <c r="T292" s="311">
        <v>3086491.6056649345</v>
      </c>
      <c r="U292" s="311">
        <v>2813894.9340302632</v>
      </c>
      <c r="V292" s="311">
        <v>4154505.4940249324</v>
      </c>
      <c r="W292" s="311">
        <v>2007333.9879320082</v>
      </c>
      <c r="X292" s="311">
        <v>1775216.6524107261</v>
      </c>
      <c r="Y292" s="311">
        <v>1712784.747618601</v>
      </c>
      <c r="Z292" s="311">
        <v>3719550.9933062368</v>
      </c>
      <c r="AA292" s="311">
        <v>1179415.712815993</v>
      </c>
      <c r="AB292" s="311">
        <v>1110289.8264607643</v>
      </c>
      <c r="AC292" s="311">
        <v>3603113.8653869592</v>
      </c>
      <c r="AD292" s="311">
        <v>719540.1137716081</v>
      </c>
      <c r="AE292" s="311">
        <v>619484.72511555383</v>
      </c>
      <c r="AF292" s="311">
        <v>593054.80345076101</v>
      </c>
      <c r="AG292" s="311">
        <v>573023.27967746998</v>
      </c>
      <c r="AH292" s="311">
        <v>538681.76503477711</v>
      </c>
      <c r="AI292" s="311">
        <v>1221844.0899566165</v>
      </c>
      <c r="AJ292" s="311">
        <v>378508.05582857138</v>
      </c>
      <c r="AK292" s="311">
        <v>301889.76748245303</v>
      </c>
      <c r="AL292" s="311">
        <v>301794.51797797764</v>
      </c>
      <c r="AM292" s="311">
        <v>4381441.0263193939</v>
      </c>
      <c r="AN292" s="311">
        <v>0</v>
      </c>
      <c r="AO292" s="311"/>
      <c r="AP292" s="311"/>
      <c r="AQ292" s="311"/>
      <c r="AR292" s="311"/>
      <c r="AS292" s="311"/>
      <c r="AT292" s="311"/>
      <c r="AU292" s="311"/>
      <c r="AV292" s="311"/>
      <c r="AW292" s="311"/>
      <c r="AX292" s="311"/>
      <c r="AY292" s="311"/>
      <c r="AZ292" s="311"/>
      <c r="BA292" s="311"/>
      <c r="BB292" s="311"/>
      <c r="BC292" s="311"/>
      <c r="BD292" s="311"/>
      <c r="BE292" s="311"/>
      <c r="BF292" s="311"/>
      <c r="BG292" s="311"/>
      <c r="BH292" s="311"/>
      <c r="BI292" s="311"/>
      <c r="BJ292" s="311"/>
      <c r="BK292" s="311"/>
    </row>
    <row r="293" spans="1:63" s="80" customFormat="1" ht="12.75">
      <c r="A293" s="167"/>
      <c r="B293" s="210" t="str">
        <f>Servicio_internaColumna_título_amortizaciones</f>
        <v>Amortizaciones</v>
      </c>
      <c r="C293" s="269">
        <v>0</v>
      </c>
      <c r="D293" s="235"/>
      <c r="E293" s="235"/>
      <c r="F293" s="235"/>
      <c r="G293" s="235"/>
      <c r="H293" s="235"/>
      <c r="I293" s="235"/>
      <c r="J293" s="235"/>
      <c r="K293" s="235">
        <v>2703092.8266455359</v>
      </c>
      <c r="L293" s="235">
        <v>3997600.6771797743</v>
      </c>
      <c r="M293" s="235">
        <v>2680479.5833367226</v>
      </c>
      <c r="N293" s="235">
        <v>4592215.8336765235</v>
      </c>
      <c r="O293" s="235">
        <v>4073134.5281487145</v>
      </c>
      <c r="P293" s="235">
        <v>5274384.8375900611</v>
      </c>
      <c r="Q293" s="235">
        <v>6695631.8877013335</v>
      </c>
      <c r="R293" s="235">
        <v>2761469.400744705</v>
      </c>
      <c r="S293" s="273">
        <v>6049783.1568466956</v>
      </c>
      <c r="T293" s="235">
        <v>1880227.0960350281</v>
      </c>
      <c r="U293" s="235">
        <v>4067547.0419737706</v>
      </c>
      <c r="V293" s="235">
        <v>3299999.9257007958</v>
      </c>
      <c r="W293" s="235">
        <v>1156397.1107293225</v>
      </c>
      <c r="X293" s="235">
        <v>1009677.7887665728</v>
      </c>
      <c r="Y293" s="235">
        <v>952419.09488433506</v>
      </c>
      <c r="Z293" s="235">
        <v>3286505.1068887822</v>
      </c>
      <c r="AA293" s="235">
        <v>727762.06131977099</v>
      </c>
      <c r="AB293" s="235">
        <v>655377.7895630222</v>
      </c>
      <c r="AC293" s="235">
        <v>3308626.7024778146</v>
      </c>
      <c r="AD293" s="235">
        <v>501614.06789604505</v>
      </c>
      <c r="AE293" s="235">
        <v>405928.59617632465</v>
      </c>
      <c r="AF293" s="235">
        <v>355796.31855906441</v>
      </c>
      <c r="AG293" s="235">
        <v>342588.99400994601</v>
      </c>
      <c r="AH293" s="235">
        <v>311799.64088187681</v>
      </c>
      <c r="AI293" s="235">
        <v>1014943.5605740758</v>
      </c>
      <c r="AJ293" s="235">
        <v>151023.657417134</v>
      </c>
      <c r="AK293" s="235">
        <v>70223.277317134009</v>
      </c>
      <c r="AL293" s="235">
        <v>70122.217690854595</v>
      </c>
      <c r="AM293" s="235">
        <v>4409402.4705221662</v>
      </c>
      <c r="AN293" s="235">
        <v>4268.4570360924008</v>
      </c>
      <c r="AO293" s="235"/>
      <c r="AP293" s="235"/>
      <c r="AQ293" s="235"/>
      <c r="AR293" s="235"/>
      <c r="AS293" s="235"/>
      <c r="AT293" s="235"/>
      <c r="AU293" s="235"/>
      <c r="AV293" s="235"/>
      <c r="AW293" s="235"/>
      <c r="AX293" s="235"/>
      <c r="AY293" s="235"/>
      <c r="AZ293" s="235"/>
      <c r="BA293" s="235"/>
      <c r="BB293" s="235"/>
      <c r="BC293" s="235"/>
      <c r="BD293" s="235"/>
      <c r="BE293" s="235"/>
      <c r="BF293" s="235"/>
      <c r="BG293" s="235"/>
      <c r="BH293" s="235"/>
      <c r="BI293" s="235"/>
      <c r="BJ293" s="235"/>
      <c r="BK293" s="235"/>
    </row>
    <row r="294" spans="1:63" s="133" customFormat="1" ht="12.75">
      <c r="A294" s="168">
        <v>39844</v>
      </c>
      <c r="B294" s="213" t="str">
        <f>Servicio_internaColumna_título_intereses</f>
        <v>Intereses</v>
      </c>
      <c r="C294" s="270">
        <v>0</v>
      </c>
      <c r="D294" s="271"/>
      <c r="E294" s="271"/>
      <c r="F294" s="271"/>
      <c r="G294" s="271"/>
      <c r="H294" s="271"/>
      <c r="I294" s="271"/>
      <c r="J294" s="271"/>
      <c r="K294" s="271">
        <v>3726051.7140845219</v>
      </c>
      <c r="L294" s="271">
        <v>4108480.343178025</v>
      </c>
      <c r="M294" s="271">
        <v>3980533.0896516126</v>
      </c>
      <c r="N294" s="271">
        <v>3822500.4426766369</v>
      </c>
      <c r="O294" s="271">
        <v>3499230.2256894046</v>
      </c>
      <c r="P294" s="271">
        <v>3284520.3143717181</v>
      </c>
      <c r="Q294" s="271">
        <v>2953728.7623337754</v>
      </c>
      <c r="R294" s="271">
        <v>2388339.2776747262</v>
      </c>
      <c r="S294" s="274">
        <v>2109971.0409257445</v>
      </c>
      <c r="T294" s="271">
        <v>1867656.2178432988</v>
      </c>
      <c r="U294" s="272">
        <v>1682598.7990801579</v>
      </c>
      <c r="V294" s="272">
        <v>1427697.8553231361</v>
      </c>
      <c r="W294" s="272">
        <v>1232955.6722881098</v>
      </c>
      <c r="X294" s="272">
        <v>1180357.3974686631</v>
      </c>
      <c r="Y294" s="272">
        <v>1127439.6821402488</v>
      </c>
      <c r="Z294" s="272">
        <v>988499.14871573029</v>
      </c>
      <c r="AA294" s="272">
        <v>851030.32491058856</v>
      </c>
      <c r="AB294" s="272">
        <v>819210.34963501524</v>
      </c>
      <c r="AC294" s="272">
        <v>777029.08647540945</v>
      </c>
      <c r="AD294" s="236">
        <v>501574.2068915178</v>
      </c>
      <c r="AE294" s="236">
        <v>479341.65203832317</v>
      </c>
      <c r="AF294" s="236">
        <v>462933.38929489837</v>
      </c>
      <c r="AG294" s="236">
        <v>447286.12094061828</v>
      </c>
      <c r="AH294" s="236">
        <v>435081.90078786894</v>
      </c>
      <c r="AI294" s="236">
        <v>381322.715489102</v>
      </c>
      <c r="AJ294" s="236">
        <v>332737.47830154159</v>
      </c>
      <c r="AK294" s="236">
        <v>328469.70377876924</v>
      </c>
      <c r="AL294" s="236">
        <v>326245.70636516705</v>
      </c>
      <c r="AM294" s="236">
        <v>324584.98249925644</v>
      </c>
      <c r="AN294" s="236">
        <v>0</v>
      </c>
      <c r="AO294" s="236"/>
      <c r="AP294" s="236"/>
      <c r="AQ294" s="236"/>
      <c r="AR294" s="236"/>
      <c r="AS294" s="236"/>
      <c r="AT294" s="236"/>
      <c r="AU294" s="236"/>
      <c r="AV294" s="236"/>
      <c r="AW294" s="236"/>
      <c r="AX294" s="236"/>
      <c r="AY294" s="236"/>
      <c r="AZ294" s="236"/>
      <c r="BA294" s="236"/>
      <c r="BB294" s="236"/>
      <c r="BC294" s="236"/>
      <c r="BD294" s="236"/>
      <c r="BE294" s="236"/>
      <c r="BF294" s="236"/>
      <c r="BG294" s="236"/>
      <c r="BH294" s="236"/>
      <c r="BI294" s="236"/>
      <c r="BJ294" s="236"/>
      <c r="BK294" s="236"/>
    </row>
    <row r="295" spans="1:63" s="133" customFormat="1" ht="12.75">
      <c r="A295" s="169"/>
      <c r="B295" s="307" t="str">
        <f>Servicio_internaColumna_título_total</f>
        <v>Total</v>
      </c>
      <c r="C295" s="310">
        <v>0</v>
      </c>
      <c r="D295" s="311"/>
      <c r="E295" s="311"/>
      <c r="F295" s="311"/>
      <c r="G295" s="311"/>
      <c r="H295" s="311"/>
      <c r="I295" s="311"/>
      <c r="J295" s="311"/>
      <c r="K295" s="311">
        <v>6429144.5407300573</v>
      </c>
      <c r="L295" s="311">
        <v>8106081.0203577988</v>
      </c>
      <c r="M295" s="311">
        <v>6661012.6729883347</v>
      </c>
      <c r="N295" s="311">
        <v>8414716.2763531599</v>
      </c>
      <c r="O295" s="311">
        <v>7572364.7538381191</v>
      </c>
      <c r="P295" s="311">
        <v>8558905.1519617792</v>
      </c>
      <c r="Q295" s="311">
        <v>9649360.6500351094</v>
      </c>
      <c r="R295" s="311">
        <v>5149808.6784194317</v>
      </c>
      <c r="S295" s="312">
        <v>8159754.1977724396</v>
      </c>
      <c r="T295" s="311">
        <v>3747883.3138783267</v>
      </c>
      <c r="U295" s="311">
        <v>5750145.8410539282</v>
      </c>
      <c r="V295" s="311">
        <v>4727697.7810239317</v>
      </c>
      <c r="W295" s="311">
        <v>2389352.7830174323</v>
      </c>
      <c r="X295" s="311">
        <v>2190035.186235236</v>
      </c>
      <c r="Y295" s="311">
        <v>2079858.7770245839</v>
      </c>
      <c r="Z295" s="311">
        <v>4275004.255604513</v>
      </c>
      <c r="AA295" s="311">
        <v>1578792.3862303596</v>
      </c>
      <c r="AB295" s="311">
        <v>1474588.1391980373</v>
      </c>
      <c r="AC295" s="311">
        <v>4085655.7889532242</v>
      </c>
      <c r="AD295" s="311">
        <v>1003188.2747875629</v>
      </c>
      <c r="AE295" s="311">
        <v>885270.24821464787</v>
      </c>
      <c r="AF295" s="311">
        <v>818729.70785396278</v>
      </c>
      <c r="AG295" s="311">
        <v>789875.11495056422</v>
      </c>
      <c r="AH295" s="311">
        <v>746881.5416697457</v>
      </c>
      <c r="AI295" s="311">
        <v>1396266.2760631777</v>
      </c>
      <c r="AJ295" s="311">
        <v>483761.13571867556</v>
      </c>
      <c r="AK295" s="311">
        <v>398692.98109590326</v>
      </c>
      <c r="AL295" s="311">
        <v>396367.92405602161</v>
      </c>
      <c r="AM295" s="311">
        <v>4733987.453021423</v>
      </c>
      <c r="AN295" s="311">
        <v>4268.4570360924008</v>
      </c>
      <c r="AO295" s="311"/>
      <c r="AP295" s="311"/>
      <c r="AQ295" s="311"/>
      <c r="AR295" s="311"/>
      <c r="AS295" s="311"/>
      <c r="AT295" s="311"/>
      <c r="AU295" s="311"/>
      <c r="AV295" s="311"/>
      <c r="AW295" s="311"/>
      <c r="AX295" s="311"/>
      <c r="AY295" s="311"/>
      <c r="AZ295" s="311"/>
      <c r="BA295" s="311"/>
      <c r="BB295" s="311"/>
      <c r="BC295" s="311"/>
      <c r="BD295" s="311"/>
      <c r="BE295" s="311"/>
      <c r="BF295" s="311"/>
      <c r="BG295" s="311"/>
      <c r="BH295" s="311"/>
      <c r="BI295" s="311"/>
      <c r="BJ295" s="311"/>
      <c r="BK295" s="311"/>
    </row>
    <row r="296" spans="1:63" s="80" customFormat="1" ht="12.75">
      <c r="A296" s="167"/>
      <c r="B296" s="210" t="str">
        <f>Servicio_internaColumna_título_amortizaciones</f>
        <v>Amortizaciones</v>
      </c>
      <c r="C296" s="269">
        <v>0</v>
      </c>
      <c r="D296" s="235"/>
      <c r="E296" s="235"/>
      <c r="F296" s="235"/>
      <c r="G296" s="235"/>
      <c r="H296" s="235"/>
      <c r="I296" s="235"/>
      <c r="J296" s="235"/>
      <c r="K296" s="235">
        <v>2759704.2907989835</v>
      </c>
      <c r="L296" s="235">
        <v>4221623.7781755896</v>
      </c>
      <c r="M296" s="235">
        <v>2830692.0224737641</v>
      </c>
      <c r="N296" s="235">
        <v>4849560.8049676707</v>
      </c>
      <c r="O296" s="235">
        <v>4301390.5000315132</v>
      </c>
      <c r="P296" s="235">
        <v>5569051.7608718397</v>
      </c>
      <c r="Q296" s="235">
        <v>7070851.0103045246</v>
      </c>
      <c r="R296" s="235">
        <v>2916220.4597965353</v>
      </c>
      <c r="S296" s="273">
        <v>6388809.3109309953</v>
      </c>
      <c r="T296" s="235">
        <v>1985593.8744215281</v>
      </c>
      <c r="U296" s="235">
        <v>4295489.8945430694</v>
      </c>
      <c r="V296" s="235">
        <v>3484929.9065419529</v>
      </c>
      <c r="W296" s="235">
        <v>1221200.8987132052</v>
      </c>
      <c r="X296" s="235">
        <v>1066259.5155351551</v>
      </c>
      <c r="Y296" s="235">
        <v>1002213.8296244985</v>
      </c>
      <c r="Z296" s="235">
        <v>3463522.3467523525</v>
      </c>
      <c r="AA296" s="235">
        <v>761388.9032899132</v>
      </c>
      <c r="AB296" s="235">
        <v>684948.26114208507</v>
      </c>
      <c r="AC296" s="235">
        <v>3486883.6230506464</v>
      </c>
      <c r="AD296" s="235">
        <v>522567.71440172545</v>
      </c>
      <c r="AE296" s="235">
        <v>421520.08727282053</v>
      </c>
      <c r="AF296" s="235">
        <v>368578.4274288881</v>
      </c>
      <c r="AG296" s="235">
        <v>354630.97247649013</v>
      </c>
      <c r="AH296" s="235">
        <v>322116.20279924438</v>
      </c>
      <c r="AI296" s="235">
        <v>1064663.8784080865</v>
      </c>
      <c r="AJ296" s="235">
        <v>153236.81384484703</v>
      </c>
      <c r="AK296" s="235">
        <v>67002.047327970824</v>
      </c>
      <c r="AL296" s="235">
        <v>66895.324381942191</v>
      </c>
      <c r="AM296" s="235">
        <v>4649346.1929974621</v>
      </c>
      <c r="AN296" s="235">
        <v>929.40912972912599</v>
      </c>
      <c r="AO296" s="235"/>
      <c r="AP296" s="235"/>
      <c r="AQ296" s="235"/>
      <c r="AR296" s="235"/>
      <c r="AS296" s="235"/>
      <c r="AT296" s="235"/>
      <c r="AU296" s="235"/>
      <c r="AV296" s="235"/>
      <c r="AW296" s="235"/>
      <c r="AX296" s="235"/>
      <c r="AY296" s="235"/>
      <c r="AZ296" s="235"/>
      <c r="BA296" s="235"/>
      <c r="BB296" s="235"/>
      <c r="BC296" s="235"/>
      <c r="BD296" s="235"/>
      <c r="BE296" s="235"/>
      <c r="BF296" s="235"/>
      <c r="BG296" s="235"/>
      <c r="BH296" s="235"/>
      <c r="BI296" s="235"/>
      <c r="BJ296" s="235"/>
      <c r="BK296" s="235"/>
    </row>
    <row r="297" spans="1:63" s="133" customFormat="1" ht="12.75">
      <c r="A297" s="168">
        <v>39872</v>
      </c>
      <c r="B297" s="213" t="str">
        <f>Servicio_internaColumna_título_intereses</f>
        <v>Intereses</v>
      </c>
      <c r="C297" s="270">
        <v>0</v>
      </c>
      <c r="D297" s="271"/>
      <c r="E297" s="271"/>
      <c r="F297" s="271"/>
      <c r="G297" s="271"/>
      <c r="H297" s="271"/>
      <c r="I297" s="271"/>
      <c r="J297" s="271"/>
      <c r="K297" s="271">
        <v>3691048.440063267</v>
      </c>
      <c r="L297" s="271">
        <v>4366552.68219929</v>
      </c>
      <c r="M297" s="271">
        <v>4213159.9359401911</v>
      </c>
      <c r="N297" s="271">
        <v>4048511.2753080172</v>
      </c>
      <c r="O297" s="271">
        <v>3704457.373181399</v>
      </c>
      <c r="P297" s="271">
        <v>3474142.2069162438</v>
      </c>
      <c r="Q297" s="271">
        <v>3122040.4673208729</v>
      </c>
      <c r="R297" s="271">
        <v>2523046.7842118689</v>
      </c>
      <c r="S297" s="274">
        <v>2228685.5930483812</v>
      </c>
      <c r="T297" s="271">
        <v>1972425.2665182156</v>
      </c>
      <c r="U297" s="272">
        <v>1776920.0547343872</v>
      </c>
      <c r="V297" s="272">
        <v>1507736.9798096719</v>
      </c>
      <c r="W297" s="272">
        <v>1302083.0881572429</v>
      </c>
      <c r="X297" s="272">
        <v>1246538.2559401356</v>
      </c>
      <c r="Y297" s="272">
        <v>1190656.1047615279</v>
      </c>
      <c r="Z297" s="272">
        <v>1043926.4471082733</v>
      </c>
      <c r="AA297" s="272">
        <v>898753.86582016072</v>
      </c>
      <c r="AB297" s="272">
        <v>865150.71853400848</v>
      </c>
      <c r="AC297" s="272">
        <v>820605.64316857047</v>
      </c>
      <c r="AD297" s="236">
        <v>529714.5288628384</v>
      </c>
      <c r="AE297" s="236">
        <v>506235.98667494493</v>
      </c>
      <c r="AF297" s="236">
        <v>488908.21488078038</v>
      </c>
      <c r="AG297" s="236">
        <v>472384.08316222025</v>
      </c>
      <c r="AH297" s="236">
        <v>459496.03452564863</v>
      </c>
      <c r="AI297" s="236">
        <v>402724.1287467595</v>
      </c>
      <c r="AJ297" s="236">
        <v>351383.88341452705</v>
      </c>
      <c r="AK297" s="236">
        <v>346876.94541342126</v>
      </c>
      <c r="AL297" s="236">
        <v>344528.31654274382</v>
      </c>
      <c r="AM297" s="236">
        <v>342774.52672543318</v>
      </c>
      <c r="AN297" s="236">
        <v>0</v>
      </c>
      <c r="AO297" s="236"/>
      <c r="AP297" s="236"/>
      <c r="AQ297" s="236"/>
      <c r="AR297" s="236"/>
      <c r="AS297" s="236"/>
      <c r="AT297" s="236"/>
      <c r="AU297" s="236"/>
      <c r="AV297" s="236"/>
      <c r="AW297" s="236"/>
      <c r="AX297" s="236"/>
      <c r="AY297" s="236"/>
      <c r="AZ297" s="236"/>
      <c r="BA297" s="236"/>
      <c r="BB297" s="236"/>
      <c r="BC297" s="236"/>
      <c r="BD297" s="236"/>
      <c r="BE297" s="236"/>
      <c r="BF297" s="236"/>
      <c r="BG297" s="236"/>
      <c r="BH297" s="236"/>
      <c r="BI297" s="236"/>
      <c r="BJ297" s="236"/>
      <c r="BK297" s="236"/>
    </row>
    <row r="298" spans="1:63" s="133" customFormat="1" ht="12.75">
      <c r="A298" s="169"/>
      <c r="B298" s="307" t="str">
        <f>Servicio_internaColumna_título_total</f>
        <v>Total</v>
      </c>
      <c r="C298" s="310">
        <v>0</v>
      </c>
      <c r="D298" s="311"/>
      <c r="E298" s="311"/>
      <c r="F298" s="311"/>
      <c r="G298" s="311"/>
      <c r="H298" s="311"/>
      <c r="I298" s="311"/>
      <c r="J298" s="311"/>
      <c r="K298" s="311">
        <v>6450752.7308622506</v>
      </c>
      <c r="L298" s="311">
        <v>8588176.4603748806</v>
      </c>
      <c r="M298" s="311">
        <v>7043851.9584139548</v>
      </c>
      <c r="N298" s="311">
        <v>8898072.0802756883</v>
      </c>
      <c r="O298" s="311">
        <v>8005847.8732129121</v>
      </c>
      <c r="P298" s="311">
        <v>9043193.9677880835</v>
      </c>
      <c r="Q298" s="311">
        <v>10192891.477625398</v>
      </c>
      <c r="R298" s="311">
        <v>5439267.2440084042</v>
      </c>
      <c r="S298" s="312">
        <v>8617494.903979376</v>
      </c>
      <c r="T298" s="311">
        <v>3958019.1409397437</v>
      </c>
      <c r="U298" s="311">
        <v>6072409.9492774568</v>
      </c>
      <c r="V298" s="311">
        <v>4992666.8863516245</v>
      </c>
      <c r="W298" s="311">
        <v>2523283.9868704481</v>
      </c>
      <c r="X298" s="311">
        <v>2312797.7714752909</v>
      </c>
      <c r="Y298" s="311">
        <v>2192869.9343860261</v>
      </c>
      <c r="Z298" s="311">
        <v>4507448.7938606255</v>
      </c>
      <c r="AA298" s="311">
        <v>1660142.7691100738</v>
      </c>
      <c r="AB298" s="311">
        <v>1550098.9796760934</v>
      </c>
      <c r="AC298" s="311">
        <v>4307489.2662192173</v>
      </c>
      <c r="AD298" s="311">
        <v>1052282.2432645638</v>
      </c>
      <c r="AE298" s="311">
        <v>927756.0739477654</v>
      </c>
      <c r="AF298" s="311">
        <v>857486.64230966847</v>
      </c>
      <c r="AG298" s="311">
        <v>827015.05563871039</v>
      </c>
      <c r="AH298" s="311">
        <v>781612.23732489301</v>
      </c>
      <c r="AI298" s="311">
        <v>1467388.0071548461</v>
      </c>
      <c r="AJ298" s="311">
        <v>504620.69725937408</v>
      </c>
      <c r="AK298" s="311">
        <v>413878.99274139211</v>
      </c>
      <c r="AL298" s="311">
        <v>411423.64092468598</v>
      </c>
      <c r="AM298" s="311">
        <v>4992120.719722895</v>
      </c>
      <c r="AN298" s="311">
        <v>929.40912972912599</v>
      </c>
      <c r="AO298" s="311"/>
      <c r="AP298" s="311"/>
      <c r="AQ298" s="311"/>
      <c r="AR298" s="311"/>
      <c r="AS298" s="311"/>
      <c r="AT298" s="311"/>
      <c r="AU298" s="311"/>
      <c r="AV298" s="311"/>
      <c r="AW298" s="311"/>
      <c r="AX298" s="311"/>
      <c r="AY298" s="311"/>
      <c r="AZ298" s="311"/>
      <c r="BA298" s="311"/>
      <c r="BB298" s="311"/>
      <c r="BC298" s="311"/>
      <c r="BD298" s="311"/>
      <c r="BE298" s="311"/>
      <c r="BF298" s="311"/>
      <c r="BG298" s="311"/>
      <c r="BH298" s="311"/>
      <c r="BI298" s="311"/>
      <c r="BJ298" s="311"/>
      <c r="BK298" s="311"/>
    </row>
    <row r="299" spans="1:63" s="80" customFormat="1" ht="12.75">
      <c r="A299" s="167"/>
      <c r="B299" s="210" t="str">
        <f>Servicio_internaColumna_título_amortizaciones</f>
        <v>Amortizaciones</v>
      </c>
      <c r="C299" s="269">
        <v>0</v>
      </c>
      <c r="D299" s="235"/>
      <c r="E299" s="235"/>
      <c r="F299" s="235"/>
      <c r="G299" s="235"/>
      <c r="H299" s="235"/>
      <c r="I299" s="235"/>
      <c r="J299" s="235"/>
      <c r="K299" s="235">
        <v>2716396.2869720571</v>
      </c>
      <c r="L299" s="235">
        <v>4201258.2533661304</v>
      </c>
      <c r="M299" s="235">
        <v>2827931.9242374962</v>
      </c>
      <c r="N299" s="235">
        <v>4807416.79454765</v>
      </c>
      <c r="O299" s="235">
        <v>4309583.8262928259</v>
      </c>
      <c r="P299" s="235">
        <v>5564770.4487538375</v>
      </c>
      <c r="Q299" s="235">
        <v>7074355.7128250124</v>
      </c>
      <c r="R299" s="235">
        <v>2922272.9960957775</v>
      </c>
      <c r="S299" s="273">
        <v>6389234.6781267878</v>
      </c>
      <c r="T299" s="235">
        <v>1986035.082102756</v>
      </c>
      <c r="U299" s="235">
        <v>4295767.7693075398</v>
      </c>
      <c r="V299" s="235">
        <v>3485205.1014047517</v>
      </c>
      <c r="W299" s="235">
        <v>1221474.1086463549</v>
      </c>
      <c r="X299" s="235">
        <v>1066332.5919031941</v>
      </c>
      <c r="Y299" s="235">
        <v>1002245.8295704247</v>
      </c>
      <c r="Z299" s="235">
        <v>3463554.6085747569</v>
      </c>
      <c r="AA299" s="235">
        <v>761421.4204457181</v>
      </c>
      <c r="AB299" s="235">
        <v>684980.54001227533</v>
      </c>
      <c r="AC299" s="235">
        <v>3486966.5868276171</v>
      </c>
      <c r="AD299" s="235">
        <v>522610.97881893959</v>
      </c>
      <c r="AE299" s="235">
        <v>421812.37495598302</v>
      </c>
      <c r="AF299" s="235">
        <v>368621.69184610224</v>
      </c>
      <c r="AG299" s="235">
        <v>354674.23689370428</v>
      </c>
      <c r="AH299" s="235">
        <v>322159.65430759871</v>
      </c>
      <c r="AI299" s="235">
        <v>1064707.517007581</v>
      </c>
      <c r="AJ299" s="235">
        <v>153280.45244434156</v>
      </c>
      <c r="AK299" s="235">
        <v>67045.68592746534</v>
      </c>
      <c r="AL299" s="235">
        <v>66940.716296344122</v>
      </c>
      <c r="AM299" s="235">
        <v>4649393.3602841012</v>
      </c>
      <c r="AN299" s="235">
        <v>929.40912972912599</v>
      </c>
      <c r="AO299" s="235"/>
      <c r="AP299" s="235"/>
      <c r="AQ299" s="235"/>
      <c r="AR299" s="235"/>
      <c r="AS299" s="235"/>
      <c r="AT299" s="235"/>
      <c r="AU299" s="235"/>
      <c r="AV299" s="235"/>
      <c r="AW299" s="235"/>
      <c r="AX299" s="235"/>
      <c r="AY299" s="235"/>
      <c r="AZ299" s="235"/>
      <c r="BA299" s="235"/>
      <c r="BB299" s="235"/>
      <c r="BC299" s="235"/>
      <c r="BD299" s="235"/>
      <c r="BE299" s="235"/>
      <c r="BF299" s="235"/>
      <c r="BG299" s="235"/>
      <c r="BH299" s="235"/>
      <c r="BI299" s="235"/>
      <c r="BJ299" s="235"/>
      <c r="BK299" s="235"/>
    </row>
    <row r="300" spans="1:63" s="133" customFormat="1" ht="12.75">
      <c r="A300" s="168">
        <v>39903</v>
      </c>
      <c r="B300" s="213" t="str">
        <f>Servicio_internaColumna_título_intereses</f>
        <v>Intereses</v>
      </c>
      <c r="C300" s="270">
        <v>0</v>
      </c>
      <c r="D300" s="271"/>
      <c r="E300" s="271"/>
      <c r="F300" s="271"/>
      <c r="G300" s="271"/>
      <c r="H300" s="271"/>
      <c r="I300" s="271"/>
      <c r="J300" s="271"/>
      <c r="K300" s="271">
        <v>3305751.1707701478</v>
      </c>
      <c r="L300" s="271">
        <v>4666585.2469141837</v>
      </c>
      <c r="M300" s="271">
        <v>4398761.8806713047</v>
      </c>
      <c r="N300" s="271">
        <v>4165289.7540728515</v>
      </c>
      <c r="O300" s="271">
        <v>3857856.6715153544</v>
      </c>
      <c r="P300" s="271">
        <v>3575508.9938434646</v>
      </c>
      <c r="Q300" s="271">
        <v>3213357.2724191127</v>
      </c>
      <c r="R300" s="271">
        <v>2590349.3925619079</v>
      </c>
      <c r="S300" s="274">
        <v>2289392.6330904914</v>
      </c>
      <c r="T300" s="271">
        <v>2024505.2041487952</v>
      </c>
      <c r="U300" s="272">
        <v>1831234.7009803548</v>
      </c>
      <c r="V300" s="272">
        <v>1534606.5877620699</v>
      </c>
      <c r="W300" s="272">
        <v>1342812.1882711444</v>
      </c>
      <c r="X300" s="272">
        <v>1280611.6765129329</v>
      </c>
      <c r="Y300" s="272">
        <v>1227417.3036181673</v>
      </c>
      <c r="Z300" s="272">
        <v>1075326.0801851465</v>
      </c>
      <c r="AA300" s="272">
        <v>927174.67539922346</v>
      </c>
      <c r="AB300" s="272">
        <v>889225.94080831727</v>
      </c>
      <c r="AC300" s="272">
        <v>839573.60871383024</v>
      </c>
      <c r="AD300" s="236">
        <v>547123.54662037687</v>
      </c>
      <c r="AE300" s="236">
        <v>522525.71435768204</v>
      </c>
      <c r="AF300" s="236">
        <v>501998.30349517456</v>
      </c>
      <c r="AG300" s="236">
        <v>484085.93090358033</v>
      </c>
      <c r="AH300" s="236">
        <v>467215.15462474519</v>
      </c>
      <c r="AI300" s="236">
        <v>407917.3941610849</v>
      </c>
      <c r="AJ300" s="236">
        <v>355048.02766276407</v>
      </c>
      <c r="AK300" s="236">
        <v>349006.20570507005</v>
      </c>
      <c r="AL300" s="236">
        <v>345417.36796659802</v>
      </c>
      <c r="AM300" s="236">
        <v>342775.23434910888</v>
      </c>
      <c r="AN300" s="236">
        <v>0</v>
      </c>
      <c r="AO300" s="236"/>
      <c r="AP300" s="236"/>
      <c r="AQ300" s="236"/>
      <c r="AR300" s="236"/>
      <c r="AS300" s="236"/>
      <c r="AT300" s="236"/>
      <c r="AU300" s="236"/>
      <c r="AV300" s="236"/>
      <c r="AW300" s="236"/>
      <c r="AX300" s="236"/>
      <c r="AY300" s="236"/>
      <c r="AZ300" s="236"/>
      <c r="BA300" s="236"/>
      <c r="BB300" s="236"/>
      <c r="BC300" s="236"/>
      <c r="BD300" s="236"/>
      <c r="BE300" s="236"/>
      <c r="BF300" s="236"/>
      <c r="BG300" s="236"/>
      <c r="BH300" s="236"/>
      <c r="BI300" s="236"/>
      <c r="BJ300" s="236"/>
      <c r="BK300" s="236"/>
    </row>
    <row r="301" spans="1:63" s="133" customFormat="1" ht="12.75">
      <c r="A301" s="169"/>
      <c r="B301" s="307" t="str">
        <f>Servicio_internaColumna_título_total</f>
        <v>Total</v>
      </c>
      <c r="C301" s="310">
        <v>0</v>
      </c>
      <c r="D301" s="311"/>
      <c r="E301" s="311"/>
      <c r="F301" s="311"/>
      <c r="G301" s="311"/>
      <c r="H301" s="311"/>
      <c r="I301" s="311"/>
      <c r="J301" s="311"/>
      <c r="K301" s="311">
        <v>6022147.4577422049</v>
      </c>
      <c r="L301" s="311">
        <v>8867843.5002803132</v>
      </c>
      <c r="M301" s="311">
        <v>7226693.8049088009</v>
      </c>
      <c r="N301" s="311">
        <v>8972706.5486205015</v>
      </c>
      <c r="O301" s="311">
        <v>8167440.4978081807</v>
      </c>
      <c r="P301" s="311">
        <v>9140279.4425973017</v>
      </c>
      <c r="Q301" s="311">
        <v>10287712.985244125</v>
      </c>
      <c r="R301" s="311">
        <v>5512622.3886576854</v>
      </c>
      <c r="S301" s="312">
        <v>8678627.3112172782</v>
      </c>
      <c r="T301" s="311">
        <v>4010540.2862515515</v>
      </c>
      <c r="U301" s="311">
        <v>6127002.4702878948</v>
      </c>
      <c r="V301" s="311">
        <v>5019811.6891668215</v>
      </c>
      <c r="W301" s="311">
        <v>2564286.296917499</v>
      </c>
      <c r="X301" s="311">
        <v>2346944.2684161272</v>
      </c>
      <c r="Y301" s="311">
        <v>2229663.1331885923</v>
      </c>
      <c r="Z301" s="311">
        <v>4538880.6887599034</v>
      </c>
      <c r="AA301" s="311">
        <v>1688596.0958449417</v>
      </c>
      <c r="AB301" s="311">
        <v>1574206.4808205925</v>
      </c>
      <c r="AC301" s="311">
        <v>4326540.195541447</v>
      </c>
      <c r="AD301" s="311">
        <v>1069734.5254393164</v>
      </c>
      <c r="AE301" s="311">
        <v>944338.08931366506</v>
      </c>
      <c r="AF301" s="311">
        <v>870619.99534127675</v>
      </c>
      <c r="AG301" s="311">
        <v>838760.16779728467</v>
      </c>
      <c r="AH301" s="311">
        <v>789374.80893234396</v>
      </c>
      <c r="AI301" s="311">
        <v>1472624.9111686659</v>
      </c>
      <c r="AJ301" s="311">
        <v>508328.48010710563</v>
      </c>
      <c r="AK301" s="311">
        <v>416051.89163253538</v>
      </c>
      <c r="AL301" s="311">
        <v>412358.08426294214</v>
      </c>
      <c r="AM301" s="311">
        <v>4992168.5946332105</v>
      </c>
      <c r="AN301" s="311">
        <v>929.40912972912599</v>
      </c>
      <c r="AO301" s="311"/>
      <c r="AP301" s="311"/>
      <c r="AQ301" s="311"/>
      <c r="AR301" s="311"/>
      <c r="AS301" s="311"/>
      <c r="AT301" s="311"/>
      <c r="AU301" s="311"/>
      <c r="AV301" s="311"/>
      <c r="AW301" s="311"/>
      <c r="AX301" s="311"/>
      <c r="AY301" s="311"/>
      <c r="AZ301" s="311"/>
      <c r="BA301" s="311"/>
      <c r="BB301" s="311"/>
      <c r="BC301" s="311"/>
      <c r="BD301" s="311"/>
      <c r="BE301" s="311"/>
      <c r="BF301" s="311"/>
      <c r="BG301" s="311"/>
      <c r="BH301" s="311"/>
      <c r="BI301" s="311"/>
      <c r="BJ301" s="311"/>
      <c r="BK301" s="311"/>
    </row>
    <row r="302" spans="1:63" s="80" customFormat="1" ht="12.75">
      <c r="A302" s="167"/>
      <c r="B302" s="210" t="str">
        <f>Servicio_internaColumna_título_amortizaciones</f>
        <v>Amortizaciones</v>
      </c>
      <c r="C302" s="269">
        <v>0</v>
      </c>
      <c r="D302" s="235"/>
      <c r="E302" s="235"/>
      <c r="F302" s="235"/>
      <c r="G302" s="235"/>
      <c r="H302" s="235"/>
      <c r="I302" s="235"/>
      <c r="J302" s="235"/>
      <c r="K302" s="235">
        <v>1179642.4424921544</v>
      </c>
      <c r="L302" s="235">
        <v>3991329.2179072732</v>
      </c>
      <c r="M302" s="235">
        <v>2872429.5067917923</v>
      </c>
      <c r="N302" s="235">
        <v>4789209.7355632642</v>
      </c>
      <c r="O302" s="235">
        <v>4296577.9812351083</v>
      </c>
      <c r="P302" s="235">
        <v>5454183.1357350526</v>
      </c>
      <c r="Q302" s="235">
        <v>6438917.6758459909</v>
      </c>
      <c r="R302" s="235">
        <v>2833804.1821796801</v>
      </c>
      <c r="S302" s="273">
        <v>6362899.3495861404</v>
      </c>
      <c r="T302" s="235">
        <v>1961880.8682284898</v>
      </c>
      <c r="U302" s="235">
        <v>6819533.7591248453</v>
      </c>
      <c r="V302" s="235">
        <v>3458566.8924661577</v>
      </c>
      <c r="W302" s="235">
        <v>1207841.4160724753</v>
      </c>
      <c r="X302" s="235">
        <v>1060471.5544105512</v>
      </c>
      <c r="Y302" s="235">
        <v>996273.22574705223</v>
      </c>
      <c r="Z302" s="235">
        <v>3470880.7697491478</v>
      </c>
      <c r="AA302" s="235">
        <v>763073.4885292832</v>
      </c>
      <c r="AB302" s="235">
        <v>686473.49626484432</v>
      </c>
      <c r="AC302" s="235">
        <v>3050955.1074578534</v>
      </c>
      <c r="AD302" s="235">
        <v>523705.48192820314</v>
      </c>
      <c r="AE302" s="235">
        <v>422697.06487959914</v>
      </c>
      <c r="AF302" s="235">
        <v>369395.66489227803</v>
      </c>
      <c r="AG302" s="235">
        <v>355419.17818901158</v>
      </c>
      <c r="AH302" s="235">
        <v>322836.92850542336</v>
      </c>
      <c r="AI302" s="235">
        <v>1066930.4234443135</v>
      </c>
      <c r="AJ302" s="235">
        <v>153606.21538331959</v>
      </c>
      <c r="AK302" s="235">
        <v>67191.950437069609</v>
      </c>
      <c r="AL302" s="235">
        <v>67084.957451657712</v>
      </c>
      <c r="AM302" s="235">
        <v>4659074.2137313765</v>
      </c>
      <c r="AN302" s="235">
        <v>931.34370305459993</v>
      </c>
      <c r="AO302" s="235"/>
      <c r="AP302" s="235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35"/>
      <c r="BC302" s="235"/>
      <c r="BD302" s="235"/>
      <c r="BE302" s="235"/>
      <c r="BF302" s="235"/>
      <c r="BG302" s="235"/>
      <c r="BH302" s="235"/>
      <c r="BI302" s="235"/>
      <c r="BJ302" s="235"/>
      <c r="BK302" s="235"/>
    </row>
    <row r="303" spans="1:63" s="133" customFormat="1" ht="12.75">
      <c r="A303" s="168">
        <v>39933</v>
      </c>
      <c r="B303" s="213" t="str">
        <f>Servicio_internaColumna_título_intereses</f>
        <v>Intereses</v>
      </c>
      <c r="C303" s="270">
        <v>0</v>
      </c>
      <c r="D303" s="271"/>
      <c r="E303" s="271"/>
      <c r="F303" s="271"/>
      <c r="G303" s="271"/>
      <c r="H303" s="271"/>
      <c r="I303" s="271"/>
      <c r="J303" s="271"/>
      <c r="K303" s="271">
        <v>3246706.633687574</v>
      </c>
      <c r="L303" s="271">
        <v>4682475.2425244804</v>
      </c>
      <c r="M303" s="271">
        <v>4417405.4455507118</v>
      </c>
      <c r="N303" s="271">
        <v>4139906.800318676</v>
      </c>
      <c r="O303" s="271">
        <v>3837521.7621841873</v>
      </c>
      <c r="P303" s="271">
        <v>3601813.6396409348</v>
      </c>
      <c r="Q303" s="271">
        <v>3251048.6133018187</v>
      </c>
      <c r="R303" s="271">
        <v>2707571.2252256349</v>
      </c>
      <c r="S303" s="274">
        <v>2415963.4184887852</v>
      </c>
      <c r="T303" s="271">
        <v>2157587.8633402414</v>
      </c>
      <c r="U303" s="272">
        <v>1875039.938351667</v>
      </c>
      <c r="V303" s="272">
        <v>1486739.8135375895</v>
      </c>
      <c r="W303" s="272">
        <v>1297263.4694082714</v>
      </c>
      <c r="X303" s="272">
        <v>1237291.1058699503</v>
      </c>
      <c r="Y303" s="272">
        <v>1185499.8212180743</v>
      </c>
      <c r="Z303" s="272">
        <v>1033803.732766459</v>
      </c>
      <c r="AA303" s="272">
        <v>885423.93055133882</v>
      </c>
      <c r="AB303" s="272">
        <v>847416.80829598953</v>
      </c>
      <c r="AC303" s="272">
        <v>797658.64185214962</v>
      </c>
      <c r="AD303" s="236">
        <v>548263.22000488755</v>
      </c>
      <c r="AE303" s="236">
        <v>523614.09744316107</v>
      </c>
      <c r="AF303" s="236">
        <v>503043.86956568959</v>
      </c>
      <c r="AG303" s="236">
        <v>485094.12303075334</v>
      </c>
      <c r="AH303" s="236">
        <v>468188.14131030923</v>
      </c>
      <c r="AI303" s="236">
        <v>408766.86226326047</v>
      </c>
      <c r="AJ303" s="236">
        <v>355787.35806851875</v>
      </c>
      <c r="AK303" s="236">
        <v>349732.87043945771</v>
      </c>
      <c r="AL303" s="236">
        <v>346136.47296358296</v>
      </c>
      <c r="AM303" s="236">
        <v>343488.77054331359</v>
      </c>
      <c r="AN303" s="236">
        <v>0</v>
      </c>
      <c r="AO303" s="236"/>
      <c r="AP303" s="236"/>
      <c r="AQ303" s="236"/>
      <c r="AR303" s="236"/>
      <c r="AS303" s="236"/>
      <c r="AT303" s="236"/>
      <c r="AU303" s="236"/>
      <c r="AV303" s="236"/>
      <c r="AW303" s="236"/>
      <c r="AX303" s="236"/>
      <c r="AY303" s="236"/>
      <c r="AZ303" s="236"/>
      <c r="BA303" s="236"/>
      <c r="BB303" s="236"/>
      <c r="BC303" s="236"/>
      <c r="BD303" s="236"/>
      <c r="BE303" s="236"/>
      <c r="BF303" s="236"/>
      <c r="BG303" s="236"/>
      <c r="BH303" s="236"/>
      <c r="BI303" s="236"/>
      <c r="BJ303" s="236"/>
      <c r="BK303" s="236"/>
    </row>
    <row r="304" spans="1:63" s="133" customFormat="1" ht="12.75">
      <c r="A304" s="169"/>
      <c r="B304" s="307" t="str">
        <f>Servicio_internaColumna_título_total</f>
        <v>Total</v>
      </c>
      <c r="C304" s="310">
        <v>0</v>
      </c>
      <c r="D304" s="311"/>
      <c r="E304" s="311"/>
      <c r="F304" s="311"/>
      <c r="G304" s="311"/>
      <c r="H304" s="311"/>
      <c r="I304" s="311"/>
      <c r="J304" s="311"/>
      <c r="K304" s="311">
        <v>4426349.0761797279</v>
      </c>
      <c r="L304" s="311">
        <v>8673804.4604317546</v>
      </c>
      <c r="M304" s="311">
        <v>7289834.9523425046</v>
      </c>
      <c r="N304" s="311">
        <v>8929116.5358819403</v>
      </c>
      <c r="O304" s="311">
        <v>8134099.7434192952</v>
      </c>
      <c r="P304" s="311">
        <v>9055996.7753759883</v>
      </c>
      <c r="Q304" s="311">
        <v>9689966.2891478091</v>
      </c>
      <c r="R304" s="311">
        <v>5541375.407405315</v>
      </c>
      <c r="S304" s="312">
        <v>8778862.768074926</v>
      </c>
      <c r="T304" s="311">
        <v>4119468.7315687314</v>
      </c>
      <c r="U304" s="311">
        <v>8694573.6974765118</v>
      </c>
      <c r="V304" s="311">
        <v>4945306.7060037469</v>
      </c>
      <c r="W304" s="311">
        <v>2505104.8854807466</v>
      </c>
      <c r="X304" s="311">
        <v>2297762.6602805015</v>
      </c>
      <c r="Y304" s="311">
        <v>2181773.0469651264</v>
      </c>
      <c r="Z304" s="311">
        <v>4504684.5025156066</v>
      </c>
      <c r="AA304" s="311">
        <v>1648497.419080622</v>
      </c>
      <c r="AB304" s="311">
        <v>1533890.3045608338</v>
      </c>
      <c r="AC304" s="311">
        <v>3848613.7493100031</v>
      </c>
      <c r="AD304" s="311">
        <v>1071968.7019330906</v>
      </c>
      <c r="AE304" s="311">
        <v>946311.16232276021</v>
      </c>
      <c r="AF304" s="311">
        <v>872439.53445796762</v>
      </c>
      <c r="AG304" s="311">
        <v>840513.30121976486</v>
      </c>
      <c r="AH304" s="311">
        <v>791025.06981573254</v>
      </c>
      <c r="AI304" s="311">
        <v>1475697.2857075739</v>
      </c>
      <c r="AJ304" s="311">
        <v>509393.57345183834</v>
      </c>
      <c r="AK304" s="311">
        <v>416924.82087652734</v>
      </c>
      <c r="AL304" s="311">
        <v>413221.4304152407</v>
      </c>
      <c r="AM304" s="311">
        <v>5002562.98427469</v>
      </c>
      <c r="AN304" s="311">
        <v>931.34370305459993</v>
      </c>
      <c r="AO304" s="311"/>
      <c r="AP304" s="311"/>
      <c r="AQ304" s="311"/>
      <c r="AR304" s="311"/>
      <c r="AS304" s="311"/>
      <c r="AT304" s="311"/>
      <c r="AU304" s="311"/>
      <c r="AV304" s="311"/>
      <c r="AW304" s="311"/>
      <c r="AX304" s="311"/>
      <c r="AY304" s="311"/>
      <c r="AZ304" s="311"/>
      <c r="BA304" s="311"/>
      <c r="BB304" s="311"/>
      <c r="BC304" s="311"/>
      <c r="BD304" s="311"/>
      <c r="BE304" s="311"/>
      <c r="BF304" s="311"/>
      <c r="BG304" s="311"/>
      <c r="BH304" s="311"/>
      <c r="BI304" s="311"/>
      <c r="BJ304" s="311"/>
      <c r="BK304" s="311"/>
    </row>
    <row r="305" spans="1:63" s="80" customFormat="1" ht="12.75">
      <c r="A305" s="167"/>
      <c r="B305" s="210" t="str">
        <f>Servicio_internaColumna_título_amortizaciones</f>
        <v>Amortizaciones</v>
      </c>
      <c r="C305" s="269">
        <v>0</v>
      </c>
      <c r="D305" s="235"/>
      <c r="E305" s="235"/>
      <c r="F305" s="235"/>
      <c r="G305" s="235"/>
      <c r="H305" s="235"/>
      <c r="I305" s="235"/>
      <c r="J305" s="235"/>
      <c r="K305" s="235">
        <v>743910.14665128081</v>
      </c>
      <c r="L305" s="235">
        <v>3628135.6959590144</v>
      </c>
      <c r="M305" s="235">
        <v>2567963.9962127698</v>
      </c>
      <c r="N305" s="235">
        <v>4293084.4095897758</v>
      </c>
      <c r="O305" s="235">
        <v>3858296.3207737692</v>
      </c>
      <c r="P305" s="235">
        <v>4901100.202869039</v>
      </c>
      <c r="Q305" s="235">
        <v>5915984.5022645993</v>
      </c>
      <c r="R305" s="235">
        <v>2551472.892617472</v>
      </c>
      <c r="S305" s="273">
        <v>5698822.9780032737</v>
      </c>
      <c r="T305" s="235">
        <v>1762598.1790444886</v>
      </c>
      <c r="U305" s="235">
        <v>6104683.7538656406</v>
      </c>
      <c r="V305" s="235">
        <v>3096982.1527032824</v>
      </c>
      <c r="W305" s="235">
        <v>1083838.0557347289</v>
      </c>
      <c r="X305" s="235">
        <v>950081.03299421316</v>
      </c>
      <c r="Y305" s="235">
        <v>892673.15236889978</v>
      </c>
      <c r="Z305" s="235">
        <v>3103009.0341305835</v>
      </c>
      <c r="AA305" s="235">
        <v>682220.59193819761</v>
      </c>
      <c r="AB305" s="235">
        <v>613739.95181589073</v>
      </c>
      <c r="AC305" s="235">
        <v>2835119.359381842</v>
      </c>
      <c r="AD305" s="235">
        <v>468204.6612221981</v>
      </c>
      <c r="AE305" s="235">
        <v>377902.81062474608</v>
      </c>
      <c r="AF305" s="235">
        <v>330251.18713703181</v>
      </c>
      <c r="AG305" s="235">
        <v>317756.16294960858</v>
      </c>
      <c r="AH305" s="235">
        <v>288627.56500645942</v>
      </c>
      <c r="AI305" s="235">
        <v>953849.5875647245</v>
      </c>
      <c r="AJ305" s="235">
        <v>137334.80005276759</v>
      </c>
      <c r="AK305" s="235">
        <v>60080.168501517604</v>
      </c>
      <c r="AL305" s="235">
        <v>59984.172555851503</v>
      </c>
      <c r="AM305" s="235">
        <v>4165237.0376496441</v>
      </c>
      <c r="AN305" s="235">
        <v>832.62427414979993</v>
      </c>
      <c r="AO305" s="235"/>
      <c r="AP305" s="235"/>
      <c r="AQ305" s="235"/>
      <c r="AR305" s="235"/>
      <c r="AS305" s="235"/>
      <c r="AT305" s="235"/>
      <c r="AU305" s="235"/>
      <c r="AV305" s="235"/>
      <c r="AW305" s="235"/>
      <c r="AX305" s="235"/>
      <c r="AY305" s="235"/>
      <c r="AZ305" s="235"/>
      <c r="BA305" s="235"/>
      <c r="BB305" s="235"/>
      <c r="BC305" s="235"/>
      <c r="BD305" s="235"/>
      <c r="BE305" s="235"/>
      <c r="BF305" s="235"/>
      <c r="BG305" s="235"/>
      <c r="BH305" s="235"/>
      <c r="BI305" s="235"/>
      <c r="BJ305" s="235"/>
      <c r="BK305" s="235"/>
    </row>
    <row r="306" spans="1:63" s="133" customFormat="1" ht="12.75">
      <c r="A306" s="168">
        <v>39964</v>
      </c>
      <c r="B306" s="213" t="str">
        <f>Servicio_internaColumna_título_intereses</f>
        <v>Intereses</v>
      </c>
      <c r="C306" s="270">
        <v>0</v>
      </c>
      <c r="D306" s="271"/>
      <c r="E306" s="271"/>
      <c r="F306" s="271"/>
      <c r="G306" s="271"/>
      <c r="H306" s="271"/>
      <c r="I306" s="271"/>
      <c r="J306" s="271"/>
      <c r="K306" s="271">
        <v>2461736.719038011</v>
      </c>
      <c r="L306" s="271">
        <v>4222689.3578127436</v>
      </c>
      <c r="M306" s="271">
        <v>4000657.9719955409</v>
      </c>
      <c r="N306" s="271">
        <v>3738735.6047079326</v>
      </c>
      <c r="O306" s="271">
        <v>3477162.2480501477</v>
      </c>
      <c r="P306" s="271">
        <v>3258433.4785237899</v>
      </c>
      <c r="Q306" s="271">
        <v>2947042.884864443</v>
      </c>
      <c r="R306" s="271">
        <v>2441285.0102721923</v>
      </c>
      <c r="S306" s="274">
        <v>2177759.691257779</v>
      </c>
      <c r="T306" s="271">
        <v>1944328.7300101095</v>
      </c>
      <c r="U306" s="272">
        <v>1689540.6799409755</v>
      </c>
      <c r="V306" s="272">
        <v>1341260.9822166462</v>
      </c>
      <c r="W306" s="272">
        <v>1171325.4961055361</v>
      </c>
      <c r="X306" s="272">
        <v>1117287.019875058</v>
      </c>
      <c r="Y306" s="272">
        <v>1070713.7854422429</v>
      </c>
      <c r="Z306" s="272">
        <v>934898.44861466438</v>
      </c>
      <c r="AA306" s="272">
        <v>802186.71415711939</v>
      </c>
      <c r="AB306" s="272">
        <v>768189.23587608943</v>
      </c>
      <c r="AC306" s="272">
        <v>723704.23135652824</v>
      </c>
      <c r="AD306" s="236">
        <v>490151.01254000608</v>
      </c>
      <c r="AE306" s="236">
        <v>468114.41994045442</v>
      </c>
      <c r="AF306" s="236">
        <v>449724.37243480707</v>
      </c>
      <c r="AG306" s="236">
        <v>433677.04374633322</v>
      </c>
      <c r="AH306" s="236">
        <v>418562.84414529923</v>
      </c>
      <c r="AI306" s="236">
        <v>365439.83040726744</v>
      </c>
      <c r="AJ306" s="236">
        <v>318075.78384160559</v>
      </c>
      <c r="AK306" s="236">
        <v>312662.85339773435</v>
      </c>
      <c r="AL306" s="236">
        <v>309447.46345534886</v>
      </c>
      <c r="AM306" s="236">
        <v>307080.21361582045</v>
      </c>
      <c r="AN306" s="236">
        <v>0</v>
      </c>
      <c r="AO306" s="236"/>
      <c r="AP306" s="236"/>
      <c r="AQ306" s="236"/>
      <c r="AR306" s="236"/>
      <c r="AS306" s="236"/>
      <c r="AT306" s="236"/>
      <c r="AU306" s="236"/>
      <c r="AV306" s="236"/>
      <c r="AW306" s="236"/>
      <c r="AX306" s="236"/>
      <c r="AY306" s="236"/>
      <c r="AZ306" s="236"/>
      <c r="BA306" s="236"/>
      <c r="BB306" s="236"/>
      <c r="BC306" s="236"/>
      <c r="BD306" s="236"/>
      <c r="BE306" s="236"/>
      <c r="BF306" s="236"/>
      <c r="BG306" s="236"/>
      <c r="BH306" s="236"/>
      <c r="BI306" s="236"/>
      <c r="BJ306" s="236"/>
      <c r="BK306" s="236"/>
    </row>
    <row r="307" spans="1:63" s="133" customFormat="1" ht="12.75">
      <c r="A307" s="169"/>
      <c r="B307" s="307" t="str">
        <f>Servicio_internaColumna_título_total</f>
        <v>Total</v>
      </c>
      <c r="C307" s="310">
        <v>0</v>
      </c>
      <c r="D307" s="311"/>
      <c r="E307" s="311"/>
      <c r="F307" s="311"/>
      <c r="G307" s="311"/>
      <c r="H307" s="311"/>
      <c r="I307" s="311"/>
      <c r="J307" s="311"/>
      <c r="K307" s="311">
        <v>3205646.8656892916</v>
      </c>
      <c r="L307" s="311">
        <v>7850825.0537717585</v>
      </c>
      <c r="M307" s="311">
        <v>6568621.9682083111</v>
      </c>
      <c r="N307" s="311">
        <v>8031820.0142977089</v>
      </c>
      <c r="O307" s="311">
        <v>7335458.5688239168</v>
      </c>
      <c r="P307" s="311">
        <v>8159533.6813928289</v>
      </c>
      <c r="Q307" s="311">
        <v>8863027.3871290423</v>
      </c>
      <c r="R307" s="311">
        <v>4992757.9028896643</v>
      </c>
      <c r="S307" s="312">
        <v>7876582.6692610532</v>
      </c>
      <c r="T307" s="311">
        <v>3706926.9090545978</v>
      </c>
      <c r="U307" s="311">
        <v>7794224.4338066159</v>
      </c>
      <c r="V307" s="311">
        <v>4438243.1349199284</v>
      </c>
      <c r="W307" s="311">
        <v>2255163.5518402653</v>
      </c>
      <c r="X307" s="311">
        <v>2067368.052869271</v>
      </c>
      <c r="Y307" s="311">
        <v>1963386.9378111428</v>
      </c>
      <c r="Z307" s="311">
        <v>4037907.4827452479</v>
      </c>
      <c r="AA307" s="311">
        <v>1484407.306095317</v>
      </c>
      <c r="AB307" s="311">
        <v>1381929.18769198</v>
      </c>
      <c r="AC307" s="311">
        <v>3558823.5907383701</v>
      </c>
      <c r="AD307" s="311">
        <v>958355.67376220413</v>
      </c>
      <c r="AE307" s="311">
        <v>846017.23056520056</v>
      </c>
      <c r="AF307" s="311">
        <v>779975.55957183894</v>
      </c>
      <c r="AG307" s="311">
        <v>751433.20669594174</v>
      </c>
      <c r="AH307" s="311">
        <v>707190.40915175865</v>
      </c>
      <c r="AI307" s="311">
        <v>1319289.4179719919</v>
      </c>
      <c r="AJ307" s="311">
        <v>455410.58389437315</v>
      </c>
      <c r="AK307" s="311">
        <v>372743.02189925197</v>
      </c>
      <c r="AL307" s="311">
        <v>369431.63601120037</v>
      </c>
      <c r="AM307" s="311">
        <v>4472317.2512654644</v>
      </c>
      <c r="AN307" s="311">
        <v>832.62427414979993</v>
      </c>
      <c r="AO307" s="311"/>
      <c r="AP307" s="311"/>
      <c r="AQ307" s="311"/>
      <c r="AR307" s="311"/>
      <c r="AS307" s="311"/>
      <c r="AT307" s="311"/>
      <c r="AU307" s="311"/>
      <c r="AV307" s="311"/>
      <c r="AW307" s="311"/>
      <c r="AX307" s="311"/>
      <c r="AY307" s="311"/>
      <c r="AZ307" s="311"/>
      <c r="BA307" s="311"/>
      <c r="BB307" s="311"/>
      <c r="BC307" s="311"/>
      <c r="BD307" s="311"/>
      <c r="BE307" s="311"/>
      <c r="BF307" s="311"/>
      <c r="BG307" s="311"/>
      <c r="BH307" s="311"/>
      <c r="BI307" s="311"/>
      <c r="BJ307" s="311"/>
      <c r="BK307" s="311"/>
    </row>
    <row r="308" spans="1:63" s="80" customFormat="1" ht="12.75">
      <c r="A308" s="167"/>
      <c r="B308" s="210" t="str">
        <f>Servicio_internaColumna_título_amortizaciones</f>
        <v>Amortizaciones</v>
      </c>
      <c r="C308" s="269">
        <v>0</v>
      </c>
      <c r="D308" s="235"/>
      <c r="E308" s="235"/>
      <c r="F308" s="235"/>
      <c r="G308" s="235"/>
      <c r="H308" s="235"/>
      <c r="I308" s="235"/>
      <c r="J308" s="235"/>
      <c r="K308" s="235">
        <v>646043.44959972647</v>
      </c>
      <c r="L308" s="235">
        <v>3445441.2863189215</v>
      </c>
      <c r="M308" s="235">
        <v>2445698.0312133115</v>
      </c>
      <c r="N308" s="235">
        <v>4046763.8842336689</v>
      </c>
      <c r="O308" s="235">
        <v>3604235.3146242881</v>
      </c>
      <c r="P308" s="235">
        <v>4565266.7159238728</v>
      </c>
      <c r="Q308" s="235">
        <v>5534416.2101074113</v>
      </c>
      <c r="R308" s="235">
        <v>2344992.7216693233</v>
      </c>
      <c r="S308" s="273">
        <v>5278277.0841773823</v>
      </c>
      <c r="T308" s="235">
        <v>1597838.1954562794</v>
      </c>
      <c r="U308" s="235">
        <v>5683560.4910756527</v>
      </c>
      <c r="V308" s="235">
        <v>2897486.5309554851</v>
      </c>
      <c r="W308" s="235">
        <v>1015093.1790128964</v>
      </c>
      <c r="X308" s="235">
        <v>889123.18216177355</v>
      </c>
      <c r="Y308" s="235">
        <v>835390.62427764386</v>
      </c>
      <c r="Z308" s="235">
        <v>2901159.1824769764</v>
      </c>
      <c r="AA308" s="235">
        <v>638048.4001614498</v>
      </c>
      <c r="AB308" s="235">
        <v>574026.10620834935</v>
      </c>
      <c r="AC308" s="235">
        <v>2684988.8178382227</v>
      </c>
      <c r="AD308" s="235">
        <v>437798.24296339118</v>
      </c>
      <c r="AE308" s="235">
        <v>353375.3810976072</v>
      </c>
      <c r="AF308" s="235">
        <v>308826.05703055917</v>
      </c>
      <c r="AG308" s="235">
        <v>297155.22884481633</v>
      </c>
      <c r="AH308" s="235">
        <v>269923.286129113</v>
      </c>
      <c r="AI308" s="235">
        <v>891831.53376264975</v>
      </c>
      <c r="AJ308" s="235">
        <v>127710.18209269598</v>
      </c>
      <c r="AK308" s="235">
        <v>56244.247992695993</v>
      </c>
      <c r="AL308" s="235">
        <v>56151.313936027589</v>
      </c>
      <c r="AM308" s="235">
        <v>3894133.6843414055</v>
      </c>
      <c r="AN308" s="235">
        <v>778.41731501159995</v>
      </c>
      <c r="AO308" s="235"/>
      <c r="AP308" s="235"/>
      <c r="AQ308" s="235"/>
      <c r="AR308" s="235"/>
      <c r="AS308" s="235"/>
      <c r="AT308" s="235"/>
      <c r="AU308" s="235"/>
      <c r="AV308" s="235"/>
      <c r="AW308" s="235"/>
      <c r="AX308" s="235"/>
      <c r="AY308" s="235"/>
      <c r="AZ308" s="235"/>
      <c r="BA308" s="235"/>
      <c r="BB308" s="235"/>
      <c r="BC308" s="235"/>
      <c r="BD308" s="235"/>
      <c r="BE308" s="235"/>
      <c r="BF308" s="235"/>
      <c r="BG308" s="235"/>
      <c r="BH308" s="235"/>
      <c r="BI308" s="235"/>
      <c r="BJ308" s="235"/>
      <c r="BK308" s="235"/>
    </row>
    <row r="309" spans="1:63" s="133" customFormat="1" ht="12.75">
      <c r="A309" s="168">
        <v>39994</v>
      </c>
      <c r="B309" s="213" t="str">
        <f>Servicio_internaColumna_título_intereses</f>
        <v>Intereses</v>
      </c>
      <c r="C309" s="270">
        <v>0</v>
      </c>
      <c r="D309" s="271"/>
      <c r="E309" s="271"/>
      <c r="F309" s="271"/>
      <c r="G309" s="271"/>
      <c r="H309" s="271"/>
      <c r="I309" s="271"/>
      <c r="J309" s="271"/>
      <c r="K309" s="271">
        <v>1961910.8226175602</v>
      </c>
      <c r="L309" s="271">
        <v>3961826.2915944881</v>
      </c>
      <c r="M309" s="271">
        <v>3760447.8445284669</v>
      </c>
      <c r="N309" s="271">
        <v>3540637.5391728878</v>
      </c>
      <c r="O309" s="271">
        <v>3286809.4755372335</v>
      </c>
      <c r="P309" s="271">
        <v>3062278.4118149197</v>
      </c>
      <c r="Q309" s="271">
        <v>2756947.5045982148</v>
      </c>
      <c r="R309" s="271">
        <v>2281445.7333764238</v>
      </c>
      <c r="S309" s="274">
        <v>2037366.0099906784</v>
      </c>
      <c r="T309" s="271">
        <v>1822456.8661600379</v>
      </c>
      <c r="U309" s="272">
        <v>1587033.3915669934</v>
      </c>
      <c r="V309" s="272">
        <v>1261963.1798833881</v>
      </c>
      <c r="W309" s="272">
        <v>1102773.613588281</v>
      </c>
      <c r="X309" s="272">
        <v>1051509.3010752038</v>
      </c>
      <c r="Y309" s="272">
        <v>1007955.3541101685</v>
      </c>
      <c r="Z309" s="272">
        <v>880677.23698787065</v>
      </c>
      <c r="AA309" s="272">
        <v>755827.65545846079</v>
      </c>
      <c r="AB309" s="272">
        <v>723329.50170656771</v>
      </c>
      <c r="AC309" s="272">
        <v>681118.56346798141</v>
      </c>
      <c r="AD309" s="236">
        <v>459435.18596405297</v>
      </c>
      <c r="AE309" s="236">
        <v>438656.50835205155</v>
      </c>
      <c r="AF309" s="236">
        <v>421050.59805698053</v>
      </c>
      <c r="AG309" s="236">
        <v>405731.81364570354</v>
      </c>
      <c r="AH309" s="236">
        <v>391389.87877429317</v>
      </c>
      <c r="AI309" s="236">
        <v>341630.65589442221</v>
      </c>
      <c r="AJ309" s="236">
        <v>297352.77192513377</v>
      </c>
      <c r="AK309" s="236">
        <v>292311.20455360872</v>
      </c>
      <c r="AL309" s="236">
        <v>289303.71324973862</v>
      </c>
      <c r="AM309" s="236">
        <v>287089.17928720458</v>
      </c>
      <c r="AN309" s="236">
        <v>0</v>
      </c>
      <c r="AO309" s="236"/>
      <c r="AP309" s="236"/>
      <c r="AQ309" s="236"/>
      <c r="AR309" s="236"/>
      <c r="AS309" s="236"/>
      <c r="AT309" s="236"/>
      <c r="AU309" s="236"/>
      <c r="AV309" s="236"/>
      <c r="AW309" s="236"/>
      <c r="AX309" s="236"/>
      <c r="AY309" s="236"/>
      <c r="AZ309" s="236"/>
      <c r="BA309" s="236"/>
      <c r="BB309" s="236"/>
      <c r="BC309" s="236"/>
      <c r="BD309" s="236"/>
      <c r="BE309" s="236"/>
      <c r="BF309" s="236"/>
      <c r="BG309" s="236"/>
      <c r="BH309" s="236"/>
      <c r="BI309" s="236"/>
      <c r="BJ309" s="236"/>
      <c r="BK309" s="236"/>
    </row>
    <row r="310" spans="1:63" s="133" customFormat="1" ht="12.75">
      <c r="A310" s="169"/>
      <c r="B310" s="307" t="str">
        <f>Servicio_internaColumna_título_total</f>
        <v>Total</v>
      </c>
      <c r="C310" s="310">
        <v>0</v>
      </c>
      <c r="D310" s="311"/>
      <c r="E310" s="311"/>
      <c r="F310" s="311"/>
      <c r="G310" s="311"/>
      <c r="H310" s="311"/>
      <c r="I310" s="311"/>
      <c r="J310" s="311"/>
      <c r="K310" s="311">
        <v>2607954.2722172868</v>
      </c>
      <c r="L310" s="311">
        <v>7407267.5779134091</v>
      </c>
      <c r="M310" s="311">
        <v>6206145.8757417779</v>
      </c>
      <c r="N310" s="311">
        <v>7587401.4234065562</v>
      </c>
      <c r="O310" s="311">
        <v>6891044.7901615221</v>
      </c>
      <c r="P310" s="311">
        <v>7627545.1277387924</v>
      </c>
      <c r="Q310" s="311">
        <v>8291363.7147056255</v>
      </c>
      <c r="R310" s="311">
        <v>4626438.4550457466</v>
      </c>
      <c r="S310" s="312">
        <v>7315643.0941680605</v>
      </c>
      <c r="T310" s="311">
        <v>3420295.0616163174</v>
      </c>
      <c r="U310" s="311">
        <v>7270593.8826426463</v>
      </c>
      <c r="V310" s="311">
        <v>4159449.7108388729</v>
      </c>
      <c r="W310" s="311">
        <v>2117866.7926011775</v>
      </c>
      <c r="X310" s="311">
        <v>1940632.4832369774</v>
      </c>
      <c r="Y310" s="311">
        <v>1843345.9783878124</v>
      </c>
      <c r="Z310" s="311">
        <v>3781836.4194648471</v>
      </c>
      <c r="AA310" s="311">
        <v>1393876.0556199106</v>
      </c>
      <c r="AB310" s="311">
        <v>1297355.6079149172</v>
      </c>
      <c r="AC310" s="311">
        <v>3366107.381306204</v>
      </c>
      <c r="AD310" s="311">
        <v>897233.42892744415</v>
      </c>
      <c r="AE310" s="311">
        <v>792031.8894496588</v>
      </c>
      <c r="AF310" s="311">
        <v>729876.65508753969</v>
      </c>
      <c r="AG310" s="311">
        <v>702887.04249051982</v>
      </c>
      <c r="AH310" s="311">
        <v>661313.16490340617</v>
      </c>
      <c r="AI310" s="311">
        <v>1233462.1896570721</v>
      </c>
      <c r="AJ310" s="311">
        <v>425062.95401782973</v>
      </c>
      <c r="AK310" s="311">
        <v>348555.45254630473</v>
      </c>
      <c r="AL310" s="311">
        <v>345455.0271857662</v>
      </c>
      <c r="AM310" s="311">
        <v>4181222.86362861</v>
      </c>
      <c r="AN310" s="311">
        <v>778.41731501159995</v>
      </c>
      <c r="AO310" s="311"/>
      <c r="AP310" s="311"/>
      <c r="AQ310" s="311"/>
      <c r="AR310" s="311"/>
      <c r="AS310" s="311"/>
      <c r="AT310" s="311"/>
      <c r="AU310" s="311"/>
      <c r="AV310" s="311"/>
      <c r="AW310" s="311"/>
      <c r="AX310" s="311"/>
      <c r="AY310" s="311"/>
      <c r="AZ310" s="311"/>
      <c r="BA310" s="311"/>
      <c r="BB310" s="311"/>
      <c r="BC310" s="311"/>
      <c r="BD310" s="311"/>
      <c r="BE310" s="311"/>
      <c r="BF310" s="311"/>
      <c r="BG310" s="311"/>
      <c r="BH310" s="311"/>
      <c r="BI310" s="311"/>
      <c r="BJ310" s="311"/>
      <c r="BK310" s="311"/>
    </row>
    <row r="311" spans="1:63" s="80" customFormat="1" ht="12.75">
      <c r="A311" s="167"/>
      <c r="B311" s="210" t="str">
        <f>Servicio_internaColumna_título_amortizaciones</f>
        <v>Amortizaciones</v>
      </c>
      <c r="C311" s="269">
        <v>0</v>
      </c>
      <c r="D311" s="235"/>
      <c r="E311" s="235"/>
      <c r="F311" s="235"/>
      <c r="G311" s="235"/>
      <c r="H311" s="235"/>
      <c r="I311" s="235"/>
      <c r="J311" s="235"/>
      <c r="K311" s="235">
        <v>554663.3057984669</v>
      </c>
      <c r="L311" s="235">
        <v>3584704.9563044398</v>
      </c>
      <c r="M311" s="235">
        <v>2465053.2298312294</v>
      </c>
      <c r="N311" s="235">
        <v>4078674.2660936648</v>
      </c>
      <c r="O311" s="235">
        <v>3655656.3795448774</v>
      </c>
      <c r="P311" s="235">
        <v>4654049.4493095204</v>
      </c>
      <c r="Q311" s="235">
        <v>5866899.7658906477</v>
      </c>
      <c r="R311" s="235">
        <v>2400680.6839945158</v>
      </c>
      <c r="S311" s="273">
        <v>5336218.8982753037</v>
      </c>
      <c r="T311" s="235">
        <v>1621103.2216911183</v>
      </c>
      <c r="U311" s="235">
        <v>5740510.2249374473</v>
      </c>
      <c r="V311" s="235">
        <v>2938003.0774594145</v>
      </c>
      <c r="W311" s="235">
        <v>1049039.279355566</v>
      </c>
      <c r="X311" s="235">
        <v>920750.96583752974</v>
      </c>
      <c r="Y311" s="235">
        <v>866534.00975133153</v>
      </c>
      <c r="Z311" s="235">
        <v>2945846.0676762117</v>
      </c>
      <c r="AA311" s="235">
        <v>663894.6946950159</v>
      </c>
      <c r="AB311" s="235">
        <v>599333.76243976294</v>
      </c>
      <c r="AC311" s="235">
        <v>2925663.1917703548</v>
      </c>
      <c r="AD311" s="235">
        <v>461932.35897171852</v>
      </c>
      <c r="AE311" s="235">
        <v>376828.57003000734</v>
      </c>
      <c r="AF311" s="235">
        <v>331875.09223733458</v>
      </c>
      <c r="AG311" s="235">
        <v>320106.07429877314</v>
      </c>
      <c r="AH311" s="235">
        <v>292626.19533365127</v>
      </c>
      <c r="AI311" s="235">
        <v>910077.04982464877</v>
      </c>
      <c r="AJ311" s="235">
        <v>128809.19717833739</v>
      </c>
      <c r="AK311" s="235">
        <v>56741.999228337401</v>
      </c>
      <c r="AL311" s="235">
        <v>56648.283290211599</v>
      </c>
      <c r="AM311" s="235">
        <v>3926920.7357612173</v>
      </c>
      <c r="AN311" s="235">
        <v>784.96636803419995</v>
      </c>
      <c r="AO311" s="235"/>
      <c r="AP311" s="235"/>
      <c r="AQ311" s="235"/>
      <c r="AR311" s="235"/>
      <c r="AS311" s="235"/>
      <c r="AT311" s="235"/>
      <c r="AU311" s="235"/>
      <c r="AV311" s="235"/>
      <c r="AW311" s="235"/>
      <c r="AX311" s="235"/>
      <c r="AY311" s="235"/>
      <c r="AZ311" s="235"/>
      <c r="BA311" s="235"/>
      <c r="BB311" s="235"/>
      <c r="BC311" s="235"/>
      <c r="BD311" s="235"/>
      <c r="BE311" s="235"/>
      <c r="BF311" s="235"/>
      <c r="BG311" s="235"/>
      <c r="BH311" s="235"/>
      <c r="BI311" s="235"/>
      <c r="BJ311" s="235"/>
      <c r="BK311" s="235"/>
    </row>
    <row r="312" spans="1:63" s="133" customFormat="1" ht="12.75">
      <c r="A312" s="168">
        <v>40025</v>
      </c>
      <c r="B312" s="213" t="str">
        <f>Servicio_internaColumna_título_intereses</f>
        <v>Intereses</v>
      </c>
      <c r="C312" s="270">
        <v>0</v>
      </c>
      <c r="D312" s="271"/>
      <c r="E312" s="271"/>
      <c r="F312" s="271"/>
      <c r="G312" s="271"/>
      <c r="H312" s="271"/>
      <c r="I312" s="271"/>
      <c r="J312" s="271"/>
      <c r="K312" s="271">
        <v>1591545.1088284962</v>
      </c>
      <c r="L312" s="271">
        <v>4077040.9364792905</v>
      </c>
      <c r="M312" s="271">
        <v>3848171.2110910993</v>
      </c>
      <c r="N312" s="271">
        <v>3645146.944018661</v>
      </c>
      <c r="O312" s="271">
        <v>3402503.8846201487</v>
      </c>
      <c r="P312" s="271">
        <v>3173197.6878795368</v>
      </c>
      <c r="Q312" s="271">
        <v>2859825.9766386491</v>
      </c>
      <c r="R312" s="271">
        <v>2346830.9772546091</v>
      </c>
      <c r="S312" s="274">
        <v>2098051.4422973003</v>
      </c>
      <c r="T312" s="271">
        <v>1879942.1296416223</v>
      </c>
      <c r="U312" s="272">
        <v>1641285.3337731825</v>
      </c>
      <c r="V312" s="272">
        <v>1312486.2782229828</v>
      </c>
      <c r="W312" s="272">
        <v>1150066.5730409669</v>
      </c>
      <c r="X312" s="272">
        <v>1096325.2332188233</v>
      </c>
      <c r="Y312" s="272">
        <v>1050696.2244959422</v>
      </c>
      <c r="Z312" s="272">
        <v>920730.41370171425</v>
      </c>
      <c r="AA312" s="272">
        <v>793279.95627648942</v>
      </c>
      <c r="AB312" s="272">
        <v>759015.08895194856</v>
      </c>
      <c r="AC312" s="272">
        <v>714971.64704626403</v>
      </c>
      <c r="AD312" s="236">
        <v>470665.85172399459</v>
      </c>
      <c r="AE312" s="236">
        <v>448330.37563120399</v>
      </c>
      <c r="AF312" s="236">
        <v>429121.58555307891</v>
      </c>
      <c r="AG312" s="236">
        <v>412252.96517493867</v>
      </c>
      <c r="AH312" s="236">
        <v>396406.38580238057</v>
      </c>
      <c r="AI312" s="236">
        <v>344868.93482799537</v>
      </c>
      <c r="AJ312" s="236">
        <v>299856.33434520086</v>
      </c>
      <c r="AK312" s="236">
        <v>294771.85837549972</v>
      </c>
      <c r="AL312" s="236">
        <v>291738.57177317783</v>
      </c>
      <c r="AM312" s="236">
        <v>289504.9132039434</v>
      </c>
      <c r="AN312" s="236">
        <v>0</v>
      </c>
      <c r="AO312" s="236"/>
      <c r="AP312" s="236"/>
      <c r="AQ312" s="236"/>
      <c r="AR312" s="236"/>
      <c r="AS312" s="236"/>
      <c r="AT312" s="236"/>
      <c r="AU312" s="236"/>
      <c r="AV312" s="236"/>
      <c r="AW312" s="236"/>
      <c r="AX312" s="236"/>
      <c r="AY312" s="236"/>
      <c r="AZ312" s="236"/>
      <c r="BA312" s="236"/>
      <c r="BB312" s="236"/>
      <c r="BC312" s="236"/>
      <c r="BD312" s="236"/>
      <c r="BE312" s="236"/>
      <c r="BF312" s="236"/>
      <c r="BG312" s="236"/>
      <c r="BH312" s="236"/>
      <c r="BI312" s="236"/>
      <c r="BJ312" s="236"/>
      <c r="BK312" s="236"/>
    </row>
    <row r="313" spans="1:63" s="133" customFormat="1" ht="12.75">
      <c r="A313" s="169"/>
      <c r="B313" s="307" t="str">
        <f>Servicio_internaColumna_título_total</f>
        <v>Total</v>
      </c>
      <c r="C313" s="310">
        <v>0</v>
      </c>
      <c r="D313" s="311"/>
      <c r="E313" s="311"/>
      <c r="F313" s="311"/>
      <c r="G313" s="311"/>
      <c r="H313" s="311"/>
      <c r="I313" s="311"/>
      <c r="J313" s="311"/>
      <c r="K313" s="311">
        <v>2146208.414626963</v>
      </c>
      <c r="L313" s="311">
        <v>7661745.8927837303</v>
      </c>
      <c r="M313" s="311">
        <v>6313224.4409223292</v>
      </c>
      <c r="N313" s="311">
        <v>7723821.2101123258</v>
      </c>
      <c r="O313" s="311">
        <v>7058160.2641650261</v>
      </c>
      <c r="P313" s="311">
        <v>7827247.1371890567</v>
      </c>
      <c r="Q313" s="311">
        <v>8726725.7425292972</v>
      </c>
      <c r="R313" s="311">
        <v>4747511.6612491254</v>
      </c>
      <c r="S313" s="312">
        <v>7434270.340572604</v>
      </c>
      <c r="T313" s="311">
        <v>3501045.3513327409</v>
      </c>
      <c r="U313" s="311">
        <v>7381795.5587106301</v>
      </c>
      <c r="V313" s="311">
        <v>4250489.3556823973</v>
      </c>
      <c r="W313" s="311">
        <v>2199105.8523965329</v>
      </c>
      <c r="X313" s="311">
        <v>2017076.199056353</v>
      </c>
      <c r="Y313" s="311">
        <v>1917230.2342472738</v>
      </c>
      <c r="Z313" s="311">
        <v>3866576.4813779257</v>
      </c>
      <c r="AA313" s="311">
        <v>1457174.6509715053</v>
      </c>
      <c r="AB313" s="311">
        <v>1358348.8513917115</v>
      </c>
      <c r="AC313" s="311">
        <v>3640634.8388166185</v>
      </c>
      <c r="AD313" s="311">
        <v>932598.21069571306</v>
      </c>
      <c r="AE313" s="311">
        <v>825158.94566121139</v>
      </c>
      <c r="AF313" s="311">
        <v>760996.67779041349</v>
      </c>
      <c r="AG313" s="311">
        <v>732359.03947371175</v>
      </c>
      <c r="AH313" s="311">
        <v>689032.58113603177</v>
      </c>
      <c r="AI313" s="311">
        <v>1254945.984652644</v>
      </c>
      <c r="AJ313" s="311">
        <v>428665.53152353823</v>
      </c>
      <c r="AK313" s="311">
        <v>351513.85760383715</v>
      </c>
      <c r="AL313" s="311">
        <v>348386.8550633894</v>
      </c>
      <c r="AM313" s="311">
        <v>4216425.6489651604</v>
      </c>
      <c r="AN313" s="311">
        <v>784.96636803419995</v>
      </c>
      <c r="AO313" s="311"/>
      <c r="AP313" s="311"/>
      <c r="AQ313" s="311"/>
      <c r="AR313" s="311"/>
      <c r="AS313" s="311"/>
      <c r="AT313" s="311"/>
      <c r="AU313" s="311"/>
      <c r="AV313" s="311"/>
      <c r="AW313" s="311"/>
      <c r="AX313" s="311"/>
      <c r="AY313" s="311"/>
      <c r="AZ313" s="311"/>
      <c r="BA313" s="311"/>
      <c r="BB313" s="311"/>
      <c r="BC313" s="311"/>
      <c r="BD313" s="311"/>
      <c r="BE313" s="311"/>
      <c r="BF313" s="311"/>
      <c r="BG313" s="311"/>
      <c r="BH313" s="311"/>
      <c r="BI313" s="311"/>
      <c r="BJ313" s="311"/>
      <c r="BK313" s="311"/>
    </row>
    <row r="314" spans="1:63" s="80" customFormat="1" ht="12.75">
      <c r="A314" s="167"/>
      <c r="B314" s="210" t="str">
        <f>Servicio_internaColumna_título_amortizaciones</f>
        <v>Amortizaciones</v>
      </c>
      <c r="C314" s="269">
        <v>0</v>
      </c>
      <c r="D314" s="235"/>
      <c r="E314" s="235"/>
      <c r="F314" s="235"/>
      <c r="G314" s="235"/>
      <c r="H314" s="235"/>
      <c r="I314" s="235"/>
      <c r="J314" s="235"/>
      <c r="K314" s="235">
        <v>437216.49826693715</v>
      </c>
      <c r="L314" s="235">
        <v>3321867.0972942594</v>
      </c>
      <c r="M314" s="235">
        <v>2347175.9334580353</v>
      </c>
      <c r="N314" s="235">
        <v>3874598.3484076015</v>
      </c>
      <c r="O314" s="235">
        <v>3457958.6190410899</v>
      </c>
      <c r="P314" s="235">
        <v>4403258.8159831092</v>
      </c>
      <c r="Q314" s="235">
        <v>5492208.8963036099</v>
      </c>
      <c r="R314" s="235">
        <v>2306528.1092371838</v>
      </c>
      <c r="S314" s="273">
        <v>5089501.5911389859</v>
      </c>
      <c r="T314" s="235">
        <v>1570708.1225839267</v>
      </c>
      <c r="U314" s="235">
        <v>5470395.9076995607</v>
      </c>
      <c r="V314" s="235">
        <v>2819661.8091428629</v>
      </c>
      <c r="W314" s="235">
        <v>1032328.5369399944</v>
      </c>
      <c r="X314" s="235">
        <v>911185.29077803949</v>
      </c>
      <c r="Y314" s="235">
        <v>859862.61556452001</v>
      </c>
      <c r="Z314" s="235">
        <v>2829543.5822627055</v>
      </c>
      <c r="AA314" s="235">
        <v>669513.98022824957</v>
      </c>
      <c r="AB314" s="235">
        <v>608401.40992226673</v>
      </c>
      <c r="AC314" s="235">
        <v>2730285.5927350591</v>
      </c>
      <c r="AD314" s="235">
        <v>478317.81331332528</v>
      </c>
      <c r="AE314" s="235">
        <v>396170.22837982443</v>
      </c>
      <c r="AF314" s="235">
        <v>318406.07474238222</v>
      </c>
      <c r="AG314" s="235">
        <v>307265.32380380691</v>
      </c>
      <c r="AH314" s="235">
        <v>281253.24178763141</v>
      </c>
      <c r="AI314" s="235">
        <v>863113.42591378733</v>
      </c>
      <c r="AJ314" s="235">
        <v>121936.99597657059</v>
      </c>
      <c r="AK314" s="235">
        <v>53719.088526570602</v>
      </c>
      <c r="AL314" s="235">
        <v>53629.921765109895</v>
      </c>
      <c r="AM314" s="235">
        <v>3717180.9244188378</v>
      </c>
      <c r="AN314" s="235">
        <v>743.03933785619995</v>
      </c>
      <c r="AO314" s="235"/>
      <c r="AP314" s="235"/>
      <c r="AQ314" s="235"/>
      <c r="AR314" s="235"/>
      <c r="AS314" s="235"/>
      <c r="AT314" s="235"/>
      <c r="AU314" s="235"/>
      <c r="AV314" s="235"/>
      <c r="AW314" s="235"/>
      <c r="AX314" s="235"/>
      <c r="AY314" s="235"/>
      <c r="AZ314" s="235"/>
      <c r="BA314" s="235"/>
      <c r="BB314" s="235"/>
      <c r="BC314" s="235"/>
      <c r="BD314" s="235"/>
      <c r="BE314" s="235"/>
      <c r="BF314" s="235"/>
      <c r="BG314" s="235"/>
      <c r="BH314" s="235"/>
      <c r="BI314" s="235"/>
      <c r="BJ314" s="235"/>
      <c r="BK314" s="235"/>
    </row>
    <row r="315" spans="1:63" s="133" customFormat="1" ht="12.75">
      <c r="A315" s="168">
        <v>40056</v>
      </c>
      <c r="B315" s="213" t="str">
        <f>Servicio_internaColumna_título_intereses</f>
        <v>Intereses</v>
      </c>
      <c r="C315" s="270">
        <v>0</v>
      </c>
      <c r="D315" s="271"/>
      <c r="E315" s="271"/>
      <c r="F315" s="271"/>
      <c r="G315" s="271"/>
      <c r="H315" s="271"/>
      <c r="I315" s="271"/>
      <c r="J315" s="271"/>
      <c r="K315" s="271">
        <v>1264294.6039445268</v>
      </c>
      <c r="L315" s="271">
        <v>3828393.2838778459</v>
      </c>
      <c r="M315" s="271">
        <v>3617099.3632357139</v>
      </c>
      <c r="N315" s="271">
        <v>3445572.4553181301</v>
      </c>
      <c r="O315" s="271">
        <v>3212413.3976961528</v>
      </c>
      <c r="P315" s="271">
        <v>3002494.3403929607</v>
      </c>
      <c r="Q315" s="271">
        <v>2711459.1072884593</v>
      </c>
      <c r="R315" s="271">
        <v>2239118.7485634857</v>
      </c>
      <c r="S315" s="274">
        <v>2002737.4447797379</v>
      </c>
      <c r="T315" s="271">
        <v>1795017.286172919</v>
      </c>
      <c r="U315" s="272">
        <v>1567118.8029424439</v>
      </c>
      <c r="V315" s="272">
        <v>1254314.220465299</v>
      </c>
      <c r="W315" s="272">
        <v>1100052.4067896451</v>
      </c>
      <c r="X315" s="272">
        <v>1045931.6715146733</v>
      </c>
      <c r="Y315" s="272">
        <v>1000810.8557649746</v>
      </c>
      <c r="Z315" s="272">
        <v>875488.68400758866</v>
      </c>
      <c r="AA315" s="272">
        <v>752219.5141038053</v>
      </c>
      <c r="AB315" s="272">
        <v>717905.9494241894</v>
      </c>
      <c r="AC315" s="272">
        <v>674318.17203742464</v>
      </c>
      <c r="AD315" s="236">
        <v>448860.13754041458</v>
      </c>
      <c r="AE315" s="236">
        <v>425662.27811111545</v>
      </c>
      <c r="AF315" s="236">
        <v>406149.63988924422</v>
      </c>
      <c r="AG315" s="236">
        <v>390230.75294927839</v>
      </c>
      <c r="AH315" s="236">
        <v>375243.19688641233</v>
      </c>
      <c r="AI315" s="236">
        <v>326427.27151014609</v>
      </c>
      <c r="AJ315" s="236">
        <v>283840.78776200762</v>
      </c>
      <c r="AK315" s="236">
        <v>279027.74092720309</v>
      </c>
      <c r="AL315" s="236">
        <v>276156.32429142448</v>
      </c>
      <c r="AM315" s="236">
        <v>274041.83056879858</v>
      </c>
      <c r="AN315" s="236">
        <v>0</v>
      </c>
      <c r="AO315" s="236"/>
      <c r="AP315" s="236"/>
      <c r="AQ315" s="236"/>
      <c r="AR315" s="236"/>
      <c r="AS315" s="236"/>
      <c r="AT315" s="236"/>
      <c r="AU315" s="236"/>
      <c r="AV315" s="236"/>
      <c r="AW315" s="236"/>
      <c r="AX315" s="236"/>
      <c r="AY315" s="236"/>
      <c r="AZ315" s="236"/>
      <c r="BA315" s="236"/>
      <c r="BB315" s="236"/>
      <c r="BC315" s="236"/>
      <c r="BD315" s="236"/>
      <c r="BE315" s="236"/>
      <c r="BF315" s="236"/>
      <c r="BG315" s="236"/>
      <c r="BH315" s="236"/>
      <c r="BI315" s="236"/>
      <c r="BJ315" s="236"/>
      <c r="BK315" s="236"/>
    </row>
    <row r="316" spans="1:63" s="133" customFormat="1" ht="12.75">
      <c r="A316" s="169"/>
      <c r="B316" s="307" t="str">
        <f>Servicio_internaColumna_título_total</f>
        <v>Total</v>
      </c>
      <c r="C316" s="310">
        <v>0</v>
      </c>
      <c r="D316" s="311"/>
      <c r="E316" s="311"/>
      <c r="F316" s="311"/>
      <c r="G316" s="311"/>
      <c r="H316" s="311"/>
      <c r="I316" s="311"/>
      <c r="J316" s="311"/>
      <c r="K316" s="311">
        <v>1701511.102211464</v>
      </c>
      <c r="L316" s="311">
        <v>7150260.3811721057</v>
      </c>
      <c r="M316" s="311">
        <v>5964275.2966937497</v>
      </c>
      <c r="N316" s="311">
        <v>7320170.8037257316</v>
      </c>
      <c r="O316" s="311">
        <v>6670372.0167372432</v>
      </c>
      <c r="P316" s="311">
        <v>7405753.1563760694</v>
      </c>
      <c r="Q316" s="311">
        <v>8203668.0035920693</v>
      </c>
      <c r="R316" s="311">
        <v>4545646.85780067</v>
      </c>
      <c r="S316" s="312">
        <v>7092239.0359187238</v>
      </c>
      <c r="T316" s="311">
        <v>3365725.4087568456</v>
      </c>
      <c r="U316" s="311">
        <v>7037514.7106420044</v>
      </c>
      <c r="V316" s="311">
        <v>4073976.0296081621</v>
      </c>
      <c r="W316" s="311">
        <v>2132380.9437296395</v>
      </c>
      <c r="X316" s="311">
        <v>1957116.9622927126</v>
      </c>
      <c r="Y316" s="311">
        <v>1860673.4713294946</v>
      </c>
      <c r="Z316" s="311">
        <v>3705032.2662702943</v>
      </c>
      <c r="AA316" s="311">
        <v>1421733.4943320549</v>
      </c>
      <c r="AB316" s="311">
        <v>1326307.3593464561</v>
      </c>
      <c r="AC316" s="311">
        <v>3404603.7647724836</v>
      </c>
      <c r="AD316" s="311">
        <v>927177.95085373987</v>
      </c>
      <c r="AE316" s="311">
        <v>821832.50649093988</v>
      </c>
      <c r="AF316" s="311">
        <v>724555.71463162638</v>
      </c>
      <c r="AG316" s="311">
        <v>697496.07675308525</v>
      </c>
      <c r="AH316" s="311">
        <v>656496.43867404375</v>
      </c>
      <c r="AI316" s="311">
        <v>1189540.6974239335</v>
      </c>
      <c r="AJ316" s="311">
        <v>405777.7837385782</v>
      </c>
      <c r="AK316" s="311">
        <v>332746.82945377368</v>
      </c>
      <c r="AL316" s="311">
        <v>329786.24605653435</v>
      </c>
      <c r="AM316" s="311">
        <v>3991222.7549876366</v>
      </c>
      <c r="AN316" s="311">
        <v>743.03933785619995</v>
      </c>
      <c r="AO316" s="311"/>
      <c r="AP316" s="311"/>
      <c r="AQ316" s="311"/>
      <c r="AR316" s="311"/>
      <c r="AS316" s="311"/>
      <c r="AT316" s="311"/>
      <c r="AU316" s="311"/>
      <c r="AV316" s="311"/>
      <c r="AW316" s="311"/>
      <c r="AX316" s="311"/>
      <c r="AY316" s="311"/>
      <c r="AZ316" s="311"/>
      <c r="BA316" s="311"/>
      <c r="BB316" s="311"/>
      <c r="BC316" s="311"/>
      <c r="BD316" s="311"/>
      <c r="BE316" s="311"/>
      <c r="BF316" s="311"/>
      <c r="BG316" s="311"/>
      <c r="BH316" s="311"/>
      <c r="BI316" s="311"/>
      <c r="BJ316" s="311"/>
      <c r="BK316" s="311"/>
    </row>
    <row r="317" spans="1:63" s="80" customFormat="1" ht="12.75">
      <c r="A317" s="167"/>
      <c r="B317" s="210" t="str">
        <f>Servicio_internaColumna_título_amortizaciones</f>
        <v>Amortizaciones</v>
      </c>
      <c r="C317" s="269">
        <v>0</v>
      </c>
      <c r="D317" s="235"/>
      <c r="E317" s="235"/>
      <c r="F317" s="235"/>
      <c r="G317" s="235"/>
      <c r="H317" s="235"/>
      <c r="I317" s="235"/>
      <c r="J317" s="235"/>
      <c r="K317" s="235">
        <v>398725.34641059994</v>
      </c>
      <c r="L317" s="235">
        <v>3325602.1039020992</v>
      </c>
      <c r="M317" s="235">
        <v>2348319.6177748991</v>
      </c>
      <c r="N317" s="235">
        <v>3871271.0768935494</v>
      </c>
      <c r="O317" s="235">
        <v>3442342.1453426494</v>
      </c>
      <c r="P317" s="235">
        <v>4388536.4032784989</v>
      </c>
      <c r="Q317" s="235">
        <v>5463933.302992451</v>
      </c>
      <c r="R317" s="235">
        <v>2290930.3942117998</v>
      </c>
      <c r="S317" s="273">
        <v>5063565.90091825</v>
      </c>
      <c r="T317" s="235">
        <v>1562694.5280853496</v>
      </c>
      <c r="U317" s="235">
        <v>5449564.5623550992</v>
      </c>
      <c r="V317" s="235">
        <v>2815853.99323965</v>
      </c>
      <c r="W317" s="235">
        <v>1035915.7058007999</v>
      </c>
      <c r="X317" s="235">
        <v>915455.48138934991</v>
      </c>
      <c r="Y317" s="235">
        <v>867200.84146739973</v>
      </c>
      <c r="Z317" s="235">
        <v>2831808.9771421999</v>
      </c>
      <c r="AA317" s="235">
        <v>672487.2332711498</v>
      </c>
      <c r="AB317" s="235">
        <v>611624.99059255002</v>
      </c>
      <c r="AC317" s="235">
        <v>2716799.8566609998</v>
      </c>
      <c r="AD317" s="235">
        <v>482049.84702985</v>
      </c>
      <c r="AE317" s="235">
        <v>400238.75293544994</v>
      </c>
      <c r="AF317" s="235">
        <v>322792.77358460001</v>
      </c>
      <c r="AG317" s="235">
        <v>311697.29585225001</v>
      </c>
      <c r="AH317" s="235">
        <v>285791.72576679999</v>
      </c>
      <c r="AI317" s="235">
        <v>865268.47097405011</v>
      </c>
      <c r="AJ317" s="235">
        <v>127128.02899719999</v>
      </c>
      <c r="AK317" s="235">
        <v>59189.553997200004</v>
      </c>
      <c r="AL317" s="235">
        <v>59099.701828199999</v>
      </c>
      <c r="AM317" s="235">
        <v>3707643.1052958001</v>
      </c>
      <c r="AN317" s="235">
        <v>3588.9987308999998</v>
      </c>
      <c r="AO317" s="235"/>
      <c r="AP317" s="235"/>
      <c r="AQ317" s="235"/>
      <c r="AR317" s="235"/>
      <c r="AS317" s="235"/>
      <c r="AT317" s="235"/>
      <c r="AU317" s="235"/>
      <c r="AV317" s="235"/>
      <c r="AW317" s="235"/>
      <c r="AX317" s="235"/>
      <c r="AY317" s="235"/>
      <c r="AZ317" s="235"/>
      <c r="BA317" s="235"/>
      <c r="BB317" s="235"/>
      <c r="BC317" s="235"/>
      <c r="BD317" s="235"/>
      <c r="BE317" s="235"/>
      <c r="BF317" s="235"/>
      <c r="BG317" s="235"/>
      <c r="BH317" s="235"/>
      <c r="BI317" s="235"/>
      <c r="BJ317" s="235"/>
      <c r="BK317" s="235"/>
    </row>
    <row r="318" spans="1:63" s="133" customFormat="1" ht="12.75">
      <c r="A318" s="168">
        <v>40086</v>
      </c>
      <c r="B318" s="213" t="str">
        <f>Servicio_internaColumna_título_intereses</f>
        <v>Intereses</v>
      </c>
      <c r="C318" s="270">
        <v>0</v>
      </c>
      <c r="D318" s="271"/>
      <c r="E318" s="271"/>
      <c r="F318" s="271"/>
      <c r="G318" s="271"/>
      <c r="H318" s="271"/>
      <c r="I318" s="271"/>
      <c r="J318" s="271"/>
      <c r="K318" s="271">
        <v>899056.62233035022</v>
      </c>
      <c r="L318" s="271">
        <v>3836115.4342918005</v>
      </c>
      <c r="M318" s="271">
        <v>3606397.0162082505</v>
      </c>
      <c r="N318" s="271">
        <v>3441980.850933901</v>
      </c>
      <c r="O318" s="271">
        <v>3205723.71053275</v>
      </c>
      <c r="P318" s="271">
        <v>2995050.3331925003</v>
      </c>
      <c r="Q318" s="271">
        <v>2700395.1230657496</v>
      </c>
      <c r="R318" s="271">
        <v>2228818.8166612494</v>
      </c>
      <c r="S318" s="274">
        <v>1993846.3949794497</v>
      </c>
      <c r="T318" s="271">
        <v>1788084.7340746496</v>
      </c>
      <c r="U318" s="272">
        <v>1562715.02375065</v>
      </c>
      <c r="V318" s="272">
        <v>1251439.1896055501</v>
      </c>
      <c r="W318" s="272">
        <v>1096716.4814875498</v>
      </c>
      <c r="X318" s="272">
        <v>1043567.7877294999</v>
      </c>
      <c r="Y318" s="272">
        <v>997858.86595779983</v>
      </c>
      <c r="Z318" s="272">
        <v>873196.1416991998</v>
      </c>
      <c r="AA318" s="272">
        <v>750260.28988954995</v>
      </c>
      <c r="AB318" s="272">
        <v>715662.19329109997</v>
      </c>
      <c r="AC318" s="272">
        <v>671863.41641429998</v>
      </c>
      <c r="AD318" s="236">
        <v>447789.85334929998</v>
      </c>
      <c r="AE318" s="236">
        <v>424256.82529504999</v>
      </c>
      <c r="AF318" s="236">
        <v>404472.81876649999</v>
      </c>
      <c r="AG318" s="236">
        <v>388467.83896359999</v>
      </c>
      <c r="AH318" s="236">
        <v>373395.31221684994</v>
      </c>
      <c r="AI318" s="236">
        <v>324622.20417275</v>
      </c>
      <c r="AJ318" s="236">
        <v>282287.49715869996</v>
      </c>
      <c r="AK318" s="236">
        <v>277636.17486660002</v>
      </c>
      <c r="AL318" s="236">
        <v>274918.14089355001</v>
      </c>
      <c r="AM318" s="236">
        <v>272919.1633443</v>
      </c>
      <c r="AN318" s="236">
        <v>0</v>
      </c>
      <c r="AO318" s="236"/>
      <c r="AP318" s="236"/>
      <c r="AQ318" s="236"/>
      <c r="AR318" s="236"/>
      <c r="AS318" s="236"/>
      <c r="AT318" s="236"/>
      <c r="AU318" s="236"/>
      <c r="AV318" s="236"/>
      <c r="AW318" s="236"/>
      <c r="AX318" s="236"/>
      <c r="AY318" s="236"/>
      <c r="AZ318" s="236"/>
      <c r="BA318" s="236"/>
      <c r="BB318" s="236"/>
      <c r="BC318" s="236"/>
      <c r="BD318" s="236"/>
      <c r="BE318" s="236"/>
      <c r="BF318" s="236"/>
      <c r="BG318" s="236"/>
      <c r="BH318" s="236"/>
      <c r="BI318" s="236"/>
      <c r="BJ318" s="236"/>
      <c r="BK318" s="236"/>
    </row>
    <row r="319" spans="1:63" s="133" customFormat="1" ht="12.75">
      <c r="A319" s="169"/>
      <c r="B319" s="307" t="str">
        <f>Servicio_internaColumna_título_total</f>
        <v>Total</v>
      </c>
      <c r="C319" s="310">
        <v>0</v>
      </c>
      <c r="D319" s="311"/>
      <c r="E319" s="311"/>
      <c r="F319" s="311"/>
      <c r="G319" s="311"/>
      <c r="H319" s="311"/>
      <c r="I319" s="311"/>
      <c r="J319" s="311"/>
      <c r="K319" s="311">
        <v>1297781.9687409501</v>
      </c>
      <c r="L319" s="311">
        <v>7161717.5381939001</v>
      </c>
      <c r="M319" s="311">
        <v>5954716.6339831501</v>
      </c>
      <c r="N319" s="311">
        <v>7313251.9278274504</v>
      </c>
      <c r="O319" s="311">
        <v>6648065.855875399</v>
      </c>
      <c r="P319" s="311">
        <v>7383586.7364709992</v>
      </c>
      <c r="Q319" s="311">
        <v>8164328.4260582011</v>
      </c>
      <c r="R319" s="311">
        <v>4519749.2108730488</v>
      </c>
      <c r="S319" s="312">
        <v>7057412.2958976999</v>
      </c>
      <c r="T319" s="311">
        <v>3350779.2621599995</v>
      </c>
      <c r="U319" s="311">
        <v>7012279.586105749</v>
      </c>
      <c r="V319" s="311">
        <v>4067293.1828452004</v>
      </c>
      <c r="W319" s="311">
        <v>2132632.1872883495</v>
      </c>
      <c r="X319" s="311">
        <v>1959023.2691188497</v>
      </c>
      <c r="Y319" s="311">
        <v>1865059.7074251994</v>
      </c>
      <c r="Z319" s="311">
        <v>3705005.1188413994</v>
      </c>
      <c r="AA319" s="311">
        <v>1422747.5231606998</v>
      </c>
      <c r="AB319" s="311">
        <v>1327287.18388365</v>
      </c>
      <c r="AC319" s="311">
        <v>3388663.2730752998</v>
      </c>
      <c r="AD319" s="311">
        <v>929839.70037914999</v>
      </c>
      <c r="AE319" s="311">
        <v>824495.57823049999</v>
      </c>
      <c r="AF319" s="311">
        <v>727265.59235109994</v>
      </c>
      <c r="AG319" s="311">
        <v>700165.13481585006</v>
      </c>
      <c r="AH319" s="311">
        <v>659187.03798364988</v>
      </c>
      <c r="AI319" s="311">
        <v>1189890.6751468</v>
      </c>
      <c r="AJ319" s="311">
        <v>409415.52615589998</v>
      </c>
      <c r="AK319" s="311">
        <v>336825.7288638</v>
      </c>
      <c r="AL319" s="311">
        <v>334017.84272175003</v>
      </c>
      <c r="AM319" s="311">
        <v>3980562.2686401</v>
      </c>
      <c r="AN319" s="311">
        <v>3588.9987308999998</v>
      </c>
      <c r="AO319" s="311"/>
      <c r="AP319" s="311"/>
      <c r="AQ319" s="311"/>
      <c r="AR319" s="311"/>
      <c r="AS319" s="311"/>
      <c r="AT319" s="311"/>
      <c r="AU319" s="311"/>
      <c r="AV319" s="311"/>
      <c r="AW319" s="311"/>
      <c r="AX319" s="311"/>
      <c r="AY319" s="311"/>
      <c r="AZ319" s="311"/>
      <c r="BA319" s="311"/>
      <c r="BB319" s="311"/>
      <c r="BC319" s="311"/>
      <c r="BD319" s="311"/>
      <c r="BE319" s="311"/>
      <c r="BF319" s="311"/>
      <c r="BG319" s="311"/>
      <c r="BH319" s="311"/>
      <c r="BI319" s="311"/>
      <c r="BJ319" s="311"/>
      <c r="BK319" s="311"/>
    </row>
    <row r="320" spans="1:63" s="80" customFormat="1" ht="12.75">
      <c r="A320" s="167"/>
      <c r="B320" s="210" t="str">
        <f>Servicio_internaColumna_título_amortizaciones</f>
        <v>Amortizaciones</v>
      </c>
      <c r="C320" s="269">
        <v>0</v>
      </c>
      <c r="D320" s="235"/>
      <c r="E320" s="235"/>
      <c r="F320" s="235"/>
      <c r="G320" s="235"/>
      <c r="H320" s="235"/>
      <c r="I320" s="235"/>
      <c r="J320" s="235"/>
      <c r="K320" s="235">
        <v>334161.15128823998</v>
      </c>
      <c r="L320" s="235">
        <v>3163783.3814533795</v>
      </c>
      <c r="M320" s="235">
        <v>2229318.9420209397</v>
      </c>
      <c r="N320" s="235">
        <v>3654505.8181236</v>
      </c>
      <c r="O320" s="235">
        <v>3262360.1343292403</v>
      </c>
      <c r="P320" s="235">
        <v>4164712.6459210603</v>
      </c>
      <c r="Q320" s="235">
        <v>5304244.6101559401</v>
      </c>
      <c r="R320" s="235">
        <v>2209484.2558227</v>
      </c>
      <c r="S320" s="273">
        <v>4837309.4689825205</v>
      </c>
      <c r="T320" s="235">
        <v>1545241.6932347799</v>
      </c>
      <c r="U320" s="235">
        <v>5215769.4351114808</v>
      </c>
      <c r="V320" s="235">
        <v>2726239.1313511198</v>
      </c>
      <c r="W320" s="235">
        <v>1102114.00778134</v>
      </c>
      <c r="X320" s="235">
        <v>986891.98159679992</v>
      </c>
      <c r="Y320" s="235">
        <v>941294.96079337969</v>
      </c>
      <c r="Z320" s="235">
        <v>2737789.3069363195</v>
      </c>
      <c r="AA320" s="235">
        <v>756030.93262665963</v>
      </c>
      <c r="AB320" s="235">
        <v>698562.0599008</v>
      </c>
      <c r="AC320" s="235">
        <v>2703483.1493413202</v>
      </c>
      <c r="AD320" s="235">
        <v>576133.46992245992</v>
      </c>
      <c r="AE320" s="235">
        <v>498865.20335817995</v>
      </c>
      <c r="AF320" s="235">
        <v>393686.33062564</v>
      </c>
      <c r="AG320" s="235">
        <v>383206.96541602002</v>
      </c>
      <c r="AH320" s="235">
        <v>358739.96734285995</v>
      </c>
      <c r="AI320" s="235">
        <v>848379.46066654008</v>
      </c>
      <c r="AJ320" s="235">
        <v>151226.66976751998</v>
      </c>
      <c r="AK320" s="235">
        <v>87637.299767520017</v>
      </c>
      <c r="AL320" s="235">
        <v>55838.911592460005</v>
      </c>
      <c r="AM320" s="235">
        <v>3501784.54885846</v>
      </c>
      <c r="AN320" s="235">
        <v>3389.7078922800001</v>
      </c>
      <c r="AO320" s="235"/>
      <c r="AP320" s="235"/>
      <c r="AQ320" s="235"/>
      <c r="AR320" s="235"/>
      <c r="AS320" s="235"/>
      <c r="AT320" s="235"/>
      <c r="AU320" s="235"/>
      <c r="AV320" s="235"/>
      <c r="AW320" s="235"/>
      <c r="AX320" s="235"/>
      <c r="AY320" s="235"/>
      <c r="AZ320" s="235"/>
      <c r="BA320" s="235"/>
      <c r="BB320" s="235"/>
      <c r="BC320" s="235"/>
      <c r="BD320" s="235"/>
      <c r="BE320" s="235"/>
      <c r="BF320" s="235"/>
      <c r="BG320" s="235"/>
      <c r="BH320" s="235"/>
      <c r="BI320" s="235"/>
      <c r="BJ320" s="235"/>
      <c r="BK320" s="235"/>
    </row>
    <row r="321" spans="1:63" s="133" customFormat="1" ht="12.75">
      <c r="A321" s="168">
        <v>40117</v>
      </c>
      <c r="B321" s="213" t="str">
        <f>Servicio_internaColumna_título_intereses</f>
        <v>Intereses</v>
      </c>
      <c r="C321" s="270">
        <v>0</v>
      </c>
      <c r="D321" s="271"/>
      <c r="E321" s="271"/>
      <c r="F321" s="271"/>
      <c r="G321" s="271"/>
      <c r="H321" s="271"/>
      <c r="I321" s="271"/>
      <c r="J321" s="271"/>
      <c r="K321" s="271">
        <v>458921.33947459998</v>
      </c>
      <c r="L321" s="271">
        <v>3794712.4949488197</v>
      </c>
      <c r="M321" s="271">
        <v>3660269.0190189015</v>
      </c>
      <c r="N321" s="271">
        <v>3513505.1183926603</v>
      </c>
      <c r="O321" s="271">
        <v>3278593.8663840005</v>
      </c>
      <c r="P321" s="271">
        <v>3075687.29807556</v>
      </c>
      <c r="Q321" s="271">
        <v>2796250.8193763201</v>
      </c>
      <c r="R321" s="271">
        <v>2337552.7116680401</v>
      </c>
      <c r="S321" s="274">
        <v>2111933.8454883602</v>
      </c>
      <c r="T321" s="271">
        <v>1913198.9916723603</v>
      </c>
      <c r="U321" s="272">
        <v>1696274.5172129199</v>
      </c>
      <c r="V321" s="272">
        <v>1397332.3994842402</v>
      </c>
      <c r="W321" s="272">
        <v>1246288.5236409202</v>
      </c>
      <c r="X321" s="272">
        <v>1187666.1353610998</v>
      </c>
      <c r="Y321" s="272">
        <v>1136219.2301554198</v>
      </c>
      <c r="Z321" s="272">
        <v>1012553.6267735</v>
      </c>
      <c r="AA321" s="272">
        <v>890853.58012076002</v>
      </c>
      <c r="AB321" s="272">
        <v>849991.98656913999</v>
      </c>
      <c r="AC321" s="272">
        <v>801401.63973676006</v>
      </c>
      <c r="AD321" s="236">
        <v>577322.62850513996</v>
      </c>
      <c r="AE321" s="236">
        <v>548011.27315748006</v>
      </c>
      <c r="AF321" s="236">
        <v>521730.71947527997</v>
      </c>
      <c r="AG321" s="236">
        <v>500672.99314020004</v>
      </c>
      <c r="AH321" s="236">
        <v>480653.49397597997</v>
      </c>
      <c r="AI321" s="236">
        <v>429797.53444376</v>
      </c>
      <c r="AJ321" s="236">
        <v>387912.71047224005</v>
      </c>
      <c r="AK321" s="236">
        <v>381480.62843718001</v>
      </c>
      <c r="AL321" s="236">
        <v>377377.55559926003</v>
      </c>
      <c r="AM321" s="236">
        <v>375489.16630518</v>
      </c>
      <c r="AN321" s="236">
        <v>117724.42199999999</v>
      </c>
      <c r="AO321" s="236"/>
      <c r="AP321" s="236"/>
      <c r="AQ321" s="236"/>
      <c r="AR321" s="236"/>
      <c r="AS321" s="236"/>
      <c r="AT321" s="236"/>
      <c r="AU321" s="236"/>
      <c r="AV321" s="236"/>
      <c r="AW321" s="236"/>
      <c r="AX321" s="236"/>
      <c r="AY321" s="236"/>
      <c r="AZ321" s="236"/>
      <c r="BA321" s="236"/>
      <c r="BB321" s="236"/>
      <c r="BC321" s="236"/>
      <c r="BD321" s="236"/>
      <c r="BE321" s="236"/>
      <c r="BF321" s="236"/>
      <c r="BG321" s="236"/>
      <c r="BH321" s="236"/>
      <c r="BI321" s="236"/>
      <c r="BJ321" s="236"/>
      <c r="BK321" s="236"/>
    </row>
    <row r="322" spans="1:63" s="133" customFormat="1" ht="12.75">
      <c r="A322" s="169"/>
      <c r="B322" s="307" t="str">
        <f>Servicio_internaColumna_título_total</f>
        <v>Total</v>
      </c>
      <c r="C322" s="310">
        <v>0</v>
      </c>
      <c r="D322" s="311"/>
      <c r="E322" s="311"/>
      <c r="F322" s="311"/>
      <c r="G322" s="311"/>
      <c r="H322" s="311"/>
      <c r="I322" s="311"/>
      <c r="J322" s="311"/>
      <c r="K322" s="311">
        <v>793082.49076284003</v>
      </c>
      <c r="L322" s="311">
        <v>6958495.8764021993</v>
      </c>
      <c r="M322" s="311">
        <v>5889587.9610398412</v>
      </c>
      <c r="N322" s="311">
        <v>7168010.9365162607</v>
      </c>
      <c r="O322" s="311">
        <v>6540954.0007132404</v>
      </c>
      <c r="P322" s="311">
        <v>7240399.9439966204</v>
      </c>
      <c r="Q322" s="311">
        <v>8100495.4295322597</v>
      </c>
      <c r="R322" s="311">
        <v>4547036.9674907401</v>
      </c>
      <c r="S322" s="312">
        <v>6949243.3144708807</v>
      </c>
      <c r="T322" s="311">
        <v>3458440.6849071402</v>
      </c>
      <c r="U322" s="311">
        <v>6912043.9523244007</v>
      </c>
      <c r="V322" s="311">
        <v>4123571.5308353603</v>
      </c>
      <c r="W322" s="311">
        <v>2348402.5314222602</v>
      </c>
      <c r="X322" s="311">
        <v>2174558.1169578996</v>
      </c>
      <c r="Y322" s="311">
        <v>2077514.1909487995</v>
      </c>
      <c r="Z322" s="311">
        <v>3750342.9337098193</v>
      </c>
      <c r="AA322" s="311">
        <v>1646884.5127474195</v>
      </c>
      <c r="AB322" s="311">
        <v>1548554.0464699399</v>
      </c>
      <c r="AC322" s="311">
        <v>3504884.7890780801</v>
      </c>
      <c r="AD322" s="311">
        <v>1153456.0984275998</v>
      </c>
      <c r="AE322" s="311">
        <v>1046876.4765156601</v>
      </c>
      <c r="AF322" s="311">
        <v>915417.05010092002</v>
      </c>
      <c r="AG322" s="311">
        <v>883879.95855622005</v>
      </c>
      <c r="AH322" s="311">
        <v>839393.46131883992</v>
      </c>
      <c r="AI322" s="311">
        <v>1278176.9951103001</v>
      </c>
      <c r="AJ322" s="311">
        <v>539139.38023976004</v>
      </c>
      <c r="AK322" s="311">
        <v>469117.9282047</v>
      </c>
      <c r="AL322" s="311">
        <v>433216.46719172003</v>
      </c>
      <c r="AM322" s="311">
        <v>3877273.7151636402</v>
      </c>
      <c r="AN322" s="311">
        <v>121114.12989227999</v>
      </c>
      <c r="AO322" s="311"/>
      <c r="AP322" s="311"/>
      <c r="AQ322" s="311"/>
      <c r="AR322" s="311"/>
      <c r="AS322" s="311"/>
      <c r="AT322" s="311"/>
      <c r="AU322" s="311"/>
      <c r="AV322" s="311"/>
      <c r="AW322" s="311"/>
      <c r="AX322" s="311"/>
      <c r="AY322" s="311"/>
      <c r="AZ322" s="311"/>
      <c r="BA322" s="311"/>
      <c r="BB322" s="311"/>
      <c r="BC322" s="311"/>
      <c r="BD322" s="311"/>
      <c r="BE322" s="311"/>
      <c r="BF322" s="311"/>
      <c r="BG322" s="311"/>
      <c r="BH322" s="311"/>
      <c r="BI322" s="311"/>
      <c r="BJ322" s="311"/>
      <c r="BK322" s="311"/>
    </row>
    <row r="323" spans="1:63" s="80" customFormat="1" ht="12.75">
      <c r="A323" s="167"/>
      <c r="B323" s="210" t="str">
        <f>Servicio_internaColumna_título_amortizaciones</f>
        <v>Amortizaciones</v>
      </c>
      <c r="C323" s="269">
        <v>0</v>
      </c>
      <c r="D323" s="235"/>
      <c r="E323" s="235"/>
      <c r="F323" s="235"/>
      <c r="G323" s="235"/>
      <c r="H323" s="235"/>
      <c r="I323" s="235"/>
      <c r="J323" s="235"/>
      <c r="K323" s="235">
        <v>47108.452736514002</v>
      </c>
      <c r="L323" s="235">
        <v>3295745.6560815177</v>
      </c>
      <c r="M323" s="235">
        <v>2313530.0997298802</v>
      </c>
      <c r="N323" s="235">
        <v>3811863.9343587123</v>
      </c>
      <c r="O323" s="235">
        <v>3382104.7951982035</v>
      </c>
      <c r="P323" s="235">
        <v>4322999.5780950002</v>
      </c>
      <c r="Q323" s="235">
        <v>5465429.7077595238</v>
      </c>
      <c r="R323" s="235">
        <v>2291295.0132416403</v>
      </c>
      <c r="S323" s="273">
        <v>5020308.4012672501</v>
      </c>
      <c r="T323" s="235">
        <v>1605689.8258168863</v>
      </c>
      <c r="U323" s="235">
        <v>6669727.8120027781</v>
      </c>
      <c r="V323" s="235">
        <v>2831774.8423288083</v>
      </c>
      <c r="W323" s="235">
        <v>1147232.5562472839</v>
      </c>
      <c r="X323" s="235">
        <v>1028255.5131656878</v>
      </c>
      <c r="Y323" s="235">
        <v>980965.31092468195</v>
      </c>
      <c r="Z323" s="235">
        <v>2845079.4223760576</v>
      </c>
      <c r="AA323" s="235">
        <v>789288.65924550593</v>
      </c>
      <c r="AB323" s="235">
        <v>729672.92642597388</v>
      </c>
      <c r="AC323" s="235">
        <v>2781721.3238461982</v>
      </c>
      <c r="AD323" s="235">
        <v>602638.79907496786</v>
      </c>
      <c r="AE323" s="235">
        <v>520490.22806775587</v>
      </c>
      <c r="AF323" s="235">
        <v>409372.29318983998</v>
      </c>
      <c r="AG323" s="235">
        <v>398501.07952942199</v>
      </c>
      <c r="AH323" s="235">
        <v>373108.84399776597</v>
      </c>
      <c r="AI323" s="235">
        <v>880552.34831803804</v>
      </c>
      <c r="AJ323" s="235">
        <v>156868.70274544798</v>
      </c>
      <c r="AK323" s="235">
        <v>90903.829745447991</v>
      </c>
      <c r="AL323" s="235">
        <v>57916.253528117995</v>
      </c>
      <c r="AM323" s="235">
        <v>3632590.5030109081</v>
      </c>
      <c r="AN323" s="235">
        <v>3516.3369384120001</v>
      </c>
      <c r="AO323" s="235"/>
      <c r="AP323" s="235"/>
      <c r="AQ323" s="235"/>
      <c r="AR323" s="235"/>
      <c r="AS323" s="235"/>
      <c r="AT323" s="235"/>
      <c r="AU323" s="235"/>
      <c r="AV323" s="235"/>
      <c r="AW323" s="235"/>
      <c r="AX323" s="235"/>
      <c r="AY323" s="235"/>
      <c r="AZ323" s="235"/>
      <c r="BA323" s="235"/>
      <c r="BB323" s="235"/>
      <c r="BC323" s="235"/>
      <c r="BD323" s="235"/>
      <c r="BE323" s="235"/>
      <c r="BF323" s="235"/>
      <c r="BG323" s="235"/>
      <c r="BH323" s="235"/>
      <c r="BI323" s="235"/>
      <c r="BJ323" s="235"/>
      <c r="BK323" s="235"/>
    </row>
    <row r="324" spans="1:63" s="133" customFormat="1" ht="12.75">
      <c r="A324" s="168">
        <v>40147</v>
      </c>
      <c r="B324" s="213" t="str">
        <f>Servicio_internaColumna_título_intereses</f>
        <v>Intereses</v>
      </c>
      <c r="C324" s="270">
        <v>0</v>
      </c>
      <c r="D324" s="271"/>
      <c r="E324" s="271"/>
      <c r="F324" s="271"/>
      <c r="G324" s="271"/>
      <c r="H324" s="271"/>
      <c r="I324" s="271"/>
      <c r="J324" s="271"/>
      <c r="K324" s="271">
        <v>158819.707124418</v>
      </c>
      <c r="L324" s="271">
        <v>3963675.7366833966</v>
      </c>
      <c r="M324" s="271">
        <v>3813381.0410033832</v>
      </c>
      <c r="N324" s="271">
        <v>3638896.0353759788</v>
      </c>
      <c r="O324" s="271">
        <v>3424172.8318336569</v>
      </c>
      <c r="P324" s="271">
        <v>3217258.7982848641</v>
      </c>
      <c r="Q324" s="271">
        <v>2924028.4232940301</v>
      </c>
      <c r="R324" s="271">
        <v>2453800.8478370584</v>
      </c>
      <c r="S324" s="274">
        <v>2220682.0312068784</v>
      </c>
      <c r="T324" s="271">
        <v>2014541.742928932</v>
      </c>
      <c r="U324" s="272">
        <v>1789502.5577744702</v>
      </c>
      <c r="V324" s="272">
        <v>1448949.8593081019</v>
      </c>
      <c r="W324" s="272">
        <v>1292152.1169813061</v>
      </c>
      <c r="X324" s="272">
        <v>1231188.25579551</v>
      </c>
      <c r="Y324" s="272">
        <v>1177627.7922491401</v>
      </c>
      <c r="Z324" s="272">
        <v>1049148.494956224</v>
      </c>
      <c r="AA324" s="272">
        <v>922653.21769548592</v>
      </c>
      <c r="AB324" s="272">
        <v>880018.61569429189</v>
      </c>
      <c r="AC324" s="272">
        <v>829367.1183705359</v>
      </c>
      <c r="AD324" s="236">
        <v>599404.72093334387</v>
      </c>
      <c r="AE324" s="236">
        <v>568752.98806437606</v>
      </c>
      <c r="AF324" s="236">
        <v>541389.82259506197</v>
      </c>
      <c r="AG324" s="236">
        <v>519492.97211464198</v>
      </c>
      <c r="AH324" s="236">
        <v>498673.27984010393</v>
      </c>
      <c r="AI324" s="236">
        <v>445865.58752628596</v>
      </c>
      <c r="AJ324" s="236">
        <v>402403.23249891598</v>
      </c>
      <c r="AK324" s="236">
        <v>395731.04701301397</v>
      </c>
      <c r="AL324" s="236">
        <v>391474.87535415596</v>
      </c>
      <c r="AM324" s="236">
        <v>389516.13602808601</v>
      </c>
      <c r="AN324" s="236">
        <v>122122.2438</v>
      </c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</row>
    <row r="325" spans="1:63" s="133" customFormat="1" ht="12.75">
      <c r="A325" s="169"/>
      <c r="B325" s="307" t="str">
        <f>Servicio_internaColumna_título_total</f>
        <v>Total</v>
      </c>
      <c r="C325" s="310">
        <v>0</v>
      </c>
      <c r="D325" s="311"/>
      <c r="E325" s="311"/>
      <c r="F325" s="311"/>
      <c r="G325" s="311"/>
      <c r="H325" s="311"/>
      <c r="I325" s="311"/>
      <c r="J325" s="311"/>
      <c r="K325" s="311">
        <v>205928.15986093201</v>
      </c>
      <c r="L325" s="311">
        <v>7259421.3927649148</v>
      </c>
      <c r="M325" s="311">
        <v>6126911.1407332635</v>
      </c>
      <c r="N325" s="311">
        <v>7450759.9697346911</v>
      </c>
      <c r="O325" s="311">
        <v>6806277.6270318609</v>
      </c>
      <c r="P325" s="311">
        <v>7540258.3763798643</v>
      </c>
      <c r="Q325" s="311">
        <v>8389458.1310535539</v>
      </c>
      <c r="R325" s="311">
        <v>4745095.8610786982</v>
      </c>
      <c r="S325" s="312">
        <v>7240990.4324741289</v>
      </c>
      <c r="T325" s="311">
        <v>3620231.568745818</v>
      </c>
      <c r="U325" s="311">
        <v>8459230.3697772473</v>
      </c>
      <c r="V325" s="311">
        <v>4280724.7016369104</v>
      </c>
      <c r="W325" s="311">
        <v>2439384.6732285898</v>
      </c>
      <c r="X325" s="311">
        <v>2259443.7689611977</v>
      </c>
      <c r="Y325" s="311">
        <v>2158593.1031738222</v>
      </c>
      <c r="Z325" s="311">
        <v>3894227.9173322814</v>
      </c>
      <c r="AA325" s="311">
        <v>1711941.8769409917</v>
      </c>
      <c r="AB325" s="311">
        <v>1609691.5421202658</v>
      </c>
      <c r="AC325" s="311">
        <v>3611088.4422167339</v>
      </c>
      <c r="AD325" s="311">
        <v>1202043.5200083116</v>
      </c>
      <c r="AE325" s="311">
        <v>1089243.2161321319</v>
      </c>
      <c r="AF325" s="311">
        <v>950762.11578490189</v>
      </c>
      <c r="AG325" s="311">
        <v>917994.05164406402</v>
      </c>
      <c r="AH325" s="311">
        <v>871782.12383786985</v>
      </c>
      <c r="AI325" s="311">
        <v>1326417.9358443241</v>
      </c>
      <c r="AJ325" s="311">
        <v>559271.93524436397</v>
      </c>
      <c r="AK325" s="311">
        <v>486634.87675846193</v>
      </c>
      <c r="AL325" s="311">
        <v>449391.12888227397</v>
      </c>
      <c r="AM325" s="311">
        <v>4022106.639038994</v>
      </c>
      <c r="AN325" s="311">
        <v>125638.580738412</v>
      </c>
      <c r="AO325" s="311"/>
      <c r="AP325" s="311"/>
      <c r="AQ325" s="311"/>
      <c r="AR325" s="311"/>
      <c r="AS325" s="311"/>
      <c r="AT325" s="311"/>
      <c r="AU325" s="311"/>
      <c r="AV325" s="311"/>
      <c r="AW325" s="311"/>
      <c r="AX325" s="311"/>
      <c r="AY325" s="311"/>
      <c r="AZ325" s="311"/>
      <c r="BA325" s="311"/>
      <c r="BB325" s="311"/>
      <c r="BC325" s="311"/>
      <c r="BD325" s="311"/>
      <c r="BE325" s="311"/>
      <c r="BF325" s="311"/>
      <c r="BG325" s="311"/>
      <c r="BH325" s="311"/>
      <c r="BI325" s="311"/>
      <c r="BJ325" s="311"/>
      <c r="BK325" s="311"/>
    </row>
    <row r="326" spans="1:63" s="80" customFormat="1" ht="12.75">
      <c r="A326" s="167"/>
      <c r="B326" s="210" t="str">
        <f>Servicio_internaColumna_título_amortizaciones</f>
        <v>Amortizaciones</v>
      </c>
      <c r="C326" s="269">
        <v>0</v>
      </c>
      <c r="D326" s="235"/>
      <c r="E326" s="235"/>
      <c r="F326" s="235"/>
      <c r="G326" s="235"/>
      <c r="H326" s="235"/>
      <c r="I326" s="235"/>
      <c r="J326" s="235"/>
      <c r="K326" s="235"/>
      <c r="L326" s="235">
        <v>3355679.3323411751</v>
      </c>
      <c r="M326" s="235">
        <v>2321060.7207444282</v>
      </c>
      <c r="N326" s="235">
        <v>3799986.7617905219</v>
      </c>
      <c r="O326" s="235">
        <v>3400848.1091467598</v>
      </c>
      <c r="P326" s="235">
        <v>4384568.7368844766</v>
      </c>
      <c r="Q326" s="235">
        <v>5618276.7254480394</v>
      </c>
      <c r="R326" s="235">
        <v>2341160.8197337855</v>
      </c>
      <c r="S326" s="273">
        <v>5071084.8083224641</v>
      </c>
      <c r="T326" s="235">
        <v>1649195.1145341936</v>
      </c>
      <c r="U326" s="235">
        <v>6724152.9253629623</v>
      </c>
      <c r="V326" s="235">
        <v>2877094.3513757666</v>
      </c>
      <c r="W326" s="235">
        <v>1184517.7411616901</v>
      </c>
      <c r="X326" s="235">
        <v>1064097.8971872353</v>
      </c>
      <c r="Y326" s="235">
        <v>1066639.3759844678</v>
      </c>
      <c r="Z326" s="235">
        <v>2883092.538438526</v>
      </c>
      <c r="AA326" s="235">
        <v>820396.82139860699</v>
      </c>
      <c r="AB326" s="235">
        <v>760671.35357065056</v>
      </c>
      <c r="AC326" s="235">
        <v>2879607.3213223731</v>
      </c>
      <c r="AD326" s="235">
        <v>602785.59191190242</v>
      </c>
      <c r="AE326" s="235">
        <v>520485.80952160468</v>
      </c>
      <c r="AF326" s="235">
        <v>409163.33917322929</v>
      </c>
      <c r="AG326" s="235">
        <v>398272.11478256789</v>
      </c>
      <c r="AH326" s="235">
        <v>372831.09433635435</v>
      </c>
      <c r="AI326" s="235">
        <v>881696.98930789437</v>
      </c>
      <c r="AJ326" s="235">
        <v>157169.5256049468</v>
      </c>
      <c r="AK326" s="235">
        <v>91083.230654946805</v>
      </c>
      <c r="AL326" s="235">
        <v>58037.237324513706</v>
      </c>
      <c r="AM326" s="235">
        <v>3639293.7229353916</v>
      </c>
      <c r="AN326" s="235">
        <v>3522.8094815777999</v>
      </c>
      <c r="AO326" s="235"/>
      <c r="AP326" s="235"/>
      <c r="AQ326" s="235"/>
      <c r="AR326" s="235"/>
      <c r="AS326" s="235"/>
      <c r="AT326" s="235"/>
      <c r="AU326" s="235"/>
      <c r="AV326" s="235"/>
      <c r="AW326" s="235"/>
      <c r="AX326" s="235"/>
      <c r="AY326" s="235"/>
      <c r="AZ326" s="235"/>
      <c r="BA326" s="235"/>
      <c r="BB326" s="235"/>
      <c r="BC326" s="235"/>
      <c r="BD326" s="235"/>
      <c r="BE326" s="235"/>
      <c r="BF326" s="235"/>
      <c r="BG326" s="235"/>
      <c r="BH326" s="235"/>
      <c r="BI326" s="235"/>
      <c r="BJ326" s="235"/>
      <c r="BK326" s="235"/>
    </row>
    <row r="327" spans="1:63" s="133" customFormat="1" ht="12.75">
      <c r="A327" s="168">
        <v>40178</v>
      </c>
      <c r="B327" s="213" t="str">
        <f>Servicio_internaColumna_título_intereses</f>
        <v>Intereses</v>
      </c>
      <c r="C327" s="270">
        <v>0</v>
      </c>
      <c r="D327" s="271"/>
      <c r="E327" s="271"/>
      <c r="F327" s="271"/>
      <c r="G327" s="271"/>
      <c r="H327" s="271"/>
      <c r="I327" s="271"/>
      <c r="J327" s="271"/>
      <c r="K327" s="271"/>
      <c r="L327" s="271">
        <v>3970971.6991438386</v>
      </c>
      <c r="M327" s="271">
        <v>3820400.3550872845</v>
      </c>
      <c r="N327" s="271">
        <v>3645594.1738301013</v>
      </c>
      <c r="O327" s="271">
        <v>3430475.7279580575</v>
      </c>
      <c r="P327" s="271">
        <v>3223180.8264670819</v>
      </c>
      <c r="Q327" s="271">
        <v>2929410.7005101452</v>
      </c>
      <c r="R327" s="271">
        <v>2458317.5742447032</v>
      </c>
      <c r="S327" s="274">
        <v>2224769.6543659358</v>
      </c>
      <c r="T327" s="271">
        <v>2018249.9223835159</v>
      </c>
      <c r="U327" s="272">
        <v>1792796.5062081309</v>
      </c>
      <c r="V327" s="272">
        <v>1451616.9502819513</v>
      </c>
      <c r="W327" s="272">
        <v>1294530.589380404</v>
      </c>
      <c r="X327" s="272">
        <v>1233454.5116380064</v>
      </c>
      <c r="Y327" s="272">
        <v>1179795.4590148912</v>
      </c>
      <c r="Z327" s="272">
        <v>1051079.6690842656</v>
      </c>
      <c r="AA327" s="272">
        <v>924351.55118377088</v>
      </c>
      <c r="AB327" s="272">
        <v>881638.47140679974</v>
      </c>
      <c r="AC327" s="272">
        <v>830893.73955842829</v>
      </c>
      <c r="AD327" s="236">
        <v>600508.04891299352</v>
      </c>
      <c r="AE327" s="236">
        <v>569799.89520962443</v>
      </c>
      <c r="AF327" s="236">
        <v>542386.36219227535</v>
      </c>
      <c r="AG327" s="236">
        <v>520449.20604365226</v>
      </c>
      <c r="AH327" s="236">
        <v>499591.19083268754</v>
      </c>
      <c r="AI327" s="236">
        <v>446686.29507279088</v>
      </c>
      <c r="AJ327" s="236">
        <v>403143.9386195254</v>
      </c>
      <c r="AK327" s="236">
        <v>396459.47160050413</v>
      </c>
      <c r="AL327" s="236">
        <v>392195.46558013139</v>
      </c>
      <c r="AM327" s="236">
        <v>390233.1207904609</v>
      </c>
      <c r="AN327" s="236">
        <v>122347.03496999999</v>
      </c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</row>
    <row r="328" spans="1:63" s="133" customFormat="1" ht="12.75">
      <c r="A328" s="169"/>
      <c r="B328" s="307" t="str">
        <f>Servicio_internaColumna_título_total</f>
        <v>Total</v>
      </c>
      <c r="C328" s="310">
        <v>0</v>
      </c>
      <c r="D328" s="311"/>
      <c r="E328" s="311"/>
      <c r="F328" s="311"/>
      <c r="G328" s="311"/>
      <c r="H328" s="311"/>
      <c r="I328" s="311"/>
      <c r="J328" s="311"/>
      <c r="K328" s="311"/>
      <c r="L328" s="311">
        <v>7326651.0314850137</v>
      </c>
      <c r="M328" s="311">
        <v>6141461.0758317132</v>
      </c>
      <c r="N328" s="311">
        <v>7445580.9356206227</v>
      </c>
      <c r="O328" s="311">
        <v>6831323.8371048179</v>
      </c>
      <c r="P328" s="311">
        <v>7607749.5633515585</v>
      </c>
      <c r="Q328" s="311">
        <v>8547687.4259581845</v>
      </c>
      <c r="R328" s="311">
        <v>4799478.3939784886</v>
      </c>
      <c r="S328" s="312">
        <v>7295854.4626883995</v>
      </c>
      <c r="T328" s="311">
        <v>3667445.0369177097</v>
      </c>
      <c r="U328" s="311">
        <v>8516949.4315710925</v>
      </c>
      <c r="V328" s="311">
        <v>4328711.3016577177</v>
      </c>
      <c r="W328" s="311">
        <v>2479048.3305420941</v>
      </c>
      <c r="X328" s="311">
        <v>2297552.408825242</v>
      </c>
      <c r="Y328" s="311">
        <v>2246434.8349993592</v>
      </c>
      <c r="Z328" s="311">
        <v>3934172.2075227918</v>
      </c>
      <c r="AA328" s="311">
        <v>1744748.3725823779</v>
      </c>
      <c r="AB328" s="311">
        <v>1642309.8249774503</v>
      </c>
      <c r="AC328" s="311">
        <v>3710501.0608808016</v>
      </c>
      <c r="AD328" s="311">
        <v>1203293.6408248958</v>
      </c>
      <c r="AE328" s="311">
        <v>1090285.7047312292</v>
      </c>
      <c r="AF328" s="311">
        <v>951549.70136550465</v>
      </c>
      <c r="AG328" s="311">
        <v>918721.32082622009</v>
      </c>
      <c r="AH328" s="311">
        <v>872422.28516904195</v>
      </c>
      <c r="AI328" s="311">
        <v>1328383.2843806853</v>
      </c>
      <c r="AJ328" s="311">
        <v>560313.46422447218</v>
      </c>
      <c r="AK328" s="311">
        <v>487542.70225545095</v>
      </c>
      <c r="AL328" s="311">
        <v>450232.70290464512</v>
      </c>
      <c r="AM328" s="311">
        <v>4029526.8437258527</v>
      </c>
      <c r="AN328" s="311">
        <v>125869.8444515778</v>
      </c>
      <c r="AO328" s="311"/>
      <c r="AP328" s="311"/>
      <c r="AQ328" s="311"/>
      <c r="AR328" s="311"/>
      <c r="AS328" s="311"/>
      <c r="AT328" s="311"/>
      <c r="AU328" s="311"/>
      <c r="AV328" s="311"/>
      <c r="AW328" s="311"/>
      <c r="AX328" s="311"/>
      <c r="AY328" s="311"/>
      <c r="AZ328" s="311"/>
      <c r="BA328" s="311"/>
      <c r="BB328" s="311"/>
      <c r="BC328" s="311"/>
      <c r="BD328" s="311"/>
      <c r="BE328" s="311"/>
      <c r="BF328" s="311"/>
      <c r="BG328" s="311"/>
      <c r="BH328" s="311"/>
      <c r="BI328" s="311"/>
      <c r="BJ328" s="311"/>
      <c r="BK328" s="311"/>
    </row>
    <row r="329" spans="1:63" s="80" customFormat="1" ht="12.75">
      <c r="A329" s="167"/>
      <c r="B329" s="210" t="str">
        <f>Servicio_internaColumna_título_amortizaciones</f>
        <v>Amortizaciones</v>
      </c>
      <c r="C329" s="269">
        <v>0</v>
      </c>
      <c r="D329" s="235"/>
      <c r="E329" s="235"/>
      <c r="F329" s="235"/>
      <c r="G329" s="235"/>
      <c r="H329" s="235"/>
      <c r="I329" s="235"/>
      <c r="J329" s="235"/>
      <c r="K329" s="235"/>
      <c r="L329" s="235">
        <v>3308749.4747658703</v>
      </c>
      <c r="M329" s="235">
        <v>2353430.7620714088</v>
      </c>
      <c r="N329" s="235">
        <v>3892950.7636438464</v>
      </c>
      <c r="O329" s="235">
        <v>3414438.6773068486</v>
      </c>
      <c r="P329" s="235">
        <v>4346674.2580582304</v>
      </c>
      <c r="Q329" s="235">
        <v>5087581.825501957</v>
      </c>
      <c r="R329" s="235">
        <v>2323917.779121649</v>
      </c>
      <c r="S329" s="273">
        <v>5147729.3827217342</v>
      </c>
      <c r="T329" s="235">
        <v>1652656.363276789</v>
      </c>
      <c r="U329" s="235">
        <v>6857136.3444302296</v>
      </c>
      <c r="V329" s="235">
        <v>2923306.314918376</v>
      </c>
      <c r="W329" s="235">
        <v>1195127.1581702388</v>
      </c>
      <c r="X329" s="235">
        <v>1080017.8093941172</v>
      </c>
      <c r="Y329" s="235">
        <v>1082669.2425504383</v>
      </c>
      <c r="Z329" s="235">
        <v>2949664.2426895928</v>
      </c>
      <c r="AA329" s="235">
        <v>839518.5981999241</v>
      </c>
      <c r="AB329" s="235">
        <v>778394.98025383439</v>
      </c>
      <c r="AC329" s="235">
        <v>2509484.1521906625</v>
      </c>
      <c r="AD329" s="235">
        <v>616865.2171227471</v>
      </c>
      <c r="AE329" s="235">
        <v>532638.82866348675</v>
      </c>
      <c r="AF329" s="235">
        <v>418710.34234816837</v>
      </c>
      <c r="AG329" s="235">
        <v>407564.15860767575</v>
      </c>
      <c r="AH329" s="235">
        <v>381527.45414739149</v>
      </c>
      <c r="AI329" s="235">
        <v>902305.58330384968</v>
      </c>
      <c r="AJ329" s="235">
        <v>160817.21195135041</v>
      </c>
      <c r="AK329" s="235">
        <v>93183.862401350387</v>
      </c>
      <c r="AL329" s="235">
        <v>59365.006698690304</v>
      </c>
      <c r="AM329" s="235">
        <v>3724458.0387301845</v>
      </c>
      <c r="AN329" s="235">
        <v>3605.2770887801998</v>
      </c>
      <c r="AO329" s="235"/>
      <c r="AP329" s="235"/>
      <c r="AQ329" s="235"/>
      <c r="AR329" s="235"/>
      <c r="AS329" s="235"/>
      <c r="AT329" s="235"/>
      <c r="AU329" s="235"/>
      <c r="AV329" s="235"/>
      <c r="AW329" s="235"/>
      <c r="AX329" s="235"/>
      <c r="AY329" s="235"/>
      <c r="AZ329" s="235"/>
      <c r="BA329" s="235"/>
      <c r="BB329" s="235"/>
      <c r="BC329" s="235"/>
      <c r="BD329" s="235"/>
      <c r="BE329" s="235"/>
      <c r="BF329" s="235"/>
      <c r="BG329" s="235"/>
      <c r="BH329" s="235"/>
      <c r="BI329" s="235"/>
      <c r="BJ329" s="235"/>
      <c r="BK329" s="235"/>
    </row>
    <row r="330" spans="1:63" s="133" customFormat="1" ht="12.75">
      <c r="A330" s="168">
        <v>40209</v>
      </c>
      <c r="B330" s="213" t="str">
        <f>Servicio_internaColumna_título_intereses</f>
        <v>Intereses</v>
      </c>
      <c r="C330" s="270">
        <v>0</v>
      </c>
      <c r="D330" s="271"/>
      <c r="E330" s="271"/>
      <c r="F330" s="271"/>
      <c r="G330" s="271"/>
      <c r="H330" s="271"/>
      <c r="I330" s="271"/>
      <c r="J330" s="271"/>
      <c r="K330" s="271"/>
      <c r="L330" s="271">
        <v>3622004.5979156685</v>
      </c>
      <c r="M330" s="271">
        <v>3882970.5216111555</v>
      </c>
      <c r="N330" s="271">
        <v>3679673.6923336932</v>
      </c>
      <c r="O330" s="271">
        <v>3383789.9922486381</v>
      </c>
      <c r="P330" s="271">
        <v>3196615.9296104154</v>
      </c>
      <c r="Q330" s="271">
        <v>2912873.9420325886</v>
      </c>
      <c r="R330" s="271">
        <v>2493757.4149652459</v>
      </c>
      <c r="S330" s="274">
        <v>2256968.621557442</v>
      </c>
      <c r="T330" s="271">
        <v>2048259.0894485523</v>
      </c>
      <c r="U330" s="272">
        <v>1817717.5753125141</v>
      </c>
      <c r="V330" s="272">
        <v>1468158.7740996561</v>
      </c>
      <c r="W330" s="272">
        <v>1306246.9609398318</v>
      </c>
      <c r="X330" s="272">
        <v>1242236.7282285143</v>
      </c>
      <c r="Y330" s="272">
        <v>1185418.4121636553</v>
      </c>
      <c r="Z330" s="272">
        <v>1048414.2786285367</v>
      </c>
      <c r="AA330" s="272">
        <v>915964.62454734696</v>
      </c>
      <c r="AB330" s="272">
        <v>869675.41711202788</v>
      </c>
      <c r="AC330" s="272">
        <v>815197.56176566053</v>
      </c>
      <c r="AD330" s="236">
        <v>614282.79091588245</v>
      </c>
      <c r="AE330" s="236">
        <v>582909.37846724817</v>
      </c>
      <c r="AF330" s="236">
        <v>554907.71252084733</v>
      </c>
      <c r="AG330" s="236">
        <v>532510.62324586441</v>
      </c>
      <c r="AH330" s="236">
        <v>511217.96314215718</v>
      </c>
      <c r="AI330" s="236">
        <v>457128.30010196549</v>
      </c>
      <c r="AJ330" s="236">
        <v>412580.29451544333</v>
      </c>
      <c r="AK330" s="236">
        <v>405739.65557203232</v>
      </c>
      <c r="AL330" s="236">
        <v>401376.13964203413</v>
      </c>
      <c r="AM330" s="236">
        <v>399364.31438759039</v>
      </c>
      <c r="AN330" s="236">
        <v>125211.13172999999</v>
      </c>
      <c r="AO330" s="236"/>
      <c r="AP330" s="236"/>
      <c r="AQ330" s="236"/>
      <c r="AR330" s="236"/>
      <c r="AS330" s="236"/>
      <c r="AT330" s="236"/>
      <c r="AU330" s="236"/>
      <c r="AV330" s="236"/>
      <c r="AW330" s="236"/>
      <c r="AX330" s="236"/>
      <c r="AY330" s="236"/>
      <c r="AZ330" s="236"/>
      <c r="BA330" s="236"/>
      <c r="BB330" s="236"/>
      <c r="BC330" s="236"/>
      <c r="BD330" s="236"/>
      <c r="BE330" s="236"/>
      <c r="BF330" s="236"/>
      <c r="BG330" s="236"/>
      <c r="BH330" s="236"/>
      <c r="BI330" s="236"/>
      <c r="BJ330" s="236"/>
      <c r="BK330" s="236"/>
    </row>
    <row r="331" spans="1:63" s="133" customFormat="1" ht="12.75">
      <c r="A331" s="169"/>
      <c r="B331" s="307" t="str">
        <f>Servicio_internaColumna_título_total</f>
        <v>Total</v>
      </c>
      <c r="C331" s="310">
        <v>0</v>
      </c>
      <c r="D331" s="311"/>
      <c r="E331" s="311"/>
      <c r="F331" s="311"/>
      <c r="G331" s="311"/>
      <c r="H331" s="311"/>
      <c r="I331" s="311"/>
      <c r="J331" s="311"/>
      <c r="K331" s="311"/>
      <c r="L331" s="311">
        <v>6930754.0726815388</v>
      </c>
      <c r="M331" s="311">
        <v>6236401.2836825643</v>
      </c>
      <c r="N331" s="311">
        <v>7572624.4559775395</v>
      </c>
      <c r="O331" s="311">
        <v>6798228.6695554871</v>
      </c>
      <c r="P331" s="311">
        <v>7543290.1876686458</v>
      </c>
      <c r="Q331" s="311">
        <v>8000455.7675345456</v>
      </c>
      <c r="R331" s="311">
        <v>4817675.1940868944</v>
      </c>
      <c r="S331" s="312">
        <v>7404698.0042791758</v>
      </c>
      <c r="T331" s="311">
        <v>3700915.4527253415</v>
      </c>
      <c r="U331" s="311">
        <v>8674853.9197427444</v>
      </c>
      <c r="V331" s="311">
        <v>4391465.089018032</v>
      </c>
      <c r="W331" s="311">
        <v>2501374.1191100706</v>
      </c>
      <c r="X331" s="311">
        <v>2322254.5376226315</v>
      </c>
      <c r="Y331" s="311">
        <v>2268087.6547140935</v>
      </c>
      <c r="Z331" s="311">
        <v>3998078.5213181293</v>
      </c>
      <c r="AA331" s="311">
        <v>1755483.2227472709</v>
      </c>
      <c r="AB331" s="311">
        <v>1648070.3973658623</v>
      </c>
      <c r="AC331" s="311">
        <v>3324681.713956323</v>
      </c>
      <c r="AD331" s="311">
        <v>1231148.0080386295</v>
      </c>
      <c r="AE331" s="311">
        <v>1115548.2071307348</v>
      </c>
      <c r="AF331" s="311">
        <v>973618.0548690157</v>
      </c>
      <c r="AG331" s="311">
        <v>940074.7818535401</v>
      </c>
      <c r="AH331" s="311">
        <v>892745.41728954867</v>
      </c>
      <c r="AI331" s="311">
        <v>1359433.8834058151</v>
      </c>
      <c r="AJ331" s="311">
        <v>573397.50646679371</v>
      </c>
      <c r="AK331" s="311">
        <v>498923.51797338272</v>
      </c>
      <c r="AL331" s="311">
        <v>460741.14634072443</v>
      </c>
      <c r="AM331" s="311">
        <v>4123822.3531177752</v>
      </c>
      <c r="AN331" s="311">
        <v>128816.4088187802</v>
      </c>
      <c r="AO331" s="311"/>
      <c r="AP331" s="311"/>
      <c r="AQ331" s="311"/>
      <c r="AR331" s="311"/>
      <c r="AS331" s="311"/>
      <c r="AT331" s="311"/>
      <c r="AU331" s="311"/>
      <c r="AV331" s="311"/>
      <c r="AW331" s="311"/>
      <c r="AX331" s="311"/>
      <c r="AY331" s="311"/>
      <c r="AZ331" s="311"/>
      <c r="BA331" s="311"/>
      <c r="BB331" s="311"/>
      <c r="BC331" s="311"/>
      <c r="BD331" s="311"/>
      <c r="BE331" s="311"/>
      <c r="BF331" s="311"/>
      <c r="BG331" s="311"/>
      <c r="BH331" s="311"/>
      <c r="BI331" s="311"/>
      <c r="BJ331" s="311"/>
      <c r="BK331" s="311"/>
    </row>
    <row r="332" spans="1:63" s="80" customFormat="1" ht="12.75">
      <c r="A332" s="167"/>
      <c r="B332" s="210" t="str">
        <f>Servicio_internaColumna_título_amortizaciones</f>
        <v>Amortizaciones</v>
      </c>
      <c r="C332" s="269">
        <v>0</v>
      </c>
      <c r="D332" s="235"/>
      <c r="E332" s="235"/>
      <c r="F332" s="235"/>
      <c r="G332" s="235"/>
      <c r="H332" s="235"/>
      <c r="I332" s="235"/>
      <c r="J332" s="235"/>
      <c r="K332" s="235"/>
      <c r="L332" s="235">
        <v>2016545.0316062127</v>
      </c>
      <c r="M332" s="235">
        <v>2172632.2381303734</v>
      </c>
      <c r="N332" s="235">
        <v>3637971.1001867172</v>
      </c>
      <c r="O332" s="235">
        <v>3182000.0584804663</v>
      </c>
      <c r="P332" s="235">
        <v>4085152.7588614933</v>
      </c>
      <c r="Q332" s="235">
        <v>4842074.6322639436</v>
      </c>
      <c r="R332" s="235">
        <v>2128243.7326502185</v>
      </c>
      <c r="S332" s="273">
        <v>4874720.6338637332</v>
      </c>
      <c r="T332" s="235">
        <v>1501054.2144140517</v>
      </c>
      <c r="U332" s="235">
        <v>6550989.4645692715</v>
      </c>
      <c r="V332" s="235">
        <v>2743182.8728702087</v>
      </c>
      <c r="W332" s="235">
        <v>1109224.8296888287</v>
      </c>
      <c r="X332" s="235">
        <v>1066174.4935346327</v>
      </c>
      <c r="Y332" s="235">
        <v>1086189.1656214159</v>
      </c>
      <c r="Z332" s="235">
        <v>2925434.9480984705</v>
      </c>
      <c r="AA332" s="235">
        <v>946846.74473436084</v>
      </c>
      <c r="AB332" s="235">
        <v>924531.84527552826</v>
      </c>
      <c r="AC332" s="235">
        <v>2661345.3323666868</v>
      </c>
      <c r="AD332" s="235">
        <v>795013.4716344286</v>
      </c>
      <c r="AE332" s="235">
        <v>713338.72590424051</v>
      </c>
      <c r="AF332" s="235">
        <v>601546.12832237815</v>
      </c>
      <c r="AG332" s="235">
        <v>589413.11063592241</v>
      </c>
      <c r="AH332" s="235">
        <v>369947.2477183665</v>
      </c>
      <c r="AI332" s="235">
        <v>874945.77513785346</v>
      </c>
      <c r="AJ332" s="235">
        <v>155924.44013721959</v>
      </c>
      <c r="AK332" s="235">
        <v>90340.3754872196</v>
      </c>
      <c r="AL332" s="235">
        <v>57547.737988905501</v>
      </c>
      <c r="AM332" s="235">
        <v>3611590.2558728079</v>
      </c>
      <c r="AN332" s="235">
        <v>3496.0374910445998</v>
      </c>
      <c r="AO332" s="235"/>
      <c r="AP332" s="235"/>
      <c r="AQ332" s="235"/>
      <c r="AR332" s="235"/>
      <c r="AS332" s="235"/>
      <c r="AT332" s="235"/>
      <c r="AU332" s="235"/>
      <c r="AV332" s="235"/>
      <c r="AW332" s="235"/>
      <c r="AX332" s="235"/>
      <c r="AY332" s="235"/>
      <c r="AZ332" s="235"/>
      <c r="BA332" s="235"/>
      <c r="BB332" s="235"/>
      <c r="BC332" s="235"/>
      <c r="BD332" s="235"/>
      <c r="BE332" s="235"/>
      <c r="BF332" s="235"/>
      <c r="BG332" s="235"/>
      <c r="BH332" s="235"/>
      <c r="BI332" s="235"/>
      <c r="BJ332" s="235"/>
      <c r="BK332" s="235"/>
    </row>
    <row r="333" spans="1:63" s="133" customFormat="1" ht="12.75">
      <c r="A333" s="168">
        <v>40237</v>
      </c>
      <c r="B333" s="213" t="str">
        <f>Servicio_internaColumna_título_intereses</f>
        <v>Intereses</v>
      </c>
      <c r="C333" s="270">
        <v>0</v>
      </c>
      <c r="D333" s="271"/>
      <c r="E333" s="271"/>
      <c r="F333" s="271"/>
      <c r="G333" s="271"/>
      <c r="H333" s="271"/>
      <c r="I333" s="271"/>
      <c r="J333" s="271"/>
      <c r="K333" s="271"/>
      <c r="L333" s="271">
        <v>3231800.1085574925</v>
      </c>
      <c r="M333" s="271">
        <v>3769029.7864232557</v>
      </c>
      <c r="N333" s="271">
        <v>3653473.9641505978</v>
      </c>
      <c r="O333" s="271">
        <v>3371138.6644349736</v>
      </c>
      <c r="P333" s="271">
        <v>3190475.3698036186</v>
      </c>
      <c r="Q333" s="271">
        <v>2919535.8106505256</v>
      </c>
      <c r="R333" s="271">
        <v>2511286.2518522702</v>
      </c>
      <c r="S333" s="274">
        <v>2283789.8938734555</v>
      </c>
      <c r="T333" s="271">
        <v>2082761.186887993</v>
      </c>
      <c r="U333" s="272">
        <v>1860093.3505382859</v>
      </c>
      <c r="V333" s="272">
        <v>1522625.9439360069</v>
      </c>
      <c r="W333" s="272">
        <v>1365194.9127711006</v>
      </c>
      <c r="X333" s="272">
        <v>1300060.1593841526</v>
      </c>
      <c r="Y333" s="272">
        <v>1240515.1250833117</v>
      </c>
      <c r="Z333" s="272">
        <v>1101860.2253654336</v>
      </c>
      <c r="AA333" s="272">
        <v>965738.88661126641</v>
      </c>
      <c r="AB333" s="272">
        <v>911389.67711201299</v>
      </c>
      <c r="AC333" s="272">
        <v>847705.55426994781</v>
      </c>
      <c r="AD333" s="236">
        <v>638357.80259777093</v>
      </c>
      <c r="AE333" s="236">
        <v>595778.52998930681</v>
      </c>
      <c r="AF333" s="236">
        <v>557316.69608413486</v>
      </c>
      <c r="AG333" s="236">
        <v>524496.67483530275</v>
      </c>
      <c r="AH333" s="236">
        <v>495619.43678155739</v>
      </c>
      <c r="AI333" s="236">
        <v>443275.050052026</v>
      </c>
      <c r="AJ333" s="236">
        <v>400077.81520712085</v>
      </c>
      <c r="AK333" s="236">
        <v>393444.81104625756</v>
      </c>
      <c r="AL333" s="236">
        <v>389213.8732762888</v>
      </c>
      <c r="AM333" s="236">
        <v>387263.43855765136</v>
      </c>
      <c r="AN333" s="236">
        <v>121417.24479</v>
      </c>
      <c r="AO333" s="236"/>
      <c r="AP333" s="236"/>
      <c r="AQ333" s="236"/>
      <c r="AR333" s="236"/>
      <c r="AS333" s="236"/>
      <c r="AT333" s="236"/>
      <c r="AU333" s="236"/>
      <c r="AV333" s="236"/>
      <c r="AW333" s="236"/>
      <c r="AX333" s="236"/>
      <c r="AY333" s="236"/>
      <c r="AZ333" s="236"/>
      <c r="BA333" s="236"/>
      <c r="BB333" s="236"/>
      <c r="BC333" s="236"/>
      <c r="BD333" s="236"/>
      <c r="BE333" s="236"/>
      <c r="BF333" s="236"/>
      <c r="BG333" s="236"/>
      <c r="BH333" s="236"/>
      <c r="BI333" s="236"/>
      <c r="BJ333" s="236"/>
      <c r="BK333" s="236"/>
    </row>
    <row r="334" spans="1:63" s="133" customFormat="1" ht="12.75">
      <c r="A334" s="169"/>
      <c r="B334" s="307" t="str">
        <f>Servicio_internaColumna_título_total</f>
        <v>Total</v>
      </c>
      <c r="C334" s="310">
        <v>0</v>
      </c>
      <c r="D334" s="311"/>
      <c r="E334" s="311"/>
      <c r="F334" s="311"/>
      <c r="G334" s="311"/>
      <c r="H334" s="311"/>
      <c r="I334" s="311"/>
      <c r="J334" s="311"/>
      <c r="K334" s="311"/>
      <c r="L334" s="311">
        <v>5248345.1401637048</v>
      </c>
      <c r="M334" s="311">
        <v>5941662.0245536286</v>
      </c>
      <c r="N334" s="311">
        <v>7291445.064337315</v>
      </c>
      <c r="O334" s="311">
        <v>6553138.7229154399</v>
      </c>
      <c r="P334" s="311">
        <v>7275628.128665112</v>
      </c>
      <c r="Q334" s="311">
        <v>7761610.4429144692</v>
      </c>
      <c r="R334" s="311">
        <v>4639529.9845024887</v>
      </c>
      <c r="S334" s="312">
        <v>7158510.5277371891</v>
      </c>
      <c r="T334" s="311">
        <v>3583815.4013020447</v>
      </c>
      <c r="U334" s="311">
        <v>8411082.8151075579</v>
      </c>
      <c r="V334" s="311">
        <v>4265808.8168062158</v>
      </c>
      <c r="W334" s="311">
        <v>2474419.7424599295</v>
      </c>
      <c r="X334" s="311">
        <v>2366234.6529187853</v>
      </c>
      <c r="Y334" s="311">
        <v>2326704.2907047276</v>
      </c>
      <c r="Z334" s="311">
        <v>4027295.1734639043</v>
      </c>
      <c r="AA334" s="311">
        <v>1912585.6313456274</v>
      </c>
      <c r="AB334" s="311">
        <v>1835921.5223875414</v>
      </c>
      <c r="AC334" s="311">
        <v>3509050.8866366344</v>
      </c>
      <c r="AD334" s="311">
        <v>1433371.2742321994</v>
      </c>
      <c r="AE334" s="311">
        <v>1309117.2558935473</v>
      </c>
      <c r="AF334" s="311">
        <v>1158862.824406513</v>
      </c>
      <c r="AG334" s="311">
        <v>1113909.7854712252</v>
      </c>
      <c r="AH334" s="311">
        <v>865566.68449992384</v>
      </c>
      <c r="AI334" s="311">
        <v>1318220.8251898794</v>
      </c>
      <c r="AJ334" s="311">
        <v>556002.25534434046</v>
      </c>
      <c r="AK334" s="311">
        <v>483785.18653347716</v>
      </c>
      <c r="AL334" s="311">
        <v>446761.61126519431</v>
      </c>
      <c r="AM334" s="311">
        <v>3998853.6944304593</v>
      </c>
      <c r="AN334" s="311">
        <v>124913.28228104459</v>
      </c>
      <c r="AO334" s="311"/>
      <c r="AP334" s="311"/>
      <c r="AQ334" s="311"/>
      <c r="AR334" s="311"/>
      <c r="AS334" s="311"/>
      <c r="AT334" s="311"/>
      <c r="AU334" s="311"/>
      <c r="AV334" s="311"/>
      <c r="AW334" s="311"/>
      <c r="AX334" s="311"/>
      <c r="AY334" s="311"/>
      <c r="AZ334" s="311"/>
      <c r="BA334" s="311"/>
      <c r="BB334" s="311"/>
      <c r="BC334" s="311"/>
      <c r="BD334" s="311"/>
      <c r="BE334" s="311"/>
      <c r="BF334" s="311"/>
      <c r="BG334" s="311"/>
      <c r="BH334" s="311"/>
      <c r="BI334" s="311"/>
      <c r="BJ334" s="311"/>
      <c r="BK334" s="311"/>
    </row>
    <row r="335" spans="1:63" s="80" customFormat="1" ht="12.75">
      <c r="A335" s="167"/>
      <c r="B335" s="210" t="str">
        <f>Servicio_internaColumna_título_amortizaciones</f>
        <v>Amortizaciones</v>
      </c>
      <c r="C335" s="269">
        <v>0</v>
      </c>
      <c r="D335" s="235"/>
      <c r="E335" s="235"/>
      <c r="F335" s="235"/>
      <c r="G335" s="235"/>
      <c r="H335" s="235"/>
      <c r="I335" s="235"/>
      <c r="J335" s="235"/>
      <c r="K335" s="235"/>
      <c r="L335" s="235">
        <v>2020739.7529208451</v>
      </c>
      <c r="M335" s="235">
        <v>2204358.0804470368</v>
      </c>
      <c r="N335" s="235">
        <v>3662715.7359031821</v>
      </c>
      <c r="O335" s="235">
        <v>3238051.5426966301</v>
      </c>
      <c r="P335" s="235">
        <v>4120044.1407405273</v>
      </c>
      <c r="Q335" s="235">
        <v>4876356.9446153119</v>
      </c>
      <c r="R335" s="235">
        <v>2195226.6838962301</v>
      </c>
      <c r="S335" s="273">
        <v>4873143.603351254</v>
      </c>
      <c r="T335" s="235">
        <v>1594025.9849521904</v>
      </c>
      <c r="U335" s="235">
        <v>6494676.1045483621</v>
      </c>
      <c r="V335" s="235">
        <v>2829499.0383649394</v>
      </c>
      <c r="W335" s="235">
        <v>1205159.6721884098</v>
      </c>
      <c r="X335" s="235">
        <v>1085864.280786792</v>
      </c>
      <c r="Y335" s="235">
        <v>1078713.6596913245</v>
      </c>
      <c r="Z335" s="235">
        <v>2842642.8068665527</v>
      </c>
      <c r="AA335" s="235">
        <v>836638.48780297721</v>
      </c>
      <c r="AB335" s="235">
        <v>789447.06220040948</v>
      </c>
      <c r="AC335" s="235">
        <v>2472662.5992029314</v>
      </c>
      <c r="AD335" s="235">
        <v>636833.26220325753</v>
      </c>
      <c r="AE335" s="235">
        <v>557217.39133201435</v>
      </c>
      <c r="AF335" s="235">
        <v>448058.433387656</v>
      </c>
      <c r="AG335" s="235">
        <v>436046.8143430464</v>
      </c>
      <c r="AH335" s="235">
        <v>411448.59109540156</v>
      </c>
      <c r="AI335" s="235">
        <v>903717.03775173589</v>
      </c>
      <c r="AJ335" s="235">
        <v>202820.94986932477</v>
      </c>
      <c r="AK335" s="235">
        <v>138890.14266932479</v>
      </c>
      <c r="AL335" s="235">
        <v>106924.71899251999</v>
      </c>
      <c r="AM335" s="235">
        <v>3546546.4172090371</v>
      </c>
      <c r="AN335" s="235">
        <v>3407.9086131168001</v>
      </c>
      <c r="AO335" s="235"/>
      <c r="AP335" s="235"/>
      <c r="AQ335" s="235"/>
      <c r="AR335" s="235"/>
      <c r="AS335" s="235"/>
      <c r="AT335" s="235"/>
      <c r="AU335" s="235"/>
      <c r="AV335" s="235"/>
      <c r="AW335" s="235"/>
      <c r="AX335" s="235"/>
      <c r="AY335" s="235"/>
      <c r="AZ335" s="235"/>
      <c r="BA335" s="235"/>
      <c r="BB335" s="235"/>
      <c r="BC335" s="235"/>
      <c r="BD335" s="235"/>
      <c r="BE335" s="235"/>
      <c r="BF335" s="235"/>
      <c r="BG335" s="235"/>
      <c r="BH335" s="235"/>
      <c r="BI335" s="235"/>
      <c r="BJ335" s="235"/>
      <c r="BK335" s="235"/>
    </row>
    <row r="336" spans="1:63" s="133" customFormat="1" ht="12.75">
      <c r="A336" s="168">
        <v>40268</v>
      </c>
      <c r="B336" s="213" t="str">
        <f>Servicio_internaColumna_título_intereses</f>
        <v>Intereses</v>
      </c>
      <c r="C336" s="270">
        <v>0</v>
      </c>
      <c r="D336" s="271"/>
      <c r="E336" s="271"/>
      <c r="F336" s="271"/>
      <c r="G336" s="271"/>
      <c r="H336" s="271"/>
      <c r="I336" s="271"/>
      <c r="J336" s="271"/>
      <c r="K336" s="271"/>
      <c r="L336" s="271">
        <v>2832032.8816004568</v>
      </c>
      <c r="M336" s="271">
        <v>3840700.1923774439</v>
      </c>
      <c r="N336" s="271">
        <v>3630007.4906221991</v>
      </c>
      <c r="O336" s="271">
        <v>3344079.6338862432</v>
      </c>
      <c r="P336" s="271">
        <v>3153755.4801697778</v>
      </c>
      <c r="Q336" s="271">
        <v>2878573.1413913756</v>
      </c>
      <c r="R336" s="271">
        <v>2469577.8523469865</v>
      </c>
      <c r="S336" s="274">
        <v>2239886.790143725</v>
      </c>
      <c r="T336" s="271">
        <v>2036570.220309851</v>
      </c>
      <c r="U336" s="272">
        <v>1811319.7702554241</v>
      </c>
      <c r="V336" s="272">
        <v>1472941.7486777131</v>
      </c>
      <c r="W336" s="272">
        <v>1310753.5602723535</v>
      </c>
      <c r="X336" s="272">
        <v>1241562.3776991758</v>
      </c>
      <c r="Y336" s="272">
        <v>1180264.2031116143</v>
      </c>
      <c r="Z336" s="272">
        <v>1045255.8134160271</v>
      </c>
      <c r="AA336" s="272">
        <v>914541.52129939036</v>
      </c>
      <c r="AB336" s="272">
        <v>866625.76923555345</v>
      </c>
      <c r="AC336" s="272">
        <v>811121.47928341909</v>
      </c>
      <c r="AD336" s="236">
        <v>612313.85021131521</v>
      </c>
      <c r="AE336" s="236">
        <v>579389.76436122076</v>
      </c>
      <c r="AF336" s="236">
        <v>549099.41957960953</v>
      </c>
      <c r="AG336" s="236">
        <v>524304.19922576798</v>
      </c>
      <c r="AH336" s="236">
        <v>500719.11071596952</v>
      </c>
      <c r="AI336" s="236">
        <v>446188.22439384955</v>
      </c>
      <c r="AJ336" s="236">
        <v>401017.46305108798</v>
      </c>
      <c r="AK336" s="236">
        <v>391091.38250940153</v>
      </c>
      <c r="AL336" s="236">
        <v>383588.37569351523</v>
      </c>
      <c r="AM336" s="236">
        <v>378345.39398287842</v>
      </c>
      <c r="AN336" s="236">
        <v>118356.53232</v>
      </c>
      <c r="AO336" s="236"/>
      <c r="AP336" s="236"/>
      <c r="AQ336" s="236"/>
      <c r="AR336" s="236"/>
      <c r="AS336" s="236"/>
      <c r="AT336" s="236"/>
      <c r="AU336" s="236"/>
      <c r="AV336" s="236"/>
      <c r="AW336" s="236"/>
      <c r="AX336" s="236"/>
      <c r="AY336" s="236"/>
      <c r="AZ336" s="236"/>
      <c r="BA336" s="236"/>
      <c r="BB336" s="236"/>
      <c r="BC336" s="236"/>
      <c r="BD336" s="236"/>
      <c r="BE336" s="236"/>
      <c r="BF336" s="236"/>
      <c r="BG336" s="236"/>
      <c r="BH336" s="236"/>
      <c r="BI336" s="236"/>
      <c r="BJ336" s="236"/>
      <c r="BK336" s="236"/>
    </row>
    <row r="337" spans="1:63" s="133" customFormat="1" ht="12.75">
      <c r="A337" s="169"/>
      <c r="B337" s="307" t="str">
        <f>Servicio_internaColumna_título_total</f>
        <v>Total</v>
      </c>
      <c r="C337" s="310">
        <v>0</v>
      </c>
      <c r="D337" s="311"/>
      <c r="E337" s="311"/>
      <c r="F337" s="311"/>
      <c r="G337" s="311"/>
      <c r="H337" s="311"/>
      <c r="I337" s="311"/>
      <c r="J337" s="311"/>
      <c r="K337" s="311"/>
      <c r="L337" s="311">
        <v>4852772.6345213018</v>
      </c>
      <c r="M337" s="311">
        <v>6045058.2728244811</v>
      </c>
      <c r="N337" s="311">
        <v>7292723.2265253812</v>
      </c>
      <c r="O337" s="311">
        <v>6582131.1765828729</v>
      </c>
      <c r="P337" s="311">
        <v>7273799.6209103055</v>
      </c>
      <c r="Q337" s="311">
        <v>7754930.086006688</v>
      </c>
      <c r="R337" s="311">
        <v>4664804.5362432171</v>
      </c>
      <c r="S337" s="312">
        <v>7113030.3934949785</v>
      </c>
      <c r="T337" s="311">
        <v>3630596.2052620417</v>
      </c>
      <c r="U337" s="311">
        <v>8305995.8748037862</v>
      </c>
      <c r="V337" s="311">
        <v>4302440.7870426523</v>
      </c>
      <c r="W337" s="311">
        <v>2515913.2324607633</v>
      </c>
      <c r="X337" s="311">
        <v>2327426.6584859677</v>
      </c>
      <c r="Y337" s="311">
        <v>2258977.8628029386</v>
      </c>
      <c r="Z337" s="311">
        <v>3887898.6202825797</v>
      </c>
      <c r="AA337" s="311">
        <v>1751180.0091023676</v>
      </c>
      <c r="AB337" s="311">
        <v>1656072.831435963</v>
      </c>
      <c r="AC337" s="311">
        <v>3283784.0784863504</v>
      </c>
      <c r="AD337" s="311">
        <v>1249147.1124145729</v>
      </c>
      <c r="AE337" s="311">
        <v>1136607.1556932351</v>
      </c>
      <c r="AF337" s="311">
        <v>997157.85296726553</v>
      </c>
      <c r="AG337" s="311">
        <v>960351.01356881438</v>
      </c>
      <c r="AH337" s="311">
        <v>912167.70181137114</v>
      </c>
      <c r="AI337" s="311">
        <v>1349905.2621455854</v>
      </c>
      <c r="AJ337" s="311">
        <v>603838.41292041272</v>
      </c>
      <c r="AK337" s="311">
        <v>529981.5251787263</v>
      </c>
      <c r="AL337" s="311">
        <v>490513.09468603524</v>
      </c>
      <c r="AM337" s="311">
        <v>3924891.8111919155</v>
      </c>
      <c r="AN337" s="311">
        <v>121764.4409331168</v>
      </c>
      <c r="AO337" s="311"/>
      <c r="AP337" s="311"/>
      <c r="AQ337" s="311"/>
      <c r="AR337" s="311"/>
      <c r="AS337" s="311"/>
      <c r="AT337" s="311"/>
      <c r="AU337" s="311"/>
      <c r="AV337" s="311"/>
      <c r="AW337" s="311"/>
      <c r="AX337" s="311"/>
      <c r="AY337" s="311"/>
      <c r="AZ337" s="311"/>
      <c r="BA337" s="311"/>
      <c r="BB337" s="311"/>
      <c r="BC337" s="311"/>
      <c r="BD337" s="311"/>
      <c r="BE337" s="311"/>
      <c r="BF337" s="311"/>
      <c r="BG337" s="311"/>
      <c r="BH337" s="311"/>
      <c r="BI337" s="311"/>
      <c r="BJ337" s="311"/>
      <c r="BK337" s="311"/>
    </row>
    <row r="338" spans="1:63" s="80" customFormat="1" ht="12.75">
      <c r="A338" s="167"/>
      <c r="B338" s="210" t="str">
        <f>Servicio_internaColumna_título_amortizaciones</f>
        <v>Amortizaciones</v>
      </c>
      <c r="C338" s="269">
        <v>0</v>
      </c>
      <c r="D338" s="235"/>
      <c r="E338" s="235"/>
      <c r="F338" s="235"/>
      <c r="G338" s="235"/>
      <c r="H338" s="235"/>
      <c r="I338" s="235"/>
      <c r="J338" s="235"/>
      <c r="K338" s="235"/>
      <c r="L338" s="235">
        <v>1972294.051078344</v>
      </c>
      <c r="M338" s="235">
        <v>2190950.2506577144</v>
      </c>
      <c r="N338" s="235">
        <v>3646467.4459535424</v>
      </c>
      <c r="O338" s="235">
        <v>3236631.4458497996</v>
      </c>
      <c r="P338" s="235">
        <v>4128751.5139050568</v>
      </c>
      <c r="Q338" s="235">
        <v>4959253.6445616847</v>
      </c>
      <c r="R338" s="235">
        <v>2200408.155089383</v>
      </c>
      <c r="S338" s="273">
        <v>4869662.53919583</v>
      </c>
      <c r="T338" s="235">
        <v>1595842.3684729752</v>
      </c>
      <c r="U338" s="235">
        <v>6466141.6353987698</v>
      </c>
      <c r="V338" s="235">
        <v>2826840.4104747591</v>
      </c>
      <c r="W338" s="235">
        <v>2462996.1176277152</v>
      </c>
      <c r="X338" s="235">
        <v>1084883.9108075092</v>
      </c>
      <c r="Y338" s="235">
        <v>1077754.4535441375</v>
      </c>
      <c r="Z338" s="235">
        <v>2837117.0518519129</v>
      </c>
      <c r="AA338" s="235">
        <v>834984.96725783916</v>
      </c>
      <c r="AB338" s="235">
        <v>787884.63630703592</v>
      </c>
      <c r="AC338" s="235">
        <v>2531228.4074237817</v>
      </c>
      <c r="AD338" s="235">
        <v>635590.7526417491</v>
      </c>
      <c r="AE338" s="235">
        <v>556128.5660455483</v>
      </c>
      <c r="AF338" s="235">
        <v>447180.32005010743</v>
      </c>
      <c r="AG338" s="235">
        <v>435191.88729919476</v>
      </c>
      <c r="AH338" s="235">
        <v>410641.09703859687</v>
      </c>
      <c r="AI338" s="235">
        <v>901959.25752638187</v>
      </c>
      <c r="AJ338" s="235">
        <v>202416.124852115</v>
      </c>
      <c r="AK338" s="235">
        <v>138608.72470211503</v>
      </c>
      <c r="AL338" s="235">
        <v>106705.4257931209</v>
      </c>
      <c r="AM338" s="235">
        <v>3539687.9616101291</v>
      </c>
      <c r="AN338" s="235">
        <v>3401.3302518065998</v>
      </c>
      <c r="AO338" s="235"/>
      <c r="AP338" s="235"/>
      <c r="AQ338" s="235"/>
      <c r="AR338" s="235"/>
      <c r="AS338" s="235"/>
      <c r="AT338" s="235"/>
      <c r="AU338" s="235"/>
      <c r="AV338" s="235"/>
      <c r="AW338" s="235"/>
      <c r="AX338" s="235"/>
      <c r="AY338" s="235"/>
      <c r="AZ338" s="235"/>
      <c r="BA338" s="235"/>
      <c r="BB338" s="235"/>
      <c r="BC338" s="235"/>
      <c r="BD338" s="235"/>
      <c r="BE338" s="235"/>
      <c r="BF338" s="235"/>
      <c r="BG338" s="235"/>
      <c r="BH338" s="235"/>
      <c r="BI338" s="235"/>
      <c r="BJ338" s="235"/>
      <c r="BK338" s="235"/>
    </row>
    <row r="339" spans="1:63" s="133" customFormat="1" ht="12.75">
      <c r="A339" s="168">
        <v>40298</v>
      </c>
      <c r="B339" s="213" t="str">
        <f>Servicio_internaColumna_título_intereses</f>
        <v>Intereses</v>
      </c>
      <c r="C339" s="270">
        <v>0</v>
      </c>
      <c r="D339" s="271"/>
      <c r="E339" s="271"/>
      <c r="F339" s="271"/>
      <c r="G339" s="271"/>
      <c r="H339" s="271"/>
      <c r="I339" s="271"/>
      <c r="J339" s="271"/>
      <c r="K339" s="271"/>
      <c r="L339" s="271">
        <v>2729254.7243955089</v>
      </c>
      <c r="M339" s="271">
        <v>3944862.9576291339</v>
      </c>
      <c r="N339" s="271">
        <v>3739325.9198197857</v>
      </c>
      <c r="O339" s="271">
        <v>3463141.7734707859</v>
      </c>
      <c r="P339" s="271">
        <v>3265908.8733335827</v>
      </c>
      <c r="Q339" s="271">
        <v>2990294.4614572893</v>
      </c>
      <c r="R339" s="271">
        <v>2571043.5968791894</v>
      </c>
      <c r="S339" s="274">
        <v>2341067.9697975446</v>
      </c>
      <c r="T339" s="271">
        <v>2137551.716188842</v>
      </c>
      <c r="U339" s="272">
        <v>1912221.8874169416</v>
      </c>
      <c r="V339" s="272">
        <v>1574524.8519608772</v>
      </c>
      <c r="W339" s="272">
        <v>1412369.6845888523</v>
      </c>
      <c r="X339" s="272">
        <v>1245605.461805901</v>
      </c>
      <c r="Y339" s="272">
        <v>1184294.7351205675</v>
      </c>
      <c r="Z339" s="272">
        <v>1049466.8150337071</v>
      </c>
      <c r="AA339" s="272">
        <v>919011.53907052777</v>
      </c>
      <c r="AB339" s="272">
        <v>871189.85613629571</v>
      </c>
      <c r="AC339" s="272">
        <v>815794.02622725035</v>
      </c>
      <c r="AD339" s="236">
        <v>611129.40380885941</v>
      </c>
      <c r="AE339" s="236">
        <v>578269.1267388945</v>
      </c>
      <c r="AF339" s="236">
        <v>548037.46572842775</v>
      </c>
      <c r="AG339" s="236">
        <v>523290.40365425177</v>
      </c>
      <c r="AH339" s="236">
        <v>499751.09645876737</v>
      </c>
      <c r="AI339" s="236">
        <v>445325.72840910597</v>
      </c>
      <c r="AJ339" s="236">
        <v>400242.41772627359</v>
      </c>
      <c r="AK339" s="236">
        <v>390335.75429683534</v>
      </c>
      <c r="AL339" s="236">
        <v>382847.48724186292</v>
      </c>
      <c r="AM339" s="236">
        <v>377614.94072772033</v>
      </c>
      <c r="AN339" s="236">
        <v>118128.06608999999</v>
      </c>
      <c r="AO339" s="236"/>
      <c r="AP339" s="236"/>
      <c r="AQ339" s="236"/>
      <c r="AR339" s="236"/>
      <c r="AS339" s="236"/>
      <c r="AT339" s="236"/>
      <c r="AU339" s="236"/>
      <c r="AV339" s="236"/>
      <c r="AW339" s="236"/>
      <c r="AX339" s="236"/>
      <c r="AY339" s="236"/>
      <c r="AZ339" s="236"/>
      <c r="BA339" s="236"/>
      <c r="BB339" s="236"/>
      <c r="BC339" s="236"/>
      <c r="BD339" s="236"/>
      <c r="BE339" s="236"/>
      <c r="BF339" s="236"/>
      <c r="BG339" s="236"/>
      <c r="BH339" s="236"/>
      <c r="BI339" s="236"/>
      <c r="BJ339" s="236"/>
      <c r="BK339" s="236"/>
    </row>
    <row r="340" spans="1:63" s="133" customFormat="1" ht="12.75">
      <c r="A340" s="169"/>
      <c r="B340" s="307" t="str">
        <f>Servicio_internaColumna_título_total</f>
        <v>Total</v>
      </c>
      <c r="C340" s="310">
        <v>0</v>
      </c>
      <c r="D340" s="311"/>
      <c r="E340" s="311"/>
      <c r="F340" s="311"/>
      <c r="G340" s="311"/>
      <c r="H340" s="311"/>
      <c r="I340" s="311"/>
      <c r="J340" s="311"/>
      <c r="K340" s="311"/>
      <c r="L340" s="311">
        <v>4701548.7754738526</v>
      </c>
      <c r="M340" s="311">
        <v>6135813.2082868479</v>
      </c>
      <c r="N340" s="311">
        <v>7385793.3657733276</v>
      </c>
      <c r="O340" s="311">
        <v>6699773.219320586</v>
      </c>
      <c r="P340" s="311">
        <v>7394660.3872386394</v>
      </c>
      <c r="Q340" s="311">
        <v>7949548.1060189735</v>
      </c>
      <c r="R340" s="311">
        <v>4771451.7519685719</v>
      </c>
      <c r="S340" s="312">
        <v>7210730.5089933742</v>
      </c>
      <c r="T340" s="311">
        <v>3733394.0846618172</v>
      </c>
      <c r="U340" s="311">
        <v>8378363.5228157118</v>
      </c>
      <c r="V340" s="311">
        <v>4401365.2624356365</v>
      </c>
      <c r="W340" s="311">
        <v>3875365.8022165676</v>
      </c>
      <c r="X340" s="311">
        <v>2330489.3726134105</v>
      </c>
      <c r="Y340" s="311">
        <v>2262049.188664705</v>
      </c>
      <c r="Z340" s="311">
        <v>3886583.8668856202</v>
      </c>
      <c r="AA340" s="311">
        <v>1753996.5063283669</v>
      </c>
      <c r="AB340" s="311">
        <v>1659074.4924433315</v>
      </c>
      <c r="AC340" s="311">
        <v>3347022.4336510319</v>
      </c>
      <c r="AD340" s="311">
        <v>1246720.1564506085</v>
      </c>
      <c r="AE340" s="311">
        <v>1134397.6927844428</v>
      </c>
      <c r="AF340" s="311">
        <v>995217.78577853518</v>
      </c>
      <c r="AG340" s="311">
        <v>958482.29095344653</v>
      </c>
      <c r="AH340" s="311">
        <v>910392.19349736418</v>
      </c>
      <c r="AI340" s="311">
        <v>1347284.9859354878</v>
      </c>
      <c r="AJ340" s="311">
        <v>602658.54257838859</v>
      </c>
      <c r="AK340" s="311">
        <v>528944.47899895033</v>
      </c>
      <c r="AL340" s="311">
        <v>489552.91303498379</v>
      </c>
      <c r="AM340" s="311">
        <v>3917302.9023378496</v>
      </c>
      <c r="AN340" s="311">
        <v>121529.3963418066</v>
      </c>
      <c r="AO340" s="311"/>
      <c r="AP340" s="311"/>
      <c r="AQ340" s="311"/>
      <c r="AR340" s="311"/>
      <c r="AS340" s="311"/>
      <c r="AT340" s="311"/>
      <c r="AU340" s="311"/>
      <c r="AV340" s="311"/>
      <c r="AW340" s="311"/>
      <c r="AX340" s="311"/>
      <c r="AY340" s="311"/>
      <c r="AZ340" s="311"/>
      <c r="BA340" s="311"/>
      <c r="BB340" s="311"/>
      <c r="BC340" s="311"/>
      <c r="BD340" s="311"/>
      <c r="BE340" s="311"/>
      <c r="BF340" s="311"/>
      <c r="BG340" s="311"/>
      <c r="BH340" s="311"/>
      <c r="BI340" s="311"/>
      <c r="BJ340" s="311"/>
      <c r="BK340" s="311"/>
    </row>
    <row r="341" spans="1:63" s="80" customFormat="1" ht="12.75">
      <c r="A341" s="167"/>
      <c r="B341" s="210" t="str">
        <f>Servicio_internaColumna_título_amortizaciones</f>
        <v>Amortizaciones</v>
      </c>
      <c r="C341" s="269">
        <v>0</v>
      </c>
      <c r="D341" s="235"/>
      <c r="E341" s="235"/>
      <c r="F341" s="235"/>
      <c r="G341" s="235"/>
      <c r="H341" s="235"/>
      <c r="I341" s="235"/>
      <c r="J341" s="235"/>
      <c r="K341" s="235"/>
      <c r="L341" s="235">
        <v>1567446.4522028449</v>
      </c>
      <c r="M341" s="235">
        <v>2189320.4758172943</v>
      </c>
      <c r="N341" s="235">
        <v>3735450.9883494526</v>
      </c>
      <c r="O341" s="235">
        <v>3295971.7815339947</v>
      </c>
      <c r="P341" s="235">
        <v>4199401.2494211262</v>
      </c>
      <c r="Q341" s="235">
        <v>4998034.6764493203</v>
      </c>
      <c r="R341" s="235">
        <v>2237948.8333903919</v>
      </c>
      <c r="S341" s="273">
        <v>4972350.1386581203</v>
      </c>
      <c r="T341" s="235">
        <v>1632341.5678759378</v>
      </c>
      <c r="U341" s="235">
        <v>6643857.6781862583</v>
      </c>
      <c r="V341" s="235">
        <v>2894280.3754459224</v>
      </c>
      <c r="W341" s="235">
        <v>2486409.9582543378</v>
      </c>
      <c r="X341" s="235">
        <v>1113191.8624826598</v>
      </c>
      <c r="Y341" s="235">
        <v>1105958.0502147523</v>
      </c>
      <c r="Z341" s="235">
        <v>2903637.6043918072</v>
      </c>
      <c r="AA341" s="235">
        <v>869567.06144513993</v>
      </c>
      <c r="AB341" s="235">
        <v>810670.4365564374</v>
      </c>
      <c r="AC341" s="235">
        <v>2549345.3758965372</v>
      </c>
      <c r="AD341" s="235">
        <v>655240.68745382503</v>
      </c>
      <c r="AE341" s="235">
        <v>574082.61754375242</v>
      </c>
      <c r="AF341" s="235">
        <v>462809.19626213249</v>
      </c>
      <c r="AG341" s="235">
        <v>450564.90617916494</v>
      </c>
      <c r="AH341" s="235">
        <v>425489.94538405997</v>
      </c>
      <c r="AI341" s="235">
        <v>927293.61910257745</v>
      </c>
      <c r="AJ341" s="235">
        <v>212820.82520385497</v>
      </c>
      <c r="AK341" s="235">
        <v>144581.1537662425</v>
      </c>
      <c r="AL341" s="235">
        <v>108928.50792982499</v>
      </c>
      <c r="AM341" s="235">
        <v>3615179.8164135856</v>
      </c>
      <c r="AN341" s="235">
        <v>3473.9214988650001</v>
      </c>
      <c r="AO341" s="235"/>
      <c r="AP341" s="235"/>
      <c r="AQ341" s="235"/>
      <c r="AR341" s="235"/>
      <c r="AS341" s="235"/>
      <c r="AT341" s="235"/>
      <c r="AU341" s="235"/>
      <c r="AV341" s="235"/>
      <c r="AW341" s="235"/>
      <c r="AX341" s="235"/>
      <c r="AY341" s="235"/>
      <c r="AZ341" s="235"/>
      <c r="BA341" s="235"/>
      <c r="BB341" s="235"/>
      <c r="BC341" s="235"/>
      <c r="BD341" s="235"/>
      <c r="BE341" s="235"/>
      <c r="BF341" s="235"/>
      <c r="BG341" s="235"/>
      <c r="BH341" s="235"/>
      <c r="BI341" s="235"/>
      <c r="BJ341" s="235"/>
      <c r="BK341" s="235"/>
    </row>
    <row r="342" spans="1:63" s="133" customFormat="1" ht="12.75">
      <c r="A342" s="168">
        <v>40329</v>
      </c>
      <c r="B342" s="213" t="str">
        <f>Servicio_internaColumna_título_intereses</f>
        <v>Intereses</v>
      </c>
      <c r="C342" s="270">
        <v>0</v>
      </c>
      <c r="D342" s="271"/>
      <c r="E342" s="271"/>
      <c r="F342" s="271"/>
      <c r="G342" s="271"/>
      <c r="H342" s="271"/>
      <c r="I342" s="271"/>
      <c r="J342" s="271"/>
      <c r="K342" s="271"/>
      <c r="L342" s="271">
        <v>2347749.7212385549</v>
      </c>
      <c r="M342" s="271">
        <v>3978213.6181313554</v>
      </c>
      <c r="N342" s="271">
        <v>3769292.6618529633</v>
      </c>
      <c r="O342" s="271">
        <v>3500186.1259432659</v>
      </c>
      <c r="P342" s="271">
        <v>3309450.2064048951</v>
      </c>
      <c r="Q342" s="271">
        <v>3028230.9151761825</v>
      </c>
      <c r="R342" s="271">
        <v>2611428.4945125398</v>
      </c>
      <c r="S342" s="274">
        <v>2381709.4729816145</v>
      </c>
      <c r="T342" s="271">
        <v>2168784.1900836946</v>
      </c>
      <c r="U342" s="272">
        <v>1945773.4238259925</v>
      </c>
      <c r="V342" s="272">
        <v>1599614.35030196</v>
      </c>
      <c r="W342" s="272">
        <v>1435389.8124623424</v>
      </c>
      <c r="X342" s="272">
        <v>1270566.5348168777</v>
      </c>
      <c r="Y342" s="272">
        <v>1207101.9832715727</v>
      </c>
      <c r="Z342" s="272">
        <v>1069700.1813767324</v>
      </c>
      <c r="AA342" s="272">
        <v>935271.1140285352</v>
      </c>
      <c r="AB342" s="272">
        <v>885606.200750435</v>
      </c>
      <c r="AC342" s="272">
        <v>829406.93459158007</v>
      </c>
      <c r="AD342" s="236">
        <v>624168.86816676008</v>
      </c>
      <c r="AE342" s="236">
        <v>590485.52509860497</v>
      </c>
      <c r="AF342" s="236">
        <v>559653.97095277009</v>
      </c>
      <c r="AG342" s="236">
        <v>534205.03923342738</v>
      </c>
      <c r="AH342" s="236">
        <v>510187.12094184756</v>
      </c>
      <c r="AI342" s="236">
        <v>454369.89476840751</v>
      </c>
      <c r="AJ342" s="236">
        <v>408174.56069499499</v>
      </c>
      <c r="AK342" s="236">
        <v>398326.88649365504</v>
      </c>
      <c r="AL342" s="236">
        <v>391011.19276221498</v>
      </c>
      <c r="AM342" s="236">
        <v>385673.48284184252</v>
      </c>
      <c r="AN342" s="236">
        <v>120649.15724999999</v>
      </c>
      <c r="AO342" s="236"/>
      <c r="AP342" s="236"/>
      <c r="AQ342" s="236"/>
      <c r="AR342" s="236"/>
      <c r="AS342" s="236"/>
      <c r="AT342" s="236"/>
      <c r="AU342" s="236"/>
      <c r="AV342" s="236"/>
      <c r="AW342" s="236"/>
      <c r="AX342" s="236"/>
      <c r="AY342" s="236"/>
      <c r="AZ342" s="236"/>
      <c r="BA342" s="236"/>
      <c r="BB342" s="236"/>
      <c r="BC342" s="236"/>
      <c r="BD342" s="236"/>
      <c r="BE342" s="236"/>
      <c r="BF342" s="236"/>
      <c r="BG342" s="236"/>
      <c r="BH342" s="236"/>
      <c r="BI342" s="236"/>
      <c r="BJ342" s="236"/>
      <c r="BK342" s="236"/>
    </row>
    <row r="343" spans="1:63" s="133" customFormat="1" ht="12.75">
      <c r="A343" s="169"/>
      <c r="B343" s="307" t="str">
        <f>Servicio_internaColumna_título_total</f>
        <v>Total</v>
      </c>
      <c r="C343" s="310">
        <v>0</v>
      </c>
      <c r="D343" s="311"/>
      <c r="E343" s="311"/>
      <c r="F343" s="311"/>
      <c r="G343" s="311"/>
      <c r="H343" s="311"/>
      <c r="I343" s="311"/>
      <c r="J343" s="311"/>
      <c r="K343" s="311"/>
      <c r="L343" s="311">
        <v>3915196.1734413998</v>
      </c>
      <c r="M343" s="311">
        <v>6167534.0939486492</v>
      </c>
      <c r="N343" s="311">
        <v>7504743.6502024159</v>
      </c>
      <c r="O343" s="311">
        <v>6796157.9074772606</v>
      </c>
      <c r="P343" s="311">
        <v>7508851.4558260217</v>
      </c>
      <c r="Q343" s="311">
        <v>8026265.5916255023</v>
      </c>
      <c r="R343" s="311">
        <v>4849377.3279029317</v>
      </c>
      <c r="S343" s="312">
        <v>7354059.6116397344</v>
      </c>
      <c r="T343" s="311">
        <v>3801125.7579596322</v>
      </c>
      <c r="U343" s="311">
        <v>8589631.1020122506</v>
      </c>
      <c r="V343" s="311">
        <v>4493894.7257478824</v>
      </c>
      <c r="W343" s="311">
        <v>3921799.7707166802</v>
      </c>
      <c r="X343" s="311">
        <v>2383758.3972995374</v>
      </c>
      <c r="Y343" s="311">
        <v>2313060.0334863253</v>
      </c>
      <c r="Z343" s="311">
        <v>3973337.7857685396</v>
      </c>
      <c r="AA343" s="311">
        <v>1804838.1754736751</v>
      </c>
      <c r="AB343" s="311">
        <v>1696276.6373068723</v>
      </c>
      <c r="AC343" s="311">
        <v>3378752.3104881174</v>
      </c>
      <c r="AD343" s="311">
        <v>1279409.5556205851</v>
      </c>
      <c r="AE343" s="311">
        <v>1164568.1426423574</v>
      </c>
      <c r="AF343" s="311">
        <v>1022463.1672149026</v>
      </c>
      <c r="AG343" s="311">
        <v>984769.94541259226</v>
      </c>
      <c r="AH343" s="311">
        <v>935677.0663259076</v>
      </c>
      <c r="AI343" s="311">
        <v>1381663.513870985</v>
      </c>
      <c r="AJ343" s="311">
        <v>620995.38589884993</v>
      </c>
      <c r="AK343" s="311">
        <v>542908.04025989748</v>
      </c>
      <c r="AL343" s="311">
        <v>499939.70069203997</v>
      </c>
      <c r="AM343" s="311">
        <v>4000853.2992554279</v>
      </c>
      <c r="AN343" s="311">
        <v>124123.07874886499</v>
      </c>
      <c r="AO343" s="311"/>
      <c r="AP343" s="311"/>
      <c r="AQ343" s="311"/>
      <c r="AR343" s="311"/>
      <c r="AS343" s="311"/>
      <c r="AT343" s="311"/>
      <c r="AU343" s="311"/>
      <c r="AV343" s="311"/>
      <c r="AW343" s="311"/>
      <c r="AX343" s="311"/>
      <c r="AY343" s="311"/>
      <c r="AZ343" s="311"/>
      <c r="BA343" s="311"/>
      <c r="BB343" s="311"/>
      <c r="BC343" s="311"/>
      <c r="BD343" s="311"/>
      <c r="BE343" s="311"/>
      <c r="BF343" s="311"/>
      <c r="BG343" s="311"/>
      <c r="BH343" s="311"/>
      <c r="BI343" s="311"/>
      <c r="BJ343" s="311"/>
      <c r="BK343" s="311"/>
    </row>
    <row r="344" spans="1:63" s="80" customFormat="1" ht="12.75">
      <c r="A344" s="167"/>
      <c r="B344" s="210" t="str">
        <f>Servicio_internaColumna_título_amortizaciones</f>
        <v>Amortizaciones</v>
      </c>
      <c r="C344" s="269">
        <v>0</v>
      </c>
      <c r="D344" s="235"/>
      <c r="E344" s="235"/>
      <c r="F344" s="235"/>
      <c r="G344" s="235"/>
      <c r="H344" s="235"/>
      <c r="I344" s="235"/>
      <c r="J344" s="235"/>
      <c r="K344" s="235"/>
      <c r="L344" s="235">
        <v>1436225.0218334936</v>
      </c>
      <c r="M344" s="235">
        <v>2188492.6709930412</v>
      </c>
      <c r="N344" s="235">
        <v>3744448.1881204587</v>
      </c>
      <c r="O344" s="235">
        <v>3306476.612471858</v>
      </c>
      <c r="P344" s="235">
        <v>4219840.0417321492</v>
      </c>
      <c r="Q344" s="235">
        <v>5092139.4206902068</v>
      </c>
      <c r="R344" s="235">
        <v>2245588.285801325</v>
      </c>
      <c r="S344" s="273">
        <v>4979316.0981641663</v>
      </c>
      <c r="T344" s="235">
        <v>1635302.3834156729</v>
      </c>
      <c r="U344" s="235">
        <v>6647292.524183495</v>
      </c>
      <c r="V344" s="235">
        <v>2896365.1750694318</v>
      </c>
      <c r="W344" s="235">
        <v>2539509.031328626</v>
      </c>
      <c r="X344" s="235">
        <v>1115344.9300281645</v>
      </c>
      <c r="Y344" s="235">
        <v>1108109.8255831203</v>
      </c>
      <c r="Z344" s="235">
        <v>2906310.2855737153</v>
      </c>
      <c r="AA344" s="235">
        <v>870380.96512873424</v>
      </c>
      <c r="AB344" s="235">
        <v>811430.5192152143</v>
      </c>
      <c r="AC344" s="235">
        <v>2612881.4171270402</v>
      </c>
      <c r="AD344" s="235">
        <v>655859.0301401004</v>
      </c>
      <c r="AE344" s="235">
        <v>574626.79623670992</v>
      </c>
      <c r="AF344" s="235">
        <v>463251.69090467406</v>
      </c>
      <c r="AG344" s="235">
        <v>450996.21154811297</v>
      </c>
      <c r="AH344" s="235">
        <v>425869.39384684101</v>
      </c>
      <c r="AI344" s="235">
        <v>928131.58694859745</v>
      </c>
      <c r="AJ344" s="235">
        <v>213005.89241323696</v>
      </c>
      <c r="AK344" s="235">
        <v>144703.86209323449</v>
      </c>
      <c r="AL344" s="235">
        <v>109018.347229197</v>
      </c>
      <c r="AM344" s="235">
        <v>3618473.4501776458</v>
      </c>
      <c r="AN344" s="235">
        <v>3477.0960431969997</v>
      </c>
      <c r="AO344" s="235"/>
      <c r="AP344" s="235"/>
      <c r="AQ344" s="235"/>
      <c r="AR344" s="235"/>
      <c r="AS344" s="235"/>
      <c r="AT344" s="235"/>
      <c r="AU344" s="235"/>
      <c r="AV344" s="235"/>
      <c r="AW344" s="235"/>
      <c r="AX344" s="235"/>
      <c r="AY344" s="235"/>
      <c r="AZ344" s="235"/>
      <c r="BA344" s="235"/>
      <c r="BB344" s="235"/>
      <c r="BC344" s="235"/>
      <c r="BD344" s="235"/>
      <c r="BE344" s="235"/>
      <c r="BF344" s="235"/>
      <c r="BG344" s="235"/>
      <c r="BH344" s="235"/>
      <c r="BI344" s="235"/>
      <c r="BJ344" s="235"/>
      <c r="BK344" s="235"/>
    </row>
    <row r="345" spans="1:63" s="133" customFormat="1" ht="12.75">
      <c r="A345" s="168">
        <v>40359</v>
      </c>
      <c r="B345" s="213" t="str">
        <f>Servicio_internaColumna_título_intereses</f>
        <v>Intereses</v>
      </c>
      <c r="C345" s="270">
        <v>0</v>
      </c>
      <c r="D345" s="271"/>
      <c r="E345" s="271"/>
      <c r="F345" s="271"/>
      <c r="G345" s="271"/>
      <c r="H345" s="271"/>
      <c r="I345" s="271"/>
      <c r="J345" s="271"/>
      <c r="K345" s="271"/>
      <c r="L345" s="271">
        <v>2027540.391184252</v>
      </c>
      <c r="M345" s="271">
        <v>4062921.9668939817</v>
      </c>
      <c r="N345" s="271">
        <v>3854415.3949883082</v>
      </c>
      <c r="O345" s="271">
        <v>3575106.2093183887</v>
      </c>
      <c r="P345" s="271">
        <v>3352738.1738626449</v>
      </c>
      <c r="Q345" s="271">
        <v>3070922.4728868492</v>
      </c>
      <c r="R345" s="271">
        <v>2639440.8372083083</v>
      </c>
      <c r="S345" s="274">
        <v>2404339.0320353322</v>
      </c>
      <c r="T345" s="271">
        <v>2196599.5862521268</v>
      </c>
      <c r="U345" s="272">
        <v>1965881.4262136489</v>
      </c>
      <c r="V345" s="272">
        <v>1619299.2372059193</v>
      </c>
      <c r="W345" s="272">
        <v>1453218.7056968664</v>
      </c>
      <c r="X345" s="272">
        <v>1281094.5313493777</v>
      </c>
      <c r="Y345" s="272">
        <v>1217998.8517397889</v>
      </c>
      <c r="Z345" s="272">
        <v>1079842.3309005534</v>
      </c>
      <c r="AA345" s="272">
        <v>945379.43489546899</v>
      </c>
      <c r="AB345" s="272">
        <v>896105.30788181897</v>
      </c>
      <c r="AC345" s="272">
        <v>839087.52905919903</v>
      </c>
      <c r="AD345" s="236">
        <v>627588.16992310598</v>
      </c>
      <c r="AE345" s="236">
        <v>593594.99984584795</v>
      </c>
      <c r="AF345" s="236">
        <v>562297.11830565694</v>
      </c>
      <c r="AG345" s="236">
        <v>536605.92138918105</v>
      </c>
      <c r="AH345" s="236">
        <v>512153.64998234843</v>
      </c>
      <c r="AI345" s="236">
        <v>456121.21598723397</v>
      </c>
      <c r="AJ345" s="236">
        <v>409604.51429996698</v>
      </c>
      <c r="AK345" s="236">
        <v>399116.816457793</v>
      </c>
      <c r="AL345" s="236">
        <v>391373.3548048205</v>
      </c>
      <c r="AM345" s="236">
        <v>386025.81964422698</v>
      </c>
      <c r="AN345" s="236">
        <v>120759.40904999999</v>
      </c>
      <c r="AO345" s="236"/>
      <c r="AP345" s="236"/>
      <c r="AQ345" s="236"/>
      <c r="AR345" s="236"/>
      <c r="AS345" s="236"/>
      <c r="AT345" s="236"/>
      <c r="AU345" s="236"/>
      <c r="AV345" s="236"/>
      <c r="AW345" s="236"/>
      <c r="AX345" s="236"/>
      <c r="AY345" s="236"/>
      <c r="AZ345" s="236"/>
      <c r="BA345" s="236"/>
      <c r="BB345" s="236"/>
      <c r="BC345" s="236"/>
      <c r="BD345" s="236"/>
      <c r="BE345" s="236"/>
      <c r="BF345" s="236"/>
      <c r="BG345" s="236"/>
      <c r="BH345" s="236"/>
      <c r="BI345" s="236"/>
      <c r="BJ345" s="236"/>
      <c r="BK345" s="236"/>
    </row>
    <row r="346" spans="1:63" s="133" customFormat="1" ht="12.75">
      <c r="A346" s="169"/>
      <c r="B346" s="307" t="str">
        <f>Servicio_internaColumna_título_total</f>
        <v>Total</v>
      </c>
      <c r="C346" s="310">
        <v>0</v>
      </c>
      <c r="D346" s="311"/>
      <c r="E346" s="311"/>
      <c r="F346" s="311"/>
      <c r="G346" s="311"/>
      <c r="H346" s="311"/>
      <c r="I346" s="311"/>
      <c r="J346" s="311"/>
      <c r="K346" s="311"/>
      <c r="L346" s="311">
        <v>3463765.4130177456</v>
      </c>
      <c r="M346" s="311">
        <v>6251414.6378870234</v>
      </c>
      <c r="N346" s="311">
        <v>7598863.5831087669</v>
      </c>
      <c r="O346" s="311">
        <v>6881582.8217902463</v>
      </c>
      <c r="P346" s="311">
        <v>7572578.2155947946</v>
      </c>
      <c r="Q346" s="311">
        <v>8163061.893577056</v>
      </c>
      <c r="R346" s="311">
        <v>4885029.1230096333</v>
      </c>
      <c r="S346" s="312">
        <v>7383655.1301994985</v>
      </c>
      <c r="T346" s="311">
        <v>3831901.9696677998</v>
      </c>
      <c r="U346" s="311">
        <v>8613173.9503971431</v>
      </c>
      <c r="V346" s="311">
        <v>4515664.4122753516</v>
      </c>
      <c r="W346" s="311">
        <v>3992727.7370254924</v>
      </c>
      <c r="X346" s="311">
        <v>2396439.4613775425</v>
      </c>
      <c r="Y346" s="311">
        <v>2326108.6773229092</v>
      </c>
      <c r="Z346" s="311">
        <v>3986152.616474269</v>
      </c>
      <c r="AA346" s="311">
        <v>1815760.4000242031</v>
      </c>
      <c r="AB346" s="311">
        <v>1707535.8270970332</v>
      </c>
      <c r="AC346" s="311">
        <v>3451968.9461862394</v>
      </c>
      <c r="AD346" s="311">
        <v>1283447.2000632063</v>
      </c>
      <c r="AE346" s="311">
        <v>1168221.7960825579</v>
      </c>
      <c r="AF346" s="311">
        <v>1025548.8092103309</v>
      </c>
      <c r="AG346" s="311">
        <v>987602.13293729397</v>
      </c>
      <c r="AH346" s="311">
        <v>938023.04382918938</v>
      </c>
      <c r="AI346" s="311">
        <v>1384252.8029358315</v>
      </c>
      <c r="AJ346" s="311">
        <v>622610.40671320399</v>
      </c>
      <c r="AK346" s="311">
        <v>543820.67855102755</v>
      </c>
      <c r="AL346" s="311">
        <v>500391.70203401748</v>
      </c>
      <c r="AM346" s="311">
        <v>4004499.2698218729</v>
      </c>
      <c r="AN346" s="311">
        <v>124236.50509319699</v>
      </c>
      <c r="AO346" s="311"/>
      <c r="AP346" s="311"/>
      <c r="AQ346" s="311"/>
      <c r="AR346" s="311"/>
      <c r="AS346" s="311"/>
      <c r="AT346" s="311"/>
      <c r="AU346" s="311"/>
      <c r="AV346" s="311"/>
      <c r="AW346" s="311"/>
      <c r="AX346" s="311"/>
      <c r="AY346" s="311"/>
      <c r="AZ346" s="311"/>
      <c r="BA346" s="311"/>
      <c r="BB346" s="311"/>
      <c r="BC346" s="311"/>
      <c r="BD346" s="311"/>
      <c r="BE346" s="311"/>
      <c r="BF346" s="311"/>
      <c r="BG346" s="311"/>
      <c r="BH346" s="311"/>
      <c r="BI346" s="311"/>
      <c r="BJ346" s="311"/>
      <c r="BK346" s="311"/>
    </row>
    <row r="347" spans="1:63" s="80" customFormat="1" ht="12.75">
      <c r="A347" s="167"/>
      <c r="B347" s="210" t="str">
        <f>Servicio_internaColumna_título_amortizaciones</f>
        <v>Amortizaciones</v>
      </c>
      <c r="C347" s="269">
        <v>0</v>
      </c>
      <c r="D347" s="235"/>
      <c r="E347" s="235"/>
      <c r="F347" s="235"/>
      <c r="G347" s="235"/>
      <c r="H347" s="235"/>
      <c r="I347" s="235"/>
      <c r="J347" s="235"/>
      <c r="K347" s="235"/>
      <c r="L347" s="235">
        <v>781781.26903957094</v>
      </c>
      <c r="M347" s="235">
        <v>781781.26903957094</v>
      </c>
      <c r="N347" s="235">
        <v>781781.26903957094</v>
      </c>
      <c r="O347" s="235">
        <v>781781.26903957094</v>
      </c>
      <c r="P347" s="235">
        <v>781781.26903957094</v>
      </c>
      <c r="Q347" s="235">
        <v>781781.26903957094</v>
      </c>
      <c r="R347" s="235">
        <v>781781.26903957094</v>
      </c>
      <c r="S347" s="273">
        <v>781781.26903957094</v>
      </c>
      <c r="T347" s="235">
        <v>781781.26903957094</v>
      </c>
      <c r="U347" s="235">
        <v>781781.26903957094</v>
      </c>
      <c r="V347" s="235">
        <v>781781.26903957094</v>
      </c>
      <c r="W347" s="235">
        <v>781781.26903957094</v>
      </c>
      <c r="X347" s="235">
        <v>781781.26903957094</v>
      </c>
      <c r="Y347" s="235">
        <v>781781.26903957094</v>
      </c>
      <c r="Z347" s="235">
        <v>781781.26903957094</v>
      </c>
      <c r="AA347" s="235">
        <v>781781.26903957094</v>
      </c>
      <c r="AB347" s="235">
        <v>781781.26903957094</v>
      </c>
      <c r="AC347" s="235">
        <v>781781.26903957094</v>
      </c>
      <c r="AD347" s="235">
        <v>781781.26903957094</v>
      </c>
      <c r="AE347" s="235">
        <v>781781.26903957094</v>
      </c>
      <c r="AF347" s="235">
        <v>781781.26903957094</v>
      </c>
      <c r="AG347" s="235">
        <v>781781.26903957094</v>
      </c>
      <c r="AH347" s="235">
        <v>781781.26903957094</v>
      </c>
      <c r="AI347" s="235">
        <v>781781.26903957094</v>
      </c>
      <c r="AJ347" s="235">
        <v>781781.26903957094</v>
      </c>
      <c r="AK347" s="235">
        <v>781781.26903957094</v>
      </c>
      <c r="AL347" s="235">
        <v>781781.26903957094</v>
      </c>
      <c r="AM347" s="235">
        <v>781781.26903957094</v>
      </c>
      <c r="AN347" s="235">
        <v>781781.26903957094</v>
      </c>
      <c r="AO347" s="235"/>
      <c r="AP347" s="235"/>
      <c r="AQ347" s="235"/>
      <c r="AR347" s="235"/>
      <c r="AS347" s="235"/>
      <c r="AT347" s="235"/>
      <c r="AU347" s="235"/>
      <c r="AV347" s="235"/>
      <c r="AW347" s="235"/>
      <c r="AX347" s="235"/>
      <c r="AY347" s="235"/>
      <c r="AZ347" s="235"/>
      <c r="BA347" s="235"/>
      <c r="BB347" s="235"/>
      <c r="BC347" s="235"/>
      <c r="BD347" s="235"/>
      <c r="BE347" s="235"/>
      <c r="BF347" s="235"/>
      <c r="BG347" s="235"/>
      <c r="BH347" s="235"/>
      <c r="BI347" s="235"/>
      <c r="BJ347" s="235"/>
      <c r="BK347" s="235"/>
    </row>
    <row r="348" spans="1:63" s="133" customFormat="1" ht="12.75">
      <c r="A348" s="168">
        <v>40360</v>
      </c>
      <c r="B348" s="213" t="str">
        <f>Servicio_internaColumna_título_intereses</f>
        <v>Intereses</v>
      </c>
      <c r="C348" s="270">
        <v>0</v>
      </c>
      <c r="D348" s="271"/>
      <c r="E348" s="271"/>
      <c r="F348" s="271"/>
      <c r="G348" s="271"/>
      <c r="H348" s="271"/>
      <c r="I348" s="271"/>
      <c r="J348" s="271"/>
      <c r="K348" s="271"/>
      <c r="L348" s="271">
        <v>1488860.7680233808</v>
      </c>
      <c r="M348" s="271">
        <v>1488860.7680233808</v>
      </c>
      <c r="N348" s="271">
        <v>1488860.7680233808</v>
      </c>
      <c r="O348" s="271">
        <v>1488860.7680233808</v>
      </c>
      <c r="P348" s="271">
        <v>1488860.7680233808</v>
      </c>
      <c r="Q348" s="271">
        <v>1488860.7680233808</v>
      </c>
      <c r="R348" s="271">
        <v>1488860.7680233808</v>
      </c>
      <c r="S348" s="274">
        <v>1488860.7680233808</v>
      </c>
      <c r="T348" s="271">
        <v>1488860.7680233808</v>
      </c>
      <c r="U348" s="272">
        <v>1488860.7680233808</v>
      </c>
      <c r="V348" s="272">
        <v>1488860.7680233808</v>
      </c>
      <c r="W348" s="272">
        <v>1488860.7680233808</v>
      </c>
      <c r="X348" s="272">
        <v>1488860.7680233808</v>
      </c>
      <c r="Y348" s="272">
        <v>1488860.7680233808</v>
      </c>
      <c r="Z348" s="272">
        <v>1488860.7680233808</v>
      </c>
      <c r="AA348" s="272">
        <v>1488860.7680233808</v>
      </c>
      <c r="AB348" s="272">
        <v>1488860.7680233808</v>
      </c>
      <c r="AC348" s="272">
        <v>1488860.7680233808</v>
      </c>
      <c r="AD348" s="236">
        <v>1488860.7680233808</v>
      </c>
      <c r="AE348" s="236">
        <v>1488860.7680233808</v>
      </c>
      <c r="AF348" s="236">
        <v>1488860.7680233808</v>
      </c>
      <c r="AG348" s="236">
        <v>1488860.7680233808</v>
      </c>
      <c r="AH348" s="236">
        <v>1488860.7680233808</v>
      </c>
      <c r="AI348" s="236">
        <v>1488860.7680233808</v>
      </c>
      <c r="AJ348" s="236">
        <v>1488860.7680233808</v>
      </c>
      <c r="AK348" s="236">
        <v>1488860.7680233808</v>
      </c>
      <c r="AL348" s="236">
        <v>1488860.7680233808</v>
      </c>
      <c r="AM348" s="236">
        <v>1488860.7680233808</v>
      </c>
      <c r="AN348" s="236">
        <v>1488860.7680233808</v>
      </c>
      <c r="AO348" s="236"/>
      <c r="AP348" s="236"/>
      <c r="AQ348" s="236"/>
      <c r="AR348" s="236"/>
      <c r="AS348" s="236"/>
      <c r="AT348" s="236"/>
      <c r="AU348" s="236"/>
      <c r="AV348" s="236"/>
      <c r="AW348" s="236"/>
      <c r="AX348" s="236"/>
      <c r="AY348" s="236"/>
      <c r="AZ348" s="236"/>
      <c r="BA348" s="236"/>
      <c r="BB348" s="236"/>
      <c r="BC348" s="236"/>
      <c r="BD348" s="236"/>
      <c r="BE348" s="236"/>
      <c r="BF348" s="236"/>
      <c r="BG348" s="236"/>
      <c r="BH348" s="236"/>
      <c r="BI348" s="236"/>
      <c r="BJ348" s="236"/>
      <c r="BK348" s="236"/>
    </row>
    <row r="349" spans="1:63" s="133" customFormat="1" ht="12.75">
      <c r="A349" s="169"/>
      <c r="B349" s="307" t="str">
        <f>Servicio_internaColumna_título_total</f>
        <v>Total</v>
      </c>
      <c r="C349" s="310">
        <v>0</v>
      </c>
      <c r="D349" s="311"/>
      <c r="E349" s="311"/>
      <c r="F349" s="311"/>
      <c r="G349" s="311"/>
      <c r="H349" s="311"/>
      <c r="I349" s="311"/>
      <c r="J349" s="311"/>
      <c r="K349" s="311"/>
      <c r="L349" s="311">
        <f>+L347+L348</f>
        <v>2270642.0370629518</v>
      </c>
      <c r="M349" s="311">
        <f t="shared" ref="M349:AN349" si="42">+M347+M348</f>
        <v>2270642.0370629518</v>
      </c>
      <c r="N349" s="311">
        <f t="shared" si="42"/>
        <v>2270642.0370629518</v>
      </c>
      <c r="O349" s="311">
        <f t="shared" si="42"/>
        <v>2270642.0370629518</v>
      </c>
      <c r="P349" s="311">
        <f t="shared" si="42"/>
        <v>2270642.0370629518</v>
      </c>
      <c r="Q349" s="311">
        <f t="shared" si="42"/>
        <v>2270642.0370629518</v>
      </c>
      <c r="R349" s="311">
        <f t="shared" si="42"/>
        <v>2270642.0370629518</v>
      </c>
      <c r="S349" s="312">
        <f t="shared" si="42"/>
        <v>2270642.0370629518</v>
      </c>
      <c r="T349" s="311">
        <f t="shared" si="42"/>
        <v>2270642.0370629518</v>
      </c>
      <c r="U349" s="311">
        <f t="shared" si="42"/>
        <v>2270642.0370629518</v>
      </c>
      <c r="V349" s="311">
        <f t="shared" si="42"/>
        <v>2270642.0370629518</v>
      </c>
      <c r="W349" s="311">
        <f t="shared" si="42"/>
        <v>2270642.0370629518</v>
      </c>
      <c r="X349" s="311">
        <f t="shared" si="42"/>
        <v>2270642.0370629518</v>
      </c>
      <c r="Y349" s="311">
        <f t="shared" si="42"/>
        <v>2270642.0370629518</v>
      </c>
      <c r="Z349" s="311">
        <f t="shared" si="42"/>
        <v>2270642.0370629518</v>
      </c>
      <c r="AA349" s="311">
        <f t="shared" si="42"/>
        <v>2270642.0370629518</v>
      </c>
      <c r="AB349" s="311">
        <f t="shared" si="42"/>
        <v>2270642.0370629518</v>
      </c>
      <c r="AC349" s="311">
        <f t="shared" si="42"/>
        <v>2270642.0370629518</v>
      </c>
      <c r="AD349" s="311">
        <f t="shared" si="42"/>
        <v>2270642.0370629518</v>
      </c>
      <c r="AE349" s="311">
        <f t="shared" si="42"/>
        <v>2270642.0370629518</v>
      </c>
      <c r="AF349" s="311">
        <f t="shared" si="42"/>
        <v>2270642.0370629518</v>
      </c>
      <c r="AG349" s="311">
        <f t="shared" si="42"/>
        <v>2270642.0370629518</v>
      </c>
      <c r="AH349" s="311">
        <f t="shared" si="42"/>
        <v>2270642.0370629518</v>
      </c>
      <c r="AI349" s="311">
        <f t="shared" si="42"/>
        <v>2270642.0370629518</v>
      </c>
      <c r="AJ349" s="311">
        <f t="shared" si="42"/>
        <v>2270642.0370629518</v>
      </c>
      <c r="AK349" s="311">
        <f t="shared" si="42"/>
        <v>2270642.0370629518</v>
      </c>
      <c r="AL349" s="311">
        <f t="shared" si="42"/>
        <v>2270642.0370629518</v>
      </c>
      <c r="AM349" s="311">
        <f t="shared" si="42"/>
        <v>2270642.0370629518</v>
      </c>
      <c r="AN349" s="311">
        <f t="shared" si="42"/>
        <v>2270642.0370629518</v>
      </c>
      <c r="AO349" s="311"/>
      <c r="AP349" s="311"/>
      <c r="AQ349" s="311"/>
      <c r="AR349" s="311"/>
      <c r="AS349" s="311"/>
      <c r="AT349" s="311"/>
      <c r="AU349" s="311"/>
      <c r="AV349" s="311"/>
      <c r="AW349" s="311"/>
      <c r="AX349" s="311"/>
      <c r="AY349" s="311"/>
      <c r="AZ349" s="311"/>
      <c r="BA349" s="311"/>
      <c r="BB349" s="311"/>
      <c r="BC349" s="311"/>
      <c r="BD349" s="311"/>
      <c r="BE349" s="311"/>
      <c r="BF349" s="311"/>
      <c r="BG349" s="311"/>
      <c r="BH349" s="311"/>
      <c r="BI349" s="311"/>
      <c r="BJ349" s="311"/>
      <c r="BK349" s="311"/>
    </row>
    <row r="350" spans="1:63" s="80" customFormat="1" ht="12.75">
      <c r="A350" s="167"/>
      <c r="B350" s="210" t="str">
        <f>Servicio_internaColumna_título_amortizaciones</f>
        <v>Amortizaciones</v>
      </c>
      <c r="C350" s="269">
        <v>0</v>
      </c>
      <c r="D350" s="235"/>
      <c r="E350" s="235"/>
      <c r="F350" s="235"/>
      <c r="G350" s="235"/>
      <c r="H350" s="235"/>
      <c r="I350" s="235"/>
      <c r="J350" s="235"/>
      <c r="K350" s="235"/>
      <c r="L350" s="235">
        <v>698814.2264732836</v>
      </c>
      <c r="M350" s="235">
        <v>2041134.6890942103</v>
      </c>
      <c r="N350" s="235">
        <v>3502880.5242569153</v>
      </c>
      <c r="O350" s="235">
        <v>3100575.5575626446</v>
      </c>
      <c r="P350" s="235">
        <v>3948159.4226077613</v>
      </c>
      <c r="Q350" s="235">
        <v>4813075.5503160283</v>
      </c>
      <c r="R350" s="235">
        <v>2115911.8354497221</v>
      </c>
      <c r="S350" s="273">
        <v>4640641.9350697836</v>
      </c>
      <c r="T350" s="235">
        <v>1546602.8572589678</v>
      </c>
      <c r="U350" s="235">
        <v>6201025.158773208</v>
      </c>
      <c r="V350" s="235">
        <v>2711456.2057331605</v>
      </c>
      <c r="W350" s="235">
        <v>3182437.1708381986</v>
      </c>
      <c r="X350" s="235">
        <v>1062627.1965961508</v>
      </c>
      <c r="Y350" s="235">
        <v>1028073.4358990774</v>
      </c>
      <c r="Z350" s="235">
        <v>2690567.8969195094</v>
      </c>
      <c r="AA350" s="235">
        <v>807275.18871107919</v>
      </c>
      <c r="AB350" s="235">
        <v>752744.34433466324</v>
      </c>
      <c r="AC350" s="235">
        <v>2467766.9484358076</v>
      </c>
      <c r="AD350" s="235">
        <v>654369.76096644171</v>
      </c>
      <c r="AE350" s="235">
        <v>533634.12698101439</v>
      </c>
      <c r="AF350" s="235">
        <v>430608.97692230559</v>
      </c>
      <c r="AG350" s="235">
        <v>419272.30885822675</v>
      </c>
      <c r="AH350" s="235">
        <v>396029.33560199995</v>
      </c>
      <c r="AI350" s="235">
        <v>860636.24419605103</v>
      </c>
      <c r="AJ350" s="235">
        <v>199124.57360594757</v>
      </c>
      <c r="AK350" s="235">
        <v>135943.2466989714</v>
      </c>
      <c r="AL350" s="235">
        <v>100859.19137547519</v>
      </c>
      <c r="AM350" s="235">
        <v>3347203.790978143</v>
      </c>
      <c r="AN350" s="235">
        <v>3216.4130444676002</v>
      </c>
      <c r="AO350" s="235"/>
      <c r="AP350" s="235"/>
      <c r="AQ350" s="235"/>
      <c r="AR350" s="235"/>
      <c r="AS350" s="235"/>
      <c r="AT350" s="235"/>
      <c r="AU350" s="235"/>
      <c r="AV350" s="235"/>
      <c r="AW350" s="235"/>
      <c r="AX350" s="235"/>
      <c r="AY350" s="235"/>
      <c r="AZ350" s="235"/>
      <c r="BA350" s="235"/>
      <c r="BB350" s="235"/>
      <c r="BC350" s="235"/>
      <c r="BD350" s="235"/>
      <c r="BE350" s="235"/>
      <c r="BF350" s="235"/>
      <c r="BG350" s="235"/>
      <c r="BH350" s="235"/>
      <c r="BI350" s="235"/>
      <c r="BJ350" s="235"/>
      <c r="BK350" s="235"/>
    </row>
    <row r="351" spans="1:63" s="133" customFormat="1" ht="12.75">
      <c r="A351" s="168">
        <v>40391</v>
      </c>
      <c r="B351" s="213" t="str">
        <f>Servicio_internaColumna_título_intereses</f>
        <v>Intereses</v>
      </c>
      <c r="C351" s="270">
        <v>0</v>
      </c>
      <c r="D351" s="271"/>
      <c r="E351" s="271"/>
      <c r="F351" s="271"/>
      <c r="G351" s="271"/>
      <c r="H351" s="271"/>
      <c r="I351" s="271"/>
      <c r="J351" s="271"/>
      <c r="K351" s="271"/>
      <c r="L351" s="271">
        <v>1226767.3485752763</v>
      </c>
      <c r="M351" s="271">
        <v>3891952.7266933681</v>
      </c>
      <c r="N351" s="271">
        <v>3695333.4386808067</v>
      </c>
      <c r="O351" s="271">
        <v>3423561.465876447</v>
      </c>
      <c r="P351" s="271">
        <v>3204658.1269834507</v>
      </c>
      <c r="Q351" s="271">
        <v>2940805.4040284511</v>
      </c>
      <c r="R351" s="271">
        <v>2531200.752027086</v>
      </c>
      <c r="S351" s="274">
        <v>2310671.2993805232</v>
      </c>
      <c r="T351" s="271">
        <v>2115813.838477429</v>
      </c>
      <c r="U351" s="272">
        <v>1899905.4207789393</v>
      </c>
      <c r="V351" s="272">
        <v>1576254.3548497534</v>
      </c>
      <c r="W351" s="272">
        <v>1420190.4606783832</v>
      </c>
      <c r="X351" s="272">
        <v>1196390.69621205</v>
      </c>
      <c r="Y351" s="272">
        <v>1136173.2891647685</v>
      </c>
      <c r="Z351" s="272">
        <v>1008253.2415933389</v>
      </c>
      <c r="AA351" s="272">
        <v>883702.38372314116</v>
      </c>
      <c r="AB351" s="272">
        <v>837965.1059886961</v>
      </c>
      <c r="AC351" s="272">
        <v>785062.54581583571</v>
      </c>
      <c r="AD351" s="236">
        <v>583026.44805703778</v>
      </c>
      <c r="AE351" s="236">
        <v>549975.39839991322</v>
      </c>
      <c r="AF351" s="236">
        <v>520893.25454682193</v>
      </c>
      <c r="AG351" s="236">
        <v>496997.45393415279</v>
      </c>
      <c r="AH351" s="236">
        <v>474248.94579643122</v>
      </c>
      <c r="AI351" s="236">
        <v>422285.38268006418</v>
      </c>
      <c r="AJ351" s="236">
        <v>379051.43417285744</v>
      </c>
      <c r="AK351" s="236">
        <v>369262.90095156222</v>
      </c>
      <c r="AL351" s="236">
        <v>362031.96752062679</v>
      </c>
      <c r="AM351" s="236">
        <v>357085.02292781259</v>
      </c>
      <c r="AN351" s="236">
        <v>111705.89873999999</v>
      </c>
      <c r="AO351" s="236"/>
      <c r="AP351" s="236"/>
      <c r="AQ351" s="236"/>
      <c r="AR351" s="236"/>
      <c r="AS351" s="236"/>
      <c r="AT351" s="236"/>
      <c r="AU351" s="236"/>
      <c r="AV351" s="236"/>
      <c r="AW351" s="236"/>
      <c r="AX351" s="236"/>
      <c r="AY351" s="236"/>
      <c r="AZ351" s="236"/>
      <c r="BA351" s="236"/>
      <c r="BB351" s="236"/>
      <c r="BC351" s="236"/>
      <c r="BD351" s="236"/>
      <c r="BE351" s="236"/>
      <c r="BF351" s="236"/>
      <c r="BG351" s="236"/>
      <c r="BH351" s="236"/>
      <c r="BI351" s="236"/>
      <c r="BJ351" s="236"/>
      <c r="BK351" s="236"/>
    </row>
    <row r="352" spans="1:63" s="133" customFormat="1" ht="12.75">
      <c r="A352" s="169"/>
      <c r="B352" s="307" t="str">
        <f>Servicio_internaColumna_título_total</f>
        <v>Total</v>
      </c>
      <c r="C352" s="310">
        <v>0</v>
      </c>
      <c r="D352" s="311"/>
      <c r="E352" s="311"/>
      <c r="F352" s="311"/>
      <c r="G352" s="311"/>
      <c r="H352" s="311"/>
      <c r="I352" s="311"/>
      <c r="J352" s="311"/>
      <c r="K352" s="311"/>
      <c r="L352" s="311">
        <f>+L350+L351</f>
        <v>1925581.5750485598</v>
      </c>
      <c r="M352" s="311">
        <f t="shared" ref="M352:AN352" si="43">+M350+M351</f>
        <v>5933087.4157875786</v>
      </c>
      <c r="N352" s="311">
        <f t="shared" si="43"/>
        <v>7198213.962937722</v>
      </c>
      <c r="O352" s="311">
        <f t="shared" si="43"/>
        <v>6524137.0234390916</v>
      </c>
      <c r="P352" s="311">
        <f t="shared" si="43"/>
        <v>7152817.5495912116</v>
      </c>
      <c r="Q352" s="311">
        <f t="shared" si="43"/>
        <v>7753880.9543444794</v>
      </c>
      <c r="R352" s="311">
        <f t="shared" si="43"/>
        <v>4647112.5874768086</v>
      </c>
      <c r="S352" s="312">
        <f t="shared" si="43"/>
        <v>6951313.2344503067</v>
      </c>
      <c r="T352" s="311">
        <f t="shared" si="43"/>
        <v>3662416.6957363971</v>
      </c>
      <c r="U352" s="311">
        <f t="shared" si="43"/>
        <v>8100930.5795521475</v>
      </c>
      <c r="V352" s="311">
        <f t="shared" si="43"/>
        <v>4287710.5605829135</v>
      </c>
      <c r="W352" s="311">
        <f t="shared" si="43"/>
        <v>4602627.6315165814</v>
      </c>
      <c r="X352" s="311">
        <f t="shared" si="43"/>
        <v>2259017.8928082008</v>
      </c>
      <c r="Y352" s="311">
        <f t="shared" si="43"/>
        <v>2164246.725063846</v>
      </c>
      <c r="Z352" s="311">
        <f t="shared" si="43"/>
        <v>3698821.1385128484</v>
      </c>
      <c r="AA352" s="311">
        <f t="shared" si="43"/>
        <v>1690977.5724342205</v>
      </c>
      <c r="AB352" s="311">
        <f t="shared" si="43"/>
        <v>1590709.4503233593</v>
      </c>
      <c r="AC352" s="311">
        <f t="shared" si="43"/>
        <v>3252829.4942516433</v>
      </c>
      <c r="AD352" s="311">
        <f t="shared" si="43"/>
        <v>1237396.2090234794</v>
      </c>
      <c r="AE352" s="311">
        <f t="shared" si="43"/>
        <v>1083609.5253809276</v>
      </c>
      <c r="AF352" s="311">
        <f t="shared" si="43"/>
        <v>951502.23146912758</v>
      </c>
      <c r="AG352" s="311">
        <f t="shared" si="43"/>
        <v>916269.7627923796</v>
      </c>
      <c r="AH352" s="311">
        <f t="shared" si="43"/>
        <v>870278.28139843117</v>
      </c>
      <c r="AI352" s="311">
        <f t="shared" si="43"/>
        <v>1282921.6268761153</v>
      </c>
      <c r="AJ352" s="311">
        <f t="shared" si="43"/>
        <v>578176.00777880498</v>
      </c>
      <c r="AK352" s="311">
        <f t="shared" si="43"/>
        <v>505206.14765053359</v>
      </c>
      <c r="AL352" s="311">
        <f t="shared" si="43"/>
        <v>462891.15889610199</v>
      </c>
      <c r="AM352" s="311">
        <f t="shared" si="43"/>
        <v>3704288.8139059558</v>
      </c>
      <c r="AN352" s="311">
        <f t="shared" si="43"/>
        <v>114922.31178446759</v>
      </c>
      <c r="AO352" s="311"/>
      <c r="AP352" s="311"/>
      <c r="AQ352" s="311"/>
      <c r="AR352" s="311"/>
      <c r="AS352" s="311"/>
      <c r="AT352" s="311"/>
      <c r="AU352" s="311"/>
      <c r="AV352" s="311"/>
      <c r="AW352" s="311"/>
      <c r="AX352" s="311"/>
      <c r="AY352" s="311"/>
      <c r="AZ352" s="311"/>
      <c r="BA352" s="311"/>
      <c r="BB352" s="311"/>
      <c r="BC352" s="311"/>
      <c r="BD352" s="311"/>
      <c r="BE352" s="311"/>
      <c r="BF352" s="311"/>
      <c r="BG352" s="311"/>
      <c r="BH352" s="311"/>
      <c r="BI352" s="311"/>
      <c r="BJ352" s="311"/>
      <c r="BK352" s="311"/>
    </row>
    <row r="353" spans="1:63" s="80" customFormat="1" ht="12.75">
      <c r="A353" s="167"/>
      <c r="B353" s="210" t="str">
        <f>Servicio_internaColumna_título_amortizaciones</f>
        <v>Amortizaciones</v>
      </c>
      <c r="C353" s="269">
        <v>0</v>
      </c>
      <c r="D353" s="235"/>
      <c r="E353" s="235"/>
      <c r="F353" s="235"/>
      <c r="G353" s="235"/>
      <c r="H353" s="235"/>
      <c r="I353" s="235"/>
      <c r="J353" s="235"/>
      <c r="K353" s="235"/>
      <c r="L353" s="235">
        <v>658982.0240931419</v>
      </c>
      <c r="M353" s="235">
        <v>2029420.6992606842</v>
      </c>
      <c r="N353" s="235">
        <v>3451038.0061120368</v>
      </c>
      <c r="O353" s="235">
        <v>3076305.8190399054</v>
      </c>
      <c r="P353" s="235">
        <v>3918135.6691843336</v>
      </c>
      <c r="Q353" s="235">
        <v>4785740.326011424</v>
      </c>
      <c r="R353" s="235">
        <v>2108147.9710695986</v>
      </c>
      <c r="S353" s="273">
        <v>4598332.8393790908</v>
      </c>
      <c r="T353" s="235">
        <v>1544579.6360995483</v>
      </c>
      <c r="U353" s="235">
        <v>6139826.9855178827</v>
      </c>
      <c r="V353" s="235">
        <v>2693772.7295107269</v>
      </c>
      <c r="W353" s="235">
        <v>3176322.8549901661</v>
      </c>
      <c r="X353" s="235">
        <v>1068620.5106041611</v>
      </c>
      <c r="Y353" s="235">
        <v>1034513.5291930744</v>
      </c>
      <c r="Z353" s="235">
        <v>2675046.9128681254</v>
      </c>
      <c r="AA353" s="235">
        <v>816383.00651235553</v>
      </c>
      <c r="AB353" s="235">
        <v>762565.29043578077</v>
      </c>
      <c r="AC353" s="235">
        <v>2467123.9297032016</v>
      </c>
      <c r="AD353" s="235">
        <v>665446.82702170697</v>
      </c>
      <c r="AE353" s="235">
        <v>546290.11594774318</v>
      </c>
      <c r="AF353" s="235">
        <v>444797.69238157017</v>
      </c>
      <c r="AG353" s="235">
        <v>433794.69302818016</v>
      </c>
      <c r="AH353" s="235">
        <v>410855.70046117617</v>
      </c>
      <c r="AI353" s="235">
        <v>869386.72217444051</v>
      </c>
      <c r="AJ353" s="235">
        <v>216525.98501979062</v>
      </c>
      <c r="AK353" s="235">
        <v>154170.91321639542</v>
      </c>
      <c r="AL353" s="235">
        <v>101945.9462232057</v>
      </c>
      <c r="AM353" s="235">
        <v>3305835.6054143808</v>
      </c>
      <c r="AN353" s="235">
        <v>5574.2036774012004</v>
      </c>
      <c r="AO353" s="235"/>
      <c r="AP353" s="235"/>
      <c r="AQ353" s="235"/>
      <c r="AR353" s="235"/>
      <c r="AS353" s="235"/>
      <c r="AT353" s="235"/>
      <c r="AU353" s="235"/>
      <c r="AV353" s="235"/>
      <c r="AW353" s="235"/>
      <c r="AX353" s="235"/>
      <c r="AY353" s="235"/>
      <c r="AZ353" s="235"/>
      <c r="BA353" s="235"/>
      <c r="BB353" s="235"/>
      <c r="BC353" s="235"/>
      <c r="BD353" s="235"/>
      <c r="BE353" s="235"/>
      <c r="BF353" s="235"/>
      <c r="BG353" s="235"/>
      <c r="BH353" s="235"/>
      <c r="BI353" s="235"/>
      <c r="BJ353" s="235"/>
      <c r="BK353" s="235"/>
    </row>
    <row r="354" spans="1:63" s="133" customFormat="1" ht="12.75">
      <c r="A354" s="168">
        <v>40422</v>
      </c>
      <c r="B354" s="213" t="str">
        <f>Servicio_internaColumna_título_intereses</f>
        <v>Intereses</v>
      </c>
      <c r="C354" s="270">
        <v>0</v>
      </c>
      <c r="D354" s="271"/>
      <c r="E354" s="271"/>
      <c r="F354" s="271"/>
      <c r="G354" s="271"/>
      <c r="H354" s="271"/>
      <c r="I354" s="271"/>
      <c r="J354" s="271"/>
      <c r="K354" s="271"/>
      <c r="L354" s="271">
        <v>856526.91297369811</v>
      </c>
      <c r="M354" s="271">
        <v>3775688.0263560764</v>
      </c>
      <c r="N354" s="271">
        <v>3578439.1048175222</v>
      </c>
      <c r="O354" s="271">
        <v>3331749.2377567338</v>
      </c>
      <c r="P354" s="271">
        <v>3129885.7200785112</v>
      </c>
      <c r="Q354" s="271">
        <v>2883351.9605012378</v>
      </c>
      <c r="R354" s="271">
        <v>2485885.5254771677</v>
      </c>
      <c r="S354" s="274">
        <v>2275510.4052762217</v>
      </c>
      <c r="T354" s="271">
        <v>2084214.5871906662</v>
      </c>
      <c r="U354" s="272">
        <v>1874328.7220169746</v>
      </c>
      <c r="V354" s="272">
        <v>1555666.1470731383</v>
      </c>
      <c r="W354" s="272">
        <v>1401674.1603816762</v>
      </c>
      <c r="X354" s="272">
        <v>1182014.6229024613</v>
      </c>
      <c r="Y354" s="272">
        <v>1121408.8987839518</v>
      </c>
      <c r="Z354" s="272">
        <v>996452.45826555917</v>
      </c>
      <c r="AA354" s="272">
        <v>874074.30075779778</v>
      </c>
      <c r="AB354" s="272">
        <v>828115.21697212127</v>
      </c>
      <c r="AC354" s="272">
        <v>777073.45509753318</v>
      </c>
      <c r="AD354" s="236">
        <v>576176.52980816551</v>
      </c>
      <c r="AE354" s="236">
        <v>543372.02954414405</v>
      </c>
      <c r="AF354" s="236">
        <v>515380.96985144407</v>
      </c>
      <c r="AG354" s="236">
        <v>492117.56637076306</v>
      </c>
      <c r="AH354" s="236">
        <v>469930.48967653629</v>
      </c>
      <c r="AI354" s="236">
        <v>418433.17450901738</v>
      </c>
      <c r="AJ354" s="236">
        <v>374900.44390314032</v>
      </c>
      <c r="AK354" s="236">
        <v>364560.45329007326</v>
      </c>
      <c r="AL354" s="236">
        <v>356945.99267266056</v>
      </c>
      <c r="AM354" s="236">
        <v>352482.20917210146</v>
      </c>
      <c r="AN354" s="236">
        <v>110307.11858344531</v>
      </c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/>
      <c r="BI354" s="236"/>
      <c r="BJ354" s="236"/>
      <c r="BK354" s="236"/>
    </row>
    <row r="355" spans="1:63" s="133" customFormat="1" ht="12.75">
      <c r="A355" s="169"/>
      <c r="B355" s="307" t="str">
        <f>Servicio_internaColumna_título_total</f>
        <v>Total</v>
      </c>
      <c r="C355" s="310">
        <v>0</v>
      </c>
      <c r="D355" s="311"/>
      <c r="E355" s="311"/>
      <c r="F355" s="311"/>
      <c r="G355" s="311"/>
      <c r="H355" s="311"/>
      <c r="I355" s="311"/>
      <c r="J355" s="311"/>
      <c r="K355" s="311"/>
      <c r="L355" s="311">
        <f>+L353+L354</f>
        <v>1515508.93706684</v>
      </c>
      <c r="M355" s="311">
        <f t="shared" ref="M355:AN355" si="44">+M353+M354</f>
        <v>5805108.7256167606</v>
      </c>
      <c r="N355" s="311">
        <f t="shared" si="44"/>
        <v>7029477.110929559</v>
      </c>
      <c r="O355" s="311">
        <f t="shared" si="44"/>
        <v>6408055.0567966392</v>
      </c>
      <c r="P355" s="311">
        <f t="shared" si="44"/>
        <v>7048021.3892628448</v>
      </c>
      <c r="Q355" s="311">
        <f t="shared" si="44"/>
        <v>7669092.2865126617</v>
      </c>
      <c r="R355" s="311">
        <f t="shared" si="44"/>
        <v>4594033.4965467658</v>
      </c>
      <c r="S355" s="312">
        <f t="shared" si="44"/>
        <v>6873843.244655313</v>
      </c>
      <c r="T355" s="311">
        <f t="shared" si="44"/>
        <v>3628794.2232902143</v>
      </c>
      <c r="U355" s="311">
        <f t="shared" si="44"/>
        <v>8014155.7075348571</v>
      </c>
      <c r="V355" s="311">
        <f t="shared" si="44"/>
        <v>4249438.8765838649</v>
      </c>
      <c r="W355" s="311">
        <f t="shared" si="44"/>
        <v>4577997.0153718423</v>
      </c>
      <c r="X355" s="311">
        <f t="shared" si="44"/>
        <v>2250635.1335066222</v>
      </c>
      <c r="Y355" s="311">
        <f t="shared" si="44"/>
        <v>2155922.4279770264</v>
      </c>
      <c r="Z355" s="311">
        <f t="shared" si="44"/>
        <v>3671499.3711336846</v>
      </c>
      <c r="AA355" s="311">
        <f t="shared" si="44"/>
        <v>1690457.3072701534</v>
      </c>
      <c r="AB355" s="311">
        <f t="shared" si="44"/>
        <v>1590680.507407902</v>
      </c>
      <c r="AC355" s="311">
        <f t="shared" si="44"/>
        <v>3244197.3848007349</v>
      </c>
      <c r="AD355" s="311">
        <f t="shared" si="44"/>
        <v>1241623.3568298724</v>
      </c>
      <c r="AE355" s="311">
        <f t="shared" si="44"/>
        <v>1089662.1454918873</v>
      </c>
      <c r="AF355" s="311">
        <f t="shared" si="44"/>
        <v>960178.66223301424</v>
      </c>
      <c r="AG355" s="311">
        <f t="shared" si="44"/>
        <v>925912.25939894328</v>
      </c>
      <c r="AH355" s="311">
        <f t="shared" si="44"/>
        <v>880786.19013771252</v>
      </c>
      <c r="AI355" s="311">
        <f t="shared" si="44"/>
        <v>1287819.8966834578</v>
      </c>
      <c r="AJ355" s="311">
        <f t="shared" si="44"/>
        <v>591426.42892293097</v>
      </c>
      <c r="AK355" s="311">
        <f t="shared" si="44"/>
        <v>518731.36650646868</v>
      </c>
      <c r="AL355" s="311">
        <f t="shared" si="44"/>
        <v>458891.93889586627</v>
      </c>
      <c r="AM355" s="311">
        <f t="shared" si="44"/>
        <v>3658317.814586482</v>
      </c>
      <c r="AN355" s="311">
        <f t="shared" si="44"/>
        <v>115881.3222608465</v>
      </c>
      <c r="AO355" s="311"/>
      <c r="AP355" s="311"/>
      <c r="AQ355" s="311"/>
      <c r="AR355" s="311"/>
      <c r="AS355" s="311"/>
      <c r="AT355" s="311"/>
      <c r="AU355" s="311"/>
      <c r="AV355" s="311"/>
      <c r="AW355" s="311"/>
      <c r="AX355" s="311"/>
      <c r="AY355" s="311"/>
      <c r="AZ355" s="311"/>
      <c r="BA355" s="311"/>
      <c r="BB355" s="311"/>
      <c r="BC355" s="311"/>
      <c r="BD355" s="311"/>
      <c r="BE355" s="311"/>
      <c r="BF355" s="311"/>
      <c r="BG355" s="311"/>
      <c r="BH355" s="311"/>
      <c r="BI355" s="311"/>
      <c r="BJ355" s="311"/>
      <c r="BK355" s="311"/>
    </row>
    <row r="356" spans="1:63" s="80" customFormat="1" ht="12.75">
      <c r="A356" s="167"/>
      <c r="B356" s="210" t="str">
        <f>Servicio_internaColumna_título_amortizaciones</f>
        <v>Amortizaciones</v>
      </c>
      <c r="C356" s="269">
        <v>0</v>
      </c>
      <c r="D356" s="235"/>
      <c r="E356" s="235"/>
      <c r="F356" s="235"/>
      <c r="G356" s="235"/>
      <c r="H356" s="235"/>
      <c r="I356" s="235"/>
      <c r="J356" s="235"/>
      <c r="K356" s="235"/>
      <c r="L356" s="235">
        <v>630835.86012619198</v>
      </c>
      <c r="M356" s="235">
        <v>2117808.4537963853</v>
      </c>
      <c r="N356" s="235">
        <v>3543797.7219642838</v>
      </c>
      <c r="O356" s="235">
        <v>3170756.8382504606</v>
      </c>
      <c r="P356" s="235">
        <v>4101898.0924098687</v>
      </c>
      <c r="Q356" s="235">
        <v>5379693.8832472423</v>
      </c>
      <c r="R356" s="235">
        <v>2235382.5713305976</v>
      </c>
      <c r="S356" s="273">
        <v>4756975.3820538595</v>
      </c>
      <c r="T356" s="235">
        <v>1630080.9241392175</v>
      </c>
      <c r="U356" s="235">
        <v>6192930.1704711597</v>
      </c>
      <c r="V356" s="235">
        <v>2793709.7231584382</v>
      </c>
      <c r="W356" s="235">
        <v>3704157.1633307762</v>
      </c>
      <c r="X356" s="235">
        <v>1123376.7730194272</v>
      </c>
      <c r="Y356" s="235">
        <v>1088508.2470422091</v>
      </c>
      <c r="Z356" s="235">
        <v>2759502.0813864479</v>
      </c>
      <c r="AA356" s="235">
        <v>854308.03984133084</v>
      </c>
      <c r="AB356" s="235">
        <v>804160.0683066959</v>
      </c>
      <c r="AC356" s="235">
        <v>2874240.1046605948</v>
      </c>
      <c r="AD356" s="235">
        <v>704790.90651014098</v>
      </c>
      <c r="AE356" s="235">
        <v>582985.44467359199</v>
      </c>
      <c r="AF356" s="235">
        <v>479240.95572828001</v>
      </c>
      <c r="AG356" s="235">
        <v>443465.39290522196</v>
      </c>
      <c r="AH356" s="235">
        <v>420012.38905587303</v>
      </c>
      <c r="AI356" s="235">
        <v>888736.23546764709</v>
      </c>
      <c r="AJ356" s="235">
        <v>221362.96805083804</v>
      </c>
      <c r="AK356" s="235">
        <v>157621.79686200604</v>
      </c>
      <c r="AL356" s="235">
        <v>104233.60912044899</v>
      </c>
      <c r="AM356" s="235">
        <v>3379340.6721132095</v>
      </c>
      <c r="AN356" s="235">
        <v>5698.1134102920005</v>
      </c>
      <c r="AO356" s="235"/>
      <c r="AP356" s="235"/>
      <c r="AQ356" s="235"/>
      <c r="AR356" s="235"/>
      <c r="AS356" s="235"/>
      <c r="AT356" s="235"/>
      <c r="AU356" s="235"/>
      <c r="AV356" s="235"/>
      <c r="AW356" s="235"/>
      <c r="AX356" s="235"/>
      <c r="AY356" s="235"/>
      <c r="AZ356" s="235"/>
      <c r="BA356" s="235"/>
      <c r="BB356" s="235"/>
      <c r="BC356" s="235"/>
      <c r="BD356" s="235"/>
      <c r="BE356" s="235"/>
      <c r="BF356" s="235"/>
      <c r="BG356" s="235"/>
      <c r="BH356" s="235"/>
      <c r="BI356" s="235"/>
      <c r="BJ356" s="235"/>
      <c r="BK356" s="235"/>
    </row>
    <row r="357" spans="1:63" s="133" customFormat="1" ht="12.75">
      <c r="A357" s="168">
        <v>40452</v>
      </c>
      <c r="B357" s="213" t="str">
        <f>Servicio_internaColumna_título_intereses</f>
        <v>Intereses</v>
      </c>
      <c r="C357" s="270">
        <v>0</v>
      </c>
      <c r="D357" s="271"/>
      <c r="E357" s="271"/>
      <c r="F357" s="271"/>
      <c r="G357" s="271"/>
      <c r="H357" s="271"/>
      <c r="I357" s="271"/>
      <c r="J357" s="271"/>
      <c r="K357" s="271"/>
      <c r="L357" s="271">
        <v>475322.45906162995</v>
      </c>
      <c r="M357" s="271">
        <v>3969975.0183206387</v>
      </c>
      <c r="N357" s="271">
        <v>3827726.904357376</v>
      </c>
      <c r="O357" s="271">
        <v>3606298.0139774675</v>
      </c>
      <c r="P357" s="271">
        <v>3422894.9277078495</v>
      </c>
      <c r="Q357" s="271">
        <v>3150053.0761080822</v>
      </c>
      <c r="R357" s="271">
        <v>2677200.1231540679</v>
      </c>
      <c r="S357" s="274">
        <v>2447708.996914167</v>
      </c>
      <c r="T357" s="271">
        <v>2245482.7995825154</v>
      </c>
      <c r="U357" s="272">
        <v>2022757.7252640149</v>
      </c>
      <c r="V357" s="272">
        <v>1694541.2216229748</v>
      </c>
      <c r="W357" s="272">
        <v>1533141.5505105811</v>
      </c>
      <c r="X357" s="272">
        <v>1269861.4217533201</v>
      </c>
      <c r="Y357" s="272">
        <v>1205755.1039920892</v>
      </c>
      <c r="Z357" s="272">
        <v>1074045.63653397</v>
      </c>
      <c r="AA357" s="272">
        <v>946054.45301301905</v>
      </c>
      <c r="AB357" s="272">
        <v>897240.49503050686</v>
      </c>
      <c r="AC357" s="272">
        <v>841210.5960904141</v>
      </c>
      <c r="AD357" s="236">
        <v>601281.14085703506</v>
      </c>
      <c r="AE357" s="236">
        <v>565245.98413270805</v>
      </c>
      <c r="AF357" s="236">
        <v>533252.56990532402</v>
      </c>
      <c r="AG357" s="236">
        <v>506864.25691791606</v>
      </c>
      <c r="AH357" s="236">
        <v>482795.53430536209</v>
      </c>
      <c r="AI357" s="236">
        <v>429227.76273792598</v>
      </c>
      <c r="AJ357" s="236">
        <v>384386.75493687304</v>
      </c>
      <c r="AK357" s="236">
        <v>373352.01119020203</v>
      </c>
      <c r="AL357" s="236">
        <v>365314.35127928702</v>
      </c>
      <c r="AM357" s="236">
        <v>360317.77617344103</v>
      </c>
      <c r="AN357" s="236">
        <v>112759.150549023</v>
      </c>
      <c r="AO357" s="236"/>
      <c r="AP357" s="236"/>
      <c r="AQ357" s="236"/>
      <c r="AR357" s="236"/>
      <c r="AS357" s="236"/>
      <c r="AT357" s="236"/>
      <c r="AU357" s="236"/>
      <c r="AV357" s="236"/>
      <c r="AW357" s="236"/>
      <c r="AX357" s="236"/>
      <c r="AY357" s="236"/>
      <c r="AZ357" s="236"/>
      <c r="BA357" s="236"/>
      <c r="BB357" s="236"/>
      <c r="BC357" s="236"/>
      <c r="BD357" s="236"/>
      <c r="BE357" s="236"/>
      <c r="BF357" s="236"/>
      <c r="BG357" s="236"/>
      <c r="BH357" s="236"/>
      <c r="BI357" s="236"/>
      <c r="BJ357" s="236"/>
      <c r="BK357" s="236"/>
    </row>
    <row r="358" spans="1:63" s="133" customFormat="1" ht="12.75">
      <c r="A358" s="169"/>
      <c r="B358" s="307" t="str">
        <f>Servicio_internaColumna_título_total</f>
        <v>Total</v>
      </c>
      <c r="C358" s="310">
        <v>0</v>
      </c>
      <c r="D358" s="311"/>
      <c r="E358" s="311"/>
      <c r="F358" s="311"/>
      <c r="G358" s="311"/>
      <c r="H358" s="311"/>
      <c r="I358" s="311"/>
      <c r="J358" s="311"/>
      <c r="K358" s="311"/>
      <c r="L358" s="311">
        <v>1106158.3191878218</v>
      </c>
      <c r="M358" s="311">
        <v>6087783.4721170235</v>
      </c>
      <c r="N358" s="311">
        <v>7371524.6263216604</v>
      </c>
      <c r="O358" s="311">
        <v>6777054.8522279281</v>
      </c>
      <c r="P358" s="311">
        <v>7524793.0201177187</v>
      </c>
      <c r="Q358" s="311">
        <v>8529746.9593553245</v>
      </c>
      <c r="R358" s="311">
        <v>4912582.694484666</v>
      </c>
      <c r="S358" s="312">
        <v>7204684.3789680265</v>
      </c>
      <c r="T358" s="311">
        <v>3875563.7237217329</v>
      </c>
      <c r="U358" s="311">
        <v>8215687.8957351744</v>
      </c>
      <c r="V358" s="311">
        <v>4488250.9447814133</v>
      </c>
      <c r="W358" s="311">
        <v>5237298.7138413573</v>
      </c>
      <c r="X358" s="311">
        <v>2393238.1947727473</v>
      </c>
      <c r="Y358" s="311">
        <v>2294263.3510342985</v>
      </c>
      <c r="Z358" s="311">
        <v>3833547.7179204179</v>
      </c>
      <c r="AA358" s="311">
        <v>1800362.4928543498</v>
      </c>
      <c r="AB358" s="311">
        <v>1701400.5633372026</v>
      </c>
      <c r="AC358" s="311">
        <v>3715450.7007510089</v>
      </c>
      <c r="AD358" s="311">
        <v>1306072.047367176</v>
      </c>
      <c r="AE358" s="311">
        <v>1148231.4288063</v>
      </c>
      <c r="AF358" s="311">
        <v>1012493.525633604</v>
      </c>
      <c r="AG358" s="311">
        <v>950329.64982313802</v>
      </c>
      <c r="AH358" s="311">
        <v>902807.92336123507</v>
      </c>
      <c r="AI358" s="311">
        <v>1317963.9982055731</v>
      </c>
      <c r="AJ358" s="311">
        <v>605749.72298771108</v>
      </c>
      <c r="AK358" s="311">
        <v>530973.80805220804</v>
      </c>
      <c r="AL358" s="311">
        <v>469547.96039973601</v>
      </c>
      <c r="AM358" s="311">
        <v>3739658.4482866507</v>
      </c>
      <c r="AN358" s="311">
        <v>118457.26395931501</v>
      </c>
      <c r="AO358" s="311"/>
      <c r="AP358" s="311"/>
      <c r="AQ358" s="311"/>
      <c r="AR358" s="311"/>
      <c r="AS358" s="311"/>
      <c r="AT358" s="311"/>
      <c r="AU358" s="311"/>
      <c r="AV358" s="311"/>
      <c r="AW358" s="311"/>
      <c r="AX358" s="311"/>
      <c r="AY358" s="311"/>
      <c r="AZ358" s="311"/>
      <c r="BA358" s="311"/>
      <c r="BB358" s="311"/>
      <c r="BC358" s="311"/>
      <c r="BD358" s="311"/>
      <c r="BE358" s="311"/>
      <c r="BF358" s="311"/>
      <c r="BG358" s="311"/>
      <c r="BH358" s="311"/>
      <c r="BI358" s="311"/>
      <c r="BJ358" s="311"/>
      <c r="BK358" s="311"/>
    </row>
    <row r="359" spans="1:63" s="80" customFormat="1" ht="12.75">
      <c r="A359" s="167"/>
      <c r="B359" s="210" t="str">
        <f>Servicio_internaColumna_título_amortizaciones</f>
        <v>Amortizaciones</v>
      </c>
      <c r="C359" s="269">
        <v>0</v>
      </c>
      <c r="D359" s="235"/>
      <c r="E359" s="235"/>
      <c r="F359" s="235"/>
      <c r="G359" s="235"/>
      <c r="H359" s="235"/>
      <c r="I359" s="235"/>
      <c r="J359" s="235"/>
      <c r="K359" s="235"/>
      <c r="L359" s="235">
        <v>127136.9535592032</v>
      </c>
      <c r="M359" s="235">
        <v>2182649.8653498483</v>
      </c>
      <c r="N359" s="235">
        <v>3693882.7164190286</v>
      </c>
      <c r="O359" s="235">
        <v>3276133.4802110312</v>
      </c>
      <c r="P359" s="235">
        <v>4181874.4833165882</v>
      </c>
      <c r="Q359" s="235">
        <v>5137101.7085459651</v>
      </c>
      <c r="R359" s="235">
        <v>2276250.7883136519</v>
      </c>
      <c r="S359" s="273">
        <v>4925704.3397013322</v>
      </c>
      <c r="T359" s="235">
        <v>1673012.3524406124</v>
      </c>
      <c r="U359" s="235">
        <v>6625049.5051697297</v>
      </c>
      <c r="V359" s="235">
        <v>2895968.7749985391</v>
      </c>
      <c r="W359" s="235">
        <v>3442992.2059365101</v>
      </c>
      <c r="X359" s="235">
        <v>1164214.8971420431</v>
      </c>
      <c r="Y359" s="235">
        <v>1127923.2902790334</v>
      </c>
      <c r="Z359" s="235">
        <v>2874685.3362096353</v>
      </c>
      <c r="AA359" s="235">
        <v>895128.60667185427</v>
      </c>
      <c r="AB359" s="235">
        <v>837810.43224139034</v>
      </c>
      <c r="AC359" s="235">
        <v>2679177.2958734958</v>
      </c>
      <c r="AD359" s="235">
        <v>734296.46066396311</v>
      </c>
      <c r="AE359" s="235">
        <v>607389.45586903358</v>
      </c>
      <c r="AF359" s="235">
        <v>499309.76663271833</v>
      </c>
      <c r="AG359" s="235">
        <v>462045.72702299198</v>
      </c>
      <c r="AH359" s="235">
        <v>437610.48128023359</v>
      </c>
      <c r="AI359" s="235">
        <v>925965.78643393761</v>
      </c>
      <c r="AJ359" s="235">
        <v>230641.11754753921</v>
      </c>
      <c r="AK359" s="235">
        <v>164230.2933059264</v>
      </c>
      <c r="AL359" s="235">
        <v>108606.84924903839</v>
      </c>
      <c r="AM359" s="235">
        <v>3520885.0645830454</v>
      </c>
      <c r="AN359" s="235">
        <v>5936.7658475968001</v>
      </c>
      <c r="AO359" s="235"/>
      <c r="AP359" s="235"/>
      <c r="AQ359" s="235"/>
      <c r="AR359" s="235"/>
      <c r="AS359" s="235"/>
      <c r="AT359" s="235"/>
      <c r="AU359" s="235"/>
      <c r="AV359" s="235"/>
      <c r="AW359" s="235"/>
      <c r="AX359" s="235"/>
      <c r="AY359" s="235"/>
      <c r="AZ359" s="235"/>
      <c r="BA359" s="235"/>
      <c r="BB359" s="235"/>
      <c r="BC359" s="235"/>
      <c r="BD359" s="235"/>
      <c r="BE359" s="235"/>
      <c r="BF359" s="235"/>
      <c r="BG359" s="235"/>
      <c r="BH359" s="235"/>
      <c r="BI359" s="235"/>
      <c r="BJ359" s="235"/>
      <c r="BK359" s="235"/>
    </row>
    <row r="360" spans="1:63" s="133" customFormat="1" ht="12.75">
      <c r="A360" s="168">
        <v>40483</v>
      </c>
      <c r="B360" s="213" t="str">
        <f>Servicio_internaColumna_título_intereses</f>
        <v>Intereses</v>
      </c>
      <c r="C360" s="270">
        <v>0</v>
      </c>
      <c r="D360" s="271"/>
      <c r="E360" s="271"/>
      <c r="F360" s="271"/>
      <c r="G360" s="271"/>
      <c r="H360" s="271"/>
      <c r="I360" s="271"/>
      <c r="J360" s="271"/>
      <c r="K360" s="271"/>
      <c r="L360" s="271">
        <v>155584.3538529232</v>
      </c>
      <c r="M360" s="271">
        <v>4092576.7939121709</v>
      </c>
      <c r="N360" s="271">
        <v>3900111.5512001058</v>
      </c>
      <c r="O360" s="271">
        <v>3641139.8466136171</v>
      </c>
      <c r="P360" s="271">
        <v>3407998.1435588361</v>
      </c>
      <c r="Q360" s="271">
        <v>3137625.6759269075</v>
      </c>
      <c r="R360" s="271">
        <v>2705479.4225314828</v>
      </c>
      <c r="S360" s="274">
        <v>2475184.5027074735</v>
      </c>
      <c r="T360" s="271">
        <v>2269638.2343910909</v>
      </c>
      <c r="U360" s="272">
        <v>2040869.8232852027</v>
      </c>
      <c r="V360" s="272">
        <v>1699180.7844423025</v>
      </c>
      <c r="W360" s="272">
        <v>1531566.474210571</v>
      </c>
      <c r="X360" s="272">
        <v>1290234.6631291376</v>
      </c>
      <c r="Y360" s="272">
        <v>1223351.3910601968</v>
      </c>
      <c r="Z360" s="272">
        <v>1086710.8338114913</v>
      </c>
      <c r="AA360" s="272">
        <v>953440.48765768798</v>
      </c>
      <c r="AB360" s="272">
        <v>902128.44649609434</v>
      </c>
      <c r="AC360" s="272">
        <v>844218.89458301279</v>
      </c>
      <c r="AD360" s="236">
        <v>625484.62955942238</v>
      </c>
      <c r="AE360" s="236">
        <v>587737.12888045434</v>
      </c>
      <c r="AF360" s="236">
        <v>554776.66642602719</v>
      </c>
      <c r="AG360" s="236">
        <v>527661.9495296001</v>
      </c>
      <c r="AH360" s="236">
        <v>502808.53780655836</v>
      </c>
      <c r="AI360" s="236">
        <v>447141.04890992644</v>
      </c>
      <c r="AJ360" s="236">
        <v>400527.86611958721</v>
      </c>
      <c r="AK360" s="236">
        <v>389008.32464783202</v>
      </c>
      <c r="AL360" s="236">
        <v>380614.99984493759</v>
      </c>
      <c r="AM360" s="236">
        <v>375408.94590925443</v>
      </c>
      <c r="AN360" s="236">
        <v>117481.8094659792</v>
      </c>
      <c r="AO360" s="236"/>
      <c r="AP360" s="236"/>
      <c r="AQ360" s="236"/>
      <c r="AR360" s="236"/>
      <c r="AS360" s="236"/>
      <c r="AT360" s="236"/>
      <c r="AU360" s="236"/>
      <c r="AV360" s="236"/>
      <c r="AW360" s="236"/>
      <c r="AX360" s="236"/>
      <c r="AY360" s="236"/>
      <c r="AZ360" s="236"/>
      <c r="BA360" s="236"/>
      <c r="BB360" s="236"/>
      <c r="BC360" s="236"/>
      <c r="BD360" s="236"/>
      <c r="BE360" s="236"/>
      <c r="BF360" s="236"/>
      <c r="BG360" s="236"/>
      <c r="BH360" s="236"/>
      <c r="BI360" s="236"/>
      <c r="BJ360" s="236"/>
      <c r="BK360" s="236"/>
    </row>
    <row r="361" spans="1:63" s="133" customFormat="1" ht="12.75">
      <c r="A361" s="169"/>
      <c r="B361" s="307" t="str">
        <f>Servicio_internaColumna_título_total</f>
        <v>Total</v>
      </c>
      <c r="C361" s="310">
        <v>0</v>
      </c>
      <c r="D361" s="311"/>
      <c r="E361" s="311"/>
      <c r="F361" s="311"/>
      <c r="G361" s="311"/>
      <c r="H361" s="311"/>
      <c r="I361" s="311"/>
      <c r="J361" s="311"/>
      <c r="K361" s="311"/>
      <c r="L361" s="311">
        <f>+L359+L360</f>
        <v>282721.30741212639</v>
      </c>
      <c r="M361" s="311">
        <f t="shared" ref="M361:AN361" si="45">+M359+M360</f>
        <v>6275226.6592620192</v>
      </c>
      <c r="N361" s="311">
        <f t="shared" si="45"/>
        <v>7593994.2676191349</v>
      </c>
      <c r="O361" s="311">
        <f t="shared" si="45"/>
        <v>6917273.3268246483</v>
      </c>
      <c r="P361" s="311">
        <f t="shared" si="45"/>
        <v>7589872.6268754248</v>
      </c>
      <c r="Q361" s="311">
        <f t="shared" si="45"/>
        <v>8274727.3844728731</v>
      </c>
      <c r="R361" s="311">
        <f t="shared" si="45"/>
        <v>4981730.2108451352</v>
      </c>
      <c r="S361" s="312">
        <f t="shared" si="45"/>
        <v>7400888.8424088061</v>
      </c>
      <c r="T361" s="311">
        <f t="shared" si="45"/>
        <v>3942650.5868317033</v>
      </c>
      <c r="U361" s="311">
        <f t="shared" si="45"/>
        <v>8665919.3284549322</v>
      </c>
      <c r="V361" s="311">
        <f t="shared" si="45"/>
        <v>4595149.5594408419</v>
      </c>
      <c r="W361" s="311">
        <f t="shared" si="45"/>
        <v>4974558.6801470816</v>
      </c>
      <c r="X361" s="311">
        <f t="shared" si="45"/>
        <v>2454449.5602711807</v>
      </c>
      <c r="Y361" s="311">
        <f t="shared" si="45"/>
        <v>2351274.6813392304</v>
      </c>
      <c r="Z361" s="311">
        <f t="shared" si="45"/>
        <v>3961396.1700211265</v>
      </c>
      <c r="AA361" s="311">
        <f t="shared" si="45"/>
        <v>1848569.0943295422</v>
      </c>
      <c r="AB361" s="311">
        <f t="shared" si="45"/>
        <v>1739938.8787374846</v>
      </c>
      <c r="AC361" s="311">
        <f t="shared" si="45"/>
        <v>3523396.1904565087</v>
      </c>
      <c r="AD361" s="311">
        <f t="shared" si="45"/>
        <v>1359781.0902233855</v>
      </c>
      <c r="AE361" s="311">
        <f t="shared" si="45"/>
        <v>1195126.5847494879</v>
      </c>
      <c r="AF361" s="311">
        <f t="shared" si="45"/>
        <v>1054086.4330587455</v>
      </c>
      <c r="AG361" s="311">
        <f t="shared" si="45"/>
        <v>989707.67655259208</v>
      </c>
      <c r="AH361" s="311">
        <f t="shared" si="45"/>
        <v>940419.0190867919</v>
      </c>
      <c r="AI361" s="311">
        <f t="shared" si="45"/>
        <v>1373106.835343864</v>
      </c>
      <c r="AJ361" s="311">
        <f t="shared" si="45"/>
        <v>631168.98366712639</v>
      </c>
      <c r="AK361" s="311">
        <f t="shared" si="45"/>
        <v>553238.61795375845</v>
      </c>
      <c r="AL361" s="311">
        <f t="shared" si="45"/>
        <v>489221.84909397596</v>
      </c>
      <c r="AM361" s="311">
        <f t="shared" si="45"/>
        <v>3896294.0104922997</v>
      </c>
      <c r="AN361" s="311">
        <f t="shared" si="45"/>
        <v>123418.575313576</v>
      </c>
      <c r="AO361" s="311"/>
      <c r="AP361" s="311"/>
      <c r="AQ361" s="311"/>
      <c r="AR361" s="311"/>
      <c r="AS361" s="311"/>
      <c r="AT361" s="311"/>
      <c r="AU361" s="311"/>
      <c r="AV361" s="311"/>
      <c r="AW361" s="311"/>
      <c r="AX361" s="311"/>
      <c r="AY361" s="311"/>
      <c r="AZ361" s="311"/>
      <c r="BA361" s="311"/>
      <c r="BB361" s="311"/>
      <c r="BC361" s="311"/>
      <c r="BD361" s="311"/>
      <c r="BE361" s="311"/>
      <c r="BF361" s="311"/>
      <c r="BG361" s="311"/>
      <c r="BH361" s="311"/>
      <c r="BI361" s="311"/>
      <c r="BJ361" s="311"/>
      <c r="BK361" s="311"/>
    </row>
    <row r="362" spans="1:63" s="80" customFormat="1" ht="12.75">
      <c r="A362" s="167"/>
      <c r="B362" s="210" t="str">
        <f>Servicio_internaColumna_título_amortizaciones</f>
        <v>Amortizaciones</v>
      </c>
      <c r="C362" s="269">
        <v>0</v>
      </c>
      <c r="D362" s="235"/>
      <c r="E362" s="235"/>
      <c r="F362" s="235"/>
      <c r="G362" s="235"/>
      <c r="H362" s="235"/>
      <c r="I362" s="235"/>
      <c r="J362" s="235"/>
      <c r="K362" s="235"/>
      <c r="L362" s="235"/>
      <c r="M362" s="235">
        <v>2148716.8128645294</v>
      </c>
      <c r="N362" s="235">
        <v>3683569.5221874486</v>
      </c>
      <c r="O362" s="235">
        <v>3264492.3736276496</v>
      </c>
      <c r="P362" s="235">
        <v>4176411.7662414652</v>
      </c>
      <c r="Q362" s="235">
        <v>5094489.8223709995</v>
      </c>
      <c r="R362" s="235">
        <v>2318303.6438765726</v>
      </c>
      <c r="S362" s="273">
        <v>4967210.1110864505</v>
      </c>
      <c r="T362" s="235">
        <v>1720083.7158600052</v>
      </c>
      <c r="U362" s="235">
        <v>6661301.2898007529</v>
      </c>
      <c r="V362" s="235">
        <v>2931386.8419704391</v>
      </c>
      <c r="W362" s="235">
        <v>3396784.7298968751</v>
      </c>
      <c r="X362" s="235">
        <v>1170396.2593941544</v>
      </c>
      <c r="Y362" s="235">
        <v>1134185.3285975405</v>
      </c>
      <c r="Z362" s="235">
        <v>2878917.1248795749</v>
      </c>
      <c r="AA362" s="235">
        <v>891952.15706818586</v>
      </c>
      <c r="AB362" s="235">
        <v>845208.63383611909</v>
      </c>
      <c r="AC362" s="235">
        <v>2646373.300784383</v>
      </c>
      <c r="AD362" s="235">
        <v>741922.54731326841</v>
      </c>
      <c r="AE362" s="235">
        <v>602197.76112949871</v>
      </c>
      <c r="AF362" s="235">
        <v>485354.17973636166</v>
      </c>
      <c r="AG362" s="235">
        <v>439216.16226010479</v>
      </c>
      <c r="AH362" s="235">
        <v>414817.76747682283</v>
      </c>
      <c r="AI362" s="235">
        <v>913455.99377055012</v>
      </c>
      <c r="AJ362" s="235">
        <v>230254.43043089079</v>
      </c>
      <c r="AK362" s="235">
        <v>163946.8447838444</v>
      </c>
      <c r="AL362" s="235">
        <v>108411.20805427199</v>
      </c>
      <c r="AM362" s="235">
        <v>3515386.2106805863</v>
      </c>
      <c r="AN362" s="235">
        <v>5927.5368797383999</v>
      </c>
      <c r="AO362" s="235"/>
      <c r="AP362" s="235"/>
      <c r="AQ362" s="235"/>
      <c r="AR362" s="235"/>
      <c r="AS362" s="235"/>
      <c r="AT362" s="235"/>
      <c r="AU362" s="235"/>
      <c r="AV362" s="235"/>
      <c r="AW362" s="235"/>
      <c r="AX362" s="235"/>
      <c r="AY362" s="235"/>
      <c r="AZ362" s="235"/>
      <c r="BA362" s="235"/>
      <c r="BB362" s="235"/>
      <c r="BC362" s="235"/>
      <c r="BD362" s="235"/>
      <c r="BE362" s="235"/>
      <c r="BF362" s="235"/>
      <c r="BG362" s="235"/>
      <c r="BH362" s="235"/>
      <c r="BI362" s="235"/>
      <c r="BJ362" s="235"/>
      <c r="BK362" s="235"/>
    </row>
    <row r="363" spans="1:63" s="133" customFormat="1" ht="12.75">
      <c r="A363" s="168">
        <v>40513</v>
      </c>
      <c r="B363" s="213" t="str">
        <f>Servicio_internaColumna_título_intereses</f>
        <v>Intereses</v>
      </c>
      <c r="C363" s="270">
        <v>0</v>
      </c>
      <c r="D363" s="271"/>
      <c r="E363" s="271"/>
      <c r="F363" s="271"/>
      <c r="G363" s="271"/>
      <c r="H363" s="271"/>
      <c r="I363" s="271"/>
      <c r="J363" s="271"/>
      <c r="K363" s="271"/>
      <c r="L363" s="271"/>
      <c r="M363" s="271">
        <v>4081517.3317549159</v>
      </c>
      <c r="N363" s="271">
        <v>3880594.2002447504</v>
      </c>
      <c r="O363" s="271">
        <v>3627166.1276745107</v>
      </c>
      <c r="P363" s="271">
        <v>3401935.698866907</v>
      </c>
      <c r="Q363" s="271">
        <v>3135381.5504805362</v>
      </c>
      <c r="R363" s="271">
        <v>2710366.2574193231</v>
      </c>
      <c r="S363" s="274">
        <v>2477413.2109065722</v>
      </c>
      <c r="T363" s="271">
        <v>2268636.1257617255</v>
      </c>
      <c r="U363" s="272">
        <v>2036821.9225560911</v>
      </c>
      <c r="V363" s="272">
        <v>1689742.5282452006</v>
      </c>
      <c r="W363" s="272">
        <v>1521364.4879920634</v>
      </c>
      <c r="X363" s="272">
        <v>1283280.6556580593</v>
      </c>
      <c r="Y363" s="272">
        <v>1215563.8197051953</v>
      </c>
      <c r="Z363" s="272">
        <v>1078662.8181342059</v>
      </c>
      <c r="AA363" s="272">
        <v>945747.68420053157</v>
      </c>
      <c r="AB363" s="272">
        <v>893847.27150324034</v>
      </c>
      <c r="AC363" s="272">
        <v>835498.70068576571</v>
      </c>
      <c r="AD363" s="236">
        <v>620011.74850414495</v>
      </c>
      <c r="AE363" s="236">
        <v>582360.478088659</v>
      </c>
      <c r="AF363" s="236">
        <v>549835.98257707758</v>
      </c>
      <c r="AG363" s="236">
        <v>523736.20484487747</v>
      </c>
      <c r="AH363" s="236">
        <v>500278.16481926438</v>
      </c>
      <c r="AI363" s="236">
        <v>446087.67503283318</v>
      </c>
      <c r="AJ363" s="236">
        <v>399806.95578218863</v>
      </c>
      <c r="AK363" s="236">
        <v>388357.34921151079</v>
      </c>
      <c r="AL363" s="236">
        <v>380022.41791509185</v>
      </c>
      <c r="AM363" s="236">
        <v>374825.10111548979</v>
      </c>
      <c r="AN363" s="236">
        <v>117299.1787422246</v>
      </c>
      <c r="AO363" s="236"/>
      <c r="AP363" s="236"/>
      <c r="AQ363" s="236"/>
      <c r="AR363" s="236"/>
      <c r="AS363" s="236"/>
      <c r="AT363" s="236"/>
      <c r="AU363" s="236"/>
      <c r="AV363" s="236"/>
      <c r="AW363" s="236"/>
      <c r="AX363" s="236"/>
      <c r="AY363" s="236"/>
      <c r="AZ363" s="236"/>
      <c r="BA363" s="236"/>
      <c r="BB363" s="236"/>
      <c r="BC363" s="236"/>
      <c r="BD363" s="236"/>
      <c r="BE363" s="236"/>
      <c r="BF363" s="236"/>
      <c r="BG363" s="236"/>
      <c r="BH363" s="236"/>
      <c r="BI363" s="236"/>
      <c r="BJ363" s="236"/>
      <c r="BK363" s="236"/>
    </row>
    <row r="364" spans="1:63" s="133" customFormat="1" ht="12.75">
      <c r="A364" s="169"/>
      <c r="B364" s="307" t="str">
        <f>Servicio_internaColumna_título_total</f>
        <v>Total</v>
      </c>
      <c r="C364" s="310">
        <f>+C363+C362</f>
        <v>0</v>
      </c>
      <c r="D364" s="311">
        <f t="shared" ref="D364:AN364" si="46">+D363+D362</f>
        <v>0</v>
      </c>
      <c r="E364" s="311">
        <f t="shared" si="46"/>
        <v>0</v>
      </c>
      <c r="F364" s="311">
        <f t="shared" si="46"/>
        <v>0</v>
      </c>
      <c r="G364" s="311">
        <f t="shared" si="46"/>
        <v>0</v>
      </c>
      <c r="H364" s="311">
        <f t="shared" si="46"/>
        <v>0</v>
      </c>
      <c r="I364" s="311">
        <f t="shared" si="46"/>
        <v>0</v>
      </c>
      <c r="J364" s="311">
        <f t="shared" si="46"/>
        <v>0</v>
      </c>
      <c r="K364" s="311">
        <f t="shared" si="46"/>
        <v>0</v>
      </c>
      <c r="L364" s="311">
        <f t="shared" si="46"/>
        <v>0</v>
      </c>
      <c r="M364" s="311">
        <f t="shared" si="46"/>
        <v>6230234.1446194453</v>
      </c>
      <c r="N364" s="311">
        <f t="shared" si="46"/>
        <v>7564163.7224321989</v>
      </c>
      <c r="O364" s="311">
        <f t="shared" si="46"/>
        <v>6891658.5013021603</v>
      </c>
      <c r="P364" s="311">
        <f t="shared" si="46"/>
        <v>7578347.4651083723</v>
      </c>
      <c r="Q364" s="311">
        <f t="shared" si="46"/>
        <v>8229871.3728515357</v>
      </c>
      <c r="R364" s="311">
        <f t="shared" si="46"/>
        <v>5028669.9012958957</v>
      </c>
      <c r="S364" s="312">
        <f t="shared" si="46"/>
        <v>7444623.3219930232</v>
      </c>
      <c r="T364" s="311">
        <f t="shared" si="46"/>
        <v>3988719.8416217305</v>
      </c>
      <c r="U364" s="311">
        <f t="shared" si="46"/>
        <v>8698123.2123568431</v>
      </c>
      <c r="V364" s="311">
        <f t="shared" si="46"/>
        <v>4621129.3702156395</v>
      </c>
      <c r="W364" s="311">
        <f t="shared" si="46"/>
        <v>4918149.2178889383</v>
      </c>
      <c r="X364" s="311">
        <f t="shared" si="46"/>
        <v>2453676.9150522137</v>
      </c>
      <c r="Y364" s="311">
        <f t="shared" si="46"/>
        <v>2349749.1483027358</v>
      </c>
      <c r="Z364" s="311">
        <f t="shared" si="46"/>
        <v>3957579.9430137808</v>
      </c>
      <c r="AA364" s="311">
        <f t="shared" si="46"/>
        <v>1837699.8412687173</v>
      </c>
      <c r="AB364" s="311">
        <f t="shared" si="46"/>
        <v>1739055.9053393593</v>
      </c>
      <c r="AC364" s="311">
        <f t="shared" si="46"/>
        <v>3481872.0014701486</v>
      </c>
      <c r="AD364" s="311">
        <f t="shared" si="46"/>
        <v>1361934.2958174134</v>
      </c>
      <c r="AE364" s="311">
        <f t="shared" si="46"/>
        <v>1184558.2392181577</v>
      </c>
      <c r="AF364" s="311">
        <f t="shared" si="46"/>
        <v>1035190.1623134392</v>
      </c>
      <c r="AG364" s="311">
        <f t="shared" si="46"/>
        <v>962952.36710498226</v>
      </c>
      <c r="AH364" s="311">
        <f t="shared" si="46"/>
        <v>915095.93229608727</v>
      </c>
      <c r="AI364" s="311">
        <f t="shared" si="46"/>
        <v>1359543.6688033834</v>
      </c>
      <c r="AJ364" s="311">
        <f t="shared" si="46"/>
        <v>630061.38621307944</v>
      </c>
      <c r="AK364" s="311">
        <f t="shared" si="46"/>
        <v>552304.19399535516</v>
      </c>
      <c r="AL364" s="311">
        <f t="shared" si="46"/>
        <v>488433.62596936384</v>
      </c>
      <c r="AM364" s="311">
        <f t="shared" si="46"/>
        <v>3890211.3117960761</v>
      </c>
      <c r="AN364" s="311">
        <f t="shared" si="46"/>
        <v>123226.715621963</v>
      </c>
      <c r="AO364" s="311"/>
      <c r="AP364" s="311"/>
      <c r="AQ364" s="311"/>
      <c r="AR364" s="311"/>
      <c r="AS364" s="311"/>
      <c r="AT364" s="311"/>
      <c r="AU364" s="311"/>
      <c r="AV364" s="311"/>
      <c r="AW364" s="311"/>
      <c r="AX364" s="311"/>
      <c r="AY364" s="311"/>
      <c r="AZ364" s="311"/>
      <c r="BA364" s="311"/>
      <c r="BB364" s="311"/>
      <c r="BC364" s="311"/>
      <c r="BD364" s="311"/>
      <c r="BE364" s="311"/>
      <c r="BF364" s="311"/>
      <c r="BG364" s="311"/>
      <c r="BH364" s="311"/>
      <c r="BI364" s="311"/>
      <c r="BJ364" s="311"/>
      <c r="BK364" s="311"/>
    </row>
    <row r="365" spans="1:63" s="80" customFormat="1" ht="12.75">
      <c r="A365" s="167"/>
      <c r="B365" s="210" t="str">
        <f>Servicio_internaColumna_título_amortizaciones</f>
        <v>Amortizaciones</v>
      </c>
      <c r="C365" s="269">
        <v>0</v>
      </c>
      <c r="D365" s="235"/>
      <c r="E365" s="235"/>
      <c r="F365" s="235"/>
      <c r="G365" s="235"/>
      <c r="H365" s="235"/>
      <c r="I365" s="235"/>
      <c r="J365" s="235"/>
      <c r="K365" s="235"/>
      <c r="L365" s="235"/>
      <c r="M365" s="235">
        <v>2025460.5620114359</v>
      </c>
      <c r="N365" s="235">
        <v>3572191.4430577662</v>
      </c>
      <c r="O365" s="235">
        <v>3180696.4385188827</v>
      </c>
      <c r="P365" s="235">
        <v>4067833.5418726653</v>
      </c>
      <c r="Q365" s="235">
        <v>5014079.584093675</v>
      </c>
      <c r="R365" s="235">
        <v>2258438.8481489168</v>
      </c>
      <c r="S365" s="273">
        <v>4826362.5851320252</v>
      </c>
      <c r="T365" s="235">
        <v>1673601.6805113812</v>
      </c>
      <c r="U365" s="235">
        <v>6504304.8165929336</v>
      </c>
      <c r="V365" s="235">
        <v>2847857.4611820001</v>
      </c>
      <c r="W365" s="235">
        <v>3358312.0596432458</v>
      </c>
      <c r="X365" s="235">
        <v>1137067.2224358765</v>
      </c>
      <c r="Y365" s="235">
        <v>1101901.6339585017</v>
      </c>
      <c r="Z365" s="235">
        <v>2794740.5090410393</v>
      </c>
      <c r="AA365" s="235">
        <v>865910.96490045032</v>
      </c>
      <c r="AB365" s="235">
        <v>820535.0825533435</v>
      </c>
      <c r="AC365" s="235">
        <v>2615062.9893350126</v>
      </c>
      <c r="AD365" s="235">
        <v>720230.03680140339</v>
      </c>
      <c r="AE365" s="235">
        <v>584593.37485419353</v>
      </c>
      <c r="AF365" s="235">
        <v>471168.45016489644</v>
      </c>
      <c r="AG365" s="235">
        <v>426424.59505356918</v>
      </c>
      <c r="AH365" s="235">
        <v>402695.87347818998</v>
      </c>
      <c r="AI365" s="235">
        <v>886744.79384954961</v>
      </c>
      <c r="AJ365" s="235">
        <v>223532.6178321304</v>
      </c>
      <c r="AK365" s="235">
        <v>159165.08631116402</v>
      </c>
      <c r="AL365" s="235">
        <v>105253.4474369914</v>
      </c>
      <c r="AM365" s="235">
        <v>3412544.9191614185</v>
      </c>
      <c r="AN365" s="235">
        <v>5754.1066112584003</v>
      </c>
      <c r="AO365" s="235"/>
      <c r="AP365" s="235"/>
      <c r="AQ365" s="235"/>
      <c r="AR365" s="235"/>
      <c r="AS365" s="235"/>
      <c r="AT365" s="235"/>
      <c r="AU365" s="235"/>
      <c r="AV365" s="235"/>
      <c r="AW365" s="235"/>
      <c r="AX365" s="235"/>
      <c r="AY365" s="235"/>
      <c r="AZ365" s="235"/>
      <c r="BA365" s="235"/>
      <c r="BB365" s="235"/>
      <c r="BC365" s="235"/>
      <c r="BD365" s="235"/>
      <c r="BE365" s="235"/>
      <c r="BF365" s="235"/>
      <c r="BG365" s="235"/>
      <c r="BH365" s="235"/>
      <c r="BI365" s="235"/>
      <c r="BJ365" s="235"/>
      <c r="BK365" s="235"/>
    </row>
    <row r="366" spans="1:63" s="133" customFormat="1" ht="12.75">
      <c r="A366" s="168">
        <v>40544</v>
      </c>
      <c r="B366" s="213" t="str">
        <f>Servicio_internaColumna_título_intereses</f>
        <v>Intereses</v>
      </c>
      <c r="C366" s="270">
        <v>0</v>
      </c>
      <c r="D366" s="271"/>
      <c r="E366" s="271"/>
      <c r="F366" s="271"/>
      <c r="G366" s="271"/>
      <c r="H366" s="271"/>
      <c r="I366" s="271"/>
      <c r="J366" s="271"/>
      <c r="K366" s="271"/>
      <c r="L366" s="271"/>
      <c r="M366" s="271">
        <v>3626364.2801232832</v>
      </c>
      <c r="N366" s="271">
        <v>3862080.0089983149</v>
      </c>
      <c r="O366" s="271">
        <v>3598882.093382203</v>
      </c>
      <c r="P366" s="271">
        <v>3348231.9599503158</v>
      </c>
      <c r="Q366" s="271">
        <v>3076973.9020556663</v>
      </c>
      <c r="R366" s="271">
        <v>2649254.378086702</v>
      </c>
      <c r="S366" s="274">
        <v>2418576.0264375149</v>
      </c>
      <c r="T366" s="271">
        <v>2214508.0829883819</v>
      </c>
      <c r="U366" s="272">
        <v>1988556.5176475781</v>
      </c>
      <c r="V366" s="272">
        <v>1650341.1936967261</v>
      </c>
      <c r="W366" s="272">
        <v>1486720.6937528008</v>
      </c>
      <c r="X366" s="272">
        <v>1250600.2859460064</v>
      </c>
      <c r="Y366" s="272">
        <v>1185806.2945052162</v>
      </c>
      <c r="Z366" s="272">
        <v>1052579.2401498582</v>
      </c>
      <c r="AA366" s="272">
        <v>923122.09491929132</v>
      </c>
      <c r="AB366" s="272">
        <v>873419.00946245668</v>
      </c>
      <c r="AC366" s="272">
        <v>816404.46480117633</v>
      </c>
      <c r="AD366" s="236">
        <v>602662.04110035091</v>
      </c>
      <c r="AE366" s="236">
        <v>565992.43615123874</v>
      </c>
      <c r="AF366" s="236">
        <v>534224.18625098537</v>
      </c>
      <c r="AG366" s="236">
        <v>508767.67101173114</v>
      </c>
      <c r="AH366" s="236">
        <v>485839.85954789241</v>
      </c>
      <c r="AI366" s="236">
        <v>433108.38716248103</v>
      </c>
      <c r="AJ366" s="236">
        <v>388226.66241033486</v>
      </c>
      <c r="AK366" s="236">
        <v>377061.11307627423</v>
      </c>
      <c r="AL366" s="236">
        <v>368904.03836469393</v>
      </c>
      <c r="AM366" s="236">
        <v>363858.44988913822</v>
      </c>
      <c r="AN366" s="236">
        <v>113867.1919871046</v>
      </c>
      <c r="AO366" s="236"/>
      <c r="AP366" s="236"/>
      <c r="AQ366" s="236"/>
      <c r="AR366" s="236"/>
      <c r="AS366" s="236"/>
      <c r="AT366" s="236"/>
      <c r="AU366" s="236"/>
      <c r="AV366" s="236"/>
      <c r="AW366" s="236"/>
      <c r="AX366" s="236"/>
      <c r="AY366" s="236"/>
      <c r="AZ366" s="236"/>
      <c r="BA366" s="236"/>
      <c r="BB366" s="236"/>
      <c r="BC366" s="236"/>
      <c r="BD366" s="236"/>
      <c r="BE366" s="236"/>
      <c r="BF366" s="236"/>
      <c r="BG366" s="236"/>
      <c r="BH366" s="236"/>
      <c r="BI366" s="236"/>
      <c r="BJ366" s="236"/>
      <c r="BK366" s="236"/>
    </row>
    <row r="367" spans="1:63" s="133" customFormat="1" ht="12.75">
      <c r="A367" s="169"/>
      <c r="B367" s="307" t="str">
        <f>Servicio_internaColumna_título_total</f>
        <v>Total</v>
      </c>
      <c r="C367" s="310">
        <f>+C366+C365</f>
        <v>0</v>
      </c>
      <c r="D367" s="311">
        <f t="shared" ref="D367:AN367" si="47">+D366+D365</f>
        <v>0</v>
      </c>
      <c r="E367" s="311">
        <f t="shared" si="47"/>
        <v>0</v>
      </c>
      <c r="F367" s="311">
        <f t="shared" si="47"/>
        <v>0</v>
      </c>
      <c r="G367" s="311">
        <f t="shared" si="47"/>
        <v>0</v>
      </c>
      <c r="H367" s="311">
        <f t="shared" si="47"/>
        <v>0</v>
      </c>
      <c r="I367" s="311">
        <f t="shared" si="47"/>
        <v>0</v>
      </c>
      <c r="J367" s="311">
        <f t="shared" si="47"/>
        <v>0</v>
      </c>
      <c r="K367" s="311">
        <f t="shared" si="47"/>
        <v>0</v>
      </c>
      <c r="L367" s="311">
        <f t="shared" si="47"/>
        <v>0</v>
      </c>
      <c r="M367" s="311">
        <f t="shared" si="47"/>
        <v>5651824.8421347188</v>
      </c>
      <c r="N367" s="311">
        <f t="shared" si="47"/>
        <v>7434271.452056081</v>
      </c>
      <c r="O367" s="311">
        <f t="shared" si="47"/>
        <v>6779578.5319010857</v>
      </c>
      <c r="P367" s="311">
        <f t="shared" si="47"/>
        <v>7416065.5018229811</v>
      </c>
      <c r="Q367" s="311">
        <f t="shared" si="47"/>
        <v>8091053.4861493409</v>
      </c>
      <c r="R367" s="311">
        <f t="shared" si="47"/>
        <v>4907693.2262356188</v>
      </c>
      <c r="S367" s="312">
        <f t="shared" si="47"/>
        <v>7244938.6115695406</v>
      </c>
      <c r="T367" s="311">
        <f t="shared" si="47"/>
        <v>3888109.7634997629</v>
      </c>
      <c r="U367" s="311">
        <f t="shared" si="47"/>
        <v>8492861.3342405111</v>
      </c>
      <c r="V367" s="311">
        <f t="shared" si="47"/>
        <v>4498198.6548787262</v>
      </c>
      <c r="W367" s="311">
        <f t="shared" si="47"/>
        <v>4845032.7533960463</v>
      </c>
      <c r="X367" s="311">
        <f t="shared" si="47"/>
        <v>2387667.5083818827</v>
      </c>
      <c r="Y367" s="311">
        <f t="shared" si="47"/>
        <v>2287707.9284637179</v>
      </c>
      <c r="Z367" s="311">
        <f t="shared" si="47"/>
        <v>3847319.7491908977</v>
      </c>
      <c r="AA367" s="311">
        <f t="shared" si="47"/>
        <v>1789033.0598197416</v>
      </c>
      <c r="AB367" s="311">
        <f t="shared" si="47"/>
        <v>1693954.0920158001</v>
      </c>
      <c r="AC367" s="311">
        <f t="shared" si="47"/>
        <v>3431467.4541361891</v>
      </c>
      <c r="AD367" s="311">
        <f t="shared" si="47"/>
        <v>1322892.0779017543</v>
      </c>
      <c r="AE367" s="311">
        <f t="shared" si="47"/>
        <v>1150585.8110054322</v>
      </c>
      <c r="AF367" s="311">
        <f t="shared" si="47"/>
        <v>1005392.6364158818</v>
      </c>
      <c r="AG367" s="311">
        <f t="shared" si="47"/>
        <v>935192.26606530033</v>
      </c>
      <c r="AH367" s="311">
        <f t="shared" si="47"/>
        <v>888535.73302608239</v>
      </c>
      <c r="AI367" s="311">
        <f t="shared" si="47"/>
        <v>1319853.1810120307</v>
      </c>
      <c r="AJ367" s="311">
        <f t="shared" si="47"/>
        <v>611759.2802424652</v>
      </c>
      <c r="AK367" s="311">
        <f t="shared" si="47"/>
        <v>536226.19938743825</v>
      </c>
      <c r="AL367" s="311">
        <f t="shared" si="47"/>
        <v>474157.48580168531</v>
      </c>
      <c r="AM367" s="311">
        <f t="shared" si="47"/>
        <v>3776403.3690505568</v>
      </c>
      <c r="AN367" s="311">
        <f t="shared" si="47"/>
        <v>119621.29859836299</v>
      </c>
      <c r="AO367" s="311"/>
      <c r="AP367" s="311"/>
      <c r="AQ367" s="311"/>
      <c r="AR367" s="311"/>
      <c r="AS367" s="311"/>
      <c r="AT367" s="311"/>
      <c r="AU367" s="311"/>
      <c r="AV367" s="311"/>
      <c r="AW367" s="311"/>
      <c r="AX367" s="311"/>
      <c r="AY367" s="311"/>
      <c r="AZ367" s="311"/>
      <c r="BA367" s="311"/>
      <c r="BB367" s="311"/>
      <c r="BC367" s="311"/>
      <c r="BD367" s="311"/>
      <c r="BE367" s="311"/>
      <c r="BF367" s="311"/>
      <c r="BG367" s="311"/>
      <c r="BH367" s="311"/>
      <c r="BI367" s="311"/>
      <c r="BJ367" s="311"/>
      <c r="BK367" s="311"/>
    </row>
    <row r="368" spans="1:63" s="80" customFormat="1" ht="12.75">
      <c r="A368" s="167"/>
      <c r="B368" s="210" t="str">
        <f>Servicio_internaColumna_título_amortizaciones</f>
        <v>Amortizaciones</v>
      </c>
      <c r="C368" s="269">
        <v>0</v>
      </c>
      <c r="D368" s="235"/>
      <c r="E368" s="235"/>
      <c r="F368" s="235"/>
      <c r="G368" s="235"/>
      <c r="H368" s="235"/>
      <c r="I368" s="235"/>
      <c r="J368" s="235"/>
      <c r="K368" s="235"/>
      <c r="L368" s="235"/>
      <c r="M368" s="235">
        <v>2034771.2025857698</v>
      </c>
      <c r="N368" s="235">
        <v>3657044.7013776032</v>
      </c>
      <c r="O368" s="235">
        <v>3249040.6429414703</v>
      </c>
      <c r="P368" s="235">
        <v>4155850.6191305895</v>
      </c>
      <c r="Q368" s="235">
        <v>5136469.5342552271</v>
      </c>
      <c r="R368" s="235">
        <v>2308258.4874611949</v>
      </c>
      <c r="S368" s="273">
        <v>4925389.3516965508</v>
      </c>
      <c r="T368" s="235">
        <v>1708654.5691871066</v>
      </c>
      <c r="U368" s="235">
        <v>6696617.0650250297</v>
      </c>
      <c r="V368" s="235">
        <v>2906242.8326368243</v>
      </c>
      <c r="W368" s="235">
        <v>3443336.3060181052</v>
      </c>
      <c r="X368" s="235">
        <v>1160379.0477388767</v>
      </c>
      <c r="Y368" s="235">
        <v>1124489.496978069</v>
      </c>
      <c r="Z368" s="235">
        <v>2851334.1796682361</v>
      </c>
      <c r="AA368" s="235">
        <v>883491.61371427809</v>
      </c>
      <c r="AB368" s="235">
        <v>837197.94666368421</v>
      </c>
      <c r="AC368" s="235">
        <v>2680753.2417997792</v>
      </c>
      <c r="AD368" s="235">
        <v>734813.59479928343</v>
      </c>
      <c r="AE368" s="235">
        <v>596433.50948046788</v>
      </c>
      <c r="AF368" s="235">
        <v>480714.42195312964</v>
      </c>
      <c r="AG368" s="235">
        <v>435065.56567113119</v>
      </c>
      <c r="AH368" s="235">
        <v>410856.95524307241</v>
      </c>
      <c r="AI368" s="235">
        <v>904696.43304446735</v>
      </c>
      <c r="AJ368" s="235">
        <v>228069.9503204448</v>
      </c>
      <c r="AK368" s="235">
        <v>162400.50390558399</v>
      </c>
      <c r="AL368" s="235">
        <v>107397.26184850559</v>
      </c>
      <c r="AM368" s="235">
        <v>3481581.7291669669</v>
      </c>
      <c r="AN368" s="235">
        <v>5870.4907092847989</v>
      </c>
      <c r="AO368" s="235"/>
      <c r="AP368" s="235"/>
      <c r="AQ368" s="235"/>
      <c r="AR368" s="235"/>
      <c r="AS368" s="235"/>
      <c r="AT368" s="235"/>
      <c r="AU368" s="235"/>
      <c r="AV368" s="235"/>
      <c r="AW368" s="235"/>
      <c r="AX368" s="235"/>
      <c r="AY368" s="235"/>
      <c r="AZ368" s="235"/>
      <c r="BA368" s="235"/>
      <c r="BB368" s="235"/>
      <c r="BC368" s="235"/>
      <c r="BD368" s="235"/>
      <c r="BE368" s="235"/>
      <c r="BF368" s="235"/>
      <c r="BG368" s="235"/>
      <c r="BH368" s="235"/>
      <c r="BI368" s="235"/>
      <c r="BJ368" s="235"/>
      <c r="BK368" s="235"/>
    </row>
    <row r="369" spans="1:63" s="133" customFormat="1" ht="12.75">
      <c r="A369" s="168">
        <v>40575</v>
      </c>
      <c r="B369" s="213" t="str">
        <f>Servicio_internaColumna_título_intereses</f>
        <v>Intereses</v>
      </c>
      <c r="C369" s="270">
        <v>0</v>
      </c>
      <c r="D369" s="271"/>
      <c r="E369" s="271"/>
      <c r="F369" s="271"/>
      <c r="G369" s="271"/>
      <c r="H369" s="271"/>
      <c r="I369" s="271"/>
      <c r="J369" s="271"/>
      <c r="K369" s="271"/>
      <c r="L369" s="271"/>
      <c r="M369" s="271">
        <v>3360991.18071217</v>
      </c>
      <c r="N369" s="271">
        <v>3844363.5964386859</v>
      </c>
      <c r="O369" s="271">
        <v>3617455.3711324688</v>
      </c>
      <c r="P369" s="271">
        <v>3385797.3923425386</v>
      </c>
      <c r="Q369" s="271">
        <v>3123443.6584465522</v>
      </c>
      <c r="R369" s="271">
        <v>2695299.1514578196</v>
      </c>
      <c r="S369" s="274">
        <v>2467525.8810523446</v>
      </c>
      <c r="T369" s="271">
        <v>2261513.7501665284</v>
      </c>
      <c r="U369" s="272">
        <v>2032550.323583585</v>
      </c>
      <c r="V369" s="272">
        <v>1687130.0509057993</v>
      </c>
      <c r="W369" s="272">
        <v>1517902.7955365346</v>
      </c>
      <c r="X369" s="272">
        <v>1280669.3966597593</v>
      </c>
      <c r="Y369" s="272">
        <v>1212045.1598658743</v>
      </c>
      <c r="Z369" s="272">
        <v>1075424.177296024</v>
      </c>
      <c r="AA369" s="272">
        <v>943712.72359748476</v>
      </c>
      <c r="AB369" s="272">
        <v>891516.96971470141</v>
      </c>
      <c r="AC369" s="272">
        <v>833366.0719909952</v>
      </c>
      <c r="AD369" s="236">
        <v>613936.86176612915</v>
      </c>
      <c r="AE369" s="236">
        <v>576519.2494399579</v>
      </c>
      <c r="AF369" s="236">
        <v>544256.14370493195</v>
      </c>
      <c r="AG369" s="236">
        <v>518468.14208869281</v>
      </c>
      <c r="AH369" s="236">
        <v>495194.76800084556</v>
      </c>
      <c r="AI369" s="236">
        <v>441514.99945295195</v>
      </c>
      <c r="AJ369" s="236">
        <v>395982.1179294528</v>
      </c>
      <c r="AK369" s="236">
        <v>384696.47754641436</v>
      </c>
      <c r="AL369" s="236">
        <v>376366.07732087717</v>
      </c>
      <c r="AM369" s="236">
        <v>371218.08576945204</v>
      </c>
      <c r="AN369" s="236">
        <v>116170.3002417012</v>
      </c>
      <c r="AO369" s="236"/>
      <c r="AP369" s="236"/>
      <c r="AQ369" s="236"/>
      <c r="AR369" s="236"/>
      <c r="AS369" s="236"/>
      <c r="AT369" s="236"/>
      <c r="AU369" s="236"/>
      <c r="AV369" s="236"/>
      <c r="AW369" s="236"/>
      <c r="AX369" s="236"/>
      <c r="AY369" s="236"/>
      <c r="AZ369" s="236"/>
      <c r="BA369" s="236"/>
      <c r="BB369" s="236"/>
      <c r="BC369" s="236"/>
      <c r="BD369" s="236"/>
      <c r="BE369" s="236"/>
      <c r="BF369" s="236"/>
      <c r="BG369" s="236"/>
      <c r="BH369" s="236"/>
      <c r="BI369" s="236"/>
      <c r="BJ369" s="236"/>
      <c r="BK369" s="236"/>
    </row>
    <row r="370" spans="1:63" s="133" customFormat="1" ht="12.75">
      <c r="A370" s="169"/>
      <c r="B370" s="307" t="str">
        <f>Servicio_internaColumna_título_total</f>
        <v>Total</v>
      </c>
      <c r="C370" s="310">
        <f>+C369+C368</f>
        <v>0</v>
      </c>
      <c r="D370" s="311">
        <f t="shared" ref="D370:AN370" si="48">+D369+D368</f>
        <v>0</v>
      </c>
      <c r="E370" s="311">
        <f t="shared" si="48"/>
        <v>0</v>
      </c>
      <c r="F370" s="311">
        <f t="shared" si="48"/>
        <v>0</v>
      </c>
      <c r="G370" s="311">
        <f t="shared" si="48"/>
        <v>0</v>
      </c>
      <c r="H370" s="311">
        <f t="shared" si="48"/>
        <v>0</v>
      </c>
      <c r="I370" s="311">
        <f t="shared" si="48"/>
        <v>0</v>
      </c>
      <c r="J370" s="311">
        <f t="shared" si="48"/>
        <v>0</v>
      </c>
      <c r="K370" s="311">
        <f t="shared" si="48"/>
        <v>0</v>
      </c>
      <c r="L370" s="311">
        <f t="shared" si="48"/>
        <v>0</v>
      </c>
      <c r="M370" s="311">
        <f t="shared" si="48"/>
        <v>5395762.3832979398</v>
      </c>
      <c r="N370" s="311">
        <f t="shared" si="48"/>
        <v>7501408.2978162896</v>
      </c>
      <c r="O370" s="311">
        <f t="shared" si="48"/>
        <v>6866496.0140739391</v>
      </c>
      <c r="P370" s="311">
        <f t="shared" si="48"/>
        <v>7541648.0114731286</v>
      </c>
      <c r="Q370" s="311">
        <f t="shared" si="48"/>
        <v>8259913.1927017793</v>
      </c>
      <c r="R370" s="311">
        <f t="shared" si="48"/>
        <v>5003557.6389190145</v>
      </c>
      <c r="S370" s="312">
        <f t="shared" si="48"/>
        <v>7392915.2327488959</v>
      </c>
      <c r="T370" s="311">
        <f t="shared" si="48"/>
        <v>3970168.319353635</v>
      </c>
      <c r="U370" s="311">
        <f t="shared" si="48"/>
        <v>8729167.388608614</v>
      </c>
      <c r="V370" s="311">
        <f t="shared" si="48"/>
        <v>4593372.8835426234</v>
      </c>
      <c r="W370" s="311">
        <f t="shared" si="48"/>
        <v>4961239.1015546396</v>
      </c>
      <c r="X370" s="311">
        <f t="shared" si="48"/>
        <v>2441048.444398636</v>
      </c>
      <c r="Y370" s="311">
        <f t="shared" si="48"/>
        <v>2336534.6568439435</v>
      </c>
      <c r="Z370" s="311">
        <f t="shared" si="48"/>
        <v>3926758.3569642603</v>
      </c>
      <c r="AA370" s="311">
        <f t="shared" si="48"/>
        <v>1827204.3373117629</v>
      </c>
      <c r="AB370" s="311">
        <f t="shared" si="48"/>
        <v>1728714.9163783856</v>
      </c>
      <c r="AC370" s="311">
        <f t="shared" si="48"/>
        <v>3514119.3137907744</v>
      </c>
      <c r="AD370" s="311">
        <f t="shared" si="48"/>
        <v>1348750.4565654127</v>
      </c>
      <c r="AE370" s="311">
        <f t="shared" si="48"/>
        <v>1172952.7589204258</v>
      </c>
      <c r="AF370" s="311">
        <f t="shared" si="48"/>
        <v>1024970.5656580615</v>
      </c>
      <c r="AG370" s="311">
        <f t="shared" si="48"/>
        <v>953533.707759824</v>
      </c>
      <c r="AH370" s="311">
        <f t="shared" si="48"/>
        <v>906051.72324391804</v>
      </c>
      <c r="AI370" s="311">
        <f t="shared" si="48"/>
        <v>1346211.4324974194</v>
      </c>
      <c r="AJ370" s="311">
        <f t="shared" si="48"/>
        <v>624052.06824989757</v>
      </c>
      <c r="AK370" s="311">
        <f t="shared" si="48"/>
        <v>547096.98145199835</v>
      </c>
      <c r="AL370" s="311">
        <f t="shared" si="48"/>
        <v>483763.33916938276</v>
      </c>
      <c r="AM370" s="311">
        <f t="shared" si="48"/>
        <v>3852799.814936419</v>
      </c>
      <c r="AN370" s="311">
        <f t="shared" si="48"/>
        <v>122040.790950986</v>
      </c>
      <c r="AO370" s="311"/>
      <c r="AP370" s="311"/>
      <c r="AQ370" s="311"/>
      <c r="AR370" s="311"/>
      <c r="AS370" s="311"/>
      <c r="AT370" s="311"/>
      <c r="AU370" s="311"/>
      <c r="AV370" s="311"/>
      <c r="AW370" s="311"/>
      <c r="AX370" s="311"/>
      <c r="AY370" s="311"/>
      <c r="AZ370" s="311"/>
      <c r="BA370" s="311"/>
      <c r="BB370" s="311"/>
      <c r="BC370" s="311"/>
      <c r="BD370" s="311"/>
      <c r="BE370" s="311"/>
      <c r="BF370" s="311"/>
      <c r="BG370" s="311"/>
      <c r="BH370" s="311"/>
      <c r="BI370" s="311"/>
      <c r="BJ370" s="311"/>
      <c r="BK370" s="311"/>
    </row>
    <row r="371" spans="1:63" s="80" customFormat="1" ht="12.75">
      <c r="A371" s="167"/>
      <c r="B371" s="210" t="str">
        <f>Servicio_internaColumna_título_amortizaciones</f>
        <v>Amortizaciones</v>
      </c>
      <c r="C371" s="269">
        <v>0</v>
      </c>
      <c r="D371" s="235"/>
      <c r="E371" s="235"/>
      <c r="F371" s="235"/>
      <c r="G371" s="235"/>
      <c r="H371" s="235"/>
      <c r="I371" s="235"/>
      <c r="J371" s="235"/>
      <c r="K371" s="235"/>
      <c r="L371" s="235"/>
      <c r="M371" s="235">
        <v>1983565.2693646022</v>
      </c>
      <c r="N371" s="235">
        <v>3613603.8734462485</v>
      </c>
      <c r="O371" s="235">
        <v>3229384.8928884799</v>
      </c>
      <c r="P371" s="235">
        <v>4181903.2120657605</v>
      </c>
      <c r="Q371" s="235">
        <v>5411048.9787233677</v>
      </c>
      <c r="R371" s="235">
        <v>2301495.4197611306</v>
      </c>
      <c r="S371" s="273">
        <v>4882456.3265097635</v>
      </c>
      <c r="T371" s="235">
        <v>1689435.2921291119</v>
      </c>
      <c r="U371" s="235">
        <v>6340529.5452772919</v>
      </c>
      <c r="V371" s="235">
        <v>2869657.0010670316</v>
      </c>
      <c r="W371" s="235">
        <v>3698271.2926520444</v>
      </c>
      <c r="X371" s="235">
        <v>1154450.7024096386</v>
      </c>
      <c r="Y371" s="235">
        <v>1118868.9778432248</v>
      </c>
      <c r="Z371" s="235">
        <v>2827104.4354898916</v>
      </c>
      <c r="AA371" s="235">
        <v>1168182.4106253283</v>
      </c>
      <c r="AB371" s="235">
        <v>830064.70811048569</v>
      </c>
      <c r="AC371" s="235">
        <v>2873511.2750777756</v>
      </c>
      <c r="AD371" s="235">
        <v>728559.72681837389</v>
      </c>
      <c r="AE371" s="235">
        <v>591354.24719538412</v>
      </c>
      <c r="AF371" s="235">
        <v>476617.29366843816</v>
      </c>
      <c r="AG371" s="235">
        <v>431355.79712183936</v>
      </c>
      <c r="AH371" s="235">
        <v>407352.60675011523</v>
      </c>
      <c r="AI371" s="235">
        <v>897000.17941654939</v>
      </c>
      <c r="AJ371" s="235">
        <v>226117.07601422042</v>
      </c>
      <c r="AK371" s="235">
        <v>161005.04872237082</v>
      </c>
      <c r="AL371" s="235">
        <v>106468.4935750833</v>
      </c>
      <c r="AM371" s="235">
        <v>3452011.8138996386</v>
      </c>
      <c r="AN371" s="235">
        <v>5820.6604767875997</v>
      </c>
      <c r="AO371" s="235"/>
      <c r="AP371" s="235"/>
      <c r="AQ371" s="235"/>
      <c r="AR371" s="235"/>
      <c r="AS371" s="235"/>
      <c r="AT371" s="235"/>
      <c r="AU371" s="235"/>
      <c r="AV371" s="235"/>
      <c r="AW371" s="235"/>
      <c r="AX371" s="235"/>
      <c r="AY371" s="235"/>
      <c r="AZ371" s="235"/>
      <c r="BA371" s="235"/>
      <c r="BB371" s="235"/>
      <c r="BC371" s="235"/>
      <c r="BD371" s="235"/>
      <c r="BE371" s="235"/>
      <c r="BF371" s="235"/>
      <c r="BG371" s="235"/>
      <c r="BH371" s="235"/>
      <c r="BI371" s="235"/>
      <c r="BJ371" s="235"/>
      <c r="BK371" s="235"/>
    </row>
    <row r="372" spans="1:63" s="133" customFormat="1" ht="12.75">
      <c r="A372" s="168">
        <v>40603</v>
      </c>
      <c r="B372" s="213" t="str">
        <f>Servicio_internaColumna_título_intereses</f>
        <v>Intereses</v>
      </c>
      <c r="C372" s="270">
        <v>0</v>
      </c>
      <c r="D372" s="271"/>
      <c r="E372" s="271"/>
      <c r="F372" s="271"/>
      <c r="G372" s="271"/>
      <c r="H372" s="271"/>
      <c r="I372" s="271"/>
      <c r="J372" s="271"/>
      <c r="K372" s="271"/>
      <c r="L372" s="271"/>
      <c r="M372" s="271">
        <v>3004685.441534854</v>
      </c>
      <c r="N372" s="271">
        <v>3906000.7740848199</v>
      </c>
      <c r="O372" s="271">
        <v>3673728.7037312863</v>
      </c>
      <c r="P372" s="271">
        <v>3494008.4733547885</v>
      </c>
      <c r="Q372" s="271">
        <v>3215020.905761098</v>
      </c>
      <c r="R372" s="271">
        <v>2741805.7774147168</v>
      </c>
      <c r="S372" s="274">
        <v>2505818.0288144117</v>
      </c>
      <c r="T372" s="271">
        <v>2299585.4945661249</v>
      </c>
      <c r="U372" s="272">
        <v>2072002.8527840318</v>
      </c>
      <c r="V372" s="272">
        <v>1735512.9177750815</v>
      </c>
      <c r="W372" s="272">
        <v>1569975.7703323336</v>
      </c>
      <c r="X372" s="272">
        <v>1307560.2119337854</v>
      </c>
      <c r="Y372" s="272">
        <v>1241728.5868884665</v>
      </c>
      <c r="Z372" s="272">
        <v>1106733.0698672167</v>
      </c>
      <c r="AA372" s="272">
        <v>974828.49242673884</v>
      </c>
      <c r="AB372" s="272">
        <v>906000.58456317184</v>
      </c>
      <c r="AC372" s="272">
        <v>848325.10450390645</v>
      </c>
      <c r="AD372" s="236">
        <v>609632.11474723625</v>
      </c>
      <c r="AE372" s="236">
        <v>572538.41197259852</v>
      </c>
      <c r="AF372" s="236">
        <v>540402.75545592059</v>
      </c>
      <c r="AG372" s="236">
        <v>514651.84858124913</v>
      </c>
      <c r="AH372" s="236">
        <v>491458.90184256417</v>
      </c>
      <c r="AI372" s="236">
        <v>438117.57344523602</v>
      </c>
      <c r="AJ372" s="236">
        <v>392718.88994778815</v>
      </c>
      <c r="AK372" s="236">
        <v>381428.3794748247</v>
      </c>
      <c r="AL372" s="236">
        <v>373170.7773903042</v>
      </c>
      <c r="AM372" s="236">
        <v>368066.91779008921</v>
      </c>
      <c r="AN372" s="236">
        <v>115184.2169043819</v>
      </c>
      <c r="AO372" s="236"/>
      <c r="AP372" s="236"/>
      <c r="AQ372" s="236"/>
      <c r="AR372" s="236"/>
      <c r="AS372" s="236"/>
      <c r="AT372" s="236"/>
      <c r="AU372" s="236"/>
      <c r="AV372" s="236"/>
      <c r="AW372" s="236"/>
      <c r="AX372" s="236"/>
      <c r="AY372" s="236"/>
      <c r="AZ372" s="236"/>
      <c r="BA372" s="236"/>
      <c r="BB372" s="236"/>
      <c r="BC372" s="236"/>
      <c r="BD372" s="236"/>
      <c r="BE372" s="236"/>
      <c r="BF372" s="236"/>
      <c r="BG372" s="236"/>
      <c r="BH372" s="236"/>
      <c r="BI372" s="236"/>
      <c r="BJ372" s="236"/>
      <c r="BK372" s="236"/>
    </row>
    <row r="373" spans="1:63" s="133" customFormat="1" ht="12.75">
      <c r="A373" s="169"/>
      <c r="B373" s="307" t="str">
        <f>Servicio_internaColumna_título_total</f>
        <v>Total</v>
      </c>
      <c r="C373" s="310">
        <v>0</v>
      </c>
      <c r="D373" s="311"/>
      <c r="E373" s="311"/>
      <c r="F373" s="311"/>
      <c r="G373" s="311"/>
      <c r="H373" s="311"/>
      <c r="I373" s="311"/>
      <c r="J373" s="311"/>
      <c r="K373" s="311"/>
      <c r="L373" s="311"/>
      <c r="M373" s="311">
        <f>M372+M371</f>
        <v>4988250.7108994564</v>
      </c>
      <c r="N373" s="311">
        <f t="shared" ref="N373:AN373" si="49">N372+N371</f>
        <v>7519604.647531068</v>
      </c>
      <c r="O373" s="311">
        <f t="shared" si="49"/>
        <v>6903113.5966197662</v>
      </c>
      <c r="P373" s="311">
        <f t="shared" si="49"/>
        <v>7675911.6854205485</v>
      </c>
      <c r="Q373" s="311">
        <f t="shared" si="49"/>
        <v>8626069.8844844662</v>
      </c>
      <c r="R373" s="311">
        <f t="shared" si="49"/>
        <v>5043301.1971758474</v>
      </c>
      <c r="S373" s="312">
        <f t="shared" si="49"/>
        <v>7388274.3553241752</v>
      </c>
      <c r="T373" s="311">
        <f t="shared" si="49"/>
        <v>3989020.7866952368</v>
      </c>
      <c r="U373" s="311">
        <f t="shared" si="49"/>
        <v>8412532.3980613239</v>
      </c>
      <c r="V373" s="311">
        <f t="shared" si="49"/>
        <v>4605169.9188421126</v>
      </c>
      <c r="W373" s="311">
        <f t="shared" si="49"/>
        <v>5268247.0629843781</v>
      </c>
      <c r="X373" s="311">
        <f t="shared" si="49"/>
        <v>2462010.9143434241</v>
      </c>
      <c r="Y373" s="311">
        <f t="shared" si="49"/>
        <v>2360597.564731691</v>
      </c>
      <c r="Z373" s="311">
        <f t="shared" si="49"/>
        <v>3933837.5053571081</v>
      </c>
      <c r="AA373" s="311">
        <f t="shared" si="49"/>
        <v>2143010.9030520674</v>
      </c>
      <c r="AB373" s="311">
        <f t="shared" si="49"/>
        <v>1736065.2926736576</v>
      </c>
      <c r="AC373" s="311">
        <f t="shared" si="49"/>
        <v>3721836.3795816819</v>
      </c>
      <c r="AD373" s="311">
        <f t="shared" si="49"/>
        <v>1338191.8415656101</v>
      </c>
      <c r="AE373" s="311">
        <f t="shared" si="49"/>
        <v>1163892.6591679826</v>
      </c>
      <c r="AF373" s="311">
        <f t="shared" si="49"/>
        <v>1017020.0491243587</v>
      </c>
      <c r="AG373" s="311">
        <f t="shared" si="49"/>
        <v>946007.64570308849</v>
      </c>
      <c r="AH373" s="311">
        <f t="shared" si="49"/>
        <v>898811.5085926794</v>
      </c>
      <c r="AI373" s="311">
        <f t="shared" si="49"/>
        <v>1335117.7528617855</v>
      </c>
      <c r="AJ373" s="311">
        <f t="shared" si="49"/>
        <v>618835.96596200857</v>
      </c>
      <c r="AK373" s="311">
        <f t="shared" si="49"/>
        <v>542433.42819719552</v>
      </c>
      <c r="AL373" s="311">
        <f t="shared" si="49"/>
        <v>479639.27096538746</v>
      </c>
      <c r="AM373" s="311">
        <f t="shared" si="49"/>
        <v>3820078.7316897279</v>
      </c>
      <c r="AN373" s="311">
        <f t="shared" si="49"/>
        <v>121004.8773811695</v>
      </c>
      <c r="AO373" s="311"/>
      <c r="AP373" s="311"/>
      <c r="AQ373" s="311"/>
      <c r="AR373" s="311"/>
      <c r="AS373" s="311"/>
      <c r="AT373" s="311"/>
      <c r="AU373" s="311"/>
      <c r="AV373" s="311"/>
      <c r="AW373" s="311"/>
      <c r="AX373" s="311"/>
      <c r="AY373" s="311"/>
      <c r="AZ373" s="311"/>
      <c r="BA373" s="311"/>
      <c r="BB373" s="311"/>
      <c r="BC373" s="311"/>
      <c r="BD373" s="311"/>
      <c r="BE373" s="311"/>
      <c r="BF373" s="311"/>
      <c r="BG373" s="311"/>
      <c r="BH373" s="311"/>
      <c r="BI373" s="311"/>
      <c r="BJ373" s="311"/>
      <c r="BK373" s="311"/>
    </row>
    <row r="374" spans="1:63" s="80" customFormat="1" ht="12.75">
      <c r="A374" s="167"/>
      <c r="B374" s="210" t="str">
        <f>Servicio_internaColumna_título_amortizaciones</f>
        <v>Amortizaciones</v>
      </c>
      <c r="C374" s="269">
        <v>0</v>
      </c>
      <c r="D374" s="235"/>
      <c r="E374" s="235"/>
      <c r="F374" s="235"/>
      <c r="G374" s="235"/>
      <c r="H374" s="235"/>
      <c r="I374" s="235"/>
      <c r="J374" s="235"/>
      <c r="K374" s="235"/>
      <c r="L374" s="235"/>
      <c r="M374" s="235">
        <v>1857988.7740046137</v>
      </c>
      <c r="N374" s="235">
        <v>3408843.9616693831</v>
      </c>
      <c r="O374" s="235">
        <v>3051562.1420389037</v>
      </c>
      <c r="P374" s="235">
        <v>3939777.0488131018</v>
      </c>
      <c r="Q374" s="235">
        <v>5101323.6899725376</v>
      </c>
      <c r="R374" s="235">
        <v>2158187.0078982459</v>
      </c>
      <c r="S374" s="273">
        <v>4577418.695801029</v>
      </c>
      <c r="T374" s="235">
        <v>1576174.8394955525</v>
      </c>
      <c r="U374" s="235">
        <v>6208628.4761911603</v>
      </c>
      <c r="V374" s="235">
        <v>2691542.3496924429</v>
      </c>
      <c r="W374" s="235">
        <v>3261201.2017860566</v>
      </c>
      <c r="X374" s="235">
        <v>1082892.2147583859</v>
      </c>
      <c r="Y374" s="235">
        <v>1049394.0357735213</v>
      </c>
      <c r="Z374" s="235">
        <v>2658917.1904409225</v>
      </c>
      <c r="AA374" s="235">
        <v>1169492.2463465179</v>
      </c>
      <c r="AB374" s="235">
        <v>780809.21333450626</v>
      </c>
      <c r="AC374" s="235">
        <v>2537752.9790215078</v>
      </c>
      <c r="AD374" s="235">
        <v>685226.49074065615</v>
      </c>
      <c r="AE374" s="235">
        <v>556192.14943549072</v>
      </c>
      <c r="AF374" s="235">
        <v>448288.24310178065</v>
      </c>
      <c r="AG374" s="235">
        <v>405722.25077097717</v>
      </c>
      <c r="AH374" s="235">
        <v>383148.7501167804</v>
      </c>
      <c r="AI374" s="235">
        <v>843636.04303761607</v>
      </c>
      <c r="AJ374" s="235">
        <v>212706.72754561438</v>
      </c>
      <c r="AK374" s="235">
        <v>151472.38343826719</v>
      </c>
      <c r="AL374" s="235">
        <v>100180.30508974919</v>
      </c>
      <c r="AM374" s="235">
        <v>3246481.8414442372</v>
      </c>
      <c r="AN374" s="235">
        <v>5474.0167276631992</v>
      </c>
      <c r="AO374" s="235"/>
      <c r="AP374" s="235"/>
      <c r="AQ374" s="235"/>
      <c r="AR374" s="235"/>
      <c r="AS374" s="235"/>
      <c r="AT374" s="235"/>
      <c r="AU374" s="235"/>
      <c r="AV374" s="235"/>
      <c r="AW374" s="235"/>
      <c r="AX374" s="235"/>
      <c r="AY374" s="235"/>
      <c r="AZ374" s="235"/>
      <c r="BA374" s="235"/>
      <c r="BB374" s="235"/>
      <c r="BC374" s="235"/>
      <c r="BD374" s="235"/>
      <c r="BE374" s="235"/>
      <c r="BF374" s="235"/>
      <c r="BG374" s="235"/>
      <c r="BH374" s="235"/>
      <c r="BI374" s="235"/>
      <c r="BJ374" s="235"/>
      <c r="BK374" s="235"/>
    </row>
    <row r="375" spans="1:63" s="133" customFormat="1" ht="12.75">
      <c r="A375" s="168">
        <v>40634</v>
      </c>
      <c r="B375" s="213" t="str">
        <f>Servicio_internaColumna_título_intereses</f>
        <v>Intereses</v>
      </c>
      <c r="C375" s="270">
        <v>0</v>
      </c>
      <c r="D375" s="271"/>
      <c r="E375" s="271"/>
      <c r="F375" s="271"/>
      <c r="G375" s="271"/>
      <c r="H375" s="271"/>
      <c r="I375" s="271"/>
      <c r="J375" s="271"/>
      <c r="K375" s="271"/>
      <c r="L375" s="271"/>
      <c r="M375" s="271">
        <v>2585606.5977877267</v>
      </c>
      <c r="N375" s="271">
        <v>3728464.1220930242</v>
      </c>
      <c r="O375" s="271">
        <v>3491927.4573327238</v>
      </c>
      <c r="P375" s="271">
        <v>3292617.1583247813</v>
      </c>
      <c r="Q375" s="271">
        <v>3028751.3174653901</v>
      </c>
      <c r="R375" s="271">
        <v>2551097.377138189</v>
      </c>
      <c r="S375" s="274">
        <v>2325349.8238902856</v>
      </c>
      <c r="T375" s="271">
        <v>2131007.2005065428</v>
      </c>
      <c r="U375" s="272">
        <v>1919523.1088009716</v>
      </c>
      <c r="V375" s="272">
        <v>1598152.4955930454</v>
      </c>
      <c r="W375" s="272">
        <v>1443484.7193353078</v>
      </c>
      <c r="X375" s="272">
        <v>1213883.046743541</v>
      </c>
      <c r="Y375" s="272">
        <v>1152548.9069566103</v>
      </c>
      <c r="Z375" s="272">
        <v>1026143.4078848921</v>
      </c>
      <c r="AA375" s="272">
        <v>900056.55137965805</v>
      </c>
      <c r="AB375" s="272">
        <v>833360.80300307157</v>
      </c>
      <c r="AC375" s="272">
        <v>779359.79456506728</v>
      </c>
      <c r="AD375" s="236">
        <v>571291.85529160197</v>
      </c>
      <c r="AE375" s="236">
        <v>536684.06252437015</v>
      </c>
      <c r="AF375" s="236">
        <v>506733.64684093313</v>
      </c>
      <c r="AG375" s="236">
        <v>482787.74286460679</v>
      </c>
      <c r="AH375" s="236">
        <v>461245.05149450642</v>
      </c>
      <c r="AI375" s="236">
        <v>411327.59246836678</v>
      </c>
      <c r="AJ375" s="236">
        <v>368780.04105913738</v>
      </c>
      <c r="AK375" s="236">
        <v>358326.92866668419</v>
      </c>
      <c r="AL375" s="236">
        <v>350739.87759419758</v>
      </c>
      <c r="AM375" s="236">
        <v>346105.03622119321</v>
      </c>
      <c r="AN375" s="236">
        <v>108324.5333775858</v>
      </c>
      <c r="AO375" s="236"/>
      <c r="AP375" s="236"/>
      <c r="AQ375" s="236"/>
      <c r="AR375" s="236"/>
      <c r="AS375" s="236"/>
      <c r="AT375" s="236"/>
      <c r="AU375" s="236"/>
      <c r="AV375" s="236"/>
      <c r="AW375" s="236"/>
      <c r="AX375" s="236"/>
      <c r="AY375" s="236"/>
      <c r="AZ375" s="236"/>
      <c r="BA375" s="236"/>
      <c r="BB375" s="236"/>
      <c r="BC375" s="236"/>
      <c r="BD375" s="236"/>
      <c r="BE375" s="236"/>
      <c r="BF375" s="236"/>
      <c r="BG375" s="236"/>
      <c r="BH375" s="236"/>
      <c r="BI375" s="236"/>
      <c r="BJ375" s="236"/>
      <c r="BK375" s="236"/>
    </row>
    <row r="376" spans="1:63" s="133" customFormat="1" ht="12.75">
      <c r="A376" s="169"/>
      <c r="B376" s="307" t="str">
        <f>Servicio_internaColumna_título_total</f>
        <v>Total</v>
      </c>
      <c r="C376" s="310">
        <v>0</v>
      </c>
      <c r="D376" s="311"/>
      <c r="E376" s="311"/>
      <c r="F376" s="311"/>
      <c r="G376" s="311"/>
      <c r="H376" s="311"/>
      <c r="I376" s="311"/>
      <c r="J376" s="311"/>
      <c r="K376" s="311"/>
      <c r="L376" s="311"/>
      <c r="M376" s="311">
        <f>M375+M374</f>
        <v>4443595.3717923407</v>
      </c>
      <c r="N376" s="311">
        <f t="shared" ref="N376:AN376" si="50">N375+N374</f>
        <v>7137308.0837624073</v>
      </c>
      <c r="O376" s="311">
        <f t="shared" si="50"/>
        <v>6543489.599371627</v>
      </c>
      <c r="P376" s="311">
        <f t="shared" si="50"/>
        <v>7232394.2071378827</v>
      </c>
      <c r="Q376" s="311">
        <f t="shared" si="50"/>
        <v>8130075.0074379276</v>
      </c>
      <c r="R376" s="311">
        <f t="shared" si="50"/>
        <v>4709284.385036435</v>
      </c>
      <c r="S376" s="312">
        <f t="shared" si="50"/>
        <v>6902768.5196913145</v>
      </c>
      <c r="T376" s="311">
        <f t="shared" si="50"/>
        <v>3707182.0400020955</v>
      </c>
      <c r="U376" s="311">
        <f t="shared" si="50"/>
        <v>8128151.5849921321</v>
      </c>
      <c r="V376" s="311">
        <f t="shared" si="50"/>
        <v>4289694.8452854883</v>
      </c>
      <c r="W376" s="311">
        <f t="shared" si="50"/>
        <v>4704685.9211213645</v>
      </c>
      <c r="X376" s="311">
        <f t="shared" si="50"/>
        <v>2296775.2615019269</v>
      </c>
      <c r="Y376" s="311">
        <f t="shared" si="50"/>
        <v>2201942.9427301316</v>
      </c>
      <c r="Z376" s="311">
        <f t="shared" si="50"/>
        <v>3685060.5983258146</v>
      </c>
      <c r="AA376" s="311">
        <f t="shared" si="50"/>
        <v>2069548.797726176</v>
      </c>
      <c r="AB376" s="311">
        <f t="shared" si="50"/>
        <v>1614170.0163375777</v>
      </c>
      <c r="AC376" s="311">
        <f t="shared" si="50"/>
        <v>3317112.7735865749</v>
      </c>
      <c r="AD376" s="311">
        <f t="shared" si="50"/>
        <v>1256518.3460322581</v>
      </c>
      <c r="AE376" s="311">
        <f t="shared" si="50"/>
        <v>1092876.2119598608</v>
      </c>
      <c r="AF376" s="311">
        <f t="shared" si="50"/>
        <v>955021.88994271378</v>
      </c>
      <c r="AG376" s="311">
        <f t="shared" si="50"/>
        <v>888509.9936355839</v>
      </c>
      <c r="AH376" s="311">
        <f t="shared" si="50"/>
        <v>844393.80161128682</v>
      </c>
      <c r="AI376" s="311">
        <f t="shared" si="50"/>
        <v>1254963.6355059829</v>
      </c>
      <c r="AJ376" s="311">
        <f t="shared" si="50"/>
        <v>581486.76860475179</v>
      </c>
      <c r="AK376" s="311">
        <f t="shared" si="50"/>
        <v>509799.31210495136</v>
      </c>
      <c r="AL376" s="311">
        <f t="shared" si="50"/>
        <v>450920.1826839468</v>
      </c>
      <c r="AM376" s="311">
        <f t="shared" si="50"/>
        <v>3592586.8776654303</v>
      </c>
      <c r="AN376" s="311">
        <f t="shared" si="50"/>
        <v>113798.550105249</v>
      </c>
      <c r="AO376" s="311"/>
      <c r="AP376" s="311"/>
      <c r="AQ376" s="311"/>
      <c r="AR376" s="311"/>
      <c r="AS376" s="311"/>
      <c r="AT376" s="311"/>
      <c r="AU376" s="311"/>
      <c r="AV376" s="311"/>
      <c r="AW376" s="311"/>
      <c r="AX376" s="311"/>
      <c r="AY376" s="311"/>
      <c r="AZ376" s="311"/>
      <c r="BA376" s="311"/>
      <c r="BB376" s="311"/>
      <c r="BC376" s="311"/>
      <c r="BD376" s="311"/>
      <c r="BE376" s="311"/>
      <c r="BF376" s="311"/>
      <c r="BG376" s="311"/>
      <c r="BH376" s="311"/>
      <c r="BI376" s="311"/>
      <c r="BJ376" s="311"/>
      <c r="BK376" s="311"/>
    </row>
    <row r="377" spans="1:63" s="80" customFormat="1" ht="12.75">
      <c r="A377" s="167"/>
      <c r="B377" s="210" t="str">
        <f>Servicio_internaColumna_título_amortizaciones</f>
        <v>Amortizaciones</v>
      </c>
      <c r="C377" s="269">
        <v>0</v>
      </c>
      <c r="D377" s="235"/>
      <c r="E377" s="235"/>
      <c r="F377" s="235"/>
      <c r="G377" s="235"/>
      <c r="H377" s="235"/>
      <c r="I377" s="235"/>
      <c r="J377" s="235"/>
      <c r="K377" s="235"/>
      <c r="L377" s="235"/>
      <c r="M377" s="235">
        <v>911595.11907888483</v>
      </c>
      <c r="N377" s="235">
        <v>3502341.4967821306</v>
      </c>
      <c r="O377" s="235">
        <v>3132184.7212833529</v>
      </c>
      <c r="P377" s="235">
        <v>4052147.214582528</v>
      </c>
      <c r="Q377" s="235">
        <v>5200925.0506134732</v>
      </c>
      <c r="R377" s="235">
        <v>2214149.546767687</v>
      </c>
      <c r="S377" s="273">
        <v>4706427.6947977673</v>
      </c>
      <c r="T377" s="235">
        <v>1621620.2890200387</v>
      </c>
      <c r="U377" s="235">
        <v>6358702.4929511119</v>
      </c>
      <c r="V377" s="235">
        <v>2768461.9335047393</v>
      </c>
      <c r="W377" s="235">
        <v>3354101.0804513986</v>
      </c>
      <c r="X377" s="235">
        <v>1114547.031871056</v>
      </c>
      <c r="Y377" s="235">
        <v>1080133.0103073928</v>
      </c>
      <c r="Z377" s="235">
        <v>2735066.3554015108</v>
      </c>
      <c r="AA377" s="235">
        <v>1203680.756930904</v>
      </c>
      <c r="AB377" s="235">
        <v>803981.07549722737</v>
      </c>
      <c r="AC377" s="235">
        <v>2610457.0258094999</v>
      </c>
      <c r="AD377" s="235">
        <v>705719.93113551289</v>
      </c>
      <c r="AE377" s="235">
        <v>573050.07934854948</v>
      </c>
      <c r="AF377" s="235">
        <v>462106.00728426536</v>
      </c>
      <c r="AG377" s="235">
        <v>417754.48971253197</v>
      </c>
      <c r="AH377" s="235">
        <v>393958.81504968239</v>
      </c>
      <c r="AI377" s="235">
        <v>867420.29015332332</v>
      </c>
      <c r="AJ377" s="235">
        <v>218714.69807832959</v>
      </c>
      <c r="AK377" s="235">
        <v>155755.09155171839</v>
      </c>
      <c r="AL377" s="235">
        <v>103019.94023679539</v>
      </c>
      <c r="AM377" s="235">
        <v>3337967.6048379987</v>
      </c>
      <c r="AN377" s="235">
        <v>5628.2457878471987</v>
      </c>
      <c r="AO377" s="235"/>
      <c r="AP377" s="235"/>
      <c r="AQ377" s="235"/>
      <c r="AR377" s="235"/>
      <c r="AS377" s="235"/>
      <c r="AT377" s="235"/>
      <c r="AU377" s="235"/>
      <c r="AV377" s="235"/>
      <c r="AW377" s="235"/>
      <c r="AX377" s="235"/>
      <c r="AY377" s="235"/>
      <c r="AZ377" s="235"/>
      <c r="BA377" s="235"/>
      <c r="BB377" s="235"/>
      <c r="BC377" s="235"/>
      <c r="BD377" s="235"/>
      <c r="BE377" s="235"/>
      <c r="BF377" s="235"/>
      <c r="BG377" s="235"/>
      <c r="BH377" s="235"/>
      <c r="BI377" s="235"/>
      <c r="BJ377" s="235"/>
      <c r="BK377" s="235"/>
    </row>
    <row r="378" spans="1:63" s="133" customFormat="1" ht="12.75">
      <c r="A378" s="168">
        <v>40664</v>
      </c>
      <c r="B378" s="213" t="str">
        <f>Servicio_internaColumna_título_intereses</f>
        <v>Intereses</v>
      </c>
      <c r="C378" s="270">
        <v>0</v>
      </c>
      <c r="D378" s="271"/>
      <c r="E378" s="271"/>
      <c r="F378" s="271"/>
      <c r="G378" s="271"/>
      <c r="H378" s="271"/>
      <c r="I378" s="271"/>
      <c r="J378" s="271"/>
      <c r="K378" s="271"/>
      <c r="L378" s="271"/>
      <c r="M378" s="271">
        <v>2260969.6708088233</v>
      </c>
      <c r="N378" s="271">
        <v>3796539.437330436</v>
      </c>
      <c r="O378" s="271">
        <v>3558448.2811987284</v>
      </c>
      <c r="P378" s="271">
        <v>3363787.2686870471</v>
      </c>
      <c r="Q378" s="271">
        <v>3092016.2930622939</v>
      </c>
      <c r="R378" s="271">
        <v>2624527.9699991136</v>
      </c>
      <c r="S378" s="274">
        <v>2384404.8814697117</v>
      </c>
      <c r="T378" s="271">
        <v>2188041.3051011506</v>
      </c>
      <c r="U378" s="272">
        <v>1970975.81821161</v>
      </c>
      <c r="V378" s="272">
        <v>1642258.0966707596</v>
      </c>
      <c r="W378" s="272">
        <v>1482703.0244886843</v>
      </c>
      <c r="X378" s="272">
        <v>1248238.4645924044</v>
      </c>
      <c r="Y378" s="272">
        <v>1184822.9948464141</v>
      </c>
      <c r="Z378" s="272">
        <v>1054720.0170099346</v>
      </c>
      <c r="AA378" s="272">
        <v>925888.01632935717</v>
      </c>
      <c r="AB378" s="272">
        <v>856646.20126717794</v>
      </c>
      <c r="AC378" s="272">
        <v>801179.14595516678</v>
      </c>
      <c r="AD378" s="236">
        <v>587410.88196245697</v>
      </c>
      <c r="AE378" s="236">
        <v>551869.6068135096</v>
      </c>
      <c r="AF378" s="236">
        <v>521014.53138541372</v>
      </c>
      <c r="AG378" s="236">
        <v>496338.91957672685</v>
      </c>
      <c r="AH378" s="236">
        <v>474188.24285430356</v>
      </c>
      <c r="AI378" s="236">
        <v>422876.51669734379</v>
      </c>
      <c r="AJ378" s="236">
        <v>379153.67360540456</v>
      </c>
      <c r="AK378" s="236">
        <v>368421.74111907778</v>
      </c>
      <c r="AL378" s="236">
        <v>360622.48133995855</v>
      </c>
      <c r="AM378" s="236">
        <v>355856.62898808537</v>
      </c>
      <c r="AN378" s="236">
        <v>111376.5501705318</v>
      </c>
      <c r="AO378" s="236"/>
      <c r="AP378" s="236"/>
      <c r="AQ378" s="236"/>
      <c r="AR378" s="236"/>
      <c r="AS378" s="236"/>
      <c r="AT378" s="236"/>
      <c r="AU378" s="236"/>
      <c r="AV378" s="236"/>
      <c r="AW378" s="236"/>
      <c r="AX378" s="236"/>
      <c r="AY378" s="236"/>
      <c r="AZ378" s="236"/>
      <c r="BA378" s="236"/>
      <c r="BB378" s="236"/>
      <c r="BC378" s="236"/>
      <c r="BD378" s="236"/>
      <c r="BE378" s="236"/>
      <c r="BF378" s="236"/>
      <c r="BG378" s="236"/>
      <c r="BH378" s="236"/>
      <c r="BI378" s="236"/>
      <c r="BJ378" s="236"/>
      <c r="BK378" s="236"/>
    </row>
    <row r="379" spans="1:63" s="133" customFormat="1" ht="12.75">
      <c r="A379" s="169"/>
      <c r="B379" s="307" t="str">
        <f>Servicio_internaColumna_título_total</f>
        <v>Total</v>
      </c>
      <c r="C379" s="310">
        <v>0</v>
      </c>
      <c r="D379" s="311"/>
      <c r="E379" s="311"/>
      <c r="F379" s="311"/>
      <c r="G379" s="311"/>
      <c r="H379" s="311"/>
      <c r="I379" s="311"/>
      <c r="J379" s="311"/>
      <c r="K379" s="311"/>
      <c r="L379" s="311"/>
      <c r="M379" s="311">
        <f>M378+M377</f>
        <v>3172564.7898877081</v>
      </c>
      <c r="N379" s="311">
        <f t="shared" ref="N379:AN379" si="51">N378+N377</f>
        <v>7298880.9341125665</v>
      </c>
      <c r="O379" s="311">
        <f t="shared" si="51"/>
        <v>6690633.0024820808</v>
      </c>
      <c r="P379" s="311">
        <f t="shared" si="51"/>
        <v>7415934.4832695751</v>
      </c>
      <c r="Q379" s="311">
        <f t="shared" si="51"/>
        <v>8292941.3436757671</v>
      </c>
      <c r="R379" s="311">
        <f t="shared" si="51"/>
        <v>4838677.5167668005</v>
      </c>
      <c r="S379" s="312">
        <f t="shared" si="51"/>
        <v>7090832.576267479</v>
      </c>
      <c r="T379" s="311">
        <f t="shared" si="51"/>
        <v>3809661.5941211893</v>
      </c>
      <c r="U379" s="311">
        <f t="shared" si="51"/>
        <v>8329678.3111627214</v>
      </c>
      <c r="V379" s="311">
        <f t="shared" si="51"/>
        <v>4410720.0301754987</v>
      </c>
      <c r="W379" s="311">
        <f t="shared" si="51"/>
        <v>4836804.1049400829</v>
      </c>
      <c r="X379" s="311">
        <f t="shared" si="51"/>
        <v>2362785.4964634604</v>
      </c>
      <c r="Y379" s="311">
        <f t="shared" si="51"/>
        <v>2264956.0051538069</v>
      </c>
      <c r="Z379" s="311">
        <f t="shared" si="51"/>
        <v>3789786.3724114457</v>
      </c>
      <c r="AA379" s="311">
        <f t="shared" si="51"/>
        <v>2129568.7732602609</v>
      </c>
      <c r="AB379" s="311">
        <f t="shared" si="51"/>
        <v>1660627.2767644054</v>
      </c>
      <c r="AC379" s="311">
        <f t="shared" si="51"/>
        <v>3411636.1717646667</v>
      </c>
      <c r="AD379" s="311">
        <f t="shared" si="51"/>
        <v>1293130.8130979699</v>
      </c>
      <c r="AE379" s="311">
        <f t="shared" si="51"/>
        <v>1124919.6861620592</v>
      </c>
      <c r="AF379" s="311">
        <f t="shared" si="51"/>
        <v>983120.53866967908</v>
      </c>
      <c r="AG379" s="311">
        <f t="shared" si="51"/>
        <v>914093.40928925877</v>
      </c>
      <c r="AH379" s="311">
        <f t="shared" si="51"/>
        <v>868147.05790398596</v>
      </c>
      <c r="AI379" s="311">
        <f t="shared" si="51"/>
        <v>1290296.8068506671</v>
      </c>
      <c r="AJ379" s="311">
        <f t="shared" si="51"/>
        <v>597868.37168373412</v>
      </c>
      <c r="AK379" s="311">
        <f t="shared" si="51"/>
        <v>524176.8326707962</v>
      </c>
      <c r="AL379" s="311">
        <f t="shared" si="51"/>
        <v>463642.42157675396</v>
      </c>
      <c r="AM379" s="311">
        <f t="shared" si="51"/>
        <v>3693824.2338260841</v>
      </c>
      <c r="AN379" s="311">
        <f t="shared" si="51"/>
        <v>117004.79595837901</v>
      </c>
      <c r="AO379" s="311"/>
      <c r="AP379" s="311"/>
      <c r="AQ379" s="311"/>
      <c r="AR379" s="311"/>
      <c r="AS379" s="311"/>
      <c r="AT379" s="311"/>
      <c r="AU379" s="311"/>
      <c r="AV379" s="311"/>
      <c r="AW379" s="311"/>
      <c r="AX379" s="311"/>
      <c r="AY379" s="311"/>
      <c r="AZ379" s="311"/>
      <c r="BA379" s="311"/>
      <c r="BB379" s="311"/>
      <c r="BC379" s="311"/>
      <c r="BD379" s="311"/>
      <c r="BE379" s="311"/>
      <c r="BF379" s="311"/>
      <c r="BG379" s="311"/>
      <c r="BH379" s="311"/>
      <c r="BI379" s="311"/>
      <c r="BJ379" s="311"/>
      <c r="BK379" s="311"/>
    </row>
    <row r="380" spans="1:63" s="80" customFormat="1" ht="12.75">
      <c r="A380" s="167"/>
      <c r="B380" s="210" t="str">
        <f>Servicio_internaColumna_título_amortizaciones</f>
        <v>Amortizaciones</v>
      </c>
      <c r="C380" s="269">
        <v>0</v>
      </c>
      <c r="D380" s="235"/>
      <c r="E380" s="235"/>
      <c r="F380" s="235"/>
      <c r="G380" s="235"/>
      <c r="H380" s="235"/>
      <c r="I380" s="235"/>
      <c r="J380" s="235"/>
      <c r="K380" s="235"/>
      <c r="L380" s="235"/>
      <c r="M380" s="235">
        <v>726780.97033203859</v>
      </c>
      <c r="N380" s="235">
        <v>3436426.6444109413</v>
      </c>
      <c r="O380" s="235">
        <v>3071519.1823004996</v>
      </c>
      <c r="P380" s="235">
        <v>3977131.3477099137</v>
      </c>
      <c r="Q380" s="235">
        <v>5130356.7588314461</v>
      </c>
      <c r="R380" s="235">
        <v>2173741.4153007781</v>
      </c>
      <c r="S380" s="273">
        <v>4611909.1013781922</v>
      </c>
      <c r="T380" s="235">
        <v>1589732.466570419</v>
      </c>
      <c r="U380" s="235">
        <v>6233129.4411636451</v>
      </c>
      <c r="V380" s="235">
        <v>2712582.3374707201</v>
      </c>
      <c r="W380" s="235">
        <v>3306060.1303082341</v>
      </c>
      <c r="X380" s="235">
        <v>1092041.3005107078</v>
      </c>
      <c r="Y380" s="235">
        <v>1058334.2166617953</v>
      </c>
      <c r="Z380" s="235">
        <v>2679090.2838122272</v>
      </c>
      <c r="AA380" s="235">
        <v>1179018.544468045</v>
      </c>
      <c r="AB380" s="235">
        <v>787459.54679807683</v>
      </c>
      <c r="AC380" s="235">
        <v>2572564.4066209085</v>
      </c>
      <c r="AD380" s="235">
        <v>691248.4393729408</v>
      </c>
      <c r="AE380" s="235">
        <v>561292.81007017917</v>
      </c>
      <c r="AF380" s="235">
        <v>452618.48422803846</v>
      </c>
      <c r="AG380" s="235">
        <v>409162.28430344956</v>
      </c>
      <c r="AH380" s="235">
        <v>385888.29307672643</v>
      </c>
      <c r="AI380" s="235">
        <v>849663.42708495376</v>
      </c>
      <c r="AJ380" s="235">
        <v>214229.36037854722</v>
      </c>
      <c r="AK380" s="235">
        <v>152557.81121635842</v>
      </c>
      <c r="AL380" s="235">
        <v>100901.55329615361</v>
      </c>
      <c r="AM380" s="235">
        <v>3269667.1385412961</v>
      </c>
      <c r="AN380" s="235">
        <v>5513.1004774527992</v>
      </c>
      <c r="AO380" s="235"/>
      <c r="AP380" s="235"/>
      <c r="AQ380" s="235"/>
      <c r="AR380" s="235"/>
      <c r="AS380" s="235"/>
      <c r="AT380" s="235"/>
      <c r="AU380" s="235"/>
      <c r="AV380" s="235"/>
      <c r="AW380" s="235"/>
      <c r="AX380" s="235"/>
      <c r="AY380" s="235"/>
      <c r="AZ380" s="235"/>
      <c r="BA380" s="235"/>
      <c r="BB380" s="235"/>
      <c r="BC380" s="235"/>
      <c r="BD380" s="235"/>
      <c r="BE380" s="235"/>
      <c r="BF380" s="235"/>
      <c r="BG380" s="235"/>
      <c r="BH380" s="235"/>
      <c r="BI380" s="235"/>
      <c r="BJ380" s="235"/>
      <c r="BK380" s="235"/>
    </row>
    <row r="381" spans="1:63" s="133" customFormat="1" ht="12.75">
      <c r="A381" s="168">
        <v>40695</v>
      </c>
      <c r="B381" s="213" t="str">
        <f>Servicio_internaColumna_título_intereses</f>
        <v>Intereses</v>
      </c>
      <c r="C381" s="270">
        <v>0</v>
      </c>
      <c r="D381" s="271"/>
      <c r="E381" s="271"/>
      <c r="F381" s="271"/>
      <c r="G381" s="271"/>
      <c r="H381" s="271"/>
      <c r="I381" s="271"/>
      <c r="J381" s="271"/>
      <c r="K381" s="271"/>
      <c r="L381" s="271"/>
      <c r="M381" s="271">
        <v>1876379.598040669</v>
      </c>
      <c r="N381" s="271">
        <v>3747863.3135157609</v>
      </c>
      <c r="O381" s="271">
        <v>3521744.8204589831</v>
      </c>
      <c r="P381" s="271">
        <v>3327825.0342774568</v>
      </c>
      <c r="Q381" s="271">
        <v>3049228.4425653894</v>
      </c>
      <c r="R381" s="271">
        <v>2598210.898717769</v>
      </c>
      <c r="S381" s="274">
        <v>2344488.0906410655</v>
      </c>
      <c r="T381" s="271">
        <v>2150149.232490134</v>
      </c>
      <c r="U381" s="272">
        <v>1936709.0880145663</v>
      </c>
      <c r="V381" s="272">
        <v>1613701.1313963011</v>
      </c>
      <c r="W381" s="272">
        <v>1457767.7044190783</v>
      </c>
      <c r="X381" s="272">
        <v>1224841.1153174145</v>
      </c>
      <c r="Y381" s="272">
        <v>1162955.1955140864</v>
      </c>
      <c r="Z381" s="272">
        <v>1035553.8792726623</v>
      </c>
      <c r="AA381" s="272">
        <v>909012.28875760955</v>
      </c>
      <c r="AB381" s="272">
        <v>841215.0812377343</v>
      </c>
      <c r="AC381" s="272">
        <v>786758.71607051825</v>
      </c>
      <c r="AD381" s="236">
        <v>575599.36220000952</v>
      </c>
      <c r="AE381" s="236">
        <v>540671.72919947526</v>
      </c>
      <c r="AF381" s="236">
        <v>510435.41320905602</v>
      </c>
      <c r="AG381" s="236">
        <v>486250.61403071356</v>
      </c>
      <c r="AH381" s="236">
        <v>464538.89170063363</v>
      </c>
      <c r="AI381" s="236">
        <v>414264.92634707841</v>
      </c>
      <c r="AJ381" s="236">
        <v>371373.41083367681</v>
      </c>
      <c r="AK381" s="236">
        <v>360853.45128112636</v>
      </c>
      <c r="AL381" s="236">
        <v>353244.31923107518</v>
      </c>
      <c r="AM381" s="236">
        <v>348576.2385248288</v>
      </c>
      <c r="AN381" s="236">
        <v>109097.95610704321</v>
      </c>
      <c r="AO381" s="236"/>
      <c r="AP381" s="236"/>
      <c r="AQ381" s="236"/>
      <c r="AR381" s="236"/>
      <c r="AS381" s="236"/>
      <c r="AT381" s="236"/>
      <c r="AU381" s="236"/>
      <c r="AV381" s="236"/>
      <c r="AW381" s="236"/>
      <c r="AX381" s="236"/>
      <c r="AY381" s="236"/>
      <c r="AZ381" s="236"/>
      <c r="BA381" s="236"/>
      <c r="BB381" s="236"/>
      <c r="BC381" s="236"/>
      <c r="BD381" s="236"/>
      <c r="BE381" s="236"/>
      <c r="BF381" s="236"/>
      <c r="BG381" s="236"/>
      <c r="BH381" s="236"/>
      <c r="BI381" s="236"/>
      <c r="BJ381" s="236"/>
      <c r="BK381" s="236"/>
    </row>
    <row r="382" spans="1:63" s="133" customFormat="1" ht="12.75">
      <c r="A382" s="169"/>
      <c r="B382" s="307" t="str">
        <f>Servicio_internaColumna_título_total</f>
        <v>Total</v>
      </c>
      <c r="C382" s="310">
        <v>0</v>
      </c>
      <c r="D382" s="311"/>
      <c r="E382" s="311"/>
      <c r="F382" s="311"/>
      <c r="G382" s="311"/>
      <c r="H382" s="311"/>
      <c r="I382" s="311"/>
      <c r="J382" s="311"/>
      <c r="K382" s="311"/>
      <c r="L382" s="311"/>
      <c r="M382" s="311">
        <f>M381+M380</f>
        <v>2603160.5683727078</v>
      </c>
      <c r="N382" s="311">
        <f t="shared" ref="N382:AN382" si="52">N381+N380</f>
        <v>7184289.9579267018</v>
      </c>
      <c r="O382" s="311">
        <f t="shared" si="52"/>
        <v>6593264.0027594827</v>
      </c>
      <c r="P382" s="311">
        <f t="shared" si="52"/>
        <v>7304956.3819873706</v>
      </c>
      <c r="Q382" s="311">
        <f t="shared" si="52"/>
        <v>8179585.201396836</v>
      </c>
      <c r="R382" s="311">
        <f t="shared" si="52"/>
        <v>4771952.3140185475</v>
      </c>
      <c r="S382" s="312">
        <f t="shared" si="52"/>
        <v>6956397.1920192577</v>
      </c>
      <c r="T382" s="311">
        <f t="shared" si="52"/>
        <v>3739881.6990605528</v>
      </c>
      <c r="U382" s="311">
        <f t="shared" si="52"/>
        <v>8169838.5291782115</v>
      </c>
      <c r="V382" s="311">
        <f t="shared" si="52"/>
        <v>4326283.4688670207</v>
      </c>
      <c r="W382" s="311">
        <f t="shared" si="52"/>
        <v>4763827.8347273124</v>
      </c>
      <c r="X382" s="311">
        <f t="shared" si="52"/>
        <v>2316882.4158281223</v>
      </c>
      <c r="Y382" s="311">
        <f t="shared" si="52"/>
        <v>2221289.4121758817</v>
      </c>
      <c r="Z382" s="311">
        <f t="shared" si="52"/>
        <v>3714644.1630848898</v>
      </c>
      <c r="AA382" s="311">
        <f t="shared" si="52"/>
        <v>2088030.8332256544</v>
      </c>
      <c r="AB382" s="311">
        <f t="shared" si="52"/>
        <v>1628674.6280358112</v>
      </c>
      <c r="AC382" s="311">
        <f t="shared" si="52"/>
        <v>3359323.1226914269</v>
      </c>
      <c r="AD382" s="311">
        <f t="shared" si="52"/>
        <v>1266847.8015729503</v>
      </c>
      <c r="AE382" s="311">
        <f t="shared" si="52"/>
        <v>1101964.5392696545</v>
      </c>
      <c r="AF382" s="311">
        <f t="shared" si="52"/>
        <v>963053.89743709448</v>
      </c>
      <c r="AG382" s="311">
        <f t="shared" si="52"/>
        <v>895412.89833416312</v>
      </c>
      <c r="AH382" s="311">
        <f t="shared" si="52"/>
        <v>850427.18477736006</v>
      </c>
      <c r="AI382" s="311">
        <f t="shared" si="52"/>
        <v>1263928.3534320323</v>
      </c>
      <c r="AJ382" s="311">
        <f t="shared" si="52"/>
        <v>585602.77121222403</v>
      </c>
      <c r="AK382" s="311">
        <f t="shared" si="52"/>
        <v>513411.2624974848</v>
      </c>
      <c r="AL382" s="311">
        <f t="shared" si="52"/>
        <v>454145.87252722878</v>
      </c>
      <c r="AM382" s="311">
        <f t="shared" si="52"/>
        <v>3618243.3770661252</v>
      </c>
      <c r="AN382" s="311">
        <f t="shared" si="52"/>
        <v>114611.05658449601</v>
      </c>
      <c r="AO382" s="311"/>
      <c r="AP382" s="311"/>
      <c r="AQ382" s="311"/>
      <c r="AR382" s="311"/>
      <c r="AS382" s="311"/>
      <c r="AT382" s="311"/>
      <c r="AU382" s="311"/>
      <c r="AV382" s="311"/>
      <c r="AW382" s="311"/>
      <c r="AX382" s="311"/>
      <c r="AY382" s="311"/>
      <c r="AZ382" s="311"/>
      <c r="BA382" s="311"/>
      <c r="BB382" s="311"/>
      <c r="BC382" s="311"/>
      <c r="BD382" s="311"/>
      <c r="BE382" s="311"/>
      <c r="BF382" s="311"/>
      <c r="BG382" s="311"/>
      <c r="BH382" s="311"/>
      <c r="BI382" s="311"/>
      <c r="BJ382" s="311"/>
      <c r="BK382" s="311"/>
    </row>
    <row r="383" spans="1:63" s="80" customFormat="1" ht="12.75">
      <c r="A383" s="167"/>
      <c r="B383" s="210" t="str">
        <f>Servicio_internaColumna_título_amortizaciones</f>
        <v>Amortizaciones</v>
      </c>
      <c r="C383" s="269">
        <v>0</v>
      </c>
      <c r="D383" s="235"/>
      <c r="E383" s="235"/>
      <c r="F383" s="235"/>
      <c r="G383" s="235"/>
      <c r="H383" s="235"/>
      <c r="I383" s="235"/>
      <c r="J383" s="235"/>
      <c r="K383" s="235"/>
      <c r="L383" s="235"/>
      <c r="M383" s="235">
        <v>646313.61118994921</v>
      </c>
      <c r="N383" s="235">
        <v>3442729.7393509573</v>
      </c>
      <c r="O383" s="235">
        <v>3063353.1887370958</v>
      </c>
      <c r="P383" s="235">
        <v>3982892.1160047101</v>
      </c>
      <c r="Q383" s="235">
        <v>5306674.9955322351</v>
      </c>
      <c r="R383" s="235">
        <v>2194959.5115625602</v>
      </c>
      <c r="S383" s="273">
        <v>4602529.9643247239</v>
      </c>
      <c r="T383" s="235">
        <v>1581724.8378104735</v>
      </c>
      <c r="U383" s="235">
        <v>6270658.7336807577</v>
      </c>
      <c r="V383" s="235">
        <v>2698860.8498550467</v>
      </c>
      <c r="W383" s="235">
        <v>6831623.3878946519</v>
      </c>
      <c r="X383" s="235">
        <v>1086501.0436135682</v>
      </c>
      <c r="Y383" s="235">
        <v>1052955.0316396388</v>
      </c>
      <c r="Z383" s="235">
        <v>2665533.7688293303</v>
      </c>
      <c r="AA383" s="235">
        <v>1173068.4610358968</v>
      </c>
      <c r="AB383" s="235">
        <v>783473.2444858395</v>
      </c>
      <c r="AC383" s="235">
        <v>2559559.1862259661</v>
      </c>
      <c r="AD383" s="235">
        <v>687763.61873676383</v>
      </c>
      <c r="AE383" s="235">
        <v>558465.73910397035</v>
      </c>
      <c r="AF383" s="235">
        <v>450328.26846740406</v>
      </c>
      <c r="AG383" s="235">
        <v>407087.83863007452</v>
      </c>
      <c r="AH383" s="235">
        <v>383945.91184165404</v>
      </c>
      <c r="AI383" s="235">
        <v>845361.97976607305</v>
      </c>
      <c r="AJ383" s="235">
        <v>213144.06269847701</v>
      </c>
      <c r="AK383" s="235">
        <v>151784.65438764502</v>
      </c>
      <c r="AL383" s="235">
        <v>100390.35122118851</v>
      </c>
      <c r="AM383" s="235">
        <v>3253118.2323091277</v>
      </c>
      <c r="AN383" s="235">
        <v>5485.196786042</v>
      </c>
      <c r="AO383" s="235"/>
      <c r="AP383" s="235"/>
      <c r="AQ383" s="235"/>
      <c r="AR383" s="235"/>
      <c r="AS383" s="235"/>
      <c r="AT383" s="235"/>
      <c r="AU383" s="235"/>
      <c r="AV383" s="235"/>
      <c r="AW383" s="235"/>
      <c r="AX383" s="235"/>
      <c r="AY383" s="235"/>
      <c r="AZ383" s="235"/>
      <c r="BA383" s="235"/>
      <c r="BB383" s="235"/>
      <c r="BC383" s="235"/>
      <c r="BD383" s="235"/>
      <c r="BE383" s="235"/>
      <c r="BF383" s="235"/>
      <c r="BG383" s="235"/>
      <c r="BH383" s="235"/>
      <c r="BI383" s="235"/>
      <c r="BJ383" s="235"/>
      <c r="BK383" s="235"/>
    </row>
    <row r="384" spans="1:63" s="133" customFormat="1" ht="12.75">
      <c r="A384" s="168">
        <v>40725</v>
      </c>
      <c r="B384" s="213" t="str">
        <f>Servicio_internaColumna_título_intereses</f>
        <v>Intereses</v>
      </c>
      <c r="C384" s="270">
        <v>0</v>
      </c>
      <c r="D384" s="271"/>
      <c r="E384" s="271"/>
      <c r="F384" s="271"/>
      <c r="G384" s="271"/>
      <c r="H384" s="271"/>
      <c r="I384" s="271"/>
      <c r="J384" s="271"/>
      <c r="K384" s="271"/>
      <c r="L384" s="271"/>
      <c r="M384" s="271">
        <v>1493859.3500614217</v>
      </c>
      <c r="N384" s="271">
        <v>3891423.3336399207</v>
      </c>
      <c r="O384" s="271">
        <v>3680088.7969798376</v>
      </c>
      <c r="P384" s="271">
        <v>3511560.687649644</v>
      </c>
      <c r="Q384" s="271">
        <v>3247062.7066437239</v>
      </c>
      <c r="R384" s="271">
        <v>2777783.6120952778</v>
      </c>
      <c r="S384" s="274">
        <v>2549748.9945923602</v>
      </c>
      <c r="T384" s="271">
        <v>2295222.5683026952</v>
      </c>
      <c r="U384" s="272">
        <v>2083177.0870025472</v>
      </c>
      <c r="V384" s="272">
        <v>1760630.8498230919</v>
      </c>
      <c r="W384" s="272">
        <v>1605378.9593406145</v>
      </c>
      <c r="X384" s="272">
        <v>1218648.8361315161</v>
      </c>
      <c r="Y384" s="272">
        <v>1157073.4266910888</v>
      </c>
      <c r="Z384" s="272">
        <v>1030323.0671292094</v>
      </c>
      <c r="AA384" s="272">
        <v>904424.66617575288</v>
      </c>
      <c r="AB384" s="272">
        <v>836966.75062206399</v>
      </c>
      <c r="AC384" s="272">
        <v>782785.6039290136</v>
      </c>
      <c r="AD384" s="236">
        <v>572693.94349616603</v>
      </c>
      <c r="AE384" s="236">
        <v>537942.08065440704</v>
      </c>
      <c r="AF384" s="236">
        <v>507852.13397285645</v>
      </c>
      <c r="AG384" s="236">
        <v>483789.03013888252</v>
      </c>
      <c r="AH384" s="236">
        <v>462189.08747545502</v>
      </c>
      <c r="AI384" s="236">
        <v>412168.16444735549</v>
      </c>
      <c r="AJ384" s="236">
        <v>369494.22597410751</v>
      </c>
      <c r="AK384" s="236">
        <v>359027.47872369201</v>
      </c>
      <c r="AL384" s="236">
        <v>351456.42670851195</v>
      </c>
      <c r="AM384" s="236">
        <v>346811.97468949453</v>
      </c>
      <c r="AN384" s="236">
        <v>108545.77395233551</v>
      </c>
      <c r="AO384" s="236"/>
      <c r="AP384" s="236"/>
      <c r="AQ384" s="236"/>
      <c r="AR384" s="236"/>
      <c r="AS384" s="236"/>
      <c r="AT384" s="236"/>
      <c r="AU384" s="236"/>
      <c r="AV384" s="236"/>
      <c r="AW384" s="236"/>
      <c r="AX384" s="236"/>
      <c r="AY384" s="236"/>
      <c r="AZ384" s="236"/>
      <c r="BA384" s="236"/>
      <c r="BB384" s="236"/>
      <c r="BC384" s="236"/>
      <c r="BD384" s="236"/>
      <c r="BE384" s="236"/>
      <c r="BF384" s="236"/>
      <c r="BG384" s="236"/>
      <c r="BH384" s="236"/>
      <c r="BI384" s="236"/>
      <c r="BJ384" s="236"/>
      <c r="BK384" s="236"/>
    </row>
    <row r="385" spans="1:63" s="133" customFormat="1" ht="12.75">
      <c r="A385" s="169"/>
      <c r="B385" s="307" t="str">
        <f>Servicio_internaColumna_título_total</f>
        <v>Total</v>
      </c>
      <c r="C385" s="310">
        <v>0</v>
      </c>
      <c r="D385" s="311"/>
      <c r="E385" s="311"/>
      <c r="F385" s="311"/>
      <c r="G385" s="311"/>
      <c r="H385" s="311"/>
      <c r="I385" s="311"/>
      <c r="J385" s="311"/>
      <c r="K385" s="311"/>
      <c r="L385" s="311"/>
      <c r="M385" s="311">
        <f>+SUM(M383:M384)</f>
        <v>2140172.9612513711</v>
      </c>
      <c r="N385" s="311">
        <f t="shared" ref="N385:AN385" si="53">+SUM(N383:N384)</f>
        <v>7334153.0729908776</v>
      </c>
      <c r="O385" s="311">
        <f t="shared" si="53"/>
        <v>6743441.9857169334</v>
      </c>
      <c r="P385" s="311">
        <f t="shared" si="53"/>
        <v>7494452.8036543541</v>
      </c>
      <c r="Q385" s="311">
        <f t="shared" si="53"/>
        <v>8553737.7021759599</v>
      </c>
      <c r="R385" s="311">
        <f t="shared" si="53"/>
        <v>4972743.1236578375</v>
      </c>
      <c r="S385" s="312">
        <f t="shared" si="53"/>
        <v>7152278.9589170842</v>
      </c>
      <c r="T385" s="311">
        <f t="shared" si="53"/>
        <v>3876947.4061131687</v>
      </c>
      <c r="U385" s="311">
        <f t="shared" si="53"/>
        <v>8353835.8206833052</v>
      </c>
      <c r="V385" s="311">
        <f t="shared" si="53"/>
        <v>4459491.6996781388</v>
      </c>
      <c r="W385" s="311">
        <f t="shared" si="53"/>
        <v>8437002.3472352661</v>
      </c>
      <c r="X385" s="311">
        <f t="shared" si="53"/>
        <v>2305149.8797450843</v>
      </c>
      <c r="Y385" s="311">
        <f t="shared" si="53"/>
        <v>2210028.4583307276</v>
      </c>
      <c r="Z385" s="311">
        <f t="shared" si="53"/>
        <v>3695856.8359585395</v>
      </c>
      <c r="AA385" s="311">
        <f t="shared" si="53"/>
        <v>2077493.1272116497</v>
      </c>
      <c r="AB385" s="311">
        <f t="shared" si="53"/>
        <v>1620439.9951079036</v>
      </c>
      <c r="AC385" s="311">
        <f t="shared" si="53"/>
        <v>3342344.7901549796</v>
      </c>
      <c r="AD385" s="311">
        <f t="shared" si="53"/>
        <v>1260457.5622329297</v>
      </c>
      <c r="AE385" s="311">
        <f t="shared" si="53"/>
        <v>1096407.8197583775</v>
      </c>
      <c r="AF385" s="311">
        <f t="shared" si="53"/>
        <v>958180.40244026051</v>
      </c>
      <c r="AG385" s="311">
        <f t="shared" si="53"/>
        <v>890876.86876895698</v>
      </c>
      <c r="AH385" s="311">
        <f t="shared" si="53"/>
        <v>846134.99931710912</v>
      </c>
      <c r="AI385" s="311">
        <f t="shared" si="53"/>
        <v>1257530.1442134285</v>
      </c>
      <c r="AJ385" s="311">
        <f t="shared" si="53"/>
        <v>582638.28867258457</v>
      </c>
      <c r="AK385" s="311">
        <f t="shared" si="53"/>
        <v>510812.13311133703</v>
      </c>
      <c r="AL385" s="311">
        <f t="shared" si="53"/>
        <v>451846.77792970045</v>
      </c>
      <c r="AM385" s="311">
        <f t="shared" si="53"/>
        <v>3599930.206998622</v>
      </c>
      <c r="AN385" s="311">
        <f t="shared" si="53"/>
        <v>114030.97073837751</v>
      </c>
      <c r="AO385" s="311"/>
      <c r="AP385" s="311"/>
      <c r="AQ385" s="311"/>
      <c r="AR385" s="311"/>
      <c r="AS385" s="311"/>
      <c r="AT385" s="311"/>
      <c r="AU385" s="311"/>
      <c r="AV385" s="311"/>
      <c r="AW385" s="311"/>
      <c r="AX385" s="311"/>
      <c r="AY385" s="311"/>
      <c r="AZ385" s="311"/>
      <c r="BA385" s="311"/>
      <c r="BB385" s="311"/>
      <c r="BC385" s="311"/>
      <c r="BD385" s="311"/>
      <c r="BE385" s="311"/>
      <c r="BF385" s="311"/>
      <c r="BG385" s="311"/>
      <c r="BH385" s="311"/>
      <c r="BI385" s="311"/>
      <c r="BJ385" s="311"/>
      <c r="BK385" s="311"/>
    </row>
    <row r="386" spans="1:63" s="80" customFormat="1" ht="12.75">
      <c r="A386" s="167"/>
      <c r="B386" s="210" t="str">
        <f>Servicio_internaColumna_título_amortizaciones</f>
        <v>Amortizaciones</v>
      </c>
      <c r="C386" s="269">
        <v>0</v>
      </c>
      <c r="D386" s="235"/>
      <c r="E386" s="235"/>
      <c r="F386" s="235"/>
      <c r="G386" s="235"/>
      <c r="H386" s="235"/>
      <c r="I386" s="235"/>
      <c r="J386" s="235"/>
      <c r="K386" s="235"/>
      <c r="L386" s="235"/>
      <c r="M386" s="235">
        <v>592981.01299365121</v>
      </c>
      <c r="N386" s="235">
        <v>3469027.6530513936</v>
      </c>
      <c r="O386" s="235">
        <v>3077585.787947421</v>
      </c>
      <c r="P386" s="235">
        <v>3979963.9486533334</v>
      </c>
      <c r="Q386" s="235">
        <v>5106333.0388470124</v>
      </c>
      <c r="R386" s="235">
        <v>2179015.7088253866</v>
      </c>
      <c r="S386" s="273">
        <v>4620508.2631990071</v>
      </c>
      <c r="T386" s="235">
        <v>1592799.5316194722</v>
      </c>
      <c r="U386" s="235">
        <v>6253994.4857808789</v>
      </c>
      <c r="V386" s="235">
        <v>2717875.9826850216</v>
      </c>
      <c r="W386" s="235">
        <v>6879834.9474599632</v>
      </c>
      <c r="X386" s="235">
        <v>1094180.6180135813</v>
      </c>
      <c r="Y386" s="235">
        <v>1057911.299809929</v>
      </c>
      <c r="Z386" s="235">
        <v>2679338.1049700887</v>
      </c>
      <c r="AA386" s="235">
        <v>1176337.8160371147</v>
      </c>
      <c r="AB386" s="235">
        <v>784043.13997607992</v>
      </c>
      <c r="AC386" s="235">
        <v>2572645.4180097575</v>
      </c>
      <c r="AD386" s="235">
        <v>687628.96999135683</v>
      </c>
      <c r="AE386" s="235">
        <v>557417.83260275132</v>
      </c>
      <c r="AF386" s="235">
        <v>451397.86465872021</v>
      </c>
      <c r="AG386" s="235">
        <v>410733.31878055981</v>
      </c>
      <c r="AH386" s="235">
        <v>387427.9357608076</v>
      </c>
      <c r="AI386" s="235">
        <v>852103.08112628735</v>
      </c>
      <c r="AJ386" s="235">
        <v>215419.67771224081</v>
      </c>
      <c r="AK386" s="235">
        <v>153626.87516717199</v>
      </c>
      <c r="AL386" s="235">
        <v>101867.77578802541</v>
      </c>
      <c r="AM386" s="235">
        <v>3276864.0281558735</v>
      </c>
      <c r="AN386" s="235">
        <v>8789.4134061907971</v>
      </c>
      <c r="AO386" s="235"/>
      <c r="AP386" s="235"/>
      <c r="AQ386" s="235"/>
      <c r="AR386" s="235"/>
      <c r="AS386" s="235"/>
      <c r="AT386" s="235"/>
      <c r="AU386" s="235"/>
      <c r="AV386" s="235"/>
      <c r="AW386" s="235"/>
      <c r="AX386" s="235"/>
      <c r="AY386" s="235"/>
      <c r="AZ386" s="235"/>
      <c r="BA386" s="235"/>
      <c r="BB386" s="235"/>
      <c r="BC386" s="235"/>
      <c r="BD386" s="235"/>
      <c r="BE386" s="235"/>
      <c r="BF386" s="235"/>
      <c r="BG386" s="235"/>
      <c r="BH386" s="235"/>
      <c r="BI386" s="235"/>
      <c r="BJ386" s="235"/>
      <c r="BK386" s="235"/>
    </row>
    <row r="387" spans="1:63" s="133" customFormat="1" ht="12.75">
      <c r="A387" s="168">
        <v>40756</v>
      </c>
      <c r="B387" s="213" t="str">
        <f>Servicio_internaColumna_título_intereses</f>
        <v>Intereses</v>
      </c>
      <c r="C387" s="270">
        <v>0</v>
      </c>
      <c r="D387" s="271"/>
      <c r="E387" s="271"/>
      <c r="F387" s="271"/>
      <c r="G387" s="271"/>
      <c r="H387" s="271"/>
      <c r="I387" s="271"/>
      <c r="J387" s="271"/>
      <c r="K387" s="271"/>
      <c r="L387" s="271"/>
      <c r="M387" s="271">
        <v>1092857.7762063448</v>
      </c>
      <c r="N387" s="271">
        <v>3449603.4949459513</v>
      </c>
      <c r="O387" s="271">
        <v>3165512.1865102141</v>
      </c>
      <c r="P387" s="271">
        <v>3059704.8506903183</v>
      </c>
      <c r="Q387" s="271">
        <v>2880818.2873610901</v>
      </c>
      <c r="R387" s="271">
        <v>2535148.1330146617</v>
      </c>
      <c r="S387" s="274">
        <v>2335817.5254226029</v>
      </c>
      <c r="T387" s="271">
        <v>2175150.4768844293</v>
      </c>
      <c r="U387" s="272">
        <v>1980948.8397719876</v>
      </c>
      <c r="V387" s="272">
        <v>1674444.085407445</v>
      </c>
      <c r="W387" s="272">
        <v>1531527.5163599814</v>
      </c>
      <c r="X387" s="272">
        <v>1154892.6251769364</v>
      </c>
      <c r="Y387" s="272">
        <v>1100462.0618929781</v>
      </c>
      <c r="Z387" s="272">
        <v>970365.41241364914</v>
      </c>
      <c r="AA387" s="272">
        <v>856995.06949054613</v>
      </c>
      <c r="AB387" s="272">
        <v>802484.42563380999</v>
      </c>
      <c r="AC387" s="272">
        <v>753436.34139304678</v>
      </c>
      <c r="AD387" s="236">
        <v>549102.06705950201</v>
      </c>
      <c r="AE387" s="236">
        <v>518927.90321810235</v>
      </c>
      <c r="AF387" s="236">
        <v>494453.56977556803</v>
      </c>
      <c r="AG387" s="236">
        <v>474287.41900943749</v>
      </c>
      <c r="AH387" s="236">
        <v>455397.70965175383</v>
      </c>
      <c r="AI387" s="236">
        <v>408361.80382777262</v>
      </c>
      <c r="AJ387" s="236">
        <v>367296.63444697921</v>
      </c>
      <c r="AK387" s="236">
        <v>358865.06383289001</v>
      </c>
      <c r="AL387" s="236">
        <v>352851.20890747663</v>
      </c>
      <c r="AM387" s="236">
        <v>349147.86988540582</v>
      </c>
      <c r="AN387" s="236">
        <v>109341.6764637568</v>
      </c>
      <c r="AO387" s="236"/>
      <c r="AP387" s="236"/>
      <c r="AQ387" s="236"/>
      <c r="AR387" s="236"/>
      <c r="AS387" s="236"/>
      <c r="AT387" s="236"/>
      <c r="AU387" s="236"/>
      <c r="AV387" s="236"/>
      <c r="AW387" s="236"/>
      <c r="AX387" s="236"/>
      <c r="AY387" s="236"/>
      <c r="AZ387" s="236"/>
      <c r="BA387" s="236"/>
      <c r="BB387" s="236"/>
      <c r="BC387" s="236"/>
      <c r="BD387" s="236"/>
      <c r="BE387" s="236"/>
      <c r="BF387" s="236"/>
      <c r="BG387" s="236"/>
      <c r="BH387" s="236"/>
      <c r="BI387" s="236"/>
      <c r="BJ387" s="236"/>
      <c r="BK387" s="236"/>
    </row>
    <row r="388" spans="1:63" s="133" customFormat="1" ht="12.75">
      <c r="A388" s="169"/>
      <c r="B388" s="307" t="str">
        <f>Servicio_internaColumna_título_total</f>
        <v>Total</v>
      </c>
      <c r="C388" s="310">
        <v>0</v>
      </c>
      <c r="D388" s="311"/>
      <c r="E388" s="311"/>
      <c r="F388" s="311"/>
      <c r="G388" s="311"/>
      <c r="H388" s="311"/>
      <c r="I388" s="311"/>
      <c r="J388" s="311"/>
      <c r="K388" s="311"/>
      <c r="L388" s="311"/>
      <c r="M388" s="311">
        <v>1685838.789199996</v>
      </c>
      <c r="N388" s="311">
        <v>6918631.1479973448</v>
      </c>
      <c r="O388" s="311">
        <v>6243097.9744576346</v>
      </c>
      <c r="P388" s="311">
        <v>7039668.7993436512</v>
      </c>
      <c r="Q388" s="311">
        <v>7987151.3262081025</v>
      </c>
      <c r="R388" s="311">
        <v>4714163.8418400483</v>
      </c>
      <c r="S388" s="312">
        <v>6956325.78862161</v>
      </c>
      <c r="T388" s="311">
        <v>3767950.0085039018</v>
      </c>
      <c r="U388" s="311">
        <v>8234943.3255528668</v>
      </c>
      <c r="V388" s="311">
        <v>4392320.0680924663</v>
      </c>
      <c r="W388" s="311">
        <v>8411362.4638199452</v>
      </c>
      <c r="X388" s="311">
        <v>2249073.2431905176</v>
      </c>
      <c r="Y388" s="311">
        <v>2158373.3617029069</v>
      </c>
      <c r="Z388" s="311">
        <v>3649703.517383738</v>
      </c>
      <c r="AA388" s="311">
        <v>2033332.8855276608</v>
      </c>
      <c r="AB388" s="311">
        <v>1586527.56560989</v>
      </c>
      <c r="AC388" s="311">
        <v>3326081.7594028041</v>
      </c>
      <c r="AD388" s="311">
        <v>1236731.0370508588</v>
      </c>
      <c r="AE388" s="311">
        <v>1076345.7358208536</v>
      </c>
      <c r="AF388" s="311">
        <v>945851.43443428818</v>
      </c>
      <c r="AG388" s="311">
        <v>885020.73778999737</v>
      </c>
      <c r="AH388" s="311">
        <v>842825.64541256148</v>
      </c>
      <c r="AI388" s="311">
        <v>1260464.88495406</v>
      </c>
      <c r="AJ388" s="311">
        <v>582716.31215921999</v>
      </c>
      <c r="AK388" s="311">
        <v>512491.939000062</v>
      </c>
      <c r="AL388" s="311">
        <v>454718.98469550203</v>
      </c>
      <c r="AM388" s="311">
        <v>3626011.8980412795</v>
      </c>
      <c r="AN388" s="311">
        <v>118131.08986994759</v>
      </c>
      <c r="AO388" s="311"/>
      <c r="AP388" s="311"/>
      <c r="AQ388" s="311"/>
      <c r="AR388" s="311"/>
      <c r="AS388" s="311"/>
      <c r="AT388" s="311"/>
      <c r="AU388" s="311"/>
      <c r="AV388" s="311"/>
      <c r="AW388" s="311"/>
      <c r="AX388" s="311"/>
      <c r="AY388" s="311"/>
      <c r="AZ388" s="311"/>
      <c r="BA388" s="311"/>
      <c r="BB388" s="311"/>
      <c r="BC388" s="311"/>
      <c r="BD388" s="311"/>
      <c r="BE388" s="311"/>
      <c r="BF388" s="311"/>
      <c r="BG388" s="311"/>
      <c r="BH388" s="311"/>
      <c r="BI388" s="311"/>
      <c r="BJ388" s="311"/>
      <c r="BK388" s="311"/>
    </row>
    <row r="389" spans="1:63" s="80" customFormat="1" ht="12.75">
      <c r="A389" s="167"/>
      <c r="B389" s="210" t="str">
        <f>Servicio_internaColumna_título_amortizaciones</f>
        <v>Amortizaciones</v>
      </c>
      <c r="C389" s="269">
        <v>0</v>
      </c>
      <c r="D389" s="235"/>
      <c r="E389" s="235"/>
      <c r="F389" s="235"/>
      <c r="G389" s="235"/>
      <c r="H389" s="235"/>
      <c r="I389" s="235"/>
      <c r="J389" s="235"/>
      <c r="K389" s="235"/>
      <c r="L389" s="235"/>
      <c r="M389" s="235">
        <v>609155.36094864027</v>
      </c>
      <c r="N389" s="235">
        <v>3743889.4643013002</v>
      </c>
      <c r="O389" s="235">
        <v>3304781.2662205501</v>
      </c>
      <c r="P389" s="235">
        <v>4260300.5680646701</v>
      </c>
      <c r="Q389" s="235">
        <v>5319794.0037563397</v>
      </c>
      <c r="R389" s="235">
        <v>2335087.9776985501</v>
      </c>
      <c r="S389" s="273">
        <v>5024721.9460104611</v>
      </c>
      <c r="T389" s="235">
        <v>1760643.6532205399</v>
      </c>
      <c r="U389" s="235">
        <v>6785249.4479296198</v>
      </c>
      <c r="V389" s="235">
        <v>2977529.8565920503</v>
      </c>
      <c r="W389" s="235">
        <v>7478624.164566149</v>
      </c>
      <c r="X389" s="235">
        <v>1221701.0277261902</v>
      </c>
      <c r="Y389" s="235">
        <v>1182499.72884759</v>
      </c>
      <c r="Z389" s="235">
        <v>2936050.9186831801</v>
      </c>
      <c r="AA389" s="235">
        <v>1310605.0609743902</v>
      </c>
      <c r="AB389" s="235">
        <v>886363.55970218999</v>
      </c>
      <c r="AC389" s="235">
        <v>2820789.0423399899</v>
      </c>
      <c r="AD389" s="235">
        <v>782203.5951766799</v>
      </c>
      <c r="AE389" s="235">
        <v>641382.31532366993</v>
      </c>
      <c r="AF389" s="235">
        <v>526723.40153738996</v>
      </c>
      <c r="AG389" s="235">
        <v>482724.15443067002</v>
      </c>
      <c r="AH389" s="235">
        <v>418955.34525041998</v>
      </c>
      <c r="AI389" s="235">
        <v>921530.92353780009</v>
      </c>
      <c r="AJ389" s="235">
        <v>232967.92095564</v>
      </c>
      <c r="AK389" s="235">
        <v>166139.98507692001</v>
      </c>
      <c r="AL389" s="235">
        <v>110166.82855047</v>
      </c>
      <c r="AM389" s="235">
        <v>3543876.4732699506</v>
      </c>
      <c r="AN389" s="235">
        <v>9505.6111930199968</v>
      </c>
      <c r="AO389" s="235"/>
      <c r="AP389" s="235"/>
      <c r="AQ389" s="235"/>
      <c r="AR389" s="235"/>
      <c r="AS389" s="235"/>
      <c r="AT389" s="235"/>
      <c r="AU389" s="235"/>
      <c r="AV389" s="235"/>
      <c r="AW389" s="235"/>
      <c r="AX389" s="235"/>
      <c r="AY389" s="235"/>
      <c r="AZ389" s="235"/>
      <c r="BA389" s="235"/>
      <c r="BB389" s="235"/>
      <c r="BC389" s="235"/>
      <c r="BD389" s="235"/>
      <c r="BE389" s="235"/>
      <c r="BF389" s="235"/>
      <c r="BG389" s="235"/>
      <c r="BH389" s="235"/>
      <c r="BI389" s="235"/>
      <c r="BJ389" s="235"/>
      <c r="BK389" s="235"/>
    </row>
    <row r="390" spans="1:63" s="133" customFormat="1" ht="12.75">
      <c r="A390" s="168">
        <v>40787</v>
      </c>
      <c r="B390" s="213" t="str">
        <f>Servicio_internaColumna_título_intereses</f>
        <v>Intereses</v>
      </c>
      <c r="C390" s="270">
        <v>0</v>
      </c>
      <c r="D390" s="271"/>
      <c r="E390" s="271"/>
      <c r="F390" s="271"/>
      <c r="G390" s="271"/>
      <c r="H390" s="271"/>
      <c r="I390" s="271"/>
      <c r="J390" s="271"/>
      <c r="K390" s="271"/>
      <c r="L390" s="271"/>
      <c r="M390" s="271">
        <v>821640.06407796009</v>
      </c>
      <c r="N390" s="271">
        <v>3680726.8448756724</v>
      </c>
      <c r="O390" s="271">
        <v>3359239.8586748419</v>
      </c>
      <c r="P390" s="271">
        <v>3254604.5790972314</v>
      </c>
      <c r="Q390" s="271">
        <v>3060086.3850363004</v>
      </c>
      <c r="R390" s="271">
        <v>2698495.3856339701</v>
      </c>
      <c r="S390" s="274">
        <v>2479611.4289578199</v>
      </c>
      <c r="T390" s="271">
        <v>2325597.4920260101</v>
      </c>
      <c r="U390" s="272">
        <v>2109096.8616281105</v>
      </c>
      <c r="V390" s="272">
        <v>1778146.0617869699</v>
      </c>
      <c r="W390" s="272">
        <v>1623252.3516277201</v>
      </c>
      <c r="X390" s="272">
        <v>1216696.8490664097</v>
      </c>
      <c r="Y390" s="272">
        <v>1168440.39664425</v>
      </c>
      <c r="Z390" s="272">
        <v>1034606.4543829499</v>
      </c>
      <c r="AA390" s="272">
        <v>914066.55599369982</v>
      </c>
      <c r="AB390" s="272">
        <v>858465.25021238986</v>
      </c>
      <c r="AC390" s="272">
        <v>800646.24259437004</v>
      </c>
      <c r="AD390" s="236">
        <v>581923.41621414002</v>
      </c>
      <c r="AE390" s="236">
        <v>551401.26369836996</v>
      </c>
      <c r="AF390" s="236">
        <v>526367.64858659997</v>
      </c>
      <c r="AG390" s="236">
        <v>505534.27846808999</v>
      </c>
      <c r="AH390" s="236">
        <v>485937.21386309993</v>
      </c>
      <c r="AI390" s="236">
        <v>437203.47863522999</v>
      </c>
      <c r="AJ390" s="236">
        <v>394170.86569694994</v>
      </c>
      <c r="AK390" s="236">
        <v>386282.85896600998</v>
      </c>
      <c r="AL390" s="236">
        <v>380850.41441288998</v>
      </c>
      <c r="AM390" s="236">
        <v>377494.51561686001</v>
      </c>
      <c r="AN390" s="236">
        <v>118251.28886592</v>
      </c>
      <c r="AO390" s="236"/>
      <c r="AP390" s="236"/>
      <c r="AQ390" s="236"/>
      <c r="AR390" s="236"/>
      <c r="AS390" s="236"/>
      <c r="AT390" s="236"/>
      <c r="AU390" s="236"/>
      <c r="AV390" s="236"/>
      <c r="AW390" s="236"/>
      <c r="AX390" s="236"/>
      <c r="AY390" s="236"/>
      <c r="AZ390" s="236"/>
      <c r="BA390" s="236"/>
      <c r="BB390" s="236"/>
      <c r="BC390" s="236"/>
      <c r="BD390" s="236"/>
      <c r="BE390" s="236"/>
      <c r="BF390" s="236"/>
      <c r="BG390" s="236"/>
      <c r="BH390" s="236"/>
      <c r="BI390" s="236"/>
      <c r="BJ390" s="236"/>
      <c r="BK390" s="236"/>
    </row>
    <row r="391" spans="1:63" s="133" customFormat="1" ht="12.75">
      <c r="A391" s="169"/>
      <c r="B391" s="307" t="str">
        <f>Servicio_internaColumna_título_total</f>
        <v>Total</v>
      </c>
      <c r="C391" s="310">
        <v>0</v>
      </c>
      <c r="D391" s="311"/>
      <c r="E391" s="311"/>
      <c r="F391" s="311"/>
      <c r="G391" s="311"/>
      <c r="H391" s="311"/>
      <c r="I391" s="311"/>
      <c r="J391" s="311"/>
      <c r="K391" s="311"/>
      <c r="L391" s="311"/>
      <c r="M391" s="311">
        <v>1430795.4250266002</v>
      </c>
      <c r="N391" s="311">
        <v>7424616.3091769721</v>
      </c>
      <c r="O391" s="311">
        <v>6664021.124895392</v>
      </c>
      <c r="P391" s="311">
        <v>7514905.147161901</v>
      </c>
      <c r="Q391" s="311">
        <v>8379880.3887926396</v>
      </c>
      <c r="R391" s="311">
        <v>5033583.3633325202</v>
      </c>
      <c r="S391" s="312">
        <v>7504333.374968281</v>
      </c>
      <c r="T391" s="311">
        <v>4086241.14524655</v>
      </c>
      <c r="U391" s="311">
        <v>8894346.3095577303</v>
      </c>
      <c r="V391" s="311">
        <v>4755675.9183790199</v>
      </c>
      <c r="W391" s="311">
        <v>9101876.5161938686</v>
      </c>
      <c r="X391" s="311">
        <v>2438397.8767925999</v>
      </c>
      <c r="Y391" s="311">
        <v>2350940.1254918398</v>
      </c>
      <c r="Z391" s="311">
        <v>3970657.3730661301</v>
      </c>
      <c r="AA391" s="311">
        <v>2224671.6169680902</v>
      </c>
      <c r="AB391" s="311">
        <v>1744828.8099145798</v>
      </c>
      <c r="AC391" s="311">
        <v>3621435.2849343601</v>
      </c>
      <c r="AD391" s="311">
        <v>1364127.0113908199</v>
      </c>
      <c r="AE391" s="311">
        <v>1192783.5790220399</v>
      </c>
      <c r="AF391" s="311">
        <v>1053091.05012399</v>
      </c>
      <c r="AG391" s="311">
        <v>988258.43289876007</v>
      </c>
      <c r="AH391" s="311">
        <v>904892.55911351996</v>
      </c>
      <c r="AI391" s="311">
        <v>1358734.4021730302</v>
      </c>
      <c r="AJ391" s="311">
        <v>627138.78665258992</v>
      </c>
      <c r="AK391" s="311">
        <v>552422.84404293005</v>
      </c>
      <c r="AL391" s="311">
        <v>491017.24296335998</v>
      </c>
      <c r="AM391" s="311">
        <v>3921370.9888868108</v>
      </c>
      <c r="AN391" s="311">
        <v>127756.90005893999</v>
      </c>
      <c r="AO391" s="311"/>
      <c r="AP391" s="311"/>
      <c r="AQ391" s="311"/>
      <c r="AR391" s="311"/>
      <c r="AS391" s="311"/>
      <c r="AT391" s="311"/>
      <c r="AU391" s="311"/>
      <c r="AV391" s="311"/>
      <c r="AW391" s="311"/>
      <c r="AX391" s="311"/>
      <c r="AY391" s="311"/>
      <c r="AZ391" s="311"/>
      <c r="BA391" s="311"/>
      <c r="BB391" s="311"/>
      <c r="BC391" s="311"/>
      <c r="BD391" s="311"/>
      <c r="BE391" s="311"/>
      <c r="BF391" s="311"/>
      <c r="BG391" s="311"/>
      <c r="BH391" s="311"/>
      <c r="BI391" s="311"/>
      <c r="BJ391" s="311"/>
      <c r="BK391" s="311"/>
    </row>
    <row r="392" spans="1:63" s="80" customFormat="1" ht="12.75">
      <c r="A392" s="167"/>
      <c r="B392" s="210" t="str">
        <f>Servicio_internaColumna_título_amortizaciones</f>
        <v>Amortizaciones</v>
      </c>
      <c r="C392" s="269">
        <v>0</v>
      </c>
      <c r="D392" s="235"/>
      <c r="E392" s="235"/>
      <c r="F392" s="235"/>
      <c r="G392" s="235"/>
      <c r="H392" s="235"/>
      <c r="I392" s="235"/>
      <c r="J392" s="235"/>
      <c r="K392" s="235"/>
      <c r="L392" s="235"/>
      <c r="M392" s="235">
        <v>575912.90130305942</v>
      </c>
      <c r="N392" s="235">
        <v>3612781.5252799424</v>
      </c>
      <c r="O392" s="235">
        <v>3205136.6447136523</v>
      </c>
      <c r="P392" s="235">
        <v>4140865.9204354119</v>
      </c>
      <c r="Q392" s="235">
        <v>5217873.5066169277</v>
      </c>
      <c r="R392" s="235">
        <v>2266740.340008656</v>
      </c>
      <c r="S392" s="273">
        <v>4857355.8734519631</v>
      </c>
      <c r="T392" s="235">
        <v>1700837.2631420332</v>
      </c>
      <c r="U392" s="235">
        <v>6565868.6386992913</v>
      </c>
      <c r="V392" s="235">
        <v>2876022.5570759256</v>
      </c>
      <c r="W392" s="235">
        <v>7223257.0236015366</v>
      </c>
      <c r="X392" s="235">
        <v>1180090.4242355851</v>
      </c>
      <c r="Y392" s="235">
        <v>1142214.6453059805</v>
      </c>
      <c r="Z392" s="235">
        <v>2835824.0977231367</v>
      </c>
      <c r="AA392" s="235">
        <v>1265896.1902282417</v>
      </c>
      <c r="AB392" s="235">
        <v>856113.01675273315</v>
      </c>
      <c r="AC392" s="235">
        <v>2724372.6490156762</v>
      </c>
      <c r="AD392" s="235">
        <v>755470.4942020654</v>
      </c>
      <c r="AE392" s="235">
        <v>1178380.9806494741</v>
      </c>
      <c r="AF392" s="235">
        <v>508723.51153663505</v>
      </c>
      <c r="AG392" s="235">
        <v>466221.10598406062</v>
      </c>
      <c r="AH392" s="235">
        <v>404630.720654673</v>
      </c>
      <c r="AI392" s="235">
        <v>890032.28841585724</v>
      </c>
      <c r="AJ392" s="235">
        <v>225006.7894056348</v>
      </c>
      <c r="AK392" s="235">
        <v>160463.26726037401</v>
      </c>
      <c r="AL392" s="235">
        <v>106402.2045480384</v>
      </c>
      <c r="AM392" s="235">
        <v>3422734.3194869435</v>
      </c>
      <c r="AN392" s="235">
        <v>9180.6759923627978</v>
      </c>
      <c r="AO392" s="235"/>
      <c r="AP392" s="235"/>
      <c r="AQ392" s="235"/>
      <c r="AR392" s="235"/>
      <c r="AS392" s="235"/>
      <c r="AT392" s="235"/>
      <c r="AU392" s="235"/>
      <c r="AV392" s="235"/>
      <c r="AW392" s="235"/>
      <c r="AX392" s="235"/>
      <c r="AY392" s="235"/>
      <c r="AZ392" s="235"/>
      <c r="BA392" s="235"/>
      <c r="BB392" s="235"/>
      <c r="BC392" s="235"/>
      <c r="BD392" s="235"/>
      <c r="BE392" s="235"/>
      <c r="BF392" s="235"/>
      <c r="BG392" s="235"/>
      <c r="BH392" s="235"/>
      <c r="BI392" s="235"/>
      <c r="BJ392" s="235"/>
      <c r="BK392" s="235"/>
    </row>
    <row r="393" spans="1:63" s="133" customFormat="1" ht="12.75">
      <c r="A393" s="168">
        <v>40817</v>
      </c>
      <c r="B393" s="213" t="str">
        <f>Servicio_internaColumna_título_intereses</f>
        <v>Intereses</v>
      </c>
      <c r="C393" s="270">
        <v>0</v>
      </c>
      <c r="D393" s="271"/>
      <c r="E393" s="271"/>
      <c r="F393" s="271"/>
      <c r="G393" s="271"/>
      <c r="H393" s="271"/>
      <c r="I393" s="271"/>
      <c r="J393" s="271"/>
      <c r="K393" s="271"/>
      <c r="L393" s="271"/>
      <c r="M393" s="271">
        <v>432444.8457501714</v>
      </c>
      <c r="N393" s="271">
        <v>3614855.6437646896</v>
      </c>
      <c r="O393" s="271">
        <v>3280851.0224904958</v>
      </c>
      <c r="P393" s="271">
        <v>3193992.4582456849</v>
      </c>
      <c r="Q393" s="271">
        <v>3000141.6369256461</v>
      </c>
      <c r="R393" s="271">
        <v>2662435.2079137485</v>
      </c>
      <c r="S393" s="274">
        <v>2463426.994372311</v>
      </c>
      <c r="T393" s="271">
        <v>2313501.3965021628</v>
      </c>
      <c r="U393" s="272">
        <v>2102846.9547895524</v>
      </c>
      <c r="V393" s="272">
        <v>1779543.9608115528</v>
      </c>
      <c r="W393" s="272">
        <v>1627416.4793603038</v>
      </c>
      <c r="X393" s="272">
        <v>1228841.224840774</v>
      </c>
      <c r="Y393" s="272">
        <v>1183722.6893463605</v>
      </c>
      <c r="Z393" s="272">
        <v>1042131.5300134989</v>
      </c>
      <c r="AA393" s="272">
        <v>923722.97392575524</v>
      </c>
      <c r="AB393" s="272">
        <v>869077.78200604068</v>
      </c>
      <c r="AC393" s="272">
        <v>808080.8159209385</v>
      </c>
      <c r="AD393" s="236">
        <v>595143.31196098076</v>
      </c>
      <c r="AE393" s="236">
        <v>551330.9096492033</v>
      </c>
      <c r="AF393" s="236">
        <v>512948.31216781557</v>
      </c>
      <c r="AG393" s="236">
        <v>491940.38718877971</v>
      </c>
      <c r="AH393" s="236">
        <v>472633.02637737239</v>
      </c>
      <c r="AI393" s="236">
        <v>424491.47549318039</v>
      </c>
      <c r="AJ393" s="236">
        <v>382233.04338583077</v>
      </c>
      <c r="AK393" s="236">
        <v>373995.0017713554</v>
      </c>
      <c r="AL393" s="236">
        <v>368207.22643141617</v>
      </c>
      <c r="AM393" s="236">
        <v>364629.89897309215</v>
      </c>
      <c r="AN393" s="236">
        <v>114209.04418586878</v>
      </c>
      <c r="AO393" s="236"/>
      <c r="AP393" s="236"/>
      <c r="AQ393" s="236"/>
      <c r="AR393" s="236"/>
      <c r="AS393" s="236"/>
      <c r="AT393" s="236"/>
      <c r="AU393" s="236"/>
      <c r="AV393" s="236"/>
      <c r="AW393" s="236"/>
      <c r="AX393" s="236"/>
      <c r="AY393" s="236"/>
      <c r="AZ393" s="236"/>
      <c r="BA393" s="236"/>
      <c r="BB393" s="236"/>
      <c r="BC393" s="236"/>
      <c r="BD393" s="236"/>
      <c r="BE393" s="236"/>
      <c r="BF393" s="236"/>
      <c r="BG393" s="236"/>
      <c r="BH393" s="236"/>
      <c r="BI393" s="236"/>
      <c r="BJ393" s="236"/>
      <c r="BK393" s="236"/>
    </row>
    <row r="394" spans="1:63" s="133" customFormat="1" ht="12.75">
      <c r="A394" s="169"/>
      <c r="B394" s="307" t="str">
        <f>Servicio_internaColumna_título_total</f>
        <v>Total</v>
      </c>
      <c r="C394" s="310">
        <v>0</v>
      </c>
      <c r="D394" s="311"/>
      <c r="E394" s="311"/>
      <c r="F394" s="311"/>
      <c r="G394" s="311"/>
      <c r="H394" s="311"/>
      <c r="I394" s="311"/>
      <c r="J394" s="311"/>
      <c r="K394" s="311"/>
      <c r="L394" s="311"/>
      <c r="M394" s="311">
        <v>1008357.7470532309</v>
      </c>
      <c r="N394" s="311">
        <v>7227637.1690446325</v>
      </c>
      <c r="O394" s="311">
        <v>6485987.6672041481</v>
      </c>
      <c r="P394" s="311">
        <v>7334858.3786810972</v>
      </c>
      <c r="Q394" s="311">
        <v>8218015.1435425738</v>
      </c>
      <c r="R394" s="311">
        <v>4929175.5479224045</v>
      </c>
      <c r="S394" s="312">
        <v>7320782.8678242741</v>
      </c>
      <c r="T394" s="311">
        <v>4014338.6596441958</v>
      </c>
      <c r="U394" s="311">
        <v>8668715.5934888441</v>
      </c>
      <c r="V394" s="311">
        <v>4655566.5178874787</v>
      </c>
      <c r="W394" s="311">
        <v>8850673.5029618405</v>
      </c>
      <c r="X394" s="311">
        <v>2408931.6490763593</v>
      </c>
      <c r="Y394" s="311">
        <v>2325937.334652341</v>
      </c>
      <c r="Z394" s="311">
        <v>3877955.6277366355</v>
      </c>
      <c r="AA394" s="311">
        <v>2189619.1641539969</v>
      </c>
      <c r="AB394" s="311">
        <v>1725190.7987587738</v>
      </c>
      <c r="AC394" s="311">
        <v>3532453.464936615</v>
      </c>
      <c r="AD394" s="311">
        <v>1350613.806163046</v>
      </c>
      <c r="AE394" s="311">
        <v>1729711.8902986774</v>
      </c>
      <c r="AF394" s="311">
        <v>1021671.8237044506</v>
      </c>
      <c r="AG394" s="311">
        <v>958161.49317284033</v>
      </c>
      <c r="AH394" s="311">
        <v>877263.74703204539</v>
      </c>
      <c r="AI394" s="311">
        <v>1314523.7639090377</v>
      </c>
      <c r="AJ394" s="311">
        <v>607239.83279146557</v>
      </c>
      <c r="AK394" s="311">
        <v>534458.26903172943</v>
      </c>
      <c r="AL394" s="311">
        <v>474609.43097945454</v>
      </c>
      <c r="AM394" s="311">
        <v>3787364.2184600355</v>
      </c>
      <c r="AN394" s="311">
        <v>123389.72017823158</v>
      </c>
      <c r="AO394" s="311"/>
      <c r="AP394" s="311"/>
      <c r="AQ394" s="311"/>
      <c r="AR394" s="311"/>
      <c r="AS394" s="311"/>
      <c r="AT394" s="311"/>
      <c r="AU394" s="311"/>
      <c r="AV394" s="311"/>
      <c r="AW394" s="311"/>
      <c r="AX394" s="311"/>
      <c r="AY394" s="311"/>
      <c r="AZ394" s="311"/>
      <c r="BA394" s="311"/>
      <c r="BB394" s="311"/>
      <c r="BC394" s="311"/>
      <c r="BD394" s="311"/>
      <c r="BE394" s="311"/>
      <c r="BF394" s="311"/>
      <c r="BG394" s="311"/>
      <c r="BH394" s="311"/>
      <c r="BI394" s="311"/>
      <c r="BJ394" s="311"/>
      <c r="BK394" s="311"/>
    </row>
    <row r="395" spans="1:63" s="80" customFormat="1" ht="12.75">
      <c r="A395" s="167"/>
      <c r="B395" s="210" t="str">
        <f>Servicio_internaColumna_título_amortizaciones</f>
        <v>Amortizaciones</v>
      </c>
      <c r="C395" s="269">
        <v>0</v>
      </c>
      <c r="D395" s="235"/>
      <c r="E395" s="235"/>
      <c r="F395" s="235"/>
      <c r="G395" s="235"/>
      <c r="H395" s="235"/>
      <c r="I395" s="235"/>
      <c r="J395" s="235"/>
      <c r="K395" s="235"/>
      <c r="L395" s="235"/>
      <c r="M395" s="235">
        <v>184046.28293050019</v>
      </c>
      <c r="N395" s="235">
        <v>3814964.6200921265</v>
      </c>
      <c r="O395" s="235">
        <v>3379068.9918051688</v>
      </c>
      <c r="P395" s="235">
        <v>4376256.4852249296</v>
      </c>
      <c r="Q395" s="235">
        <v>5664624.8563354397</v>
      </c>
      <c r="R395" s="235">
        <v>2409213.4165920117</v>
      </c>
      <c r="S395" s="273">
        <v>5150068.1219043108</v>
      </c>
      <c r="T395" s="235">
        <v>1795656.6302504647</v>
      </c>
      <c r="U395" s="235">
        <v>6732223.8710844768</v>
      </c>
      <c r="V395" s="235">
        <v>3036573.5441537318</v>
      </c>
      <c r="W395" s="235">
        <v>7626766.2077049399</v>
      </c>
      <c r="X395" s="235">
        <v>1245936.1894107067</v>
      </c>
      <c r="Y395" s="235">
        <v>1205959.3264904844</v>
      </c>
      <c r="Z395" s="235">
        <v>2994204.7422984922</v>
      </c>
      <c r="AA395" s="235">
        <v>1336552.3204003763</v>
      </c>
      <c r="AB395" s="235">
        <v>903893.51681939431</v>
      </c>
      <c r="AC395" s="235">
        <v>2876598.6473524487</v>
      </c>
      <c r="AD395" s="235">
        <v>797674.86315857829</v>
      </c>
      <c r="AE395" s="235">
        <v>1244220.3585959843</v>
      </c>
      <c r="AF395" s="235">
        <v>537138.04235850659</v>
      </c>
      <c r="AG395" s="235">
        <v>492260.6525941696</v>
      </c>
      <c r="AH395" s="235">
        <v>427235.2353251524</v>
      </c>
      <c r="AI395" s="235">
        <v>939770.9368070846</v>
      </c>
      <c r="AJ395" s="235">
        <v>237579.45551129719</v>
      </c>
      <c r="AK395" s="235">
        <v>169428.8184444748</v>
      </c>
      <c r="AL395" s="235">
        <v>112347.56311861159</v>
      </c>
      <c r="AM395" s="235">
        <v>3614019.1398067297</v>
      </c>
      <c r="AN395" s="235">
        <v>9693.7523207283975</v>
      </c>
      <c r="AO395" s="235"/>
      <c r="AP395" s="235"/>
      <c r="AQ395" s="235"/>
      <c r="AR395" s="235"/>
      <c r="AS395" s="235"/>
      <c r="AT395" s="235"/>
      <c r="AU395" s="235"/>
      <c r="AV395" s="235"/>
      <c r="AW395" s="235"/>
      <c r="AX395" s="235"/>
      <c r="AY395" s="235"/>
      <c r="AZ395" s="235"/>
      <c r="BA395" s="235"/>
      <c r="BB395" s="235"/>
      <c r="BC395" s="235"/>
      <c r="BD395" s="235"/>
      <c r="BE395" s="235"/>
      <c r="BF395" s="235"/>
      <c r="BG395" s="235"/>
      <c r="BH395" s="235"/>
      <c r="BI395" s="235"/>
      <c r="BJ395" s="235"/>
      <c r="BK395" s="235"/>
    </row>
    <row r="396" spans="1:63" s="133" customFormat="1" ht="12.75">
      <c r="A396" s="168">
        <v>40848</v>
      </c>
      <c r="B396" s="213" t="str">
        <f>Servicio_internaColumna_título_intereses</f>
        <v>Intereses</v>
      </c>
      <c r="C396" s="270">
        <v>0</v>
      </c>
      <c r="D396" s="271"/>
      <c r="E396" s="271"/>
      <c r="F396" s="271"/>
      <c r="G396" s="271"/>
      <c r="H396" s="271"/>
      <c r="I396" s="271"/>
      <c r="J396" s="271"/>
      <c r="K396" s="271"/>
      <c r="L396" s="271"/>
      <c r="M396" s="271">
        <v>147516.41104724683</v>
      </c>
      <c r="N396" s="271">
        <v>3806483.1186828655</v>
      </c>
      <c r="O396" s="271">
        <v>3497225.8878071085</v>
      </c>
      <c r="P396" s="271">
        <v>3382423.0571342842</v>
      </c>
      <c r="Q396" s="271">
        <v>3186066.2770405314</v>
      </c>
      <c r="R396" s="271">
        <v>2799420.7153558456</v>
      </c>
      <c r="S396" s="274">
        <v>2609650.5161107061</v>
      </c>
      <c r="T396" s="271">
        <v>2389386.8577545392</v>
      </c>
      <c r="U396" s="272">
        <v>2170232.5596549758</v>
      </c>
      <c r="V396" s="272">
        <v>1835630.8377924359</v>
      </c>
      <c r="W396" s="272">
        <v>1676725.8231319871</v>
      </c>
      <c r="X396" s="272">
        <v>1255147.5140688308</v>
      </c>
      <c r="Y396" s="272">
        <v>1228908.112553186</v>
      </c>
      <c r="Z396" s="272">
        <v>1074774.6530718454</v>
      </c>
      <c r="AA396" s="272">
        <v>952130.20982467232</v>
      </c>
      <c r="AB396" s="272">
        <v>898829.3674378359</v>
      </c>
      <c r="AC396" s="272">
        <v>837423.25016094255</v>
      </c>
      <c r="AD396" s="236">
        <v>614875.80866222107</v>
      </c>
      <c r="AE396" s="236">
        <v>572276.41719355667</v>
      </c>
      <c r="AF396" s="236">
        <v>535006.62220522959</v>
      </c>
      <c r="AG396" s="236">
        <v>514382.17651711183</v>
      </c>
      <c r="AH396" s="236">
        <v>494952.28870714986</v>
      </c>
      <c r="AI396" s="236">
        <v>445442.193760783</v>
      </c>
      <c r="AJ396" s="236">
        <v>401683.73025595216</v>
      </c>
      <c r="AK396" s="236">
        <v>393754.02403666917</v>
      </c>
      <c r="AL396" s="236">
        <v>388313.01287446724</v>
      </c>
      <c r="AM396" s="236">
        <v>384954.93089821405</v>
      </c>
      <c r="AN396" s="236">
        <v>120591.79389904639</v>
      </c>
      <c r="AO396" s="236"/>
      <c r="AP396" s="236"/>
      <c r="AQ396" s="236"/>
      <c r="AR396" s="236"/>
      <c r="AS396" s="236"/>
      <c r="AT396" s="236"/>
      <c r="AU396" s="236"/>
      <c r="AV396" s="236"/>
      <c r="AW396" s="236"/>
      <c r="AX396" s="236"/>
      <c r="AY396" s="236"/>
      <c r="AZ396" s="236"/>
      <c r="BA396" s="236"/>
      <c r="BB396" s="236"/>
      <c r="BC396" s="236"/>
      <c r="BD396" s="236"/>
      <c r="BE396" s="236"/>
      <c r="BF396" s="236"/>
      <c r="BG396" s="236"/>
      <c r="BH396" s="236"/>
      <c r="BI396" s="236"/>
      <c r="BJ396" s="236"/>
      <c r="BK396" s="236"/>
    </row>
    <row r="397" spans="1:63" s="133" customFormat="1" ht="12.75">
      <c r="A397" s="169"/>
      <c r="B397" s="307" t="str">
        <f>Servicio_internaColumna_título_total</f>
        <v>Total</v>
      </c>
      <c r="C397" s="310">
        <v>0</v>
      </c>
      <c r="D397" s="311"/>
      <c r="E397" s="311"/>
      <c r="F397" s="311"/>
      <c r="G397" s="311"/>
      <c r="H397" s="311"/>
      <c r="I397" s="311"/>
      <c r="J397" s="311"/>
      <c r="K397" s="311"/>
      <c r="L397" s="311"/>
      <c r="M397" s="311">
        <v>331562.693977747</v>
      </c>
      <c r="N397" s="311">
        <v>7621447.7387749925</v>
      </c>
      <c r="O397" s="311">
        <v>6876294.8796122773</v>
      </c>
      <c r="P397" s="311">
        <v>7758679.5423592143</v>
      </c>
      <c r="Q397" s="311">
        <v>8850691.1333759706</v>
      </c>
      <c r="R397" s="311">
        <v>5208634.1319478573</v>
      </c>
      <c r="S397" s="312">
        <v>7759718.6380150169</v>
      </c>
      <c r="T397" s="311">
        <v>4185043.4880050039</v>
      </c>
      <c r="U397" s="311">
        <v>8902456.4307394531</v>
      </c>
      <c r="V397" s="311">
        <v>4872204.3819461679</v>
      </c>
      <c r="W397" s="311">
        <v>9303492.0308369268</v>
      </c>
      <c r="X397" s="311">
        <v>2501083.7034795377</v>
      </c>
      <c r="Y397" s="311">
        <v>2434867.4390436704</v>
      </c>
      <c r="Z397" s="311">
        <v>4068979.3953703376</v>
      </c>
      <c r="AA397" s="311">
        <v>2288682.5302250488</v>
      </c>
      <c r="AB397" s="311">
        <v>1802722.8842572302</v>
      </c>
      <c r="AC397" s="311">
        <v>3714021.8975133915</v>
      </c>
      <c r="AD397" s="311">
        <v>1412550.6718207994</v>
      </c>
      <c r="AE397" s="311">
        <v>1816496.775789541</v>
      </c>
      <c r="AF397" s="311">
        <v>1072144.6645637362</v>
      </c>
      <c r="AG397" s="311">
        <v>1006642.8291112814</v>
      </c>
      <c r="AH397" s="311">
        <v>922187.5240323022</v>
      </c>
      <c r="AI397" s="311">
        <v>1385213.1305678675</v>
      </c>
      <c r="AJ397" s="311">
        <v>639263.18576724932</v>
      </c>
      <c r="AK397" s="311">
        <v>563182.84248114401</v>
      </c>
      <c r="AL397" s="311">
        <v>500660.57599307882</v>
      </c>
      <c r="AM397" s="311">
        <v>3998974.070704944</v>
      </c>
      <c r="AN397" s="311">
        <v>130285.54621977478</v>
      </c>
      <c r="AO397" s="311"/>
      <c r="AP397" s="311"/>
      <c r="AQ397" s="311"/>
      <c r="AR397" s="311"/>
      <c r="AS397" s="311"/>
      <c r="AT397" s="311"/>
      <c r="AU397" s="311"/>
      <c r="AV397" s="311"/>
      <c r="AW397" s="311"/>
      <c r="AX397" s="311"/>
      <c r="AY397" s="311"/>
      <c r="AZ397" s="311"/>
      <c r="BA397" s="311"/>
      <c r="BB397" s="311"/>
      <c r="BC397" s="311"/>
      <c r="BD397" s="311"/>
      <c r="BE397" s="311"/>
      <c r="BF397" s="311"/>
      <c r="BG397" s="311"/>
      <c r="BH397" s="311"/>
      <c r="BI397" s="311"/>
      <c r="BJ397" s="311"/>
      <c r="BK397" s="311"/>
    </row>
    <row r="398" spans="1:63" s="80" customFormat="1" ht="12.75">
      <c r="A398" s="167"/>
      <c r="B398" s="210" t="str">
        <f>Servicio_internaColumna_título_amortizaciones</f>
        <v>Amortizaciones</v>
      </c>
      <c r="C398" s="269">
        <v>0</v>
      </c>
      <c r="D398" s="235"/>
      <c r="E398" s="235"/>
      <c r="F398" s="235"/>
      <c r="G398" s="235"/>
      <c r="H398" s="235"/>
      <c r="I398" s="235"/>
      <c r="J398" s="235"/>
      <c r="K398" s="235"/>
      <c r="L398" s="235"/>
      <c r="M398" s="235"/>
      <c r="N398" s="235">
        <v>3754330.7483807025</v>
      </c>
      <c r="O398" s="235">
        <v>3328807.4613796505</v>
      </c>
      <c r="P398" s="235">
        <v>4293765.7120354809</v>
      </c>
      <c r="Q398" s="235">
        <v>5350101.5429934878</v>
      </c>
      <c r="R398" s="235">
        <v>2350752.0398857887</v>
      </c>
      <c r="S398" s="273">
        <v>5075175.9048372554</v>
      </c>
      <c r="T398" s="235">
        <v>1788977.9860461971</v>
      </c>
      <c r="U398" s="235">
        <v>6833754.5703949062</v>
      </c>
      <c r="V398" s="235">
        <v>3014520.8385528466</v>
      </c>
      <c r="W398" s="235">
        <v>7547572.7953380141</v>
      </c>
      <c r="X398" s="235">
        <v>1246282.9803189063</v>
      </c>
      <c r="Y398" s="235">
        <v>1206821.2587076928</v>
      </c>
      <c r="Z398" s="235">
        <v>2972813.2934975266</v>
      </c>
      <c r="AA398" s="235">
        <v>1324661.0559172311</v>
      </c>
      <c r="AB398" s="235">
        <v>908103.12830787606</v>
      </c>
      <c r="AC398" s="235">
        <v>2856310.0348008638</v>
      </c>
      <c r="AD398" s="235">
        <v>803276.12196634396</v>
      </c>
      <c r="AE398" s="235">
        <v>1244264.711717281</v>
      </c>
      <c r="AF398" s="235">
        <v>545981.47594091704</v>
      </c>
      <c r="AG398" s="235">
        <v>501665.98060438497</v>
      </c>
      <c r="AH398" s="235">
        <v>421865.02865067101</v>
      </c>
      <c r="AI398" s="235">
        <v>928073.06376871222</v>
      </c>
      <c r="AJ398" s="235">
        <v>234619.80035950401</v>
      </c>
      <c r="AK398" s="235">
        <v>167317.244096368</v>
      </c>
      <c r="AL398" s="235">
        <v>110962.080935839</v>
      </c>
      <c r="AM398" s="235">
        <v>3569045.5285751857</v>
      </c>
      <c r="AN398" s="235">
        <v>9573.1212362259976</v>
      </c>
      <c r="AO398" s="235"/>
      <c r="AP398" s="235"/>
      <c r="AQ398" s="235"/>
      <c r="AR398" s="235"/>
      <c r="AS398" s="235"/>
      <c r="AT398" s="235"/>
      <c r="AU398" s="235"/>
      <c r="AV398" s="235"/>
      <c r="AW398" s="235"/>
      <c r="AX398" s="235"/>
      <c r="AY398" s="235"/>
      <c r="AZ398" s="235"/>
      <c r="BA398" s="235"/>
      <c r="BB398" s="235"/>
      <c r="BC398" s="235"/>
      <c r="BD398" s="235"/>
      <c r="BE398" s="235"/>
      <c r="BF398" s="235"/>
      <c r="BG398" s="235"/>
      <c r="BH398" s="235"/>
      <c r="BI398" s="235"/>
      <c r="BJ398" s="235"/>
      <c r="BK398" s="235"/>
    </row>
    <row r="399" spans="1:63" s="133" customFormat="1" ht="12.75">
      <c r="A399" s="168">
        <v>40878</v>
      </c>
      <c r="B399" s="213" t="str">
        <f>Servicio_internaColumna_título_intereses</f>
        <v>Intereses</v>
      </c>
      <c r="C399" s="270">
        <v>0</v>
      </c>
      <c r="D399" s="271"/>
      <c r="E399" s="271"/>
      <c r="F399" s="271"/>
      <c r="G399" s="271"/>
      <c r="H399" s="271"/>
      <c r="I399" s="271"/>
      <c r="J399" s="271"/>
      <c r="K399" s="271"/>
      <c r="L399" s="271"/>
      <c r="M399" s="271"/>
      <c r="N399" s="271">
        <v>3749887.5348490519</v>
      </c>
      <c r="O399" s="271">
        <v>3401535.8051236896</v>
      </c>
      <c r="P399" s="271">
        <v>3286077.6457483834</v>
      </c>
      <c r="Q399" s="271">
        <v>3070426.3131133341</v>
      </c>
      <c r="R399" s="271">
        <v>2714477.0308873141</v>
      </c>
      <c r="S399" s="274">
        <v>2504254.8344817185</v>
      </c>
      <c r="T399" s="271">
        <v>2357369.9456392741</v>
      </c>
      <c r="U399" s="272">
        <v>2139960.4006160828</v>
      </c>
      <c r="V399" s="272">
        <v>1807983.2729478178</v>
      </c>
      <c r="W399" s="272">
        <v>1654529.604300431</v>
      </c>
      <c r="X399" s="272">
        <v>1236512.4917777888</v>
      </c>
      <c r="Y399" s="272">
        <v>1215555.270115729</v>
      </c>
      <c r="Z399" s="272">
        <v>1061965.493575102</v>
      </c>
      <c r="AA399" s="272">
        <v>941373.00475460489</v>
      </c>
      <c r="AB399" s="272">
        <v>889433.29339877097</v>
      </c>
      <c r="AC399" s="272">
        <v>827375.40484997095</v>
      </c>
      <c r="AD399" s="236">
        <v>607475.53979744518</v>
      </c>
      <c r="AE399" s="236">
        <v>565429.89650080295</v>
      </c>
      <c r="AF399" s="236">
        <v>528532.17061195092</v>
      </c>
      <c r="AG399" s="236">
        <v>507820.08250759396</v>
      </c>
      <c r="AH399" s="236">
        <v>488429.20860710804</v>
      </c>
      <c r="AI399" s="236">
        <v>439672.50353684003</v>
      </c>
      <c r="AJ399" s="236">
        <v>396539.59486789297</v>
      </c>
      <c r="AK399" s="236">
        <v>388773.07774431299</v>
      </c>
      <c r="AL399" s="236">
        <v>383449.14750086406</v>
      </c>
      <c r="AM399" s="236">
        <v>380160.78511686501</v>
      </c>
      <c r="AN399" s="236">
        <v>119091.12435449599</v>
      </c>
      <c r="AO399" s="236"/>
      <c r="AP399" s="236"/>
      <c r="AQ399" s="236"/>
      <c r="AR399" s="236"/>
      <c r="AS399" s="236"/>
      <c r="AT399" s="236"/>
      <c r="AU399" s="236"/>
      <c r="AV399" s="236"/>
      <c r="AW399" s="236"/>
      <c r="AX399" s="236"/>
      <c r="AY399" s="236"/>
      <c r="AZ399" s="236"/>
      <c r="BA399" s="236"/>
      <c r="BB399" s="236"/>
      <c r="BC399" s="236"/>
      <c r="BD399" s="236"/>
      <c r="BE399" s="236"/>
      <c r="BF399" s="236"/>
      <c r="BG399" s="236"/>
      <c r="BH399" s="236"/>
      <c r="BI399" s="236"/>
      <c r="BJ399" s="236"/>
      <c r="BK399" s="236"/>
    </row>
    <row r="400" spans="1:63" s="133" customFormat="1" ht="12.75">
      <c r="A400" s="169"/>
      <c r="B400" s="307" t="str">
        <f>Servicio_internaColumna_título_total</f>
        <v>Total</v>
      </c>
      <c r="C400" s="310">
        <v>0</v>
      </c>
      <c r="D400" s="311"/>
      <c r="E400" s="311"/>
      <c r="F400" s="311"/>
      <c r="G400" s="311"/>
      <c r="H400" s="311"/>
      <c r="I400" s="311"/>
      <c r="J400" s="311"/>
      <c r="K400" s="311"/>
      <c r="L400" s="311"/>
      <c r="M400" s="311"/>
      <c r="N400" s="311">
        <v>7504218.2832297543</v>
      </c>
      <c r="O400" s="311">
        <v>6730343.2665033396</v>
      </c>
      <c r="P400" s="311">
        <v>7579843.3577838643</v>
      </c>
      <c r="Q400" s="311">
        <v>8420527.8561068214</v>
      </c>
      <c r="R400" s="311">
        <v>5065229.0707731023</v>
      </c>
      <c r="S400" s="312">
        <v>7579430.7393189743</v>
      </c>
      <c r="T400" s="311">
        <v>4146347.931685471</v>
      </c>
      <c r="U400" s="311">
        <v>8973714.9710109886</v>
      </c>
      <c r="V400" s="311">
        <v>4822504.1115006646</v>
      </c>
      <c r="W400" s="311">
        <v>9202102.3996384442</v>
      </c>
      <c r="X400" s="311">
        <v>2482795.4720966951</v>
      </c>
      <c r="Y400" s="311">
        <v>2422376.5288234218</v>
      </c>
      <c r="Z400" s="311">
        <v>4034778.7870726287</v>
      </c>
      <c r="AA400" s="311">
        <v>2266034.0606718361</v>
      </c>
      <c r="AB400" s="311">
        <v>1797536.4217066471</v>
      </c>
      <c r="AC400" s="311">
        <v>3683685.4396508345</v>
      </c>
      <c r="AD400" s="311">
        <v>1410751.6617637891</v>
      </c>
      <c r="AE400" s="311">
        <v>1809694.6082180841</v>
      </c>
      <c r="AF400" s="311">
        <v>1074513.646552868</v>
      </c>
      <c r="AG400" s="311">
        <v>1009486.0631119789</v>
      </c>
      <c r="AH400" s="311">
        <v>910294.23725777911</v>
      </c>
      <c r="AI400" s="311">
        <v>1367745.5673055523</v>
      </c>
      <c r="AJ400" s="311">
        <v>631159.39522739698</v>
      </c>
      <c r="AK400" s="311">
        <v>556090.32184068102</v>
      </c>
      <c r="AL400" s="311">
        <v>494411.22843670304</v>
      </c>
      <c r="AM400" s="311">
        <v>3949206.3136920505</v>
      </c>
      <c r="AN400" s="311">
        <v>128664.24559072198</v>
      </c>
      <c r="AO400" s="311"/>
      <c r="AP400" s="311"/>
      <c r="AQ400" s="311"/>
      <c r="AR400" s="311"/>
      <c r="AS400" s="311"/>
      <c r="AT400" s="311"/>
      <c r="AU400" s="311"/>
      <c r="AV400" s="311"/>
      <c r="AW400" s="311"/>
      <c r="AX400" s="311"/>
      <c r="AY400" s="311"/>
      <c r="AZ400" s="311"/>
      <c r="BA400" s="311"/>
      <c r="BB400" s="311"/>
      <c r="BC400" s="311"/>
      <c r="BD400" s="311"/>
      <c r="BE400" s="311"/>
      <c r="BF400" s="311"/>
      <c r="BG400" s="311"/>
      <c r="BH400" s="311"/>
      <c r="BI400" s="311"/>
      <c r="BJ400" s="311"/>
      <c r="BK400" s="311"/>
    </row>
    <row r="401" spans="1:63" s="80" customFormat="1" ht="12.75">
      <c r="A401" s="167"/>
      <c r="B401" s="210" t="str">
        <f>Servicio_internaColumna_título_amortizaciones</f>
        <v>Amortizaciones</v>
      </c>
      <c r="C401" s="269">
        <v>0</v>
      </c>
      <c r="D401" s="235"/>
      <c r="E401" s="235"/>
      <c r="F401" s="235"/>
      <c r="G401" s="235"/>
      <c r="H401" s="235"/>
      <c r="I401" s="235"/>
      <c r="J401" s="235"/>
      <c r="K401" s="235"/>
      <c r="L401" s="235"/>
      <c r="M401" s="235"/>
      <c r="N401" s="235">
        <v>1807245.3120916239</v>
      </c>
      <c r="O401" s="235">
        <v>3117704.0238417163</v>
      </c>
      <c r="P401" s="235">
        <v>4031388.2350136554</v>
      </c>
      <c r="Q401" s="235">
        <v>5113991.5588564146</v>
      </c>
      <c r="R401" s="235">
        <v>2207129.6038088696</v>
      </c>
      <c r="S401" s="273">
        <v>4748184.506347239</v>
      </c>
      <c r="T401" s="235">
        <v>1671288.4329701348</v>
      </c>
      <c r="U401" s="235">
        <v>6383102.1748045841</v>
      </c>
      <c r="V401" s="235">
        <v>2816408.0183011894</v>
      </c>
      <c r="W401" s="235">
        <v>7051640.2495140219</v>
      </c>
      <c r="X401" s="235">
        <v>1164336.4066998016</v>
      </c>
      <c r="Y401" s="235">
        <v>1127483.8827821738</v>
      </c>
      <c r="Z401" s="235">
        <v>2777464.1541616404</v>
      </c>
      <c r="AA401" s="235">
        <v>1237582.4619872221</v>
      </c>
      <c r="AB401" s="235">
        <v>848389.09053704201</v>
      </c>
      <c r="AC401" s="235">
        <v>2668634.5937834908</v>
      </c>
      <c r="AD401" s="235">
        <v>750487.19428709033</v>
      </c>
      <c r="AE401" s="235">
        <v>1162506.3271872452</v>
      </c>
      <c r="AF401" s="235">
        <v>510094.7682265396</v>
      </c>
      <c r="AG401" s="235">
        <v>468701.34036599757</v>
      </c>
      <c r="AH401" s="235">
        <v>394153.57954685565</v>
      </c>
      <c r="AI401" s="235">
        <v>867105.18026834575</v>
      </c>
      <c r="AJ401" s="235">
        <v>219206.30275314237</v>
      </c>
      <c r="AK401" s="235">
        <v>156324.99126804798</v>
      </c>
      <c r="AL401" s="235">
        <v>103672.262690912</v>
      </c>
      <c r="AM401" s="235">
        <v>3334587.5111989742</v>
      </c>
      <c r="AN401" s="235">
        <v>8944.2430089303962</v>
      </c>
      <c r="AO401" s="235"/>
      <c r="AP401" s="235"/>
      <c r="AQ401" s="235"/>
      <c r="AR401" s="235"/>
      <c r="AS401" s="235"/>
      <c r="AT401" s="235"/>
      <c r="AU401" s="235"/>
      <c r="AV401" s="235"/>
      <c r="AW401" s="235"/>
      <c r="AX401" s="235"/>
      <c r="AY401" s="235"/>
      <c r="AZ401" s="235"/>
      <c r="BA401" s="235"/>
      <c r="BB401" s="235"/>
      <c r="BC401" s="235"/>
      <c r="BD401" s="235"/>
      <c r="BE401" s="235"/>
      <c r="BF401" s="235"/>
      <c r="BG401" s="235"/>
      <c r="BH401" s="235"/>
      <c r="BI401" s="235"/>
      <c r="BJ401" s="235"/>
      <c r="BK401" s="235"/>
    </row>
    <row r="402" spans="1:63" s="133" customFormat="1" ht="12.75">
      <c r="A402" s="168">
        <v>40909</v>
      </c>
      <c r="B402" s="213" t="str">
        <f>Servicio_internaColumna_título_intereses</f>
        <v>Intereses</v>
      </c>
      <c r="C402" s="270">
        <v>0</v>
      </c>
      <c r="D402" s="271"/>
      <c r="E402" s="271"/>
      <c r="F402" s="271"/>
      <c r="G402" s="271"/>
      <c r="H402" s="271"/>
      <c r="I402" s="271"/>
      <c r="J402" s="271"/>
      <c r="K402" s="271"/>
      <c r="L402" s="271"/>
      <c r="M402" s="271"/>
      <c r="N402" s="271">
        <v>3165707.2986329831</v>
      </c>
      <c r="O402" s="271">
        <v>3364462.6457938259</v>
      </c>
      <c r="P402" s="271">
        <v>3256386.3389872243</v>
      </c>
      <c r="Q402" s="271">
        <v>3051398.1003651922</v>
      </c>
      <c r="R402" s="271">
        <v>2701850.6890682275</v>
      </c>
      <c r="S402" s="274">
        <v>2534127.4929680596</v>
      </c>
      <c r="T402" s="271">
        <v>2373180.147131145</v>
      </c>
      <c r="U402" s="272">
        <v>2177025.1127466382</v>
      </c>
      <c r="V402" s="272">
        <v>1868125.4512836148</v>
      </c>
      <c r="W402" s="272">
        <v>1718215.2570881811</v>
      </c>
      <c r="X402" s="272">
        <v>1326325.390374854</v>
      </c>
      <c r="Y402" s="272">
        <v>1308659.5527424635</v>
      </c>
      <c r="Z402" s="272">
        <v>1163162.7166368363</v>
      </c>
      <c r="AA402" s="272">
        <v>1050460.7609456191</v>
      </c>
      <c r="AB402" s="272">
        <v>1001747.1016686199</v>
      </c>
      <c r="AC402" s="272">
        <v>943505.12101412402</v>
      </c>
      <c r="AD402" s="236">
        <v>737837.78641875635</v>
      </c>
      <c r="AE402" s="236">
        <v>697700.38369931409</v>
      </c>
      <c r="AF402" s="236">
        <v>662415.03443096043</v>
      </c>
      <c r="AG402" s="236">
        <v>642669.20126226684</v>
      </c>
      <c r="AH402" s="236">
        <v>623736.0798379496</v>
      </c>
      <c r="AI402" s="236">
        <v>577981.90724854521</v>
      </c>
      <c r="AJ402" s="236">
        <v>537551.42563069402</v>
      </c>
      <c r="AK402" s="236">
        <v>530175.41381095478</v>
      </c>
      <c r="AL402" s="236">
        <v>525095.76130739402</v>
      </c>
      <c r="AM402" s="236">
        <v>521930.91321960592</v>
      </c>
      <c r="AN402" s="236">
        <v>278028.25592003844</v>
      </c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/>
      <c r="BF402" s="236"/>
      <c r="BG402" s="236"/>
      <c r="BH402" s="236"/>
      <c r="BI402" s="236"/>
      <c r="BJ402" s="236"/>
      <c r="BK402" s="236"/>
    </row>
    <row r="403" spans="1:63" s="133" customFormat="1" ht="12.75">
      <c r="A403" s="169"/>
      <c r="B403" s="307" t="str">
        <f>Servicio_internaColumna_título_total</f>
        <v>Total</v>
      </c>
      <c r="C403" s="310">
        <v>0</v>
      </c>
      <c r="D403" s="311"/>
      <c r="E403" s="311"/>
      <c r="F403" s="311"/>
      <c r="G403" s="311"/>
      <c r="H403" s="311"/>
      <c r="I403" s="311"/>
      <c r="J403" s="311"/>
      <c r="K403" s="311"/>
      <c r="L403" s="311"/>
      <c r="M403" s="311"/>
      <c r="N403" s="311">
        <v>4972952.6107246075</v>
      </c>
      <c r="O403" s="311">
        <v>6482166.6696355417</v>
      </c>
      <c r="P403" s="311">
        <v>7287774.5740008801</v>
      </c>
      <c r="Q403" s="311">
        <v>8165389.6592216063</v>
      </c>
      <c r="R403" s="311">
        <v>4908980.2928770967</v>
      </c>
      <c r="S403" s="312">
        <v>7282311.9993152991</v>
      </c>
      <c r="T403" s="311">
        <v>4044468.5801012795</v>
      </c>
      <c r="U403" s="311">
        <v>8560127.2875512224</v>
      </c>
      <c r="V403" s="311">
        <v>4684533.469584804</v>
      </c>
      <c r="W403" s="311">
        <v>8769855.5066022035</v>
      </c>
      <c r="X403" s="311">
        <v>2490661.7970746555</v>
      </c>
      <c r="Y403" s="311">
        <v>2436143.4355246373</v>
      </c>
      <c r="Z403" s="311">
        <v>3940626.870798477</v>
      </c>
      <c r="AA403" s="311">
        <v>2288043.2229328412</v>
      </c>
      <c r="AB403" s="311">
        <v>1850136.1922056619</v>
      </c>
      <c r="AC403" s="311">
        <v>3612139.7147976151</v>
      </c>
      <c r="AD403" s="311">
        <v>1488324.9807058466</v>
      </c>
      <c r="AE403" s="311">
        <v>1860206.7108865594</v>
      </c>
      <c r="AF403" s="311">
        <v>1172509.8026574999</v>
      </c>
      <c r="AG403" s="311">
        <v>1111370.5416282644</v>
      </c>
      <c r="AH403" s="311">
        <v>1017889.6593848052</v>
      </c>
      <c r="AI403" s="311">
        <v>1445087.0875168908</v>
      </c>
      <c r="AJ403" s="311">
        <v>756757.72838383634</v>
      </c>
      <c r="AK403" s="311">
        <v>686500.40507900272</v>
      </c>
      <c r="AL403" s="311">
        <v>628768.02399830602</v>
      </c>
      <c r="AM403" s="311">
        <v>3856518.4244185803</v>
      </c>
      <c r="AN403" s="311">
        <v>286972.49892896885</v>
      </c>
      <c r="AO403" s="311"/>
      <c r="AP403" s="311"/>
      <c r="AQ403" s="311"/>
      <c r="AR403" s="311"/>
      <c r="AS403" s="311"/>
      <c r="AT403" s="311"/>
      <c r="AU403" s="311"/>
      <c r="AV403" s="311"/>
      <c r="AW403" s="311"/>
      <c r="AX403" s="311"/>
      <c r="AY403" s="311"/>
      <c r="AZ403" s="311"/>
      <c r="BA403" s="311"/>
      <c r="BB403" s="311"/>
      <c r="BC403" s="311"/>
      <c r="BD403" s="311"/>
      <c r="BE403" s="311"/>
      <c r="BF403" s="311"/>
      <c r="BG403" s="311"/>
      <c r="BH403" s="311"/>
      <c r="BI403" s="311"/>
      <c r="BJ403" s="311"/>
      <c r="BK403" s="311"/>
    </row>
    <row r="404" spans="1:63" s="80" customFormat="1" ht="12.75">
      <c r="A404" s="167"/>
      <c r="B404" s="210" t="str">
        <f>Servicio_internaColumna_título_amortizaciones</f>
        <v>Amortizaciones</v>
      </c>
      <c r="C404" s="269">
        <v>0</v>
      </c>
      <c r="D404" s="235"/>
      <c r="E404" s="235"/>
      <c r="F404" s="235"/>
      <c r="G404" s="235"/>
      <c r="H404" s="235"/>
      <c r="I404" s="235"/>
      <c r="J404" s="235"/>
      <c r="K404" s="235"/>
      <c r="L404" s="235"/>
      <c r="M404" s="235"/>
      <c r="N404" s="235">
        <v>1673282.4420908468</v>
      </c>
      <c r="O404" s="235">
        <v>2646588.3772150339</v>
      </c>
      <c r="P404" s="235">
        <v>3942014.2669076403</v>
      </c>
      <c r="Q404" s="235">
        <v>4654261.5511801653</v>
      </c>
      <c r="R404" s="235">
        <v>2087626.0558693842</v>
      </c>
      <c r="S404" s="273">
        <v>4633607.9601433529</v>
      </c>
      <c r="T404" s="235">
        <v>1628581.724674715</v>
      </c>
      <c r="U404" s="235">
        <v>6153271.4491783688</v>
      </c>
      <c r="V404" s="235">
        <v>2743277.4084755671</v>
      </c>
      <c r="W404" s="235">
        <v>6868294.8767764457</v>
      </c>
      <c r="X404" s="235">
        <v>1134152.7713415411</v>
      </c>
      <c r="Y404" s="235">
        <v>1098231.7132107806</v>
      </c>
      <c r="Z404" s="235">
        <v>2705263.3331253356</v>
      </c>
      <c r="AA404" s="235">
        <v>1205506.2554841582</v>
      </c>
      <c r="AB404" s="235">
        <v>826372.87841052702</v>
      </c>
      <c r="AC404" s="235">
        <v>2456673.8226217744</v>
      </c>
      <c r="AD404" s="235">
        <v>730948.78334541747</v>
      </c>
      <c r="AE404" s="235">
        <v>1132284.7140959429</v>
      </c>
      <c r="AF404" s="235">
        <v>496814.23139033921</v>
      </c>
      <c r="AG404" s="235">
        <v>456484.62994305801</v>
      </c>
      <c r="AH404" s="235">
        <v>383865.99048248929</v>
      </c>
      <c r="AI404" s="235">
        <v>844509.35831413069</v>
      </c>
      <c r="AJ404" s="235">
        <v>213476.52635206739</v>
      </c>
      <c r="AK404" s="235">
        <v>152232.13553585298</v>
      </c>
      <c r="AL404" s="235">
        <v>100948.93488262649</v>
      </c>
      <c r="AM404" s="235">
        <v>3247781.8277557367</v>
      </c>
      <c r="AN404" s="235">
        <v>8711.4072759753963</v>
      </c>
      <c r="AO404" s="235"/>
      <c r="AP404" s="235"/>
      <c r="AQ404" s="235"/>
      <c r="AR404" s="235"/>
      <c r="AS404" s="235"/>
      <c r="AT404" s="235"/>
      <c r="AU404" s="235"/>
      <c r="AV404" s="235"/>
      <c r="AW404" s="235"/>
      <c r="AX404" s="235"/>
      <c r="AY404" s="235"/>
      <c r="AZ404" s="235"/>
      <c r="BA404" s="235"/>
      <c r="BB404" s="235"/>
      <c r="BC404" s="235"/>
      <c r="BD404" s="235"/>
      <c r="BE404" s="235"/>
      <c r="BF404" s="235"/>
      <c r="BG404" s="235"/>
      <c r="BH404" s="235"/>
      <c r="BI404" s="235"/>
      <c r="BJ404" s="235"/>
      <c r="BK404" s="235"/>
    </row>
    <row r="405" spans="1:63" s="133" customFormat="1" ht="12.75">
      <c r="A405" s="168">
        <v>40940</v>
      </c>
      <c r="B405" s="213" t="str">
        <f>Servicio_internaColumna_título_intereses</f>
        <v>Intereses</v>
      </c>
      <c r="C405" s="270">
        <v>0</v>
      </c>
      <c r="D405" s="271"/>
      <c r="E405" s="271"/>
      <c r="F405" s="271"/>
      <c r="G405" s="271"/>
      <c r="H405" s="271"/>
      <c r="I405" s="271"/>
      <c r="J405" s="271"/>
      <c r="K405" s="271"/>
      <c r="L405" s="271"/>
      <c r="M405" s="271"/>
      <c r="N405" s="271">
        <v>2810635.0414543892</v>
      </c>
      <c r="O405" s="271">
        <v>3294586.3084465261</v>
      </c>
      <c r="P405" s="271">
        <v>3152593.8576600403</v>
      </c>
      <c r="Q405" s="271">
        <v>2950496.1822679145</v>
      </c>
      <c r="R405" s="271">
        <v>2623937.6463702423</v>
      </c>
      <c r="S405" s="274">
        <v>2447778.6544732931</v>
      </c>
      <c r="T405" s="271">
        <v>2298171.9731939593</v>
      </c>
      <c r="U405" s="272">
        <v>2111746.0386597258</v>
      </c>
      <c r="V405" s="272">
        <v>1813337.5049278294</v>
      </c>
      <c r="W405" s="272">
        <v>1675444.00585787</v>
      </c>
      <c r="X405" s="272">
        <v>1305498.596498929</v>
      </c>
      <c r="Y405" s="272">
        <v>1260831.3456427094</v>
      </c>
      <c r="Z405" s="272">
        <v>1133888.7016999344</v>
      </c>
      <c r="AA405" s="272">
        <v>1020139.2948737169</v>
      </c>
      <c r="AB405" s="272">
        <v>971320.95540557592</v>
      </c>
      <c r="AC405" s="272">
        <v>923346.35899833299</v>
      </c>
      <c r="AD405" s="236">
        <v>724612.01437103923</v>
      </c>
      <c r="AE405" s="236">
        <v>684010.42050451017</v>
      </c>
      <c r="AF405" s="236">
        <v>648255.40805164387</v>
      </c>
      <c r="AG405" s="236">
        <v>628346.9670652179</v>
      </c>
      <c r="AH405" s="236">
        <v>609723.54706815979</v>
      </c>
      <c r="AI405" s="236">
        <v>564219.10957287659</v>
      </c>
      <c r="AJ405" s="236">
        <v>524449.23681611347</v>
      </c>
      <c r="AK405" s="236">
        <v>516909.11978516571</v>
      </c>
      <c r="AL405" s="236">
        <v>511647.72056230647</v>
      </c>
      <c r="AM405" s="236">
        <v>508398.60856896389</v>
      </c>
      <c r="AN405" s="236">
        <v>270790.64926235843</v>
      </c>
      <c r="AO405" s="236"/>
      <c r="AP405" s="236"/>
      <c r="AQ405" s="236"/>
      <c r="AR405" s="236"/>
      <c r="AS405" s="236"/>
      <c r="AT405" s="236"/>
      <c r="AU405" s="236"/>
      <c r="AV405" s="236"/>
      <c r="AW405" s="236"/>
      <c r="AX405" s="236"/>
      <c r="AY405" s="236"/>
      <c r="AZ405" s="236"/>
      <c r="BA405" s="236"/>
      <c r="BB405" s="236"/>
      <c r="BC405" s="236"/>
      <c r="BD405" s="236"/>
      <c r="BE405" s="236"/>
      <c r="BF405" s="236"/>
      <c r="BG405" s="236"/>
      <c r="BH405" s="236"/>
      <c r="BI405" s="236"/>
      <c r="BJ405" s="236"/>
      <c r="BK405" s="236"/>
    </row>
    <row r="406" spans="1:63" s="133" customFormat="1" ht="12.75">
      <c r="A406" s="169"/>
      <c r="B406" s="307" t="str">
        <f>Servicio_internaColumna_título_total</f>
        <v>Total</v>
      </c>
      <c r="C406" s="310">
        <v>0</v>
      </c>
      <c r="D406" s="311"/>
      <c r="E406" s="311"/>
      <c r="F406" s="311"/>
      <c r="G406" s="311"/>
      <c r="H406" s="311"/>
      <c r="I406" s="311"/>
      <c r="J406" s="311"/>
      <c r="K406" s="311"/>
      <c r="L406" s="311"/>
      <c r="M406" s="311"/>
      <c r="N406" s="311">
        <v>4483917.4835452363</v>
      </c>
      <c r="O406" s="311">
        <v>5941174.6856615599</v>
      </c>
      <c r="P406" s="311">
        <v>7094608.1245676801</v>
      </c>
      <c r="Q406" s="311">
        <v>7604757.7334480798</v>
      </c>
      <c r="R406" s="311">
        <v>4711563.702239627</v>
      </c>
      <c r="S406" s="312">
        <v>7081386.6146166455</v>
      </c>
      <c r="T406" s="311">
        <v>3926753.6978686741</v>
      </c>
      <c r="U406" s="311">
        <v>8265017.4878380951</v>
      </c>
      <c r="V406" s="311">
        <v>4556614.9134033965</v>
      </c>
      <c r="W406" s="311">
        <v>8543738.8826343156</v>
      </c>
      <c r="X406" s="311">
        <v>2439651.3678404698</v>
      </c>
      <c r="Y406" s="311">
        <v>2359063.0588534903</v>
      </c>
      <c r="Z406" s="311">
        <v>3839152.0348252701</v>
      </c>
      <c r="AA406" s="311">
        <v>2225645.5503578749</v>
      </c>
      <c r="AB406" s="311">
        <v>1797693.8338161029</v>
      </c>
      <c r="AC406" s="311">
        <v>3380020.1816201075</v>
      </c>
      <c r="AD406" s="311">
        <v>1455560.7977164567</v>
      </c>
      <c r="AE406" s="311">
        <v>1816295.1346004531</v>
      </c>
      <c r="AF406" s="311">
        <v>1145069.6394419831</v>
      </c>
      <c r="AG406" s="311">
        <v>1084831.5970082758</v>
      </c>
      <c r="AH406" s="311">
        <v>993589.53755064914</v>
      </c>
      <c r="AI406" s="311">
        <v>1408728.4678870072</v>
      </c>
      <c r="AJ406" s="311">
        <v>737925.76316818083</v>
      </c>
      <c r="AK406" s="311">
        <v>669141.25532101863</v>
      </c>
      <c r="AL406" s="311">
        <v>612596.65544493299</v>
      </c>
      <c r="AM406" s="311">
        <v>3756180.4363247007</v>
      </c>
      <c r="AN406" s="311">
        <v>279502.05653833383</v>
      </c>
      <c r="AO406" s="311"/>
      <c r="AP406" s="311"/>
      <c r="AQ406" s="311"/>
      <c r="AR406" s="311"/>
      <c r="AS406" s="311"/>
      <c r="AT406" s="311"/>
      <c r="AU406" s="311"/>
      <c r="AV406" s="311"/>
      <c r="AW406" s="311"/>
      <c r="AX406" s="311"/>
      <c r="AY406" s="311"/>
      <c r="AZ406" s="311"/>
      <c r="BA406" s="311"/>
      <c r="BB406" s="311"/>
      <c r="BC406" s="311"/>
      <c r="BD406" s="311"/>
      <c r="BE406" s="311"/>
      <c r="BF406" s="311"/>
      <c r="BG406" s="311"/>
      <c r="BH406" s="311"/>
      <c r="BI406" s="311"/>
      <c r="BJ406" s="311"/>
      <c r="BK406" s="311"/>
    </row>
    <row r="407" spans="1:63" s="80" customFormat="1" ht="12.75">
      <c r="A407" s="167"/>
      <c r="B407" s="210" t="str">
        <f>Servicio_internaColumna_título_amortizaciones</f>
        <v>Amortizaciones</v>
      </c>
      <c r="C407" s="269">
        <v>0</v>
      </c>
      <c r="D407" s="235"/>
      <c r="E407" s="235"/>
      <c r="F407" s="235"/>
      <c r="G407" s="235"/>
      <c r="H407" s="235"/>
      <c r="I407" s="235"/>
      <c r="J407" s="235"/>
      <c r="K407" s="235"/>
      <c r="L407" s="235"/>
      <c r="M407" s="235"/>
      <c r="N407" s="235">
        <v>1657853.3909029476</v>
      </c>
      <c r="O407" s="235">
        <v>2668122.5479007782</v>
      </c>
      <c r="P407" s="235">
        <v>3975218.1105800075</v>
      </c>
      <c r="Q407" s="235">
        <v>4663811.2335161828</v>
      </c>
      <c r="R407" s="235">
        <v>2123714.7206238038</v>
      </c>
      <c r="S407" s="273">
        <v>4729788.7129722415</v>
      </c>
      <c r="T407" s="235">
        <v>1753974.2242987852</v>
      </c>
      <c r="U407" s="235">
        <v>6348282.0824026363</v>
      </c>
      <c r="V407" s="235">
        <v>2937453.6202917215</v>
      </c>
      <c r="W407" s="235">
        <v>7101741.6267581917</v>
      </c>
      <c r="X407" s="235">
        <v>2919188.9359174115</v>
      </c>
      <c r="Y407" s="235">
        <v>1278526.7270946563</v>
      </c>
      <c r="Z407" s="235">
        <v>2902653.223333702</v>
      </c>
      <c r="AA407" s="235">
        <v>1380273.9197434981</v>
      </c>
      <c r="AB407" s="235">
        <v>997360.56293043052</v>
      </c>
      <c r="AC407" s="235">
        <v>3017971.7019762103</v>
      </c>
      <c r="AD407" s="235">
        <v>896189.74859037937</v>
      </c>
      <c r="AE407" s="235">
        <v>1296513.0017605897</v>
      </c>
      <c r="AF407" s="235">
        <v>623455.61225173331</v>
      </c>
      <c r="AG407" s="235">
        <v>587195.57562763337</v>
      </c>
      <c r="AH407" s="235">
        <v>514811.92966018448</v>
      </c>
      <c r="AI407" s="235">
        <v>933929.37923540513</v>
      </c>
      <c r="AJ407" s="235">
        <v>272096.88038610719</v>
      </c>
      <c r="AK407" s="235">
        <v>190861.25651735842</v>
      </c>
      <c r="AL407" s="235">
        <v>139089.3822602432</v>
      </c>
      <c r="AM407" s="235">
        <v>3315881.6021559876</v>
      </c>
      <c r="AN407" s="235">
        <v>45974.757825135202</v>
      </c>
      <c r="AO407" s="235"/>
      <c r="AP407" s="235"/>
      <c r="AQ407" s="235"/>
      <c r="AR407" s="235"/>
      <c r="AS407" s="235"/>
      <c r="AT407" s="235"/>
      <c r="AU407" s="235"/>
      <c r="AV407" s="235"/>
      <c r="AW407" s="235"/>
      <c r="AX407" s="235"/>
      <c r="AY407" s="235"/>
      <c r="AZ407" s="235"/>
      <c r="BA407" s="235"/>
      <c r="BB407" s="235"/>
      <c r="BC407" s="235"/>
      <c r="BD407" s="235"/>
      <c r="BE407" s="235"/>
      <c r="BF407" s="235"/>
      <c r="BG407" s="235"/>
      <c r="BH407" s="235"/>
      <c r="BI407" s="235"/>
      <c r="BJ407" s="235"/>
      <c r="BK407" s="235"/>
    </row>
    <row r="408" spans="1:63" s="133" customFormat="1" ht="12.75">
      <c r="A408" s="168">
        <v>40969</v>
      </c>
      <c r="B408" s="213" t="str">
        <f>Servicio_internaColumna_título_intereses</f>
        <v>Intereses</v>
      </c>
      <c r="C408" s="270">
        <v>0</v>
      </c>
      <c r="D408" s="271"/>
      <c r="E408" s="271"/>
      <c r="F408" s="271"/>
      <c r="G408" s="271"/>
      <c r="H408" s="271"/>
      <c r="I408" s="271"/>
      <c r="J408" s="271"/>
      <c r="K408" s="271"/>
      <c r="L408" s="271"/>
      <c r="M408" s="271"/>
      <c r="N408" s="271">
        <v>2510939.8980198451</v>
      </c>
      <c r="O408" s="271">
        <v>3401802.0934628798</v>
      </c>
      <c r="P408" s="271">
        <v>3328642.9699471309</v>
      </c>
      <c r="Q408" s="271">
        <v>3170035.3879502467</v>
      </c>
      <c r="R408" s="271">
        <v>2879978.4704519738</v>
      </c>
      <c r="S408" s="274">
        <v>2724142.8212605999</v>
      </c>
      <c r="T408" s="271">
        <v>2578032.6902312571</v>
      </c>
      <c r="U408" s="272">
        <v>2384128.268674213</v>
      </c>
      <c r="V408" s="272">
        <v>2081522.6061710047</v>
      </c>
      <c r="W408" s="272">
        <v>1935140.678687227</v>
      </c>
      <c r="X408" s="272">
        <v>1549106.7201872217</v>
      </c>
      <c r="Y408" s="272">
        <v>1401207.8193357503</v>
      </c>
      <c r="Z408" s="272">
        <v>1257890.030501524</v>
      </c>
      <c r="AA408" s="272">
        <v>1137572.6359446258</v>
      </c>
      <c r="AB408" s="272">
        <v>1076567.4560729486</v>
      </c>
      <c r="AC408" s="272">
        <v>1003686.2164333535</v>
      </c>
      <c r="AD408" s="236">
        <v>790231.43140821054</v>
      </c>
      <c r="AE408" s="236">
        <v>740424.30786986614</v>
      </c>
      <c r="AF408" s="236">
        <v>696257.35924436955</v>
      </c>
      <c r="AG408" s="236">
        <v>669465.73017007939</v>
      </c>
      <c r="AH408" s="236">
        <v>643496.82544738369</v>
      </c>
      <c r="AI408" s="236">
        <v>592201.96550178993</v>
      </c>
      <c r="AJ408" s="236">
        <v>548556.75831888791</v>
      </c>
      <c r="AK408" s="236">
        <v>538337.4427420774</v>
      </c>
      <c r="AL408" s="236">
        <v>531149.79908378609</v>
      </c>
      <c r="AM408" s="236">
        <v>526012.84148521035</v>
      </c>
      <c r="AN408" s="236">
        <v>284421.76667102298</v>
      </c>
      <c r="AO408" s="236"/>
      <c r="AP408" s="236"/>
      <c r="AQ408" s="236"/>
      <c r="AR408" s="236"/>
      <c r="AS408" s="236"/>
      <c r="AT408" s="236"/>
      <c r="AU408" s="236"/>
      <c r="AV408" s="236"/>
      <c r="AW408" s="236"/>
      <c r="AX408" s="236"/>
      <c r="AY408" s="236"/>
      <c r="AZ408" s="236"/>
      <c r="BA408" s="236"/>
      <c r="BB408" s="236"/>
      <c r="BC408" s="236"/>
      <c r="BD408" s="236"/>
      <c r="BE408" s="236"/>
      <c r="BF408" s="236"/>
      <c r="BG408" s="236"/>
      <c r="BH408" s="236"/>
      <c r="BI408" s="236"/>
      <c r="BJ408" s="236"/>
      <c r="BK408" s="236"/>
    </row>
    <row r="409" spans="1:63" s="133" customFormat="1" ht="12.75">
      <c r="A409" s="169"/>
      <c r="B409" s="307" t="str">
        <f>Servicio_internaColumna_título_total</f>
        <v>Total</v>
      </c>
      <c r="C409" s="310">
        <v>0</v>
      </c>
      <c r="D409" s="311"/>
      <c r="E409" s="311"/>
      <c r="F409" s="311"/>
      <c r="G409" s="311"/>
      <c r="H409" s="311"/>
      <c r="I409" s="311"/>
      <c r="J409" s="311"/>
      <c r="K409" s="311"/>
      <c r="L409" s="311"/>
      <c r="M409" s="311"/>
      <c r="N409" s="311">
        <v>4168793.2889227928</v>
      </c>
      <c r="O409" s="311">
        <v>6069924.641363658</v>
      </c>
      <c r="P409" s="311">
        <v>7303861.080527138</v>
      </c>
      <c r="Q409" s="311">
        <v>7833846.6214664299</v>
      </c>
      <c r="R409" s="311">
        <v>5003693.1910757776</v>
      </c>
      <c r="S409" s="312">
        <v>7453931.5342328418</v>
      </c>
      <c r="T409" s="311">
        <v>4332006.9145300426</v>
      </c>
      <c r="U409" s="311">
        <v>8732410.3510768488</v>
      </c>
      <c r="V409" s="311">
        <v>5018976.2264627265</v>
      </c>
      <c r="W409" s="311">
        <v>9036882.3054454178</v>
      </c>
      <c r="X409" s="311">
        <v>4468295.6561046336</v>
      </c>
      <c r="Y409" s="311">
        <v>2679734.5464304066</v>
      </c>
      <c r="Z409" s="311">
        <v>4160543.2538352259</v>
      </c>
      <c r="AA409" s="311">
        <v>2517846.5556881242</v>
      </c>
      <c r="AB409" s="311">
        <v>2073928.0190033792</v>
      </c>
      <c r="AC409" s="311">
        <v>4021657.9184095636</v>
      </c>
      <c r="AD409" s="311">
        <v>1686421.1799985899</v>
      </c>
      <c r="AE409" s="311">
        <v>2036937.3096304559</v>
      </c>
      <c r="AF409" s="311">
        <v>1319712.9714961029</v>
      </c>
      <c r="AG409" s="311">
        <v>1256661.3057977129</v>
      </c>
      <c r="AH409" s="311">
        <v>1158308.7551075681</v>
      </c>
      <c r="AI409" s="311">
        <v>1526131.3447371949</v>
      </c>
      <c r="AJ409" s="311">
        <v>820653.63870499516</v>
      </c>
      <c r="AK409" s="311">
        <v>729198.69925943576</v>
      </c>
      <c r="AL409" s="311">
        <v>670239.18134402926</v>
      </c>
      <c r="AM409" s="311">
        <v>3841894.4436411979</v>
      </c>
      <c r="AN409" s="311">
        <v>330396.52449615818</v>
      </c>
      <c r="AO409" s="311"/>
      <c r="AP409" s="311"/>
      <c r="AQ409" s="311"/>
      <c r="AR409" s="311"/>
      <c r="AS409" s="311"/>
      <c r="AT409" s="311"/>
      <c r="AU409" s="311"/>
      <c r="AV409" s="311"/>
      <c r="AW409" s="311"/>
      <c r="AX409" s="311"/>
      <c r="AY409" s="311"/>
      <c r="AZ409" s="311"/>
      <c r="BA409" s="311"/>
      <c r="BB409" s="311"/>
      <c r="BC409" s="311"/>
      <c r="BD409" s="311"/>
      <c r="BE409" s="311"/>
      <c r="BF409" s="311"/>
      <c r="BG409" s="311"/>
      <c r="BH409" s="311"/>
      <c r="BI409" s="311"/>
      <c r="BJ409" s="311"/>
      <c r="BK409" s="311"/>
    </row>
    <row r="410" spans="1:63" s="80" customFormat="1" ht="12.75">
      <c r="A410" s="167"/>
      <c r="B410" s="210" t="str">
        <f>Servicio_internaColumna_título_amortizaciones</f>
        <v>Amortizaciones</v>
      </c>
      <c r="C410" s="269">
        <v>0</v>
      </c>
      <c r="D410" s="235"/>
      <c r="E410" s="235"/>
      <c r="F410" s="235"/>
      <c r="G410" s="235"/>
      <c r="H410" s="235"/>
      <c r="I410" s="235"/>
      <c r="J410" s="235"/>
      <c r="K410" s="235"/>
      <c r="L410" s="235"/>
      <c r="M410" s="235"/>
      <c r="N410" s="235">
        <v>1631560.1891012199</v>
      </c>
      <c r="O410" s="235">
        <v>2628168.5837179353</v>
      </c>
      <c r="P410" s="235">
        <v>3907881.081968416</v>
      </c>
      <c r="Q410" s="235">
        <v>4456253.9560254524</v>
      </c>
      <c r="R410" s="235">
        <v>2059013.9640712594</v>
      </c>
      <c r="S410" s="273">
        <v>4612087.8543846114</v>
      </c>
      <c r="T410" s="235">
        <v>1622275.2707052359</v>
      </c>
      <c r="U410" s="235">
        <v>6165128.4988104282</v>
      </c>
      <c r="V410" s="235">
        <v>2733176.5071957922</v>
      </c>
      <c r="W410" s="235">
        <v>6848805.2592894202</v>
      </c>
      <c r="X410" s="235">
        <v>1129957.0982790161</v>
      </c>
      <c r="Y410" s="235">
        <v>1094170.0893988761</v>
      </c>
      <c r="Z410" s="235">
        <v>2695083.9227906163</v>
      </c>
      <c r="AA410" s="235">
        <v>1200912.9810707963</v>
      </c>
      <c r="AB410" s="235">
        <v>823272.76155521604</v>
      </c>
      <c r="AC410" s="235">
        <v>2452257.245498396</v>
      </c>
      <c r="AD410" s="235">
        <v>728216.84450659202</v>
      </c>
      <c r="AE410" s="235">
        <v>1128047.576760412</v>
      </c>
      <c r="AF410" s="235">
        <v>494960.38155297999</v>
      </c>
      <c r="AG410" s="235">
        <v>454781.98662444798</v>
      </c>
      <c r="AH410" s="235">
        <v>382433.53984735202</v>
      </c>
      <c r="AI410" s="235">
        <v>841268.79998599202</v>
      </c>
      <c r="AJ410" s="235">
        <v>212602.613083784</v>
      </c>
      <c r="AK410" s="235">
        <v>151587.86643632801</v>
      </c>
      <c r="AL410" s="235">
        <v>100497.570130664</v>
      </c>
      <c r="AM410" s="235">
        <v>3235529.2005784162</v>
      </c>
      <c r="AN410" s="235">
        <v>8678.7363572559971</v>
      </c>
      <c r="AO410" s="235"/>
      <c r="AP410" s="235"/>
      <c r="AQ410" s="235"/>
      <c r="AR410" s="235"/>
      <c r="AS410" s="235"/>
      <c r="AT410" s="235"/>
      <c r="AU410" s="235"/>
      <c r="AV410" s="235"/>
      <c r="AW410" s="235"/>
      <c r="AX410" s="235"/>
      <c r="AY410" s="235"/>
      <c r="AZ410" s="235"/>
      <c r="BA410" s="235"/>
      <c r="BB410" s="235"/>
      <c r="BC410" s="235"/>
      <c r="BD410" s="235"/>
      <c r="BE410" s="235"/>
      <c r="BF410" s="235"/>
      <c r="BG410" s="235"/>
      <c r="BH410" s="235"/>
      <c r="BI410" s="235"/>
      <c r="BJ410" s="235"/>
      <c r="BK410" s="235"/>
    </row>
    <row r="411" spans="1:63" s="133" customFormat="1" ht="12.75">
      <c r="A411" s="168">
        <v>41000</v>
      </c>
      <c r="B411" s="213" t="str">
        <f>Servicio_internaColumna_título_intereses</f>
        <v>Intereses</v>
      </c>
      <c r="C411" s="270">
        <v>0</v>
      </c>
      <c r="D411" s="271"/>
      <c r="E411" s="271"/>
      <c r="F411" s="271"/>
      <c r="G411" s="271"/>
      <c r="H411" s="271"/>
      <c r="I411" s="271"/>
      <c r="J411" s="271"/>
      <c r="K411" s="271"/>
      <c r="L411" s="271"/>
      <c r="M411" s="271"/>
      <c r="N411" s="271">
        <v>2234418.8858213038</v>
      </c>
      <c r="O411" s="271">
        <v>3255923.6596617932</v>
      </c>
      <c r="P411" s="271">
        <v>3128547.0568784606</v>
      </c>
      <c r="Q411" s="271">
        <v>2909416.194578825</v>
      </c>
      <c r="R411" s="271">
        <v>2604365.6815659278</v>
      </c>
      <c r="S411" s="274">
        <v>2452385.594357356</v>
      </c>
      <c r="T411" s="271">
        <v>2301760.1210078439</v>
      </c>
      <c r="U411" s="272">
        <v>2111625.097243032</v>
      </c>
      <c r="V411" s="272">
        <v>1814607.3326988041</v>
      </c>
      <c r="W411" s="272">
        <v>1676702.972711564</v>
      </c>
      <c r="X411" s="272">
        <v>1303671.783514688</v>
      </c>
      <c r="Y411" s="272">
        <v>1266274.142246736</v>
      </c>
      <c r="Z411" s="272">
        <v>1132025.144740364</v>
      </c>
      <c r="AA411" s="272">
        <v>1020949.284016284</v>
      </c>
      <c r="AB411" s="272">
        <v>970427.55620602402</v>
      </c>
      <c r="AC411" s="272">
        <v>918834.15656508016</v>
      </c>
      <c r="AD411" s="236">
        <v>723436.06175254402</v>
      </c>
      <c r="AE411" s="236">
        <v>682530.89644278004</v>
      </c>
      <c r="AF411" s="236">
        <v>646501.75820932805</v>
      </c>
      <c r="AG411" s="236">
        <v>626343.87081893196</v>
      </c>
      <c r="AH411" s="236">
        <v>607540.62122230406</v>
      </c>
      <c r="AI411" s="236">
        <v>562421.9841570959</v>
      </c>
      <c r="AJ411" s="236">
        <v>522695.86059810006</v>
      </c>
      <c r="AK411" s="236">
        <v>515094.38198150805</v>
      </c>
      <c r="AL411" s="236">
        <v>509777.07588934002</v>
      </c>
      <c r="AM411" s="236">
        <v>506498.15895380802</v>
      </c>
      <c r="AN411" s="236">
        <v>269774.68878707202</v>
      </c>
      <c r="AO411" s="236"/>
      <c r="AP411" s="236"/>
      <c r="AQ411" s="236"/>
      <c r="AR411" s="236"/>
      <c r="AS411" s="236"/>
      <c r="AT411" s="236"/>
      <c r="AU411" s="236"/>
      <c r="AV411" s="236"/>
      <c r="AW411" s="236"/>
      <c r="AX411" s="236"/>
      <c r="AY411" s="236"/>
      <c r="AZ411" s="236"/>
      <c r="BA411" s="236"/>
      <c r="BB411" s="236"/>
      <c r="BC411" s="236"/>
      <c r="BD411" s="236"/>
      <c r="BE411" s="236"/>
      <c r="BF411" s="236"/>
      <c r="BG411" s="236"/>
      <c r="BH411" s="236"/>
      <c r="BI411" s="236"/>
      <c r="BJ411" s="236"/>
      <c r="BK411" s="236"/>
    </row>
    <row r="412" spans="1:63" s="133" customFormat="1" ht="12.75">
      <c r="A412" s="169"/>
      <c r="B412" s="307" t="str">
        <f>Servicio_internaColumna_título_total</f>
        <v>Total</v>
      </c>
      <c r="C412" s="310">
        <v>0</v>
      </c>
      <c r="D412" s="311"/>
      <c r="E412" s="311"/>
      <c r="F412" s="311"/>
      <c r="G412" s="311"/>
      <c r="H412" s="311"/>
      <c r="I412" s="311"/>
      <c r="J412" s="311"/>
      <c r="K412" s="311"/>
      <c r="L412" s="311"/>
      <c r="M412" s="311"/>
      <c r="N412" s="311">
        <v>3865979.0749225235</v>
      </c>
      <c r="O412" s="311">
        <v>5884092.2433797289</v>
      </c>
      <c r="P412" s="311">
        <v>7036428.1388468761</v>
      </c>
      <c r="Q412" s="311">
        <v>7365670.1506042778</v>
      </c>
      <c r="R412" s="311">
        <v>4663379.6456371872</v>
      </c>
      <c r="S412" s="312">
        <v>7064473.4487419669</v>
      </c>
      <c r="T412" s="311">
        <v>3924035.39171308</v>
      </c>
      <c r="U412" s="311">
        <v>8276753.5960534606</v>
      </c>
      <c r="V412" s="311">
        <v>4547783.8398945965</v>
      </c>
      <c r="W412" s="311">
        <v>8525508.2320009843</v>
      </c>
      <c r="X412" s="311">
        <v>2433628.8817937039</v>
      </c>
      <c r="Y412" s="311">
        <v>2360444.231645612</v>
      </c>
      <c r="Z412" s="311">
        <v>3827109.0675309803</v>
      </c>
      <c r="AA412" s="311">
        <v>2221862.2650870802</v>
      </c>
      <c r="AB412" s="311">
        <v>1793700.3177612401</v>
      </c>
      <c r="AC412" s="311">
        <v>3371091.4020634759</v>
      </c>
      <c r="AD412" s="311">
        <v>1451652.906259136</v>
      </c>
      <c r="AE412" s="311">
        <v>1810578.473203192</v>
      </c>
      <c r="AF412" s="311">
        <v>1141462.139762308</v>
      </c>
      <c r="AG412" s="311">
        <v>1081125.8574433799</v>
      </c>
      <c r="AH412" s="311">
        <v>989974.16106965602</v>
      </c>
      <c r="AI412" s="311">
        <v>1403690.7841430879</v>
      </c>
      <c r="AJ412" s="311">
        <v>735298.47368188412</v>
      </c>
      <c r="AK412" s="311">
        <v>666682.24841783603</v>
      </c>
      <c r="AL412" s="311">
        <v>610274.64602000406</v>
      </c>
      <c r="AM412" s="311">
        <v>3742027.359532224</v>
      </c>
      <c r="AN412" s="311">
        <v>278453.42514432804</v>
      </c>
      <c r="AO412" s="311"/>
      <c r="AP412" s="311"/>
      <c r="AQ412" s="311"/>
      <c r="AR412" s="311"/>
      <c r="AS412" s="311"/>
      <c r="AT412" s="311"/>
      <c r="AU412" s="311"/>
      <c r="AV412" s="311"/>
      <c r="AW412" s="311"/>
      <c r="AX412" s="311"/>
      <c r="AY412" s="311"/>
      <c r="AZ412" s="311"/>
      <c r="BA412" s="311"/>
      <c r="BB412" s="311"/>
      <c r="BC412" s="311"/>
      <c r="BD412" s="311"/>
      <c r="BE412" s="311"/>
      <c r="BF412" s="311"/>
      <c r="BG412" s="311"/>
      <c r="BH412" s="311"/>
      <c r="BI412" s="311"/>
      <c r="BJ412" s="311"/>
      <c r="BK412" s="311"/>
    </row>
    <row r="413" spans="1:63" s="80" customFormat="1" ht="12.75">
      <c r="A413" s="167"/>
      <c r="B413" s="210" t="str">
        <f>Servicio_internaColumna_título_amortizaciones</f>
        <v>Amortizaciones</v>
      </c>
      <c r="C413" s="269">
        <v>0</v>
      </c>
      <c r="D413" s="235"/>
      <c r="E413" s="235"/>
      <c r="F413" s="235"/>
      <c r="G413" s="235"/>
      <c r="H413" s="235"/>
      <c r="I413" s="235"/>
      <c r="J413" s="235"/>
      <c r="K413" s="235"/>
      <c r="L413" s="235"/>
      <c r="M413" s="235"/>
      <c r="N413" s="235">
        <v>1336511.1246342454</v>
      </c>
      <c r="O413" s="235">
        <v>2721252.9229826462</v>
      </c>
      <c r="P413" s="235">
        <v>4058370.3959841356</v>
      </c>
      <c r="Q413" s="235">
        <v>4653614.228766609</v>
      </c>
      <c r="R413" s="235">
        <v>2137189.0833880887</v>
      </c>
      <c r="S413" s="273">
        <v>4782126.9952071421</v>
      </c>
      <c r="T413" s="235">
        <v>1678997.6750154609</v>
      </c>
      <c r="U413" s="235">
        <v>6403893.4774888298</v>
      </c>
      <c r="V413" s="235">
        <v>2835952.4270601491</v>
      </c>
      <c r="W413" s="235">
        <v>7107285.7323481599</v>
      </c>
      <c r="X413" s="235">
        <v>1172201.5471866273</v>
      </c>
      <c r="Y413" s="235">
        <v>1135083.1923878931</v>
      </c>
      <c r="Z413" s="235">
        <v>2796568.354530083</v>
      </c>
      <c r="AA413" s="235">
        <v>1256425.2967443308</v>
      </c>
      <c r="AB413" s="235">
        <v>854384.82196875405</v>
      </c>
      <c r="AC413" s="235">
        <v>2545020.6016177679</v>
      </c>
      <c r="AD413" s="235">
        <v>755759.92987403518</v>
      </c>
      <c r="AE413" s="235">
        <v>1170717.1680155608</v>
      </c>
      <c r="AF413" s="235">
        <v>513678.87111835711</v>
      </c>
      <c r="AG413" s="235">
        <v>471980.48642447579</v>
      </c>
      <c r="AH413" s="235">
        <v>396929.02076370578</v>
      </c>
      <c r="AI413" s="235">
        <v>873093.0414945404</v>
      </c>
      <c r="AJ413" s="235">
        <v>220643.0548913932</v>
      </c>
      <c r="AK413" s="235">
        <v>157319.98859306282</v>
      </c>
      <c r="AL413" s="235">
        <v>104298.22252913169</v>
      </c>
      <c r="AM413" s="235">
        <v>3357936.2586266445</v>
      </c>
      <c r="AN413" s="235">
        <v>9007.0716987753967</v>
      </c>
      <c r="AO413" s="235"/>
      <c r="AP413" s="235"/>
      <c r="AQ413" s="235"/>
      <c r="AR413" s="235"/>
      <c r="AS413" s="235"/>
      <c r="AT413" s="235"/>
      <c r="AU413" s="235"/>
      <c r="AV413" s="235"/>
      <c r="AW413" s="235"/>
      <c r="AX413" s="235"/>
      <c r="AY413" s="235"/>
      <c r="AZ413" s="235"/>
      <c r="BA413" s="235"/>
      <c r="BB413" s="235"/>
      <c r="BC413" s="235"/>
      <c r="BD413" s="235"/>
      <c r="BE413" s="235"/>
      <c r="BF413" s="235"/>
      <c r="BG413" s="235"/>
      <c r="BH413" s="235"/>
      <c r="BI413" s="235"/>
      <c r="BJ413" s="235"/>
      <c r="BK413" s="235"/>
    </row>
    <row r="414" spans="1:63" s="133" customFormat="1" ht="12.75">
      <c r="A414" s="168">
        <v>41030</v>
      </c>
      <c r="B414" s="213" t="str">
        <f>Servicio_internaColumna_título_intereses</f>
        <v>Intereses</v>
      </c>
      <c r="C414" s="270">
        <v>0</v>
      </c>
      <c r="D414" s="271"/>
      <c r="E414" s="271"/>
      <c r="F414" s="271"/>
      <c r="G414" s="271"/>
      <c r="H414" s="271"/>
      <c r="I414" s="271"/>
      <c r="J414" s="271"/>
      <c r="K414" s="271"/>
      <c r="L414" s="271"/>
      <c r="M414" s="271"/>
      <c r="N414" s="271">
        <v>2044249.694911079</v>
      </c>
      <c r="O414" s="271">
        <v>3380109.4824692812</v>
      </c>
      <c r="P414" s="271">
        <v>3220899.1144003645</v>
      </c>
      <c r="Q414" s="271">
        <v>2990781.8009509924</v>
      </c>
      <c r="R414" s="271">
        <v>2657620.6522610448</v>
      </c>
      <c r="S414" s="274">
        <v>2478829.4438189184</v>
      </c>
      <c r="T414" s="271">
        <v>2306810.3004525038</v>
      </c>
      <c r="U414" s="272">
        <v>2133316.7751580947</v>
      </c>
      <c r="V414" s="272">
        <v>1830014.4134950312</v>
      </c>
      <c r="W414" s="272">
        <v>1691240.2990712817</v>
      </c>
      <c r="X414" s="272">
        <v>1307969.3601701146</v>
      </c>
      <c r="Y414" s="272">
        <v>1277092.2203969371</v>
      </c>
      <c r="Z414" s="272">
        <v>1141124.4634842072</v>
      </c>
      <c r="AA414" s="272">
        <v>1029522.6243446101</v>
      </c>
      <c r="AB414" s="272">
        <v>983915.03084140655</v>
      </c>
      <c r="AC414" s="272">
        <v>934853.38663991506</v>
      </c>
      <c r="AD414" s="236">
        <v>735025.99503082223</v>
      </c>
      <c r="AE414" s="236">
        <v>697036.10045471857</v>
      </c>
      <c r="AF414" s="236">
        <v>663531.97489139321</v>
      </c>
      <c r="AG414" s="236">
        <v>644536.6324447738</v>
      </c>
      <c r="AH414" s="236">
        <v>625977.63098318339</v>
      </c>
      <c r="AI414" s="236">
        <v>580531.14994683908</v>
      </c>
      <c r="AJ414" s="236">
        <v>540290.81617792114</v>
      </c>
      <c r="AK414" s="236">
        <v>533274.28287921322</v>
      </c>
      <c r="AL414" s="236">
        <v>528523.49964614969</v>
      </c>
      <c r="AM414" s="236">
        <v>525580.48956138291</v>
      </c>
      <c r="AN414" s="236">
        <v>279980.84794780478</v>
      </c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/>
      <c r="BC414" s="236"/>
      <c r="BD414" s="236"/>
      <c r="BE414" s="236"/>
      <c r="BF414" s="236"/>
      <c r="BG414" s="236"/>
      <c r="BH414" s="236"/>
      <c r="BI414" s="236"/>
      <c r="BJ414" s="236"/>
      <c r="BK414" s="236"/>
    </row>
    <row r="415" spans="1:63" s="133" customFormat="1" ht="12.75">
      <c r="A415" s="169"/>
      <c r="B415" s="307" t="str">
        <f>Servicio_internaColumna_título_total</f>
        <v>Total</v>
      </c>
      <c r="C415" s="310">
        <v>0</v>
      </c>
      <c r="D415" s="311"/>
      <c r="E415" s="311"/>
      <c r="F415" s="311"/>
      <c r="G415" s="311"/>
      <c r="H415" s="311"/>
      <c r="I415" s="311"/>
      <c r="J415" s="311"/>
      <c r="K415" s="311"/>
      <c r="L415" s="311"/>
      <c r="M415" s="311"/>
      <c r="N415" s="311">
        <v>3380760.8195453244</v>
      </c>
      <c r="O415" s="311">
        <v>6101362.4054519273</v>
      </c>
      <c r="P415" s="311">
        <v>7279269.5103845</v>
      </c>
      <c r="Q415" s="311">
        <v>7644396.0297176018</v>
      </c>
      <c r="R415" s="311">
        <v>4794809.7356491331</v>
      </c>
      <c r="S415" s="312">
        <v>7260956.4390260605</v>
      </c>
      <c r="T415" s="311">
        <v>3985807.975467965</v>
      </c>
      <c r="U415" s="311">
        <v>8537210.2526469249</v>
      </c>
      <c r="V415" s="311">
        <v>4665966.8405551799</v>
      </c>
      <c r="W415" s="311">
        <v>8798526.0314194411</v>
      </c>
      <c r="X415" s="311">
        <v>2480170.9073567418</v>
      </c>
      <c r="Y415" s="311">
        <v>2412175.4127848302</v>
      </c>
      <c r="Z415" s="311">
        <v>3937692.8180142902</v>
      </c>
      <c r="AA415" s="311">
        <v>2285947.9210889409</v>
      </c>
      <c r="AB415" s="311">
        <v>1838299.8528101607</v>
      </c>
      <c r="AC415" s="311">
        <v>3479873.9882576829</v>
      </c>
      <c r="AD415" s="311">
        <v>1490785.9249048573</v>
      </c>
      <c r="AE415" s="311">
        <v>1867753.2684702794</v>
      </c>
      <c r="AF415" s="311">
        <v>1177210.8460097504</v>
      </c>
      <c r="AG415" s="311">
        <v>1116517.1188692497</v>
      </c>
      <c r="AH415" s="311">
        <v>1022906.6517468891</v>
      </c>
      <c r="AI415" s="311">
        <v>1453624.1914413795</v>
      </c>
      <c r="AJ415" s="311">
        <v>760933.87106931431</v>
      </c>
      <c r="AK415" s="311">
        <v>690594.27147227607</v>
      </c>
      <c r="AL415" s="311">
        <v>632821.72217528138</v>
      </c>
      <c r="AM415" s="311">
        <v>3883516.7481880272</v>
      </c>
      <c r="AN415" s="311">
        <v>288987.91964658018</v>
      </c>
      <c r="AO415" s="311"/>
      <c r="AP415" s="311"/>
      <c r="AQ415" s="311"/>
      <c r="AR415" s="311"/>
      <c r="AS415" s="311"/>
      <c r="AT415" s="311"/>
      <c r="AU415" s="311"/>
      <c r="AV415" s="311"/>
      <c r="AW415" s="311"/>
      <c r="AX415" s="311"/>
      <c r="AY415" s="311"/>
      <c r="AZ415" s="311"/>
      <c r="BA415" s="311"/>
      <c r="BB415" s="311"/>
      <c r="BC415" s="311"/>
      <c r="BD415" s="311"/>
      <c r="BE415" s="311"/>
      <c r="BF415" s="311"/>
      <c r="BG415" s="311"/>
      <c r="BH415" s="311"/>
      <c r="BI415" s="311"/>
      <c r="BJ415" s="311"/>
      <c r="BK415" s="311"/>
    </row>
    <row r="416" spans="1:63" s="80" customFormat="1" ht="12.75">
      <c r="A416" s="167"/>
      <c r="B416" s="210" t="str">
        <f>Servicio_internaColumna_título_amortizaciones</f>
        <v>Amortizaciones</v>
      </c>
      <c r="C416" s="269">
        <v>0</v>
      </c>
      <c r="D416" s="235"/>
      <c r="E416" s="235"/>
      <c r="F416" s="235"/>
      <c r="G416" s="235"/>
      <c r="H416" s="235"/>
      <c r="I416" s="235"/>
      <c r="J416" s="235"/>
      <c r="K416" s="235"/>
      <c r="L416" s="235"/>
      <c r="M416" s="235"/>
      <c r="N416" s="235">
        <v>1191379.4791325198</v>
      </c>
      <c r="O416" s="235">
        <v>2695750.5755011039</v>
      </c>
      <c r="P416" s="235">
        <v>4024931.9820934082</v>
      </c>
      <c r="Q416" s="235">
        <v>4660102.507897567</v>
      </c>
      <c r="R416" s="235">
        <v>2118855.0198252155</v>
      </c>
      <c r="S416" s="273">
        <v>4727771.7884938801</v>
      </c>
      <c r="T416" s="235">
        <v>1660237.7213313438</v>
      </c>
      <c r="U416" s="235">
        <v>6304216.7313109124</v>
      </c>
      <c r="V416" s="235">
        <v>2801489.3111561281</v>
      </c>
      <c r="W416" s="235">
        <v>7020874.7263499824</v>
      </c>
      <c r="X416" s="235">
        <v>1157954.42562528</v>
      </c>
      <c r="Y416" s="235">
        <v>1121286.7676631601</v>
      </c>
      <c r="Z416" s="235">
        <v>2762559.4522173759</v>
      </c>
      <c r="AA416" s="235">
        <v>1241090.585259008</v>
      </c>
      <c r="AB416" s="235">
        <v>843975.16140350385</v>
      </c>
      <c r="AC416" s="235">
        <v>2514046.6526436955</v>
      </c>
      <c r="AD416" s="235">
        <v>746557.72766715207</v>
      </c>
      <c r="AE416" s="235">
        <v>1156468.2714203116</v>
      </c>
      <c r="AF416" s="235">
        <v>525476.84968109592</v>
      </c>
      <c r="AG416" s="235">
        <v>466229.59918007994</v>
      </c>
      <c r="AH416" s="235">
        <v>392094.86604363995</v>
      </c>
      <c r="AI416" s="235">
        <v>862486.32443640812</v>
      </c>
      <c r="AJ416" s="235">
        <v>217960.19860316798</v>
      </c>
      <c r="AK416" s="235">
        <v>155407.26506544001</v>
      </c>
      <c r="AL416" s="235">
        <v>103030.14635591998</v>
      </c>
      <c r="AM416" s="235">
        <v>3317097.1636182079</v>
      </c>
      <c r="AN416" s="235">
        <v>8897.5280301279963</v>
      </c>
      <c r="AO416" s="235">
        <v>8897.5280301279963</v>
      </c>
      <c r="AP416" s="235">
        <v>8897.5280301279963</v>
      </c>
      <c r="AQ416" s="235">
        <v>4522897.5280301282</v>
      </c>
      <c r="AR416" s="235"/>
      <c r="AS416" s="235"/>
      <c r="AT416" s="235"/>
      <c r="AU416" s="235"/>
      <c r="AV416" s="235"/>
      <c r="AW416" s="235"/>
      <c r="AX416" s="235"/>
      <c r="AY416" s="235"/>
      <c r="AZ416" s="235"/>
      <c r="BA416" s="235"/>
      <c r="BB416" s="235"/>
      <c r="BC416" s="235"/>
      <c r="BD416" s="235"/>
      <c r="BE416" s="235"/>
      <c r="BF416" s="235"/>
      <c r="BG416" s="235"/>
      <c r="BH416" s="235"/>
      <c r="BI416" s="235"/>
      <c r="BJ416" s="235"/>
      <c r="BK416" s="235"/>
    </row>
    <row r="417" spans="1:63" s="133" customFormat="1" ht="12.75">
      <c r="A417" s="168">
        <v>41061</v>
      </c>
      <c r="B417" s="213" t="str">
        <f>Servicio_internaColumna_título_intereses</f>
        <v>Intereses</v>
      </c>
      <c r="C417" s="270">
        <v>0</v>
      </c>
      <c r="D417" s="271"/>
      <c r="E417" s="271"/>
      <c r="F417" s="271"/>
      <c r="G417" s="271"/>
      <c r="H417" s="271"/>
      <c r="I417" s="271"/>
      <c r="J417" s="271"/>
      <c r="K417" s="271"/>
      <c r="L417" s="271"/>
      <c r="M417" s="271"/>
      <c r="N417" s="271">
        <v>1701183.3218482397</v>
      </c>
      <c r="O417" s="271">
        <v>3352462.5489029526</v>
      </c>
      <c r="P417" s="271">
        <v>3200246.9407605524</v>
      </c>
      <c r="Q417" s="271">
        <v>2974640.9021622804</v>
      </c>
      <c r="R417" s="271">
        <v>2636067.9772354881</v>
      </c>
      <c r="S417" s="274">
        <v>2461500.626680728</v>
      </c>
      <c r="T417" s="271">
        <v>2295403.2633183836</v>
      </c>
      <c r="U417" s="272">
        <v>2116072.338217624</v>
      </c>
      <c r="V417" s="272">
        <v>1819219.4104596083</v>
      </c>
      <c r="W417" s="272">
        <v>1683018.289175536</v>
      </c>
      <c r="X417" s="272">
        <v>1305960.9570135758</v>
      </c>
      <c r="Y417" s="272">
        <v>1270606.8292475999</v>
      </c>
      <c r="Z417" s="272">
        <v>1138868.067406296</v>
      </c>
      <c r="AA417" s="272">
        <v>1026549.0542278079</v>
      </c>
      <c r="AB417" s="272">
        <v>980206.40318315197</v>
      </c>
      <c r="AC417" s="272">
        <v>931441.8432418002</v>
      </c>
      <c r="AD417" s="236">
        <v>732152.07971976011</v>
      </c>
      <c r="AE417" s="236">
        <v>693182.71502941602</v>
      </c>
      <c r="AF417" s="236">
        <v>658416.07186868798</v>
      </c>
      <c r="AG417" s="236">
        <v>638766.73614630394</v>
      </c>
      <c r="AH417" s="236">
        <v>620092.12947915995</v>
      </c>
      <c r="AI417" s="236">
        <v>574716.5580833999</v>
      </c>
      <c r="AJ417" s="236">
        <v>534593.85709421593</v>
      </c>
      <c r="AK417" s="236">
        <v>527327.47482688003</v>
      </c>
      <c r="AL417" s="236">
        <v>522322.83868747996</v>
      </c>
      <c r="AM417" s="236">
        <v>519222.099267632</v>
      </c>
      <c r="AN417" s="236">
        <v>276575.73136153596</v>
      </c>
      <c r="AO417" s="236"/>
      <c r="AP417" s="236"/>
      <c r="AQ417" s="236"/>
      <c r="AR417" s="236"/>
      <c r="AS417" s="236"/>
      <c r="AT417" s="236"/>
      <c r="AU417" s="236"/>
      <c r="AV417" s="236"/>
      <c r="AW417" s="236"/>
      <c r="AX417" s="236"/>
      <c r="AY417" s="236"/>
      <c r="AZ417" s="236"/>
      <c r="BA417" s="236"/>
      <c r="BB417" s="236"/>
      <c r="BC417" s="236"/>
      <c r="BD417" s="236"/>
      <c r="BE417" s="236"/>
      <c r="BF417" s="236"/>
      <c r="BG417" s="236"/>
      <c r="BH417" s="236"/>
      <c r="BI417" s="236"/>
      <c r="BJ417" s="236"/>
      <c r="BK417" s="236"/>
    </row>
    <row r="418" spans="1:63" s="133" customFormat="1" ht="12.75">
      <c r="A418" s="169"/>
      <c r="B418" s="307" t="str">
        <f>Servicio_internaColumna_título_total</f>
        <v>Total</v>
      </c>
      <c r="C418" s="310">
        <v>0</v>
      </c>
      <c r="D418" s="311"/>
      <c r="E418" s="311"/>
      <c r="F418" s="311"/>
      <c r="G418" s="311"/>
      <c r="H418" s="311"/>
      <c r="I418" s="311"/>
      <c r="J418" s="311"/>
      <c r="K418" s="311"/>
      <c r="L418" s="311"/>
      <c r="M418" s="311"/>
      <c r="N418" s="311">
        <v>2892562.8009807598</v>
      </c>
      <c r="O418" s="311">
        <v>6048213.124404056</v>
      </c>
      <c r="P418" s="311">
        <v>7225178.9228539607</v>
      </c>
      <c r="Q418" s="311">
        <v>7634743.4100598469</v>
      </c>
      <c r="R418" s="311">
        <v>4754922.9970607031</v>
      </c>
      <c r="S418" s="312">
        <v>7189272.4151746081</v>
      </c>
      <c r="T418" s="311">
        <v>3955640.9846497271</v>
      </c>
      <c r="U418" s="311">
        <v>8420289.0695285369</v>
      </c>
      <c r="V418" s="311">
        <v>4620708.7216157364</v>
      </c>
      <c r="W418" s="311">
        <v>8703893.015525518</v>
      </c>
      <c r="X418" s="311">
        <v>2463915.3826388558</v>
      </c>
      <c r="Y418" s="311">
        <v>2391893.5969107598</v>
      </c>
      <c r="Z418" s="311">
        <v>3901427.5196236717</v>
      </c>
      <c r="AA418" s="311">
        <v>2267639.6394868158</v>
      </c>
      <c r="AB418" s="311">
        <v>1824181.5645866557</v>
      </c>
      <c r="AC418" s="311">
        <v>3445488.4958854956</v>
      </c>
      <c r="AD418" s="311">
        <v>1478709.8073869122</v>
      </c>
      <c r="AE418" s="311">
        <v>1849650.9864497278</v>
      </c>
      <c r="AF418" s="311">
        <v>1183892.921549784</v>
      </c>
      <c r="AG418" s="311">
        <v>1104996.3353263838</v>
      </c>
      <c r="AH418" s="311">
        <v>1012186.9955227999</v>
      </c>
      <c r="AI418" s="311">
        <v>1437202.8825198081</v>
      </c>
      <c r="AJ418" s="311">
        <v>752554.05569738394</v>
      </c>
      <c r="AK418" s="311">
        <v>682734.73989232001</v>
      </c>
      <c r="AL418" s="311">
        <v>625352.98504339997</v>
      </c>
      <c r="AM418" s="311">
        <v>3836319.2628858397</v>
      </c>
      <c r="AN418" s="311">
        <v>285473.25939166395</v>
      </c>
      <c r="AO418" s="311"/>
      <c r="AP418" s="311"/>
      <c r="AQ418" s="311"/>
      <c r="AR418" s="311"/>
      <c r="AS418" s="311"/>
      <c r="AT418" s="311"/>
      <c r="AU418" s="311"/>
      <c r="AV418" s="311"/>
      <c r="AW418" s="311"/>
      <c r="AX418" s="311"/>
      <c r="AY418" s="311"/>
      <c r="AZ418" s="311"/>
      <c r="BA418" s="311"/>
      <c r="BB418" s="311"/>
      <c r="BC418" s="311"/>
      <c r="BD418" s="311"/>
      <c r="BE418" s="311"/>
      <c r="BF418" s="311"/>
      <c r="BG418" s="311"/>
      <c r="BH418" s="311"/>
      <c r="BI418" s="311"/>
      <c r="BJ418" s="311"/>
      <c r="BK418" s="311"/>
    </row>
    <row r="419" spans="1:63" s="80" customFormat="1" ht="12.75">
      <c r="A419" s="167"/>
      <c r="B419" s="210" t="str">
        <f>Servicio_internaColumna_título_amortizaciones</f>
        <v>Amortizaciones</v>
      </c>
      <c r="C419" s="269">
        <v>0</v>
      </c>
      <c r="D419" s="235"/>
      <c r="E419" s="235"/>
      <c r="F419" s="235"/>
      <c r="G419" s="235"/>
      <c r="H419" s="235"/>
      <c r="I419" s="235"/>
      <c r="J419" s="235"/>
      <c r="K419" s="235"/>
      <c r="L419" s="235"/>
      <c r="M419" s="235"/>
      <c r="N419" s="235">
        <v>1105681.2320111524</v>
      </c>
      <c r="O419" s="235">
        <v>2667874.5093928175</v>
      </c>
      <c r="P419" s="235">
        <v>3983673.2987603829</v>
      </c>
      <c r="Q419" s="235">
        <v>4611152.5555170234</v>
      </c>
      <c r="R419" s="235">
        <v>2097039.8878721921</v>
      </c>
      <c r="S419" s="273">
        <v>4684636.6950133927</v>
      </c>
      <c r="T419" s="235">
        <v>1642629.659463603</v>
      </c>
      <c r="U419" s="235">
        <v>6244251.1801773738</v>
      </c>
      <c r="V419" s="235">
        <v>2775647.763197219</v>
      </c>
      <c r="W419" s="235">
        <v>6956289.1644866681</v>
      </c>
      <c r="X419" s="235">
        <v>1147270.5699505308</v>
      </c>
      <c r="Y419" s="235">
        <v>1110952.6387650559</v>
      </c>
      <c r="Z419" s="235">
        <v>2737154.3441365119</v>
      </c>
      <c r="AA419" s="235">
        <v>1229645.0998198639</v>
      </c>
      <c r="AB419" s="235">
        <v>836177.64707330277</v>
      </c>
      <c r="AC419" s="235">
        <v>2490940.2357813711</v>
      </c>
      <c r="AD419" s="235">
        <v>739696.38731134566</v>
      </c>
      <c r="AE419" s="235">
        <v>1145799.9581915739</v>
      </c>
      <c r="AF419" s="235">
        <v>520635.21790075745</v>
      </c>
      <c r="AG419" s="235">
        <v>461932.00783688517</v>
      </c>
      <c r="AH419" s="235">
        <v>388450.87749004678</v>
      </c>
      <c r="AI419" s="235">
        <v>854549.39196918008</v>
      </c>
      <c r="AJ419" s="235">
        <v>215958.00840005517</v>
      </c>
      <c r="AK419" s="235">
        <v>153979.46987675759</v>
      </c>
      <c r="AL419" s="235">
        <v>102083.59108073699</v>
      </c>
      <c r="AM419" s="235">
        <v>3286637.7756182137</v>
      </c>
      <c r="AN419" s="235">
        <v>8815.8260946275968</v>
      </c>
      <c r="AO419" s="235">
        <v>8815.8260946275968</v>
      </c>
      <c r="AP419" s="235">
        <v>8815.8260946275968</v>
      </c>
      <c r="AQ419" s="235">
        <v>4481365.8260946274</v>
      </c>
      <c r="AR419" s="235"/>
      <c r="AS419" s="235"/>
      <c r="AT419" s="235"/>
      <c r="AU419" s="235"/>
      <c r="AV419" s="235"/>
      <c r="AW419" s="235"/>
      <c r="AX419" s="235"/>
      <c r="AY419" s="235"/>
      <c r="AZ419" s="235"/>
      <c r="BA419" s="235"/>
      <c r="BB419" s="235"/>
      <c r="BC419" s="235"/>
      <c r="BD419" s="235"/>
      <c r="BE419" s="235"/>
      <c r="BF419" s="235"/>
      <c r="BG419" s="235"/>
      <c r="BH419" s="235"/>
      <c r="BI419" s="235"/>
      <c r="BJ419" s="235"/>
      <c r="BK419" s="235"/>
    </row>
    <row r="420" spans="1:63" s="133" customFormat="1" ht="12.75">
      <c r="A420" s="168">
        <v>41091</v>
      </c>
      <c r="B420" s="213" t="str">
        <f>Servicio_internaColumna_título_intereses</f>
        <v>Intereses</v>
      </c>
      <c r="C420" s="270">
        <v>0</v>
      </c>
      <c r="D420" s="271"/>
      <c r="E420" s="271"/>
      <c r="F420" s="271"/>
      <c r="G420" s="271"/>
      <c r="H420" s="271"/>
      <c r="I420" s="271"/>
      <c r="J420" s="271"/>
      <c r="K420" s="271"/>
      <c r="L420" s="271"/>
      <c r="M420" s="271"/>
      <c r="N420" s="271">
        <v>1262185.946447049</v>
      </c>
      <c r="O420" s="271">
        <v>3306437.9436391885</v>
      </c>
      <c r="P420" s="271">
        <v>3149954.7146178843</v>
      </c>
      <c r="Q420" s="271">
        <v>2909871.4820722835</v>
      </c>
      <c r="R420" s="271">
        <v>2573087.7342181308</v>
      </c>
      <c r="S420" s="274">
        <v>2415653.7526658932</v>
      </c>
      <c r="T420" s="271">
        <v>2247443.2557406458</v>
      </c>
      <c r="U420" s="272">
        <v>2081376.8021952829</v>
      </c>
      <c r="V420" s="272">
        <v>1788235.1996120175</v>
      </c>
      <c r="W420" s="272">
        <v>1654986.6787591891</v>
      </c>
      <c r="X420" s="272">
        <v>1287601.1007596874</v>
      </c>
      <c r="Y420" s="272">
        <v>1245468.6960670401</v>
      </c>
      <c r="Z420" s="272">
        <v>1126657.2307435973</v>
      </c>
      <c r="AA420" s="272">
        <v>1010030.0991226668</v>
      </c>
      <c r="AB420" s="272">
        <v>965814.18749742059</v>
      </c>
      <c r="AC420" s="272">
        <v>924447.99507816427</v>
      </c>
      <c r="AD420" s="236">
        <v>722310.42166805512</v>
      </c>
      <c r="AE420" s="236">
        <v>684688.25566937157</v>
      </c>
      <c r="AF420" s="236">
        <v>651055.82088522962</v>
      </c>
      <c r="AG420" s="236">
        <v>632023.220105613</v>
      </c>
      <c r="AH420" s="236">
        <v>614557.72649432532</v>
      </c>
      <c r="AI420" s="236">
        <v>569123.29855188355</v>
      </c>
      <c r="AJ420" s="236">
        <v>529499.65202658903</v>
      </c>
      <c r="AK420" s="236">
        <v>522396.17951934418</v>
      </c>
      <c r="AL420" s="236">
        <v>517502.4194481984</v>
      </c>
      <c r="AM420" s="236">
        <v>514454.55359305686</v>
      </c>
      <c r="AN420" s="236">
        <v>274036.0627605312</v>
      </c>
      <c r="AO420" s="236"/>
      <c r="AP420" s="236"/>
      <c r="AQ420" s="236"/>
      <c r="AR420" s="236"/>
      <c r="AS420" s="236"/>
      <c r="AT420" s="236"/>
      <c r="AU420" s="236"/>
      <c r="AV420" s="236"/>
      <c r="AW420" s="236"/>
      <c r="AX420" s="236"/>
      <c r="AY420" s="236"/>
      <c r="AZ420" s="236"/>
      <c r="BA420" s="236"/>
      <c r="BB420" s="236"/>
      <c r="BC420" s="236"/>
      <c r="BD420" s="236"/>
      <c r="BE420" s="236"/>
      <c r="BF420" s="236"/>
      <c r="BG420" s="236"/>
      <c r="BH420" s="236"/>
      <c r="BI420" s="236"/>
      <c r="BJ420" s="236"/>
      <c r="BK420" s="236"/>
    </row>
    <row r="421" spans="1:63" s="133" customFormat="1" ht="12.75">
      <c r="A421" s="169"/>
      <c r="B421" s="307" t="str">
        <f>Servicio_internaColumna_título_total</f>
        <v>Total</v>
      </c>
      <c r="C421" s="310">
        <v>0</v>
      </c>
      <c r="D421" s="311"/>
      <c r="E421" s="311"/>
      <c r="F421" s="311"/>
      <c r="G421" s="311"/>
      <c r="H421" s="311"/>
      <c r="I421" s="311"/>
      <c r="J421" s="311"/>
      <c r="K421" s="311"/>
      <c r="L421" s="311"/>
      <c r="M421" s="311"/>
      <c r="N421" s="311">
        <v>2367867.1784582017</v>
      </c>
      <c r="O421" s="311">
        <v>5974312.4530320056</v>
      </c>
      <c r="P421" s="311">
        <v>7133628.0133782672</v>
      </c>
      <c r="Q421" s="311">
        <v>7521024.0375893069</v>
      </c>
      <c r="R421" s="311">
        <v>4670127.6220903229</v>
      </c>
      <c r="S421" s="312">
        <v>7100290.4476792859</v>
      </c>
      <c r="T421" s="311">
        <v>3890072.9152042489</v>
      </c>
      <c r="U421" s="311">
        <v>8325627.9823726565</v>
      </c>
      <c r="V421" s="311">
        <v>4563882.9628092367</v>
      </c>
      <c r="W421" s="311">
        <v>8611275.8432458565</v>
      </c>
      <c r="X421" s="311">
        <v>2434871.6707102181</v>
      </c>
      <c r="Y421" s="311">
        <v>2356421.334832096</v>
      </c>
      <c r="Z421" s="311">
        <v>3863811.5748801092</v>
      </c>
      <c r="AA421" s="311">
        <v>2239675.1989425309</v>
      </c>
      <c r="AB421" s="311">
        <v>1801991.8345707234</v>
      </c>
      <c r="AC421" s="311">
        <v>3415388.2308595353</v>
      </c>
      <c r="AD421" s="311">
        <v>1462006.8089794009</v>
      </c>
      <c r="AE421" s="311">
        <v>1830488.2138609453</v>
      </c>
      <c r="AF421" s="311">
        <v>1171691.0387859871</v>
      </c>
      <c r="AG421" s="311">
        <v>1093955.2279424982</v>
      </c>
      <c r="AH421" s="311">
        <v>1003008.6039843721</v>
      </c>
      <c r="AI421" s="311">
        <v>1423672.6905210637</v>
      </c>
      <c r="AJ421" s="311">
        <v>745457.66042664414</v>
      </c>
      <c r="AK421" s="311">
        <v>676375.64939610171</v>
      </c>
      <c r="AL421" s="311">
        <v>619586.01052893535</v>
      </c>
      <c r="AM421" s="311">
        <v>3801092.3292112704</v>
      </c>
      <c r="AN421" s="311">
        <v>282851.88885515882</v>
      </c>
      <c r="AO421" s="311"/>
      <c r="AP421" s="311"/>
      <c r="AQ421" s="311"/>
      <c r="AR421" s="311"/>
      <c r="AS421" s="311"/>
      <c r="AT421" s="311"/>
      <c r="AU421" s="311"/>
      <c r="AV421" s="311"/>
      <c r="AW421" s="311"/>
      <c r="AX421" s="311"/>
      <c r="AY421" s="311"/>
      <c r="AZ421" s="311"/>
      <c r="BA421" s="311"/>
      <c r="BB421" s="311"/>
      <c r="BC421" s="311"/>
      <c r="BD421" s="311"/>
      <c r="BE421" s="311"/>
      <c r="BF421" s="311"/>
      <c r="BG421" s="311"/>
      <c r="BH421" s="311"/>
      <c r="BI421" s="311"/>
      <c r="BJ421" s="311"/>
      <c r="BK421" s="311"/>
    </row>
    <row r="422" spans="1:63" s="80" customFormat="1" ht="12.75">
      <c r="A422" s="167"/>
      <c r="B422" s="210" t="str">
        <f>Servicio_internaColumna_título_amortizaciones</f>
        <v>Amortizaciones</v>
      </c>
      <c r="C422" s="269">
        <v>0</v>
      </c>
      <c r="D422" s="235"/>
      <c r="E422" s="235"/>
      <c r="F422" s="235"/>
      <c r="G422" s="235"/>
      <c r="H422" s="235"/>
      <c r="I422" s="235"/>
      <c r="J422" s="235"/>
      <c r="K422" s="235"/>
      <c r="L422" s="235"/>
      <c r="M422" s="235"/>
      <c r="N422" s="235">
        <v>1063790.0935322151</v>
      </c>
      <c r="O422" s="235">
        <v>2729661.7253956394</v>
      </c>
      <c r="P422" s="235">
        <v>4070719.070112485</v>
      </c>
      <c r="Q422" s="235">
        <v>4676785.5042709503</v>
      </c>
      <c r="R422" s="235">
        <v>2146492.0046421946</v>
      </c>
      <c r="S422" s="273">
        <v>4797807.7587936996</v>
      </c>
      <c r="T422" s="235">
        <v>1682686.7721528197</v>
      </c>
      <c r="U422" s="235">
        <v>6401295.8417057646</v>
      </c>
      <c r="V422" s="235">
        <v>2844007.073873525</v>
      </c>
      <c r="W422" s="235">
        <v>7121579.3974693203</v>
      </c>
      <c r="X422" s="235">
        <v>1177785.03236051</v>
      </c>
      <c r="Y422" s="235">
        <v>1140611.6116726799</v>
      </c>
      <c r="Z422" s="235">
        <v>2804524.0762999253</v>
      </c>
      <c r="AA422" s="235">
        <v>1262081.4709652103</v>
      </c>
      <c r="AB422" s="235">
        <v>859464.22952085501</v>
      </c>
      <c r="AC422" s="235">
        <v>2552527.9833105146</v>
      </c>
      <c r="AD422" s="235">
        <v>760677.78943506</v>
      </c>
      <c r="AE422" s="235">
        <v>1176197.2282877599</v>
      </c>
      <c r="AF422" s="235">
        <v>536537.49440980493</v>
      </c>
      <c r="AG422" s="235">
        <v>476473.19886145002</v>
      </c>
      <c r="AH422" s="235">
        <v>401290.88693610003</v>
      </c>
      <c r="AI422" s="235">
        <v>878195.14951035008</v>
      </c>
      <c r="AJ422" s="235">
        <v>224793.76553143997</v>
      </c>
      <c r="AK422" s="235">
        <v>161378.20015660001</v>
      </c>
      <c r="AL422" s="235">
        <v>108278.48386907998</v>
      </c>
      <c r="AM422" s="235">
        <v>3366668.7678481899</v>
      </c>
      <c r="AN422" s="235">
        <v>9020.2287655899981</v>
      </c>
      <c r="AO422" s="235">
        <v>9020.2287655899981</v>
      </c>
      <c r="AP422" s="235">
        <v>9020.2287655899981</v>
      </c>
      <c r="AQ422" s="235">
        <v>4585270.2287655901</v>
      </c>
      <c r="AR422" s="235"/>
      <c r="AS422" s="235"/>
      <c r="AT422" s="235"/>
      <c r="AU422" s="235"/>
      <c r="AV422" s="235"/>
      <c r="AW422" s="235"/>
      <c r="AX422" s="235"/>
      <c r="AY422" s="235"/>
      <c r="AZ422" s="235"/>
      <c r="BA422" s="235"/>
      <c r="BB422" s="235"/>
      <c r="BC422" s="235"/>
      <c r="BD422" s="235"/>
      <c r="BE422" s="235"/>
      <c r="BF422" s="235"/>
      <c r="BG422" s="235"/>
      <c r="BH422" s="235"/>
      <c r="BI422" s="235"/>
      <c r="BJ422" s="235"/>
      <c r="BK422" s="235"/>
    </row>
    <row r="423" spans="1:63" s="133" customFormat="1" ht="12.75">
      <c r="A423" s="168">
        <v>41122</v>
      </c>
      <c r="B423" s="213" t="str">
        <f>Servicio_internaColumna_título_intereses</f>
        <v>Intereses</v>
      </c>
      <c r="C423" s="270">
        <v>0</v>
      </c>
      <c r="D423" s="271"/>
      <c r="E423" s="271"/>
      <c r="F423" s="271"/>
      <c r="G423" s="271"/>
      <c r="H423" s="271"/>
      <c r="I423" s="271"/>
      <c r="J423" s="271"/>
      <c r="K423" s="271"/>
      <c r="L423" s="271"/>
      <c r="M423" s="271"/>
      <c r="N423" s="271">
        <v>1083564.0566026152</v>
      </c>
      <c r="O423" s="271">
        <v>3358359.8483549105</v>
      </c>
      <c r="P423" s="271">
        <v>3204656.3722405755</v>
      </c>
      <c r="Q423" s="271">
        <v>2963082.1629431765</v>
      </c>
      <c r="R423" s="271">
        <v>2620161.1051995396</v>
      </c>
      <c r="S423" s="274">
        <v>2469197.6391314398</v>
      </c>
      <c r="T423" s="271">
        <v>2303658.7221947946</v>
      </c>
      <c r="U423" s="272">
        <v>2144798.6659292197</v>
      </c>
      <c r="V423" s="272">
        <v>1845554.9174311552</v>
      </c>
      <c r="W423" s="272">
        <v>1709058.9847013901</v>
      </c>
      <c r="X423" s="272">
        <v>1334724.1952411849</v>
      </c>
      <c r="Y423" s="272">
        <v>1289096.162380005</v>
      </c>
      <c r="Z423" s="272">
        <v>1165864.82408522</v>
      </c>
      <c r="AA423" s="272">
        <v>1044203.205914365</v>
      </c>
      <c r="AB423" s="272">
        <v>997149.94935927005</v>
      </c>
      <c r="AC423" s="272">
        <v>957131.61179156497</v>
      </c>
      <c r="AD423" s="236">
        <v>745276.16523615492</v>
      </c>
      <c r="AE423" s="236">
        <v>705368.55933614005</v>
      </c>
      <c r="AF423" s="236">
        <v>669654.904096885</v>
      </c>
      <c r="AG423" s="236">
        <v>649409.02115775004</v>
      </c>
      <c r="AH423" s="236">
        <v>631235.37424996996</v>
      </c>
      <c r="AI423" s="236">
        <v>583778.02513652993</v>
      </c>
      <c r="AJ423" s="236">
        <v>542832.70988481503</v>
      </c>
      <c r="AK423" s="236">
        <v>535197.04646103503</v>
      </c>
      <c r="AL423" s="236">
        <v>529861.87718338007</v>
      </c>
      <c r="AM423" s="236">
        <v>526502.62796943006</v>
      </c>
      <c r="AN423" s="236">
        <v>280389.82956207998</v>
      </c>
      <c r="AO423" s="236"/>
      <c r="AP423" s="236"/>
      <c r="AQ423" s="236"/>
      <c r="AR423" s="236"/>
      <c r="AS423" s="236"/>
      <c r="AT423" s="236"/>
      <c r="AU423" s="236"/>
      <c r="AV423" s="236"/>
      <c r="AW423" s="236"/>
      <c r="AX423" s="236"/>
      <c r="AY423" s="236"/>
      <c r="AZ423" s="236"/>
      <c r="BA423" s="236"/>
      <c r="BB423" s="236"/>
      <c r="BC423" s="236"/>
      <c r="BD423" s="236"/>
      <c r="BE423" s="236"/>
      <c r="BF423" s="236"/>
      <c r="BG423" s="236"/>
      <c r="BH423" s="236"/>
      <c r="BI423" s="236"/>
      <c r="BJ423" s="236"/>
      <c r="BK423" s="236"/>
    </row>
    <row r="424" spans="1:63" s="133" customFormat="1" ht="12.75">
      <c r="A424" s="169"/>
      <c r="B424" s="307" t="str">
        <f>Servicio_internaColumna_título_total</f>
        <v>Total</v>
      </c>
      <c r="C424" s="310">
        <v>0</v>
      </c>
      <c r="D424" s="311"/>
      <c r="E424" s="311"/>
      <c r="F424" s="311"/>
      <c r="G424" s="311"/>
      <c r="H424" s="311"/>
      <c r="I424" s="311"/>
      <c r="J424" s="311"/>
      <c r="K424" s="311"/>
      <c r="L424" s="311"/>
      <c r="M424" s="311"/>
      <c r="N424" s="311">
        <v>2147354.1501348303</v>
      </c>
      <c r="O424" s="311">
        <v>6088021.5737505499</v>
      </c>
      <c r="P424" s="311">
        <v>7275375.4423530605</v>
      </c>
      <c r="Q424" s="311">
        <v>7639867.6672141273</v>
      </c>
      <c r="R424" s="311">
        <v>4766653.1098417342</v>
      </c>
      <c r="S424" s="312">
        <v>7267005.3979251394</v>
      </c>
      <c r="T424" s="311">
        <v>3986345.4943476142</v>
      </c>
      <c r="U424" s="311">
        <v>8546094.5076349843</v>
      </c>
      <c r="V424" s="311">
        <v>4689561.9913046807</v>
      </c>
      <c r="W424" s="311">
        <v>8830638.3821707107</v>
      </c>
      <c r="X424" s="311">
        <v>2512509.2276016949</v>
      </c>
      <c r="Y424" s="311">
        <v>2429707.7740526851</v>
      </c>
      <c r="Z424" s="311">
        <v>3970388.9003851451</v>
      </c>
      <c r="AA424" s="311">
        <v>2306284.6768795755</v>
      </c>
      <c r="AB424" s="311">
        <v>1856614.1788801251</v>
      </c>
      <c r="AC424" s="311">
        <v>3509659.5951020797</v>
      </c>
      <c r="AD424" s="311">
        <v>1505953.9546712148</v>
      </c>
      <c r="AE424" s="311">
        <v>1881565.7876239</v>
      </c>
      <c r="AF424" s="311">
        <v>1206192.3985066898</v>
      </c>
      <c r="AG424" s="311">
        <v>1125882.2200192001</v>
      </c>
      <c r="AH424" s="311">
        <v>1032526.26118607</v>
      </c>
      <c r="AI424" s="311">
        <v>1461973.17464688</v>
      </c>
      <c r="AJ424" s="311">
        <v>767626.47541625495</v>
      </c>
      <c r="AK424" s="311">
        <v>696575.24661763501</v>
      </c>
      <c r="AL424" s="311">
        <v>638140.36105246004</v>
      </c>
      <c r="AM424" s="311">
        <v>3893171.3958176197</v>
      </c>
      <c r="AN424" s="311">
        <v>289410.05832766998</v>
      </c>
      <c r="AO424" s="311"/>
      <c r="AP424" s="311"/>
      <c r="AQ424" s="311"/>
      <c r="AR424" s="311"/>
      <c r="AS424" s="311"/>
      <c r="AT424" s="311"/>
      <c r="AU424" s="311"/>
      <c r="AV424" s="311"/>
      <c r="AW424" s="311"/>
      <c r="AX424" s="311"/>
      <c r="AY424" s="311"/>
      <c r="AZ424" s="311"/>
      <c r="BA424" s="311"/>
      <c r="BB424" s="311"/>
      <c r="BC424" s="311"/>
      <c r="BD424" s="311"/>
      <c r="BE424" s="311"/>
      <c r="BF424" s="311"/>
      <c r="BG424" s="311"/>
      <c r="BH424" s="311"/>
      <c r="BI424" s="311"/>
      <c r="BJ424" s="311"/>
      <c r="BK424" s="311"/>
    </row>
    <row r="425" spans="1:63" s="80" customFormat="1" ht="12.75">
      <c r="A425" s="167"/>
      <c r="B425" s="210" t="str">
        <f>Servicio_internaColumna_título_amortizaciones</f>
        <v>Amortizaciones</v>
      </c>
      <c r="C425" s="269">
        <v>0</v>
      </c>
      <c r="D425" s="235"/>
      <c r="E425" s="235"/>
      <c r="F425" s="235"/>
      <c r="G425" s="235"/>
      <c r="H425" s="235"/>
      <c r="I425" s="235"/>
      <c r="J425" s="235"/>
      <c r="K425" s="235"/>
      <c r="L425" s="235"/>
      <c r="M425" s="235"/>
      <c r="N425" s="235">
        <v>1021863.4696959553</v>
      </c>
      <c r="O425" s="235">
        <v>2685432.3082294171</v>
      </c>
      <c r="P425" s="235">
        <v>4005857.2242433242</v>
      </c>
      <c r="Q425" s="235">
        <v>4622540.7604393344</v>
      </c>
      <c r="R425" s="235">
        <v>2112237.7759469096</v>
      </c>
      <c r="S425" s="273">
        <v>4714551.2284568641</v>
      </c>
      <c r="T425" s="235">
        <v>1654138.8330926402</v>
      </c>
      <c r="U425" s="235">
        <v>6276396.2541713463</v>
      </c>
      <c r="V425" s="235">
        <v>2793698.4625670975</v>
      </c>
      <c r="W425" s="235">
        <v>6995510.5026950398</v>
      </c>
      <c r="X425" s="235">
        <v>1156969.9338429216</v>
      </c>
      <c r="Y425" s="235">
        <v>1982529.672603725</v>
      </c>
      <c r="Z425" s="235">
        <v>2754891.2371260482</v>
      </c>
      <c r="AA425" s="235">
        <v>1239769.7332485218</v>
      </c>
      <c r="AB425" s="235">
        <v>844282.78625672637</v>
      </c>
      <c r="AC425" s="235">
        <v>2507321.8271890651</v>
      </c>
      <c r="AD425" s="235">
        <v>747207.10629118083</v>
      </c>
      <c r="AE425" s="235">
        <v>1155367.2770708927</v>
      </c>
      <c r="AF425" s="235">
        <v>527036.56180660788</v>
      </c>
      <c r="AG425" s="235">
        <v>468036.06547249923</v>
      </c>
      <c r="AH425" s="235">
        <v>394185.30806920322</v>
      </c>
      <c r="AI425" s="235">
        <v>862707.78503675526</v>
      </c>
      <c r="AJ425" s="235">
        <v>220814.12857983357</v>
      </c>
      <c r="AK425" s="235">
        <v>158521.71678568321</v>
      </c>
      <c r="AL425" s="235">
        <v>106361.60638875839</v>
      </c>
      <c r="AM425" s="235">
        <v>3307041.670632326</v>
      </c>
      <c r="AN425" s="235">
        <v>8860.4714224703966</v>
      </c>
      <c r="AO425" s="235">
        <v>8860.4714224703966</v>
      </c>
      <c r="AP425" s="235">
        <v>8860.4714224703966</v>
      </c>
      <c r="AQ425" s="235">
        <v>4504060.4714224702</v>
      </c>
      <c r="AR425" s="235"/>
      <c r="AS425" s="235"/>
      <c r="AT425" s="235"/>
      <c r="AU425" s="235"/>
      <c r="AV425" s="235"/>
      <c r="AW425" s="235"/>
      <c r="AX425" s="235"/>
      <c r="AY425" s="235"/>
      <c r="AZ425" s="235"/>
      <c r="BA425" s="235"/>
      <c r="BB425" s="235"/>
      <c r="BC425" s="235"/>
      <c r="BD425" s="235"/>
      <c r="BE425" s="235"/>
      <c r="BF425" s="235"/>
      <c r="BG425" s="235"/>
      <c r="BH425" s="235"/>
      <c r="BI425" s="235"/>
      <c r="BJ425" s="235"/>
      <c r="BK425" s="235"/>
    </row>
    <row r="426" spans="1:63" s="133" customFormat="1" ht="12.75">
      <c r="A426" s="168">
        <v>41182</v>
      </c>
      <c r="B426" s="213" t="str">
        <f>Servicio_internaColumna_título_intereses</f>
        <v>Intereses</v>
      </c>
      <c r="C426" s="270">
        <v>0</v>
      </c>
      <c r="D426" s="271"/>
      <c r="E426" s="271"/>
      <c r="F426" s="271"/>
      <c r="G426" s="271"/>
      <c r="H426" s="271"/>
      <c r="I426" s="271"/>
      <c r="J426" s="271"/>
      <c r="K426" s="271"/>
      <c r="L426" s="271"/>
      <c r="M426" s="271"/>
      <c r="N426" s="271">
        <v>758757.81732456968</v>
      </c>
      <c r="O426" s="271">
        <v>3326131.5012571495</v>
      </c>
      <c r="P426" s="271">
        <v>3192435.2556828107</v>
      </c>
      <c r="Q426" s="271">
        <v>2946433.6023424622</v>
      </c>
      <c r="R426" s="271">
        <v>2600921.9396512611</v>
      </c>
      <c r="S426" s="274">
        <v>2451701.3936447804</v>
      </c>
      <c r="T426" s="271">
        <v>2288115.4617126905</v>
      </c>
      <c r="U426" s="272">
        <v>2134213.4986118781</v>
      </c>
      <c r="V426" s="272">
        <v>1847294.6695613186</v>
      </c>
      <c r="W426" s="272">
        <v>1717511.5122731612</v>
      </c>
      <c r="X426" s="272">
        <v>1351305.4942137408</v>
      </c>
      <c r="Y426" s="272">
        <v>1307973.5680876896</v>
      </c>
      <c r="Z426" s="272">
        <v>1150617.9535973759</v>
      </c>
      <c r="AA426" s="272">
        <v>1030799.1308543998</v>
      </c>
      <c r="AB426" s="272">
        <v>983948.76256480324</v>
      </c>
      <c r="AC426" s="272">
        <v>944856.91039178893</v>
      </c>
      <c r="AD426" s="236">
        <v>734660.98442711041</v>
      </c>
      <c r="AE426" s="236">
        <v>694908.39913266245</v>
      </c>
      <c r="AF426" s="236">
        <v>659245.31108790718</v>
      </c>
      <c r="AG426" s="236">
        <v>639061.58837724477</v>
      </c>
      <c r="AH426" s="236">
        <v>620942.63203736639</v>
      </c>
      <c r="AI426" s="236">
        <v>573875.00296406401</v>
      </c>
      <c r="AJ426" s="236">
        <v>533529.9176205215</v>
      </c>
      <c r="AK426" s="236">
        <v>525911.01610467839</v>
      </c>
      <c r="AL426" s="236">
        <v>520561.26382244163</v>
      </c>
      <c r="AM426" s="236">
        <v>517191.06432853435</v>
      </c>
      <c r="AN426" s="236">
        <v>275423.84306964476</v>
      </c>
      <c r="AO426" s="236"/>
      <c r="AP426" s="236"/>
      <c r="AQ426" s="236"/>
      <c r="AR426" s="236"/>
      <c r="AS426" s="236"/>
      <c r="AT426" s="236"/>
      <c r="AU426" s="236"/>
      <c r="AV426" s="236"/>
      <c r="AW426" s="236"/>
      <c r="AX426" s="236"/>
      <c r="AY426" s="236"/>
      <c r="AZ426" s="236"/>
      <c r="BA426" s="236"/>
      <c r="BB426" s="236"/>
      <c r="BC426" s="236"/>
      <c r="BD426" s="236"/>
      <c r="BE426" s="236"/>
      <c r="BF426" s="236"/>
      <c r="BG426" s="236"/>
      <c r="BH426" s="236"/>
      <c r="BI426" s="236"/>
      <c r="BJ426" s="236"/>
      <c r="BK426" s="236"/>
    </row>
    <row r="427" spans="1:63" s="133" customFormat="1" ht="12.75">
      <c r="A427" s="169"/>
      <c r="B427" s="307" t="str">
        <f>Servicio_internaColumna_título_total</f>
        <v>Total</v>
      </c>
      <c r="C427" s="310">
        <v>0</v>
      </c>
      <c r="D427" s="311"/>
      <c r="E427" s="311"/>
      <c r="F427" s="311"/>
      <c r="G427" s="311"/>
      <c r="H427" s="311"/>
      <c r="I427" s="311"/>
      <c r="J427" s="311"/>
      <c r="K427" s="311"/>
      <c r="L427" s="311"/>
      <c r="M427" s="311"/>
      <c r="N427" s="311">
        <v>1780621.287020525</v>
      </c>
      <c r="O427" s="311">
        <v>6011563.8094865661</v>
      </c>
      <c r="P427" s="311">
        <v>7198292.4799261354</v>
      </c>
      <c r="Q427" s="311">
        <v>7568974.3627817966</v>
      </c>
      <c r="R427" s="311">
        <v>4713159.7155981706</v>
      </c>
      <c r="S427" s="312">
        <v>7166252.6221016441</v>
      </c>
      <c r="T427" s="311">
        <v>3942254.2948053307</v>
      </c>
      <c r="U427" s="311">
        <v>8410609.752783224</v>
      </c>
      <c r="V427" s="311">
        <v>4640993.1321284156</v>
      </c>
      <c r="W427" s="311">
        <v>8713022.0149682015</v>
      </c>
      <c r="X427" s="311">
        <v>2508275.4280566624</v>
      </c>
      <c r="Y427" s="311">
        <v>3290503.2406914146</v>
      </c>
      <c r="Z427" s="311">
        <v>3905509.1907234238</v>
      </c>
      <c r="AA427" s="311">
        <v>2270568.8641029214</v>
      </c>
      <c r="AB427" s="311">
        <v>1828231.5488215296</v>
      </c>
      <c r="AC427" s="311">
        <v>3452178.737580854</v>
      </c>
      <c r="AD427" s="311">
        <v>1481868.0907182912</v>
      </c>
      <c r="AE427" s="311">
        <v>1850275.6762035552</v>
      </c>
      <c r="AF427" s="311">
        <v>1186281.8728945151</v>
      </c>
      <c r="AG427" s="311">
        <v>1107097.653849744</v>
      </c>
      <c r="AH427" s="311">
        <v>1015127.9401065696</v>
      </c>
      <c r="AI427" s="311">
        <v>1436582.7880008193</v>
      </c>
      <c r="AJ427" s="311">
        <v>754344.04620035505</v>
      </c>
      <c r="AK427" s="311">
        <v>684432.73289036157</v>
      </c>
      <c r="AL427" s="311">
        <v>626922.87021119997</v>
      </c>
      <c r="AM427" s="311">
        <v>3824232.7349608606</v>
      </c>
      <c r="AN427" s="311">
        <v>284284.31449211517</v>
      </c>
      <c r="AO427" s="311"/>
      <c r="AP427" s="311"/>
      <c r="AQ427" s="311"/>
      <c r="AR427" s="311"/>
      <c r="AS427" s="311"/>
      <c r="AT427" s="311"/>
      <c r="AU427" s="311"/>
      <c r="AV427" s="311"/>
      <c r="AW427" s="311"/>
      <c r="AX427" s="311"/>
      <c r="AY427" s="311"/>
      <c r="AZ427" s="311"/>
      <c r="BA427" s="311"/>
      <c r="BB427" s="311"/>
      <c r="BC427" s="311"/>
      <c r="BD427" s="311"/>
      <c r="BE427" s="311"/>
      <c r="BF427" s="311"/>
      <c r="BG427" s="311"/>
      <c r="BH427" s="311"/>
      <c r="BI427" s="311"/>
      <c r="BJ427" s="311"/>
      <c r="BK427" s="311"/>
    </row>
    <row r="428" spans="1:63" s="80" customFormat="1" ht="12.75">
      <c r="A428" s="167"/>
      <c r="B428" s="210" t="str">
        <f>Servicio_internaColumna_título_amortizaciones</f>
        <v>Amortizaciones</v>
      </c>
      <c r="C428" s="269">
        <v>0</v>
      </c>
      <c r="D428" s="235"/>
      <c r="E428" s="235"/>
      <c r="F428" s="235"/>
      <c r="G428" s="235"/>
      <c r="H428" s="235"/>
      <c r="I428" s="235"/>
      <c r="J428" s="235"/>
      <c r="K428" s="235"/>
      <c r="L428" s="235"/>
      <c r="M428" s="235"/>
      <c r="N428" s="235">
        <v>1010312.4681321427</v>
      </c>
      <c r="O428" s="235">
        <v>2730874.4889789443</v>
      </c>
      <c r="P428" s="235">
        <v>4072522.2904004497</v>
      </c>
      <c r="Q428" s="235">
        <v>4774760.818115877</v>
      </c>
      <c r="R428" s="235">
        <v>2146036.5050741187</v>
      </c>
      <c r="S428" s="273">
        <v>4797068.2579123126</v>
      </c>
      <c r="T428" s="235">
        <v>1681676.3798305669</v>
      </c>
      <c r="U428" s="235">
        <v>6368206.8714288995</v>
      </c>
      <c r="V428" s="235">
        <v>2843149.2564899405</v>
      </c>
      <c r="W428" s="235">
        <v>7119295.7613633443</v>
      </c>
      <c r="X428" s="235">
        <v>1177446.3694470513</v>
      </c>
      <c r="Y428" s="235">
        <v>2017605.8848367305</v>
      </c>
      <c r="Z428" s="235">
        <v>2803631.0184566486</v>
      </c>
      <c r="AA428" s="235">
        <v>1261699.284994215</v>
      </c>
      <c r="AB428" s="235">
        <v>859235.29597603204</v>
      </c>
      <c r="AC428" s="235">
        <v>2551724.2194300131</v>
      </c>
      <c r="AD428" s="235">
        <v>760448.97033783898</v>
      </c>
      <c r="AE428" s="235">
        <v>1175829.9405438851</v>
      </c>
      <c r="AF428" s="235">
        <v>536383.36833632912</v>
      </c>
      <c r="AG428" s="235">
        <v>476339.0887509812</v>
      </c>
      <c r="AH428" s="235">
        <v>401188.53405888291</v>
      </c>
      <c r="AI428" s="235">
        <v>877988.13795946178</v>
      </c>
      <c r="AJ428" s="235">
        <v>224720.4303521768</v>
      </c>
      <c r="AK428" s="235">
        <v>161325.99772515363</v>
      </c>
      <c r="AL428" s="235">
        <v>108243.18870410119</v>
      </c>
      <c r="AM428" s="235">
        <v>3365546.8514601062</v>
      </c>
      <c r="AN428" s="235">
        <v>9017.2228439581977</v>
      </c>
      <c r="AO428" s="235">
        <v>9017.2228439581977</v>
      </c>
      <c r="AP428" s="235">
        <v>9017.2228439581977</v>
      </c>
      <c r="AQ428" s="235">
        <v>4583742.222843959</v>
      </c>
      <c r="AR428" s="235"/>
      <c r="AS428" s="235"/>
      <c r="AT428" s="235"/>
      <c r="AU428" s="235"/>
      <c r="AV428" s="235"/>
      <c r="AW428" s="235"/>
      <c r="AX428" s="235"/>
      <c r="AY428" s="235"/>
      <c r="AZ428" s="235"/>
      <c r="BA428" s="235"/>
      <c r="BB428" s="235"/>
      <c r="BC428" s="235"/>
      <c r="BD428" s="235"/>
      <c r="BE428" s="235"/>
      <c r="BF428" s="235"/>
      <c r="BG428" s="235"/>
      <c r="BH428" s="235"/>
      <c r="BI428" s="235"/>
      <c r="BJ428" s="235"/>
      <c r="BK428" s="235"/>
    </row>
    <row r="429" spans="1:63" s="133" customFormat="1" ht="12.75">
      <c r="A429" s="168">
        <v>41213</v>
      </c>
      <c r="B429" s="213" t="str">
        <f>Servicio_internaColumna_título_intereses</f>
        <v>Intereses</v>
      </c>
      <c r="C429" s="270">
        <v>0</v>
      </c>
      <c r="D429" s="271"/>
      <c r="E429" s="271"/>
      <c r="F429" s="271"/>
      <c r="G429" s="271"/>
      <c r="H429" s="271"/>
      <c r="I429" s="271"/>
      <c r="J429" s="271"/>
      <c r="K429" s="271"/>
      <c r="L429" s="271"/>
      <c r="M429" s="271"/>
      <c r="N429" s="271">
        <v>397004.55615714053</v>
      </c>
      <c r="O429" s="271">
        <v>3444259.4095666399</v>
      </c>
      <c r="P429" s="271">
        <v>3183669.0782019421</v>
      </c>
      <c r="Q429" s="271">
        <v>3001874.3341713487</v>
      </c>
      <c r="R429" s="271">
        <v>2639347.7256576871</v>
      </c>
      <c r="S429" s="274">
        <v>2484203.6478630803</v>
      </c>
      <c r="T429" s="271">
        <v>2325846.740572881</v>
      </c>
      <c r="U429" s="272">
        <v>2171882.8921833592</v>
      </c>
      <c r="V429" s="272">
        <v>1885905.3619325843</v>
      </c>
      <c r="W429" s="272">
        <v>1747783.601984736</v>
      </c>
      <c r="X429" s="272">
        <v>1382396.3571213302</v>
      </c>
      <c r="Y429" s="272">
        <v>1312674.5068258513</v>
      </c>
      <c r="Z429" s="272">
        <v>1194530.728122256</v>
      </c>
      <c r="AA429" s="272">
        <v>1050691.7119370783</v>
      </c>
      <c r="AB429" s="272">
        <v>1002766.9551082349</v>
      </c>
      <c r="AC429" s="272">
        <v>964983.76735303388</v>
      </c>
      <c r="AD429" s="236">
        <v>747981.76145455684</v>
      </c>
      <c r="AE429" s="236">
        <v>707368.89202503592</v>
      </c>
      <c r="AF429" s="236">
        <v>670973.07237371069</v>
      </c>
      <c r="AG429" s="236">
        <v>650381.07710282423</v>
      </c>
      <c r="AH429" s="236">
        <v>632171.52620319033</v>
      </c>
      <c r="AI429" s="236">
        <v>584366.34179800155</v>
      </c>
      <c r="AJ429" s="236">
        <v>543207.22535357438</v>
      </c>
      <c r="AK429" s="236">
        <v>535362.74493806448</v>
      </c>
      <c r="AL429" s="236">
        <v>529835.69400004123</v>
      </c>
      <c r="AM429" s="236">
        <v>526350.18928344792</v>
      </c>
      <c r="AN429" s="236">
        <v>280296.39181499841</v>
      </c>
      <c r="AO429" s="236"/>
      <c r="AP429" s="236"/>
      <c r="AQ429" s="236"/>
      <c r="AR429" s="236"/>
      <c r="AS429" s="236"/>
      <c r="AT429" s="236"/>
      <c r="AU429" s="236"/>
      <c r="AV429" s="236"/>
      <c r="AW429" s="236"/>
      <c r="AX429" s="236"/>
      <c r="AY429" s="236"/>
      <c r="AZ429" s="236"/>
      <c r="BA429" s="236"/>
      <c r="BB429" s="236"/>
      <c r="BC429" s="236"/>
      <c r="BD429" s="236"/>
      <c r="BE429" s="236"/>
      <c r="BF429" s="236"/>
      <c r="BG429" s="236"/>
      <c r="BH429" s="236"/>
      <c r="BI429" s="236"/>
      <c r="BJ429" s="236"/>
      <c r="BK429" s="236"/>
    </row>
    <row r="430" spans="1:63" s="133" customFormat="1" ht="12.75">
      <c r="A430" s="169"/>
      <c r="B430" s="307" t="str">
        <f>Servicio_internaColumna_título_total</f>
        <v>Total</v>
      </c>
      <c r="C430" s="310">
        <v>0</v>
      </c>
      <c r="D430" s="311"/>
      <c r="E430" s="311"/>
      <c r="F430" s="311"/>
      <c r="G430" s="311"/>
      <c r="H430" s="311"/>
      <c r="I430" s="311"/>
      <c r="J430" s="311"/>
      <c r="K430" s="311"/>
      <c r="L430" s="311"/>
      <c r="M430" s="311"/>
      <c r="N430" s="311">
        <v>1407317.0242892832</v>
      </c>
      <c r="O430" s="311">
        <v>6175133.8985455837</v>
      </c>
      <c r="P430" s="311">
        <v>7256191.3686023913</v>
      </c>
      <c r="Q430" s="311">
        <v>7776635.1522872262</v>
      </c>
      <c r="R430" s="311">
        <v>4785384.2307318058</v>
      </c>
      <c r="S430" s="312">
        <v>7281271.9057753924</v>
      </c>
      <c r="T430" s="311">
        <v>4007523.1204034481</v>
      </c>
      <c r="U430" s="311">
        <v>8540089.7636122592</v>
      </c>
      <c r="V430" s="311">
        <v>4729054.618422525</v>
      </c>
      <c r="W430" s="311">
        <v>8867079.3633480798</v>
      </c>
      <c r="X430" s="311">
        <v>2559842.7265683813</v>
      </c>
      <c r="Y430" s="311">
        <v>3330280.3916625818</v>
      </c>
      <c r="Z430" s="311">
        <v>3998161.7465789048</v>
      </c>
      <c r="AA430" s="311">
        <v>2312390.996931293</v>
      </c>
      <c r="AB430" s="311">
        <v>1862002.2510842669</v>
      </c>
      <c r="AC430" s="311">
        <v>3516707.9867830472</v>
      </c>
      <c r="AD430" s="311">
        <v>1508430.7317923959</v>
      </c>
      <c r="AE430" s="311">
        <v>1883198.8325689211</v>
      </c>
      <c r="AF430" s="311">
        <v>1207356.4407100398</v>
      </c>
      <c r="AG430" s="311">
        <v>1126720.1658538054</v>
      </c>
      <c r="AH430" s="311">
        <v>1033360.0602620733</v>
      </c>
      <c r="AI430" s="311">
        <v>1462354.4797574633</v>
      </c>
      <c r="AJ430" s="311">
        <v>767927.65570575115</v>
      </c>
      <c r="AK430" s="311">
        <v>696688.74266321817</v>
      </c>
      <c r="AL430" s="311">
        <v>638078.88270414248</v>
      </c>
      <c r="AM430" s="311">
        <v>3891897.040743554</v>
      </c>
      <c r="AN430" s="311">
        <v>289313.61465895659</v>
      </c>
      <c r="AO430" s="311"/>
      <c r="AP430" s="311"/>
      <c r="AQ430" s="311"/>
      <c r="AR430" s="311"/>
      <c r="AS430" s="311"/>
      <c r="AT430" s="311"/>
      <c r="AU430" s="311"/>
      <c r="AV430" s="311"/>
      <c r="AW430" s="311"/>
      <c r="AX430" s="311"/>
      <c r="AY430" s="311"/>
      <c r="AZ430" s="311"/>
      <c r="BA430" s="311"/>
      <c r="BB430" s="311"/>
      <c r="BC430" s="311"/>
      <c r="BD430" s="311"/>
      <c r="BE430" s="311"/>
      <c r="BF430" s="311"/>
      <c r="BG430" s="311"/>
      <c r="BH430" s="311"/>
      <c r="BI430" s="311"/>
      <c r="BJ430" s="311"/>
      <c r="BK430" s="311"/>
    </row>
    <row r="431" spans="1:63" s="80" customFormat="1" ht="12.75">
      <c r="A431" s="167"/>
      <c r="B431" s="210" t="str">
        <f>Servicio_internaColumna_título_amortizaciones</f>
        <v>Amortizaciones</v>
      </c>
      <c r="C431" s="269">
        <v>0</v>
      </c>
      <c r="D431" s="235"/>
      <c r="E431" s="235"/>
      <c r="F431" s="235"/>
      <c r="G431" s="235"/>
      <c r="H431" s="235"/>
      <c r="I431" s="235"/>
      <c r="J431" s="235"/>
      <c r="K431" s="235"/>
      <c r="L431" s="235"/>
      <c r="M431" s="235"/>
      <c r="N431" s="235">
        <v>615227.75927952502</v>
      </c>
      <c r="O431" s="235">
        <v>2713035.2280261349</v>
      </c>
      <c r="P431" s="235">
        <v>4046467.1067473479</v>
      </c>
      <c r="Q431" s="235">
        <v>4756078.4373824093</v>
      </c>
      <c r="R431" s="235">
        <v>2138390.2966281888</v>
      </c>
      <c r="S431" s="273">
        <v>4772233.0074281693</v>
      </c>
      <c r="T431" s="235">
        <v>1676992.8081231238</v>
      </c>
      <c r="U431" s="235">
        <v>6309083.2876891149</v>
      </c>
      <c r="V431" s="235">
        <v>2830341.1052207318</v>
      </c>
      <c r="W431" s="235">
        <v>7078559.3051529154</v>
      </c>
      <c r="X431" s="235">
        <v>1175563.8969744577</v>
      </c>
      <c r="Y431" s="235">
        <v>2010232.3992102242</v>
      </c>
      <c r="Z431" s="235">
        <v>2791117.7737500914</v>
      </c>
      <c r="AA431" s="235">
        <v>1622817.4860991184</v>
      </c>
      <c r="AB431" s="235">
        <v>968474.31767236756</v>
      </c>
      <c r="AC431" s="235">
        <v>2540883.7633794257</v>
      </c>
      <c r="AD431" s="235">
        <v>761320.79726371029</v>
      </c>
      <c r="AE431" s="235">
        <v>1173986.8740042122</v>
      </c>
      <c r="AF431" s="235">
        <v>902305.66780890361</v>
      </c>
      <c r="AG431" s="235">
        <v>473219.58931729657</v>
      </c>
      <c r="AH431" s="235">
        <v>398553.07718896924</v>
      </c>
      <c r="AI431" s="235">
        <v>872238.79039371037</v>
      </c>
      <c r="AJ431" s="235">
        <v>223250.34743475218</v>
      </c>
      <c r="AK431" s="235">
        <v>160270.25524033382</v>
      </c>
      <c r="AL431" s="235">
        <v>107535.05576808969</v>
      </c>
      <c r="AM431" s="235">
        <v>3343549.9334248896</v>
      </c>
      <c r="AN431" s="235">
        <v>8958.2870690133986</v>
      </c>
      <c r="AO431" s="235">
        <v>8958.2870690133986</v>
      </c>
      <c r="AP431" s="235">
        <v>8958.2870690133986</v>
      </c>
      <c r="AQ431" s="235">
        <v>4553783.2870690143</v>
      </c>
      <c r="AR431" s="235"/>
      <c r="AS431" s="235"/>
      <c r="AT431" s="235"/>
      <c r="AU431" s="235"/>
      <c r="AV431" s="235"/>
      <c r="AW431" s="235"/>
      <c r="AX431" s="235"/>
      <c r="AY431" s="235"/>
      <c r="AZ431" s="235"/>
      <c r="BA431" s="235"/>
      <c r="BB431" s="235"/>
      <c r="BC431" s="235"/>
      <c r="BD431" s="235"/>
      <c r="BE431" s="235"/>
      <c r="BF431" s="235"/>
      <c r="BG431" s="235"/>
      <c r="BH431" s="235"/>
      <c r="BI431" s="235"/>
      <c r="BJ431" s="235"/>
      <c r="BK431" s="235"/>
    </row>
    <row r="432" spans="1:63" s="133" customFormat="1" ht="12.75">
      <c r="A432" s="168">
        <v>41243</v>
      </c>
      <c r="B432" s="213" t="str">
        <f>Servicio_internaColumna_título_intereses</f>
        <v>Intereses</v>
      </c>
      <c r="C432" s="270">
        <v>0</v>
      </c>
      <c r="D432" s="271"/>
      <c r="E432" s="271"/>
      <c r="F432" s="271"/>
      <c r="G432" s="271"/>
      <c r="H432" s="271"/>
      <c r="I432" s="271"/>
      <c r="J432" s="271"/>
      <c r="K432" s="271"/>
      <c r="L432" s="271"/>
      <c r="M432" s="271"/>
      <c r="N432" s="271">
        <v>128321.9130986464</v>
      </c>
      <c r="O432" s="271">
        <v>3423291.9724953626</v>
      </c>
      <c r="P432" s="271">
        <v>3177987.5950214206</v>
      </c>
      <c r="Q432" s="271">
        <v>2990123.4129602481</v>
      </c>
      <c r="R432" s="271">
        <v>2632136.7507809005</v>
      </c>
      <c r="S432" s="274">
        <v>2482413.4382230258</v>
      </c>
      <c r="T432" s="271">
        <v>2330834.857309958</v>
      </c>
      <c r="U432" s="272">
        <v>2176091.3260395974</v>
      </c>
      <c r="V432" s="272">
        <v>1900201.5019640618</v>
      </c>
      <c r="W432" s="272">
        <v>1765931.2309361973</v>
      </c>
      <c r="X432" s="272">
        <v>1397842.2854623529</v>
      </c>
      <c r="Y432" s="272">
        <v>1343780.3204453178</v>
      </c>
      <c r="Z432" s="272">
        <v>1216119.9434385039</v>
      </c>
      <c r="AA432" s="272">
        <v>1073611.5582929472</v>
      </c>
      <c r="AB432" s="272">
        <v>1015942.3583107961</v>
      </c>
      <c r="AC432" s="272">
        <v>974995.83849843626</v>
      </c>
      <c r="AD432" s="236">
        <v>759131.93108185136</v>
      </c>
      <c r="AE432" s="236">
        <v>718885.45837226475</v>
      </c>
      <c r="AF432" s="236">
        <v>682713.30981788971</v>
      </c>
      <c r="AG432" s="236">
        <v>646358.27479679906</v>
      </c>
      <c r="AH432" s="236">
        <v>628252.75437691167</v>
      </c>
      <c r="AI432" s="236">
        <v>580388.78545487323</v>
      </c>
      <c r="AJ432" s="236">
        <v>539536.11120673863</v>
      </c>
      <c r="AK432" s="236">
        <v>531783.65999723389</v>
      </c>
      <c r="AL432" s="236">
        <v>526333.10493095173</v>
      </c>
      <c r="AM432" s="236">
        <v>522906.3154797607</v>
      </c>
      <c r="AN432" s="236">
        <v>278464.39926566079</v>
      </c>
      <c r="AO432" s="236"/>
      <c r="AP432" s="236"/>
      <c r="AQ432" s="236"/>
      <c r="AR432" s="236"/>
      <c r="AS432" s="236"/>
      <c r="AT432" s="236"/>
      <c r="AU432" s="236"/>
      <c r="AV432" s="236"/>
      <c r="AW432" s="236"/>
      <c r="AX432" s="236"/>
      <c r="AY432" s="236"/>
      <c r="AZ432" s="236"/>
      <c r="BA432" s="236"/>
      <c r="BB432" s="236"/>
      <c r="BC432" s="236"/>
      <c r="BD432" s="236"/>
      <c r="BE432" s="236"/>
      <c r="BF432" s="236"/>
      <c r="BG432" s="236"/>
      <c r="BH432" s="236"/>
      <c r="BI432" s="236"/>
      <c r="BJ432" s="236"/>
      <c r="BK432" s="236"/>
    </row>
    <row r="433" spans="1:63" s="133" customFormat="1" ht="12.75">
      <c r="A433" s="169"/>
      <c r="B433" s="307" t="str">
        <f>Servicio_internaColumna_título_total</f>
        <v>Total</v>
      </c>
      <c r="C433" s="310">
        <v>0</v>
      </c>
      <c r="D433" s="311"/>
      <c r="E433" s="311"/>
      <c r="F433" s="311"/>
      <c r="G433" s="311"/>
      <c r="H433" s="311"/>
      <c r="I433" s="311"/>
      <c r="J433" s="311"/>
      <c r="K433" s="311"/>
      <c r="L433" s="311"/>
      <c r="M433" s="311"/>
      <c r="N433" s="311">
        <v>743549.67237817147</v>
      </c>
      <c r="O433" s="311">
        <v>6136327.2005214971</v>
      </c>
      <c r="P433" s="311">
        <v>7224454.701768769</v>
      </c>
      <c r="Q433" s="311">
        <v>7746201.8503426574</v>
      </c>
      <c r="R433" s="311">
        <v>4770527.0474090893</v>
      </c>
      <c r="S433" s="312">
        <v>7254646.445651195</v>
      </c>
      <c r="T433" s="311">
        <v>4007827.6654330818</v>
      </c>
      <c r="U433" s="311">
        <v>8485174.6137287132</v>
      </c>
      <c r="V433" s="311">
        <v>4730542.6071847938</v>
      </c>
      <c r="W433" s="311">
        <v>8844490.536089113</v>
      </c>
      <c r="X433" s="311">
        <v>2573406.1824368108</v>
      </c>
      <c r="Y433" s="311">
        <v>3354012.7196555417</v>
      </c>
      <c r="Z433" s="311">
        <v>4007237.7171885953</v>
      </c>
      <c r="AA433" s="311">
        <v>2696429.0443920656</v>
      </c>
      <c r="AB433" s="311">
        <v>1984416.6759831635</v>
      </c>
      <c r="AC433" s="311">
        <v>3515879.6018778621</v>
      </c>
      <c r="AD433" s="311">
        <v>1520452.7283455618</v>
      </c>
      <c r="AE433" s="311">
        <v>1892872.3323764768</v>
      </c>
      <c r="AF433" s="311">
        <v>1585018.9776267933</v>
      </c>
      <c r="AG433" s="311">
        <v>1119577.8641140957</v>
      </c>
      <c r="AH433" s="311">
        <v>1026805.8315658809</v>
      </c>
      <c r="AI433" s="311">
        <v>1452627.5758485836</v>
      </c>
      <c r="AJ433" s="311">
        <v>762786.45864149078</v>
      </c>
      <c r="AK433" s="311">
        <v>692053.91523756774</v>
      </c>
      <c r="AL433" s="311">
        <v>633868.16069904144</v>
      </c>
      <c r="AM433" s="311">
        <v>3866456.2489046501</v>
      </c>
      <c r="AN433" s="311">
        <v>287422.68633467419</v>
      </c>
      <c r="AO433" s="311"/>
      <c r="AP433" s="311"/>
      <c r="AQ433" s="311"/>
      <c r="AR433" s="311"/>
      <c r="AS433" s="311"/>
      <c r="AT433" s="311"/>
      <c r="AU433" s="311"/>
      <c r="AV433" s="311"/>
      <c r="AW433" s="311"/>
      <c r="AX433" s="311"/>
      <c r="AY433" s="311"/>
      <c r="AZ433" s="311"/>
      <c r="BA433" s="311"/>
      <c r="BB433" s="311"/>
      <c r="BC433" s="311"/>
      <c r="BD433" s="311"/>
      <c r="BE433" s="311"/>
      <c r="BF433" s="311"/>
      <c r="BG433" s="311"/>
      <c r="BH433" s="311"/>
      <c r="BI433" s="311"/>
      <c r="BJ433" s="311"/>
      <c r="BK433" s="311"/>
    </row>
    <row r="434" spans="1:63" s="80" customFormat="1" ht="12.75">
      <c r="A434" s="167"/>
      <c r="B434" s="210" t="str">
        <f>Servicio_internaColumna_título_amortizaciones</f>
        <v>Amortizaciones</v>
      </c>
      <c r="C434" s="269">
        <v>0</v>
      </c>
      <c r="D434" s="235"/>
      <c r="E434" s="235"/>
      <c r="F434" s="235"/>
      <c r="G434" s="235"/>
      <c r="H434" s="235"/>
      <c r="I434" s="235"/>
      <c r="J434" s="235"/>
      <c r="K434" s="235"/>
      <c r="L434" s="235"/>
      <c r="M434" s="235"/>
      <c r="N434" s="235"/>
      <c r="O434" s="235">
        <v>2638997.7182012405</v>
      </c>
      <c r="P434" s="235">
        <v>3955814.5551252444</v>
      </c>
      <c r="Q434" s="235">
        <v>4712816.3212921536</v>
      </c>
      <c r="R434" s="235">
        <v>2095172.9967644685</v>
      </c>
      <c r="S434" s="273">
        <v>4651944.9173055757</v>
      </c>
      <c r="T434" s="235">
        <v>1650840.4949994129</v>
      </c>
      <c r="U434" s="235">
        <v>6066180.1988851642</v>
      </c>
      <c r="V434" s="235">
        <v>2768518.2940031132</v>
      </c>
      <c r="W434" s="235">
        <v>6900574.6766282134</v>
      </c>
      <c r="X434" s="235">
        <v>1158838.3955816242</v>
      </c>
      <c r="Y434" s="235">
        <v>1970603.9752914566</v>
      </c>
      <c r="Z434" s="235">
        <v>2730161.1129057878</v>
      </c>
      <c r="AA434" s="235">
        <v>1590545.6668576379</v>
      </c>
      <c r="AB434" s="235">
        <v>954502.1743124557</v>
      </c>
      <c r="AC434" s="235">
        <v>2501085.7510184408</v>
      </c>
      <c r="AD434" s="235">
        <v>752464.17398462386</v>
      </c>
      <c r="AE434" s="235">
        <v>1153848.460989546</v>
      </c>
      <c r="AF434" s="235">
        <v>1596886.6892298961</v>
      </c>
      <c r="AG434" s="235">
        <v>472103.30507684225</v>
      </c>
      <c r="AH434" s="235">
        <v>399484.6230721203</v>
      </c>
      <c r="AI434" s="235">
        <v>848448.64688237291</v>
      </c>
      <c r="AJ434" s="235">
        <v>217147.93611937918</v>
      </c>
      <c r="AK434" s="235">
        <v>155889.64321429681</v>
      </c>
      <c r="AL434" s="235">
        <v>104595.66897145919</v>
      </c>
      <c r="AM434" s="235">
        <v>3252141.3359039635</v>
      </c>
      <c r="AN434" s="235">
        <v>8713.3783721273976</v>
      </c>
      <c r="AO434" s="235">
        <v>8713.3783721273976</v>
      </c>
      <c r="AP434" s="235">
        <v>8713.3783721273976</v>
      </c>
      <c r="AQ434" s="235">
        <v>4429288.3783721281</v>
      </c>
      <c r="AR434" s="235">
        <v>8713.3783721273976</v>
      </c>
      <c r="AS434" s="235"/>
      <c r="AT434" s="235"/>
      <c r="AU434" s="235"/>
      <c r="AV434" s="235"/>
      <c r="AW434" s="235"/>
      <c r="AX434" s="235"/>
      <c r="AY434" s="235"/>
      <c r="AZ434" s="235"/>
      <c r="BA434" s="235"/>
      <c r="BB434" s="235"/>
      <c r="BC434" s="235"/>
      <c r="BD434" s="235"/>
      <c r="BE434" s="235"/>
      <c r="BF434" s="235"/>
      <c r="BG434" s="235"/>
      <c r="BH434" s="235"/>
      <c r="BI434" s="235"/>
      <c r="BJ434" s="235"/>
      <c r="BK434" s="235"/>
    </row>
    <row r="435" spans="1:63" s="80" customFormat="1" ht="12.75">
      <c r="A435" s="168">
        <v>41274</v>
      </c>
      <c r="B435" s="213" t="str">
        <f>Servicio_internaColumna_título_intereses</f>
        <v>Intereses</v>
      </c>
      <c r="C435" s="270">
        <v>0</v>
      </c>
      <c r="D435" s="271"/>
      <c r="E435" s="271"/>
      <c r="F435" s="271"/>
      <c r="G435" s="271"/>
      <c r="H435" s="271"/>
      <c r="I435" s="271"/>
      <c r="J435" s="271"/>
      <c r="K435" s="271"/>
      <c r="L435" s="271"/>
      <c r="M435" s="271"/>
      <c r="N435" s="271"/>
      <c r="O435" s="271">
        <v>3339969.2676466736</v>
      </c>
      <c r="P435" s="271">
        <v>3167501.0964602721</v>
      </c>
      <c r="Q435" s="271">
        <v>2982450.1157895611</v>
      </c>
      <c r="R435" s="271">
        <v>2640245.0656778682</v>
      </c>
      <c r="S435" s="274">
        <v>2502014.8127452228</v>
      </c>
      <c r="T435" s="271">
        <v>2337698.8603640366</v>
      </c>
      <c r="U435" s="272">
        <v>2176078.5183350896</v>
      </c>
      <c r="V435" s="272">
        <v>1899667.1698473142</v>
      </c>
      <c r="W435" s="272">
        <v>1765039.7808826296</v>
      </c>
      <c r="X435" s="272">
        <v>1414424.1266869465</v>
      </c>
      <c r="Y435" s="272">
        <v>1374753.932787749</v>
      </c>
      <c r="Z435" s="272">
        <v>1213711.41209177</v>
      </c>
      <c r="AA435" s="272">
        <v>1095784.3089414684</v>
      </c>
      <c r="AB435" s="272">
        <v>1034543.337086997</v>
      </c>
      <c r="AC435" s="272">
        <v>991443.10193542717</v>
      </c>
      <c r="AD435" s="236">
        <v>775681.96865941351</v>
      </c>
      <c r="AE435" s="236">
        <v>734919.89448576421</v>
      </c>
      <c r="AF435" s="236">
        <v>688735.5610353786</v>
      </c>
      <c r="AG435" s="236">
        <v>630608.02754328982</v>
      </c>
      <c r="AH435" s="236">
        <v>612004.46162429696</v>
      </c>
      <c r="AI435" s="236">
        <v>565965.46460290055</v>
      </c>
      <c r="AJ435" s="236">
        <v>525806.99651645368</v>
      </c>
      <c r="AK435" s="236">
        <v>517876.92042845587</v>
      </c>
      <c r="AL435" s="236">
        <v>512221.22591652366</v>
      </c>
      <c r="AM435" s="236">
        <v>508650.32502219331</v>
      </c>
      <c r="AN435" s="236">
        <v>270851.52052802878</v>
      </c>
      <c r="AO435" s="236"/>
      <c r="AP435" s="236"/>
      <c r="AQ435" s="236"/>
      <c r="AR435" s="236"/>
      <c r="AS435" s="236"/>
      <c r="AT435" s="236"/>
      <c r="AU435" s="236"/>
      <c r="AV435" s="236"/>
      <c r="AW435" s="236"/>
      <c r="AX435" s="236"/>
      <c r="AY435" s="236"/>
      <c r="AZ435" s="236"/>
      <c r="BA435" s="236"/>
      <c r="BB435" s="236"/>
      <c r="BC435" s="236"/>
      <c r="BD435" s="236"/>
      <c r="BE435" s="236"/>
      <c r="BF435" s="236"/>
      <c r="BG435" s="236"/>
      <c r="BH435" s="236"/>
      <c r="BI435" s="236"/>
      <c r="BJ435" s="236"/>
      <c r="BK435" s="236"/>
    </row>
    <row r="436" spans="1:63" s="80" customFormat="1" ht="12.75">
      <c r="A436" s="169"/>
      <c r="B436" s="307" t="str">
        <f>Servicio_internaColumna_título_total</f>
        <v>Total</v>
      </c>
      <c r="C436" s="310">
        <v>0</v>
      </c>
      <c r="D436" s="311"/>
      <c r="E436" s="311"/>
      <c r="F436" s="311"/>
      <c r="G436" s="311"/>
      <c r="H436" s="311"/>
      <c r="I436" s="311"/>
      <c r="J436" s="311"/>
      <c r="K436" s="311"/>
      <c r="L436" s="311"/>
      <c r="M436" s="311"/>
      <c r="N436" s="311"/>
      <c r="O436" s="311">
        <v>5978966.9858479146</v>
      </c>
      <c r="P436" s="311">
        <v>7123315.6515855165</v>
      </c>
      <c r="Q436" s="311">
        <v>7695266.4370817151</v>
      </c>
      <c r="R436" s="311">
        <v>4735418.0624423362</v>
      </c>
      <c r="S436" s="312">
        <v>7153959.7300507985</v>
      </c>
      <c r="T436" s="311">
        <v>3988539.3553634495</v>
      </c>
      <c r="U436" s="311">
        <v>8242258.7172202542</v>
      </c>
      <c r="V436" s="311">
        <v>4668185.4638504274</v>
      </c>
      <c r="W436" s="311">
        <v>8665614.4575108439</v>
      </c>
      <c r="X436" s="311">
        <v>2573262.522268571</v>
      </c>
      <c r="Y436" s="311">
        <v>3345357.9080792055</v>
      </c>
      <c r="Z436" s="311">
        <v>3943872.5249975575</v>
      </c>
      <c r="AA436" s="311">
        <v>2686329.9757991061</v>
      </c>
      <c r="AB436" s="311">
        <v>1989045.5113994526</v>
      </c>
      <c r="AC436" s="311">
        <v>3492528.852953868</v>
      </c>
      <c r="AD436" s="311">
        <v>1528146.1426440375</v>
      </c>
      <c r="AE436" s="311">
        <v>1888768.3554753102</v>
      </c>
      <c r="AF436" s="311">
        <v>2285622.2502652747</v>
      </c>
      <c r="AG436" s="311">
        <v>1102711.332620132</v>
      </c>
      <c r="AH436" s="311">
        <v>1011489.0846964172</v>
      </c>
      <c r="AI436" s="311">
        <v>1414414.1114852736</v>
      </c>
      <c r="AJ436" s="311">
        <v>742954.93263583281</v>
      </c>
      <c r="AK436" s="311">
        <v>673766.56364275271</v>
      </c>
      <c r="AL436" s="311">
        <v>616816.89488798287</v>
      </c>
      <c r="AM436" s="311">
        <v>3760791.6609261567</v>
      </c>
      <c r="AN436" s="311">
        <v>279564.8989001562</v>
      </c>
      <c r="AO436" s="311"/>
      <c r="AP436" s="311"/>
      <c r="AQ436" s="311"/>
      <c r="AR436" s="311"/>
      <c r="AS436" s="311"/>
      <c r="AT436" s="311"/>
      <c r="AU436" s="311"/>
      <c r="AV436" s="311"/>
      <c r="AW436" s="311"/>
      <c r="AX436" s="311"/>
      <c r="AY436" s="311"/>
      <c r="AZ436" s="311"/>
      <c r="BA436" s="311"/>
      <c r="BB436" s="311"/>
      <c r="BC436" s="311"/>
      <c r="BD436" s="311"/>
      <c r="BE436" s="311"/>
      <c r="BF436" s="311"/>
      <c r="BG436" s="311"/>
      <c r="BH436" s="311"/>
      <c r="BI436" s="311"/>
      <c r="BJ436" s="311"/>
      <c r="BK436" s="311"/>
    </row>
    <row r="437" spans="1:63" s="80" customFormat="1" ht="12.75">
      <c r="A437" s="167"/>
      <c r="B437" s="210" t="str">
        <f>Servicio_internaColumna_título_amortizaciones</f>
        <v>Amortizaciones</v>
      </c>
      <c r="C437" s="269">
        <v>0</v>
      </c>
      <c r="D437" s="235"/>
      <c r="E437" s="235"/>
      <c r="F437" s="235"/>
      <c r="G437" s="235"/>
      <c r="H437" s="235"/>
      <c r="I437" s="235"/>
      <c r="J437" s="235"/>
      <c r="K437" s="235"/>
      <c r="L437" s="235"/>
      <c r="M437" s="235"/>
      <c r="N437" s="235"/>
      <c r="O437" s="235">
        <v>1631852.793451465</v>
      </c>
      <c r="P437" s="235">
        <v>3945743.8499221755</v>
      </c>
      <c r="Q437" s="235">
        <v>4704890.4608482486</v>
      </c>
      <c r="R437" s="235">
        <v>2079960.7119404147</v>
      </c>
      <c r="S437" s="273">
        <v>4643977.0434992593</v>
      </c>
      <c r="T437" s="235">
        <v>1634369.7924240627</v>
      </c>
      <c r="U437" s="235">
        <v>6062220.006403001</v>
      </c>
      <c r="V437" s="235">
        <v>2755215.0268018236</v>
      </c>
      <c r="W437" s="235">
        <v>6898978.9375635069</v>
      </c>
      <c r="X437" s="235">
        <v>1140974.3550131302</v>
      </c>
      <c r="Y437" s="235">
        <v>3728279.1308062691</v>
      </c>
      <c r="Z437" s="235">
        <v>2716748.6300814468</v>
      </c>
      <c r="AA437" s="235">
        <v>1573905.8141018103</v>
      </c>
      <c r="AB437" s="235">
        <v>936064.09526595857</v>
      </c>
      <c r="AC437" s="235">
        <v>2487025.0489492971</v>
      </c>
      <c r="AD437" s="235">
        <v>740541.98928022315</v>
      </c>
      <c r="AE437" s="235">
        <v>1143063.5351699591</v>
      </c>
      <c r="AF437" s="235">
        <v>1594450.0029643334</v>
      </c>
      <c r="AG437" s="235">
        <v>473440.93511277362</v>
      </c>
      <c r="AH437" s="235">
        <v>400616.49955967639</v>
      </c>
      <c r="AI437" s="235">
        <v>850852.59191264643</v>
      </c>
      <c r="AJ437" s="235">
        <v>217763.1904471296</v>
      </c>
      <c r="AK437" s="235">
        <v>156331.33185915841</v>
      </c>
      <c r="AL437" s="235">
        <v>104892.02425416959</v>
      </c>
      <c r="AM437" s="235">
        <v>3261355.7639437993</v>
      </c>
      <c r="AN437" s="235">
        <v>8738.0663514311982</v>
      </c>
      <c r="AO437" s="235">
        <v>8738.0663514311982</v>
      </c>
      <c r="AP437" s="235">
        <v>8738.0663514311982</v>
      </c>
      <c r="AQ437" s="235">
        <v>4441838.0663514314</v>
      </c>
      <c r="AR437" s="235">
        <v>8738.0663514311982</v>
      </c>
      <c r="AS437" s="235"/>
      <c r="AT437" s="235"/>
      <c r="AU437" s="235"/>
      <c r="AV437" s="235"/>
      <c r="AW437" s="235"/>
      <c r="AX437" s="235"/>
      <c r="AY437" s="235"/>
      <c r="AZ437" s="235"/>
      <c r="BA437" s="235"/>
      <c r="BB437" s="235"/>
      <c r="BC437" s="235"/>
      <c r="BD437" s="235"/>
      <c r="BE437" s="235"/>
      <c r="BF437" s="235"/>
      <c r="BG437" s="235"/>
      <c r="BH437" s="235"/>
      <c r="BI437" s="235"/>
      <c r="BJ437" s="235"/>
      <c r="BK437" s="235"/>
    </row>
    <row r="438" spans="1:63" s="80" customFormat="1" ht="12.75">
      <c r="A438" s="168">
        <v>41305</v>
      </c>
      <c r="B438" s="213" t="str">
        <f>Servicio_internaColumna_título_intereses</f>
        <v>Intereses</v>
      </c>
      <c r="C438" s="270">
        <v>0</v>
      </c>
      <c r="D438" s="271"/>
      <c r="E438" s="271"/>
      <c r="F438" s="271"/>
      <c r="G438" s="271"/>
      <c r="H438" s="271"/>
      <c r="I438" s="271"/>
      <c r="J438" s="271"/>
      <c r="K438" s="271"/>
      <c r="L438" s="271"/>
      <c r="M438" s="271"/>
      <c r="N438" s="271"/>
      <c r="O438" s="271">
        <v>2924599.2164256424</v>
      </c>
      <c r="P438" s="271">
        <v>3245716.8482860811</v>
      </c>
      <c r="Q438" s="271">
        <v>3021808.7128161336</v>
      </c>
      <c r="R438" s="271">
        <v>2695387.7797749676</v>
      </c>
      <c r="S438" s="274">
        <v>2567219.7583673592</v>
      </c>
      <c r="T438" s="271">
        <v>2413717.7798980935</v>
      </c>
      <c r="U438" s="272">
        <v>2259114.1281481502</v>
      </c>
      <c r="V438" s="272">
        <v>1980196.9672949859</v>
      </c>
      <c r="W438" s="272">
        <v>1853200.5966623016</v>
      </c>
      <c r="X438" s="272">
        <v>1491874.6615337373</v>
      </c>
      <c r="Y438" s="272">
        <v>1425567.0583186112</v>
      </c>
      <c r="Z438" s="272">
        <v>1247987.5209225228</v>
      </c>
      <c r="AA438" s="272">
        <v>1118986.3197551891</v>
      </c>
      <c r="AB438" s="272">
        <v>1054730.0542835027</v>
      </c>
      <c r="AC438" s="272">
        <v>1010975.5199250756</v>
      </c>
      <c r="AD438" s="236">
        <v>794109.45755632687</v>
      </c>
      <c r="AE438" s="236">
        <v>750180.78865375801</v>
      </c>
      <c r="AF438" s="236">
        <v>700068.31615979993</v>
      </c>
      <c r="AG438" s="236">
        <v>636913.85917834076</v>
      </c>
      <c r="AH438" s="236">
        <v>617202.15062102524</v>
      </c>
      <c r="AI438" s="236">
        <v>568893.0719491404</v>
      </c>
      <c r="AJ438" s="236">
        <v>528173.26972982881</v>
      </c>
      <c r="AK438" s="236">
        <v>519845.36668185244</v>
      </c>
      <c r="AL438" s="236">
        <v>513871.7100820464</v>
      </c>
      <c r="AM438" s="236">
        <v>510124.4066799889</v>
      </c>
      <c r="AN438" s="236">
        <v>271618.93546717439</v>
      </c>
      <c r="AO438" s="236"/>
      <c r="AP438" s="236"/>
      <c r="AQ438" s="236"/>
      <c r="AR438" s="236"/>
      <c r="AS438" s="236"/>
      <c r="AT438" s="236"/>
      <c r="AU438" s="236"/>
      <c r="AV438" s="236"/>
      <c r="AW438" s="236"/>
      <c r="AX438" s="236"/>
      <c r="AY438" s="236"/>
      <c r="AZ438" s="236"/>
      <c r="BA438" s="236"/>
      <c r="BB438" s="236"/>
      <c r="BC438" s="236"/>
      <c r="BD438" s="236"/>
      <c r="BE438" s="236"/>
      <c r="BF438" s="236"/>
      <c r="BG438" s="236"/>
      <c r="BH438" s="236"/>
      <c r="BI438" s="236"/>
      <c r="BJ438" s="236"/>
      <c r="BK438" s="236"/>
    </row>
    <row r="439" spans="1:63" s="80" customFormat="1" ht="12.75">
      <c r="A439" s="169"/>
      <c r="B439" s="307" t="str">
        <f>Servicio_internaColumna_título_total</f>
        <v>Total</v>
      </c>
      <c r="C439" s="310">
        <v>0</v>
      </c>
      <c r="D439" s="311"/>
      <c r="E439" s="311"/>
      <c r="F439" s="311"/>
      <c r="G439" s="311"/>
      <c r="H439" s="311"/>
      <c r="I439" s="311"/>
      <c r="J439" s="311"/>
      <c r="K439" s="311"/>
      <c r="L439" s="311"/>
      <c r="M439" s="311"/>
      <c r="N439" s="311"/>
      <c r="O439" s="311">
        <f>O437+O438</f>
        <v>4556452.0098771071</v>
      </c>
      <c r="P439" s="311">
        <f t="shared" ref="P439:AN439" si="54">P437+P438</f>
        <v>7191460.6982082566</v>
      </c>
      <c r="Q439" s="311">
        <f t="shared" si="54"/>
        <v>7726699.1736643817</v>
      </c>
      <c r="R439" s="311">
        <f t="shared" si="54"/>
        <v>4775348.4917153828</v>
      </c>
      <c r="S439" s="312">
        <f t="shared" si="54"/>
        <v>7211196.8018666189</v>
      </c>
      <c r="T439" s="311">
        <f t="shared" si="54"/>
        <v>4048087.5723221563</v>
      </c>
      <c r="U439" s="311">
        <f t="shared" si="54"/>
        <v>8321334.1345511507</v>
      </c>
      <c r="V439" s="311">
        <f t="shared" si="54"/>
        <v>4735411.99409681</v>
      </c>
      <c r="W439" s="311">
        <f t="shared" si="54"/>
        <v>8752179.5342258085</v>
      </c>
      <c r="X439" s="311">
        <f t="shared" si="54"/>
        <v>2632849.0165468678</v>
      </c>
      <c r="Y439" s="311">
        <f t="shared" si="54"/>
        <v>5153846.1891248804</v>
      </c>
      <c r="Z439" s="311">
        <f t="shared" si="54"/>
        <v>3964736.1510039698</v>
      </c>
      <c r="AA439" s="311">
        <f t="shared" si="54"/>
        <v>2692892.1338569997</v>
      </c>
      <c r="AB439" s="311">
        <f t="shared" si="54"/>
        <v>1990794.1495494614</v>
      </c>
      <c r="AC439" s="311">
        <f t="shared" si="54"/>
        <v>3498000.5688743726</v>
      </c>
      <c r="AD439" s="311">
        <f t="shared" si="54"/>
        <v>1534651.44683655</v>
      </c>
      <c r="AE439" s="311">
        <f t="shared" si="54"/>
        <v>1893244.323823717</v>
      </c>
      <c r="AF439" s="311">
        <f t="shared" si="54"/>
        <v>2294518.3191241333</v>
      </c>
      <c r="AG439" s="311">
        <f t="shared" si="54"/>
        <v>1110354.7942911144</v>
      </c>
      <c r="AH439" s="311">
        <f t="shared" si="54"/>
        <v>1017818.6501807016</v>
      </c>
      <c r="AI439" s="311">
        <f t="shared" si="54"/>
        <v>1419745.6638617869</v>
      </c>
      <c r="AJ439" s="311">
        <f t="shared" si="54"/>
        <v>745936.46017695847</v>
      </c>
      <c r="AK439" s="311">
        <f t="shared" si="54"/>
        <v>676176.69854101085</v>
      </c>
      <c r="AL439" s="311">
        <f t="shared" si="54"/>
        <v>618763.734336216</v>
      </c>
      <c r="AM439" s="311">
        <f t="shared" si="54"/>
        <v>3771480.1706237881</v>
      </c>
      <c r="AN439" s="311">
        <f t="shared" si="54"/>
        <v>280357.00181860558</v>
      </c>
      <c r="AO439" s="311"/>
      <c r="AP439" s="311"/>
      <c r="AQ439" s="311"/>
      <c r="AR439" s="311"/>
      <c r="AS439" s="311"/>
      <c r="AT439" s="311"/>
      <c r="AU439" s="311"/>
      <c r="AV439" s="311"/>
      <c r="AW439" s="311"/>
      <c r="AX439" s="311"/>
      <c r="AY439" s="311"/>
      <c r="AZ439" s="311"/>
      <c r="BA439" s="311"/>
      <c r="BB439" s="311"/>
      <c r="BC439" s="311"/>
      <c r="BD439" s="311"/>
      <c r="BE439" s="311"/>
      <c r="BF439" s="311"/>
      <c r="BG439" s="311"/>
      <c r="BH439" s="311"/>
      <c r="BI439" s="311"/>
      <c r="BJ439" s="311"/>
      <c r="BK439" s="311"/>
    </row>
    <row r="440" spans="1:63" s="80" customFormat="1" ht="12.75">
      <c r="A440" s="167"/>
      <c r="B440" s="210" t="str">
        <f>Servicio_internaColumna_título_amortizaciones</f>
        <v>Amortizaciones</v>
      </c>
      <c r="C440" s="269">
        <v>0</v>
      </c>
      <c r="D440" s="235"/>
      <c r="E440" s="235"/>
      <c r="F440" s="235"/>
      <c r="G440" s="235"/>
      <c r="H440" s="235"/>
      <c r="I440" s="235"/>
      <c r="J440" s="235"/>
      <c r="K440" s="235"/>
      <c r="L440" s="235"/>
      <c r="M440" s="235"/>
      <c r="N440" s="235"/>
      <c r="O440" s="235">
        <v>1540173.8712230772</v>
      </c>
      <c r="P440" s="235">
        <v>4035419.9059187807</v>
      </c>
      <c r="Q440" s="235">
        <v>4778510.9168191627</v>
      </c>
      <c r="R440" s="235">
        <v>2127181.623558342</v>
      </c>
      <c r="S440" s="273">
        <v>4754084.2412351994</v>
      </c>
      <c r="T440" s="235">
        <v>1675557.8775595177</v>
      </c>
      <c r="U440" s="235">
        <v>6137195.0214010337</v>
      </c>
      <c r="V440" s="235">
        <v>2821693.7760858368</v>
      </c>
      <c r="W440" s="235">
        <v>7068845.9913923349</v>
      </c>
      <c r="X440" s="235">
        <v>1168145.9197304482</v>
      </c>
      <c r="Y440" s="235">
        <v>3819552.6439700574</v>
      </c>
      <c r="Z440" s="235">
        <v>2782350.9518655338</v>
      </c>
      <c r="AA440" s="235">
        <v>1611735.6076532593</v>
      </c>
      <c r="AB440" s="235">
        <v>958237.07598270185</v>
      </c>
      <c r="AC440" s="235">
        <v>2549195.0136774047</v>
      </c>
      <c r="AD440" s="235">
        <v>758134.13031960651</v>
      </c>
      <c r="AE440" s="235">
        <v>1170455.8488993188</v>
      </c>
      <c r="AF440" s="235">
        <v>1632835.4838763853</v>
      </c>
      <c r="AG440" s="235">
        <v>484581.686397977</v>
      </c>
      <c r="AH440" s="235">
        <v>409983.90817559959</v>
      </c>
      <c r="AI440" s="235">
        <v>871183.65544279991</v>
      </c>
      <c r="AJ440" s="235">
        <v>222677.95428848814</v>
      </c>
      <c r="AK440" s="235">
        <v>159750.17403341556</v>
      </c>
      <c r="AL440" s="235">
        <v>107445.30551651234</v>
      </c>
      <c r="AM440" s="235">
        <v>3340772.7296458366</v>
      </c>
      <c r="AN440" s="235">
        <v>8950.8461810395984</v>
      </c>
      <c r="AO440" s="235">
        <v>8950.8461810395984</v>
      </c>
      <c r="AP440" s="235">
        <v>8950.8461810395984</v>
      </c>
      <c r="AQ440" s="235">
        <v>4550000.8461810397</v>
      </c>
      <c r="AR440" s="235">
        <v>8950.8461810395984</v>
      </c>
      <c r="AS440" s="235"/>
      <c r="AT440" s="235"/>
      <c r="AU440" s="235"/>
      <c r="AV440" s="235"/>
      <c r="AW440" s="235"/>
      <c r="AX440" s="235"/>
      <c r="AY440" s="235"/>
      <c r="AZ440" s="235"/>
      <c r="BA440" s="235"/>
      <c r="BB440" s="235"/>
      <c r="BC440" s="235"/>
      <c r="BD440" s="235"/>
      <c r="BE440" s="235"/>
      <c r="BF440" s="235"/>
      <c r="BG440" s="235"/>
      <c r="BH440" s="235"/>
      <c r="BI440" s="235"/>
      <c r="BJ440" s="235"/>
      <c r="BK440" s="235"/>
    </row>
    <row r="441" spans="1:63" s="80" customFormat="1" ht="12.75">
      <c r="A441" s="168">
        <v>41333</v>
      </c>
      <c r="B441" s="213" t="str">
        <f>Servicio_internaColumna_título_intereses</f>
        <v>Intereses</v>
      </c>
      <c r="C441" s="270">
        <v>0</v>
      </c>
      <c r="D441" s="271"/>
      <c r="E441" s="271"/>
      <c r="F441" s="271"/>
      <c r="G441" s="271"/>
      <c r="H441" s="271"/>
      <c r="I441" s="271"/>
      <c r="J441" s="271"/>
      <c r="K441" s="271"/>
      <c r="L441" s="271"/>
      <c r="M441" s="271"/>
      <c r="N441" s="271"/>
      <c r="O441" s="271">
        <v>2792570.5763657107</v>
      </c>
      <c r="P441" s="271">
        <v>3307162.4022911685</v>
      </c>
      <c r="Q441" s="271">
        <v>3069413.9967709417</v>
      </c>
      <c r="R441" s="271">
        <v>2727632.6449970794</v>
      </c>
      <c r="S441" s="274">
        <v>2593222.2628386365</v>
      </c>
      <c r="T441" s="271">
        <v>2439465.8430670719</v>
      </c>
      <c r="U441" s="272">
        <v>2291606.5397286052</v>
      </c>
      <c r="V441" s="272">
        <v>2015058.222095975</v>
      </c>
      <c r="W441" s="272">
        <v>1886198.923494078</v>
      </c>
      <c r="X441" s="272">
        <v>1516893.0921889073</v>
      </c>
      <c r="Y441" s="272">
        <v>1449926.521603791</v>
      </c>
      <c r="Z441" s="272">
        <v>1270472.7827974644</v>
      </c>
      <c r="AA441" s="272">
        <v>1140534.7716807551</v>
      </c>
      <c r="AB441" s="272">
        <v>1073747.8322703822</v>
      </c>
      <c r="AC441" s="272">
        <v>1030224.4493126839</v>
      </c>
      <c r="AD441" s="236">
        <v>815073.26497482427</v>
      </c>
      <c r="AE441" s="236">
        <v>765231.27446398011</v>
      </c>
      <c r="AF441" s="236">
        <v>714865.70294904604</v>
      </c>
      <c r="AG441" s="236">
        <v>651249.73952426878</v>
      </c>
      <c r="AH441" s="236">
        <v>631362.9291958008</v>
      </c>
      <c r="AI441" s="236">
        <v>582380.6245428205</v>
      </c>
      <c r="AJ441" s="236">
        <v>540539.66346288018</v>
      </c>
      <c r="AK441" s="236">
        <v>532231.94338255643</v>
      </c>
      <c r="AL441" s="236">
        <v>526289.36094202485</v>
      </c>
      <c r="AM441" s="236">
        <v>522524.21293283819</v>
      </c>
      <c r="AN441" s="236">
        <v>278231.36450599821</v>
      </c>
      <c r="AO441" s="236"/>
      <c r="AP441" s="236"/>
      <c r="AQ441" s="236"/>
      <c r="AR441" s="236"/>
      <c r="AS441" s="236"/>
      <c r="AT441" s="236"/>
      <c r="AU441" s="236"/>
      <c r="AV441" s="236"/>
      <c r="AW441" s="236"/>
      <c r="AX441" s="236"/>
      <c r="AY441" s="236"/>
      <c r="AZ441" s="236"/>
      <c r="BA441" s="236"/>
      <c r="BB441" s="236"/>
      <c r="BC441" s="236"/>
      <c r="BD441" s="236"/>
      <c r="BE441" s="236"/>
      <c r="BF441" s="236"/>
      <c r="BG441" s="236"/>
      <c r="BH441" s="236"/>
      <c r="BI441" s="236"/>
      <c r="BJ441" s="236"/>
      <c r="BK441" s="236"/>
    </row>
    <row r="442" spans="1:63" s="80" customFormat="1" ht="12.75">
      <c r="A442" s="169"/>
      <c r="B442" s="307" t="str">
        <f>Servicio_internaColumna_título_total</f>
        <v>Total</v>
      </c>
      <c r="C442" s="310">
        <v>0</v>
      </c>
      <c r="D442" s="311"/>
      <c r="E442" s="311"/>
      <c r="F442" s="311"/>
      <c r="G442" s="311"/>
      <c r="H442" s="311"/>
      <c r="I442" s="311"/>
      <c r="J442" s="311"/>
      <c r="K442" s="311"/>
      <c r="L442" s="311"/>
      <c r="M442" s="311"/>
      <c r="N442" s="311"/>
      <c r="O442" s="311">
        <f>O440+O441</f>
        <v>4332744.4475887883</v>
      </c>
      <c r="P442" s="311">
        <f t="shared" ref="P442:AN442" si="55">P440+P441</f>
        <v>7342582.3082099492</v>
      </c>
      <c r="Q442" s="311">
        <f t="shared" si="55"/>
        <v>7847924.9135901043</v>
      </c>
      <c r="R442" s="311">
        <f t="shared" si="55"/>
        <v>4854814.2685554214</v>
      </c>
      <c r="S442" s="312">
        <f t="shared" si="55"/>
        <v>7347306.5040738359</v>
      </c>
      <c r="T442" s="311">
        <f t="shared" si="55"/>
        <v>4115023.7206265898</v>
      </c>
      <c r="U442" s="311">
        <f t="shared" si="55"/>
        <v>8428801.5611296389</v>
      </c>
      <c r="V442" s="311">
        <f t="shared" si="55"/>
        <v>4836751.9981818115</v>
      </c>
      <c r="W442" s="311">
        <f t="shared" si="55"/>
        <v>8955044.9148864131</v>
      </c>
      <c r="X442" s="311">
        <f t="shared" si="55"/>
        <v>2685039.0119193555</v>
      </c>
      <c r="Y442" s="311">
        <f t="shared" si="55"/>
        <v>5269479.1655738484</v>
      </c>
      <c r="Z442" s="311">
        <f t="shared" si="55"/>
        <v>4052823.7346629985</v>
      </c>
      <c r="AA442" s="311">
        <f t="shared" si="55"/>
        <v>2752270.3793340144</v>
      </c>
      <c r="AB442" s="311">
        <f t="shared" si="55"/>
        <v>2031984.9082530839</v>
      </c>
      <c r="AC442" s="311">
        <f t="shared" si="55"/>
        <v>3579419.4629900884</v>
      </c>
      <c r="AD442" s="311">
        <f t="shared" si="55"/>
        <v>1573207.3952944307</v>
      </c>
      <c r="AE442" s="311">
        <f t="shared" si="55"/>
        <v>1935687.1233632988</v>
      </c>
      <c r="AF442" s="311">
        <f t="shared" si="55"/>
        <v>2347701.1868254314</v>
      </c>
      <c r="AG442" s="311">
        <f t="shared" si="55"/>
        <v>1135831.4259222457</v>
      </c>
      <c r="AH442" s="311">
        <f t="shared" si="55"/>
        <v>1041346.8373714003</v>
      </c>
      <c r="AI442" s="311">
        <f t="shared" si="55"/>
        <v>1453564.2799856204</v>
      </c>
      <c r="AJ442" s="311">
        <f t="shared" si="55"/>
        <v>763217.61775136832</v>
      </c>
      <c r="AK442" s="311">
        <f t="shared" si="55"/>
        <v>691982.11741597205</v>
      </c>
      <c r="AL442" s="311">
        <f t="shared" si="55"/>
        <v>633734.66645853722</v>
      </c>
      <c r="AM442" s="311">
        <f t="shared" si="55"/>
        <v>3863296.9425786748</v>
      </c>
      <c r="AN442" s="311">
        <f t="shared" si="55"/>
        <v>287182.21068703779</v>
      </c>
      <c r="AO442" s="311"/>
      <c r="AP442" s="311"/>
      <c r="AQ442" s="311"/>
      <c r="AR442" s="311"/>
      <c r="AS442" s="311"/>
      <c r="AT442" s="311"/>
      <c r="AU442" s="311"/>
      <c r="AV442" s="311"/>
      <c r="AW442" s="311"/>
      <c r="AX442" s="311"/>
      <c r="AY442" s="311"/>
      <c r="AZ442" s="311"/>
      <c r="BA442" s="311"/>
      <c r="BB442" s="311"/>
      <c r="BC442" s="311"/>
      <c r="BD442" s="311"/>
      <c r="BE442" s="311"/>
      <c r="BF442" s="311"/>
      <c r="BG442" s="311"/>
      <c r="BH442" s="311"/>
      <c r="BI442" s="311"/>
      <c r="BJ442" s="311"/>
      <c r="BK442" s="311"/>
    </row>
    <row r="443" spans="1:63" s="80" customFormat="1" ht="12.75">
      <c r="A443" s="167"/>
      <c r="B443" s="210" t="str">
        <f>Servicio_internaColumna_título_amortizaciones</f>
        <v>Amortizaciones</v>
      </c>
      <c r="C443" s="269">
        <v>0</v>
      </c>
      <c r="D443" s="235"/>
      <c r="E443" s="235"/>
      <c r="F443" s="235"/>
      <c r="G443" s="235"/>
      <c r="H443" s="235"/>
      <c r="I443" s="235"/>
      <c r="J443" s="235"/>
      <c r="K443" s="235"/>
      <c r="L443" s="235"/>
      <c r="M443" s="235"/>
      <c r="N443" s="235"/>
      <c r="O443" s="235">
        <v>1463132.9776061294</v>
      </c>
      <c r="P443" s="235">
        <v>4040920.8153146566</v>
      </c>
      <c r="Q443" s="235">
        <v>4799102.7176034255</v>
      </c>
      <c r="R443" s="235">
        <v>2129488.2667666948</v>
      </c>
      <c r="S443" s="273">
        <v>4775694.1048382064</v>
      </c>
      <c r="T443" s="235">
        <v>1675926.8321208614</v>
      </c>
      <c r="U443" s="235">
        <v>6154414.1898988886</v>
      </c>
      <c r="V443" s="235">
        <v>2830053.0740705016</v>
      </c>
      <c r="W443" s="235">
        <v>7106506.5669196611</v>
      </c>
      <c r="X443" s="235">
        <v>1165128.5664140922</v>
      </c>
      <c r="Y443" s="235">
        <v>3834837.0540216733</v>
      </c>
      <c r="Z443" s="235">
        <v>2790489.2288386524</v>
      </c>
      <c r="AA443" s="235">
        <v>1611804.7638242112</v>
      </c>
      <c r="AB443" s="235">
        <v>953861.7661690301</v>
      </c>
      <c r="AC443" s="235">
        <v>2555824.3819823447</v>
      </c>
      <c r="AD443" s="235">
        <v>756046.00630769914</v>
      </c>
      <c r="AE443" s="235">
        <v>1171211.9961098181</v>
      </c>
      <c r="AF443" s="235">
        <v>1640439.1110411985</v>
      </c>
      <c r="AG443" s="235">
        <v>487929.37260953325</v>
      </c>
      <c r="AH443" s="235">
        <v>412860.29799926322</v>
      </c>
      <c r="AI443" s="235">
        <v>877222.57024387736</v>
      </c>
      <c r="AJ443" s="235">
        <v>224212.62010283017</v>
      </c>
      <c r="AK443" s="235">
        <v>160850.7524194117</v>
      </c>
      <c r="AL443" s="235">
        <v>108185.77915958209</v>
      </c>
      <c r="AM443" s="235">
        <v>3363817.99577507</v>
      </c>
      <c r="AN443" s="235">
        <v>9012.5907680009968</v>
      </c>
      <c r="AO443" s="235">
        <v>9012.5907680009968</v>
      </c>
      <c r="AP443" s="235">
        <v>9012.5907680009968</v>
      </c>
      <c r="AQ443" s="235">
        <v>4581387.590768001</v>
      </c>
      <c r="AR443" s="235">
        <v>9012.5907680009968</v>
      </c>
      <c r="AS443" s="235">
        <v>5725.59564615</v>
      </c>
      <c r="AT443" s="235"/>
      <c r="AU443" s="235"/>
      <c r="AV443" s="235"/>
      <c r="AW443" s="235"/>
      <c r="AX443" s="235"/>
      <c r="AY443" s="235"/>
      <c r="AZ443" s="235"/>
      <c r="BA443" s="235"/>
      <c r="BB443" s="235"/>
      <c r="BC443" s="235"/>
      <c r="BD443" s="235"/>
      <c r="BE443" s="235"/>
      <c r="BF443" s="235"/>
      <c r="BG443" s="235"/>
      <c r="BH443" s="235"/>
      <c r="BI443" s="235"/>
      <c r="BJ443" s="235"/>
      <c r="BK443" s="235"/>
    </row>
    <row r="444" spans="1:63" s="80" customFormat="1" ht="12.75">
      <c r="A444" s="168">
        <v>41334</v>
      </c>
      <c r="B444" s="213" t="str">
        <f>Servicio_internaColumna_título_intereses</f>
        <v>Intereses</v>
      </c>
      <c r="C444" s="270">
        <v>0</v>
      </c>
      <c r="D444" s="271"/>
      <c r="E444" s="271"/>
      <c r="F444" s="271"/>
      <c r="G444" s="271"/>
      <c r="H444" s="271"/>
      <c r="I444" s="271"/>
      <c r="J444" s="271"/>
      <c r="K444" s="271"/>
      <c r="L444" s="271"/>
      <c r="M444" s="271"/>
      <c r="N444" s="271"/>
      <c r="O444" s="271">
        <v>2476962.8631172143</v>
      </c>
      <c r="P444" s="271">
        <v>3316002.6211135387</v>
      </c>
      <c r="Q444" s="271">
        <v>3088351.9797399677</v>
      </c>
      <c r="R444" s="271">
        <v>2743400.3331949664</v>
      </c>
      <c r="S444" s="274">
        <v>2608403.708367751</v>
      </c>
      <c r="T444" s="271">
        <v>2457820.4339009579</v>
      </c>
      <c r="U444" s="272">
        <v>2313379.2294961559</v>
      </c>
      <c r="V444" s="272">
        <v>2037030.9144290814</v>
      </c>
      <c r="W444" s="272">
        <v>1907709.6261137121</v>
      </c>
      <c r="X444" s="272">
        <v>1535967.4531540589</v>
      </c>
      <c r="Y444" s="272">
        <v>1465230.980106201</v>
      </c>
      <c r="Z444" s="272">
        <v>1287900.8279029538</v>
      </c>
      <c r="AA444" s="272">
        <v>1158085.7804844256</v>
      </c>
      <c r="AB444" s="272">
        <v>1086615.7911087298</v>
      </c>
      <c r="AC444" s="272">
        <v>1042017.3175550291</v>
      </c>
      <c r="AD444" s="236">
        <v>826439.47748326976</v>
      </c>
      <c r="AE444" s="236">
        <v>774361.53055942315</v>
      </c>
      <c r="AF444" s="236">
        <v>722626.20479216916</v>
      </c>
      <c r="AG444" s="236">
        <v>657236.73193686362</v>
      </c>
      <c r="AH444" s="236">
        <v>636827.64135029749</v>
      </c>
      <c r="AI444" s="236">
        <v>587266.04154487851</v>
      </c>
      <c r="AJ444" s="236">
        <v>544777.71331735898</v>
      </c>
      <c r="AK444" s="236">
        <v>536193.84747787216</v>
      </c>
      <c r="AL444" s="236">
        <v>530029.54684339429</v>
      </c>
      <c r="AM444" s="236">
        <v>526152.28674729087</v>
      </c>
      <c r="AN444" s="236">
        <v>280150.6557477045</v>
      </c>
      <c r="AO444" s="236"/>
      <c r="AP444" s="236"/>
      <c r="AQ444" s="236"/>
      <c r="AR444" s="236"/>
      <c r="AS444" s="236"/>
      <c r="AT444" s="236"/>
      <c r="AU444" s="236"/>
      <c r="AV444" s="236"/>
      <c r="AW444" s="236"/>
      <c r="AX444" s="236"/>
      <c r="AY444" s="236"/>
      <c r="AZ444" s="236"/>
      <c r="BA444" s="236"/>
      <c r="BB444" s="236"/>
      <c r="BC444" s="236"/>
      <c r="BD444" s="236"/>
      <c r="BE444" s="236"/>
      <c r="BF444" s="236"/>
      <c r="BG444" s="236"/>
      <c r="BH444" s="236"/>
      <c r="BI444" s="236"/>
      <c r="BJ444" s="236"/>
      <c r="BK444" s="236"/>
    </row>
    <row r="445" spans="1:63" s="80" customFormat="1" ht="12.75">
      <c r="A445" s="169"/>
      <c r="B445" s="307" t="str">
        <f>Servicio_internaColumna_título_total</f>
        <v>Total</v>
      </c>
      <c r="C445" s="310">
        <v>0</v>
      </c>
      <c r="D445" s="311"/>
      <c r="E445" s="311"/>
      <c r="F445" s="311"/>
      <c r="G445" s="311"/>
      <c r="H445" s="311"/>
      <c r="I445" s="311"/>
      <c r="J445" s="311"/>
      <c r="K445" s="311"/>
      <c r="L445" s="311"/>
      <c r="M445" s="311"/>
      <c r="N445" s="311"/>
      <c r="O445" s="311">
        <f>O443+O444</f>
        <v>3940095.8407233437</v>
      </c>
      <c r="P445" s="311">
        <f t="shared" ref="P445:AN445" si="56">P443+P444</f>
        <v>7356923.4364281949</v>
      </c>
      <c r="Q445" s="311">
        <f t="shared" si="56"/>
        <v>7887454.6973433932</v>
      </c>
      <c r="R445" s="311">
        <f t="shared" si="56"/>
        <v>4872888.5999616608</v>
      </c>
      <c r="S445" s="312">
        <f t="shared" si="56"/>
        <v>7384097.8132059574</v>
      </c>
      <c r="T445" s="311">
        <f t="shared" si="56"/>
        <v>4133747.2660218193</v>
      </c>
      <c r="U445" s="311">
        <f t="shared" si="56"/>
        <v>8467793.4193950444</v>
      </c>
      <c r="V445" s="311">
        <f t="shared" si="56"/>
        <v>4867083.9884995827</v>
      </c>
      <c r="W445" s="311">
        <f t="shared" si="56"/>
        <v>9014216.193033373</v>
      </c>
      <c r="X445" s="311">
        <f t="shared" si="56"/>
        <v>2701096.0195681509</v>
      </c>
      <c r="Y445" s="311">
        <f t="shared" si="56"/>
        <v>5300068.0341278743</v>
      </c>
      <c r="Z445" s="311">
        <f t="shared" si="56"/>
        <v>4078390.0567416064</v>
      </c>
      <c r="AA445" s="311">
        <f t="shared" si="56"/>
        <v>2769890.5443086368</v>
      </c>
      <c r="AB445" s="311">
        <f t="shared" si="56"/>
        <v>2040477.55727776</v>
      </c>
      <c r="AC445" s="311">
        <f t="shared" si="56"/>
        <v>3597841.6995373736</v>
      </c>
      <c r="AD445" s="311">
        <f t="shared" si="56"/>
        <v>1582485.483790969</v>
      </c>
      <c r="AE445" s="311">
        <f t="shared" si="56"/>
        <v>1945573.5266692413</v>
      </c>
      <c r="AF445" s="311">
        <f t="shared" si="56"/>
        <v>2363065.3158333674</v>
      </c>
      <c r="AG445" s="311">
        <f t="shared" si="56"/>
        <v>1145166.104546397</v>
      </c>
      <c r="AH445" s="311">
        <f t="shared" si="56"/>
        <v>1049687.9393495608</v>
      </c>
      <c r="AI445" s="311">
        <f t="shared" si="56"/>
        <v>1464488.6117887557</v>
      </c>
      <c r="AJ445" s="311">
        <f t="shared" si="56"/>
        <v>768990.3334201891</v>
      </c>
      <c r="AK445" s="311">
        <f t="shared" si="56"/>
        <v>697044.59989728383</v>
      </c>
      <c r="AL445" s="311">
        <f t="shared" si="56"/>
        <v>638215.32600297639</v>
      </c>
      <c r="AM445" s="311">
        <f t="shared" si="56"/>
        <v>3889970.2825223608</v>
      </c>
      <c r="AN445" s="311">
        <f t="shared" si="56"/>
        <v>289163.24651570548</v>
      </c>
      <c r="AO445" s="311"/>
      <c r="AP445" s="311"/>
      <c r="AQ445" s="311"/>
      <c r="AR445" s="311"/>
      <c r="AS445" s="311"/>
      <c r="AT445" s="311"/>
      <c r="AU445" s="311"/>
      <c r="AV445" s="311"/>
      <c r="AW445" s="311"/>
      <c r="AX445" s="311"/>
      <c r="AY445" s="311"/>
      <c r="AZ445" s="311"/>
      <c r="BA445" s="311"/>
      <c r="BB445" s="311"/>
      <c r="BC445" s="311"/>
      <c r="BD445" s="311"/>
      <c r="BE445" s="311"/>
      <c r="BF445" s="311"/>
      <c r="BG445" s="311"/>
      <c r="BH445" s="311"/>
      <c r="BI445" s="311"/>
      <c r="BJ445" s="311"/>
      <c r="BK445" s="311"/>
    </row>
    <row r="446" spans="1:63" s="80" customFormat="1" ht="12.75">
      <c r="A446" s="167"/>
      <c r="B446" s="210" t="str">
        <f>Servicio_internaColumna_título_amortizaciones</f>
        <v>Amortizaciones</v>
      </c>
      <c r="C446" s="269">
        <v>0</v>
      </c>
      <c r="D446" s="235"/>
      <c r="E446" s="235"/>
      <c r="F446" s="235"/>
      <c r="G446" s="235"/>
      <c r="H446" s="235"/>
      <c r="I446" s="235"/>
      <c r="J446" s="235"/>
      <c r="K446" s="235"/>
      <c r="L446" s="235"/>
      <c r="M446" s="235"/>
      <c r="N446" s="235"/>
      <c r="O446" s="235">
        <v>1450724.7751207268</v>
      </c>
      <c r="P446" s="235">
        <v>4043497.5055683861</v>
      </c>
      <c r="Q446" s="235">
        <v>4802646.8745688014</v>
      </c>
      <c r="R446" s="235">
        <v>2135340.2594372774</v>
      </c>
      <c r="S446" s="273">
        <v>4775548.3408179069</v>
      </c>
      <c r="T446" s="235">
        <v>1676067.8989661965</v>
      </c>
      <c r="U446" s="235">
        <v>6112946.2857478578</v>
      </c>
      <c r="V446" s="235">
        <v>2830021.1357609108</v>
      </c>
      <c r="W446" s="235">
        <v>7106099.7760675112</v>
      </c>
      <c r="X446" s="235">
        <v>1165175.4480182093</v>
      </c>
      <c r="Y446" s="235">
        <v>3834637.0570150735</v>
      </c>
      <c r="Z446" s="235">
        <v>2790381.6300075296</v>
      </c>
      <c r="AA446" s="235">
        <v>1611812.8349189465</v>
      </c>
      <c r="AB446" s="235">
        <v>953930.40673404606</v>
      </c>
      <c r="AC446" s="235">
        <v>2555653.3020812017</v>
      </c>
      <c r="AD446" s="235">
        <v>755994.67714174569</v>
      </c>
      <c r="AE446" s="235">
        <v>1171124.3474390297</v>
      </c>
      <c r="AF446" s="235">
        <v>1640310.4134982647</v>
      </c>
      <c r="AG446" s="235">
        <v>487885.11817616789</v>
      </c>
      <c r="AH446" s="235">
        <v>412822.60078340839</v>
      </c>
      <c r="AI446" s="235">
        <v>877137.05965043919</v>
      </c>
      <c r="AJ446" s="235">
        <v>224193.92783538223</v>
      </c>
      <c r="AK446" s="235">
        <v>160837.60316780856</v>
      </c>
      <c r="AL446" s="235">
        <v>108176.77600093876</v>
      </c>
      <c r="AM446" s="235">
        <v>3363523.7226241776</v>
      </c>
      <c r="AN446" s="235">
        <v>9011.8023295401981</v>
      </c>
      <c r="AO446" s="235">
        <v>9011.8023295401981</v>
      </c>
      <c r="AP446" s="235">
        <v>9011.8023295401981</v>
      </c>
      <c r="AQ446" s="235">
        <v>4580986.8023295403</v>
      </c>
      <c r="AR446" s="235">
        <v>9011.8023295401981</v>
      </c>
      <c r="AS446" s="235">
        <v>5725.0947602299993</v>
      </c>
      <c r="AT446" s="235"/>
      <c r="AU446" s="235"/>
      <c r="AV446" s="235"/>
      <c r="AW446" s="235"/>
      <c r="AX446" s="235"/>
      <c r="AY446" s="235"/>
      <c r="AZ446" s="235"/>
      <c r="BA446" s="235"/>
      <c r="BB446" s="235"/>
      <c r="BC446" s="235"/>
      <c r="BD446" s="235"/>
      <c r="BE446" s="235"/>
      <c r="BF446" s="235"/>
      <c r="BG446" s="235"/>
      <c r="BH446" s="235"/>
      <c r="BI446" s="235"/>
      <c r="BJ446" s="235"/>
      <c r="BK446" s="235"/>
    </row>
    <row r="447" spans="1:63" s="80" customFormat="1" ht="12.75">
      <c r="A447" s="168">
        <v>41394</v>
      </c>
      <c r="B447" s="213" t="str">
        <f>Servicio_internaColumna_título_intereses</f>
        <v>Intereses</v>
      </c>
      <c r="C447" s="270">
        <v>0</v>
      </c>
      <c r="D447" s="271"/>
      <c r="E447" s="271"/>
      <c r="F447" s="271"/>
      <c r="G447" s="271"/>
      <c r="H447" s="271"/>
      <c r="I447" s="271"/>
      <c r="J447" s="271"/>
      <c r="K447" s="271"/>
      <c r="L447" s="271"/>
      <c r="M447" s="271"/>
      <c r="N447" s="271"/>
      <c r="O447" s="271">
        <v>2232174.1899404218</v>
      </c>
      <c r="P447" s="271">
        <v>3313924.5983835249</v>
      </c>
      <c r="Q447" s="271">
        <v>3063704.4690385018</v>
      </c>
      <c r="R447" s="271">
        <v>2729175.699274316</v>
      </c>
      <c r="S447" s="274">
        <v>2579770.3072783863</v>
      </c>
      <c r="T447" s="271">
        <v>2441456.3727778178</v>
      </c>
      <c r="U447" s="272">
        <v>2273860.607129599</v>
      </c>
      <c r="V447" s="272">
        <v>2009135.4641425724</v>
      </c>
      <c r="W447" s="272">
        <v>1883520.2115276456</v>
      </c>
      <c r="X447" s="272">
        <v>1514215.253258625</v>
      </c>
      <c r="Y447" s="272">
        <v>1448870.9537768741</v>
      </c>
      <c r="Z447" s="272">
        <v>1269184.7745292315</v>
      </c>
      <c r="AA447" s="272">
        <v>1142307.5242661666</v>
      </c>
      <c r="AB447" s="272">
        <v>1074396.4022297598</v>
      </c>
      <c r="AC447" s="272">
        <v>1031742.1750268232</v>
      </c>
      <c r="AD447" s="236">
        <v>818310.61359016981</v>
      </c>
      <c r="AE447" s="236">
        <v>766317.73706323525</v>
      </c>
      <c r="AF447" s="236">
        <v>716972.76941410231</v>
      </c>
      <c r="AG447" s="236">
        <v>654590.83823457721</v>
      </c>
      <c r="AH447" s="236">
        <v>634944.55704466137</v>
      </c>
      <c r="AI447" s="236">
        <v>586246.19700552407</v>
      </c>
      <c r="AJ447" s="236">
        <v>543961.33052967745</v>
      </c>
      <c r="AK447" s="236">
        <v>535693.23893779819</v>
      </c>
      <c r="AL447" s="236">
        <v>529794.77727140754</v>
      </c>
      <c r="AM447" s="236">
        <v>526076.96455797076</v>
      </c>
      <c r="AN447" s="236">
        <v>280126.14763927087</v>
      </c>
      <c r="AO447" s="236"/>
      <c r="AP447" s="236"/>
      <c r="AQ447" s="236"/>
      <c r="AR447" s="236"/>
      <c r="AS447" s="236"/>
      <c r="AT447" s="236"/>
      <c r="AU447" s="236"/>
      <c r="AV447" s="236"/>
      <c r="AW447" s="236"/>
      <c r="AX447" s="236"/>
      <c r="AY447" s="236"/>
      <c r="AZ447" s="236"/>
      <c r="BA447" s="236"/>
      <c r="BB447" s="236"/>
      <c r="BC447" s="236"/>
      <c r="BD447" s="236"/>
      <c r="BE447" s="236"/>
      <c r="BF447" s="236"/>
      <c r="BG447" s="236"/>
      <c r="BH447" s="236"/>
      <c r="BI447" s="236"/>
      <c r="BJ447" s="236"/>
      <c r="BK447" s="236"/>
    </row>
    <row r="448" spans="1:63" s="80" customFormat="1" ht="12.75">
      <c r="A448" s="169"/>
      <c r="B448" s="307" t="str">
        <f>Servicio_internaColumna_título_total</f>
        <v>Total</v>
      </c>
      <c r="C448" s="310">
        <v>0</v>
      </c>
      <c r="D448" s="311"/>
      <c r="E448" s="311"/>
      <c r="F448" s="311"/>
      <c r="G448" s="311"/>
      <c r="H448" s="311"/>
      <c r="I448" s="311"/>
      <c r="J448" s="311"/>
      <c r="K448" s="311"/>
      <c r="L448" s="311"/>
      <c r="M448" s="311"/>
      <c r="N448" s="311"/>
      <c r="O448" s="311">
        <v>3682898.9650611486</v>
      </c>
      <c r="P448" s="311">
        <v>7390340.3239519112</v>
      </c>
      <c r="Q448" s="311">
        <v>7899269.5636073016</v>
      </c>
      <c r="R448" s="311">
        <v>4897434.1787115932</v>
      </c>
      <c r="S448" s="312">
        <v>7388236.868096293</v>
      </c>
      <c r="T448" s="311">
        <v>4150442.4917440144</v>
      </c>
      <c r="U448" s="311">
        <v>8419725.1128774583</v>
      </c>
      <c r="V448" s="311">
        <v>4872074.8199034836</v>
      </c>
      <c r="W448" s="311">
        <v>9022538.2075951584</v>
      </c>
      <c r="X448" s="311">
        <v>2712308.9212768343</v>
      </c>
      <c r="Y448" s="311">
        <v>5316426.2307919469</v>
      </c>
      <c r="Z448" s="311">
        <v>4092484.6245367602</v>
      </c>
      <c r="AA448" s="311">
        <v>2787038.5791851133</v>
      </c>
      <c r="AB448" s="311">
        <v>2061245.0289638059</v>
      </c>
      <c r="AC448" s="311">
        <v>3620313.6971080247</v>
      </c>
      <c r="AD448" s="311">
        <v>1596250.7707319153</v>
      </c>
      <c r="AE448" s="311">
        <v>1959387.5645022648</v>
      </c>
      <c r="AF448" s="311">
        <v>2368255.9229123672</v>
      </c>
      <c r="AG448" s="311">
        <v>1142475.9564107452</v>
      </c>
      <c r="AH448" s="311">
        <v>1047767.1578280698</v>
      </c>
      <c r="AI448" s="311">
        <v>1463383.2566559631</v>
      </c>
      <c r="AJ448" s="311">
        <v>768155.25836505974</v>
      </c>
      <c r="AK448" s="311">
        <v>696530.8421056068</v>
      </c>
      <c r="AL448" s="311">
        <v>637971.55327234627</v>
      </c>
      <c r="AM448" s="311">
        <v>3889600.6871821485</v>
      </c>
      <c r="AN448" s="311">
        <v>289137.94996881107</v>
      </c>
      <c r="AO448" s="311"/>
      <c r="AP448" s="311"/>
      <c r="AQ448" s="311"/>
      <c r="AR448" s="311"/>
      <c r="AS448" s="311"/>
      <c r="AT448" s="311"/>
      <c r="AU448" s="311"/>
      <c r="AV448" s="311"/>
      <c r="AW448" s="311"/>
      <c r="AX448" s="311"/>
      <c r="AY448" s="311"/>
      <c r="AZ448" s="311"/>
      <c r="BA448" s="311"/>
      <c r="BB448" s="311"/>
      <c r="BC448" s="311"/>
      <c r="BD448" s="311"/>
      <c r="BE448" s="311"/>
      <c r="BF448" s="311"/>
      <c r="BG448" s="311"/>
      <c r="BH448" s="311"/>
      <c r="BI448" s="311"/>
      <c r="BJ448" s="311"/>
      <c r="BK448" s="311"/>
    </row>
    <row r="449" spans="1:63" s="80" customFormat="1" ht="12.75">
      <c r="A449" s="167"/>
      <c r="B449" s="210" t="str">
        <f>Servicio_internaColumna_título_amortizaciones</f>
        <v>Amortizaciones</v>
      </c>
      <c r="C449" s="269">
        <v>0</v>
      </c>
      <c r="D449" s="235"/>
      <c r="E449" s="235"/>
      <c r="F449" s="235"/>
      <c r="G449" s="235"/>
      <c r="H449" s="235"/>
      <c r="I449" s="235"/>
      <c r="J449" s="235"/>
      <c r="K449" s="235"/>
      <c r="L449" s="235"/>
      <c r="M449" s="235"/>
      <c r="N449" s="235"/>
      <c r="O449" s="235">
        <v>1122104.1098104951</v>
      </c>
      <c r="P449" s="235">
        <v>4155941.0145669165</v>
      </c>
      <c r="Q449" s="235">
        <v>4897712.0929219425</v>
      </c>
      <c r="R449" s="235">
        <v>2189379.5827839668</v>
      </c>
      <c r="S449" s="273">
        <v>4924788.7917771172</v>
      </c>
      <c r="T449" s="235">
        <v>1719056.4643072954</v>
      </c>
      <c r="U449" s="235">
        <v>6261272.3382247025</v>
      </c>
      <c r="V449" s="235">
        <v>2912631.7769042999</v>
      </c>
      <c r="W449" s="235">
        <v>7335397.3274918916</v>
      </c>
      <c r="X449" s="235">
        <v>1190891.197993163</v>
      </c>
      <c r="Y449" s="235">
        <v>3951867.6152837919</v>
      </c>
      <c r="Z449" s="235">
        <v>2871787.2482719468</v>
      </c>
      <c r="AA449" s="235">
        <v>1652777.7250688227</v>
      </c>
      <c r="AB449" s="235">
        <v>972039.31691510312</v>
      </c>
      <c r="AC449" s="235">
        <v>2628887.0963562005</v>
      </c>
      <c r="AD449" s="235">
        <v>772433.34595348313</v>
      </c>
      <c r="AE449" s="235">
        <v>1201793.4522390089</v>
      </c>
      <c r="AF449" s="235">
        <v>1691791.6803004569</v>
      </c>
      <c r="AG449" s="235">
        <v>504644.47467754618</v>
      </c>
      <c r="AH449" s="235">
        <v>427008.84433863818</v>
      </c>
      <c r="AI449" s="235">
        <v>907255.50039091427</v>
      </c>
      <c r="AJ449" s="235">
        <v>231915.99828217892</v>
      </c>
      <c r="AK449" s="235">
        <v>166387.85071891456</v>
      </c>
      <c r="AL449" s="235">
        <v>111922.65762211697</v>
      </c>
      <c r="AM449" s="235">
        <v>3478862.0784863252</v>
      </c>
      <c r="AN449" s="235">
        <v>9359.1793022191978</v>
      </c>
      <c r="AO449" s="235">
        <v>9359.1793022191978</v>
      </c>
      <c r="AP449" s="235">
        <v>9359.1793022191978</v>
      </c>
      <c r="AQ449" s="235">
        <v>4738059.1793022193</v>
      </c>
      <c r="AR449" s="235">
        <v>9359.1793022191978</v>
      </c>
      <c r="AS449" s="235">
        <v>5959.8050530168002</v>
      </c>
      <c r="AT449" s="235"/>
      <c r="AU449" s="235"/>
      <c r="AV449" s="235"/>
      <c r="AW449" s="235"/>
      <c r="AX449" s="235"/>
      <c r="AY449" s="235"/>
      <c r="AZ449" s="235"/>
      <c r="BA449" s="235"/>
      <c r="BB449" s="235"/>
      <c r="BC449" s="235"/>
      <c r="BD449" s="235"/>
      <c r="BE449" s="235"/>
      <c r="BF449" s="235"/>
      <c r="BG449" s="235"/>
      <c r="BH449" s="235"/>
      <c r="BI449" s="235"/>
      <c r="BJ449" s="235"/>
      <c r="BK449" s="235"/>
    </row>
    <row r="450" spans="1:63" s="80" customFormat="1" ht="12.75">
      <c r="A450" s="168">
        <v>41425</v>
      </c>
      <c r="B450" s="213" t="str">
        <f>Servicio_internaColumna_título_intereses</f>
        <v>Intereses</v>
      </c>
      <c r="C450" s="270">
        <v>0</v>
      </c>
      <c r="D450" s="271"/>
      <c r="E450" s="271"/>
      <c r="F450" s="271"/>
      <c r="G450" s="271"/>
      <c r="H450" s="271"/>
      <c r="I450" s="271"/>
      <c r="J450" s="271"/>
      <c r="K450" s="271"/>
      <c r="L450" s="271"/>
      <c r="M450" s="271"/>
      <c r="N450" s="271"/>
      <c r="O450" s="271">
        <v>2041277.9490582992</v>
      </c>
      <c r="P450" s="271">
        <v>3415941.941194891</v>
      </c>
      <c r="Q450" s="271">
        <v>3163867.4583080928</v>
      </c>
      <c r="R450" s="271">
        <v>2843420.4591381806</v>
      </c>
      <c r="S450" s="274">
        <v>2703674.3255464481</v>
      </c>
      <c r="T450" s="271">
        <v>2563645.0941841602</v>
      </c>
      <c r="U450" s="272">
        <v>2388409.325086765</v>
      </c>
      <c r="V450" s="272">
        <v>2114203.748015021</v>
      </c>
      <c r="W450" s="272">
        <v>1982158.2261148673</v>
      </c>
      <c r="X450" s="272">
        <v>1597615.3668572339</v>
      </c>
      <c r="Y450" s="272">
        <v>1525725.34761496</v>
      </c>
      <c r="Z450" s="272">
        <v>1338503.5023496444</v>
      </c>
      <c r="AA450" s="272">
        <v>1210388.6319590996</v>
      </c>
      <c r="AB450" s="272">
        <v>1129413.8603756558</v>
      </c>
      <c r="AC450" s="272">
        <v>1082617.7748917111</v>
      </c>
      <c r="AD450" s="236">
        <v>860562.45483665727</v>
      </c>
      <c r="AE450" s="236">
        <v>804338.27609098959</v>
      </c>
      <c r="AF450" s="236">
        <v>749794.26698140847</v>
      </c>
      <c r="AG450" s="236">
        <v>680833.21414411999</v>
      </c>
      <c r="AH450" s="236">
        <v>659395.91646951763</v>
      </c>
      <c r="AI450" s="236">
        <v>608195.32319171203</v>
      </c>
      <c r="AJ450" s="236">
        <v>563904.82132522471</v>
      </c>
      <c r="AK450" s="236">
        <v>554828.99408545555</v>
      </c>
      <c r="AL450" s="236">
        <v>548279.67033219268</v>
      </c>
      <c r="AM450" s="236">
        <v>544161.50202907249</v>
      </c>
      <c r="AN450" s="236">
        <v>289729.72532052081</v>
      </c>
      <c r="AO450" s="236"/>
      <c r="AP450" s="236"/>
      <c r="AQ450" s="236"/>
      <c r="AR450" s="236"/>
      <c r="AS450" s="236"/>
      <c r="AT450" s="236"/>
      <c r="AU450" s="236"/>
      <c r="AV450" s="236"/>
      <c r="AW450" s="236"/>
      <c r="AX450" s="236"/>
      <c r="AY450" s="236"/>
      <c r="AZ450" s="236"/>
      <c r="BA450" s="236"/>
      <c r="BB450" s="236"/>
      <c r="BC450" s="236"/>
      <c r="BD450" s="236"/>
      <c r="BE450" s="236"/>
      <c r="BF450" s="236"/>
      <c r="BG450" s="236"/>
      <c r="BH450" s="236"/>
      <c r="BI450" s="236"/>
      <c r="BJ450" s="236"/>
      <c r="BK450" s="236"/>
    </row>
    <row r="451" spans="1:63" s="80" customFormat="1" ht="12.75">
      <c r="A451" s="169"/>
      <c r="B451" s="307" t="str">
        <f>Servicio_internaColumna_título_total</f>
        <v>Total</v>
      </c>
      <c r="C451" s="310">
        <v>0</v>
      </c>
      <c r="D451" s="311"/>
      <c r="E451" s="311"/>
      <c r="F451" s="311"/>
      <c r="G451" s="311"/>
      <c r="H451" s="311"/>
      <c r="I451" s="311"/>
      <c r="J451" s="311"/>
      <c r="K451" s="311"/>
      <c r="L451" s="311"/>
      <c r="M451" s="311"/>
      <c r="N451" s="311"/>
      <c r="O451" s="311">
        <v>3163382.0588687942</v>
      </c>
      <c r="P451" s="311">
        <v>7620115.6957618063</v>
      </c>
      <c r="Q451" s="311">
        <v>8109812.2912300359</v>
      </c>
      <c r="R451" s="311">
        <v>5081032.7819221467</v>
      </c>
      <c r="S451" s="312">
        <v>7676695.8573235655</v>
      </c>
      <c r="T451" s="311">
        <v>4330934.2984914556</v>
      </c>
      <c r="U451" s="311">
        <v>8697914.4033114668</v>
      </c>
      <c r="V451" s="311">
        <v>5075068.2649193201</v>
      </c>
      <c r="W451" s="311">
        <v>9365788.29360676</v>
      </c>
      <c r="X451" s="311">
        <v>2836739.3048503967</v>
      </c>
      <c r="Y451" s="311">
        <v>5525825.7028987519</v>
      </c>
      <c r="Z451" s="311">
        <v>4258523.490621591</v>
      </c>
      <c r="AA451" s="311">
        <v>2911399.097027922</v>
      </c>
      <c r="AB451" s="311">
        <v>2149685.9172907588</v>
      </c>
      <c r="AC451" s="311">
        <v>3759737.6112479111</v>
      </c>
      <c r="AD451" s="311">
        <v>1665150.9607901403</v>
      </c>
      <c r="AE451" s="311">
        <v>2038286.8883299986</v>
      </c>
      <c r="AF451" s="311">
        <v>2457663.5272818655</v>
      </c>
      <c r="AG451" s="311">
        <v>1185477.6888216662</v>
      </c>
      <c r="AH451" s="311">
        <v>1086404.7608081559</v>
      </c>
      <c r="AI451" s="311">
        <v>1515450.8235826264</v>
      </c>
      <c r="AJ451" s="311">
        <v>795820.8196074036</v>
      </c>
      <c r="AK451" s="311">
        <v>721216.84480437008</v>
      </c>
      <c r="AL451" s="311">
        <v>660202.32795430964</v>
      </c>
      <c r="AM451" s="311">
        <v>4023023.5805153977</v>
      </c>
      <c r="AN451" s="311">
        <v>299088.90462274</v>
      </c>
      <c r="AO451" s="311"/>
      <c r="AP451" s="311"/>
      <c r="AQ451" s="311"/>
      <c r="AR451" s="311"/>
      <c r="AS451" s="311"/>
      <c r="AT451" s="311"/>
      <c r="AU451" s="311"/>
      <c r="AV451" s="311"/>
      <c r="AW451" s="311"/>
      <c r="AX451" s="311"/>
      <c r="AY451" s="311"/>
      <c r="AZ451" s="311"/>
      <c r="BA451" s="311"/>
      <c r="BB451" s="311"/>
      <c r="BC451" s="311"/>
      <c r="BD451" s="311"/>
      <c r="BE451" s="311"/>
      <c r="BF451" s="311"/>
      <c r="BG451" s="311"/>
      <c r="BH451" s="311"/>
      <c r="BI451" s="311"/>
      <c r="BJ451" s="311"/>
      <c r="BK451" s="311"/>
    </row>
    <row r="452" spans="1:63" s="80" customFormat="1" ht="12.75">
      <c r="A452" s="167"/>
      <c r="B452" s="210" t="str">
        <f>Servicio_internaColumna_título_amortizaciones</f>
        <v>Amortizaciones</v>
      </c>
      <c r="C452" s="269">
        <v>0</v>
      </c>
      <c r="D452" s="235"/>
      <c r="E452" s="235"/>
      <c r="F452" s="235"/>
      <c r="G452" s="235"/>
      <c r="H452" s="235"/>
      <c r="I452" s="235"/>
      <c r="J452" s="235"/>
      <c r="K452" s="235"/>
      <c r="L452" s="235"/>
      <c r="M452" s="235"/>
      <c r="N452" s="235"/>
      <c r="O452" s="235">
        <v>986055.0887783895</v>
      </c>
      <c r="P452" s="235">
        <v>4225418.6581242634</v>
      </c>
      <c r="Q452" s="235">
        <v>4832105.4020751547</v>
      </c>
      <c r="R452" s="235">
        <v>2231278.8164638225</v>
      </c>
      <c r="S452" s="273">
        <v>5024633.4423610512</v>
      </c>
      <c r="T452" s="235">
        <v>1786563.7190064339</v>
      </c>
      <c r="U452" s="235">
        <v>6504683.2121146144</v>
      </c>
      <c r="V452" s="235">
        <v>3024909.8092344352</v>
      </c>
      <c r="W452" s="235">
        <v>7520485.0465753973</v>
      </c>
      <c r="X452" s="235">
        <v>1274687.0066384994</v>
      </c>
      <c r="Y452" s="235">
        <v>4081121.8848738428</v>
      </c>
      <c r="Z452" s="235">
        <v>2987144.421662027</v>
      </c>
      <c r="AA452" s="235">
        <v>1748113.1818373052</v>
      </c>
      <c r="AB452" s="235">
        <v>1617869.2534023523</v>
      </c>
      <c r="AC452" s="235">
        <v>2763649.9384532291</v>
      </c>
      <c r="AD452" s="235">
        <v>842836.25530806999</v>
      </c>
      <c r="AE452" s="235">
        <v>1273659.6445052666</v>
      </c>
      <c r="AF452" s="235">
        <v>1766920.8749562739</v>
      </c>
      <c r="AG452" s="235">
        <v>555282.10060719447</v>
      </c>
      <c r="AH452" s="235">
        <v>476368.03230748035</v>
      </c>
      <c r="AI452" s="235">
        <v>945217.95621834369</v>
      </c>
      <c r="AJ452" s="235">
        <v>235762.29327161884</v>
      </c>
      <c r="AK452" s="235">
        <v>169129.24575691737</v>
      </c>
      <c r="AL452" s="235">
        <v>113766.47672257357</v>
      </c>
      <c r="AM452" s="235">
        <v>3536154.0158818299</v>
      </c>
      <c r="AN452" s="235">
        <v>9513.3117462651971</v>
      </c>
      <c r="AO452" s="235">
        <v>9513.3117462651971</v>
      </c>
      <c r="AP452" s="235">
        <v>9513.3117462651971</v>
      </c>
      <c r="AQ452" s="235">
        <v>4816088.3117462657</v>
      </c>
      <c r="AR452" s="235">
        <v>9513.3117462651971</v>
      </c>
      <c r="AS452" s="235">
        <v>6057.9546117758</v>
      </c>
      <c r="AT452" s="235"/>
      <c r="AU452" s="235"/>
      <c r="AV452" s="235"/>
      <c r="AW452" s="235"/>
      <c r="AX452" s="235"/>
      <c r="AY452" s="235"/>
      <c r="AZ452" s="235"/>
      <c r="BA452" s="235"/>
      <c r="BB452" s="235"/>
      <c r="BC452" s="235"/>
      <c r="BD452" s="235"/>
      <c r="BE452" s="235"/>
      <c r="BF452" s="235"/>
      <c r="BG452" s="235"/>
      <c r="BH452" s="235"/>
      <c r="BI452" s="235"/>
      <c r="BJ452" s="235"/>
      <c r="BK452" s="235"/>
    </row>
    <row r="453" spans="1:63" s="80" customFormat="1" ht="12.75">
      <c r="A453" s="168">
        <v>41455</v>
      </c>
      <c r="B453" s="213" t="str">
        <f>Servicio_internaColumna_título_intereses</f>
        <v>Intereses</v>
      </c>
      <c r="C453" s="270">
        <v>0</v>
      </c>
      <c r="D453" s="271"/>
      <c r="E453" s="271"/>
      <c r="F453" s="271"/>
      <c r="G453" s="271"/>
      <c r="H453" s="271"/>
      <c r="I453" s="271"/>
      <c r="J453" s="271"/>
      <c r="K453" s="271"/>
      <c r="L453" s="271"/>
      <c r="M453" s="271"/>
      <c r="N453" s="271"/>
      <c r="O453" s="271">
        <v>1715834.7375111382</v>
      </c>
      <c r="P453" s="271">
        <v>3451654.1497052242</v>
      </c>
      <c r="Q453" s="271">
        <v>3250195.3497914788</v>
      </c>
      <c r="R453" s="271">
        <v>3005352.9093264067</v>
      </c>
      <c r="S453" s="274">
        <v>2905532.8672149717</v>
      </c>
      <c r="T453" s="271">
        <v>2764036.858307729</v>
      </c>
      <c r="U453" s="272">
        <v>2561073.2128979117</v>
      </c>
      <c r="V453" s="272">
        <v>2285900.5055372994</v>
      </c>
      <c r="W453" s="272">
        <v>2134785.51692212</v>
      </c>
      <c r="X453" s="272">
        <v>1731193.432095228</v>
      </c>
      <c r="Y453" s="272">
        <v>1648731.1563811759</v>
      </c>
      <c r="Z453" s="272">
        <v>1448597.7838030541</v>
      </c>
      <c r="AA453" s="272">
        <v>1306614.0129199687</v>
      </c>
      <c r="AB453" s="272">
        <v>1198835.3654608594</v>
      </c>
      <c r="AC453" s="272">
        <v>1129714.7213429939</v>
      </c>
      <c r="AD453" s="236">
        <v>895830.45499492448</v>
      </c>
      <c r="AE453" s="236">
        <v>833124.94579064474</v>
      </c>
      <c r="AF453" s="236">
        <v>772950.26766046381</v>
      </c>
      <c r="AG453" s="236">
        <v>698235.70004703884</v>
      </c>
      <c r="AH453" s="236">
        <v>673799.09291561972</v>
      </c>
      <c r="AI453" s="236">
        <v>619524.00144855818</v>
      </c>
      <c r="AJ453" s="236">
        <v>573886.34192531405</v>
      </c>
      <c r="AK453" s="236">
        <v>564346.09497255378</v>
      </c>
      <c r="AL453" s="236">
        <v>557455.43867236562</v>
      </c>
      <c r="AM453" s="236">
        <v>553144.78227140009</v>
      </c>
      <c r="AN453" s="236">
        <v>294501.59841886943</v>
      </c>
      <c r="AO453" s="236"/>
      <c r="AP453" s="236"/>
      <c r="AQ453" s="236"/>
      <c r="AR453" s="236"/>
      <c r="AS453" s="236"/>
      <c r="AT453" s="236"/>
      <c r="AU453" s="236"/>
      <c r="AV453" s="236"/>
      <c r="AW453" s="236"/>
      <c r="AX453" s="236"/>
      <c r="AY453" s="236"/>
      <c r="AZ453" s="236"/>
      <c r="BA453" s="236"/>
      <c r="BB453" s="236"/>
      <c r="BC453" s="236"/>
      <c r="BD453" s="236"/>
      <c r="BE453" s="236"/>
      <c r="BF453" s="236"/>
      <c r="BG453" s="236"/>
      <c r="BH453" s="236"/>
      <c r="BI453" s="236"/>
      <c r="BJ453" s="236"/>
      <c r="BK453" s="236"/>
    </row>
    <row r="454" spans="1:63" s="80" customFormat="1" ht="12.75">
      <c r="A454" s="169"/>
      <c r="B454" s="307" t="str">
        <f>Servicio_internaColumna_título_total</f>
        <v>Total</v>
      </c>
      <c r="C454" s="310">
        <v>0</v>
      </c>
      <c r="D454" s="311"/>
      <c r="E454" s="311"/>
      <c r="F454" s="311"/>
      <c r="G454" s="311"/>
      <c r="H454" s="311"/>
      <c r="I454" s="311"/>
      <c r="J454" s="311"/>
      <c r="K454" s="311"/>
      <c r="L454" s="311"/>
      <c r="M454" s="311"/>
      <c r="N454" s="311"/>
      <c r="O454" s="311">
        <v>2701889.8262895276</v>
      </c>
      <c r="P454" s="311">
        <v>7711680.1478294879</v>
      </c>
      <c r="Q454" s="311">
        <v>8116908.0918666329</v>
      </c>
      <c r="R454" s="311">
        <v>5271239.0657902285</v>
      </c>
      <c r="S454" s="312">
        <v>7964773.6495760232</v>
      </c>
      <c r="T454" s="311">
        <v>4585207.9173141625</v>
      </c>
      <c r="U454" s="311">
        <v>9100363.7650125269</v>
      </c>
      <c r="V454" s="311">
        <v>5345417.654771734</v>
      </c>
      <c r="W454" s="311">
        <v>9689877.9034975171</v>
      </c>
      <c r="X454" s="311">
        <v>3040487.7787337275</v>
      </c>
      <c r="Y454" s="311">
        <v>5764460.3812550195</v>
      </c>
      <c r="Z454" s="311">
        <v>4470349.545465081</v>
      </c>
      <c r="AA454" s="311">
        <v>3089334.5347572742</v>
      </c>
      <c r="AB454" s="311">
        <v>2851311.9588632118</v>
      </c>
      <c r="AC454" s="311">
        <v>3927971.9997962234</v>
      </c>
      <c r="AD454" s="311">
        <v>1761738.2703029946</v>
      </c>
      <c r="AE454" s="311">
        <v>2129856.1502959114</v>
      </c>
      <c r="AF454" s="311">
        <v>2551406.9226167379</v>
      </c>
      <c r="AG454" s="311">
        <v>1253517.8006542334</v>
      </c>
      <c r="AH454" s="311">
        <v>1150167.1252231002</v>
      </c>
      <c r="AI454" s="311">
        <v>1564741.9576669019</v>
      </c>
      <c r="AJ454" s="311">
        <v>809648.63519693282</v>
      </c>
      <c r="AK454" s="311">
        <v>733475.34072947118</v>
      </c>
      <c r="AL454" s="311">
        <v>671221.91539493925</v>
      </c>
      <c r="AM454" s="311">
        <v>4089298.79815323</v>
      </c>
      <c r="AN454" s="311">
        <v>304014.91016513464</v>
      </c>
      <c r="AO454" s="311"/>
      <c r="AP454" s="311"/>
      <c r="AQ454" s="311"/>
      <c r="AR454" s="311"/>
      <c r="AS454" s="311"/>
      <c r="AT454" s="311"/>
      <c r="AU454" s="311"/>
      <c r="AV454" s="311"/>
      <c r="AW454" s="311"/>
      <c r="AX454" s="311"/>
      <c r="AY454" s="311"/>
      <c r="AZ454" s="311"/>
      <c r="BA454" s="311"/>
      <c r="BB454" s="311"/>
      <c r="BC454" s="311"/>
      <c r="BD454" s="311"/>
      <c r="BE454" s="311"/>
      <c r="BF454" s="311"/>
      <c r="BG454" s="311"/>
      <c r="BH454" s="311"/>
      <c r="BI454" s="311"/>
      <c r="BJ454" s="311"/>
      <c r="BK454" s="311"/>
    </row>
    <row r="455" spans="1:63" s="80" customFormat="1" ht="12.75">
      <c r="A455" s="167"/>
      <c r="B455" s="210" t="str">
        <f>Servicio_internaColumna_título_amortizaciones</f>
        <v>Amortizaciones</v>
      </c>
      <c r="C455" s="269">
        <v>0</v>
      </c>
      <c r="D455" s="235"/>
      <c r="E455" s="235"/>
      <c r="F455" s="235"/>
      <c r="G455" s="235"/>
      <c r="H455" s="235"/>
      <c r="I455" s="235"/>
      <c r="J455" s="235"/>
      <c r="K455" s="235"/>
      <c r="L455" s="235"/>
      <c r="M455" s="235"/>
      <c r="N455" s="235"/>
      <c r="O455" s="235">
        <v>884484.83765736746</v>
      </c>
      <c r="P455" s="235">
        <v>4166248.4999850132</v>
      </c>
      <c r="Q455" s="235">
        <v>4806383.7414197437</v>
      </c>
      <c r="R455" s="235">
        <v>2190752.3493887479</v>
      </c>
      <c r="S455" s="273">
        <v>4936960.8973825695</v>
      </c>
      <c r="T455" s="235">
        <v>1756082.5272969315</v>
      </c>
      <c r="U455" s="235">
        <v>6399604.8042273168</v>
      </c>
      <c r="V455" s="235">
        <v>2974312.7884687753</v>
      </c>
      <c r="W455" s="235">
        <v>7393553.4573519873</v>
      </c>
      <c r="X455" s="235">
        <v>1252613.8286248341</v>
      </c>
      <c r="Y455" s="235">
        <v>4013783.2798914174</v>
      </c>
      <c r="Z455" s="235">
        <v>2993014.5218020594</v>
      </c>
      <c r="AA455" s="235">
        <v>1718148.358608447</v>
      </c>
      <c r="AB455" s="235">
        <v>1590091.5154904302</v>
      </c>
      <c r="AC455" s="235">
        <v>2773513.0900538508</v>
      </c>
      <c r="AD455" s="235">
        <v>833402.85895387456</v>
      </c>
      <c r="AE455" s="235">
        <v>1251474.9939370211</v>
      </c>
      <c r="AF455" s="235">
        <v>1736449.4828449639</v>
      </c>
      <c r="AG455" s="235">
        <v>489206.02543682163</v>
      </c>
      <c r="AH455" s="235">
        <v>411617.70593228942</v>
      </c>
      <c r="AI455" s="235">
        <v>927410.56599143869</v>
      </c>
      <c r="AJ455" s="235">
        <v>231764.02028572196</v>
      </c>
      <c r="AK455" s="235">
        <v>166250.40159233549</v>
      </c>
      <c r="AL455" s="235">
        <v>111816.77725449331</v>
      </c>
      <c r="AM455" s="235">
        <v>3476708.5332860318</v>
      </c>
      <c r="AN455" s="235">
        <v>9315.0554725253969</v>
      </c>
      <c r="AO455" s="235">
        <v>9315.0554725253969</v>
      </c>
      <c r="AP455" s="235">
        <v>9315.0554725253969</v>
      </c>
      <c r="AQ455" s="235">
        <v>4735140.0554725258</v>
      </c>
      <c r="AR455" s="235">
        <v>9315.0554725253969</v>
      </c>
      <c r="AS455" s="235">
        <v>5917.7480072099997</v>
      </c>
      <c r="AT455" s="235"/>
      <c r="AU455" s="235"/>
      <c r="AV455" s="235"/>
      <c r="AW455" s="235"/>
      <c r="AX455" s="235"/>
      <c r="AY455" s="235"/>
      <c r="AZ455" s="235"/>
      <c r="BA455" s="235"/>
      <c r="BB455" s="235"/>
      <c r="BC455" s="235"/>
      <c r="BD455" s="235"/>
      <c r="BE455" s="235"/>
      <c r="BF455" s="235"/>
      <c r="BG455" s="235"/>
      <c r="BH455" s="235"/>
      <c r="BI455" s="235"/>
      <c r="BJ455" s="235"/>
      <c r="BK455" s="235"/>
    </row>
    <row r="456" spans="1:63" s="80" customFormat="1" ht="12.75">
      <c r="A456" s="168">
        <v>41486</v>
      </c>
      <c r="B456" s="213" t="str">
        <f>Servicio_internaColumna_título_intereses</f>
        <v>Intereses</v>
      </c>
      <c r="C456" s="270">
        <v>0</v>
      </c>
      <c r="D456" s="271"/>
      <c r="E456" s="271"/>
      <c r="F456" s="271"/>
      <c r="G456" s="271"/>
      <c r="H456" s="271"/>
      <c r="I456" s="271"/>
      <c r="J456" s="271"/>
      <c r="K456" s="271"/>
      <c r="L456" s="271"/>
      <c r="M456" s="271"/>
      <c r="N456" s="271"/>
      <c r="O456" s="271">
        <v>1320840.1136274845</v>
      </c>
      <c r="P456" s="271">
        <v>3531028.265876526</v>
      </c>
      <c r="Q456" s="271">
        <v>3391993.8866191739</v>
      </c>
      <c r="R456" s="271">
        <v>3207213.2416103724</v>
      </c>
      <c r="S456" s="274">
        <v>3172990.44286553</v>
      </c>
      <c r="T456" s="271">
        <v>3115228.0628707642</v>
      </c>
      <c r="U456" s="272">
        <v>2949707.3509701835</v>
      </c>
      <c r="V456" s="272">
        <v>2689685.9248471959</v>
      </c>
      <c r="W456" s="272">
        <v>2539127.832588356</v>
      </c>
      <c r="X456" s="272">
        <v>2143123.220744953</v>
      </c>
      <c r="Y456" s="272">
        <v>2047008.3022550559</v>
      </c>
      <c r="Z456" s="272">
        <v>1779235.3982386508</v>
      </c>
      <c r="AA456" s="272">
        <v>1627893.0473678759</v>
      </c>
      <c r="AB456" s="272">
        <v>1479373.0197090406</v>
      </c>
      <c r="AC456" s="272">
        <v>1369421.7232341957</v>
      </c>
      <c r="AD456" s="236">
        <v>1104406.4402575896</v>
      </c>
      <c r="AE456" s="236">
        <v>992514.49880051578</v>
      </c>
      <c r="AF456" s="236">
        <v>918263.04322458105</v>
      </c>
      <c r="AG456" s="236">
        <v>829189.32991462166</v>
      </c>
      <c r="AH456" s="236">
        <v>732624.22561203025</v>
      </c>
      <c r="AI456" s="236">
        <v>636492.11917090078</v>
      </c>
      <c r="AJ456" s="236">
        <v>579182.84429198771</v>
      </c>
      <c r="AK456" s="236">
        <v>563749.66818987194</v>
      </c>
      <c r="AL456" s="236">
        <v>555694.34437787463</v>
      </c>
      <c r="AM456" s="236">
        <v>550304.70852176845</v>
      </c>
      <c r="AN456" s="236">
        <v>295125.5774275185</v>
      </c>
      <c r="AO456" s="236">
        <v>294285.14960156905</v>
      </c>
      <c r="AP456" s="236">
        <v>293429.18944439874</v>
      </c>
      <c r="AQ456" s="236">
        <v>147832.22885680079</v>
      </c>
      <c r="AR456" s="236">
        <v>2261.6430418178998</v>
      </c>
      <c r="AS456" s="236">
        <v>1423.5111539766001</v>
      </c>
      <c r="AT456" s="236"/>
      <c r="AU456" s="236"/>
      <c r="AV456" s="236"/>
      <c r="AW456" s="236"/>
      <c r="AX456" s="236"/>
      <c r="AY456" s="236"/>
      <c r="AZ456" s="236"/>
      <c r="BA456" s="236"/>
      <c r="BB456" s="236"/>
      <c r="BC456" s="236"/>
      <c r="BD456" s="236"/>
      <c r="BE456" s="236"/>
      <c r="BF456" s="236"/>
      <c r="BG456" s="236"/>
      <c r="BH456" s="236"/>
      <c r="BI456" s="236"/>
      <c r="BJ456" s="236"/>
      <c r="BK456" s="236"/>
    </row>
    <row r="457" spans="1:63" s="80" customFormat="1" ht="12.75">
      <c r="A457" s="169"/>
      <c r="B457" s="307" t="str">
        <f>Servicio_internaColumna_título_total</f>
        <v>Total</v>
      </c>
      <c r="C457" s="310">
        <v>0</v>
      </c>
      <c r="D457" s="311"/>
      <c r="E457" s="311"/>
      <c r="F457" s="311"/>
      <c r="G457" s="311"/>
      <c r="H457" s="311"/>
      <c r="I457" s="311"/>
      <c r="J457" s="311"/>
      <c r="K457" s="311"/>
      <c r="L457" s="311"/>
      <c r="M457" s="311"/>
      <c r="N457" s="311"/>
      <c r="O457" s="311">
        <v>2205324.9512848519</v>
      </c>
      <c r="P457" s="311">
        <v>7697276.7658615392</v>
      </c>
      <c r="Q457" s="311">
        <v>8198377.6280389177</v>
      </c>
      <c r="R457" s="311">
        <v>5397965.5909991208</v>
      </c>
      <c r="S457" s="312">
        <v>8109951.3402480995</v>
      </c>
      <c r="T457" s="311">
        <v>4871310.5901676957</v>
      </c>
      <c r="U457" s="311">
        <v>9349312.1551975012</v>
      </c>
      <c r="V457" s="311">
        <v>5663998.7133159712</v>
      </c>
      <c r="W457" s="311">
        <v>9932681.2899403423</v>
      </c>
      <c r="X457" s="311">
        <v>3395737.0493697869</v>
      </c>
      <c r="Y457" s="311">
        <v>6060791.5821464732</v>
      </c>
      <c r="Z457" s="311">
        <v>4772249.9200407099</v>
      </c>
      <c r="AA457" s="311">
        <v>3346041.4059763229</v>
      </c>
      <c r="AB457" s="311">
        <v>3069464.5351994708</v>
      </c>
      <c r="AC457" s="311">
        <v>4142934.8132880465</v>
      </c>
      <c r="AD457" s="311">
        <v>1937809.2992114641</v>
      </c>
      <c r="AE457" s="311">
        <v>2243989.4927375368</v>
      </c>
      <c r="AF457" s="311">
        <v>2654712.5260695452</v>
      </c>
      <c r="AG457" s="311">
        <v>1318395.3553514434</v>
      </c>
      <c r="AH457" s="311">
        <v>1144241.9315443197</v>
      </c>
      <c r="AI457" s="311">
        <v>1563902.6851623394</v>
      </c>
      <c r="AJ457" s="311">
        <v>810946.8645777097</v>
      </c>
      <c r="AK457" s="311">
        <v>730000.06978220749</v>
      </c>
      <c r="AL457" s="311">
        <v>667511.12163236795</v>
      </c>
      <c r="AM457" s="311">
        <v>4027013.2418078003</v>
      </c>
      <c r="AN457" s="311">
        <v>304440.63290004391</v>
      </c>
      <c r="AO457" s="311">
        <v>303600.20507409447</v>
      </c>
      <c r="AP457" s="311">
        <v>302744.24491692416</v>
      </c>
      <c r="AQ457" s="311">
        <v>4882972.2843293268</v>
      </c>
      <c r="AR457" s="311">
        <v>11576.698514343298</v>
      </c>
      <c r="AS457" s="311">
        <v>7341.2591611866001</v>
      </c>
      <c r="AT457" s="311"/>
      <c r="AU457" s="311"/>
      <c r="AV457" s="311"/>
      <c r="AW457" s="311"/>
      <c r="AX457" s="311"/>
      <c r="AY457" s="311"/>
      <c r="AZ457" s="311"/>
      <c r="BA457" s="311"/>
      <c r="BB457" s="311"/>
      <c r="BC457" s="311"/>
      <c r="BD457" s="311"/>
      <c r="BE457" s="311"/>
      <c r="BF457" s="311"/>
      <c r="BG457" s="311"/>
      <c r="BH457" s="311"/>
      <c r="BI457" s="311"/>
      <c r="BJ457" s="311"/>
      <c r="BK457" s="311"/>
    </row>
    <row r="458" spans="1:63" s="80" customFormat="1" ht="12.75">
      <c r="A458" s="167"/>
      <c r="B458" s="210" t="str">
        <f>Servicio_internaColumna_título_amortizaciones</f>
        <v>Amortizaciones</v>
      </c>
      <c r="C458" s="269">
        <v>0</v>
      </c>
      <c r="D458" s="235"/>
      <c r="E458" s="235"/>
      <c r="F458" s="235"/>
      <c r="G458" s="235"/>
      <c r="H458" s="235"/>
      <c r="I458" s="235"/>
      <c r="J458" s="235"/>
      <c r="K458" s="235"/>
      <c r="L458" s="235"/>
      <c r="M458" s="235"/>
      <c r="N458" s="235"/>
      <c r="O458" s="235">
        <v>1915636.2261119159</v>
      </c>
      <c r="P458" s="235">
        <v>4462592.9082959341</v>
      </c>
      <c r="Q458" s="235">
        <v>5286682.3791634552</v>
      </c>
      <c r="R458" s="235">
        <v>2441132.168236481</v>
      </c>
      <c r="S458" s="273">
        <v>5228075.9962037094</v>
      </c>
      <c r="T458" s="235">
        <v>2017650.8665992303</v>
      </c>
      <c r="U458" s="235">
        <v>6672373.4634167282</v>
      </c>
      <c r="V458" s="235">
        <v>3272718.154114326</v>
      </c>
      <c r="W458" s="235">
        <v>4129368.534084551</v>
      </c>
      <c r="X458" s="235">
        <v>2222185.3618238494</v>
      </c>
      <c r="Y458" s="235">
        <v>3111013.3702696296</v>
      </c>
      <c r="Z458" s="235">
        <v>3005236.0940156216</v>
      </c>
      <c r="AA458" s="235">
        <v>2188619.9886597041</v>
      </c>
      <c r="AB458" s="235">
        <v>991537.73263448745</v>
      </c>
      <c r="AC458" s="235">
        <v>3030605.5552530983</v>
      </c>
      <c r="AD458" s="235">
        <v>922552.66250543413</v>
      </c>
      <c r="AE458" s="235">
        <v>1390143.2175386003</v>
      </c>
      <c r="AF458" s="235">
        <v>1406667.9979361373</v>
      </c>
      <c r="AG458" s="235">
        <v>663379.97763117554</v>
      </c>
      <c r="AH458" s="235">
        <v>419926.00872792734</v>
      </c>
      <c r="AI458" s="235">
        <v>953429.00015679921</v>
      </c>
      <c r="AJ458" s="235">
        <v>232029.20313336755</v>
      </c>
      <c r="AK458" s="235">
        <v>169166.14430983816</v>
      </c>
      <c r="AL458" s="235">
        <v>115514.99111094976</v>
      </c>
      <c r="AM458" s="235">
        <v>3583525.9185835933</v>
      </c>
      <c r="AN458" s="235">
        <v>708.19089496319998</v>
      </c>
      <c r="AO458" s="235">
        <v>708.19089496319998</v>
      </c>
      <c r="AP458" s="235">
        <v>708.19089496319998</v>
      </c>
      <c r="AQ458" s="235">
        <v>4858308.1908949632</v>
      </c>
      <c r="AR458" s="235">
        <v>708.19089496319998</v>
      </c>
      <c r="AS458" s="235">
        <v>708.19089496319998</v>
      </c>
      <c r="AT458" s="235"/>
      <c r="AU458" s="235"/>
      <c r="AV458" s="235"/>
      <c r="AW458" s="235"/>
      <c r="AX458" s="235"/>
      <c r="AY458" s="235"/>
      <c r="AZ458" s="235"/>
      <c r="BA458" s="235"/>
      <c r="BB458" s="235"/>
      <c r="BC458" s="235"/>
      <c r="BD458" s="235"/>
      <c r="BE458" s="235"/>
      <c r="BF458" s="235"/>
      <c r="BG458" s="235"/>
      <c r="BH458" s="235"/>
      <c r="BI458" s="235"/>
      <c r="BJ458" s="235"/>
      <c r="BK458" s="235"/>
    </row>
    <row r="459" spans="1:63" s="80" customFormat="1" ht="12.75">
      <c r="A459" s="168">
        <v>41517</v>
      </c>
      <c r="B459" s="213" t="str">
        <f>Servicio_internaColumna_título_intereses</f>
        <v>Intereses</v>
      </c>
      <c r="C459" s="270">
        <v>0</v>
      </c>
      <c r="D459" s="271"/>
      <c r="E459" s="271"/>
      <c r="F459" s="271"/>
      <c r="G459" s="271"/>
      <c r="H459" s="271"/>
      <c r="I459" s="271"/>
      <c r="J459" s="271"/>
      <c r="K459" s="271"/>
      <c r="L459" s="271"/>
      <c r="M459" s="271"/>
      <c r="N459" s="271"/>
      <c r="O459" s="271">
        <v>1340863.150103457</v>
      </c>
      <c r="P459" s="271">
        <v>3503281.4161087652</v>
      </c>
      <c r="Q459" s="271">
        <v>3293270.0469396967</v>
      </c>
      <c r="R459" s="271">
        <v>3029079.4997259122</v>
      </c>
      <c r="S459" s="274">
        <v>2925759.783432533</v>
      </c>
      <c r="T459" s="271">
        <v>2812710.8796890862</v>
      </c>
      <c r="U459" s="272">
        <v>2609382.2519911877</v>
      </c>
      <c r="V459" s="272">
        <v>2331099.0764593212</v>
      </c>
      <c r="W459" s="272">
        <v>2177869.0570388846</v>
      </c>
      <c r="X459" s="272">
        <v>1772238.3945420207</v>
      </c>
      <c r="Y459" s="272">
        <v>1682952.8107548961</v>
      </c>
      <c r="Z459" s="272">
        <v>1482947.0198435227</v>
      </c>
      <c r="AA459" s="272">
        <v>1341534.5135933368</v>
      </c>
      <c r="AB459" s="272">
        <v>1223130.3829034949</v>
      </c>
      <c r="AC459" s="272">
        <v>1150042.2616855011</v>
      </c>
      <c r="AD459" s="236">
        <v>911797.32564986416</v>
      </c>
      <c r="AE459" s="236">
        <v>846739.23225297336</v>
      </c>
      <c r="AF459" s="236">
        <v>782851.34945385985</v>
      </c>
      <c r="AG459" s="236">
        <v>703997.97961260984</v>
      </c>
      <c r="AH459" s="236">
        <v>681290.30584994226</v>
      </c>
      <c r="AI459" s="236">
        <v>627888.69962617487</v>
      </c>
      <c r="AJ459" s="236">
        <v>581233.08410348545</v>
      </c>
      <c r="AK459" s="236">
        <v>571089.76026040013</v>
      </c>
      <c r="AL459" s="236">
        <v>563690.23626000306</v>
      </c>
      <c r="AM459" s="236">
        <v>559068.47188253945</v>
      </c>
      <c r="AN459" s="236">
        <v>297626.90778923518</v>
      </c>
      <c r="AO459" s="236">
        <v>297615.5052532992</v>
      </c>
      <c r="AP459" s="236">
        <v>297604.24957232643</v>
      </c>
      <c r="AQ459" s="236">
        <v>148826.75706370559</v>
      </c>
      <c r="AR459" s="236">
        <v>51.354469478399999</v>
      </c>
      <c r="AS459" s="236">
        <v>40.562261836800005</v>
      </c>
      <c r="AT459" s="236"/>
      <c r="AU459" s="236"/>
      <c r="AV459" s="236"/>
      <c r="AW459" s="236"/>
      <c r="AX459" s="236"/>
      <c r="AY459" s="236"/>
      <c r="AZ459" s="236"/>
      <c r="BA459" s="236"/>
      <c r="BB459" s="236"/>
      <c r="BC459" s="236"/>
      <c r="BD459" s="236"/>
      <c r="BE459" s="236"/>
      <c r="BF459" s="236"/>
      <c r="BG459" s="236"/>
      <c r="BH459" s="236"/>
      <c r="BI459" s="236"/>
      <c r="BJ459" s="236"/>
      <c r="BK459" s="236"/>
    </row>
    <row r="460" spans="1:63" s="80" customFormat="1" ht="12.75">
      <c r="A460" s="169"/>
      <c r="B460" s="307" t="str">
        <f>Servicio_internaColumna_título_total</f>
        <v>Total</v>
      </c>
      <c r="C460" s="310">
        <v>0</v>
      </c>
      <c r="D460" s="311"/>
      <c r="E460" s="311"/>
      <c r="F460" s="311"/>
      <c r="G460" s="311"/>
      <c r="H460" s="311"/>
      <c r="I460" s="311"/>
      <c r="J460" s="311"/>
      <c r="K460" s="311"/>
      <c r="L460" s="311"/>
      <c r="M460" s="311"/>
      <c r="N460" s="311"/>
      <c r="O460" s="311">
        <v>3256499.3762153732</v>
      </c>
      <c r="P460" s="311">
        <v>7965874.3244046997</v>
      </c>
      <c r="Q460" s="311">
        <v>8579952.4261031523</v>
      </c>
      <c r="R460" s="311">
        <v>5470211.6679623928</v>
      </c>
      <c r="S460" s="312">
        <v>8153835.7796362424</v>
      </c>
      <c r="T460" s="311">
        <v>4830361.7462883163</v>
      </c>
      <c r="U460" s="311">
        <v>9281755.7154079154</v>
      </c>
      <c r="V460" s="311">
        <v>5603817.2305736467</v>
      </c>
      <c r="W460" s="311">
        <v>6307237.5911234356</v>
      </c>
      <c r="X460" s="311">
        <v>3994423.7563658701</v>
      </c>
      <c r="Y460" s="311">
        <v>4793966.1810245253</v>
      </c>
      <c r="Z460" s="311">
        <v>4488183.113859144</v>
      </c>
      <c r="AA460" s="311">
        <v>3530154.5022530407</v>
      </c>
      <c r="AB460" s="311">
        <v>2214668.1155379824</v>
      </c>
      <c r="AC460" s="311">
        <v>4180647.8169385996</v>
      </c>
      <c r="AD460" s="311">
        <v>1834349.9881552984</v>
      </c>
      <c r="AE460" s="311">
        <v>2236882.4497915739</v>
      </c>
      <c r="AF460" s="311">
        <v>2189519.347389997</v>
      </c>
      <c r="AG460" s="311">
        <v>1367377.9572437853</v>
      </c>
      <c r="AH460" s="311">
        <v>1101216.3145778696</v>
      </c>
      <c r="AI460" s="311">
        <v>1581317.6997829741</v>
      </c>
      <c r="AJ460" s="311">
        <v>813262.28723685304</v>
      </c>
      <c r="AK460" s="311">
        <v>740255.90457023832</v>
      </c>
      <c r="AL460" s="311">
        <v>679205.22737095284</v>
      </c>
      <c r="AM460" s="311">
        <v>4142594.3904661327</v>
      </c>
      <c r="AN460" s="311">
        <v>298335.0986841984</v>
      </c>
      <c r="AO460" s="311">
        <v>298323.69614826242</v>
      </c>
      <c r="AP460" s="311">
        <v>298312.44046728965</v>
      </c>
      <c r="AQ460" s="311">
        <v>5007134.9479586687</v>
      </c>
      <c r="AR460" s="311">
        <v>759.54536444159999</v>
      </c>
      <c r="AS460" s="311">
        <v>748.75315679999994</v>
      </c>
      <c r="AT460" s="311"/>
      <c r="AU460" s="311"/>
      <c r="AV460" s="311"/>
      <c r="AW460" s="311"/>
      <c r="AX460" s="311"/>
      <c r="AY460" s="311"/>
      <c r="AZ460" s="311"/>
      <c r="BA460" s="311"/>
      <c r="BB460" s="311"/>
      <c r="BC460" s="311"/>
      <c r="BD460" s="311"/>
      <c r="BE460" s="311"/>
      <c r="BF460" s="311"/>
      <c r="BG460" s="311"/>
      <c r="BH460" s="311"/>
      <c r="BI460" s="311"/>
      <c r="BJ460" s="311"/>
      <c r="BK460" s="311"/>
    </row>
    <row r="461" spans="1:63" s="80" customFormat="1" ht="12.75">
      <c r="A461" s="167"/>
      <c r="B461" s="210" t="str">
        <f>Servicio_internaColumna_título_amortizaciones</f>
        <v>Amortizaciones</v>
      </c>
      <c r="C461" s="269">
        <v>0</v>
      </c>
      <c r="D461" s="235"/>
      <c r="E461" s="235"/>
      <c r="F461" s="235"/>
      <c r="G461" s="235"/>
      <c r="H461" s="235"/>
      <c r="I461" s="235"/>
      <c r="J461" s="235"/>
      <c r="K461" s="235"/>
      <c r="L461" s="235"/>
      <c r="M461" s="235"/>
      <c r="N461" s="235"/>
      <c r="O461" s="235">
        <v>1447037.5347869133</v>
      </c>
      <c r="P461" s="235">
        <v>3962078.7868257253</v>
      </c>
      <c r="Q461" s="235">
        <v>4798155.0979554467</v>
      </c>
      <c r="R461" s="235">
        <v>1966480.6681326434</v>
      </c>
      <c r="S461" s="273">
        <v>4709548.5905335452</v>
      </c>
      <c r="T461" s="235">
        <v>1559149.17843665</v>
      </c>
      <c r="U461" s="235">
        <v>6145790.9855843466</v>
      </c>
      <c r="V461" s="235">
        <v>2797605.2803296386</v>
      </c>
      <c r="W461" s="235">
        <v>7497660.7002743986</v>
      </c>
      <c r="X461" s="235">
        <v>2198764.8843239262</v>
      </c>
      <c r="Y461" s="235">
        <v>3063795.1921757013</v>
      </c>
      <c r="Z461" s="235">
        <v>6022295.4229719043</v>
      </c>
      <c r="AA461" s="235">
        <v>2155847.1147621544</v>
      </c>
      <c r="AB461" s="235">
        <v>976255.57701785711</v>
      </c>
      <c r="AC461" s="235">
        <v>3004632.3668815708</v>
      </c>
      <c r="AD461" s="235">
        <v>910058.28562047472</v>
      </c>
      <c r="AE461" s="235">
        <v>1368689.8104155443</v>
      </c>
      <c r="AF461" s="235">
        <v>1384973.1451838166</v>
      </c>
      <c r="AG461" s="235">
        <v>1801335.3989321205</v>
      </c>
      <c r="AH461" s="235">
        <v>412648.5663601695</v>
      </c>
      <c r="AI461" s="235">
        <v>938356.47898126324</v>
      </c>
      <c r="AJ461" s="235">
        <v>228294.23147898135</v>
      </c>
      <c r="AK461" s="235">
        <v>166349.67265545193</v>
      </c>
      <c r="AL461" s="235">
        <v>113841.93940895665</v>
      </c>
      <c r="AM461" s="235">
        <v>3531179.8449237789</v>
      </c>
      <c r="AN461" s="235">
        <v>697.84342938966313</v>
      </c>
      <c r="AO461" s="235">
        <v>697.84342938966313</v>
      </c>
      <c r="AP461" s="235">
        <v>697.84342938966313</v>
      </c>
      <c r="AQ461" s="235">
        <v>4787322.8434293894</v>
      </c>
      <c r="AR461" s="235">
        <v>697.84342938966313</v>
      </c>
      <c r="AS461" s="235">
        <v>697.84342938966313</v>
      </c>
      <c r="AT461" s="235"/>
      <c r="AU461" s="235"/>
      <c r="AV461" s="235"/>
      <c r="AW461" s="235"/>
      <c r="AX461" s="235"/>
      <c r="AY461" s="235"/>
      <c r="AZ461" s="235"/>
      <c r="BA461" s="235"/>
      <c r="BB461" s="235"/>
      <c r="BC461" s="235"/>
      <c r="BD461" s="235"/>
      <c r="BE461" s="235"/>
      <c r="BF461" s="235"/>
      <c r="BG461" s="235"/>
      <c r="BH461" s="235"/>
      <c r="BI461" s="235"/>
      <c r="BJ461" s="235"/>
      <c r="BK461" s="235"/>
    </row>
    <row r="462" spans="1:63" s="80" customFormat="1" ht="12.75">
      <c r="A462" s="168">
        <v>41547</v>
      </c>
      <c r="B462" s="213" t="str">
        <f>Servicio_internaColumna_título_intereses</f>
        <v>Intereses</v>
      </c>
      <c r="C462" s="270">
        <v>0</v>
      </c>
      <c r="D462" s="271"/>
      <c r="E462" s="271"/>
      <c r="F462" s="271"/>
      <c r="G462" s="271"/>
      <c r="H462" s="271"/>
      <c r="I462" s="271"/>
      <c r="J462" s="271"/>
      <c r="K462" s="271"/>
      <c r="L462" s="271"/>
      <c r="M462" s="271"/>
      <c r="N462" s="271"/>
      <c r="O462" s="271">
        <v>778348.48017968913</v>
      </c>
      <c r="P462" s="271">
        <v>3616888.984952895</v>
      </c>
      <c r="Q462" s="271">
        <v>3488988.5138108595</v>
      </c>
      <c r="R462" s="271">
        <v>3136975.8021749984</v>
      </c>
      <c r="S462" s="274">
        <v>2999204.1977085662</v>
      </c>
      <c r="T462" s="271">
        <v>2886224.6910615163</v>
      </c>
      <c r="U462" s="272">
        <v>2847192.209473718</v>
      </c>
      <c r="V462" s="272">
        <v>2614044.1819918281</v>
      </c>
      <c r="W462" s="272">
        <v>2319179.212138297</v>
      </c>
      <c r="X462" s="272">
        <v>1924727.9653991628</v>
      </c>
      <c r="Y462" s="272">
        <v>1866711.2923992695</v>
      </c>
      <c r="Z462" s="272">
        <v>1535557.2692571839</v>
      </c>
      <c r="AA462" s="272">
        <v>1355364.7116259639</v>
      </c>
      <c r="AB462" s="272">
        <v>1252797.6983575127</v>
      </c>
      <c r="AC462" s="272">
        <v>1213522.8170881118</v>
      </c>
      <c r="AD462" s="236">
        <v>979204.00437791343</v>
      </c>
      <c r="AE462" s="236">
        <v>870152.1772765721</v>
      </c>
      <c r="AF462" s="236">
        <v>820418.96799295314</v>
      </c>
      <c r="AG462" s="236">
        <v>725266.36437720549</v>
      </c>
      <c r="AH462" s="236">
        <v>671712.72191141138</v>
      </c>
      <c r="AI462" s="236">
        <v>620748.62149250158</v>
      </c>
      <c r="AJ462" s="236">
        <v>575065.23371793551</v>
      </c>
      <c r="AK462" s="236">
        <v>564403.21654883749</v>
      </c>
      <c r="AL462" s="236">
        <v>556150.37370675267</v>
      </c>
      <c r="AM462" s="236">
        <v>550794.99335415568</v>
      </c>
      <c r="AN462" s="236">
        <v>293180.78125</v>
      </c>
      <c r="AO462" s="236">
        <v>293180.78125</v>
      </c>
      <c r="AP462" s="236">
        <v>293180.78125</v>
      </c>
      <c r="AQ462" s="236">
        <v>146590.390625</v>
      </c>
      <c r="AR462" s="236">
        <v>0</v>
      </c>
      <c r="AS462" s="236">
        <v>0</v>
      </c>
      <c r="AT462" s="236"/>
      <c r="AU462" s="236"/>
      <c r="AV462" s="236"/>
      <c r="AW462" s="236"/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</row>
    <row r="463" spans="1:63" s="80" customFormat="1" ht="12.75">
      <c r="A463" s="169"/>
      <c r="B463" s="307" t="str">
        <f>Servicio_internaColumna_título_total</f>
        <v>Total</v>
      </c>
      <c r="C463" s="310">
        <v>0</v>
      </c>
      <c r="D463" s="311"/>
      <c r="E463" s="311"/>
      <c r="F463" s="311"/>
      <c r="G463" s="311"/>
      <c r="H463" s="311"/>
      <c r="I463" s="311"/>
      <c r="J463" s="311"/>
      <c r="K463" s="311"/>
      <c r="L463" s="311"/>
      <c r="M463" s="311"/>
      <c r="N463" s="311"/>
      <c r="O463" s="311">
        <v>2225386.0149666024</v>
      </c>
      <c r="P463" s="311">
        <v>7578967.7717786208</v>
      </c>
      <c r="Q463" s="311">
        <v>8287143.6117663067</v>
      </c>
      <c r="R463" s="311">
        <v>5103456.4703076417</v>
      </c>
      <c r="S463" s="312">
        <v>7708752.788242111</v>
      </c>
      <c r="T463" s="311">
        <v>4445373.8694981663</v>
      </c>
      <c r="U463" s="311">
        <v>8992983.1950580645</v>
      </c>
      <c r="V463" s="311">
        <v>5411649.4623214668</v>
      </c>
      <c r="W463" s="311">
        <v>9816839.9124126956</v>
      </c>
      <c r="X463" s="311">
        <v>4123492.849723089</v>
      </c>
      <c r="Y463" s="311">
        <v>4930506.4845749708</v>
      </c>
      <c r="Z463" s="311">
        <v>7557852.6922290884</v>
      </c>
      <c r="AA463" s="311">
        <v>3511211.8263881183</v>
      </c>
      <c r="AB463" s="311">
        <v>2229053.2753753699</v>
      </c>
      <c r="AC463" s="311">
        <v>4218155.1839696821</v>
      </c>
      <c r="AD463" s="311">
        <v>1889262.2899983882</v>
      </c>
      <c r="AE463" s="311">
        <v>2238841.9876921163</v>
      </c>
      <c r="AF463" s="311">
        <v>2205392.1131767696</v>
      </c>
      <c r="AG463" s="311">
        <v>2526601.763309326</v>
      </c>
      <c r="AH463" s="311">
        <v>1084361.2882715808</v>
      </c>
      <c r="AI463" s="311">
        <v>1559105.1004737648</v>
      </c>
      <c r="AJ463" s="311">
        <v>803359.46519691683</v>
      </c>
      <c r="AK463" s="311">
        <v>730752.88920428941</v>
      </c>
      <c r="AL463" s="311">
        <v>669992.31311570934</v>
      </c>
      <c r="AM463" s="311">
        <v>4081974.8382779346</v>
      </c>
      <c r="AN463" s="311">
        <v>293878.62467938964</v>
      </c>
      <c r="AO463" s="311">
        <v>293878.62467938964</v>
      </c>
      <c r="AP463" s="311">
        <v>293878.62467938964</v>
      </c>
      <c r="AQ463" s="311">
        <v>4933913.2340543894</v>
      </c>
      <c r="AR463" s="311">
        <v>697.84342938966313</v>
      </c>
      <c r="AS463" s="311">
        <v>697.84342938966313</v>
      </c>
      <c r="AT463" s="311"/>
      <c r="AU463" s="311"/>
      <c r="AV463" s="311"/>
      <c r="AW463" s="311"/>
      <c r="AX463" s="311"/>
      <c r="AY463" s="311"/>
      <c r="AZ463" s="311"/>
      <c r="BA463" s="311"/>
      <c r="BB463" s="311"/>
      <c r="BC463" s="311"/>
      <c r="BD463" s="311"/>
      <c r="BE463" s="311"/>
      <c r="BF463" s="311"/>
      <c r="BG463" s="311"/>
      <c r="BH463" s="311"/>
      <c r="BI463" s="311"/>
      <c r="BJ463" s="311"/>
      <c r="BK463" s="311"/>
    </row>
    <row r="464" spans="1:63" s="80" customFormat="1" ht="12.75">
      <c r="A464" s="167"/>
      <c r="B464" s="210" t="str">
        <f>Servicio_internaColumna_título_amortizaciones</f>
        <v>Amortizaciones</v>
      </c>
      <c r="C464" s="269">
        <v>0</v>
      </c>
      <c r="D464" s="235"/>
      <c r="E464" s="235"/>
      <c r="F464" s="235"/>
      <c r="G464" s="235"/>
      <c r="H464" s="235"/>
      <c r="I464" s="235"/>
      <c r="J464" s="235"/>
      <c r="K464" s="235"/>
      <c r="L464" s="235"/>
      <c r="M464" s="235"/>
      <c r="N464" s="235"/>
      <c r="O464" s="235">
        <v>1422965.034763322</v>
      </c>
      <c r="P464" s="235">
        <v>3908591.7598629664</v>
      </c>
      <c r="Q464" s="235">
        <v>4767016.0344309602</v>
      </c>
      <c r="R464" s="235">
        <v>1939871.9904138562</v>
      </c>
      <c r="S464" s="273">
        <v>4636414.0618394865</v>
      </c>
      <c r="T464" s="235">
        <v>1535787.4304042629</v>
      </c>
      <c r="U464" s="235">
        <v>6048838.5627453802</v>
      </c>
      <c r="V464" s="235">
        <v>2754146.1035155202</v>
      </c>
      <c r="W464" s="235">
        <v>7418533.9869466713</v>
      </c>
      <c r="X464" s="235">
        <v>2180849.7882704074</v>
      </c>
      <c r="Y464" s="235">
        <v>3016254.0902887979</v>
      </c>
      <c r="Z464" s="235">
        <v>5926249.9783483073</v>
      </c>
      <c r="AA464" s="235">
        <v>2123176.6326148789</v>
      </c>
      <c r="AB464" s="235">
        <v>962431.20519862964</v>
      </c>
      <c r="AC464" s="235">
        <v>2987541.8000346757</v>
      </c>
      <c r="AD464" s="235">
        <v>898284.72326437838</v>
      </c>
      <c r="AE464" s="235">
        <v>1346986.9360187631</v>
      </c>
      <c r="AF464" s="235">
        <v>1363010.115035038</v>
      </c>
      <c r="AG464" s="235">
        <v>1772282.753153271</v>
      </c>
      <c r="AH464" s="235">
        <v>405782.70678682794</v>
      </c>
      <c r="AI464" s="235">
        <v>923091.48377107945</v>
      </c>
      <c r="AJ464" s="235">
        <v>225005.28445303161</v>
      </c>
      <c r="AK464" s="235">
        <v>164050.40210009046</v>
      </c>
      <c r="AL464" s="235">
        <v>112025.5732504117</v>
      </c>
      <c r="AM464" s="235">
        <v>3474765.0119870193</v>
      </c>
      <c r="AN464" s="235">
        <v>686.69411724121301</v>
      </c>
      <c r="AO464" s="235">
        <v>686.69411724121301</v>
      </c>
      <c r="AP464" s="235">
        <v>686.69411724121301</v>
      </c>
      <c r="AQ464" s="235">
        <v>4710836.6941172406</v>
      </c>
      <c r="AR464" s="235">
        <v>686.69411724121301</v>
      </c>
      <c r="AS464" s="235">
        <v>686.69411724121301</v>
      </c>
      <c r="AT464" s="235"/>
      <c r="AU464" s="235"/>
      <c r="AV464" s="235"/>
      <c r="AW464" s="235"/>
      <c r="AX464" s="235"/>
      <c r="AY464" s="235"/>
      <c r="AZ464" s="235"/>
      <c r="BA464" s="235"/>
      <c r="BB464" s="235"/>
      <c r="BC464" s="235"/>
      <c r="BD464" s="235"/>
      <c r="BE464" s="235"/>
      <c r="BF464" s="235"/>
      <c r="BG464" s="235"/>
      <c r="BH464" s="235"/>
      <c r="BI464" s="235"/>
      <c r="BJ464" s="235"/>
      <c r="BK464" s="235"/>
    </row>
    <row r="465" spans="1:63" s="80" customFormat="1" ht="12.75">
      <c r="A465" s="168">
        <v>41578</v>
      </c>
      <c r="B465" s="213" t="str">
        <f>Servicio_internaColumna_título_intereses</f>
        <v>Intereses</v>
      </c>
      <c r="C465" s="270">
        <v>0</v>
      </c>
      <c r="D465" s="271"/>
      <c r="E465" s="271"/>
      <c r="F465" s="271"/>
      <c r="G465" s="271"/>
      <c r="H465" s="271"/>
      <c r="I465" s="271"/>
      <c r="J465" s="271"/>
      <c r="K465" s="271"/>
      <c r="L465" s="271"/>
      <c r="M465" s="271"/>
      <c r="N465" s="271"/>
      <c r="O465" s="271">
        <v>391151.56807651435</v>
      </c>
      <c r="P465" s="271">
        <v>3567584.6606601323</v>
      </c>
      <c r="Q465" s="271">
        <v>3439114.171894602</v>
      </c>
      <c r="R465" s="271">
        <v>3090020.4597737789</v>
      </c>
      <c r="S465" s="274">
        <v>2953048.0219577267</v>
      </c>
      <c r="T465" s="271">
        <v>2837044.9418270793</v>
      </c>
      <c r="U465" s="272">
        <v>2796929.9297466218</v>
      </c>
      <c r="V465" s="272">
        <v>2580337.5622099717</v>
      </c>
      <c r="W465" s="272">
        <v>2292509.9767576014</v>
      </c>
      <c r="X465" s="272">
        <v>1894195.7753019852</v>
      </c>
      <c r="Y465" s="272">
        <v>1841802.2880368186</v>
      </c>
      <c r="Z465" s="272">
        <v>1515623.2650568222</v>
      </c>
      <c r="AA465" s="272">
        <v>1335134.7569069546</v>
      </c>
      <c r="AB465" s="272">
        <v>1234459.2283508827</v>
      </c>
      <c r="AC465" s="272">
        <v>1195830.6338598426</v>
      </c>
      <c r="AD465" s="236">
        <v>964653.06003609346</v>
      </c>
      <c r="AE465" s="236">
        <v>858677.22367426543</v>
      </c>
      <c r="AF465" s="236">
        <v>807012.12720057892</v>
      </c>
      <c r="AG465" s="236">
        <v>713540.5372947104</v>
      </c>
      <c r="AH465" s="236">
        <v>660924.23100125289</v>
      </c>
      <c r="AI465" s="236">
        <v>610823.34727911826</v>
      </c>
      <c r="AJ465" s="236">
        <v>565876.52766294312</v>
      </c>
      <c r="AK465" s="236">
        <v>555378.30890063348</v>
      </c>
      <c r="AL465" s="236">
        <v>547254.97361660469</v>
      </c>
      <c r="AM465" s="236">
        <v>541993.18090414652</v>
      </c>
      <c r="AN465" s="236">
        <v>288496.6875</v>
      </c>
      <c r="AO465" s="236">
        <v>288496.6875</v>
      </c>
      <c r="AP465" s="236">
        <v>288496.6875</v>
      </c>
      <c r="AQ465" s="236">
        <v>144248.34375</v>
      </c>
      <c r="AR465" s="236">
        <v>0</v>
      </c>
      <c r="AS465" s="236">
        <v>0</v>
      </c>
      <c r="AT465" s="236"/>
      <c r="AU465" s="236"/>
      <c r="AV465" s="236"/>
      <c r="AW465" s="236"/>
      <c r="AX465" s="236"/>
      <c r="AY465" s="236"/>
      <c r="AZ465" s="236"/>
      <c r="BA465" s="236"/>
      <c r="BB465" s="236"/>
      <c r="BC465" s="236"/>
      <c r="BD465" s="236"/>
      <c r="BE465" s="236"/>
      <c r="BF465" s="236"/>
      <c r="BG465" s="236"/>
      <c r="BH465" s="236"/>
      <c r="BI465" s="236"/>
      <c r="BJ465" s="236"/>
      <c r="BK465" s="236"/>
    </row>
    <row r="466" spans="1:63" s="80" customFormat="1" ht="12.75">
      <c r="A466" s="169"/>
      <c r="B466" s="307" t="str">
        <f>Servicio_internaColumna_título_total</f>
        <v>Total</v>
      </c>
      <c r="C466" s="310">
        <v>0</v>
      </c>
      <c r="D466" s="311"/>
      <c r="E466" s="311"/>
      <c r="F466" s="311"/>
      <c r="G466" s="311"/>
      <c r="H466" s="311"/>
      <c r="I466" s="311"/>
      <c r="J466" s="311"/>
      <c r="K466" s="311"/>
      <c r="L466" s="311"/>
      <c r="M466" s="311"/>
      <c r="N466" s="311"/>
      <c r="O466" s="311">
        <f>+O464+O465</f>
        <v>1814116.6028398364</v>
      </c>
      <c r="P466" s="311">
        <f>+P464+P465</f>
        <v>7476176.4205230987</v>
      </c>
      <c r="Q466" s="311">
        <f>+Q464+Q465</f>
        <v>8206130.2063255627</v>
      </c>
      <c r="R466" s="311">
        <f t="shared" ref="R466:AT466" si="57">+R464+R465</f>
        <v>5029892.4501876347</v>
      </c>
      <c r="S466" s="312">
        <f t="shared" si="57"/>
        <v>7589462.0837972127</v>
      </c>
      <c r="T466" s="311">
        <f t="shared" si="57"/>
        <v>4372832.3722313419</v>
      </c>
      <c r="U466" s="311">
        <f t="shared" si="57"/>
        <v>8845768.4924920015</v>
      </c>
      <c r="V466" s="311">
        <f t="shared" si="57"/>
        <v>5334483.6657254919</v>
      </c>
      <c r="W466" s="311">
        <f t="shared" si="57"/>
        <v>9711043.9637042731</v>
      </c>
      <c r="X466" s="311">
        <f t="shared" si="57"/>
        <v>4075045.5635723928</v>
      </c>
      <c r="Y466" s="311">
        <f t="shared" si="57"/>
        <v>4858056.3783256169</v>
      </c>
      <c r="Z466" s="311">
        <f t="shared" si="57"/>
        <v>7441873.2434051298</v>
      </c>
      <c r="AA466" s="311">
        <f t="shared" si="57"/>
        <v>3458311.3895218335</v>
      </c>
      <c r="AB466" s="311">
        <f t="shared" si="57"/>
        <v>2196890.4335495122</v>
      </c>
      <c r="AC466" s="311">
        <f t="shared" si="57"/>
        <v>4183372.4338945183</v>
      </c>
      <c r="AD466" s="311">
        <f t="shared" si="57"/>
        <v>1862937.783300472</v>
      </c>
      <c r="AE466" s="311">
        <f t="shared" si="57"/>
        <v>2205664.1596930288</v>
      </c>
      <c r="AF466" s="311">
        <f t="shared" si="57"/>
        <v>2170022.2422356168</v>
      </c>
      <c r="AG466" s="311">
        <f t="shared" si="57"/>
        <v>2485823.2904479816</v>
      </c>
      <c r="AH466" s="311">
        <f t="shared" si="57"/>
        <v>1066706.9377880809</v>
      </c>
      <c r="AI466" s="311">
        <f t="shared" si="57"/>
        <v>1533914.8310501976</v>
      </c>
      <c r="AJ466" s="311">
        <f t="shared" si="57"/>
        <v>790881.81211597472</v>
      </c>
      <c r="AK466" s="311">
        <f t="shared" si="57"/>
        <v>719428.711000724</v>
      </c>
      <c r="AL466" s="311">
        <f t="shared" si="57"/>
        <v>659280.54686701635</v>
      </c>
      <c r="AM466" s="311">
        <f t="shared" si="57"/>
        <v>4016758.1928911656</v>
      </c>
      <c r="AN466" s="311">
        <f t="shared" si="57"/>
        <v>289183.38161724119</v>
      </c>
      <c r="AO466" s="311">
        <f t="shared" si="57"/>
        <v>289183.38161724119</v>
      </c>
      <c r="AP466" s="311">
        <f t="shared" si="57"/>
        <v>289183.38161724119</v>
      </c>
      <c r="AQ466" s="311">
        <f t="shared" si="57"/>
        <v>4855085.0378672406</v>
      </c>
      <c r="AR466" s="311">
        <f t="shared" si="57"/>
        <v>686.69411724121301</v>
      </c>
      <c r="AS466" s="311">
        <f t="shared" si="57"/>
        <v>686.69411724121301</v>
      </c>
      <c r="AT466" s="311">
        <f t="shared" si="57"/>
        <v>0</v>
      </c>
      <c r="AU466" s="311"/>
      <c r="AV466" s="311"/>
      <c r="AW466" s="311"/>
      <c r="AX466" s="311"/>
      <c r="AY466" s="311"/>
      <c r="AZ466" s="311"/>
      <c r="BA466" s="311"/>
      <c r="BB466" s="311"/>
      <c r="BC466" s="311"/>
      <c r="BD466" s="311"/>
      <c r="BE466" s="311"/>
      <c r="BF466" s="311"/>
      <c r="BG466" s="311"/>
      <c r="BH466" s="311"/>
      <c r="BI466" s="311"/>
      <c r="BJ466" s="311"/>
      <c r="BK466" s="311"/>
    </row>
    <row r="467" spans="1:63" s="80" customFormat="1" ht="12.75">
      <c r="A467" s="167"/>
      <c r="B467" s="210" t="str">
        <f>Servicio_internaColumna_título_amortizaciones</f>
        <v>Amortizaciones</v>
      </c>
      <c r="C467" s="269">
        <v>0</v>
      </c>
      <c r="D467" s="235"/>
      <c r="E467" s="235"/>
      <c r="F467" s="235"/>
      <c r="G467" s="235"/>
      <c r="H467" s="235"/>
      <c r="I467" s="235"/>
      <c r="J467" s="235"/>
      <c r="K467" s="235"/>
      <c r="L467" s="235"/>
      <c r="M467" s="235"/>
      <c r="N467" s="235"/>
      <c r="O467" s="235">
        <v>1381957.7046526526</v>
      </c>
      <c r="P467" s="235">
        <v>3914116.0521849748</v>
      </c>
      <c r="Q467" s="235">
        <v>4736022.653843605</v>
      </c>
      <c r="R467" s="235">
        <v>1951095.2863417731</v>
      </c>
      <c r="S467" s="273">
        <v>4723227.5912112491</v>
      </c>
      <c r="T467" s="235">
        <v>1553758.6459921256</v>
      </c>
      <c r="U467" s="235">
        <v>6137017.9357416397</v>
      </c>
      <c r="V467" s="235">
        <v>2805510.9350617854</v>
      </c>
      <c r="W467" s="235">
        <v>7518113.3434018483</v>
      </c>
      <c r="X467" s="235">
        <v>1196639.9362180864</v>
      </c>
      <c r="Y467" s="235">
        <v>4075219.7387907072</v>
      </c>
      <c r="Z467" s="235">
        <v>6057018.2169189434</v>
      </c>
      <c r="AA467" s="235">
        <v>2167637.4270990957</v>
      </c>
      <c r="AB467" s="235">
        <v>979716.54396762769</v>
      </c>
      <c r="AC467" s="235">
        <v>3000624.1145201246</v>
      </c>
      <c r="AD467" s="235">
        <v>911119.22836506425</v>
      </c>
      <c r="AE467" s="235">
        <v>1369578.0322598254</v>
      </c>
      <c r="AF467" s="235">
        <v>1387390.7856946981</v>
      </c>
      <c r="AG467" s="235">
        <v>1804849.0211824786</v>
      </c>
      <c r="AH467" s="235">
        <v>415305.47635527345</v>
      </c>
      <c r="AI467" s="235">
        <v>944747.55846512306</v>
      </c>
      <c r="AJ467" s="235">
        <v>230283.28353131679</v>
      </c>
      <c r="AK467" s="235">
        <v>167898.72470778739</v>
      </c>
      <c r="AL467" s="235">
        <v>114653.67081916756</v>
      </c>
      <c r="AM467" s="235">
        <v>3556265.2680401285</v>
      </c>
      <c r="AN467" s="235">
        <v>702.80029912548912</v>
      </c>
      <c r="AO467" s="235">
        <v>702.80029912548912</v>
      </c>
      <c r="AP467" s="235">
        <v>702.80029912548912</v>
      </c>
      <c r="AQ467" s="235">
        <v>4821327.8002991257</v>
      </c>
      <c r="AR467" s="235">
        <v>702.80029912548912</v>
      </c>
      <c r="AS467" s="235">
        <v>702.80029912548912</v>
      </c>
      <c r="AT467" s="235"/>
      <c r="AU467" s="235"/>
      <c r="AV467" s="235"/>
      <c r="AW467" s="235"/>
      <c r="AX467" s="235"/>
      <c r="AY467" s="235"/>
      <c r="AZ467" s="235"/>
      <c r="BA467" s="235"/>
      <c r="BB467" s="235"/>
      <c r="BC467" s="235"/>
      <c r="BD467" s="235"/>
      <c r="BE467" s="235"/>
      <c r="BF467" s="235"/>
      <c r="BG467" s="235"/>
      <c r="BH467" s="235"/>
      <c r="BI467" s="235"/>
      <c r="BJ467" s="235"/>
      <c r="BK467" s="235"/>
    </row>
    <row r="468" spans="1:63" s="80" customFormat="1" ht="12.75">
      <c r="A468" s="168">
        <v>41608</v>
      </c>
      <c r="B468" s="213" t="str">
        <f>Servicio_internaColumna_título_intereses</f>
        <v>Intereses</v>
      </c>
      <c r="C468" s="270">
        <v>0</v>
      </c>
      <c r="D468" s="271"/>
      <c r="E468" s="271"/>
      <c r="F468" s="271"/>
      <c r="G468" s="271"/>
      <c r="H468" s="271"/>
      <c r="I468" s="271"/>
      <c r="J468" s="271"/>
      <c r="K468" s="271"/>
      <c r="L468" s="271"/>
      <c r="M468" s="271"/>
      <c r="N468" s="271"/>
      <c r="O468" s="271">
        <v>140500.57647434546</v>
      </c>
      <c r="P468" s="271">
        <v>3625525.4172101291</v>
      </c>
      <c r="Q468" s="271">
        <v>3435733.2225942439</v>
      </c>
      <c r="R468" s="271">
        <v>2943593.243089214</v>
      </c>
      <c r="S468" s="274">
        <v>2816269.6431079912</v>
      </c>
      <c r="T468" s="271">
        <v>2669597.1875987966</v>
      </c>
      <c r="U468" s="272">
        <v>2641640.9860938801</v>
      </c>
      <c r="V468" s="272">
        <v>2420548.9428447438</v>
      </c>
      <c r="W468" s="272">
        <v>2208481.2446272951</v>
      </c>
      <c r="X468" s="272">
        <v>1815558.5227967035</v>
      </c>
      <c r="Y468" s="272">
        <v>1774015.0314862714</v>
      </c>
      <c r="Z468" s="272">
        <v>1464701.142236637</v>
      </c>
      <c r="AA468" s="272">
        <v>1287167.9820780065</v>
      </c>
      <c r="AB468" s="272">
        <v>1203456.9526114215</v>
      </c>
      <c r="AC468" s="272">
        <v>1171315.9316436052</v>
      </c>
      <c r="AD468" s="236">
        <v>946702.44411993923</v>
      </c>
      <c r="AE468" s="236">
        <v>842576.64836253889</v>
      </c>
      <c r="AF468" s="236">
        <v>793124.05520165665</v>
      </c>
      <c r="AG468" s="236">
        <v>714263.01458718593</v>
      </c>
      <c r="AH468" s="236">
        <v>668687.03816227464</v>
      </c>
      <c r="AI468" s="236">
        <v>619647.29283018608</v>
      </c>
      <c r="AJ468" s="236">
        <v>575323.04020108876</v>
      </c>
      <c r="AK468" s="236">
        <v>566097.76412387821</v>
      </c>
      <c r="AL468" s="236">
        <v>559112.04157610273</v>
      </c>
      <c r="AM468" s="236">
        <v>554567.86817384383</v>
      </c>
      <c r="AN468" s="236">
        <v>295263.28125</v>
      </c>
      <c r="AO468" s="236">
        <v>295263.28125</v>
      </c>
      <c r="AP468" s="236">
        <v>295263.28125</v>
      </c>
      <c r="AQ468" s="236">
        <v>147631.640625</v>
      </c>
      <c r="AR468" s="236">
        <v>0</v>
      </c>
      <c r="AS468" s="236">
        <v>0</v>
      </c>
      <c r="AT468" s="236"/>
      <c r="AU468" s="236"/>
      <c r="AV468" s="236"/>
      <c r="AW468" s="236"/>
      <c r="AX468" s="236"/>
      <c r="AY468" s="236"/>
      <c r="AZ468" s="236"/>
      <c r="BA468" s="236"/>
      <c r="BB468" s="236"/>
      <c r="BC468" s="236"/>
      <c r="BD468" s="236"/>
      <c r="BE468" s="236"/>
      <c r="BF468" s="236"/>
      <c r="BG468" s="236"/>
      <c r="BH468" s="236"/>
      <c r="BI468" s="236"/>
      <c r="BJ468" s="236"/>
      <c r="BK468" s="236"/>
    </row>
    <row r="469" spans="1:63" s="80" customFormat="1" ht="12.75">
      <c r="A469" s="169"/>
      <c r="B469" s="307" t="str">
        <f>Servicio_internaColumna_título_total</f>
        <v>Total</v>
      </c>
      <c r="C469" s="310">
        <v>0</v>
      </c>
      <c r="D469" s="311"/>
      <c r="E469" s="311"/>
      <c r="F469" s="311"/>
      <c r="G469" s="311"/>
      <c r="H469" s="311"/>
      <c r="I469" s="311"/>
      <c r="J469" s="311"/>
      <c r="K469" s="311"/>
      <c r="L469" s="311"/>
      <c r="M469" s="311"/>
      <c r="N469" s="311"/>
      <c r="O469" s="311">
        <f>+O467+O468</f>
        <v>1522458.2811269981</v>
      </c>
      <c r="P469" s="311">
        <f>+P467+P468</f>
        <v>7539641.4693951039</v>
      </c>
      <c r="Q469" s="311">
        <f>+Q467+Q468</f>
        <v>8171755.8764378484</v>
      </c>
      <c r="R469" s="311">
        <f t="shared" ref="R469:AT469" si="58">+R467+R468</f>
        <v>4894688.5294309873</v>
      </c>
      <c r="S469" s="312">
        <f t="shared" si="58"/>
        <v>7539497.2343192399</v>
      </c>
      <c r="T469" s="311">
        <f t="shared" si="58"/>
        <v>4223355.8335909219</v>
      </c>
      <c r="U469" s="311">
        <f t="shared" si="58"/>
        <v>8778658.9218355194</v>
      </c>
      <c r="V469" s="311">
        <f t="shared" si="58"/>
        <v>5226059.8779065292</v>
      </c>
      <c r="W469" s="311">
        <f t="shared" si="58"/>
        <v>9726594.5880291425</v>
      </c>
      <c r="X469" s="311">
        <f t="shared" si="58"/>
        <v>3012198.4590147901</v>
      </c>
      <c r="Y469" s="311">
        <f t="shared" si="58"/>
        <v>5849234.7702769786</v>
      </c>
      <c r="Z469" s="311">
        <f t="shared" si="58"/>
        <v>7521719.3591555804</v>
      </c>
      <c r="AA469" s="311">
        <f t="shared" si="58"/>
        <v>3454805.4091771021</v>
      </c>
      <c r="AB469" s="311">
        <f t="shared" si="58"/>
        <v>2183173.4965790492</v>
      </c>
      <c r="AC469" s="311">
        <f t="shared" si="58"/>
        <v>4171940.0461637299</v>
      </c>
      <c r="AD469" s="311">
        <f t="shared" si="58"/>
        <v>1857821.6724850035</v>
      </c>
      <c r="AE469" s="311">
        <f t="shared" si="58"/>
        <v>2212154.6806223644</v>
      </c>
      <c r="AF469" s="311">
        <f t="shared" si="58"/>
        <v>2180514.840896355</v>
      </c>
      <c r="AG469" s="311">
        <f t="shared" si="58"/>
        <v>2519112.0357696647</v>
      </c>
      <c r="AH469" s="311">
        <f t="shared" si="58"/>
        <v>1083992.514517548</v>
      </c>
      <c r="AI469" s="311">
        <f t="shared" si="58"/>
        <v>1564394.8512953091</v>
      </c>
      <c r="AJ469" s="311">
        <f t="shared" si="58"/>
        <v>805606.32373240555</v>
      </c>
      <c r="AK469" s="311">
        <f t="shared" si="58"/>
        <v>733996.4888316656</v>
      </c>
      <c r="AL469" s="311">
        <f t="shared" si="58"/>
        <v>673765.71239527024</v>
      </c>
      <c r="AM469" s="311">
        <f t="shared" si="58"/>
        <v>4110833.1362139722</v>
      </c>
      <c r="AN469" s="311">
        <f t="shared" si="58"/>
        <v>295966.08154912549</v>
      </c>
      <c r="AO469" s="311">
        <f t="shared" si="58"/>
        <v>295966.08154912549</v>
      </c>
      <c r="AP469" s="311">
        <f t="shared" si="58"/>
        <v>295966.08154912549</v>
      </c>
      <c r="AQ469" s="311">
        <f t="shared" si="58"/>
        <v>4968959.4409241257</v>
      </c>
      <c r="AR469" s="311">
        <f t="shared" si="58"/>
        <v>702.80029912548912</v>
      </c>
      <c r="AS469" s="311">
        <f t="shared" si="58"/>
        <v>702.80029912548912</v>
      </c>
      <c r="AT469" s="311">
        <f t="shared" si="58"/>
        <v>0</v>
      </c>
      <c r="AU469" s="311"/>
      <c r="AV469" s="311"/>
      <c r="AW469" s="311"/>
      <c r="AX469" s="311"/>
      <c r="AY469" s="311"/>
      <c r="AZ469" s="311"/>
      <c r="BA469" s="311"/>
      <c r="BB469" s="311"/>
      <c r="BC469" s="311"/>
      <c r="BD469" s="311"/>
      <c r="BE469" s="311"/>
      <c r="BF469" s="311"/>
      <c r="BG469" s="311"/>
      <c r="BH469" s="311"/>
      <c r="BI469" s="311"/>
      <c r="BJ469" s="311"/>
      <c r="BK469" s="311"/>
    </row>
    <row r="470" spans="1:63" s="80" customFormat="1" ht="12.75">
      <c r="A470" s="167"/>
      <c r="B470" s="210" t="str">
        <f>Servicio_internaColumna_título_amortizaciones</f>
        <v>Amortizaciones</v>
      </c>
      <c r="C470" s="269">
        <v>0</v>
      </c>
      <c r="D470" s="235"/>
      <c r="E470" s="235"/>
      <c r="F470" s="235"/>
      <c r="G470" s="235"/>
      <c r="H470" s="235"/>
      <c r="I470" s="235"/>
      <c r="J470" s="235"/>
      <c r="K470" s="235"/>
      <c r="L470" s="235"/>
      <c r="M470" s="235"/>
      <c r="N470" s="235"/>
      <c r="O470" s="235"/>
      <c r="P470" s="235">
        <v>4170363.1118312301</v>
      </c>
      <c r="Q470" s="235">
        <v>4983541.1236521173</v>
      </c>
      <c r="R470" s="235">
        <v>2112793.0493188887</v>
      </c>
      <c r="S470" s="273">
        <v>4823931.1848481027</v>
      </c>
      <c r="T470" s="235">
        <v>1624010.6190225342</v>
      </c>
      <c r="U470" s="235">
        <v>6231295.8329729559</v>
      </c>
      <c r="V470" s="235">
        <v>2913534.0010114401</v>
      </c>
      <c r="W470" s="235">
        <v>7626440.1724286843</v>
      </c>
      <c r="X470" s="235">
        <v>1302987.7222837538</v>
      </c>
      <c r="Y470" s="235">
        <v>4173769.2111372105</v>
      </c>
      <c r="Z470" s="235">
        <v>6144574.9160589613</v>
      </c>
      <c r="AA470" s="235">
        <v>2255954.0564947361</v>
      </c>
      <c r="AB470" s="235">
        <v>1067482.7739941573</v>
      </c>
      <c r="AC470" s="235">
        <v>3089091.7613617834</v>
      </c>
      <c r="AD470" s="235">
        <v>997160.63007348496</v>
      </c>
      <c r="AE470" s="235">
        <v>1449376.2268025691</v>
      </c>
      <c r="AF470" s="235">
        <v>1467766.5091955878</v>
      </c>
      <c r="AG470" s="235">
        <v>1882579.3412166021</v>
      </c>
      <c r="AH470" s="235">
        <v>484172.71125911636</v>
      </c>
      <c r="AI470" s="235">
        <v>1013224.902142934</v>
      </c>
      <c r="AJ470" s="235">
        <v>232203.10749486173</v>
      </c>
      <c r="AK470" s="235">
        <v>169864.48984780285</v>
      </c>
      <c r="AL470" s="235">
        <v>115466.44124920899</v>
      </c>
      <c r="AM470" s="235">
        <v>3554537.8808782841</v>
      </c>
      <c r="AN470" s="235">
        <v>1587.5569237157245</v>
      </c>
      <c r="AO470" s="235">
        <v>1587.5569237157245</v>
      </c>
      <c r="AP470" s="235">
        <v>1587.5569237157245</v>
      </c>
      <c r="AQ470" s="235">
        <v>4818662.5569237163</v>
      </c>
      <c r="AR470" s="235">
        <v>1587.5569237157245</v>
      </c>
      <c r="AS470" s="235">
        <v>1587.5569237157245</v>
      </c>
      <c r="AT470" s="235">
        <v>917.35904997381999</v>
      </c>
      <c r="AU470" s="235"/>
      <c r="AV470" s="235"/>
      <c r="AW470" s="235"/>
      <c r="AX470" s="235"/>
      <c r="AY470" s="235"/>
      <c r="AZ470" s="235"/>
      <c r="BA470" s="235"/>
      <c r="BB470" s="235"/>
      <c r="BC470" s="235"/>
      <c r="BD470" s="235"/>
      <c r="BE470" s="235"/>
      <c r="BF470" s="235"/>
      <c r="BG470" s="235"/>
      <c r="BH470" s="235"/>
      <c r="BI470" s="235"/>
      <c r="BJ470" s="235"/>
      <c r="BK470" s="235"/>
    </row>
    <row r="471" spans="1:63" s="80" customFormat="1" ht="12.75">
      <c r="A471" s="168">
        <v>41639</v>
      </c>
      <c r="B471" s="213" t="str">
        <f>Servicio_internaColumna_título_intereses</f>
        <v>Intereses</v>
      </c>
      <c r="C471" s="270">
        <v>0</v>
      </c>
      <c r="D471" s="271"/>
      <c r="E471" s="271"/>
      <c r="F471" s="271"/>
      <c r="G471" s="271"/>
      <c r="H471" s="271"/>
      <c r="I471" s="271"/>
      <c r="J471" s="271"/>
      <c r="K471" s="271"/>
      <c r="L471" s="271"/>
      <c r="M471" s="271"/>
      <c r="N471" s="271"/>
      <c r="O471" s="271"/>
      <c r="P471" s="271">
        <v>3620427.3925649482</v>
      </c>
      <c r="Q471" s="271">
        <v>3430519.561707051</v>
      </c>
      <c r="R471" s="271">
        <v>2949010.0154015375</v>
      </c>
      <c r="S471" s="274">
        <v>2805927.9233969063</v>
      </c>
      <c r="T471" s="271">
        <v>2665250.505638063</v>
      </c>
      <c r="U471" s="272">
        <v>2628666.7934374153</v>
      </c>
      <c r="V471" s="272">
        <v>2420986.9771697372</v>
      </c>
      <c r="W471" s="272">
        <v>2218422.8359271083</v>
      </c>
      <c r="X471" s="272">
        <v>1817162.7148451847</v>
      </c>
      <c r="Y471" s="272">
        <v>1777417.8432206237</v>
      </c>
      <c r="Z471" s="272">
        <v>1473445.8987968834</v>
      </c>
      <c r="AA471" s="272">
        <v>1290158.3284542584</v>
      </c>
      <c r="AB471" s="272">
        <v>1206739.1027840977</v>
      </c>
      <c r="AC471" s="272">
        <v>1174333.6503952802</v>
      </c>
      <c r="AD471" s="236">
        <v>950464.61145059788</v>
      </c>
      <c r="AE471" s="236">
        <v>849709.88594498509</v>
      </c>
      <c r="AF471" s="236">
        <v>794783.26610287256</v>
      </c>
      <c r="AG471" s="236">
        <v>715443.92329203617</v>
      </c>
      <c r="AH471" s="236">
        <v>669364.76135808509</v>
      </c>
      <c r="AI471" s="236">
        <v>619709.40520865936</v>
      </c>
      <c r="AJ471" s="236">
        <v>574912.8674887704</v>
      </c>
      <c r="AK471" s="236">
        <v>565682.44574564404</v>
      </c>
      <c r="AL471" s="236">
        <v>558714.96127803356</v>
      </c>
      <c r="AM471" s="236">
        <v>554179.82428872189</v>
      </c>
      <c r="AN471" s="236">
        <v>295068.37471639423</v>
      </c>
      <c r="AO471" s="236">
        <v>295066.60786652128</v>
      </c>
      <c r="AP471" s="236">
        <v>295064.89184383635</v>
      </c>
      <c r="AQ471" s="236">
        <v>147540.15229177527</v>
      </c>
      <c r="AR471" s="236">
        <v>15.463566902251877</v>
      </c>
      <c r="AS471" s="236">
        <v>13.696717029244541</v>
      </c>
      <c r="AT471" s="236"/>
      <c r="AU471" s="236"/>
      <c r="AV471" s="236"/>
      <c r="AW471" s="236"/>
      <c r="AX471" s="236"/>
      <c r="AY471" s="236"/>
      <c r="AZ471" s="236"/>
      <c r="BA471" s="236"/>
      <c r="BB471" s="236"/>
      <c r="BC471" s="236"/>
      <c r="BD471" s="236"/>
      <c r="BE471" s="236"/>
      <c r="BF471" s="236"/>
      <c r="BG471" s="236"/>
      <c r="BH471" s="236"/>
      <c r="BI471" s="236"/>
      <c r="BJ471" s="236"/>
      <c r="BK471" s="236"/>
    </row>
    <row r="472" spans="1:63" s="80" customFormat="1" ht="12.75">
      <c r="A472" s="169"/>
      <c r="B472" s="307" t="str">
        <f>Servicio_internaColumna_título_total</f>
        <v>Total</v>
      </c>
      <c r="C472" s="310">
        <v>0</v>
      </c>
      <c r="D472" s="311"/>
      <c r="E472" s="311"/>
      <c r="F472" s="311"/>
      <c r="G472" s="311"/>
      <c r="H472" s="311"/>
      <c r="I472" s="311"/>
      <c r="J472" s="311"/>
      <c r="K472" s="311"/>
      <c r="L472" s="311"/>
      <c r="M472" s="311"/>
      <c r="N472" s="311"/>
      <c r="O472" s="311"/>
      <c r="P472" s="311">
        <f>+P470+P471</f>
        <v>7790790.5043961778</v>
      </c>
      <c r="Q472" s="311">
        <f>+Q470+Q471</f>
        <v>8414060.6853591688</v>
      </c>
      <c r="R472" s="311">
        <f t="shared" ref="R472:AT472" si="59">+R470+R471</f>
        <v>5061803.0647204258</v>
      </c>
      <c r="S472" s="312">
        <f t="shared" si="59"/>
        <v>7629859.1082450096</v>
      </c>
      <c r="T472" s="311">
        <f t="shared" si="59"/>
        <v>4289261.1246605972</v>
      </c>
      <c r="U472" s="311">
        <f t="shared" si="59"/>
        <v>8859962.6264103707</v>
      </c>
      <c r="V472" s="311">
        <f t="shared" si="59"/>
        <v>5334520.9781811778</v>
      </c>
      <c r="W472" s="311">
        <f t="shared" si="59"/>
        <v>9844863.0083557926</v>
      </c>
      <c r="X472" s="311">
        <f t="shared" si="59"/>
        <v>3120150.4371289387</v>
      </c>
      <c r="Y472" s="311">
        <f t="shared" si="59"/>
        <v>5951187.0543578342</v>
      </c>
      <c r="Z472" s="311">
        <f t="shared" si="59"/>
        <v>7618020.8148558447</v>
      </c>
      <c r="AA472" s="311">
        <f t="shared" si="59"/>
        <v>3546112.3849489945</v>
      </c>
      <c r="AB472" s="311">
        <f t="shared" si="59"/>
        <v>2274221.8767782552</v>
      </c>
      <c r="AC472" s="311">
        <f t="shared" si="59"/>
        <v>4263425.4117570631</v>
      </c>
      <c r="AD472" s="311">
        <f t="shared" si="59"/>
        <v>1947625.2415240828</v>
      </c>
      <c r="AE472" s="311">
        <f t="shared" si="59"/>
        <v>2299086.1127475542</v>
      </c>
      <c r="AF472" s="311">
        <f t="shared" si="59"/>
        <v>2262549.7752984604</v>
      </c>
      <c r="AG472" s="311">
        <f t="shared" si="59"/>
        <v>2598023.2645086385</v>
      </c>
      <c r="AH472" s="311">
        <f t="shared" si="59"/>
        <v>1153537.4726172015</v>
      </c>
      <c r="AI472" s="311">
        <f t="shared" si="59"/>
        <v>1632934.3073515934</v>
      </c>
      <c r="AJ472" s="311">
        <f t="shared" si="59"/>
        <v>807115.9749836321</v>
      </c>
      <c r="AK472" s="311">
        <f t="shared" si="59"/>
        <v>735546.93559344695</v>
      </c>
      <c r="AL472" s="311">
        <f t="shared" si="59"/>
        <v>674181.40252724255</v>
      </c>
      <c r="AM472" s="311">
        <f t="shared" si="59"/>
        <v>4108717.7051670058</v>
      </c>
      <c r="AN472" s="311">
        <f t="shared" si="59"/>
        <v>296655.93164010998</v>
      </c>
      <c r="AO472" s="311">
        <f t="shared" si="59"/>
        <v>296654.16479023703</v>
      </c>
      <c r="AP472" s="311">
        <f t="shared" si="59"/>
        <v>296652.44876755209</v>
      </c>
      <c r="AQ472" s="311">
        <f t="shared" si="59"/>
        <v>4966202.709215492</v>
      </c>
      <c r="AR472" s="311">
        <f t="shared" si="59"/>
        <v>1603.0204906179763</v>
      </c>
      <c r="AS472" s="311">
        <f t="shared" si="59"/>
        <v>1601.2536407449691</v>
      </c>
      <c r="AT472" s="311">
        <f t="shared" si="59"/>
        <v>917.35904997381999</v>
      </c>
      <c r="AU472" s="311"/>
      <c r="AV472" s="311"/>
      <c r="AW472" s="311"/>
      <c r="AX472" s="311"/>
      <c r="AY472" s="311"/>
      <c r="AZ472" s="311"/>
      <c r="BA472" s="311"/>
      <c r="BB472" s="311"/>
      <c r="BC472" s="311"/>
      <c r="BD472" s="311"/>
      <c r="BE472" s="311"/>
      <c r="BF472" s="311"/>
      <c r="BG472" s="311"/>
      <c r="BH472" s="311"/>
      <c r="BI472" s="311"/>
      <c r="BJ472" s="311"/>
      <c r="BK472" s="311"/>
    </row>
    <row r="473" spans="1:63" s="80" customFormat="1" ht="12.75">
      <c r="A473" s="167"/>
      <c r="B473" s="210" t="str">
        <f>Servicio_internaColumna_título_amortizaciones</f>
        <v>Amortizaciones</v>
      </c>
      <c r="C473" s="269">
        <v>0</v>
      </c>
      <c r="D473" s="235"/>
      <c r="E473" s="235"/>
      <c r="F473" s="235"/>
      <c r="G473" s="235"/>
      <c r="H473" s="235"/>
      <c r="I473" s="235"/>
      <c r="J473" s="235"/>
      <c r="K473" s="235"/>
      <c r="L473" s="235"/>
      <c r="M473" s="235"/>
      <c r="N473" s="235"/>
      <c r="O473" s="235"/>
      <c r="P473" s="235">
        <v>4303107.0498915324</v>
      </c>
      <c r="Q473" s="235">
        <v>5059280.9448614903</v>
      </c>
      <c r="R473" s="235">
        <v>2176247.0940015521</v>
      </c>
      <c r="S473" s="273">
        <v>5014242.4641704997</v>
      </c>
      <c r="T473" s="235">
        <v>1685095.4274927785</v>
      </c>
      <c r="U473" s="235">
        <v>6514222.4303816408</v>
      </c>
      <c r="V473" s="235">
        <v>3030668.7818445819</v>
      </c>
      <c r="W473" s="235">
        <v>7838464.7922950117</v>
      </c>
      <c r="X473" s="235">
        <v>1352137.1203875246</v>
      </c>
      <c r="Y473" s="235">
        <v>4303225.3257134585</v>
      </c>
      <c r="Z473" s="235">
        <v>6402629.1736903228</v>
      </c>
      <c r="AA473" s="235">
        <v>2350361.9805470868</v>
      </c>
      <c r="AB473" s="235">
        <v>1111664.5667666236</v>
      </c>
      <c r="AC473" s="235">
        <v>3137696.133902126</v>
      </c>
      <c r="AD473" s="235">
        <v>1041357.7260387967</v>
      </c>
      <c r="AE473" s="235">
        <v>1510026.6826697469</v>
      </c>
      <c r="AF473" s="235">
        <v>1529653.4085994866</v>
      </c>
      <c r="AG473" s="235">
        <v>1961996.6968161543</v>
      </c>
      <c r="AH473" s="235">
        <v>504620.67778532195</v>
      </c>
      <c r="AI473" s="235">
        <v>1056031.2084830669</v>
      </c>
      <c r="AJ473" s="235">
        <v>242002.55555575204</v>
      </c>
      <c r="AK473" s="235">
        <v>177029.43790869325</v>
      </c>
      <c r="AL473" s="235">
        <v>120332.46667687091</v>
      </c>
      <c r="AM473" s="235">
        <v>3704744.9849009793</v>
      </c>
      <c r="AN473" s="235">
        <v>1654.6488624431531</v>
      </c>
      <c r="AO473" s="235">
        <v>1654.6488624431531</v>
      </c>
      <c r="AP473" s="235">
        <v>1654.6488624431531</v>
      </c>
      <c r="AQ473" s="235">
        <v>5022304.6488624439</v>
      </c>
      <c r="AR473" s="235">
        <v>1654.6488624431531</v>
      </c>
      <c r="AS473" s="235">
        <v>1654.6488624431531</v>
      </c>
      <c r="AT473" s="235">
        <v>4017476.1276737959</v>
      </c>
      <c r="AU473" s="235"/>
      <c r="AV473" s="235"/>
      <c r="AW473" s="235"/>
      <c r="AX473" s="235"/>
      <c r="AY473" s="235"/>
      <c r="AZ473" s="235"/>
      <c r="BA473" s="235"/>
      <c r="BB473" s="235"/>
      <c r="BC473" s="235"/>
      <c r="BD473" s="235"/>
      <c r="BE473" s="235"/>
      <c r="BF473" s="235"/>
      <c r="BG473" s="235"/>
      <c r="BH473" s="235"/>
      <c r="BI473" s="235"/>
      <c r="BJ473" s="235"/>
      <c r="BK473" s="235"/>
    </row>
    <row r="474" spans="1:63" s="80" customFormat="1" ht="12.75">
      <c r="A474" s="168">
        <v>41670</v>
      </c>
      <c r="B474" s="213" t="str">
        <f>Servicio_internaColumna_título_intereses</f>
        <v>Intereses</v>
      </c>
      <c r="C474" s="270">
        <v>0</v>
      </c>
      <c r="D474" s="271"/>
      <c r="E474" s="271"/>
      <c r="F474" s="271"/>
      <c r="G474" s="271"/>
      <c r="H474" s="271"/>
      <c r="I474" s="271"/>
      <c r="J474" s="271"/>
      <c r="K474" s="271"/>
      <c r="L474" s="271"/>
      <c r="M474" s="271"/>
      <c r="N474" s="271"/>
      <c r="O474" s="271"/>
      <c r="P474" s="271">
        <v>3325557.3954717303</v>
      </c>
      <c r="Q474" s="271">
        <v>3549415.3419835288</v>
      </c>
      <c r="R474" s="271">
        <v>3080699.8003441105</v>
      </c>
      <c r="S474" s="274">
        <v>2905053.5393505739</v>
      </c>
      <c r="T474" s="271">
        <v>2774382.9058892708</v>
      </c>
      <c r="U474" s="272">
        <v>2725544.1951067764</v>
      </c>
      <c r="V474" s="272">
        <v>2530954.7159884274</v>
      </c>
      <c r="W474" s="272">
        <v>2335218.6955585624</v>
      </c>
      <c r="X474" s="272">
        <v>1909583.8013627152</v>
      </c>
      <c r="Y474" s="272">
        <v>1868558.9950474561</v>
      </c>
      <c r="Z474" s="272">
        <v>1560700.2343245391</v>
      </c>
      <c r="AA474" s="272">
        <v>1357835.2484388221</v>
      </c>
      <c r="AB474" s="272">
        <v>1269751.7867916848</v>
      </c>
      <c r="AC474" s="272">
        <v>1234269.5025869939</v>
      </c>
      <c r="AD474" s="236">
        <v>1007191.4740680447</v>
      </c>
      <c r="AE474" s="236">
        <v>905251.85971869295</v>
      </c>
      <c r="AF474" s="236">
        <v>837002.10081384832</v>
      </c>
      <c r="AG474" s="236">
        <v>752087.50472022628</v>
      </c>
      <c r="AH474" s="236">
        <v>701946.29558466689</v>
      </c>
      <c r="AI474" s="236">
        <v>647740.71602204733</v>
      </c>
      <c r="AJ474" s="236">
        <v>599165.48147722008</v>
      </c>
      <c r="AK474" s="236">
        <v>589555.03735538921</v>
      </c>
      <c r="AL474" s="236">
        <v>582314.4475332452</v>
      </c>
      <c r="AM474" s="236">
        <v>577595.75910967612</v>
      </c>
      <c r="AN474" s="236">
        <v>307538.29565034067</v>
      </c>
      <c r="AO474" s="236">
        <v>307536.45413140761</v>
      </c>
      <c r="AP474" s="236">
        <v>307534.66558767657</v>
      </c>
      <c r="AQ474" s="236">
        <v>153775.36484354126</v>
      </c>
      <c r="AR474" s="236">
        <v>16.117074608095347</v>
      </c>
      <c r="AS474" s="236">
        <v>14.275555674943115</v>
      </c>
      <c r="AT474" s="236">
        <v>12.466830914573045</v>
      </c>
      <c r="AU474" s="236"/>
      <c r="AV474" s="236"/>
      <c r="AW474" s="236"/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/>
    </row>
    <row r="475" spans="1:63" s="80" customFormat="1" ht="12.75">
      <c r="A475" s="169"/>
      <c r="B475" s="307" t="str">
        <f>Servicio_internaColumna_título_total</f>
        <v>Total</v>
      </c>
      <c r="C475" s="310">
        <v>0</v>
      </c>
      <c r="D475" s="311"/>
      <c r="E475" s="311"/>
      <c r="F475" s="311"/>
      <c r="G475" s="311"/>
      <c r="H475" s="311"/>
      <c r="I475" s="311"/>
      <c r="J475" s="311"/>
      <c r="K475" s="311"/>
      <c r="L475" s="311"/>
      <c r="M475" s="311"/>
      <c r="N475" s="311"/>
      <c r="O475" s="311"/>
      <c r="P475" s="311">
        <f>+P473+P474</f>
        <v>7628664.4453632627</v>
      </c>
      <c r="Q475" s="311">
        <f>+Q473+Q474</f>
        <v>8608696.2868450191</v>
      </c>
      <c r="R475" s="311">
        <f t="shared" ref="R475:AT475" si="60">+R473+R474</f>
        <v>5256946.8943456626</v>
      </c>
      <c r="S475" s="312">
        <f t="shared" si="60"/>
        <v>7919296.0035210736</v>
      </c>
      <c r="T475" s="311">
        <f t="shared" si="60"/>
        <v>4459478.3333820496</v>
      </c>
      <c r="U475" s="311">
        <f t="shared" si="60"/>
        <v>9239766.6254884172</v>
      </c>
      <c r="V475" s="311">
        <f t="shared" si="60"/>
        <v>5561623.4978330098</v>
      </c>
      <c r="W475" s="311">
        <f t="shared" si="60"/>
        <v>10173683.487853574</v>
      </c>
      <c r="X475" s="311">
        <f t="shared" si="60"/>
        <v>3261720.92175024</v>
      </c>
      <c r="Y475" s="311">
        <f t="shared" si="60"/>
        <v>6171784.3207609151</v>
      </c>
      <c r="Z475" s="311">
        <f t="shared" si="60"/>
        <v>7963329.4080148619</v>
      </c>
      <c r="AA475" s="311">
        <f t="shared" si="60"/>
        <v>3708197.2289859089</v>
      </c>
      <c r="AB475" s="311">
        <f t="shared" si="60"/>
        <v>2381416.3535583084</v>
      </c>
      <c r="AC475" s="311">
        <f t="shared" si="60"/>
        <v>4371965.6364891194</v>
      </c>
      <c r="AD475" s="311">
        <f t="shared" si="60"/>
        <v>2048549.2001068415</v>
      </c>
      <c r="AE475" s="311">
        <f t="shared" si="60"/>
        <v>2415278.5423884401</v>
      </c>
      <c r="AF475" s="311">
        <f t="shared" si="60"/>
        <v>2366655.509413335</v>
      </c>
      <c r="AG475" s="311">
        <f t="shared" si="60"/>
        <v>2714084.2015363807</v>
      </c>
      <c r="AH475" s="311">
        <f t="shared" si="60"/>
        <v>1206566.9733699888</v>
      </c>
      <c r="AI475" s="311">
        <f t="shared" si="60"/>
        <v>1703771.9245051141</v>
      </c>
      <c r="AJ475" s="311">
        <f t="shared" si="60"/>
        <v>841168.03703297209</v>
      </c>
      <c r="AK475" s="311">
        <f t="shared" si="60"/>
        <v>766584.47526408243</v>
      </c>
      <c r="AL475" s="311">
        <f t="shared" si="60"/>
        <v>702646.91421011614</v>
      </c>
      <c r="AM475" s="311">
        <f t="shared" si="60"/>
        <v>4282340.7440106552</v>
      </c>
      <c r="AN475" s="311">
        <f t="shared" si="60"/>
        <v>309192.94451278384</v>
      </c>
      <c r="AO475" s="311">
        <f t="shared" si="60"/>
        <v>309191.10299385077</v>
      </c>
      <c r="AP475" s="311">
        <f t="shared" si="60"/>
        <v>309189.31445011974</v>
      </c>
      <c r="AQ475" s="311">
        <f t="shared" si="60"/>
        <v>5176080.0137059847</v>
      </c>
      <c r="AR475" s="311">
        <f t="shared" si="60"/>
        <v>1670.7659370512486</v>
      </c>
      <c r="AS475" s="311">
        <f t="shared" si="60"/>
        <v>1668.9244181180961</v>
      </c>
      <c r="AT475" s="311">
        <f t="shared" si="60"/>
        <v>4017488.5945047103</v>
      </c>
      <c r="AU475" s="311"/>
      <c r="AV475" s="311"/>
      <c r="AW475" s="311"/>
      <c r="AX475" s="311"/>
      <c r="AY475" s="311"/>
      <c r="AZ475" s="311"/>
      <c r="BA475" s="311"/>
      <c r="BB475" s="311"/>
      <c r="BC475" s="311"/>
      <c r="BD475" s="311"/>
      <c r="BE475" s="311"/>
      <c r="BF475" s="311"/>
      <c r="BG475" s="311"/>
      <c r="BH475" s="311"/>
      <c r="BI475" s="311"/>
      <c r="BJ475" s="311"/>
      <c r="BK475" s="311"/>
    </row>
    <row r="476" spans="1:63" s="80" customFormat="1" ht="12.75">
      <c r="A476" s="167"/>
      <c r="B476" s="210" t="str">
        <f>Servicio_internaColumna_título_amortizaciones</f>
        <v>Amortizaciones</v>
      </c>
      <c r="C476" s="269">
        <v>0</v>
      </c>
      <c r="D476" s="235"/>
      <c r="E476" s="235"/>
      <c r="F476" s="235"/>
      <c r="G476" s="235"/>
      <c r="H476" s="235"/>
      <c r="I476" s="235"/>
      <c r="J476" s="235"/>
      <c r="K476" s="235"/>
      <c r="L476" s="235"/>
      <c r="M476" s="235"/>
      <c r="N476" s="235"/>
      <c r="O476" s="235"/>
      <c r="P476" s="235">
        <v>4369275.8887306582</v>
      </c>
      <c r="Q476" s="235">
        <v>5115712.5240259338</v>
      </c>
      <c r="R476" s="235">
        <v>2213900.0526547451</v>
      </c>
      <c r="S476" s="273">
        <v>5120886.9970436422</v>
      </c>
      <c r="T476" s="235">
        <v>1715439.4595366411</v>
      </c>
      <c r="U476" s="235">
        <v>6660470.2687187372</v>
      </c>
      <c r="V476" s="235">
        <v>3097863.270262267</v>
      </c>
      <c r="W476" s="235">
        <v>7971407.336650799</v>
      </c>
      <c r="X476" s="235">
        <v>1380347.7709980486</v>
      </c>
      <c r="Y476" s="235">
        <v>4381308.9424604038</v>
      </c>
      <c r="Z476" s="235">
        <v>6549423.1096986989</v>
      </c>
      <c r="AA476" s="235">
        <v>2403979.766174708</v>
      </c>
      <c r="AB476" s="235">
        <v>1136680.6615030074</v>
      </c>
      <c r="AC476" s="235">
        <v>3174823.4161524381</v>
      </c>
      <c r="AD476" s="235">
        <v>1065603.287878464</v>
      </c>
      <c r="AE476" s="235">
        <v>1545147.9015534462</v>
      </c>
      <c r="AF476" s="235">
        <v>1565293.2872264797</v>
      </c>
      <c r="AG476" s="235">
        <v>2007677.3525150535</v>
      </c>
      <c r="AH476" s="235">
        <v>516277.10823417222</v>
      </c>
      <c r="AI476" s="235">
        <v>1080493.6437080631</v>
      </c>
      <c r="AJ476" s="235">
        <v>247559.92053459992</v>
      </c>
      <c r="AK476" s="235">
        <v>181077.86171107052</v>
      </c>
      <c r="AL476" s="235">
        <v>123090.55568149526</v>
      </c>
      <c r="AM476" s="235">
        <v>3790794.3590204827</v>
      </c>
      <c r="AN476" s="235">
        <v>1693.0765674934698</v>
      </c>
      <c r="AO476" s="235">
        <v>1693.0765674934698</v>
      </c>
      <c r="AP476" s="235">
        <v>1693.0765674934698</v>
      </c>
      <c r="AQ476" s="235">
        <v>5138943.0765674943</v>
      </c>
      <c r="AR476" s="235">
        <v>1693.0765674934698</v>
      </c>
      <c r="AS476" s="235">
        <v>1693.0765674934698</v>
      </c>
      <c r="AT476" s="235">
        <v>4110778.332863715</v>
      </c>
      <c r="AU476" s="235"/>
      <c r="AV476" s="235"/>
      <c r="AW476" s="235"/>
      <c r="AX476" s="235"/>
      <c r="AY476" s="235"/>
      <c r="AZ476" s="235"/>
      <c r="BA476" s="235"/>
      <c r="BB476" s="235"/>
      <c r="BC476" s="235"/>
      <c r="BD476" s="235"/>
      <c r="BE476" s="235"/>
      <c r="BF476" s="235"/>
      <c r="BG476" s="235"/>
      <c r="BH476" s="235"/>
      <c r="BI476" s="235"/>
      <c r="BJ476" s="235"/>
      <c r="BK476" s="235"/>
    </row>
    <row r="477" spans="1:63" s="80" customFormat="1" ht="12.75">
      <c r="A477" s="168">
        <v>41698</v>
      </c>
      <c r="B477" s="213" t="str">
        <f>Servicio_internaColumna_título_intereses</f>
        <v>Intereses</v>
      </c>
      <c r="C477" s="270">
        <v>0</v>
      </c>
      <c r="D477" s="271"/>
      <c r="E477" s="271"/>
      <c r="F477" s="271"/>
      <c r="G477" s="271"/>
      <c r="H477" s="271"/>
      <c r="I477" s="271"/>
      <c r="J477" s="271"/>
      <c r="K477" s="271"/>
      <c r="L477" s="271"/>
      <c r="M477" s="271"/>
      <c r="N477" s="271"/>
      <c r="O477" s="271"/>
      <c r="P477" s="271">
        <v>3073465.2353931265</v>
      </c>
      <c r="Q477" s="271">
        <v>3688159.9943359732</v>
      </c>
      <c r="R477" s="271">
        <v>3254376.8808574388</v>
      </c>
      <c r="S477" s="274">
        <v>3060017.6827970627</v>
      </c>
      <c r="T477" s="271">
        <v>2953236.7771807294</v>
      </c>
      <c r="U477" s="272">
        <v>2898113.0818667049</v>
      </c>
      <c r="V477" s="272">
        <v>2728776.1151901344</v>
      </c>
      <c r="W477" s="272">
        <v>2562953.4395519476</v>
      </c>
      <c r="X477" s="272">
        <v>2133243.2191786538</v>
      </c>
      <c r="Y477" s="272">
        <v>2102578.8075201032</v>
      </c>
      <c r="Z477" s="272">
        <v>1808910.4300050831</v>
      </c>
      <c r="AA477" s="272">
        <v>1601027.8104403489</v>
      </c>
      <c r="AB477" s="272">
        <v>1514837.7476248778</v>
      </c>
      <c r="AC477" s="272">
        <v>1481337.4484987068</v>
      </c>
      <c r="AD477" s="236">
        <v>1255804.3699234265</v>
      </c>
      <c r="AE477" s="236">
        <v>1161016.7693338024</v>
      </c>
      <c r="AF477" s="236">
        <v>1085666.8010116837</v>
      </c>
      <c r="AG477" s="236">
        <v>999746.46022810717</v>
      </c>
      <c r="AH477" s="236">
        <v>949362.05121779372</v>
      </c>
      <c r="AI477" s="236">
        <v>893896.60228007403</v>
      </c>
      <c r="AJ477" s="236">
        <v>844221.74425878271</v>
      </c>
      <c r="AK477" s="236">
        <v>834398.49968342879</v>
      </c>
      <c r="AL477" s="236">
        <v>827005.52461204981</v>
      </c>
      <c r="AM477" s="236">
        <v>822184.58795243117</v>
      </c>
      <c r="AN477" s="236">
        <v>545856.84102500929</v>
      </c>
      <c r="AO477" s="236">
        <v>545854.95673848479</v>
      </c>
      <c r="AP477" s="236">
        <v>545853.12665746303</v>
      </c>
      <c r="AQ477" s="236">
        <v>388522.90691543568</v>
      </c>
      <c r="AR477" s="236">
        <v>231192.74137891116</v>
      </c>
      <c r="AS477" s="236">
        <v>231190.85709238669</v>
      </c>
      <c r="AT477" s="236">
        <v>115600.88136164958</v>
      </c>
      <c r="AU477" s="236"/>
      <c r="AV477" s="236"/>
      <c r="AW477" s="236"/>
      <c r="AX477" s="236"/>
      <c r="AY477" s="236"/>
      <c r="AZ477" s="236"/>
      <c r="BA477" s="236"/>
      <c r="BB477" s="236"/>
      <c r="BC477" s="236"/>
      <c r="BD477" s="236"/>
      <c r="BE477" s="236"/>
      <c r="BF477" s="236"/>
      <c r="BG477" s="236"/>
      <c r="BH477" s="236"/>
      <c r="BI477" s="236"/>
      <c r="BJ477" s="236"/>
      <c r="BK477" s="236"/>
    </row>
    <row r="478" spans="1:63" s="80" customFormat="1" ht="12.75">
      <c r="A478" s="169"/>
      <c r="B478" s="307" t="str">
        <f>Servicio_internaColumna_título_total</f>
        <v>Total</v>
      </c>
      <c r="C478" s="310">
        <v>0</v>
      </c>
      <c r="D478" s="311"/>
      <c r="E478" s="311"/>
      <c r="F478" s="311"/>
      <c r="G478" s="311"/>
      <c r="H478" s="311"/>
      <c r="I478" s="311"/>
      <c r="J478" s="311"/>
      <c r="K478" s="311"/>
      <c r="L478" s="311"/>
      <c r="M478" s="311"/>
      <c r="N478" s="311"/>
      <c r="O478" s="311"/>
      <c r="P478" s="311">
        <f>+P476+P477</f>
        <v>7442741.1241237847</v>
      </c>
      <c r="Q478" s="311">
        <f>+Q476+Q477</f>
        <v>8803872.5183619075</v>
      </c>
      <c r="R478" s="311">
        <f t="shared" ref="R478:AT478" si="61">+R476+R477</f>
        <v>5468276.9335121838</v>
      </c>
      <c r="S478" s="312">
        <f t="shared" si="61"/>
        <v>8180904.6798407044</v>
      </c>
      <c r="T478" s="311">
        <f t="shared" si="61"/>
        <v>4668676.2367173703</v>
      </c>
      <c r="U478" s="311">
        <f t="shared" si="61"/>
        <v>9558583.350585442</v>
      </c>
      <c r="V478" s="311">
        <f t="shared" si="61"/>
        <v>5826639.3854524009</v>
      </c>
      <c r="W478" s="311">
        <f t="shared" si="61"/>
        <v>10534360.776202746</v>
      </c>
      <c r="X478" s="311">
        <f t="shared" si="61"/>
        <v>3513590.9901767024</v>
      </c>
      <c r="Y478" s="311">
        <f t="shared" si="61"/>
        <v>6483887.7499805074</v>
      </c>
      <c r="Z478" s="311">
        <f t="shared" si="61"/>
        <v>8358333.5397037817</v>
      </c>
      <c r="AA478" s="311">
        <f t="shared" si="61"/>
        <v>4005007.576615057</v>
      </c>
      <c r="AB478" s="311">
        <f t="shared" si="61"/>
        <v>2651518.4091278855</v>
      </c>
      <c r="AC478" s="311">
        <f t="shared" si="61"/>
        <v>4656160.8646511454</v>
      </c>
      <c r="AD478" s="311">
        <f t="shared" si="61"/>
        <v>2321407.6578018907</v>
      </c>
      <c r="AE478" s="311">
        <f t="shared" si="61"/>
        <v>2706164.6708872486</v>
      </c>
      <c r="AF478" s="311">
        <f t="shared" si="61"/>
        <v>2650960.0882381634</v>
      </c>
      <c r="AG478" s="311">
        <f t="shared" si="61"/>
        <v>3007423.8127431609</v>
      </c>
      <c r="AH478" s="311">
        <f t="shared" si="61"/>
        <v>1465639.1594519659</v>
      </c>
      <c r="AI478" s="311">
        <f t="shared" si="61"/>
        <v>1974390.2459881371</v>
      </c>
      <c r="AJ478" s="311">
        <f t="shared" si="61"/>
        <v>1091781.6647933826</v>
      </c>
      <c r="AK478" s="311">
        <f t="shared" si="61"/>
        <v>1015476.3613944993</v>
      </c>
      <c r="AL478" s="311">
        <f t="shared" si="61"/>
        <v>950096.08029354503</v>
      </c>
      <c r="AM478" s="311">
        <f t="shared" si="61"/>
        <v>4612978.946972914</v>
      </c>
      <c r="AN478" s="311">
        <f t="shared" si="61"/>
        <v>547549.91759250278</v>
      </c>
      <c r="AO478" s="311">
        <f t="shared" si="61"/>
        <v>547548.03330597829</v>
      </c>
      <c r="AP478" s="311">
        <f t="shared" si="61"/>
        <v>547546.20322495652</v>
      </c>
      <c r="AQ478" s="311">
        <f t="shared" si="61"/>
        <v>5527465.9834829299</v>
      </c>
      <c r="AR478" s="311">
        <f t="shared" si="61"/>
        <v>232885.81794640463</v>
      </c>
      <c r="AS478" s="311">
        <f t="shared" si="61"/>
        <v>232883.93365988016</v>
      </c>
      <c r="AT478" s="311">
        <f t="shared" si="61"/>
        <v>4226379.2142253648</v>
      </c>
      <c r="AU478" s="311"/>
      <c r="AV478" s="311"/>
      <c r="AW478" s="311"/>
      <c r="AX478" s="311"/>
      <c r="AY478" s="311"/>
      <c r="AZ478" s="311"/>
      <c r="BA478" s="311"/>
      <c r="BB478" s="311"/>
      <c r="BC478" s="311"/>
      <c r="BD478" s="311"/>
      <c r="BE478" s="311"/>
      <c r="BF478" s="311"/>
      <c r="BG478" s="311"/>
      <c r="BH478" s="311"/>
      <c r="BI478" s="311"/>
      <c r="BJ478" s="311"/>
      <c r="BK478" s="311"/>
    </row>
    <row r="479" spans="1:63" s="80" customFormat="1" ht="12.75">
      <c r="A479" s="167"/>
      <c r="B479" s="210" t="str">
        <f>Servicio_internaColumna_título_amortizaciones</f>
        <v>Amortizaciones</v>
      </c>
      <c r="C479" s="269">
        <v>0</v>
      </c>
      <c r="D479" s="235"/>
      <c r="E479" s="235"/>
      <c r="F479" s="235"/>
      <c r="G479" s="235"/>
      <c r="H479" s="235"/>
      <c r="I479" s="235"/>
      <c r="J479" s="235"/>
      <c r="K479" s="235"/>
      <c r="L479" s="235"/>
      <c r="M479" s="235"/>
      <c r="N479" s="235"/>
      <c r="O479" s="235"/>
      <c r="P479" s="235">
        <v>4181924.8117518746</v>
      </c>
      <c r="Q479" s="235">
        <v>4983187.1630679872</v>
      </c>
      <c r="R479" s="235">
        <v>2107478.5275799367</v>
      </c>
      <c r="S479" s="273">
        <v>4882484.7693315446</v>
      </c>
      <c r="T479" s="235">
        <v>1640834.2506697474</v>
      </c>
      <c r="U479" s="235">
        <v>6362647.9717170876</v>
      </c>
      <c r="V479" s="235">
        <v>2965403.123414285</v>
      </c>
      <c r="W479" s="235">
        <v>7723312.3054527398</v>
      </c>
      <c r="X479" s="235">
        <v>1322912.5656365938</v>
      </c>
      <c r="Y479" s="235">
        <v>4232412.2649349207</v>
      </c>
      <c r="Z479" s="235">
        <v>6263798.0804133601</v>
      </c>
      <c r="AA479" s="235">
        <v>2301088.3638969115</v>
      </c>
      <c r="AB479" s="235">
        <v>1089035.0881202861</v>
      </c>
      <c r="AC479" s="235">
        <v>3110884.2354712435</v>
      </c>
      <c r="AD479" s="235">
        <v>1018675.3095416924</v>
      </c>
      <c r="AE479" s="235">
        <v>1479070.350775427</v>
      </c>
      <c r="AF479" s="235">
        <v>1498153.8053866872</v>
      </c>
      <c r="AG479" s="235">
        <v>1920739.4256590214</v>
      </c>
      <c r="AH479" s="235">
        <v>492880.34242329164</v>
      </c>
      <c r="AI479" s="235">
        <v>1032500.782102861</v>
      </c>
      <c r="AJ479" s="235">
        <v>236737.28681599704</v>
      </c>
      <c r="AK479" s="235">
        <v>173153.40446305586</v>
      </c>
      <c r="AL479" s="235">
        <v>118121.24362286364</v>
      </c>
      <c r="AM479" s="235">
        <v>3625891.9983074283</v>
      </c>
      <c r="AN479" s="235">
        <v>1619.2696674418539</v>
      </c>
      <c r="AO479" s="235">
        <v>1619.2696674418539</v>
      </c>
      <c r="AP479" s="235">
        <v>1619.2696674418539</v>
      </c>
      <c r="AQ479" s="235">
        <v>4914919.269667442</v>
      </c>
      <c r="AR479" s="235">
        <v>1619.2696674418539</v>
      </c>
      <c r="AS479" s="235">
        <v>1619.2696674418539</v>
      </c>
      <c r="AT479" s="235">
        <v>3931575.6840448272</v>
      </c>
      <c r="AU479" s="235"/>
      <c r="AV479" s="235"/>
      <c r="AW479" s="235"/>
      <c r="AX479" s="235"/>
      <c r="AY479" s="235"/>
      <c r="AZ479" s="235"/>
      <c r="BA479" s="235"/>
      <c r="BB479" s="235"/>
      <c r="BC479" s="235"/>
      <c r="BD479" s="235"/>
      <c r="BE479" s="235"/>
      <c r="BF479" s="235"/>
      <c r="BG479" s="235"/>
      <c r="BH479" s="235"/>
      <c r="BI479" s="235"/>
      <c r="BJ479" s="235"/>
      <c r="BK479" s="235"/>
    </row>
    <row r="480" spans="1:63" s="80" customFormat="1" ht="12.75">
      <c r="A480" s="168">
        <v>41729</v>
      </c>
      <c r="B480" s="213" t="str">
        <f>Servicio_internaColumna_título_intereses</f>
        <v>Intereses</v>
      </c>
      <c r="C480" s="270">
        <v>0</v>
      </c>
      <c r="D480" s="271"/>
      <c r="E480" s="271"/>
      <c r="F480" s="271"/>
      <c r="G480" s="271"/>
      <c r="H480" s="271"/>
      <c r="I480" s="271"/>
      <c r="J480" s="271"/>
      <c r="K480" s="271"/>
      <c r="L480" s="271"/>
      <c r="M480" s="271"/>
      <c r="N480" s="271"/>
      <c r="O480" s="271"/>
      <c r="P480" s="271">
        <v>2736194.2484831172</v>
      </c>
      <c r="Q480" s="271">
        <v>3702435.7761360146</v>
      </c>
      <c r="R480" s="271">
        <v>3275256.7689481094</v>
      </c>
      <c r="S480" s="274">
        <v>3052924.13770273</v>
      </c>
      <c r="T480" s="271">
        <v>2943644.6355740391</v>
      </c>
      <c r="U480" s="272">
        <v>2858191.3912406587</v>
      </c>
      <c r="V480" s="272">
        <v>2694096.8966156766</v>
      </c>
      <c r="W480" s="272">
        <v>2534907.5741921971</v>
      </c>
      <c r="X480" s="272">
        <v>2090129.6908924992</v>
      </c>
      <c r="Y480" s="272">
        <v>2049699.4119741761</v>
      </c>
      <c r="Z480" s="272">
        <v>1767215.9107203567</v>
      </c>
      <c r="AA480" s="272">
        <v>1552784.3524906293</v>
      </c>
      <c r="AB480" s="272">
        <v>1465838.9189939005</v>
      </c>
      <c r="AC480" s="272">
        <v>1430707.3317175028</v>
      </c>
      <c r="AD480" s="236">
        <v>1204618.9442921465</v>
      </c>
      <c r="AE480" s="236">
        <v>1118966.1173971766</v>
      </c>
      <c r="AF480" s="236">
        <v>1039879.608932574</v>
      </c>
      <c r="AG480" s="236">
        <v>956796.84768188559</v>
      </c>
      <c r="AH480" s="236">
        <v>908002.98958036443</v>
      </c>
      <c r="AI480" s="236">
        <v>854965.88448058104</v>
      </c>
      <c r="AJ480" s="236">
        <v>807452.52526823827</v>
      </c>
      <c r="AK480" s="236">
        <v>798055.16253202839</v>
      </c>
      <c r="AL480" s="236">
        <v>790976.1728223291</v>
      </c>
      <c r="AM480" s="236">
        <v>786360.31058660662</v>
      </c>
      <c r="AN480" s="236">
        <v>522061.10604081518</v>
      </c>
      <c r="AO480" s="236">
        <v>522059.30389667564</v>
      </c>
      <c r="AP480" s="236">
        <v>522057.55359503877</v>
      </c>
      <c r="AQ480" s="236">
        <v>371585.88710839656</v>
      </c>
      <c r="AR480" s="236">
        <v>221114.272464257</v>
      </c>
      <c r="AS480" s="236">
        <v>221112.47032011746</v>
      </c>
      <c r="AT480" s="236">
        <v>110561.45026895574</v>
      </c>
      <c r="AU480" s="236"/>
      <c r="AV480" s="236"/>
      <c r="AW480" s="236"/>
      <c r="AX480" s="236"/>
      <c r="AY480" s="236"/>
      <c r="AZ480" s="236"/>
      <c r="BA480" s="236"/>
      <c r="BB480" s="236"/>
      <c r="BC480" s="236"/>
      <c r="BD480" s="236"/>
      <c r="BE480" s="236"/>
      <c r="BF480" s="236"/>
      <c r="BG480" s="236"/>
      <c r="BH480" s="236"/>
      <c r="BI480" s="236"/>
      <c r="BJ480" s="236"/>
      <c r="BK480" s="236"/>
    </row>
    <row r="481" spans="1:63" s="80" customFormat="1" ht="12.75">
      <c r="A481" s="169"/>
      <c r="B481" s="307" t="str">
        <f>Servicio_internaColumna_título_total</f>
        <v>Total</v>
      </c>
      <c r="C481" s="310">
        <v>0</v>
      </c>
      <c r="D481" s="311"/>
      <c r="E481" s="311"/>
      <c r="F481" s="311"/>
      <c r="G481" s="311"/>
      <c r="H481" s="311"/>
      <c r="I481" s="311"/>
      <c r="J481" s="311"/>
      <c r="K481" s="311"/>
      <c r="L481" s="311"/>
      <c r="M481" s="311"/>
      <c r="N481" s="311"/>
      <c r="O481" s="311"/>
      <c r="P481" s="311">
        <f>+P479+P480</f>
        <v>6918119.0602349918</v>
      </c>
      <c r="Q481" s="311">
        <f>+Q479+Q480</f>
        <v>8685622.9392040018</v>
      </c>
      <c r="R481" s="311">
        <f t="shared" ref="R481:AT481" si="62">+R479+R480</f>
        <v>5382735.296528046</v>
      </c>
      <c r="S481" s="312">
        <f t="shared" si="62"/>
        <v>7935408.9070342742</v>
      </c>
      <c r="T481" s="311">
        <f t="shared" si="62"/>
        <v>4584478.8862437867</v>
      </c>
      <c r="U481" s="311">
        <f t="shared" si="62"/>
        <v>9220839.3629577458</v>
      </c>
      <c r="V481" s="311">
        <f t="shared" si="62"/>
        <v>5659500.0200299621</v>
      </c>
      <c r="W481" s="311">
        <f t="shared" si="62"/>
        <v>10258219.879644938</v>
      </c>
      <c r="X481" s="311">
        <f t="shared" si="62"/>
        <v>3413042.2565290928</v>
      </c>
      <c r="Y481" s="311">
        <f t="shared" si="62"/>
        <v>6282111.6769090965</v>
      </c>
      <c r="Z481" s="311">
        <f t="shared" si="62"/>
        <v>8031013.9911337169</v>
      </c>
      <c r="AA481" s="311">
        <f t="shared" si="62"/>
        <v>3853872.716387541</v>
      </c>
      <c r="AB481" s="311">
        <f t="shared" si="62"/>
        <v>2554874.0071141869</v>
      </c>
      <c r="AC481" s="311">
        <f t="shared" si="62"/>
        <v>4541591.5671887463</v>
      </c>
      <c r="AD481" s="311">
        <f t="shared" si="62"/>
        <v>2223294.2538338387</v>
      </c>
      <c r="AE481" s="311">
        <f t="shared" si="62"/>
        <v>2598036.4681726033</v>
      </c>
      <c r="AF481" s="311">
        <f t="shared" si="62"/>
        <v>2538033.414319261</v>
      </c>
      <c r="AG481" s="311">
        <f t="shared" si="62"/>
        <v>2877536.2733409069</v>
      </c>
      <c r="AH481" s="311">
        <f t="shared" si="62"/>
        <v>1400883.3320036561</v>
      </c>
      <c r="AI481" s="311">
        <f t="shared" si="62"/>
        <v>1887466.6665834421</v>
      </c>
      <c r="AJ481" s="311">
        <f t="shared" si="62"/>
        <v>1044189.8120842353</v>
      </c>
      <c r="AK481" s="311">
        <f t="shared" si="62"/>
        <v>971208.56699508429</v>
      </c>
      <c r="AL481" s="311">
        <f t="shared" si="62"/>
        <v>909097.41644519276</v>
      </c>
      <c r="AM481" s="311">
        <f t="shared" si="62"/>
        <v>4412252.3088940345</v>
      </c>
      <c r="AN481" s="311">
        <f t="shared" si="62"/>
        <v>523680.37570825702</v>
      </c>
      <c r="AO481" s="311">
        <f t="shared" si="62"/>
        <v>523678.57356411748</v>
      </c>
      <c r="AP481" s="311">
        <f t="shared" si="62"/>
        <v>523676.82326248061</v>
      </c>
      <c r="AQ481" s="311">
        <f t="shared" si="62"/>
        <v>5286505.1567758387</v>
      </c>
      <c r="AR481" s="311">
        <f t="shared" si="62"/>
        <v>222733.54213169884</v>
      </c>
      <c r="AS481" s="311">
        <f t="shared" si="62"/>
        <v>222731.7399875593</v>
      </c>
      <c r="AT481" s="311">
        <f t="shared" si="62"/>
        <v>4042137.1343137831</v>
      </c>
      <c r="AU481" s="311"/>
      <c r="AV481" s="311"/>
      <c r="AW481" s="311"/>
      <c r="AX481" s="311"/>
      <c r="AY481" s="311"/>
      <c r="AZ481" s="311"/>
      <c r="BA481" s="311"/>
      <c r="BB481" s="311"/>
      <c r="BC481" s="311"/>
      <c r="BD481" s="311"/>
      <c r="BE481" s="311"/>
      <c r="BF481" s="311"/>
      <c r="BG481" s="311"/>
      <c r="BH481" s="311"/>
      <c r="BI481" s="311"/>
      <c r="BJ481" s="311"/>
      <c r="BK481" s="311"/>
    </row>
    <row r="482" spans="1:63" s="80" customFormat="1" ht="12.75">
      <c r="A482" s="167"/>
      <c r="B482" s="210" t="str">
        <f>Servicio_internaColumna_título_amortizaciones</f>
        <v>Amortizaciones</v>
      </c>
      <c r="C482" s="269">
        <v>0</v>
      </c>
      <c r="D482" s="235"/>
      <c r="E482" s="235"/>
      <c r="F482" s="235"/>
      <c r="G482" s="235"/>
      <c r="H482" s="235"/>
      <c r="I482" s="235"/>
      <c r="J482" s="235"/>
      <c r="K482" s="235"/>
      <c r="L482" s="235"/>
      <c r="M482" s="235"/>
      <c r="N482" s="235"/>
      <c r="O482" s="235"/>
      <c r="P482" s="235">
        <v>4125747.3440255611</v>
      </c>
      <c r="Q482" s="235">
        <v>4949078.4756408641</v>
      </c>
      <c r="R482" s="235">
        <v>2077911.102176694</v>
      </c>
      <c r="S482" s="273">
        <v>4807529.8675247617</v>
      </c>
      <c r="T482" s="235">
        <v>1615219.2644191533</v>
      </c>
      <c r="U482" s="235">
        <v>6271162.2943516802</v>
      </c>
      <c r="V482" s="235">
        <v>2919171.6356827444</v>
      </c>
      <c r="W482" s="235">
        <v>7641918.5348336641</v>
      </c>
      <c r="X482" s="235">
        <v>1301911.6463074693</v>
      </c>
      <c r="Y482" s="235">
        <v>4182057.4115128727</v>
      </c>
      <c r="Z482" s="235">
        <v>6165790.946785355</v>
      </c>
      <c r="AA482" s="235">
        <v>2263933.7017465611</v>
      </c>
      <c r="AB482" s="235">
        <v>1070493.0528515324</v>
      </c>
      <c r="AC482" s="235">
        <v>3091950.1590332338</v>
      </c>
      <c r="AD482" s="235">
        <v>1001207.3782450532</v>
      </c>
      <c r="AE482" s="235">
        <v>1455604.7851879052</v>
      </c>
      <c r="AF482" s="235">
        <v>1474395.1889676633</v>
      </c>
      <c r="AG482" s="235">
        <v>1890569.5183452151</v>
      </c>
      <c r="AH482" s="235">
        <v>484637.03593380627</v>
      </c>
      <c r="AI482" s="235">
        <v>1015970.9142037684</v>
      </c>
      <c r="AJ482" s="235">
        <v>233113.86503856609</v>
      </c>
      <c r="AK482" s="235">
        <v>170506.39445033079</v>
      </c>
      <c r="AL482" s="235">
        <v>116319.32276312997</v>
      </c>
      <c r="AM482" s="235">
        <v>3570223.4416517643</v>
      </c>
      <c r="AN482" s="235">
        <v>1602.8803533141306</v>
      </c>
      <c r="AO482" s="235">
        <v>1602.8803533141306</v>
      </c>
      <c r="AP482" s="235">
        <v>1602.8803533141306</v>
      </c>
      <c r="AQ482" s="235">
        <v>4839452.8803533148</v>
      </c>
      <c r="AR482" s="235">
        <v>1602.8803533141306</v>
      </c>
      <c r="AS482" s="235">
        <v>1602.8803533141306</v>
      </c>
      <c r="AT482" s="235">
        <v>3871209.7920614602</v>
      </c>
      <c r="AU482" s="235"/>
      <c r="AV482" s="235"/>
      <c r="AW482" s="235"/>
      <c r="AX482" s="235"/>
      <c r="AY482" s="235"/>
      <c r="AZ482" s="235"/>
      <c r="BA482" s="235"/>
      <c r="BB482" s="235"/>
      <c r="BC482" s="235"/>
      <c r="BD482" s="235"/>
      <c r="BE482" s="235"/>
      <c r="BF482" s="235"/>
      <c r="BG482" s="235"/>
      <c r="BH482" s="235"/>
      <c r="BI482" s="235"/>
      <c r="BJ482" s="235"/>
      <c r="BK482" s="235"/>
    </row>
    <row r="483" spans="1:63" s="80" customFormat="1" ht="12.75">
      <c r="A483" s="168">
        <v>41759</v>
      </c>
      <c r="B483" s="213" t="str">
        <f>Servicio_internaColumna_título_intereses</f>
        <v>Intereses</v>
      </c>
      <c r="C483" s="270">
        <v>0</v>
      </c>
      <c r="D483" s="271"/>
      <c r="E483" s="271"/>
      <c r="F483" s="271"/>
      <c r="G483" s="271"/>
      <c r="H483" s="271"/>
      <c r="I483" s="271"/>
      <c r="J483" s="271"/>
      <c r="K483" s="271"/>
      <c r="L483" s="271"/>
      <c r="M483" s="271"/>
      <c r="N483" s="271"/>
      <c r="O483" s="271"/>
      <c r="P483" s="271">
        <v>2459651.3359683584</v>
      </c>
      <c r="Q483" s="271">
        <v>3657347.5055556167</v>
      </c>
      <c r="R483" s="271">
        <v>3237154.2123461962</v>
      </c>
      <c r="S483" s="274">
        <v>3092569.7117214394</v>
      </c>
      <c r="T483" s="271">
        <v>2952120.9836534429</v>
      </c>
      <c r="U483" s="272">
        <v>2778571.5855446332</v>
      </c>
      <c r="V483" s="272">
        <v>2498248.2824519738</v>
      </c>
      <c r="W483" s="272">
        <v>2369252.236766764</v>
      </c>
      <c r="X483" s="272">
        <v>1968763.9905941382</v>
      </c>
      <c r="Y483" s="272">
        <v>1918968.2444439884</v>
      </c>
      <c r="Z483" s="272">
        <v>1655591.3282613771</v>
      </c>
      <c r="AA483" s="272">
        <v>1454524.1042876292</v>
      </c>
      <c r="AB483" s="272">
        <v>1379894.0885720546</v>
      </c>
      <c r="AC483" s="272">
        <v>1346239.2581221964</v>
      </c>
      <c r="AD483" s="236">
        <v>1121451.1211925475</v>
      </c>
      <c r="AE483" s="236">
        <v>1055659.5511312918</v>
      </c>
      <c r="AF483" s="236">
        <v>988511.41742099018</v>
      </c>
      <c r="AG483" s="236">
        <v>923112.28871945501</v>
      </c>
      <c r="AH483" s="236">
        <v>884135.46690052887</v>
      </c>
      <c r="AI483" s="236">
        <v>834692.32617448922</v>
      </c>
      <c r="AJ483" s="236">
        <v>790192.56693829061</v>
      </c>
      <c r="AK483" s="236">
        <v>782708.23183241137</v>
      </c>
      <c r="AL483" s="236">
        <v>777451.53280960862</v>
      </c>
      <c r="AM483" s="236">
        <v>774083.12099118507</v>
      </c>
      <c r="AN483" s="236">
        <v>514044.19063756702</v>
      </c>
      <c r="AO483" s="236">
        <v>514042.41616765363</v>
      </c>
      <c r="AP483" s="236">
        <v>514040.69274413498</v>
      </c>
      <c r="AQ483" s="236">
        <v>365879.71097782679</v>
      </c>
      <c r="AR483" s="236">
        <v>217718.78025791337</v>
      </c>
      <c r="AS483" s="236">
        <v>217717.00578799998</v>
      </c>
      <c r="AT483" s="236">
        <v>108863.63791823572</v>
      </c>
      <c r="AU483" s="236"/>
      <c r="AV483" s="236"/>
      <c r="AW483" s="236"/>
      <c r="AX483" s="236"/>
      <c r="AY483" s="236"/>
      <c r="AZ483" s="236"/>
      <c r="BA483" s="236"/>
      <c r="BB483" s="236"/>
      <c r="BC483" s="236"/>
      <c r="BD483" s="236"/>
      <c r="BE483" s="236"/>
      <c r="BF483" s="236"/>
      <c r="BG483" s="236"/>
      <c r="BH483" s="236"/>
      <c r="BI483" s="236"/>
      <c r="BJ483" s="236"/>
      <c r="BK483" s="236"/>
    </row>
    <row r="484" spans="1:63" s="80" customFormat="1" ht="12.75">
      <c r="A484" s="169"/>
      <c r="B484" s="307" t="str">
        <f>Servicio_internaColumna_título_total</f>
        <v>Total</v>
      </c>
      <c r="C484" s="310">
        <v>0</v>
      </c>
      <c r="D484" s="311"/>
      <c r="E484" s="311"/>
      <c r="F484" s="311"/>
      <c r="G484" s="311"/>
      <c r="H484" s="311"/>
      <c r="I484" s="311"/>
      <c r="J484" s="311"/>
      <c r="K484" s="311"/>
      <c r="L484" s="311"/>
      <c r="M484" s="311"/>
      <c r="N484" s="311"/>
      <c r="O484" s="311"/>
      <c r="P484" s="311">
        <f>+P482+P483</f>
        <v>6585398.67999392</v>
      </c>
      <c r="Q484" s="311">
        <f>+Q482+Q483</f>
        <v>8606425.9811964817</v>
      </c>
      <c r="R484" s="311">
        <f t="shared" ref="R484:AT484" si="63">+R482+R483</f>
        <v>5315065.3145228904</v>
      </c>
      <c r="S484" s="312">
        <f t="shared" si="63"/>
        <v>7900099.5792462006</v>
      </c>
      <c r="T484" s="311">
        <f t="shared" si="63"/>
        <v>4567340.2480725963</v>
      </c>
      <c r="U484" s="311">
        <f t="shared" si="63"/>
        <v>9049733.879896313</v>
      </c>
      <c r="V484" s="311">
        <f t="shared" si="63"/>
        <v>5417419.9181347182</v>
      </c>
      <c r="W484" s="311">
        <f t="shared" si="63"/>
        <v>10011170.771600429</v>
      </c>
      <c r="X484" s="311">
        <f t="shared" si="63"/>
        <v>3270675.6369016077</v>
      </c>
      <c r="Y484" s="311">
        <f t="shared" si="63"/>
        <v>6101025.6559568606</v>
      </c>
      <c r="Z484" s="311">
        <f t="shared" si="63"/>
        <v>7821382.2750467323</v>
      </c>
      <c r="AA484" s="311">
        <f t="shared" si="63"/>
        <v>3718457.8060341906</v>
      </c>
      <c r="AB484" s="311">
        <f t="shared" si="63"/>
        <v>2450387.1414235868</v>
      </c>
      <c r="AC484" s="311">
        <f t="shared" si="63"/>
        <v>4438189.4171554297</v>
      </c>
      <c r="AD484" s="311">
        <f t="shared" si="63"/>
        <v>2122658.4994376008</v>
      </c>
      <c r="AE484" s="311">
        <f t="shared" si="63"/>
        <v>2511264.336319197</v>
      </c>
      <c r="AF484" s="311">
        <f t="shared" si="63"/>
        <v>2462906.6063886536</v>
      </c>
      <c r="AG484" s="311">
        <f t="shared" si="63"/>
        <v>2813681.8070646701</v>
      </c>
      <c r="AH484" s="311">
        <f t="shared" si="63"/>
        <v>1368772.5028343352</v>
      </c>
      <c r="AI484" s="311">
        <f t="shared" si="63"/>
        <v>1850663.2403782576</v>
      </c>
      <c r="AJ484" s="311">
        <f t="shared" si="63"/>
        <v>1023306.4319768567</v>
      </c>
      <c r="AK484" s="311">
        <f t="shared" si="63"/>
        <v>953214.62628274213</v>
      </c>
      <c r="AL484" s="311">
        <f t="shared" si="63"/>
        <v>893770.85557273857</v>
      </c>
      <c r="AM484" s="311">
        <f t="shared" si="63"/>
        <v>4344306.5626429496</v>
      </c>
      <c r="AN484" s="311">
        <f t="shared" si="63"/>
        <v>515647.07099088113</v>
      </c>
      <c r="AO484" s="311">
        <f t="shared" si="63"/>
        <v>515645.29652096773</v>
      </c>
      <c r="AP484" s="311">
        <f t="shared" si="63"/>
        <v>515643.57309744909</v>
      </c>
      <c r="AQ484" s="311">
        <f t="shared" si="63"/>
        <v>5205332.591331142</v>
      </c>
      <c r="AR484" s="311">
        <f t="shared" si="63"/>
        <v>219321.6606112275</v>
      </c>
      <c r="AS484" s="311">
        <f t="shared" si="63"/>
        <v>219319.88614131411</v>
      </c>
      <c r="AT484" s="311">
        <f t="shared" si="63"/>
        <v>3980073.4299796959</v>
      </c>
      <c r="AU484" s="311"/>
      <c r="AV484" s="311"/>
      <c r="AW484" s="311"/>
      <c r="AX484" s="311"/>
      <c r="AY484" s="311"/>
      <c r="AZ484" s="311"/>
      <c r="BA484" s="311"/>
      <c r="BB484" s="311"/>
      <c r="BC484" s="311"/>
      <c r="BD484" s="311"/>
      <c r="BE484" s="311"/>
      <c r="BF484" s="311"/>
      <c r="BG484" s="311"/>
      <c r="BH484" s="311"/>
      <c r="BI484" s="311"/>
      <c r="BJ484" s="311"/>
      <c r="BK484" s="311"/>
    </row>
    <row r="485" spans="1:63" s="80" customFormat="1" ht="12.75">
      <c r="A485" s="167"/>
      <c r="B485" s="210" t="str">
        <f>Servicio_internaColumna_título_amortizaciones</f>
        <v>Amortizaciones</v>
      </c>
      <c r="C485" s="269">
        <v>0</v>
      </c>
      <c r="D485" s="235"/>
      <c r="E485" s="235"/>
      <c r="F485" s="235"/>
      <c r="G485" s="235"/>
      <c r="H485" s="235"/>
      <c r="I485" s="235"/>
      <c r="J485" s="235"/>
      <c r="K485" s="235"/>
      <c r="L485" s="235"/>
      <c r="M485" s="235"/>
      <c r="N485" s="235"/>
      <c r="O485" s="235"/>
      <c r="P485" s="235">
        <v>3606784.3574169762</v>
      </c>
      <c r="Q485" s="235">
        <v>4800360.6192373391</v>
      </c>
      <c r="R485" s="235">
        <v>1995317.1675713367</v>
      </c>
      <c r="S485" s="273">
        <v>4720022.2492311494</v>
      </c>
      <c r="T485" s="235">
        <v>1579073.7421627631</v>
      </c>
      <c r="U485" s="235">
        <v>6168287.6148237679</v>
      </c>
      <c r="V485" s="235">
        <v>2863923.1400907915</v>
      </c>
      <c r="W485" s="235">
        <v>7561071.1443326045</v>
      </c>
      <c r="X485" s="235">
        <v>1272549.5565464133</v>
      </c>
      <c r="Y485" s="235">
        <v>4128946.8517566049</v>
      </c>
      <c r="Z485" s="235">
        <v>6063592.7257358301</v>
      </c>
      <c r="AA485" s="235">
        <v>2222477.5943656247</v>
      </c>
      <c r="AB485" s="235">
        <v>1047085.7945834741</v>
      </c>
      <c r="AC485" s="235">
        <v>3071722.2358911959</v>
      </c>
      <c r="AD485" s="235">
        <v>977899.85308821464</v>
      </c>
      <c r="AE485" s="235">
        <v>1425771.7373205253</v>
      </c>
      <c r="AF485" s="235">
        <v>1443012.9494113885</v>
      </c>
      <c r="AG485" s="235">
        <v>1852711.1360623471</v>
      </c>
      <c r="AH485" s="235">
        <v>477376.53160833183</v>
      </c>
      <c r="AI485" s="235">
        <v>1000698.4197546246</v>
      </c>
      <c r="AJ485" s="235">
        <v>229646.08171866389</v>
      </c>
      <c r="AK485" s="235">
        <v>167982.66995395801</v>
      </c>
      <c r="AL485" s="235">
        <v>114556.31640782712</v>
      </c>
      <c r="AM485" s="235">
        <v>3516379.7180250525</v>
      </c>
      <c r="AN485" s="235">
        <v>1578.7105006369566</v>
      </c>
      <c r="AO485" s="235">
        <v>1578.7105006369566</v>
      </c>
      <c r="AP485" s="235">
        <v>1578.7105006369566</v>
      </c>
      <c r="AQ485" s="235">
        <v>4766478.7105006371</v>
      </c>
      <c r="AR485" s="235">
        <v>1578.7105006369566</v>
      </c>
      <c r="AS485" s="235">
        <v>1578.7105006369566</v>
      </c>
      <c r="AT485" s="235">
        <v>3812835.7717154627</v>
      </c>
      <c r="AU485" s="235"/>
      <c r="AV485" s="235"/>
      <c r="AW485" s="235"/>
      <c r="AX485" s="235"/>
      <c r="AY485" s="235"/>
      <c r="AZ485" s="235"/>
      <c r="BA485" s="235"/>
      <c r="BB485" s="235"/>
      <c r="BC485" s="235"/>
      <c r="BD485" s="235"/>
      <c r="BE485" s="235"/>
      <c r="BF485" s="235"/>
      <c r="BG485" s="235"/>
      <c r="BH485" s="235"/>
      <c r="BI485" s="235"/>
      <c r="BJ485" s="235"/>
      <c r="BK485" s="235"/>
    </row>
    <row r="486" spans="1:63" s="80" customFormat="1" ht="12.75">
      <c r="A486" s="168">
        <v>41790</v>
      </c>
      <c r="B486" s="213" t="str">
        <f>Servicio_internaColumna_título_intereses</f>
        <v>Intereses</v>
      </c>
      <c r="C486" s="270">
        <v>0</v>
      </c>
      <c r="D486" s="271"/>
      <c r="E486" s="271"/>
      <c r="F486" s="271"/>
      <c r="G486" s="271"/>
      <c r="H486" s="271"/>
      <c r="I486" s="271"/>
      <c r="J486" s="271"/>
      <c r="K486" s="271"/>
      <c r="L486" s="271"/>
      <c r="M486" s="271"/>
      <c r="N486" s="271"/>
      <c r="O486" s="271"/>
      <c r="P486" s="271">
        <v>2174444.1401480488</v>
      </c>
      <c r="Q486" s="271">
        <v>3598364.3527292451</v>
      </c>
      <c r="R486" s="271">
        <v>3165738.3101249058</v>
      </c>
      <c r="S486" s="274">
        <v>3019332.1572431941</v>
      </c>
      <c r="T486" s="271">
        <v>2874053.1020734892</v>
      </c>
      <c r="U486" s="272">
        <v>2704297.3785445578</v>
      </c>
      <c r="V486" s="272">
        <v>2437714.9789438508</v>
      </c>
      <c r="W486" s="272">
        <v>2314797.930279051</v>
      </c>
      <c r="X486" s="272">
        <v>1920635.0685846626</v>
      </c>
      <c r="Y486" s="272">
        <v>1873170.2429101607</v>
      </c>
      <c r="Z486" s="272">
        <v>1620763.3997869138</v>
      </c>
      <c r="AA486" s="272">
        <v>1422073.3455581598</v>
      </c>
      <c r="AB486" s="272">
        <v>1351562.8302307769</v>
      </c>
      <c r="AC486" s="272">
        <v>1319636.4819119163</v>
      </c>
      <c r="AD486" s="236">
        <v>1096470.7912931833</v>
      </c>
      <c r="AE486" s="236">
        <v>1036469.0180481413</v>
      </c>
      <c r="AF486" s="236">
        <v>967358.42355908477</v>
      </c>
      <c r="AG486" s="236">
        <v>904874.38940597477</v>
      </c>
      <c r="AH486" s="236">
        <v>867559.47348599834</v>
      </c>
      <c r="AI486" s="236">
        <v>819258.20101848245</v>
      </c>
      <c r="AJ486" s="236">
        <v>775761.37227600976</v>
      </c>
      <c r="AK486" s="236">
        <v>768550.16535491729</v>
      </c>
      <c r="AL486" s="236">
        <v>763510.49302314001</v>
      </c>
      <c r="AM486" s="236">
        <v>760270.84246639477</v>
      </c>
      <c r="AN486" s="236">
        <v>504879.72471934085</v>
      </c>
      <c r="AO486" s="236">
        <v>504877.98188497435</v>
      </c>
      <c r="AP486" s="236">
        <v>504876.28918693878</v>
      </c>
      <c r="AQ486" s="236">
        <v>359356.74621624104</v>
      </c>
      <c r="AR486" s="236">
        <v>213837.25338187441</v>
      </c>
      <c r="AS486" s="236">
        <v>213835.51054750782</v>
      </c>
      <c r="AT486" s="236">
        <v>106922.79874991759</v>
      </c>
      <c r="AU486" s="236"/>
      <c r="AV486" s="236"/>
      <c r="AW486" s="236"/>
      <c r="AX486" s="236"/>
      <c r="AY486" s="236"/>
      <c r="AZ486" s="236"/>
      <c r="BA486" s="236"/>
      <c r="BB486" s="236"/>
      <c r="BC486" s="236"/>
      <c r="BD486" s="236"/>
      <c r="BE486" s="236"/>
      <c r="BF486" s="236"/>
      <c r="BG486" s="236"/>
      <c r="BH486" s="236"/>
      <c r="BI486" s="236"/>
      <c r="BJ486" s="236"/>
      <c r="BK486" s="236"/>
    </row>
    <row r="487" spans="1:63" s="80" customFormat="1" ht="12.75">
      <c r="A487" s="169"/>
      <c r="B487" s="307" t="str">
        <f>Servicio_internaColumna_título_total</f>
        <v>Total</v>
      </c>
      <c r="C487" s="310">
        <v>0</v>
      </c>
      <c r="D487" s="311"/>
      <c r="E487" s="311"/>
      <c r="F487" s="311"/>
      <c r="G487" s="311"/>
      <c r="H487" s="311"/>
      <c r="I487" s="311"/>
      <c r="J487" s="311"/>
      <c r="K487" s="311"/>
      <c r="L487" s="311"/>
      <c r="M487" s="311"/>
      <c r="N487" s="311"/>
      <c r="O487" s="311"/>
      <c r="P487" s="311">
        <f>+P485+P486</f>
        <v>5781228.4975650255</v>
      </c>
      <c r="Q487" s="311">
        <f>+Q485+Q486</f>
        <v>8398724.9719665833</v>
      </c>
      <c r="R487" s="311">
        <f t="shared" ref="R487:AT487" si="64">+R485+R486</f>
        <v>5161055.4776962427</v>
      </c>
      <c r="S487" s="312">
        <f t="shared" si="64"/>
        <v>7739354.4064743435</v>
      </c>
      <c r="T487" s="311">
        <f t="shared" si="64"/>
        <v>4453126.8442362528</v>
      </c>
      <c r="U487" s="311">
        <f t="shared" si="64"/>
        <v>8872584.9933683258</v>
      </c>
      <c r="V487" s="311">
        <f t="shared" si="64"/>
        <v>5301638.1190346424</v>
      </c>
      <c r="W487" s="311">
        <f t="shared" si="64"/>
        <v>9875869.0746116564</v>
      </c>
      <c r="X487" s="311">
        <f t="shared" si="64"/>
        <v>3193184.6251310762</v>
      </c>
      <c r="Y487" s="311">
        <f t="shared" si="64"/>
        <v>6002117.094666766</v>
      </c>
      <c r="Z487" s="311">
        <f t="shared" si="64"/>
        <v>7684356.1255227439</v>
      </c>
      <c r="AA487" s="311">
        <f t="shared" si="64"/>
        <v>3644550.9399237847</v>
      </c>
      <c r="AB487" s="311">
        <f t="shared" si="64"/>
        <v>2398648.624814251</v>
      </c>
      <c r="AC487" s="311">
        <f t="shared" si="64"/>
        <v>4391358.7178031122</v>
      </c>
      <c r="AD487" s="311">
        <f t="shared" si="64"/>
        <v>2074370.6443813979</v>
      </c>
      <c r="AE487" s="311">
        <f t="shared" si="64"/>
        <v>2462240.7553686667</v>
      </c>
      <c r="AF487" s="311">
        <f t="shared" si="64"/>
        <v>2410371.372970473</v>
      </c>
      <c r="AG487" s="311">
        <f t="shared" si="64"/>
        <v>2757585.525468322</v>
      </c>
      <c r="AH487" s="311">
        <f t="shared" si="64"/>
        <v>1344936.0050943303</v>
      </c>
      <c r="AI487" s="311">
        <f t="shared" si="64"/>
        <v>1819956.620773107</v>
      </c>
      <c r="AJ487" s="311">
        <f t="shared" si="64"/>
        <v>1005407.4539946737</v>
      </c>
      <c r="AK487" s="311">
        <f t="shared" si="64"/>
        <v>936532.83530887531</v>
      </c>
      <c r="AL487" s="311">
        <f t="shared" si="64"/>
        <v>878066.80943096709</v>
      </c>
      <c r="AM487" s="311">
        <f t="shared" si="64"/>
        <v>4276650.5604914473</v>
      </c>
      <c r="AN487" s="311">
        <f t="shared" si="64"/>
        <v>506458.43521997781</v>
      </c>
      <c r="AO487" s="311">
        <f t="shared" si="64"/>
        <v>506456.6923856113</v>
      </c>
      <c r="AP487" s="311">
        <f t="shared" si="64"/>
        <v>506454.99968757574</v>
      </c>
      <c r="AQ487" s="311">
        <f t="shared" si="64"/>
        <v>5125835.4567168783</v>
      </c>
      <c r="AR487" s="311">
        <f t="shared" si="64"/>
        <v>215415.96388251137</v>
      </c>
      <c r="AS487" s="311">
        <f t="shared" si="64"/>
        <v>215414.22104814477</v>
      </c>
      <c r="AT487" s="311">
        <f t="shared" si="64"/>
        <v>3919758.5704653803</v>
      </c>
      <c r="AU487" s="311"/>
      <c r="AV487" s="311"/>
      <c r="AW487" s="311"/>
      <c r="AX487" s="311"/>
      <c r="AY487" s="311"/>
      <c r="AZ487" s="311"/>
      <c r="BA487" s="311"/>
      <c r="BB487" s="311"/>
      <c r="BC487" s="311"/>
      <c r="BD487" s="311"/>
      <c r="BE487" s="311"/>
      <c r="BF487" s="311"/>
      <c r="BG487" s="311"/>
      <c r="BH487" s="311"/>
      <c r="BI487" s="311"/>
      <c r="BJ487" s="311"/>
      <c r="BK487" s="311"/>
    </row>
    <row r="488" spans="1:63" s="80" customFormat="1" ht="12.75">
      <c r="A488" s="167"/>
      <c r="B488" s="210" t="str">
        <f>Servicio_internaColumna_título_amortizaciones</f>
        <v>Amortizaciones</v>
      </c>
      <c r="C488" s="269">
        <v>0</v>
      </c>
      <c r="D488" s="235"/>
      <c r="E488" s="235"/>
      <c r="F488" s="235"/>
      <c r="G488" s="235"/>
      <c r="H488" s="235"/>
      <c r="I488" s="235"/>
      <c r="J488" s="235"/>
      <c r="K488" s="235"/>
      <c r="L488" s="235"/>
      <c r="M488" s="235"/>
      <c r="N488" s="235"/>
      <c r="O488" s="235"/>
      <c r="P488" s="235">
        <v>3536283.2119439729</v>
      </c>
      <c r="Q488" s="235">
        <v>4746111.9752387134</v>
      </c>
      <c r="R488" s="235">
        <v>1947894.7570465701</v>
      </c>
      <c r="S488" s="273">
        <v>4641589.3807570934</v>
      </c>
      <c r="T488" s="235">
        <v>1544516.9173071967</v>
      </c>
      <c r="U488" s="235">
        <v>6097851.1857424928</v>
      </c>
      <c r="V488" s="235">
        <v>2828375.1112850839</v>
      </c>
      <c r="W488" s="235">
        <v>7503832.7401012573</v>
      </c>
      <c r="X488" s="235">
        <v>1255882.0577520984</v>
      </c>
      <c r="Y488" s="235">
        <v>4092723.2720003566</v>
      </c>
      <c r="Z488" s="235">
        <v>5995846.9693434369</v>
      </c>
      <c r="AA488" s="235">
        <v>2195065.286536627</v>
      </c>
      <c r="AB488" s="235">
        <v>1034347.4873451543</v>
      </c>
      <c r="AC488" s="235">
        <v>3055033.3722705208</v>
      </c>
      <c r="AD488" s="235">
        <v>966792.32586505206</v>
      </c>
      <c r="AE488" s="235">
        <v>1409489.3948920064</v>
      </c>
      <c r="AF488" s="235">
        <v>1427483.5000059493</v>
      </c>
      <c r="AG488" s="235">
        <v>1833292.0122934082</v>
      </c>
      <c r="AH488" s="235">
        <v>472353.26365948218</v>
      </c>
      <c r="AI488" s="235">
        <v>990197.4546513129</v>
      </c>
      <c r="AJ488" s="235">
        <v>227248.97149149163</v>
      </c>
      <c r="AK488" s="235">
        <v>166231.00090325635</v>
      </c>
      <c r="AL488" s="235">
        <v>113363.86987661445</v>
      </c>
      <c r="AM488" s="235">
        <v>3479579.3869093033</v>
      </c>
      <c r="AN488" s="235">
        <v>1566.6723343395388</v>
      </c>
      <c r="AO488" s="235">
        <v>1566.6723343395388</v>
      </c>
      <c r="AP488" s="235">
        <v>1566.6723343395388</v>
      </c>
      <c r="AQ488" s="235">
        <v>4716591.6723343395</v>
      </c>
      <c r="AR488" s="235">
        <v>1566.6723343395388</v>
      </c>
      <c r="AS488" s="235">
        <v>1566.6723343395388</v>
      </c>
      <c r="AT488" s="235">
        <v>3772930.6726395786</v>
      </c>
      <c r="AU488" s="235"/>
      <c r="AV488" s="235"/>
      <c r="AW488" s="235"/>
      <c r="AX488" s="235"/>
      <c r="AY488" s="235"/>
      <c r="AZ488" s="235"/>
      <c r="BA488" s="235"/>
      <c r="BB488" s="235"/>
      <c r="BC488" s="235"/>
      <c r="BD488" s="235"/>
      <c r="BE488" s="235"/>
      <c r="BF488" s="235"/>
      <c r="BG488" s="235"/>
      <c r="BH488" s="235"/>
      <c r="BI488" s="235"/>
      <c r="BJ488" s="235"/>
      <c r="BK488" s="235"/>
    </row>
    <row r="489" spans="1:63" s="80" customFormat="1" ht="12.75">
      <c r="A489" s="168">
        <v>41820</v>
      </c>
      <c r="B489" s="213" t="str">
        <f>Servicio_internaColumna_título_intereses</f>
        <v>Intereses</v>
      </c>
      <c r="C489" s="270">
        <v>0</v>
      </c>
      <c r="D489" s="271"/>
      <c r="E489" s="271"/>
      <c r="F489" s="271"/>
      <c r="G489" s="271"/>
      <c r="H489" s="271"/>
      <c r="I489" s="271"/>
      <c r="J489" s="271"/>
      <c r="K489" s="271"/>
      <c r="L489" s="271"/>
      <c r="M489" s="271"/>
      <c r="N489" s="271"/>
      <c r="O489" s="271"/>
      <c r="P489" s="271">
        <v>1835549.3321707484</v>
      </c>
      <c r="Q489" s="271">
        <v>3579988.3162135328</v>
      </c>
      <c r="R489" s="271">
        <v>3141451.1677410007</v>
      </c>
      <c r="S489" s="274">
        <v>2996660.9611111637</v>
      </c>
      <c r="T489" s="271">
        <v>2853189.5305840522</v>
      </c>
      <c r="U489" s="272">
        <v>2683095.4527232046</v>
      </c>
      <c r="V489" s="272">
        <v>2418975.9688852686</v>
      </c>
      <c r="W489" s="272">
        <v>2299321.4948372124</v>
      </c>
      <c r="X489" s="272">
        <v>1905446.21703128</v>
      </c>
      <c r="Y489" s="272">
        <v>1858345.807804232</v>
      </c>
      <c r="Z489" s="272">
        <v>1612624.6404775805</v>
      </c>
      <c r="AA489" s="272">
        <v>1411504.2154966104</v>
      </c>
      <c r="AB489" s="272">
        <v>1341866.2768316455</v>
      </c>
      <c r="AC489" s="272">
        <v>1310176.6947465683</v>
      </c>
      <c r="AD489" s="236">
        <v>1087357.6647806372</v>
      </c>
      <c r="AE489" s="236">
        <v>1032246.7442173639</v>
      </c>
      <c r="AF489" s="236">
        <v>959960.70708689291</v>
      </c>
      <c r="AG489" s="236">
        <v>897934.79327529017</v>
      </c>
      <c r="AH489" s="236">
        <v>860917.53343463084</v>
      </c>
      <c r="AI489" s="236">
        <v>812954.33108265128</v>
      </c>
      <c r="AJ489" s="236">
        <v>769775.29193780036</v>
      </c>
      <c r="AK489" s="236">
        <v>762622.85646371788</v>
      </c>
      <c r="AL489" s="236">
        <v>757630.66090791847</v>
      </c>
      <c r="AM489" s="236">
        <v>754417.69635558559</v>
      </c>
      <c r="AN489" s="236">
        <v>500993.45989662647</v>
      </c>
      <c r="AO489" s="236">
        <v>500991.73047756567</v>
      </c>
      <c r="AP489" s="236">
        <v>500990.05080891616</v>
      </c>
      <c r="AQ489" s="236">
        <v>356590.63101444393</v>
      </c>
      <c r="AR489" s="236">
        <v>212191.2609703831</v>
      </c>
      <c r="AS489" s="236">
        <v>212189.53155132229</v>
      </c>
      <c r="AT489" s="236">
        <v>106099.77043013515</v>
      </c>
      <c r="AU489" s="236"/>
      <c r="AV489" s="236"/>
      <c r="AW489" s="236"/>
      <c r="AX489" s="236"/>
      <c r="AY489" s="236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</row>
    <row r="490" spans="1:63" s="80" customFormat="1" ht="12.75">
      <c r="A490" s="169"/>
      <c r="B490" s="307" t="str">
        <f>Servicio_internaColumna_título_total</f>
        <v>Total</v>
      </c>
      <c r="C490" s="310">
        <v>0</v>
      </c>
      <c r="D490" s="311"/>
      <c r="E490" s="311"/>
      <c r="F490" s="311"/>
      <c r="G490" s="311"/>
      <c r="H490" s="311"/>
      <c r="I490" s="311"/>
      <c r="J490" s="311"/>
      <c r="K490" s="311"/>
      <c r="L490" s="311"/>
      <c r="M490" s="311"/>
      <c r="N490" s="311"/>
      <c r="O490" s="311"/>
      <c r="P490" s="311">
        <f>+P488+P489</f>
        <v>5371832.544114721</v>
      </c>
      <c r="Q490" s="311">
        <f>+Q488+Q489</f>
        <v>8326100.2914522458</v>
      </c>
      <c r="R490" s="311">
        <f t="shared" ref="R490:AT490" si="65">+R488+R489</f>
        <v>5089345.9247875707</v>
      </c>
      <c r="S490" s="312">
        <f t="shared" si="65"/>
        <v>7638250.3418682572</v>
      </c>
      <c r="T490" s="311">
        <f t="shared" si="65"/>
        <v>4397706.4478912484</v>
      </c>
      <c r="U490" s="311">
        <f t="shared" si="65"/>
        <v>8780946.6384656969</v>
      </c>
      <c r="V490" s="311">
        <f t="shared" si="65"/>
        <v>5247351.080170352</v>
      </c>
      <c r="W490" s="311">
        <f t="shared" si="65"/>
        <v>9803154.2349384688</v>
      </c>
      <c r="X490" s="311">
        <f t="shared" si="65"/>
        <v>3161328.2747833785</v>
      </c>
      <c r="Y490" s="311">
        <f t="shared" si="65"/>
        <v>5951069.0798045881</v>
      </c>
      <c r="Z490" s="311">
        <f t="shared" si="65"/>
        <v>7608471.6098210178</v>
      </c>
      <c r="AA490" s="311">
        <f t="shared" si="65"/>
        <v>3606569.5020332374</v>
      </c>
      <c r="AB490" s="311">
        <f t="shared" si="65"/>
        <v>2376213.7641767999</v>
      </c>
      <c r="AC490" s="311">
        <f t="shared" si="65"/>
        <v>4365210.0670170896</v>
      </c>
      <c r="AD490" s="311">
        <f t="shared" si="65"/>
        <v>2054149.9906456894</v>
      </c>
      <c r="AE490" s="311">
        <f t="shared" si="65"/>
        <v>2441736.1391093703</v>
      </c>
      <c r="AF490" s="311">
        <f t="shared" si="65"/>
        <v>2387444.2070928421</v>
      </c>
      <c r="AG490" s="311">
        <f t="shared" si="65"/>
        <v>2731226.8055686983</v>
      </c>
      <c r="AH490" s="311">
        <f t="shared" si="65"/>
        <v>1333270.797094113</v>
      </c>
      <c r="AI490" s="311">
        <f t="shared" si="65"/>
        <v>1803151.7857339643</v>
      </c>
      <c r="AJ490" s="311">
        <f t="shared" si="65"/>
        <v>997024.26342929201</v>
      </c>
      <c r="AK490" s="311">
        <f t="shared" si="65"/>
        <v>928853.85736697423</v>
      </c>
      <c r="AL490" s="311">
        <f t="shared" si="65"/>
        <v>870994.53078453289</v>
      </c>
      <c r="AM490" s="311">
        <f t="shared" si="65"/>
        <v>4233997.0832648892</v>
      </c>
      <c r="AN490" s="311">
        <f t="shared" si="65"/>
        <v>502560.132230966</v>
      </c>
      <c r="AO490" s="311">
        <f t="shared" si="65"/>
        <v>502558.40281190519</v>
      </c>
      <c r="AP490" s="311">
        <f t="shared" si="65"/>
        <v>502556.72314325569</v>
      </c>
      <c r="AQ490" s="311">
        <f t="shared" si="65"/>
        <v>5073182.3033487834</v>
      </c>
      <c r="AR490" s="311">
        <f t="shared" si="65"/>
        <v>213757.93330472262</v>
      </c>
      <c r="AS490" s="311">
        <f t="shared" si="65"/>
        <v>213756.20388566182</v>
      </c>
      <c r="AT490" s="311">
        <f t="shared" si="65"/>
        <v>3879030.4430697137</v>
      </c>
      <c r="AU490" s="311"/>
      <c r="AV490" s="311"/>
      <c r="AW490" s="311"/>
      <c r="AX490" s="311"/>
      <c r="AY490" s="311"/>
      <c r="AZ490" s="311"/>
      <c r="BA490" s="311"/>
      <c r="BB490" s="311"/>
      <c r="BC490" s="311"/>
      <c r="BD490" s="311"/>
      <c r="BE490" s="311"/>
      <c r="BF490" s="311"/>
      <c r="BG490" s="311"/>
      <c r="BH490" s="311"/>
      <c r="BI490" s="311"/>
      <c r="BJ490" s="311"/>
      <c r="BK490" s="311"/>
    </row>
    <row r="491" spans="1:63" s="80" customFormat="1" ht="12.75">
      <c r="A491" s="167"/>
      <c r="B491" s="210" t="str">
        <f>Servicio_internaColumna_título_amortizaciones</f>
        <v>Amortizaciones</v>
      </c>
      <c r="C491" s="269">
        <v>0</v>
      </c>
      <c r="D491" s="235"/>
      <c r="E491" s="235"/>
      <c r="F491" s="235"/>
      <c r="G491" s="235"/>
      <c r="H491" s="235"/>
      <c r="I491" s="235"/>
      <c r="J491" s="235"/>
      <c r="K491" s="235"/>
      <c r="L491" s="235"/>
      <c r="M491" s="235"/>
      <c r="N491" s="235"/>
      <c r="O491" s="235"/>
      <c r="P491" s="235">
        <v>3502309.6690862454</v>
      </c>
      <c r="Q491" s="235">
        <v>4716328.8318178337</v>
      </c>
      <c r="R491" s="235">
        <v>1926238.3830206869</v>
      </c>
      <c r="S491" s="273">
        <v>4601205.2575168246</v>
      </c>
      <c r="T491" s="235">
        <v>1530162.7592976883</v>
      </c>
      <c r="U491" s="235">
        <v>6038881.2835227977</v>
      </c>
      <c r="V491" s="235">
        <v>2804743.441343206</v>
      </c>
      <c r="W491" s="235">
        <v>7458027.7587135937</v>
      </c>
      <c r="X491" s="235">
        <v>1243645.7494051617</v>
      </c>
      <c r="Y491" s="235">
        <v>4066366.1643604045</v>
      </c>
      <c r="Z491" s="235">
        <v>5950873.7375642918</v>
      </c>
      <c r="AA491" s="235">
        <v>2178571.6625908148</v>
      </c>
      <c r="AB491" s="235">
        <v>1026211.479590677</v>
      </c>
      <c r="AC491" s="235">
        <v>3041332.1297581061</v>
      </c>
      <c r="AD491" s="235">
        <v>959984.97739832092</v>
      </c>
      <c r="AE491" s="235">
        <v>1400212.9061495222</v>
      </c>
      <c r="AF491" s="235">
        <v>1417640.0388812483</v>
      </c>
      <c r="AG491" s="235">
        <v>1819949.0083561291</v>
      </c>
      <c r="AH491" s="235">
        <v>468929.67525209172</v>
      </c>
      <c r="AI491" s="235">
        <v>983045.18818088504</v>
      </c>
      <c r="AJ491" s="235">
        <v>225598.54743186216</v>
      </c>
      <c r="AK491" s="235">
        <v>165019.92978480336</v>
      </c>
      <c r="AL491" s="235">
        <v>112533.46250826976</v>
      </c>
      <c r="AM491" s="235">
        <v>3454513.5359837352</v>
      </c>
      <c r="AN491" s="235">
        <v>1555.3916887966568</v>
      </c>
      <c r="AO491" s="235">
        <v>1555.3916887966568</v>
      </c>
      <c r="AP491" s="235">
        <v>1555.3916887966568</v>
      </c>
      <c r="AQ491" s="235">
        <v>4682630.3916887967</v>
      </c>
      <c r="AR491" s="235">
        <v>1555.3916887966568</v>
      </c>
      <c r="AS491" s="235">
        <v>1555.3916887966568</v>
      </c>
      <c r="AT491" s="235">
        <v>3745764.1154450541</v>
      </c>
      <c r="AU491" s="235"/>
      <c r="AV491" s="235"/>
      <c r="AW491" s="235"/>
      <c r="AX491" s="235"/>
      <c r="AY491" s="235"/>
      <c r="AZ491" s="235"/>
      <c r="BA491" s="235"/>
      <c r="BB491" s="235"/>
      <c r="BC491" s="235"/>
      <c r="BD491" s="235"/>
      <c r="BE491" s="235"/>
      <c r="BF491" s="235"/>
      <c r="BG491" s="235"/>
      <c r="BH491" s="235"/>
      <c r="BI491" s="235"/>
      <c r="BJ491" s="235"/>
      <c r="BK491" s="235"/>
    </row>
    <row r="492" spans="1:63" s="80" customFormat="1" ht="12.75">
      <c r="A492" s="168">
        <v>41851</v>
      </c>
      <c r="B492" s="213" t="str">
        <f>Servicio_internaColumna_título_intereses</f>
        <v>Intereses</v>
      </c>
      <c r="C492" s="270">
        <v>0</v>
      </c>
      <c r="D492" s="271"/>
      <c r="E492" s="271"/>
      <c r="F492" s="271"/>
      <c r="G492" s="271"/>
      <c r="H492" s="271"/>
      <c r="I492" s="271"/>
      <c r="J492" s="271"/>
      <c r="K492" s="271"/>
      <c r="L492" s="271"/>
      <c r="M492" s="271"/>
      <c r="N492" s="271"/>
      <c r="O492" s="271"/>
      <c r="P492" s="271">
        <v>1435756.7095429313</v>
      </c>
      <c r="Q492" s="271">
        <v>3561598.266997667</v>
      </c>
      <c r="R492" s="271">
        <v>3117663.5771260299</v>
      </c>
      <c r="S492" s="274">
        <v>2973452.154137597</v>
      </c>
      <c r="T492" s="271">
        <v>2831920.8553778636</v>
      </c>
      <c r="U492" s="272">
        <v>2661221.09947298</v>
      </c>
      <c r="V492" s="272">
        <v>2400676.3351503573</v>
      </c>
      <c r="W492" s="272">
        <v>2284086.7293996168</v>
      </c>
      <c r="X492" s="272">
        <v>1890314.580759634</v>
      </c>
      <c r="Y492" s="272">
        <v>1843640.3047822975</v>
      </c>
      <c r="Z492" s="272">
        <v>1605354.8188486809</v>
      </c>
      <c r="AA492" s="272">
        <v>1401226.5731102184</v>
      </c>
      <c r="AB492" s="272">
        <v>1332394.7432922681</v>
      </c>
      <c r="AC492" s="272">
        <v>1300995.6396056833</v>
      </c>
      <c r="AD492" s="236">
        <v>1078645.6814590795</v>
      </c>
      <c r="AE492" s="236">
        <v>1029019.2134455838</v>
      </c>
      <c r="AF492" s="236">
        <v>952943.03903858422</v>
      </c>
      <c r="AG492" s="236">
        <v>891412.40588784521</v>
      </c>
      <c r="AH492" s="236">
        <v>854705.93865023484</v>
      </c>
      <c r="AI492" s="236">
        <v>807085.09175651753</v>
      </c>
      <c r="AJ492" s="236">
        <v>764223.92257708951</v>
      </c>
      <c r="AK492" s="236">
        <v>757123.63690743537</v>
      </c>
      <c r="AL492" s="236">
        <v>752174.99250915379</v>
      </c>
      <c r="AM492" s="236">
        <v>748984.78389211174</v>
      </c>
      <c r="AN492" s="236">
        <v>497386.11360185803</v>
      </c>
      <c r="AO492" s="236">
        <v>497384.39663528203</v>
      </c>
      <c r="AP492" s="236">
        <v>497382.72906089516</v>
      </c>
      <c r="AQ492" s="236">
        <v>354023.04082712991</v>
      </c>
      <c r="AR492" s="236">
        <v>210663.40198555385</v>
      </c>
      <c r="AS492" s="236">
        <v>210661.68501897785</v>
      </c>
      <c r="AT492" s="236">
        <v>105335.81112851891</v>
      </c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</row>
    <row r="493" spans="1:63" s="80" customFormat="1" ht="12.75">
      <c r="A493" s="169"/>
      <c r="B493" s="307" t="str">
        <f>Servicio_internaColumna_título_total</f>
        <v>Total</v>
      </c>
      <c r="C493" s="310">
        <v>0</v>
      </c>
      <c r="D493" s="311"/>
      <c r="E493" s="311"/>
      <c r="F493" s="311"/>
      <c r="G493" s="311"/>
      <c r="H493" s="311"/>
      <c r="I493" s="311"/>
      <c r="J493" s="311"/>
      <c r="K493" s="311"/>
      <c r="L493" s="311"/>
      <c r="M493" s="311"/>
      <c r="N493" s="311"/>
      <c r="O493" s="311"/>
      <c r="P493" s="311">
        <f>+P491+P492</f>
        <v>4938066.3786291769</v>
      </c>
      <c r="Q493" s="311">
        <f>+Q491+Q492</f>
        <v>8277927.0988155007</v>
      </c>
      <c r="R493" s="311">
        <f t="shared" ref="R493:AT493" si="66">+R491+R492</f>
        <v>5043901.9601467168</v>
      </c>
      <c r="S493" s="312">
        <f t="shared" si="66"/>
        <v>7574657.4116544221</v>
      </c>
      <c r="T493" s="311">
        <f t="shared" si="66"/>
        <v>4362083.6146755517</v>
      </c>
      <c r="U493" s="311">
        <f t="shared" si="66"/>
        <v>8700102.3829957768</v>
      </c>
      <c r="V493" s="311">
        <f t="shared" si="66"/>
        <v>5205419.7764935633</v>
      </c>
      <c r="W493" s="311">
        <f t="shared" si="66"/>
        <v>9742114.4881132096</v>
      </c>
      <c r="X493" s="311">
        <f t="shared" si="66"/>
        <v>3133960.3301647957</v>
      </c>
      <c r="Y493" s="311">
        <f t="shared" si="66"/>
        <v>5910006.4691427015</v>
      </c>
      <c r="Z493" s="311">
        <f t="shared" si="66"/>
        <v>7556228.5564129725</v>
      </c>
      <c r="AA493" s="311">
        <f t="shared" si="66"/>
        <v>3579798.2357010329</v>
      </c>
      <c r="AB493" s="311">
        <f t="shared" si="66"/>
        <v>2358606.2228829451</v>
      </c>
      <c r="AC493" s="311">
        <f t="shared" si="66"/>
        <v>4342327.7693637889</v>
      </c>
      <c r="AD493" s="311">
        <f t="shared" si="66"/>
        <v>2038630.6588574005</v>
      </c>
      <c r="AE493" s="311">
        <f t="shared" si="66"/>
        <v>2429232.1195951058</v>
      </c>
      <c r="AF493" s="311">
        <f t="shared" si="66"/>
        <v>2370583.0779198324</v>
      </c>
      <c r="AG493" s="311">
        <f t="shared" si="66"/>
        <v>2711361.4142439743</v>
      </c>
      <c r="AH493" s="311">
        <f t="shared" si="66"/>
        <v>1323635.6139023267</v>
      </c>
      <c r="AI493" s="311">
        <f t="shared" si="66"/>
        <v>1790130.2799374026</v>
      </c>
      <c r="AJ493" s="311">
        <f t="shared" si="66"/>
        <v>989822.47000895161</v>
      </c>
      <c r="AK493" s="311">
        <f t="shared" si="66"/>
        <v>922143.56669223867</v>
      </c>
      <c r="AL493" s="311">
        <f t="shared" si="66"/>
        <v>864708.45501742349</v>
      </c>
      <c r="AM493" s="311">
        <f t="shared" si="66"/>
        <v>4203498.3198758466</v>
      </c>
      <c r="AN493" s="311">
        <f t="shared" si="66"/>
        <v>498941.50529065466</v>
      </c>
      <c r="AO493" s="311">
        <f t="shared" si="66"/>
        <v>498939.78832407866</v>
      </c>
      <c r="AP493" s="311">
        <f t="shared" si="66"/>
        <v>498938.12074969179</v>
      </c>
      <c r="AQ493" s="311">
        <f t="shared" si="66"/>
        <v>5036653.4325159267</v>
      </c>
      <c r="AR493" s="311">
        <f t="shared" si="66"/>
        <v>212218.79367435051</v>
      </c>
      <c r="AS493" s="311">
        <f t="shared" si="66"/>
        <v>212217.07670777451</v>
      </c>
      <c r="AT493" s="311">
        <f t="shared" si="66"/>
        <v>3851099.9265735731</v>
      </c>
      <c r="AU493" s="311"/>
      <c r="AV493" s="311"/>
      <c r="AW493" s="311"/>
      <c r="AX493" s="311"/>
      <c r="AY493" s="311"/>
      <c r="AZ493" s="311"/>
      <c r="BA493" s="311"/>
      <c r="BB493" s="311"/>
      <c r="BC493" s="311"/>
      <c r="BD493" s="311"/>
      <c r="BE493" s="311"/>
      <c r="BF493" s="311"/>
      <c r="BG493" s="311"/>
      <c r="BH493" s="311"/>
      <c r="BI493" s="311"/>
      <c r="BJ493" s="311"/>
      <c r="BK493" s="311"/>
    </row>
    <row r="494" spans="1:63" s="80" customFormat="1" ht="12.75">
      <c r="A494" s="167"/>
      <c r="B494" s="210" t="str">
        <f>Servicio_internaColumna_título_amortizaciones</f>
        <v>Amortizaciones</v>
      </c>
      <c r="C494" s="269">
        <v>0</v>
      </c>
      <c r="D494" s="235"/>
      <c r="E494" s="235"/>
      <c r="F494" s="235"/>
      <c r="G494" s="235"/>
      <c r="H494" s="235"/>
      <c r="I494" s="235"/>
      <c r="J494" s="235"/>
      <c r="K494" s="235"/>
      <c r="L494" s="235"/>
      <c r="M494" s="235"/>
      <c r="N494" s="235"/>
      <c r="O494" s="235"/>
      <c r="P494" s="235">
        <v>3619628.2826990844</v>
      </c>
      <c r="Q494" s="235">
        <v>4790994.1199850915</v>
      </c>
      <c r="R494" s="235">
        <v>1971926.3030029535</v>
      </c>
      <c r="S494" s="273">
        <v>4742551.0411934312</v>
      </c>
      <c r="T494" s="235">
        <v>1569705.1056922339</v>
      </c>
      <c r="U494" s="235">
        <v>6225923.9872968774</v>
      </c>
      <c r="V494" s="235">
        <v>2893018.1687354469</v>
      </c>
      <c r="W494" s="235">
        <v>7640510.3799524643</v>
      </c>
      <c r="X494" s="235">
        <v>1279726.439610994</v>
      </c>
      <c r="Y494" s="235">
        <v>4173068.0109265507</v>
      </c>
      <c r="Z494" s="235">
        <v>6147288.3004055033</v>
      </c>
      <c r="AA494" s="235">
        <v>2250129.7293644948</v>
      </c>
      <c r="AB494" s="235">
        <v>1059393.3645003107</v>
      </c>
      <c r="AC494" s="235">
        <v>3093443.4226533221</v>
      </c>
      <c r="AD494" s="235">
        <v>993857.02416872978</v>
      </c>
      <c r="AE494" s="235">
        <v>1445336.4803332326</v>
      </c>
      <c r="AF494" s="235">
        <v>1465415.6475832239</v>
      </c>
      <c r="AG494" s="235">
        <v>1881182.5876676161</v>
      </c>
      <c r="AH494" s="235">
        <v>484855.54048131133</v>
      </c>
      <c r="AI494" s="235">
        <v>1016161.9616226797</v>
      </c>
      <c r="AJ494" s="235">
        <v>233387.94725899753</v>
      </c>
      <c r="AK494" s="235">
        <v>170783.71196487985</v>
      </c>
      <c r="AL494" s="235">
        <v>116291.94404744836</v>
      </c>
      <c r="AM494" s="235">
        <v>3570021.6347752046</v>
      </c>
      <c r="AN494" s="235">
        <v>1612.0037068278168</v>
      </c>
      <c r="AO494" s="235">
        <v>1612.0037068278168</v>
      </c>
      <c r="AP494" s="235">
        <v>1612.0037068278168</v>
      </c>
      <c r="AQ494" s="235">
        <v>4839212.0037068278</v>
      </c>
      <c r="AR494" s="235">
        <v>1612.0037068278168</v>
      </c>
      <c r="AS494" s="235">
        <v>1612.0037068278168</v>
      </c>
      <c r="AT494" s="235">
        <v>3871018.9501973819</v>
      </c>
      <c r="AU494" s="235"/>
      <c r="AV494" s="235"/>
      <c r="AW494" s="235"/>
      <c r="AX494" s="235"/>
      <c r="AY494" s="235"/>
      <c r="AZ494" s="235"/>
      <c r="BA494" s="235"/>
      <c r="BB494" s="235"/>
      <c r="BC494" s="235"/>
      <c r="BD494" s="235"/>
      <c r="BE494" s="235"/>
      <c r="BF494" s="235"/>
      <c r="BG494" s="235"/>
      <c r="BH494" s="235"/>
      <c r="BI494" s="235"/>
      <c r="BJ494" s="235"/>
      <c r="BK494" s="235"/>
    </row>
    <row r="495" spans="1:63" s="80" customFormat="1" ht="12.75">
      <c r="A495" s="168">
        <v>41882</v>
      </c>
      <c r="B495" s="213" t="str">
        <f>Servicio_internaColumna_título_intereses</f>
        <v>Intereses</v>
      </c>
      <c r="C495" s="270">
        <v>0</v>
      </c>
      <c r="D495" s="271"/>
      <c r="E495" s="271"/>
      <c r="F495" s="271"/>
      <c r="G495" s="271"/>
      <c r="H495" s="271"/>
      <c r="I495" s="271"/>
      <c r="J495" s="271"/>
      <c r="K495" s="271"/>
      <c r="L495" s="271"/>
      <c r="M495" s="271"/>
      <c r="N495" s="271"/>
      <c r="O495" s="271"/>
      <c r="P495" s="271">
        <v>1101425.6272170974</v>
      </c>
      <c r="Q495" s="271">
        <v>3653889.0023088139</v>
      </c>
      <c r="R495" s="271">
        <v>3364469.1678013084</v>
      </c>
      <c r="S495" s="274">
        <v>3201460.2492024726</v>
      </c>
      <c r="T495" s="271">
        <v>3093616.3610423533</v>
      </c>
      <c r="U495" s="272">
        <v>2966153.3391367118</v>
      </c>
      <c r="V495" s="272">
        <v>2825700.3183222157</v>
      </c>
      <c r="W495" s="272">
        <v>2739112.6747959135</v>
      </c>
      <c r="X495" s="272">
        <v>2171649.6669576997</v>
      </c>
      <c r="Y495" s="272">
        <v>2118850.9887256525</v>
      </c>
      <c r="Z495" s="272">
        <v>1868563.264034153</v>
      </c>
      <c r="AA495" s="272">
        <v>1605328.2703015995</v>
      </c>
      <c r="AB495" s="272">
        <v>1498976.6400175367</v>
      </c>
      <c r="AC495" s="272">
        <v>1456302.8156543539</v>
      </c>
      <c r="AD495" s="236">
        <v>1222402.5461072028</v>
      </c>
      <c r="AE495" s="236">
        <v>1159291.627468792</v>
      </c>
      <c r="AF495" s="236">
        <v>1058270.722765751</v>
      </c>
      <c r="AG495" s="236">
        <v>959187.20534078858</v>
      </c>
      <c r="AH495" s="236">
        <v>902172.58503468533</v>
      </c>
      <c r="AI495" s="236">
        <v>847417.15503906226</v>
      </c>
      <c r="AJ495" s="236">
        <v>798658.2750820074</v>
      </c>
      <c r="AK495" s="236">
        <v>787972.58632354997</v>
      </c>
      <c r="AL495" s="236">
        <v>779698.02008705423</v>
      </c>
      <c r="AM495" s="236">
        <v>774378.66919764143</v>
      </c>
      <c r="AN495" s="236">
        <v>514017.62696823879</v>
      </c>
      <c r="AO495" s="236">
        <v>514015.85259002267</v>
      </c>
      <c r="AP495" s="236">
        <v>514014.12925556337</v>
      </c>
      <c r="AQ495" s="236">
        <v>365860.8038335903</v>
      </c>
      <c r="AR495" s="236">
        <v>217707.52945537411</v>
      </c>
      <c r="AS495" s="236">
        <v>217705.75507715796</v>
      </c>
      <c r="AT495" s="236">
        <v>108858.01229745797</v>
      </c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</row>
    <row r="496" spans="1:63" s="80" customFormat="1" ht="12.75">
      <c r="A496" s="169"/>
      <c r="B496" s="307" t="str">
        <f>Servicio_internaColumna_título_total</f>
        <v>Total</v>
      </c>
      <c r="C496" s="310">
        <v>0</v>
      </c>
      <c r="D496" s="311"/>
      <c r="E496" s="311"/>
      <c r="F496" s="311"/>
      <c r="G496" s="311"/>
      <c r="H496" s="311"/>
      <c r="I496" s="311"/>
      <c r="J496" s="311"/>
      <c r="K496" s="311"/>
      <c r="L496" s="311"/>
      <c r="M496" s="311"/>
      <c r="N496" s="311"/>
      <c r="O496" s="311"/>
      <c r="P496" s="311">
        <f>+P494+P495</f>
        <v>4721053.909916182</v>
      </c>
      <c r="Q496" s="311">
        <f>+Q494+Q495</f>
        <v>8444883.1222939044</v>
      </c>
      <c r="R496" s="311">
        <f t="shared" ref="R496:AT496" si="67">+R494+R495</f>
        <v>5336395.470804262</v>
      </c>
      <c r="S496" s="312">
        <f t="shared" si="67"/>
        <v>7944011.2903959043</v>
      </c>
      <c r="T496" s="311">
        <f t="shared" si="67"/>
        <v>4663321.4667345872</v>
      </c>
      <c r="U496" s="311">
        <f t="shared" si="67"/>
        <v>9192077.3264335897</v>
      </c>
      <c r="V496" s="311">
        <f t="shared" si="67"/>
        <v>5718718.4870576626</v>
      </c>
      <c r="W496" s="311">
        <f t="shared" si="67"/>
        <v>10379623.054748379</v>
      </c>
      <c r="X496" s="311">
        <f t="shared" si="67"/>
        <v>3451376.1065686936</v>
      </c>
      <c r="Y496" s="311">
        <f t="shared" si="67"/>
        <v>6291918.9996522032</v>
      </c>
      <c r="Z496" s="311">
        <f t="shared" si="67"/>
        <v>8015851.5644396562</v>
      </c>
      <c r="AA496" s="311">
        <f t="shared" si="67"/>
        <v>3855457.9996660943</v>
      </c>
      <c r="AB496" s="311">
        <f t="shared" si="67"/>
        <v>2558370.0045178477</v>
      </c>
      <c r="AC496" s="311">
        <f t="shared" si="67"/>
        <v>4549746.2383076763</v>
      </c>
      <c r="AD496" s="311">
        <f t="shared" si="67"/>
        <v>2216259.5702759326</v>
      </c>
      <c r="AE496" s="311">
        <f t="shared" si="67"/>
        <v>2604628.1078020246</v>
      </c>
      <c r="AF496" s="311">
        <f t="shared" si="67"/>
        <v>2523686.3703489751</v>
      </c>
      <c r="AG496" s="311">
        <f t="shared" si="67"/>
        <v>2840369.7930084048</v>
      </c>
      <c r="AH496" s="311">
        <f t="shared" si="67"/>
        <v>1387028.1255159967</v>
      </c>
      <c r="AI496" s="311">
        <f t="shared" si="67"/>
        <v>1863579.1166617419</v>
      </c>
      <c r="AJ496" s="311">
        <f t="shared" si="67"/>
        <v>1032046.222341005</v>
      </c>
      <c r="AK496" s="311">
        <f t="shared" si="67"/>
        <v>958756.29828842985</v>
      </c>
      <c r="AL496" s="311">
        <f t="shared" si="67"/>
        <v>895989.96413450257</v>
      </c>
      <c r="AM496" s="311">
        <f t="shared" si="67"/>
        <v>4344400.3039728459</v>
      </c>
      <c r="AN496" s="311">
        <f t="shared" si="67"/>
        <v>515629.63067506661</v>
      </c>
      <c r="AO496" s="311">
        <f t="shared" si="67"/>
        <v>515627.85629685048</v>
      </c>
      <c r="AP496" s="311">
        <f t="shared" si="67"/>
        <v>515626.13296239119</v>
      </c>
      <c r="AQ496" s="311">
        <f t="shared" si="67"/>
        <v>5205072.8075404176</v>
      </c>
      <c r="AR496" s="311">
        <f t="shared" si="67"/>
        <v>219319.53316220193</v>
      </c>
      <c r="AS496" s="311">
        <f t="shared" si="67"/>
        <v>219317.75878398577</v>
      </c>
      <c r="AT496" s="311">
        <f t="shared" si="67"/>
        <v>3979876.9624948399</v>
      </c>
      <c r="AU496" s="311"/>
      <c r="AV496" s="311"/>
      <c r="AW496" s="311"/>
      <c r="AX496" s="311"/>
      <c r="AY496" s="311"/>
      <c r="AZ496" s="311"/>
      <c r="BA496" s="311"/>
      <c r="BB496" s="311"/>
      <c r="BC496" s="311"/>
      <c r="BD496" s="311"/>
      <c r="BE496" s="311"/>
      <c r="BF496" s="311"/>
      <c r="BG496" s="311"/>
      <c r="BH496" s="311"/>
      <c r="BI496" s="311"/>
      <c r="BJ496" s="311"/>
      <c r="BK496" s="311"/>
    </row>
    <row r="497" spans="1:63" s="80" customFormat="1" ht="12.75">
      <c r="A497" s="167"/>
      <c r="B497" s="210" t="str">
        <f>Servicio_internaColumna_título_amortizaciones</f>
        <v>Amortizaciones</v>
      </c>
      <c r="C497" s="269">
        <v>0</v>
      </c>
      <c r="D497" s="235"/>
      <c r="E497" s="235"/>
      <c r="F497" s="235"/>
      <c r="G497" s="235"/>
      <c r="H497" s="235"/>
      <c r="I497" s="235"/>
      <c r="J497" s="235"/>
      <c r="K497" s="235"/>
      <c r="L497" s="235"/>
      <c r="M497" s="235"/>
      <c r="N497" s="235"/>
      <c r="O497" s="235"/>
      <c r="P497" s="235">
        <v>3727724.4763220297</v>
      </c>
      <c r="Q497" s="235">
        <v>4807921.0295102727</v>
      </c>
      <c r="R497" s="235">
        <v>2001729.4900376974</v>
      </c>
      <c r="S497" s="273">
        <v>4955209.1337407297</v>
      </c>
      <c r="T497" s="235">
        <v>1632725.744165774</v>
      </c>
      <c r="U497" s="235">
        <v>6468586.5936235655</v>
      </c>
      <c r="V497" s="235">
        <v>3027283.5104198745</v>
      </c>
      <c r="W497" s="235">
        <v>7862887.5310233198</v>
      </c>
      <c r="X497" s="235">
        <v>1336249.0644001493</v>
      </c>
      <c r="Y497" s="235">
        <v>4312165.3989108419</v>
      </c>
      <c r="Z497" s="235">
        <v>6443131.0982654756</v>
      </c>
      <c r="AA497" s="235">
        <v>2357841.1912573851</v>
      </c>
      <c r="AB497" s="235">
        <v>1109606.0636116012</v>
      </c>
      <c r="AC497" s="235">
        <v>3131774.8410453135</v>
      </c>
      <c r="AD497" s="235">
        <v>1041676.4420463376</v>
      </c>
      <c r="AE497" s="235">
        <v>1514775.4100512634</v>
      </c>
      <c r="AF497" s="235">
        <v>1536217.1266497762</v>
      </c>
      <c r="AG497" s="235">
        <v>1970668.7685543259</v>
      </c>
      <c r="AH497" s="235">
        <v>506915.31194543163</v>
      </c>
      <c r="AI497" s="235">
        <v>1063877.6740448419</v>
      </c>
      <c r="AJ497" s="235">
        <v>244192.22861974567</v>
      </c>
      <c r="AK497" s="235">
        <v>178564.93450209862</v>
      </c>
      <c r="AL497" s="235">
        <v>121882.86116836662</v>
      </c>
      <c r="AM497" s="235">
        <v>3742390.7036577365</v>
      </c>
      <c r="AN497" s="235">
        <v>1689.8447986739757</v>
      </c>
      <c r="AO497" s="235">
        <v>1689.8447986739757</v>
      </c>
      <c r="AP497" s="235">
        <v>1689.8447986739757</v>
      </c>
      <c r="AQ497" s="235">
        <v>5072889.8447986739</v>
      </c>
      <c r="AR497" s="235">
        <v>1689.8447986739757</v>
      </c>
      <c r="AS497" s="235">
        <v>1689.8447986739757</v>
      </c>
      <c r="AT497" s="235">
        <v>4057944.2906071115</v>
      </c>
      <c r="AU497" s="235"/>
      <c r="AV497" s="235"/>
      <c r="AW497" s="235"/>
      <c r="AX497" s="235"/>
      <c r="AY497" s="235"/>
      <c r="AZ497" s="235"/>
      <c r="BA497" s="235"/>
      <c r="BB497" s="235"/>
      <c r="BC497" s="235"/>
      <c r="BD497" s="235"/>
      <c r="BE497" s="235"/>
      <c r="BF497" s="235"/>
      <c r="BG497" s="235"/>
      <c r="BH497" s="235"/>
      <c r="BI497" s="235"/>
      <c r="BJ497" s="235"/>
      <c r="BK497" s="235"/>
    </row>
    <row r="498" spans="1:63" s="80" customFormat="1" ht="12.75">
      <c r="A498" s="168">
        <v>41912</v>
      </c>
      <c r="B498" s="213" t="str">
        <f>Servicio_internaColumna_título_intereses</f>
        <v>Intereses</v>
      </c>
      <c r="C498" s="270">
        <v>0</v>
      </c>
      <c r="D498" s="271"/>
      <c r="E498" s="271"/>
      <c r="F498" s="271"/>
      <c r="G498" s="271"/>
      <c r="H498" s="271"/>
      <c r="I498" s="271"/>
      <c r="J498" s="271"/>
      <c r="K498" s="271"/>
      <c r="L498" s="271"/>
      <c r="M498" s="271"/>
      <c r="N498" s="271"/>
      <c r="O498" s="271"/>
      <c r="P498" s="271">
        <v>771122.6917240757</v>
      </c>
      <c r="Q498" s="271">
        <v>3778602.9058926646</v>
      </c>
      <c r="R498" s="271">
        <v>3489620.2042032671</v>
      </c>
      <c r="S498" s="274">
        <v>3330334.9594619926</v>
      </c>
      <c r="T498" s="271">
        <v>3209743.002927091</v>
      </c>
      <c r="U498" s="272">
        <v>3068975.4180637496</v>
      </c>
      <c r="V498" s="272">
        <v>2923830.0952939782</v>
      </c>
      <c r="W498" s="272">
        <v>2851180.8497480568</v>
      </c>
      <c r="X498" s="272">
        <v>2266867.0796742472</v>
      </c>
      <c r="Y498" s="272">
        <v>2206299.7742432845</v>
      </c>
      <c r="Z498" s="272">
        <v>1952719.9114567738</v>
      </c>
      <c r="AA498" s="272">
        <v>1675903.7383342935</v>
      </c>
      <c r="AB498" s="272">
        <v>1562095.1114112732</v>
      </c>
      <c r="AC498" s="272">
        <v>1517594.1655690183</v>
      </c>
      <c r="AD498" s="236">
        <v>1281639.0890962898</v>
      </c>
      <c r="AE498" s="236">
        <v>1218818.8022889853</v>
      </c>
      <c r="AF498" s="236">
        <v>1111459.3284753135</v>
      </c>
      <c r="AG498" s="236">
        <v>1005776.2990990756</v>
      </c>
      <c r="AH498" s="236">
        <v>945861.3767683889</v>
      </c>
      <c r="AI498" s="236">
        <v>888402.02795436652</v>
      </c>
      <c r="AJ498" s="236">
        <v>837259.53003418911</v>
      </c>
      <c r="AK498" s="236">
        <v>826047.48968820891</v>
      </c>
      <c r="AL498" s="236">
        <v>817362.84796135745</v>
      </c>
      <c r="AM498" s="236">
        <v>811773.63553113525</v>
      </c>
      <c r="AN498" s="236">
        <v>538838.71958850103</v>
      </c>
      <c r="AO498" s="236">
        <v>538836.85952838662</v>
      </c>
      <c r="AP498" s="236">
        <v>538835.05297685065</v>
      </c>
      <c r="AQ498" s="236">
        <v>383527.63940815756</v>
      </c>
      <c r="AR498" s="236">
        <v>228220.27934804306</v>
      </c>
      <c r="AS498" s="236">
        <v>228218.41928792861</v>
      </c>
      <c r="AT498" s="236">
        <v>114114.59235217233</v>
      </c>
      <c r="AU498" s="236"/>
      <c r="AV498" s="236"/>
      <c r="AW498" s="236"/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</row>
    <row r="499" spans="1:63" s="80" customFormat="1" ht="12.75">
      <c r="A499" s="169"/>
      <c r="B499" s="307" t="str">
        <f>Servicio_internaColumna_título_total</f>
        <v>Total</v>
      </c>
      <c r="C499" s="310">
        <v>0</v>
      </c>
      <c r="D499" s="311"/>
      <c r="E499" s="311"/>
      <c r="F499" s="311"/>
      <c r="G499" s="311"/>
      <c r="H499" s="311"/>
      <c r="I499" s="311"/>
      <c r="J499" s="311"/>
      <c r="K499" s="311"/>
      <c r="L499" s="311"/>
      <c r="M499" s="311"/>
      <c r="N499" s="311"/>
      <c r="O499" s="311"/>
      <c r="P499" s="311">
        <f>+P497+P498</f>
        <v>4498847.1680461057</v>
      </c>
      <c r="Q499" s="311">
        <f>+Q497+Q498</f>
        <v>8586523.9354029372</v>
      </c>
      <c r="R499" s="311">
        <f t="shared" ref="R499:AT499" si="68">+R497+R498</f>
        <v>5491349.6942409649</v>
      </c>
      <c r="S499" s="312">
        <f t="shared" si="68"/>
        <v>8285544.0932027223</v>
      </c>
      <c r="T499" s="311">
        <f t="shared" si="68"/>
        <v>4842468.7470928654</v>
      </c>
      <c r="U499" s="311">
        <f t="shared" si="68"/>
        <v>9537562.011687316</v>
      </c>
      <c r="V499" s="311">
        <f t="shared" si="68"/>
        <v>5951113.6057138527</v>
      </c>
      <c r="W499" s="311">
        <f t="shared" si="68"/>
        <v>10714068.380771376</v>
      </c>
      <c r="X499" s="311">
        <f t="shared" si="68"/>
        <v>3603116.1440743962</v>
      </c>
      <c r="Y499" s="311">
        <f t="shared" si="68"/>
        <v>6518465.1731541269</v>
      </c>
      <c r="Z499" s="311">
        <f t="shared" si="68"/>
        <v>8395851.0097222496</v>
      </c>
      <c r="AA499" s="311">
        <f t="shared" si="68"/>
        <v>4033744.9295916785</v>
      </c>
      <c r="AB499" s="311">
        <f t="shared" si="68"/>
        <v>2671701.1750228745</v>
      </c>
      <c r="AC499" s="311">
        <f t="shared" si="68"/>
        <v>4649369.0066143321</v>
      </c>
      <c r="AD499" s="311">
        <f t="shared" si="68"/>
        <v>2323315.5311426274</v>
      </c>
      <c r="AE499" s="311">
        <f t="shared" si="68"/>
        <v>2733594.2123402487</v>
      </c>
      <c r="AF499" s="311">
        <f t="shared" si="68"/>
        <v>2647676.4551250897</v>
      </c>
      <c r="AG499" s="311">
        <f t="shared" si="68"/>
        <v>2976445.0676534018</v>
      </c>
      <c r="AH499" s="311">
        <f t="shared" si="68"/>
        <v>1452776.6887138207</v>
      </c>
      <c r="AI499" s="311">
        <f t="shared" si="68"/>
        <v>1952279.7019992084</v>
      </c>
      <c r="AJ499" s="311">
        <f t="shared" si="68"/>
        <v>1081451.7586539348</v>
      </c>
      <c r="AK499" s="311">
        <f t="shared" si="68"/>
        <v>1004612.4241903075</v>
      </c>
      <c r="AL499" s="311">
        <f t="shared" si="68"/>
        <v>939245.70912972407</v>
      </c>
      <c r="AM499" s="311">
        <f t="shared" si="68"/>
        <v>4554164.3391888719</v>
      </c>
      <c r="AN499" s="311">
        <f t="shared" si="68"/>
        <v>540528.56438717502</v>
      </c>
      <c r="AO499" s="311">
        <f t="shared" si="68"/>
        <v>540526.70432706061</v>
      </c>
      <c r="AP499" s="311">
        <f t="shared" si="68"/>
        <v>540524.89777552465</v>
      </c>
      <c r="AQ499" s="311">
        <f t="shared" si="68"/>
        <v>5456417.4842068311</v>
      </c>
      <c r="AR499" s="311">
        <f t="shared" si="68"/>
        <v>229910.12414671702</v>
      </c>
      <c r="AS499" s="311">
        <f t="shared" si="68"/>
        <v>229908.26408660258</v>
      </c>
      <c r="AT499" s="311">
        <f t="shared" si="68"/>
        <v>4172058.8829592839</v>
      </c>
      <c r="AU499" s="311"/>
      <c r="AV499" s="311"/>
      <c r="AW499" s="311"/>
      <c r="AX499" s="311"/>
      <c r="AY499" s="311"/>
      <c r="AZ499" s="311"/>
      <c r="BA499" s="311"/>
      <c r="BB499" s="311"/>
      <c r="BC499" s="311"/>
      <c r="BD499" s="311"/>
      <c r="BE499" s="311"/>
      <c r="BF499" s="311"/>
      <c r="BG499" s="311"/>
      <c r="BH499" s="311"/>
      <c r="BI499" s="311"/>
      <c r="BJ499" s="311"/>
      <c r="BK499" s="311"/>
    </row>
    <row r="500" spans="1:63" s="80" customFormat="1" ht="12.75">
      <c r="A500" s="167"/>
      <c r="B500" s="210" t="str">
        <f>Servicio_internaColumna_título_amortizaciones</f>
        <v>Amortizaciones</v>
      </c>
      <c r="C500" s="269">
        <v>0</v>
      </c>
      <c r="D500" s="235"/>
      <c r="E500" s="235"/>
      <c r="F500" s="235"/>
      <c r="G500" s="235"/>
      <c r="H500" s="235"/>
      <c r="I500" s="235"/>
      <c r="J500" s="235"/>
      <c r="K500" s="235"/>
      <c r="L500" s="235"/>
      <c r="M500" s="235"/>
      <c r="N500" s="235"/>
      <c r="O500" s="235"/>
      <c r="P500" s="235">
        <v>3762055.582745302</v>
      </c>
      <c r="Q500" s="235">
        <v>4825955.9519116217</v>
      </c>
      <c r="R500" s="235">
        <v>2017584.3565045269</v>
      </c>
      <c r="S500" s="273">
        <v>5004870.6532678241</v>
      </c>
      <c r="T500" s="235">
        <v>1646660.5385716378</v>
      </c>
      <c r="U500" s="235">
        <v>6557833.307393779</v>
      </c>
      <c r="V500" s="235">
        <v>3097594.3437109641</v>
      </c>
      <c r="W500" s="235">
        <v>7958927.6393953618</v>
      </c>
      <c r="X500" s="235">
        <v>1388186.8900916658</v>
      </c>
      <c r="Y500" s="235">
        <v>4386313.0736819757</v>
      </c>
      <c r="Z500" s="235">
        <v>7576628.0565719586</v>
      </c>
      <c r="AA500" s="235">
        <v>2421690.3372361851</v>
      </c>
      <c r="AB500" s="235">
        <v>1161594.7189760755</v>
      </c>
      <c r="AC500" s="235">
        <v>3183129.3530970216</v>
      </c>
      <c r="AD500" s="235">
        <v>1091231.844422352</v>
      </c>
      <c r="AE500" s="235">
        <v>1570613.834753844</v>
      </c>
      <c r="AF500" s="235">
        <v>1594935.9434418716</v>
      </c>
      <c r="AG500" s="235">
        <v>2032708.3848513097</v>
      </c>
      <c r="AH500" s="235">
        <v>553050.83932477934</v>
      </c>
      <c r="AI500" s="235">
        <v>1116064.7525594272</v>
      </c>
      <c r="AJ500" s="235">
        <v>247184.33128620993</v>
      </c>
      <c r="AK500" s="235">
        <v>180843.97834503348</v>
      </c>
      <c r="AL500" s="235">
        <v>123482.24752067598</v>
      </c>
      <c r="AM500" s="235">
        <v>3783328.2815820132</v>
      </c>
      <c r="AN500" s="235">
        <v>1708.2054329236475</v>
      </c>
      <c r="AO500" s="235">
        <v>1708.2054329236475</v>
      </c>
      <c r="AP500" s="235">
        <v>1708.2054329236475</v>
      </c>
      <c r="AQ500" s="235">
        <v>5128008.2054329235</v>
      </c>
      <c r="AR500" s="235">
        <v>1708.2054329236475</v>
      </c>
      <c r="AS500" s="235">
        <v>1708.2054329236475</v>
      </c>
      <c r="AT500" s="235">
        <v>5127294.9851986198</v>
      </c>
      <c r="AU500" s="235"/>
      <c r="AV500" s="235"/>
      <c r="AW500" s="235"/>
      <c r="AX500" s="235"/>
      <c r="AY500" s="235"/>
      <c r="AZ500" s="235"/>
      <c r="BA500" s="235"/>
      <c r="BB500" s="235"/>
      <c r="BC500" s="235"/>
      <c r="BD500" s="235"/>
      <c r="BE500" s="235"/>
      <c r="BF500" s="235"/>
      <c r="BG500" s="235"/>
      <c r="BH500" s="235"/>
      <c r="BI500" s="235"/>
      <c r="BJ500" s="235"/>
      <c r="BK500" s="235"/>
    </row>
    <row r="501" spans="1:63" s="80" customFormat="1" ht="12.75">
      <c r="A501" s="168">
        <v>41943</v>
      </c>
      <c r="B501" s="213" t="str">
        <f>Servicio_internaColumna_título_intereses</f>
        <v>Intereses</v>
      </c>
      <c r="C501" s="270">
        <v>0</v>
      </c>
      <c r="D501" s="271"/>
      <c r="E501" s="271"/>
      <c r="F501" s="271"/>
      <c r="G501" s="271"/>
      <c r="H501" s="271"/>
      <c r="I501" s="271"/>
      <c r="J501" s="271"/>
      <c r="K501" s="271"/>
      <c r="L501" s="271"/>
      <c r="M501" s="271"/>
      <c r="N501" s="271"/>
      <c r="O501" s="271"/>
      <c r="P501" s="271">
        <v>403037.7771752089</v>
      </c>
      <c r="Q501" s="271">
        <v>3931635.8398516485</v>
      </c>
      <c r="R501" s="271">
        <v>3640418.322240924</v>
      </c>
      <c r="S501" s="274">
        <v>3482228.5296139112</v>
      </c>
      <c r="T501" s="271">
        <v>3359457.9862697953</v>
      </c>
      <c r="U501" s="272">
        <v>3212304.8102547443</v>
      </c>
      <c r="V501" s="272">
        <v>3062558.2709739585</v>
      </c>
      <c r="W501" s="272">
        <v>3001093.8516204939</v>
      </c>
      <c r="X501" s="272">
        <v>2413278.9862492038</v>
      </c>
      <c r="Y501" s="272">
        <v>2343063.0961037329</v>
      </c>
      <c r="Z501" s="272">
        <v>2069566.5766724031</v>
      </c>
      <c r="AA501" s="272">
        <v>1767866.3064123897</v>
      </c>
      <c r="AB501" s="272">
        <v>1647929.7323703272</v>
      </c>
      <c r="AC501" s="272">
        <v>1601073.276028336</v>
      </c>
      <c r="AD501" s="236">
        <v>1362805.5023554675</v>
      </c>
      <c r="AE501" s="236">
        <v>1299806.6427784141</v>
      </c>
      <c r="AF501" s="236">
        <v>1189950.1084737286</v>
      </c>
      <c r="AG501" s="236">
        <v>1079502.4005306237</v>
      </c>
      <c r="AH501" s="236">
        <v>1017041.7150842663</v>
      </c>
      <c r="AI501" s="236">
        <v>957121.89681727788</v>
      </c>
      <c r="AJ501" s="236">
        <v>904035.32512509055</v>
      </c>
      <c r="AK501" s="236">
        <v>892701.53510003118</v>
      </c>
      <c r="AL501" s="236">
        <v>883930.03297765669</v>
      </c>
      <c r="AM501" s="236">
        <v>878274.01097388193</v>
      </c>
      <c r="AN501" s="236">
        <v>602364.22730843455</v>
      </c>
      <c r="AO501" s="236">
        <v>602362.3470382489</v>
      </c>
      <c r="AP501" s="236">
        <v>602360.52085802762</v>
      </c>
      <c r="AQ501" s="236">
        <v>445365.64899787778</v>
      </c>
      <c r="AR501" s="236">
        <v>288370.83122769231</v>
      </c>
      <c r="AS501" s="236">
        <v>288368.95095750678</v>
      </c>
      <c r="AT501" s="236">
        <v>144189.9166715848</v>
      </c>
      <c r="AU501" s="236"/>
      <c r="AV501" s="236"/>
      <c r="AW501" s="236"/>
      <c r="AX501" s="236"/>
      <c r="AY501" s="236"/>
      <c r="AZ501" s="236"/>
      <c r="BA501" s="236"/>
      <c r="BB501" s="236"/>
      <c r="BC501" s="236"/>
      <c r="BD501" s="236"/>
      <c r="BE501" s="236"/>
      <c r="BF501" s="236"/>
      <c r="BG501" s="236"/>
      <c r="BH501" s="236"/>
      <c r="BI501" s="236"/>
      <c r="BJ501" s="236"/>
      <c r="BK501" s="236"/>
    </row>
    <row r="502" spans="1:63" s="80" customFormat="1" ht="12.75">
      <c r="A502" s="169"/>
      <c r="B502" s="307" t="str">
        <f>Servicio_internaColumna_título_total</f>
        <v>Total</v>
      </c>
      <c r="C502" s="310">
        <v>0</v>
      </c>
      <c r="D502" s="311"/>
      <c r="E502" s="311"/>
      <c r="F502" s="311"/>
      <c r="G502" s="311"/>
      <c r="H502" s="311"/>
      <c r="I502" s="311"/>
      <c r="J502" s="311"/>
      <c r="K502" s="311"/>
      <c r="L502" s="311"/>
      <c r="M502" s="311"/>
      <c r="N502" s="311"/>
      <c r="O502" s="311"/>
      <c r="P502" s="311">
        <f>+P500+P501</f>
        <v>4165093.359920511</v>
      </c>
      <c r="Q502" s="311">
        <f>+Q500+Q501</f>
        <v>8757591.7917632703</v>
      </c>
      <c r="R502" s="311">
        <f t="shared" ref="R502:AT502" si="69">+R500+R501</f>
        <v>5658002.6787454505</v>
      </c>
      <c r="S502" s="312">
        <f t="shared" si="69"/>
        <v>8487099.1828817353</v>
      </c>
      <c r="T502" s="311">
        <f t="shared" si="69"/>
        <v>5006118.5248414334</v>
      </c>
      <c r="U502" s="311">
        <f t="shared" si="69"/>
        <v>9770138.1176485233</v>
      </c>
      <c r="V502" s="311">
        <f t="shared" si="69"/>
        <v>6160152.6146849226</v>
      </c>
      <c r="W502" s="311">
        <f t="shared" si="69"/>
        <v>10960021.491015855</v>
      </c>
      <c r="X502" s="311">
        <f t="shared" si="69"/>
        <v>3801465.8763408698</v>
      </c>
      <c r="Y502" s="311">
        <f t="shared" si="69"/>
        <v>6729376.1697857082</v>
      </c>
      <c r="Z502" s="311">
        <f t="shared" si="69"/>
        <v>9646194.6332443617</v>
      </c>
      <c r="AA502" s="311">
        <f t="shared" si="69"/>
        <v>4189556.6436485751</v>
      </c>
      <c r="AB502" s="311">
        <f t="shared" si="69"/>
        <v>2809524.451346403</v>
      </c>
      <c r="AC502" s="311">
        <f t="shared" si="69"/>
        <v>4784202.6291253576</v>
      </c>
      <c r="AD502" s="311">
        <f t="shared" si="69"/>
        <v>2454037.3467778196</v>
      </c>
      <c r="AE502" s="311">
        <f t="shared" si="69"/>
        <v>2870420.4775322583</v>
      </c>
      <c r="AF502" s="311">
        <f t="shared" si="69"/>
        <v>2784886.0519156</v>
      </c>
      <c r="AG502" s="311">
        <f t="shared" si="69"/>
        <v>3112210.7853819337</v>
      </c>
      <c r="AH502" s="311">
        <f t="shared" si="69"/>
        <v>1570092.5544090457</v>
      </c>
      <c r="AI502" s="311">
        <f t="shared" si="69"/>
        <v>2073186.6493767051</v>
      </c>
      <c r="AJ502" s="311">
        <f t="shared" si="69"/>
        <v>1151219.6564113004</v>
      </c>
      <c r="AK502" s="311">
        <f t="shared" si="69"/>
        <v>1073545.5134450647</v>
      </c>
      <c r="AL502" s="311">
        <f t="shared" si="69"/>
        <v>1007412.2804983327</v>
      </c>
      <c r="AM502" s="311">
        <f t="shared" si="69"/>
        <v>4661602.2925558947</v>
      </c>
      <c r="AN502" s="311">
        <f t="shared" si="69"/>
        <v>604072.43274135818</v>
      </c>
      <c r="AO502" s="311">
        <f t="shared" si="69"/>
        <v>604070.55247117253</v>
      </c>
      <c r="AP502" s="311">
        <f t="shared" si="69"/>
        <v>604068.72629095125</v>
      </c>
      <c r="AQ502" s="311">
        <f t="shared" si="69"/>
        <v>5573373.8544308012</v>
      </c>
      <c r="AR502" s="311">
        <f t="shared" si="69"/>
        <v>290079.03666061594</v>
      </c>
      <c r="AS502" s="311">
        <f t="shared" si="69"/>
        <v>290077.15639043041</v>
      </c>
      <c r="AT502" s="311">
        <f t="shared" si="69"/>
        <v>5271484.9018702041</v>
      </c>
      <c r="AU502" s="311"/>
      <c r="AV502" s="311"/>
      <c r="AW502" s="311"/>
      <c r="AX502" s="311"/>
      <c r="AY502" s="311"/>
      <c r="AZ502" s="311"/>
      <c r="BA502" s="311"/>
      <c r="BB502" s="311"/>
      <c r="BC502" s="311"/>
      <c r="BD502" s="311"/>
      <c r="BE502" s="311"/>
      <c r="BF502" s="311"/>
      <c r="BG502" s="311"/>
      <c r="BH502" s="311"/>
      <c r="BI502" s="311"/>
      <c r="BJ502" s="311"/>
      <c r="BK502" s="311"/>
    </row>
    <row r="503" spans="1:63" s="80" customFormat="1" ht="12.75">
      <c r="A503" s="167"/>
      <c r="B503" s="210" t="str">
        <f>Servicio_internaColumna_título_amortizaciones</f>
        <v>Amortizaciones</v>
      </c>
      <c r="C503" s="269">
        <v>0</v>
      </c>
      <c r="D503" s="235"/>
      <c r="E503" s="235"/>
      <c r="F503" s="235"/>
      <c r="G503" s="235"/>
      <c r="H503" s="235"/>
      <c r="I503" s="235"/>
      <c r="J503" s="235"/>
      <c r="K503" s="235"/>
      <c r="L503" s="235"/>
      <c r="M503" s="235"/>
      <c r="N503" s="235"/>
      <c r="O503" s="235"/>
      <c r="P503" s="235">
        <v>3815344.5482348604</v>
      </c>
      <c r="Q503" s="235">
        <v>4746494.1158815557</v>
      </c>
      <c r="R503" s="235">
        <v>2051452.9946664006</v>
      </c>
      <c r="S503" s="273">
        <v>5256588.0819470482</v>
      </c>
      <c r="T503" s="235">
        <v>1717003.620550405</v>
      </c>
      <c r="U503" s="235">
        <v>6856784.3971772287</v>
      </c>
      <c r="V503" s="235">
        <v>3251405.2692359043</v>
      </c>
      <c r="W503" s="235">
        <v>8202765.0998143079</v>
      </c>
      <c r="X503" s="235">
        <v>1448550.648017714</v>
      </c>
      <c r="Y503" s="235">
        <v>4541809.2737181187</v>
      </c>
      <c r="Z503" s="235">
        <v>7990381.6838656785</v>
      </c>
      <c r="AA503" s="235">
        <v>2547809.3206722694</v>
      </c>
      <c r="AB503" s="235">
        <v>1217330.8544437794</v>
      </c>
      <c r="AC503" s="235">
        <v>3210198.6975773107</v>
      </c>
      <c r="AD503" s="235">
        <v>1143250.8907658441</v>
      </c>
      <c r="AE503" s="235">
        <v>1648682.8168980898</v>
      </c>
      <c r="AF503" s="235">
        <v>1673842.3810961554</v>
      </c>
      <c r="AG503" s="235">
        <v>2138690.0139591326</v>
      </c>
      <c r="AH503" s="235">
        <v>584392.95592196251</v>
      </c>
      <c r="AI503" s="235">
        <v>1178880.975663295</v>
      </c>
      <c r="AJ503" s="235">
        <v>261427.62523525441</v>
      </c>
      <c r="AK503" s="235">
        <v>191378.65464701911</v>
      </c>
      <c r="AL503" s="235">
        <v>130810.23712641088</v>
      </c>
      <c r="AM503" s="235">
        <v>3995253.5314052473</v>
      </c>
      <c r="AN503" s="235">
        <v>2214.6704249712388</v>
      </c>
      <c r="AO503" s="235">
        <v>2214.6704249712388</v>
      </c>
      <c r="AP503" s="235">
        <v>2214.6704249712388</v>
      </c>
      <c r="AQ503" s="235">
        <v>5415089.6704249717</v>
      </c>
      <c r="AR503" s="235">
        <v>2214.6704249712388</v>
      </c>
      <c r="AS503" s="235">
        <v>2214.6704249712388</v>
      </c>
      <c r="AT503" s="235">
        <v>5414336.5791162765</v>
      </c>
      <c r="AU503" s="235"/>
      <c r="AV503" s="235"/>
      <c r="AW503" s="235"/>
      <c r="AX503" s="235"/>
      <c r="AY503" s="235"/>
      <c r="AZ503" s="235"/>
      <c r="BA503" s="235"/>
      <c r="BB503" s="235"/>
      <c r="BC503" s="235"/>
      <c r="BD503" s="235"/>
      <c r="BE503" s="235"/>
      <c r="BF503" s="235"/>
      <c r="BG503" s="235"/>
      <c r="BH503" s="235"/>
      <c r="BI503" s="235"/>
      <c r="BJ503" s="235"/>
      <c r="BK503" s="235"/>
    </row>
    <row r="504" spans="1:63" s="80" customFormat="1" ht="12.75">
      <c r="A504" s="168">
        <v>41973</v>
      </c>
      <c r="B504" s="213" t="str">
        <f>Servicio_internaColumna_título_intereses</f>
        <v>Intereses</v>
      </c>
      <c r="C504" s="270">
        <v>0</v>
      </c>
      <c r="D504" s="271"/>
      <c r="E504" s="271"/>
      <c r="F504" s="271"/>
      <c r="G504" s="271"/>
      <c r="H504" s="271"/>
      <c r="I504" s="271"/>
      <c r="J504" s="271"/>
      <c r="K504" s="271"/>
      <c r="L504" s="271"/>
      <c r="M504" s="271"/>
      <c r="N504" s="271"/>
      <c r="O504" s="271"/>
      <c r="P504" s="271">
        <v>155641.28863888854</v>
      </c>
      <c r="Q504" s="271">
        <v>4097660.8621624038</v>
      </c>
      <c r="R504" s="271">
        <v>3804813.8089843066</v>
      </c>
      <c r="S504" s="274">
        <v>3627861.550100192</v>
      </c>
      <c r="T504" s="271">
        <v>3505824.3377182963</v>
      </c>
      <c r="U504" s="272">
        <v>3350423.2945031403</v>
      </c>
      <c r="V504" s="272">
        <v>3193336.9779809285</v>
      </c>
      <c r="W504" s="272">
        <v>3143030.9896039572</v>
      </c>
      <c r="X504" s="272">
        <v>2536542.1194140082</v>
      </c>
      <c r="Y504" s="272">
        <v>2450476.7653891942</v>
      </c>
      <c r="Z504" s="272">
        <v>2167439.2548042047</v>
      </c>
      <c r="AA504" s="272">
        <v>1853382.6611590798</v>
      </c>
      <c r="AB504" s="272">
        <v>1723188.1895744707</v>
      </c>
      <c r="AC504" s="272">
        <v>1673880.2821446129</v>
      </c>
      <c r="AD504" s="236">
        <v>1433008.5410926857</v>
      </c>
      <c r="AE504" s="236">
        <v>1368850.263919451</v>
      </c>
      <c r="AF504" s="236">
        <v>1256904.0461263584</v>
      </c>
      <c r="AG504" s="236">
        <v>1139057.0620170583</v>
      </c>
      <c r="AH504" s="236">
        <v>1073393.2457432675</v>
      </c>
      <c r="AI504" s="236">
        <v>1010275.427589468</v>
      </c>
      <c r="AJ504" s="236">
        <v>954343.09318683809</v>
      </c>
      <c r="AK504" s="236">
        <v>942458.76681624702</v>
      </c>
      <c r="AL504" s="236">
        <v>933284.63803694863</v>
      </c>
      <c r="AM504" s="236">
        <v>927360.17646191816</v>
      </c>
      <c r="AN504" s="236">
        <v>636038.1302093406</v>
      </c>
      <c r="AO504" s="236">
        <v>636036.14482661209</v>
      </c>
      <c r="AP504" s="236">
        <v>636034.21655763348</v>
      </c>
      <c r="AQ504" s="236">
        <v>470262.87718615535</v>
      </c>
      <c r="AR504" s="236">
        <v>304491.59492842696</v>
      </c>
      <c r="AS504" s="236">
        <v>304489.60954569856</v>
      </c>
      <c r="AT504" s="236">
        <v>152250.55014410094</v>
      </c>
      <c r="AU504" s="236"/>
      <c r="AV504" s="236"/>
      <c r="AW504" s="236"/>
      <c r="AX504" s="236"/>
      <c r="AY504" s="236"/>
      <c r="AZ504" s="236"/>
      <c r="BA504" s="236"/>
      <c r="BB504" s="236"/>
      <c r="BC504" s="236"/>
      <c r="BD504" s="236"/>
      <c r="BE504" s="236"/>
      <c r="BF504" s="236"/>
      <c r="BG504" s="236"/>
      <c r="BH504" s="236"/>
      <c r="BI504" s="236"/>
      <c r="BJ504" s="236"/>
      <c r="BK504" s="236"/>
    </row>
    <row r="505" spans="1:63" s="80" customFormat="1" ht="12.75">
      <c r="A505" s="169"/>
      <c r="B505" s="307" t="str">
        <f>Servicio_internaColumna_título_total</f>
        <v>Total</v>
      </c>
      <c r="C505" s="310">
        <v>0</v>
      </c>
      <c r="D505" s="311"/>
      <c r="E505" s="311"/>
      <c r="F505" s="311"/>
      <c r="G505" s="311"/>
      <c r="H505" s="311"/>
      <c r="I505" s="311"/>
      <c r="J505" s="311"/>
      <c r="K505" s="311"/>
      <c r="L505" s="311"/>
      <c r="M505" s="311"/>
      <c r="N505" s="311"/>
      <c r="O505" s="311"/>
      <c r="P505" s="311">
        <f>+P503+P504</f>
        <v>3970985.8368737488</v>
      </c>
      <c r="Q505" s="311">
        <f>+Q503+Q504</f>
        <v>8844154.9780439585</v>
      </c>
      <c r="R505" s="311">
        <f t="shared" ref="R505:AT505" si="70">+R503+R504</f>
        <v>5856266.803650707</v>
      </c>
      <c r="S505" s="312">
        <f t="shared" si="70"/>
        <v>8884449.6320472397</v>
      </c>
      <c r="T505" s="311">
        <f t="shared" si="70"/>
        <v>5222827.9582687011</v>
      </c>
      <c r="U505" s="311">
        <f t="shared" si="70"/>
        <v>10207207.691680368</v>
      </c>
      <c r="V505" s="311">
        <f t="shared" si="70"/>
        <v>6444742.2472168328</v>
      </c>
      <c r="W505" s="311">
        <f t="shared" si="70"/>
        <v>11345796.089418266</v>
      </c>
      <c r="X505" s="311">
        <f t="shared" si="70"/>
        <v>3985092.767431722</v>
      </c>
      <c r="Y505" s="311">
        <f t="shared" si="70"/>
        <v>6992286.0391073134</v>
      </c>
      <c r="Z505" s="311">
        <f t="shared" si="70"/>
        <v>10157820.938669883</v>
      </c>
      <c r="AA505" s="311">
        <f t="shared" si="70"/>
        <v>4401191.9818313494</v>
      </c>
      <c r="AB505" s="311">
        <f t="shared" si="70"/>
        <v>2940519.04401825</v>
      </c>
      <c r="AC505" s="311">
        <f t="shared" si="70"/>
        <v>4884078.9797219234</v>
      </c>
      <c r="AD505" s="311">
        <f t="shared" si="70"/>
        <v>2576259.4318585298</v>
      </c>
      <c r="AE505" s="311">
        <f t="shared" si="70"/>
        <v>3017533.0808175411</v>
      </c>
      <c r="AF505" s="311">
        <f t="shared" si="70"/>
        <v>2930746.4272225136</v>
      </c>
      <c r="AG505" s="311">
        <f t="shared" si="70"/>
        <v>3277747.0759761911</v>
      </c>
      <c r="AH505" s="311">
        <f t="shared" si="70"/>
        <v>1657786.2016652301</v>
      </c>
      <c r="AI505" s="311">
        <f t="shared" si="70"/>
        <v>2189156.4032527627</v>
      </c>
      <c r="AJ505" s="311">
        <f t="shared" si="70"/>
        <v>1215770.7184220925</v>
      </c>
      <c r="AK505" s="311">
        <f t="shared" si="70"/>
        <v>1133837.421463266</v>
      </c>
      <c r="AL505" s="311">
        <f t="shared" si="70"/>
        <v>1064094.8751633596</v>
      </c>
      <c r="AM505" s="311">
        <f t="shared" si="70"/>
        <v>4922613.7078671651</v>
      </c>
      <c r="AN505" s="311">
        <f t="shared" si="70"/>
        <v>638252.80063431186</v>
      </c>
      <c r="AO505" s="311">
        <f t="shared" si="70"/>
        <v>638250.81525158335</v>
      </c>
      <c r="AP505" s="311">
        <f t="shared" si="70"/>
        <v>638248.88698260474</v>
      </c>
      <c r="AQ505" s="311">
        <f t="shared" si="70"/>
        <v>5885352.5476111267</v>
      </c>
      <c r="AR505" s="311">
        <f t="shared" si="70"/>
        <v>306706.26535339822</v>
      </c>
      <c r="AS505" s="311">
        <f t="shared" si="70"/>
        <v>306704.27997066983</v>
      </c>
      <c r="AT505" s="311">
        <f t="shared" si="70"/>
        <v>5566587.129260377</v>
      </c>
      <c r="AU505" s="311"/>
      <c r="AV505" s="311"/>
      <c r="AW505" s="311"/>
      <c r="AX505" s="311"/>
      <c r="AY505" s="311"/>
      <c r="AZ505" s="311"/>
      <c r="BA505" s="311"/>
      <c r="BB505" s="311"/>
      <c r="BC505" s="311"/>
      <c r="BD505" s="311"/>
      <c r="BE505" s="311"/>
      <c r="BF505" s="311"/>
      <c r="BG505" s="311"/>
      <c r="BH505" s="311"/>
      <c r="BI505" s="311"/>
      <c r="BJ505" s="311"/>
      <c r="BK505" s="311"/>
    </row>
    <row r="506" spans="1:63" s="80" customFormat="1" ht="12.75">
      <c r="A506" s="167"/>
      <c r="B506" s="210" t="str">
        <f>Servicio_internaColumna_título_amortizaciones</f>
        <v>Amortizaciones</v>
      </c>
      <c r="C506" s="269">
        <v>0</v>
      </c>
      <c r="D506" s="235"/>
      <c r="E506" s="235"/>
      <c r="F506" s="235"/>
      <c r="G506" s="235"/>
      <c r="H506" s="235"/>
      <c r="I506" s="235"/>
      <c r="J506" s="235"/>
      <c r="K506" s="235"/>
      <c r="L506" s="235"/>
      <c r="M506" s="235"/>
      <c r="N506" s="235"/>
      <c r="O506" s="235"/>
      <c r="P506" s="235"/>
      <c r="Q506" s="235">
        <v>5422579.7961138869</v>
      </c>
      <c r="R506" s="235">
        <v>2536313.3837217428</v>
      </c>
      <c r="S506" s="273">
        <v>5980393.9744175058</v>
      </c>
      <c r="T506" s="235">
        <v>2027935.4929024882</v>
      </c>
      <c r="U506" s="235">
        <v>7677917.9878398608</v>
      </c>
      <c r="V506" s="235">
        <v>3680731.9375358294</v>
      </c>
      <c r="W506" s="235">
        <v>8939165.3003491722</v>
      </c>
      <c r="X506" s="235">
        <v>1685294.81359205</v>
      </c>
      <c r="Y506" s="235">
        <v>5008292.1822429467</v>
      </c>
      <c r="Z506" s="235">
        <v>8900474.9036006089</v>
      </c>
      <c r="AA506" s="235">
        <v>2849875.3609849797</v>
      </c>
      <c r="AB506" s="235">
        <v>1392563.8561587192</v>
      </c>
      <c r="AC506" s="235">
        <v>4374089.1950759701</v>
      </c>
      <c r="AD506" s="235">
        <v>1301658.6081796547</v>
      </c>
      <c r="AE506" s="235">
        <v>1849643.4646003966</v>
      </c>
      <c r="AF506" s="235">
        <v>1869903.9241843019</v>
      </c>
      <c r="AG506" s="235">
        <v>2381764.9665591251</v>
      </c>
      <c r="AH506" s="235">
        <v>2326697.0414586612</v>
      </c>
      <c r="AI506" s="235">
        <v>1308875.8602137661</v>
      </c>
      <c r="AJ506" s="235">
        <v>1487046.8554809662</v>
      </c>
      <c r="AK506" s="235">
        <v>213413.73783390725</v>
      </c>
      <c r="AL506" s="235">
        <v>144817.16727614039</v>
      </c>
      <c r="AM506" s="235">
        <v>4415046.6280932585</v>
      </c>
      <c r="AN506" s="235">
        <v>2789.2808518511065</v>
      </c>
      <c r="AO506" s="235">
        <v>2789.2808518511065</v>
      </c>
      <c r="AP506" s="235">
        <v>2789.2808518511065</v>
      </c>
      <c r="AQ506" s="235">
        <v>5983939.2808518512</v>
      </c>
      <c r="AR506" s="235">
        <v>2789.2808518511065</v>
      </c>
      <c r="AS506" s="235">
        <v>2789.2808518511065</v>
      </c>
      <c r="AT506" s="235">
        <v>5983107.1256513335</v>
      </c>
      <c r="AU506" s="235">
        <v>1957.1256513339067</v>
      </c>
      <c r="AV506" s="235"/>
      <c r="AW506" s="235"/>
      <c r="AX506" s="235"/>
      <c r="AY506" s="235"/>
      <c r="AZ506" s="235"/>
      <c r="BA506" s="235"/>
      <c r="BB506" s="235"/>
      <c r="BC506" s="235"/>
      <c r="BD506" s="235"/>
      <c r="BE506" s="235"/>
      <c r="BF506" s="235"/>
      <c r="BG506" s="235"/>
      <c r="BH506" s="235"/>
      <c r="BI506" s="235"/>
      <c r="BJ506" s="235"/>
      <c r="BK506" s="235"/>
    </row>
    <row r="507" spans="1:63" s="80" customFormat="1" ht="12.75">
      <c r="A507" s="168">
        <v>42004</v>
      </c>
      <c r="B507" s="213" t="str">
        <f>Servicio_internaColumna_título_intereses</f>
        <v>Intereses</v>
      </c>
      <c r="C507" s="270">
        <v>0</v>
      </c>
      <c r="D507" s="271"/>
      <c r="E507" s="271"/>
      <c r="F507" s="271"/>
      <c r="G507" s="271"/>
      <c r="H507" s="271"/>
      <c r="I507" s="271"/>
      <c r="J507" s="271"/>
      <c r="K507" s="271"/>
      <c r="L507" s="271"/>
      <c r="M507" s="271"/>
      <c r="N507" s="271"/>
      <c r="O507" s="271"/>
      <c r="P507" s="271"/>
      <c r="Q507" s="271">
        <v>4482664.2447952116</v>
      </c>
      <c r="R507" s="271">
        <v>4220151.2745631225</v>
      </c>
      <c r="S507" s="274">
        <v>4074287.4518745518</v>
      </c>
      <c r="T507" s="271">
        <v>3954009.8864620002</v>
      </c>
      <c r="U507" s="272">
        <v>3806595.1476266328</v>
      </c>
      <c r="V507" s="272">
        <v>3675804.9250208046</v>
      </c>
      <c r="W507" s="272">
        <v>3676715.5781426136</v>
      </c>
      <c r="X507" s="272">
        <v>3018381.8799760113</v>
      </c>
      <c r="Y507" s="272">
        <v>2911135.1205069614</v>
      </c>
      <c r="Z507" s="272">
        <v>2624086.0090152319</v>
      </c>
      <c r="AA507" s="272">
        <v>2261693.8212946821</v>
      </c>
      <c r="AB507" s="272">
        <v>2111533.9676144556</v>
      </c>
      <c r="AC507" s="272">
        <v>2067374.8564943455</v>
      </c>
      <c r="AD507" s="236">
        <v>1771243.5313274672</v>
      </c>
      <c r="AE507" s="236">
        <v>1709332.1903718638</v>
      </c>
      <c r="AF507" s="236">
        <v>1549972.9048507921</v>
      </c>
      <c r="AG507" s="236">
        <v>1414013.9697788919</v>
      </c>
      <c r="AH507" s="236">
        <v>1298392.1327157654</v>
      </c>
      <c r="AI507" s="236">
        <v>1183921.0481865404</v>
      </c>
      <c r="AJ507" s="236">
        <v>1123226.905937484</v>
      </c>
      <c r="AK507" s="236">
        <v>1041520.6842883237</v>
      </c>
      <c r="AL507" s="236">
        <v>1031319.5778093002</v>
      </c>
      <c r="AM507" s="236">
        <v>1024742.0078753902</v>
      </c>
      <c r="AN507" s="236">
        <v>702833.27754424582</v>
      </c>
      <c r="AO507" s="236">
        <v>702829.50148266042</v>
      </c>
      <c r="AP507" s="236">
        <v>702825.83404750412</v>
      </c>
      <c r="AQ507" s="236">
        <v>519649.23060948943</v>
      </c>
      <c r="AR507" s="236">
        <v>336472.73579790391</v>
      </c>
      <c r="AS507" s="236">
        <v>336468.95973631844</v>
      </c>
      <c r="AT507" s="236">
        <v>168245.40716966521</v>
      </c>
      <c r="AU507" s="236">
        <v>21.720113147362444</v>
      </c>
      <c r="AV507" s="236"/>
      <c r="AW507" s="236"/>
      <c r="AX507" s="236"/>
      <c r="AY507" s="236"/>
      <c r="AZ507" s="236"/>
      <c r="BA507" s="236"/>
      <c r="BB507" s="236"/>
      <c r="BC507" s="236"/>
      <c r="BD507" s="236"/>
      <c r="BE507" s="236"/>
      <c r="BF507" s="236"/>
      <c r="BG507" s="236"/>
      <c r="BH507" s="236"/>
      <c r="BI507" s="236"/>
      <c r="BJ507" s="236"/>
      <c r="BK507" s="236"/>
    </row>
    <row r="508" spans="1:63" s="80" customFormat="1" ht="12.75">
      <c r="A508" s="169"/>
      <c r="B508" s="307" t="str">
        <f>Servicio_internaColumna_título_total</f>
        <v>Total</v>
      </c>
      <c r="C508" s="310">
        <v>0</v>
      </c>
      <c r="D508" s="311"/>
      <c r="E508" s="311"/>
      <c r="F508" s="311"/>
      <c r="G508" s="311"/>
      <c r="H508" s="311"/>
      <c r="I508" s="311"/>
      <c r="J508" s="311"/>
      <c r="K508" s="311"/>
      <c r="L508" s="311"/>
      <c r="M508" s="311"/>
      <c r="N508" s="311"/>
      <c r="O508" s="311"/>
      <c r="P508" s="311"/>
      <c r="Q508" s="311">
        <f>+Q506+Q507</f>
        <v>9905244.0409090985</v>
      </c>
      <c r="R508" s="311">
        <f t="shared" ref="R508:AU508" si="71">+R506+R507</f>
        <v>6756464.6582848653</v>
      </c>
      <c r="S508" s="312">
        <f t="shared" si="71"/>
        <v>10054681.426292058</v>
      </c>
      <c r="T508" s="311">
        <f t="shared" si="71"/>
        <v>5981945.3793644886</v>
      </c>
      <c r="U508" s="311">
        <f t="shared" si="71"/>
        <v>11484513.135466494</v>
      </c>
      <c r="V508" s="311">
        <f t="shared" si="71"/>
        <v>7356536.8625566345</v>
      </c>
      <c r="W508" s="311">
        <f t="shared" si="71"/>
        <v>12615880.878491785</v>
      </c>
      <c r="X508" s="311">
        <f t="shared" si="71"/>
        <v>4703676.6935680611</v>
      </c>
      <c r="Y508" s="311">
        <f t="shared" si="71"/>
        <v>7919427.3027499076</v>
      </c>
      <c r="Z508" s="311">
        <f t="shared" si="71"/>
        <v>11524560.912615841</v>
      </c>
      <c r="AA508" s="311">
        <f t="shared" si="71"/>
        <v>5111569.1822796613</v>
      </c>
      <c r="AB508" s="311">
        <f t="shared" si="71"/>
        <v>3504097.8237731745</v>
      </c>
      <c r="AC508" s="311">
        <f t="shared" si="71"/>
        <v>6441464.0515703158</v>
      </c>
      <c r="AD508" s="311">
        <f t="shared" si="71"/>
        <v>3072902.1395071219</v>
      </c>
      <c r="AE508" s="311">
        <f t="shared" si="71"/>
        <v>3558975.6549722604</v>
      </c>
      <c r="AF508" s="311">
        <f t="shared" si="71"/>
        <v>3419876.829035094</v>
      </c>
      <c r="AG508" s="311">
        <f t="shared" si="71"/>
        <v>3795778.9363380168</v>
      </c>
      <c r="AH508" s="311">
        <f t="shared" si="71"/>
        <v>3625089.1741744266</v>
      </c>
      <c r="AI508" s="311">
        <f t="shared" si="71"/>
        <v>2492796.9084003065</v>
      </c>
      <c r="AJ508" s="311">
        <f t="shared" si="71"/>
        <v>2610273.7614184502</v>
      </c>
      <c r="AK508" s="311">
        <f t="shared" si="71"/>
        <v>1254934.422122231</v>
      </c>
      <c r="AL508" s="311">
        <f t="shared" si="71"/>
        <v>1176136.7450854406</v>
      </c>
      <c r="AM508" s="311">
        <f t="shared" si="71"/>
        <v>5439788.6359686488</v>
      </c>
      <c r="AN508" s="311">
        <f t="shared" si="71"/>
        <v>705622.55839609692</v>
      </c>
      <c r="AO508" s="311">
        <f t="shared" si="71"/>
        <v>705618.78233451152</v>
      </c>
      <c r="AP508" s="311">
        <f t="shared" si="71"/>
        <v>705615.11489935522</v>
      </c>
      <c r="AQ508" s="311">
        <f t="shared" si="71"/>
        <v>6503588.5114613408</v>
      </c>
      <c r="AR508" s="311">
        <f t="shared" si="71"/>
        <v>339262.01664975501</v>
      </c>
      <c r="AS508" s="311">
        <f t="shared" si="71"/>
        <v>339258.24058816954</v>
      </c>
      <c r="AT508" s="311">
        <f t="shared" si="71"/>
        <v>6151352.5328209987</v>
      </c>
      <c r="AU508" s="311">
        <f t="shared" si="71"/>
        <v>1978.8457644812693</v>
      </c>
      <c r="AV508" s="311"/>
      <c r="AW508" s="311"/>
      <c r="AX508" s="311"/>
      <c r="AY508" s="311"/>
      <c r="AZ508" s="311"/>
      <c r="BA508" s="311"/>
      <c r="BB508" s="311"/>
      <c r="BC508" s="311"/>
      <c r="BD508" s="311"/>
      <c r="BE508" s="311"/>
      <c r="BF508" s="311"/>
      <c r="BG508" s="311"/>
      <c r="BH508" s="311"/>
      <c r="BI508" s="311"/>
      <c r="BJ508" s="311"/>
      <c r="BK508" s="311"/>
    </row>
    <row r="509" spans="1:63" s="80" customFormat="1" ht="12.75">
      <c r="A509" s="167"/>
      <c r="B509" s="210" t="str">
        <f>Servicio_internaColumna_título_amortizaciones</f>
        <v>Amortizaciones</v>
      </c>
      <c r="C509" s="269">
        <v>0</v>
      </c>
      <c r="D509" s="235"/>
      <c r="E509" s="235"/>
      <c r="F509" s="235"/>
      <c r="G509" s="235"/>
      <c r="H509" s="235"/>
      <c r="I509" s="235"/>
      <c r="J509" s="235"/>
      <c r="K509" s="235"/>
      <c r="L509" s="235"/>
      <c r="M509" s="235"/>
      <c r="N509" s="235"/>
      <c r="O509" s="235"/>
      <c r="P509" s="235"/>
      <c r="Q509" s="235">
        <v>5360289.2021717085</v>
      </c>
      <c r="R509" s="235">
        <v>2519808.4709802079</v>
      </c>
      <c r="S509" s="273">
        <v>5979677.0058174785</v>
      </c>
      <c r="T509" s="235">
        <v>2026417.3784627651</v>
      </c>
      <c r="U509" s="235">
        <v>7706866.7193064364</v>
      </c>
      <c r="V509" s="235">
        <v>3683172.5777072194</v>
      </c>
      <c r="W509" s="235">
        <v>8903088.766364228</v>
      </c>
      <c r="X509" s="235">
        <v>1683662.559031067</v>
      </c>
      <c r="Y509" s="235">
        <v>4995993.5738415495</v>
      </c>
      <c r="Z509" s="235">
        <v>8917822.9815108068</v>
      </c>
      <c r="AA509" s="235">
        <v>2855764.0540297776</v>
      </c>
      <c r="AB509" s="235">
        <v>1395473.9191496822</v>
      </c>
      <c r="AC509" s="235">
        <v>4343854.6883518994</v>
      </c>
      <c r="AD509" s="235">
        <v>1303569.4877363469</v>
      </c>
      <c r="AE509" s="235">
        <v>1852708.3680859059</v>
      </c>
      <c r="AF509" s="235">
        <v>1873701.5615042485</v>
      </c>
      <c r="AG509" s="235">
        <v>2386437.2809347454</v>
      </c>
      <c r="AH509" s="235">
        <v>2331419.6579095107</v>
      </c>
      <c r="AI509" s="235">
        <v>1311518.1302528519</v>
      </c>
      <c r="AJ509" s="235">
        <v>1490053.2930157916</v>
      </c>
      <c r="AK509" s="235">
        <v>213816.96948637988</v>
      </c>
      <c r="AL509" s="235">
        <v>145080.1929356069</v>
      </c>
      <c r="AM509" s="235">
        <v>4423963.8259462025</v>
      </c>
      <c r="AN509" s="235">
        <v>2794.9819224502194</v>
      </c>
      <c r="AO509" s="235">
        <v>2794.9819224502194</v>
      </c>
      <c r="AP509" s="235">
        <v>2794.9819224502194</v>
      </c>
      <c r="AQ509" s="235">
        <v>5996169.9819224495</v>
      </c>
      <c r="AR509" s="235">
        <v>2794.9819224502194</v>
      </c>
      <c r="AS509" s="235">
        <v>2794.9819224502194</v>
      </c>
      <c r="AT509" s="235">
        <v>5995336.1258621775</v>
      </c>
      <c r="AU509" s="235">
        <v>3597986.1258621775</v>
      </c>
      <c r="AV509" s="235"/>
      <c r="AW509" s="235"/>
      <c r="AX509" s="235"/>
      <c r="AY509" s="235"/>
      <c r="AZ509" s="235"/>
      <c r="BA509" s="235"/>
      <c r="BB509" s="235"/>
      <c r="BC509" s="235"/>
      <c r="BD509" s="235"/>
      <c r="BE509" s="235"/>
      <c r="BF509" s="235"/>
      <c r="BG509" s="235"/>
      <c r="BH509" s="235"/>
      <c r="BI509" s="235"/>
      <c r="BJ509" s="235"/>
      <c r="BK509" s="235"/>
    </row>
    <row r="510" spans="1:63" s="80" customFormat="1" ht="12.75">
      <c r="A510" s="168">
        <v>42035</v>
      </c>
      <c r="B510" s="213" t="str">
        <f>Servicio_internaColumna_título_intereses</f>
        <v>Intereses</v>
      </c>
      <c r="C510" s="270">
        <v>0</v>
      </c>
      <c r="D510" s="271"/>
      <c r="E510" s="271"/>
      <c r="F510" s="271"/>
      <c r="G510" s="271"/>
      <c r="H510" s="271"/>
      <c r="I510" s="271"/>
      <c r="J510" s="271"/>
      <c r="K510" s="271"/>
      <c r="L510" s="271"/>
      <c r="M510" s="271"/>
      <c r="N510" s="271"/>
      <c r="O510" s="271"/>
      <c r="P510" s="271"/>
      <c r="Q510" s="271">
        <v>4174592.335875269</v>
      </c>
      <c r="R510" s="271">
        <v>4334661.9330542069</v>
      </c>
      <c r="S510" s="274">
        <v>4174498.1175069925</v>
      </c>
      <c r="T510" s="271">
        <v>4013697.7777890787</v>
      </c>
      <c r="U510" s="272">
        <v>3804276.8494875855</v>
      </c>
      <c r="V510" s="272">
        <v>3420482.7440069579</v>
      </c>
      <c r="W510" s="272">
        <v>3251586.1892867158</v>
      </c>
      <c r="X510" s="272">
        <v>2771853.4614531985</v>
      </c>
      <c r="Y510" s="272">
        <v>2683491.8490213361</v>
      </c>
      <c r="Z510" s="272">
        <v>2370720.9254235364</v>
      </c>
      <c r="AA510" s="272">
        <v>2093170.2761921254</v>
      </c>
      <c r="AB510" s="272">
        <v>1992681.1210617218</v>
      </c>
      <c r="AC510" s="272">
        <v>1949216.4808667705</v>
      </c>
      <c r="AD510" s="236">
        <v>1683106.5738478466</v>
      </c>
      <c r="AE510" s="236">
        <v>1634840.0932264072</v>
      </c>
      <c r="AF510" s="236">
        <v>1563164.69245079</v>
      </c>
      <c r="AG510" s="236">
        <v>1477736.4616314352</v>
      </c>
      <c r="AH510" s="236">
        <v>1405878.4447299181</v>
      </c>
      <c r="AI510" s="236">
        <v>1318269.5116185865</v>
      </c>
      <c r="AJ510" s="236">
        <v>1262491.7147691159</v>
      </c>
      <c r="AK510" s="236">
        <v>1216006.7507293213</v>
      </c>
      <c r="AL510" s="236">
        <v>1210004.4909614217</v>
      </c>
      <c r="AM510" s="236">
        <v>1206166.9025209572</v>
      </c>
      <c r="AN510" s="236">
        <v>884071.06346425752</v>
      </c>
      <c r="AO510" s="236">
        <v>884067.27968469937</v>
      </c>
      <c r="AP510" s="236">
        <v>884063.60475359426</v>
      </c>
      <c r="AQ510" s="236">
        <v>700512.60275058274</v>
      </c>
      <c r="AR510" s="236">
        <v>516961.70959602454</v>
      </c>
      <c r="AS510" s="236">
        <v>516957.92581646628</v>
      </c>
      <c r="AT510" s="236">
        <v>348390.53754428372</v>
      </c>
      <c r="AU510" s="236">
        <v>89922.389507349682</v>
      </c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</row>
    <row r="511" spans="1:63" s="80" customFormat="1" ht="12.75">
      <c r="A511" s="169"/>
      <c r="B511" s="307" t="str">
        <f>Servicio_internaColumna_título_total</f>
        <v>Total</v>
      </c>
      <c r="C511" s="310">
        <v>0</v>
      </c>
      <c r="D511" s="311"/>
      <c r="E511" s="311"/>
      <c r="F511" s="311"/>
      <c r="G511" s="311"/>
      <c r="H511" s="311"/>
      <c r="I511" s="311"/>
      <c r="J511" s="311"/>
      <c r="K511" s="311"/>
      <c r="L511" s="311"/>
      <c r="M511" s="311"/>
      <c r="N511" s="311"/>
      <c r="O511" s="311"/>
      <c r="P511" s="311"/>
      <c r="Q511" s="311">
        <f>+Q509+Q510</f>
        <v>9534881.5380469784</v>
      </c>
      <c r="R511" s="311">
        <f t="shared" ref="R511:AU511" si="72">+R509+R510</f>
        <v>6854470.4040344153</v>
      </c>
      <c r="S511" s="312">
        <f t="shared" si="72"/>
        <v>10154175.123324471</v>
      </c>
      <c r="T511" s="311">
        <f t="shared" si="72"/>
        <v>6040115.156251844</v>
      </c>
      <c r="U511" s="311">
        <f t="shared" si="72"/>
        <v>11511143.568794021</v>
      </c>
      <c r="V511" s="311">
        <f t="shared" si="72"/>
        <v>7103655.3217141777</v>
      </c>
      <c r="W511" s="311">
        <f t="shared" si="72"/>
        <v>12154674.955650944</v>
      </c>
      <c r="X511" s="311">
        <f t="shared" si="72"/>
        <v>4455516.0204842649</v>
      </c>
      <c r="Y511" s="311">
        <f t="shared" si="72"/>
        <v>7679485.4228628855</v>
      </c>
      <c r="Z511" s="311">
        <f t="shared" si="72"/>
        <v>11288543.906934343</v>
      </c>
      <c r="AA511" s="311">
        <f t="shared" si="72"/>
        <v>4948934.3302219026</v>
      </c>
      <c r="AB511" s="311">
        <f t="shared" si="72"/>
        <v>3388155.0402114037</v>
      </c>
      <c r="AC511" s="311">
        <f t="shared" si="72"/>
        <v>6293071.1692186696</v>
      </c>
      <c r="AD511" s="311">
        <f t="shared" si="72"/>
        <v>2986676.0615841933</v>
      </c>
      <c r="AE511" s="311">
        <f t="shared" si="72"/>
        <v>3487548.4613123131</v>
      </c>
      <c r="AF511" s="311">
        <f t="shared" si="72"/>
        <v>3436866.2539550383</v>
      </c>
      <c r="AG511" s="311">
        <f t="shared" si="72"/>
        <v>3864173.7425661804</v>
      </c>
      <c r="AH511" s="311">
        <f t="shared" si="72"/>
        <v>3737298.1026394288</v>
      </c>
      <c r="AI511" s="311">
        <f t="shared" si="72"/>
        <v>2629787.6418714384</v>
      </c>
      <c r="AJ511" s="311">
        <f t="shared" si="72"/>
        <v>2752545.0077849077</v>
      </c>
      <c r="AK511" s="311">
        <f t="shared" si="72"/>
        <v>1429823.720215701</v>
      </c>
      <c r="AL511" s="311">
        <f t="shared" si="72"/>
        <v>1355084.6838970287</v>
      </c>
      <c r="AM511" s="311">
        <f t="shared" si="72"/>
        <v>5630130.7284671599</v>
      </c>
      <c r="AN511" s="311">
        <f t="shared" si="72"/>
        <v>886866.04538670776</v>
      </c>
      <c r="AO511" s="311">
        <f t="shared" si="72"/>
        <v>886862.26160714962</v>
      </c>
      <c r="AP511" s="311">
        <f t="shared" si="72"/>
        <v>886858.58667604451</v>
      </c>
      <c r="AQ511" s="311">
        <f t="shared" si="72"/>
        <v>6696682.5846730322</v>
      </c>
      <c r="AR511" s="311">
        <f t="shared" si="72"/>
        <v>519756.69151847478</v>
      </c>
      <c r="AS511" s="311">
        <f t="shared" si="72"/>
        <v>519752.90773891652</v>
      </c>
      <c r="AT511" s="311">
        <f t="shared" si="72"/>
        <v>6343726.6634064615</v>
      </c>
      <c r="AU511" s="311">
        <f t="shared" si="72"/>
        <v>3687908.515369527</v>
      </c>
      <c r="AV511" s="311"/>
      <c r="AW511" s="311"/>
      <c r="AX511" s="311"/>
      <c r="AY511" s="311"/>
      <c r="AZ511" s="311"/>
      <c r="BA511" s="311"/>
      <c r="BB511" s="311"/>
      <c r="BC511" s="311"/>
      <c r="BD511" s="311"/>
      <c r="BE511" s="311"/>
      <c r="BF511" s="311"/>
      <c r="BG511" s="311"/>
      <c r="BH511" s="311"/>
      <c r="BI511" s="311"/>
      <c r="BJ511" s="311"/>
      <c r="BK511" s="311"/>
    </row>
    <row r="512" spans="1:63" s="80" customFormat="1" ht="12.75">
      <c r="A512" s="167"/>
      <c r="B512" s="210" t="str">
        <f>Servicio_internaColumna_título_amortizaciones</f>
        <v>Amortizaciones</v>
      </c>
      <c r="C512" s="269">
        <v>0</v>
      </c>
      <c r="D512" s="235"/>
      <c r="E512" s="235"/>
      <c r="F512" s="235"/>
      <c r="G512" s="235"/>
      <c r="H512" s="235"/>
      <c r="I512" s="235"/>
      <c r="J512" s="235"/>
      <c r="K512" s="235"/>
      <c r="L512" s="235"/>
      <c r="M512" s="235"/>
      <c r="N512" s="235"/>
      <c r="O512" s="235"/>
      <c r="P512" s="235"/>
      <c r="Q512" s="235">
        <v>5474937.0035530003</v>
      </c>
      <c r="R512" s="235">
        <v>2589878.0737552657</v>
      </c>
      <c r="S512" s="273">
        <v>6182793.5497044772</v>
      </c>
      <c r="T512" s="235">
        <v>2086738.6330416428</v>
      </c>
      <c r="U512" s="235">
        <v>7966655.1558257174</v>
      </c>
      <c r="V512" s="235">
        <v>3812207.8303435841</v>
      </c>
      <c r="W512" s="235">
        <v>9165840.0711358935</v>
      </c>
      <c r="X512" s="235">
        <v>1739944.106553518</v>
      </c>
      <c r="Y512" s="235">
        <v>5150035.407765111</v>
      </c>
      <c r="Z512" s="235">
        <v>9239534.9905629568</v>
      </c>
      <c r="AA512" s="235">
        <v>2914067.7698405185</v>
      </c>
      <c r="AB512" s="235">
        <v>1394469.6856123523</v>
      </c>
      <c r="AC512" s="235">
        <v>4456541.9738171445</v>
      </c>
      <c r="AD512" s="235">
        <v>1349476.5081192029</v>
      </c>
      <c r="AE512" s="235">
        <v>1915859.6894495054</v>
      </c>
      <c r="AF512" s="235">
        <v>1941817.7246179162</v>
      </c>
      <c r="AG512" s="235">
        <v>2473211.7288114475</v>
      </c>
      <c r="AH512" s="235">
        <v>2416192.2340292763</v>
      </c>
      <c r="AI512" s="235">
        <v>1359180.559644985</v>
      </c>
      <c r="AJ512" s="235">
        <v>2041127.9045456229</v>
      </c>
      <c r="AK512" s="235">
        <v>221538.43395738769</v>
      </c>
      <c r="AL512" s="235">
        <v>150355.64186591082</v>
      </c>
      <c r="AM512" s="235">
        <v>4584931.0349605018</v>
      </c>
      <c r="AN512" s="235">
        <v>2896.6801613787575</v>
      </c>
      <c r="AO512" s="235">
        <v>2896.6801613787575</v>
      </c>
      <c r="AP512" s="235">
        <v>2896.6801613787575</v>
      </c>
      <c r="AQ512" s="235">
        <v>6214346.6801613783</v>
      </c>
      <c r="AR512" s="235">
        <v>2896.6801613787575</v>
      </c>
      <c r="AS512" s="235">
        <v>2896.6801613787575</v>
      </c>
      <c r="AT512" s="235">
        <v>6213482.4834065316</v>
      </c>
      <c r="AU512" s="235">
        <v>3728902.4834065316</v>
      </c>
      <c r="AV512" s="235"/>
      <c r="AW512" s="235"/>
      <c r="AX512" s="235"/>
      <c r="AY512" s="235"/>
      <c r="AZ512" s="235"/>
      <c r="BA512" s="235"/>
      <c r="BB512" s="235"/>
      <c r="BC512" s="235"/>
      <c r="BD512" s="235"/>
      <c r="BE512" s="235"/>
      <c r="BF512" s="235"/>
      <c r="BG512" s="235"/>
      <c r="BH512" s="235"/>
      <c r="BI512" s="235"/>
      <c r="BJ512" s="235"/>
      <c r="BK512" s="235"/>
    </row>
    <row r="513" spans="1:63" s="80" customFormat="1" ht="12.75">
      <c r="A513" s="168">
        <v>42063</v>
      </c>
      <c r="B513" s="213" t="str">
        <f>Servicio_internaColumna_título_intereses</f>
        <v>Intereses</v>
      </c>
      <c r="C513" s="270">
        <v>0</v>
      </c>
      <c r="D513" s="271"/>
      <c r="E513" s="271"/>
      <c r="F513" s="271"/>
      <c r="G513" s="271"/>
      <c r="H513" s="271"/>
      <c r="I513" s="271"/>
      <c r="J513" s="271"/>
      <c r="K513" s="271"/>
      <c r="L513" s="271"/>
      <c r="M513" s="271"/>
      <c r="N513" s="271"/>
      <c r="O513" s="271"/>
      <c r="P513" s="271"/>
      <c r="Q513" s="271">
        <v>3752080.8725032839</v>
      </c>
      <c r="R513" s="271">
        <v>4472442.3019077415</v>
      </c>
      <c r="S513" s="274">
        <v>4297137.462418464</v>
      </c>
      <c r="T513" s="271">
        <v>4110028.5004408546</v>
      </c>
      <c r="U513" s="272">
        <v>3899749.2325273864</v>
      </c>
      <c r="V513" s="272">
        <v>3591161.6985120201</v>
      </c>
      <c r="W513" s="272">
        <v>3486310.43859585</v>
      </c>
      <c r="X513" s="272">
        <v>2950679.8442436131</v>
      </c>
      <c r="Y513" s="272">
        <v>2818150.8956829081</v>
      </c>
      <c r="Z513" s="272">
        <v>2498925.4866636451</v>
      </c>
      <c r="AA513" s="272">
        <v>2211296.97295155</v>
      </c>
      <c r="AB513" s="272">
        <v>2097593.1399603495</v>
      </c>
      <c r="AC513" s="272">
        <v>2052950.4965770259</v>
      </c>
      <c r="AD513" s="236">
        <v>1782494.4789150804</v>
      </c>
      <c r="AE513" s="236">
        <v>1731774.0837063736</v>
      </c>
      <c r="AF513" s="236">
        <v>1654623.2994937322</v>
      </c>
      <c r="AG513" s="236">
        <v>1557513.7738374521</v>
      </c>
      <c r="AH513" s="236">
        <v>1479651.6154480646</v>
      </c>
      <c r="AI513" s="236">
        <v>1386778.1459250562</v>
      </c>
      <c r="AJ513" s="236">
        <v>1328739.8558263071</v>
      </c>
      <c r="AK513" s="236">
        <v>1260878.8432301679</v>
      </c>
      <c r="AL513" s="236">
        <v>1254305.0652119659</v>
      </c>
      <c r="AM513" s="236">
        <v>1250093.6891736232</v>
      </c>
      <c r="AN513" s="236">
        <v>916238.88162430399</v>
      </c>
      <c r="AO513" s="236">
        <v>916234.9601681066</v>
      </c>
      <c r="AP513" s="236">
        <v>916231.15152092313</v>
      </c>
      <c r="AQ513" s="236">
        <v>726001.46100571181</v>
      </c>
      <c r="AR513" s="236">
        <v>535771.8832995143</v>
      </c>
      <c r="AS513" s="236">
        <v>535767.96184331691</v>
      </c>
      <c r="AT513" s="236">
        <v>361067.078971271</v>
      </c>
      <c r="AU513" s="236">
        <v>93194.306430922006</v>
      </c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</row>
    <row r="514" spans="1:63" s="80" customFormat="1" ht="12.75">
      <c r="A514" s="169"/>
      <c r="B514" s="307" t="str">
        <f>Servicio_internaColumna_título_total</f>
        <v>Total</v>
      </c>
      <c r="C514" s="310">
        <v>0</v>
      </c>
      <c r="D514" s="311"/>
      <c r="E514" s="311"/>
      <c r="F514" s="311"/>
      <c r="G514" s="311"/>
      <c r="H514" s="311"/>
      <c r="I514" s="311"/>
      <c r="J514" s="311"/>
      <c r="K514" s="311"/>
      <c r="L514" s="311"/>
      <c r="M514" s="311"/>
      <c r="N514" s="311"/>
      <c r="O514" s="311"/>
      <c r="P514" s="311"/>
      <c r="Q514" s="311">
        <f>+Q512+Q513</f>
        <v>9227017.8760562837</v>
      </c>
      <c r="R514" s="311">
        <f t="shared" ref="R514:AU514" si="73">+R512+R513</f>
        <v>7062320.3756630067</v>
      </c>
      <c r="S514" s="312">
        <f t="shared" si="73"/>
        <v>10479931.01212294</v>
      </c>
      <c r="T514" s="311">
        <f t="shared" si="73"/>
        <v>6196767.1334824972</v>
      </c>
      <c r="U514" s="311">
        <f t="shared" si="73"/>
        <v>11866404.388353104</v>
      </c>
      <c r="V514" s="311">
        <f t="shared" si="73"/>
        <v>7403369.5288556041</v>
      </c>
      <c r="W514" s="311">
        <f t="shared" si="73"/>
        <v>12652150.509731743</v>
      </c>
      <c r="X514" s="311">
        <f t="shared" si="73"/>
        <v>4690623.9507971313</v>
      </c>
      <c r="Y514" s="311">
        <f t="shared" si="73"/>
        <v>7968186.3034480195</v>
      </c>
      <c r="Z514" s="311">
        <f t="shared" si="73"/>
        <v>11738460.477226602</v>
      </c>
      <c r="AA514" s="311">
        <f t="shared" si="73"/>
        <v>5125364.742792068</v>
      </c>
      <c r="AB514" s="311">
        <f t="shared" si="73"/>
        <v>3492062.8255727021</v>
      </c>
      <c r="AC514" s="311">
        <f t="shared" si="73"/>
        <v>6509492.4703941699</v>
      </c>
      <c r="AD514" s="311">
        <f t="shared" si="73"/>
        <v>3131970.9870342836</v>
      </c>
      <c r="AE514" s="311">
        <f t="shared" si="73"/>
        <v>3647633.7731558792</v>
      </c>
      <c r="AF514" s="311">
        <f t="shared" si="73"/>
        <v>3596441.0241116481</v>
      </c>
      <c r="AG514" s="311">
        <f t="shared" si="73"/>
        <v>4030725.5026488993</v>
      </c>
      <c r="AH514" s="311">
        <f t="shared" si="73"/>
        <v>3895843.8494773409</v>
      </c>
      <c r="AI514" s="311">
        <f t="shared" si="73"/>
        <v>2745958.7055700412</v>
      </c>
      <c r="AJ514" s="311">
        <f t="shared" si="73"/>
        <v>3369867.76037193</v>
      </c>
      <c r="AK514" s="311">
        <f t="shared" si="73"/>
        <v>1482417.2771875556</v>
      </c>
      <c r="AL514" s="311">
        <f t="shared" si="73"/>
        <v>1404660.7070778767</v>
      </c>
      <c r="AM514" s="311">
        <f t="shared" si="73"/>
        <v>5835024.7241341248</v>
      </c>
      <c r="AN514" s="311">
        <f t="shared" si="73"/>
        <v>919135.5617856828</v>
      </c>
      <c r="AO514" s="311">
        <f t="shared" si="73"/>
        <v>919131.64032948541</v>
      </c>
      <c r="AP514" s="311">
        <f t="shared" si="73"/>
        <v>919127.83168230194</v>
      </c>
      <c r="AQ514" s="311">
        <f t="shared" si="73"/>
        <v>6940348.1411670903</v>
      </c>
      <c r="AR514" s="311">
        <f t="shared" si="73"/>
        <v>538668.56346089311</v>
      </c>
      <c r="AS514" s="311">
        <f t="shared" si="73"/>
        <v>538664.64200469572</v>
      </c>
      <c r="AT514" s="311">
        <f t="shared" si="73"/>
        <v>6574549.562377803</v>
      </c>
      <c r="AU514" s="311">
        <f t="shared" si="73"/>
        <v>3822096.7898374535</v>
      </c>
      <c r="AV514" s="311"/>
      <c r="AW514" s="311"/>
      <c r="AX514" s="311"/>
      <c r="AY514" s="311"/>
      <c r="AZ514" s="311"/>
      <c r="BA514" s="311"/>
      <c r="BB514" s="311"/>
      <c r="BC514" s="311"/>
      <c r="BD514" s="311"/>
      <c r="BE514" s="311"/>
      <c r="BF514" s="311"/>
      <c r="BG514" s="311"/>
      <c r="BH514" s="311"/>
      <c r="BI514" s="311"/>
      <c r="BJ514" s="311"/>
      <c r="BK514" s="311"/>
    </row>
    <row r="515" spans="1:63" s="80" customFormat="1" ht="12.75">
      <c r="A515" s="167"/>
      <c r="B515" s="210" t="str">
        <f>Servicio_internaColumna_título_amortizaciones</f>
        <v>Amortizaciones</v>
      </c>
      <c r="C515" s="269">
        <v>0</v>
      </c>
      <c r="D515" s="235"/>
      <c r="E515" s="235"/>
      <c r="F515" s="235"/>
      <c r="G515" s="235"/>
      <c r="H515" s="235"/>
      <c r="I515" s="235"/>
      <c r="J515" s="235"/>
      <c r="K515" s="235"/>
      <c r="L515" s="235"/>
      <c r="M515" s="235"/>
      <c r="N515" s="235"/>
      <c r="O515" s="235"/>
      <c r="P515" s="235"/>
      <c r="Q515" s="235">
        <v>5428320.1475212108</v>
      </c>
      <c r="R515" s="235">
        <v>2596078.3869585521</v>
      </c>
      <c r="S515" s="273">
        <v>6389598.1329000657</v>
      </c>
      <c r="T515" s="235">
        <v>2147233.2140209307</v>
      </c>
      <c r="U515" s="235">
        <v>8241182.4596610852</v>
      </c>
      <c r="V515" s="235">
        <v>3946394.2725381535</v>
      </c>
      <c r="W515" s="235">
        <v>9419224.6106409859</v>
      </c>
      <c r="X515" s="235">
        <v>1798076.4857719436</v>
      </c>
      <c r="Y515" s="235">
        <v>5302190.0589059237</v>
      </c>
      <c r="Z515" s="235">
        <v>9576114.7752754204</v>
      </c>
      <c r="AA515" s="235">
        <v>3063552.6997409817</v>
      </c>
      <c r="AB515" s="235">
        <v>1501649.0181087919</v>
      </c>
      <c r="AC515" s="235">
        <v>4556364.3112772051</v>
      </c>
      <c r="AD515" s="235">
        <v>1396246.1434178567</v>
      </c>
      <c r="AE515" s="235">
        <v>1989840.5893673508</v>
      </c>
      <c r="AF515" s="235">
        <v>2013424.3906547653</v>
      </c>
      <c r="AG515" s="235">
        <v>2562873.7934022355</v>
      </c>
      <c r="AH515" s="235">
        <v>2503755.1216212451</v>
      </c>
      <c r="AI515" s="235">
        <v>1407829.4827616976</v>
      </c>
      <c r="AJ515" s="235">
        <v>2116069.1354629188</v>
      </c>
      <c r="AK515" s="235">
        <v>229491.34134527165</v>
      </c>
      <c r="AL515" s="235">
        <v>156274.68248175902</v>
      </c>
      <c r="AM515" s="235">
        <v>4754112.4156919774</v>
      </c>
      <c r="AN515" s="235">
        <v>3003.3216598860768</v>
      </c>
      <c r="AO515" s="235">
        <v>3003.3216598860768</v>
      </c>
      <c r="AP515" s="235">
        <v>3003.3216598860768</v>
      </c>
      <c r="AQ515" s="235">
        <v>6443128.3216598863</v>
      </c>
      <c r="AR515" s="235">
        <v>3003.3216598860768</v>
      </c>
      <c r="AS515" s="235">
        <v>3003.3216598860768</v>
      </c>
      <c r="AT515" s="235">
        <v>6442232.3094363622</v>
      </c>
      <c r="AU515" s="235">
        <v>6442232.3094363622</v>
      </c>
      <c r="AV515" s="235"/>
      <c r="AW515" s="235"/>
      <c r="AX515" s="235"/>
      <c r="AY515" s="235"/>
      <c r="AZ515" s="235"/>
      <c r="BA515" s="235"/>
      <c r="BB515" s="235"/>
      <c r="BC515" s="235"/>
      <c r="BD515" s="235"/>
      <c r="BE515" s="235"/>
      <c r="BF515" s="235"/>
      <c r="BG515" s="235"/>
      <c r="BH515" s="235"/>
      <c r="BI515" s="235"/>
      <c r="BJ515" s="235"/>
      <c r="BK515" s="235"/>
    </row>
    <row r="516" spans="1:63" s="80" customFormat="1" ht="12.75">
      <c r="A516" s="168">
        <v>42094</v>
      </c>
      <c r="B516" s="213" t="str">
        <f>Servicio_internaColumna_título_intereses</f>
        <v>Intereses</v>
      </c>
      <c r="C516" s="270">
        <v>0</v>
      </c>
      <c r="D516" s="271"/>
      <c r="E516" s="271"/>
      <c r="F516" s="271"/>
      <c r="G516" s="271"/>
      <c r="H516" s="271"/>
      <c r="I516" s="271"/>
      <c r="J516" s="271"/>
      <c r="K516" s="271"/>
      <c r="L516" s="271"/>
      <c r="M516" s="271"/>
      <c r="N516" s="271"/>
      <c r="O516" s="271"/>
      <c r="P516" s="271"/>
      <c r="Q516" s="271">
        <v>3471834.8014595942</v>
      </c>
      <c r="R516" s="271">
        <v>4739759.6404037066</v>
      </c>
      <c r="S516" s="274">
        <v>4535423.4803995294</v>
      </c>
      <c r="T516" s="271">
        <v>4322553.2265695352</v>
      </c>
      <c r="U516" s="272">
        <v>4112213.4142800122</v>
      </c>
      <c r="V516" s="272">
        <v>3790370.8745306022</v>
      </c>
      <c r="W516" s="272">
        <v>3690678.3116912371</v>
      </c>
      <c r="X516" s="272">
        <v>3167528.7506556627</v>
      </c>
      <c r="Y516" s="272">
        <v>3023376.0220937845</v>
      </c>
      <c r="Z516" s="272">
        <v>2695535.21131883</v>
      </c>
      <c r="AA516" s="272">
        <v>2406258.051812334</v>
      </c>
      <c r="AB516" s="272">
        <v>2286112.711920016</v>
      </c>
      <c r="AC516" s="272">
        <v>2241397.4271113644</v>
      </c>
      <c r="AD516" s="236">
        <v>1969674.1267882343</v>
      </c>
      <c r="AE516" s="236">
        <v>1918759.2921869385</v>
      </c>
      <c r="AF516" s="236">
        <v>1842050.2081630223</v>
      </c>
      <c r="AG516" s="236">
        <v>1738071.9322280714</v>
      </c>
      <c r="AH516" s="236">
        <v>1659148.157355713</v>
      </c>
      <c r="AI516" s="236">
        <v>1564230.2154167045</v>
      </c>
      <c r="AJ516" s="236">
        <v>1504296.0976232942</v>
      </c>
      <c r="AK516" s="236">
        <v>1435872.2719058138</v>
      </c>
      <c r="AL516" s="236">
        <v>1429186.3702003858</v>
      </c>
      <c r="AM516" s="236">
        <v>1424918.6370547286</v>
      </c>
      <c r="AN516" s="236">
        <v>1078772.7851219475</v>
      </c>
      <c r="AO516" s="236">
        <v>1078768.7192970447</v>
      </c>
      <c r="AP516" s="236">
        <v>1078764.770434228</v>
      </c>
      <c r="AQ516" s="236">
        <v>881531.75952223875</v>
      </c>
      <c r="AR516" s="236">
        <v>684298.86557233578</v>
      </c>
      <c r="AS516" s="236">
        <v>684294.79974743281</v>
      </c>
      <c r="AT516" s="236">
        <v>503162.29070263094</v>
      </c>
      <c r="AU516" s="236">
        <v>161026.51184762683</v>
      </c>
      <c r="AV516" s="236"/>
      <c r="AW516" s="236"/>
      <c r="AX516" s="236"/>
      <c r="AY516" s="236"/>
      <c r="AZ516" s="236"/>
      <c r="BA516" s="236"/>
      <c r="BB516" s="236"/>
      <c r="BC516" s="236"/>
      <c r="BD516" s="236"/>
      <c r="BE516" s="236"/>
      <c r="BF516" s="236"/>
      <c r="BG516" s="236"/>
      <c r="BH516" s="236"/>
      <c r="BI516" s="236"/>
      <c r="BJ516" s="236"/>
      <c r="BK516" s="236"/>
    </row>
    <row r="517" spans="1:63" s="80" customFormat="1" ht="12.75">
      <c r="A517" s="169"/>
      <c r="B517" s="307" t="str">
        <f>Servicio_internaColumna_título_total</f>
        <v>Total</v>
      </c>
      <c r="C517" s="310">
        <v>0</v>
      </c>
      <c r="D517" s="311"/>
      <c r="E517" s="311"/>
      <c r="F517" s="311"/>
      <c r="G517" s="311"/>
      <c r="H517" s="311"/>
      <c r="I517" s="311"/>
      <c r="J517" s="311"/>
      <c r="K517" s="311"/>
      <c r="L517" s="311"/>
      <c r="M517" s="311"/>
      <c r="N517" s="311"/>
      <c r="O517" s="311"/>
      <c r="P517" s="311"/>
      <c r="Q517" s="311">
        <f>+Q515+Q516</f>
        <v>8900154.9489808045</v>
      </c>
      <c r="R517" s="311">
        <f t="shared" ref="R517:AU517" si="74">+R515+R516</f>
        <v>7335838.0273622591</v>
      </c>
      <c r="S517" s="312">
        <f t="shared" si="74"/>
        <v>10925021.613299595</v>
      </c>
      <c r="T517" s="311">
        <f t="shared" si="74"/>
        <v>6469786.4405904654</v>
      </c>
      <c r="U517" s="311">
        <f t="shared" si="74"/>
        <v>12353395.873941097</v>
      </c>
      <c r="V517" s="311">
        <f t="shared" si="74"/>
        <v>7736765.1470687557</v>
      </c>
      <c r="W517" s="311">
        <f t="shared" si="74"/>
        <v>13109902.922332224</v>
      </c>
      <c r="X517" s="311">
        <f t="shared" si="74"/>
        <v>4965605.2364276061</v>
      </c>
      <c r="Y517" s="311">
        <f t="shared" si="74"/>
        <v>8325566.0809997078</v>
      </c>
      <c r="Z517" s="311">
        <f t="shared" si="74"/>
        <v>12271649.98659425</v>
      </c>
      <c r="AA517" s="311">
        <f t="shared" si="74"/>
        <v>5469810.7515533157</v>
      </c>
      <c r="AB517" s="311">
        <f t="shared" si="74"/>
        <v>3787761.7300288081</v>
      </c>
      <c r="AC517" s="311">
        <f t="shared" si="74"/>
        <v>6797761.73838857</v>
      </c>
      <c r="AD517" s="311">
        <f t="shared" si="74"/>
        <v>3365920.270206091</v>
      </c>
      <c r="AE517" s="311">
        <f t="shared" si="74"/>
        <v>3908599.8815542893</v>
      </c>
      <c r="AF517" s="311">
        <f t="shared" si="74"/>
        <v>3855474.5988177876</v>
      </c>
      <c r="AG517" s="311">
        <f t="shared" si="74"/>
        <v>4300945.7256303066</v>
      </c>
      <c r="AH517" s="311">
        <f t="shared" si="74"/>
        <v>4162903.2789769582</v>
      </c>
      <c r="AI517" s="311">
        <f t="shared" si="74"/>
        <v>2972059.6981784021</v>
      </c>
      <c r="AJ517" s="311">
        <f t="shared" si="74"/>
        <v>3620365.233086213</v>
      </c>
      <c r="AK517" s="311">
        <f t="shared" si="74"/>
        <v>1665363.6132510854</v>
      </c>
      <c r="AL517" s="311">
        <f t="shared" si="74"/>
        <v>1585461.0526821448</v>
      </c>
      <c r="AM517" s="311">
        <f t="shared" si="74"/>
        <v>6179031.0527467057</v>
      </c>
      <c r="AN517" s="311">
        <f t="shared" si="74"/>
        <v>1081776.1067818336</v>
      </c>
      <c r="AO517" s="311">
        <f t="shared" si="74"/>
        <v>1081772.0409569307</v>
      </c>
      <c r="AP517" s="311">
        <f t="shared" si="74"/>
        <v>1081768.0920941141</v>
      </c>
      <c r="AQ517" s="311">
        <f t="shared" si="74"/>
        <v>7324660.081182125</v>
      </c>
      <c r="AR517" s="311">
        <f t="shared" si="74"/>
        <v>687302.18723222183</v>
      </c>
      <c r="AS517" s="311">
        <f t="shared" si="74"/>
        <v>687298.12140731886</v>
      </c>
      <c r="AT517" s="311">
        <f t="shared" si="74"/>
        <v>6945394.600138993</v>
      </c>
      <c r="AU517" s="311">
        <f t="shared" si="74"/>
        <v>6603258.8212839887</v>
      </c>
      <c r="AV517" s="311"/>
      <c r="AW517" s="311"/>
      <c r="AX517" s="311"/>
      <c r="AY517" s="311"/>
      <c r="AZ517" s="311"/>
      <c r="BA517" s="311"/>
      <c r="BB517" s="311"/>
      <c r="BC517" s="311"/>
      <c r="BD517" s="311"/>
      <c r="BE517" s="311"/>
      <c r="BF517" s="311"/>
      <c r="BG517" s="311"/>
      <c r="BH517" s="311"/>
      <c r="BI517" s="311"/>
      <c r="BJ517" s="311"/>
      <c r="BK517" s="311"/>
    </row>
    <row r="518" spans="1:63" s="80" customFormat="1" ht="12.75">
      <c r="A518" s="167"/>
      <c r="B518" s="210" t="str">
        <f>Servicio_internaColumna_título_amortizaciones</f>
        <v>Amortizaciones</v>
      </c>
      <c r="C518" s="269">
        <v>0</v>
      </c>
      <c r="D518" s="235"/>
      <c r="E518" s="235"/>
      <c r="F518" s="235"/>
      <c r="G518" s="235"/>
      <c r="H518" s="235"/>
      <c r="I518" s="235"/>
      <c r="J518" s="235"/>
      <c r="K518" s="235"/>
      <c r="L518" s="235"/>
      <c r="M518" s="235"/>
      <c r="N518" s="235"/>
      <c r="O518" s="235"/>
      <c r="P518" s="235"/>
      <c r="Q518" s="235">
        <v>5240173.0942674857</v>
      </c>
      <c r="R518" s="235">
        <v>2426420.918819915</v>
      </c>
      <c r="S518" s="273">
        <v>5931933.5370046645</v>
      </c>
      <c r="T518" s="235">
        <v>1997086.1134426245</v>
      </c>
      <c r="U518" s="235">
        <v>7646930.659800468</v>
      </c>
      <c r="V518" s="235">
        <v>3663409.0963750836</v>
      </c>
      <c r="W518" s="235">
        <v>8916928.2697818018</v>
      </c>
      <c r="X518" s="235">
        <v>1671864.0224550662</v>
      </c>
      <c r="Y518" s="235">
        <v>4993109.4404395474</v>
      </c>
      <c r="Z518" s="235">
        <v>8876282.1145113632</v>
      </c>
      <c r="AA518" s="235">
        <v>2838981.2119276486</v>
      </c>
      <c r="AB518" s="235">
        <v>1391059.1195930406</v>
      </c>
      <c r="AC518" s="235">
        <v>4363245.1549335616</v>
      </c>
      <c r="AD518" s="235">
        <v>1293608.1593658396</v>
      </c>
      <c r="AE518" s="235">
        <v>1843019.2063037832</v>
      </c>
      <c r="AF518" s="235">
        <v>1866325.0537702476</v>
      </c>
      <c r="AG518" s="235">
        <v>2375766.2001288906</v>
      </c>
      <c r="AH518" s="235">
        <v>2320892.1513607674</v>
      </c>
      <c r="AI518" s="235">
        <v>1304942.8564577457</v>
      </c>
      <c r="AJ518" s="235">
        <v>1961712.8456499514</v>
      </c>
      <c r="AK518" s="235">
        <v>212810.08094406917</v>
      </c>
      <c r="AL518" s="235">
        <v>144936.4859573259</v>
      </c>
      <c r="AM518" s="235">
        <v>4407239.3148058997</v>
      </c>
      <c r="AN518" s="235">
        <v>2784.1510541750135</v>
      </c>
      <c r="AO518" s="235">
        <v>2784.1510541750135</v>
      </c>
      <c r="AP518" s="235">
        <v>2784.1510541750135</v>
      </c>
      <c r="AQ518" s="235">
        <v>5972934.1510541746</v>
      </c>
      <c r="AR518" s="235">
        <v>2784.1510541750135</v>
      </c>
      <c r="AS518" s="235">
        <v>2784.1510541750135</v>
      </c>
      <c r="AT518" s="235">
        <v>5972103.5262796134</v>
      </c>
      <c r="AU518" s="235">
        <v>5972103.5262796134</v>
      </c>
      <c r="AV518" s="235"/>
      <c r="AW518" s="235"/>
      <c r="AX518" s="235"/>
      <c r="AY518" s="235"/>
      <c r="AZ518" s="235"/>
      <c r="BA518" s="235"/>
      <c r="BB518" s="235"/>
      <c r="BC518" s="235"/>
      <c r="BD518" s="235"/>
      <c r="BE518" s="235"/>
      <c r="BF518" s="235"/>
      <c r="BG518" s="235"/>
      <c r="BH518" s="235"/>
      <c r="BI518" s="235"/>
      <c r="BJ518" s="235"/>
      <c r="BK518" s="235"/>
    </row>
    <row r="519" spans="1:63" s="80" customFormat="1" ht="12.75">
      <c r="A519" s="168">
        <v>42124</v>
      </c>
      <c r="B519" s="213" t="str">
        <f>Servicio_internaColumna_título_intereses</f>
        <v>Intereses</v>
      </c>
      <c r="C519" s="270">
        <v>0</v>
      </c>
      <c r="D519" s="271"/>
      <c r="E519" s="271"/>
      <c r="F519" s="271"/>
      <c r="G519" s="271"/>
      <c r="H519" s="271"/>
      <c r="I519" s="271"/>
      <c r="J519" s="271"/>
      <c r="K519" s="271"/>
      <c r="L519" s="271"/>
      <c r="M519" s="271"/>
      <c r="N519" s="271"/>
      <c r="O519" s="271"/>
      <c r="P519" s="271"/>
      <c r="Q519" s="271">
        <v>2989894.9016157771</v>
      </c>
      <c r="R519" s="271">
        <v>4422954.3757792162</v>
      </c>
      <c r="S519" s="274">
        <v>4241773.044750669</v>
      </c>
      <c r="T519" s="271">
        <v>4039923.7962692073</v>
      </c>
      <c r="U519" s="272">
        <v>3847715.7815606128</v>
      </c>
      <c r="V519" s="272">
        <v>3549079.6174615463</v>
      </c>
      <c r="W519" s="272">
        <v>3465671.0130803138</v>
      </c>
      <c r="X519" s="272">
        <v>2982361.2725529624</v>
      </c>
      <c r="Y519" s="272">
        <v>2839784.6392169124</v>
      </c>
      <c r="Z519" s="272">
        <v>2534755.8789644865</v>
      </c>
      <c r="AA519" s="272">
        <v>2269262.1414150987</v>
      </c>
      <c r="AB519" s="272">
        <v>2147744.695120146</v>
      </c>
      <c r="AC519" s="272">
        <v>2106568.6591356611</v>
      </c>
      <c r="AD519" s="236">
        <v>1839483.8228905611</v>
      </c>
      <c r="AE519" s="236">
        <v>1791824.5776493854</v>
      </c>
      <c r="AF519" s="236">
        <v>1721394.3551766749</v>
      </c>
      <c r="AG519" s="236">
        <v>1617471.3848762913</v>
      </c>
      <c r="AH519" s="236">
        <v>1542207.2102606082</v>
      </c>
      <c r="AI519" s="236">
        <v>1453001.7919399892</v>
      </c>
      <c r="AJ519" s="236">
        <v>1397362.6667154219</v>
      </c>
      <c r="AK519" s="236">
        <v>1331472.0193272161</v>
      </c>
      <c r="AL519" s="236">
        <v>1325058.3601835158</v>
      </c>
      <c r="AM519" s="236">
        <v>1320958.0965962023</v>
      </c>
      <c r="AN519" s="236">
        <v>1000048.1889863621</v>
      </c>
      <c r="AO519" s="236">
        <v>1000044.4198693738</v>
      </c>
      <c r="AP519" s="236">
        <v>1000040.7591790386</v>
      </c>
      <c r="AQ519" s="236">
        <v>817201.03788539709</v>
      </c>
      <c r="AR519" s="236">
        <v>634361.4250184088</v>
      </c>
      <c r="AS519" s="236">
        <v>634357.65590142051</v>
      </c>
      <c r="AT519" s="236">
        <v>466443.48515569366</v>
      </c>
      <c r="AU519" s="236">
        <v>149275.43016744385</v>
      </c>
      <c r="AV519" s="236"/>
      <c r="AW519" s="236"/>
      <c r="AX519" s="236"/>
      <c r="AY519" s="236"/>
      <c r="AZ519" s="236"/>
      <c r="BA519" s="236"/>
      <c r="BB519" s="236"/>
      <c r="BC519" s="236"/>
      <c r="BD519" s="236"/>
      <c r="BE519" s="236"/>
      <c r="BF519" s="236"/>
      <c r="BG519" s="236"/>
      <c r="BH519" s="236"/>
      <c r="BI519" s="236"/>
      <c r="BJ519" s="236"/>
      <c r="BK519" s="236"/>
    </row>
    <row r="520" spans="1:63" s="80" customFormat="1" ht="12.75">
      <c r="A520" s="169"/>
      <c r="B520" s="307" t="str">
        <f>Servicio_internaColumna_título_total</f>
        <v>Total</v>
      </c>
      <c r="C520" s="310">
        <v>0</v>
      </c>
      <c r="D520" s="311"/>
      <c r="E520" s="311"/>
      <c r="F520" s="311"/>
      <c r="G520" s="311"/>
      <c r="H520" s="311"/>
      <c r="I520" s="311"/>
      <c r="J520" s="311"/>
      <c r="K520" s="311"/>
      <c r="L520" s="311"/>
      <c r="M520" s="311"/>
      <c r="N520" s="311"/>
      <c r="O520" s="311"/>
      <c r="P520" s="311"/>
      <c r="Q520" s="311">
        <f>+Q518+Q519</f>
        <v>8230067.9958832627</v>
      </c>
      <c r="R520" s="311">
        <f t="shared" ref="R520:AU520" si="75">+R518+R519</f>
        <v>6849375.2945991307</v>
      </c>
      <c r="S520" s="312">
        <f t="shared" si="75"/>
        <v>10173706.581755333</v>
      </c>
      <c r="T520" s="311">
        <f t="shared" si="75"/>
        <v>6037009.9097118322</v>
      </c>
      <c r="U520" s="311">
        <f t="shared" si="75"/>
        <v>11494646.441361081</v>
      </c>
      <c r="V520" s="311">
        <f t="shared" si="75"/>
        <v>7212488.7138366299</v>
      </c>
      <c r="W520" s="311">
        <f t="shared" si="75"/>
        <v>12382599.282862116</v>
      </c>
      <c r="X520" s="311">
        <f t="shared" si="75"/>
        <v>4654225.2950080289</v>
      </c>
      <c r="Y520" s="311">
        <f t="shared" si="75"/>
        <v>7832894.0796564594</v>
      </c>
      <c r="Z520" s="311">
        <f t="shared" si="75"/>
        <v>11411037.993475851</v>
      </c>
      <c r="AA520" s="311">
        <f t="shared" si="75"/>
        <v>5108243.3533427473</v>
      </c>
      <c r="AB520" s="311">
        <f t="shared" si="75"/>
        <v>3538803.8147131866</v>
      </c>
      <c r="AC520" s="311">
        <f t="shared" si="75"/>
        <v>6469813.8140692227</v>
      </c>
      <c r="AD520" s="311">
        <f t="shared" si="75"/>
        <v>3133091.9822564004</v>
      </c>
      <c r="AE520" s="311">
        <f t="shared" si="75"/>
        <v>3634843.7839531684</v>
      </c>
      <c r="AF520" s="311">
        <f t="shared" si="75"/>
        <v>3587719.4089469225</v>
      </c>
      <c r="AG520" s="311">
        <f t="shared" si="75"/>
        <v>3993237.5850051818</v>
      </c>
      <c r="AH520" s="311">
        <f t="shared" si="75"/>
        <v>3863099.3616213757</v>
      </c>
      <c r="AI520" s="311">
        <f t="shared" si="75"/>
        <v>2757944.6483977349</v>
      </c>
      <c r="AJ520" s="311">
        <f t="shared" si="75"/>
        <v>3359075.5123653733</v>
      </c>
      <c r="AK520" s="311">
        <f t="shared" si="75"/>
        <v>1544282.1002712853</v>
      </c>
      <c r="AL520" s="311">
        <f t="shared" si="75"/>
        <v>1469994.8461408417</v>
      </c>
      <c r="AM520" s="311">
        <f t="shared" si="75"/>
        <v>5728197.4114021026</v>
      </c>
      <c r="AN520" s="311">
        <f t="shared" si="75"/>
        <v>1002832.3400405371</v>
      </c>
      <c r="AO520" s="311">
        <f t="shared" si="75"/>
        <v>1002828.5709235488</v>
      </c>
      <c r="AP520" s="311">
        <f t="shared" si="75"/>
        <v>1002824.9102332136</v>
      </c>
      <c r="AQ520" s="311">
        <f t="shared" si="75"/>
        <v>6790135.1889395714</v>
      </c>
      <c r="AR520" s="311">
        <f t="shared" si="75"/>
        <v>637145.57607258379</v>
      </c>
      <c r="AS520" s="311">
        <f t="shared" si="75"/>
        <v>637141.8069555955</v>
      </c>
      <c r="AT520" s="311">
        <f t="shared" si="75"/>
        <v>6438547.0114353066</v>
      </c>
      <c r="AU520" s="311">
        <f t="shared" si="75"/>
        <v>6121378.9564470574</v>
      </c>
      <c r="AV520" s="311"/>
      <c r="AW520" s="311"/>
      <c r="AX520" s="311"/>
      <c r="AY520" s="311"/>
      <c r="AZ520" s="311"/>
      <c r="BA520" s="311"/>
      <c r="BB520" s="311"/>
      <c r="BC520" s="311"/>
      <c r="BD520" s="311"/>
      <c r="BE520" s="311"/>
      <c r="BF520" s="311"/>
      <c r="BG520" s="311"/>
      <c r="BH520" s="311"/>
      <c r="BI520" s="311"/>
      <c r="BJ520" s="311"/>
      <c r="BK520" s="311"/>
    </row>
    <row r="521" spans="1:63" s="80" customFormat="1" ht="12.75">
      <c r="A521" s="167"/>
      <c r="B521" s="210" t="str">
        <f>Servicio_internaColumna_título_amortizaciones</f>
        <v>Amortizaciones</v>
      </c>
      <c r="C521" s="269">
        <v>0</v>
      </c>
      <c r="D521" s="235"/>
      <c r="E521" s="235"/>
      <c r="F521" s="235"/>
      <c r="G521" s="235"/>
      <c r="H521" s="235"/>
      <c r="I521" s="235"/>
      <c r="J521" s="235"/>
      <c r="K521" s="235"/>
      <c r="L521" s="235"/>
      <c r="M521" s="235"/>
      <c r="N521" s="235"/>
      <c r="O521" s="235"/>
      <c r="P521" s="235"/>
      <c r="Q521" s="235">
        <v>5137748.8378047636</v>
      </c>
      <c r="R521" s="235">
        <v>2475640.2225104249</v>
      </c>
      <c r="S521" s="273">
        <v>6299001.9887626581</v>
      </c>
      <c r="T521" s="235">
        <v>2106309.4433825975</v>
      </c>
      <c r="U521" s="235">
        <v>8106697.9257242829</v>
      </c>
      <c r="V521" s="235">
        <v>3887450.949702119</v>
      </c>
      <c r="W521" s="235">
        <v>9347951.7495154683</v>
      </c>
      <c r="X521" s="235">
        <v>1763220.2604544361</v>
      </c>
      <c r="Y521" s="235">
        <v>5251662.3144472847</v>
      </c>
      <c r="Z521" s="235">
        <v>9464602.710023351</v>
      </c>
      <c r="AA521" s="235">
        <v>3017973.9894043603</v>
      </c>
      <c r="AB521" s="235">
        <v>1471960.3340114264</v>
      </c>
      <c r="AC521" s="235">
        <v>4527533.1311126435</v>
      </c>
      <c r="AD521" s="235">
        <v>1367967.7305229986</v>
      </c>
      <c r="AE521" s="235">
        <v>1955418.6182465306</v>
      </c>
      <c r="AF521" s="235">
        <v>1979525.4389705381</v>
      </c>
      <c r="AG521" s="235">
        <v>2525427.9488286548</v>
      </c>
      <c r="AH521" s="235">
        <v>2478233.8304067967</v>
      </c>
      <c r="AI521" s="235">
        <v>1393403.3724099882</v>
      </c>
      <c r="AJ521" s="235">
        <v>2094702.2381589429</v>
      </c>
      <c r="AK521" s="235">
        <v>227224.20874717849</v>
      </c>
      <c r="AL521" s="235">
        <v>154748.79732186018</v>
      </c>
      <c r="AM521" s="235">
        <v>4706036.6808972852</v>
      </c>
      <c r="AN521" s="235">
        <v>2972.9159500241449</v>
      </c>
      <c r="AO521" s="235">
        <v>2972.9159500241449</v>
      </c>
      <c r="AP521" s="235">
        <v>2972.9159500241449</v>
      </c>
      <c r="AQ521" s="235">
        <v>6377897.9159500236</v>
      </c>
      <c r="AR521" s="235">
        <v>2972.9159500241449</v>
      </c>
      <c r="AS521" s="235">
        <v>2972.9159500241449</v>
      </c>
      <c r="AT521" s="235">
        <v>6377010.9749785289</v>
      </c>
      <c r="AU521" s="235">
        <v>6377010.9749785289</v>
      </c>
      <c r="AV521" s="235"/>
      <c r="AW521" s="235"/>
      <c r="AX521" s="235"/>
      <c r="AY521" s="235"/>
      <c r="AZ521" s="235"/>
      <c r="BA521" s="235"/>
      <c r="BB521" s="235"/>
      <c r="BC521" s="235"/>
      <c r="BD521" s="235"/>
      <c r="BE521" s="235"/>
      <c r="BF521" s="235"/>
      <c r="BG521" s="235"/>
      <c r="BH521" s="235"/>
      <c r="BI521" s="235"/>
      <c r="BJ521" s="235"/>
      <c r="BK521" s="235"/>
    </row>
    <row r="522" spans="1:63" s="80" customFormat="1" ht="12.75">
      <c r="A522" s="168">
        <v>42155</v>
      </c>
      <c r="B522" s="213" t="str">
        <f>Servicio_internaColumna_título_intereses</f>
        <v>Intereses</v>
      </c>
      <c r="C522" s="270">
        <v>0</v>
      </c>
      <c r="D522" s="271"/>
      <c r="E522" s="271"/>
      <c r="F522" s="271"/>
      <c r="G522" s="271"/>
      <c r="H522" s="271"/>
      <c r="I522" s="271"/>
      <c r="J522" s="271"/>
      <c r="K522" s="271"/>
      <c r="L522" s="271"/>
      <c r="M522" s="271"/>
      <c r="N522" s="271"/>
      <c r="O522" s="271"/>
      <c r="P522" s="271"/>
      <c r="Q522" s="271">
        <v>2846554.1248229831</v>
      </c>
      <c r="R522" s="271">
        <v>4673601.6015683478</v>
      </c>
      <c r="S522" s="274">
        <v>4495708.2025465406</v>
      </c>
      <c r="T522" s="271">
        <v>4266777.6473572841</v>
      </c>
      <c r="U522" s="272">
        <v>4072817.8830896188</v>
      </c>
      <c r="V522" s="272">
        <v>3755446.090042036</v>
      </c>
      <c r="W522" s="272">
        <v>3681378.4956087242</v>
      </c>
      <c r="X522" s="272">
        <v>3196580.3724996392</v>
      </c>
      <c r="Y522" s="272">
        <v>3030923.5168431895</v>
      </c>
      <c r="Z522" s="272">
        <v>2710241.470188255</v>
      </c>
      <c r="AA522" s="272">
        <v>2434603.53304127</v>
      </c>
      <c r="AB522" s="272">
        <v>2296295.0823679562</v>
      </c>
      <c r="AC522" s="272">
        <v>2252719.2286114627</v>
      </c>
      <c r="AD522" s="236">
        <v>1979109.3850663782</v>
      </c>
      <c r="AE522" s="236">
        <v>1927719.9243036148</v>
      </c>
      <c r="AF522" s="236">
        <v>1854143.1107709161</v>
      </c>
      <c r="AG522" s="236">
        <v>1734074.7270085467</v>
      </c>
      <c r="AH522" s="236">
        <v>1651353.5170924943</v>
      </c>
      <c r="AI522" s="236">
        <v>1554645.9056379944</v>
      </c>
      <c r="AJ522" s="236">
        <v>1494987.6243734986</v>
      </c>
      <c r="AK522" s="236">
        <v>1422128.3827386082</v>
      </c>
      <c r="AL522" s="236">
        <v>1415065.2420227064</v>
      </c>
      <c r="AM522" s="236">
        <v>1410541.9856912096</v>
      </c>
      <c r="AN522" s="236">
        <v>1067851.2602152179</v>
      </c>
      <c r="AO522" s="236">
        <v>1067847.2355528364</v>
      </c>
      <c r="AP522" s="236">
        <v>1067843.3266684141</v>
      </c>
      <c r="AQ522" s="236">
        <v>872607.10810307355</v>
      </c>
      <c r="AR522" s="236">
        <v>677371.00531569216</v>
      </c>
      <c r="AS522" s="236">
        <v>677366.98065331066</v>
      </c>
      <c r="AT522" s="236">
        <v>498068.26203799911</v>
      </c>
      <c r="AU522" s="236">
        <v>159396.27507854777</v>
      </c>
      <c r="AV522" s="236"/>
      <c r="AW522" s="236"/>
      <c r="AX522" s="236"/>
      <c r="AY522" s="236"/>
      <c r="AZ522" s="236"/>
      <c r="BA522" s="236"/>
      <c r="BB522" s="236"/>
      <c r="BC522" s="236"/>
      <c r="BD522" s="236"/>
      <c r="BE522" s="236"/>
      <c r="BF522" s="236"/>
      <c r="BG522" s="236"/>
      <c r="BH522" s="236"/>
      <c r="BI522" s="236"/>
      <c r="BJ522" s="236"/>
      <c r="BK522" s="236"/>
    </row>
    <row r="523" spans="1:63" s="80" customFormat="1" ht="12.75">
      <c r="A523" s="169"/>
      <c r="B523" s="307" t="str">
        <f>Servicio_internaColumna_título_total</f>
        <v>Total</v>
      </c>
      <c r="C523" s="310">
        <v>0</v>
      </c>
      <c r="D523" s="311"/>
      <c r="E523" s="311"/>
      <c r="F523" s="311"/>
      <c r="G523" s="311"/>
      <c r="H523" s="311"/>
      <c r="I523" s="311"/>
      <c r="J523" s="311"/>
      <c r="K523" s="311"/>
      <c r="L523" s="311"/>
      <c r="M523" s="311"/>
      <c r="N523" s="311"/>
      <c r="O523" s="311"/>
      <c r="P523" s="311"/>
      <c r="Q523" s="311">
        <f>+Q521+Q522</f>
        <v>7984302.9626277462</v>
      </c>
      <c r="R523" s="311">
        <f t="shared" ref="R523:AU523" si="76">+R521+R522</f>
        <v>7149241.8240787722</v>
      </c>
      <c r="S523" s="312">
        <f t="shared" si="76"/>
        <v>10794710.191309199</v>
      </c>
      <c r="T523" s="311">
        <f t="shared" si="76"/>
        <v>6373087.0907398816</v>
      </c>
      <c r="U523" s="311">
        <f t="shared" si="76"/>
        <v>12179515.808813902</v>
      </c>
      <c r="V523" s="311">
        <f t="shared" si="76"/>
        <v>7642897.0397441555</v>
      </c>
      <c r="W523" s="311">
        <f t="shared" si="76"/>
        <v>13029330.245124193</v>
      </c>
      <c r="X523" s="311">
        <f t="shared" si="76"/>
        <v>4959800.632954075</v>
      </c>
      <c r="Y523" s="311">
        <f t="shared" si="76"/>
        <v>8282585.8312904742</v>
      </c>
      <c r="Z523" s="311">
        <f t="shared" si="76"/>
        <v>12174844.180211606</v>
      </c>
      <c r="AA523" s="311">
        <f t="shared" si="76"/>
        <v>5452577.5224456303</v>
      </c>
      <c r="AB523" s="311">
        <f t="shared" si="76"/>
        <v>3768255.4163793828</v>
      </c>
      <c r="AC523" s="311">
        <f t="shared" si="76"/>
        <v>6780252.3597241063</v>
      </c>
      <c r="AD523" s="311">
        <f t="shared" si="76"/>
        <v>3347077.1155893765</v>
      </c>
      <c r="AE523" s="311">
        <f t="shared" si="76"/>
        <v>3883138.5425501456</v>
      </c>
      <c r="AF523" s="311">
        <f t="shared" si="76"/>
        <v>3833668.5497414544</v>
      </c>
      <c r="AG523" s="311">
        <f t="shared" si="76"/>
        <v>4259502.675837202</v>
      </c>
      <c r="AH523" s="311">
        <f t="shared" si="76"/>
        <v>4129587.3474992909</v>
      </c>
      <c r="AI523" s="311">
        <f t="shared" si="76"/>
        <v>2948049.2780479826</v>
      </c>
      <c r="AJ523" s="311">
        <f t="shared" si="76"/>
        <v>3589689.8625324415</v>
      </c>
      <c r="AK523" s="311">
        <f t="shared" si="76"/>
        <v>1649352.5914857867</v>
      </c>
      <c r="AL523" s="311">
        <f t="shared" si="76"/>
        <v>1569814.0393445666</v>
      </c>
      <c r="AM523" s="311">
        <f t="shared" si="76"/>
        <v>6116578.6665884946</v>
      </c>
      <c r="AN523" s="311">
        <f t="shared" si="76"/>
        <v>1070824.176165242</v>
      </c>
      <c r="AO523" s="311">
        <f t="shared" si="76"/>
        <v>1070820.1515028605</v>
      </c>
      <c r="AP523" s="311">
        <f t="shared" si="76"/>
        <v>1070816.2426184381</v>
      </c>
      <c r="AQ523" s="311">
        <f t="shared" si="76"/>
        <v>7250505.0240530968</v>
      </c>
      <c r="AR523" s="311">
        <f t="shared" si="76"/>
        <v>680343.92126571632</v>
      </c>
      <c r="AS523" s="311">
        <f t="shared" si="76"/>
        <v>680339.89660333481</v>
      </c>
      <c r="AT523" s="311">
        <f t="shared" si="76"/>
        <v>6875079.2370165279</v>
      </c>
      <c r="AU523" s="311">
        <f t="shared" si="76"/>
        <v>6536407.250057077</v>
      </c>
      <c r="AV523" s="311"/>
      <c r="AW523" s="311"/>
      <c r="AX523" s="311"/>
      <c r="AY523" s="311"/>
      <c r="AZ523" s="311"/>
      <c r="BA523" s="311"/>
      <c r="BB523" s="311"/>
      <c r="BC523" s="311"/>
      <c r="BD523" s="311"/>
      <c r="BE523" s="311"/>
      <c r="BF523" s="311"/>
      <c r="BG523" s="311"/>
      <c r="BH523" s="311"/>
      <c r="BI523" s="311"/>
      <c r="BJ523" s="311"/>
      <c r="BK523" s="311"/>
    </row>
    <row r="524" spans="1:63" s="80" customFormat="1" ht="12.75">
      <c r="A524" s="167"/>
      <c r="B524" s="210" t="str">
        <f>Servicio_internaColumna_título_amortizaciones</f>
        <v>Amortizaciones</v>
      </c>
      <c r="C524" s="269">
        <v>0</v>
      </c>
      <c r="D524" s="235"/>
      <c r="E524" s="235"/>
      <c r="F524" s="235"/>
      <c r="G524" s="235"/>
      <c r="H524" s="235"/>
      <c r="I524" s="235"/>
      <c r="J524" s="235"/>
      <c r="K524" s="235"/>
      <c r="L524" s="235"/>
      <c r="M524" s="235"/>
      <c r="N524" s="235"/>
      <c r="O524" s="235"/>
      <c r="P524" s="235"/>
      <c r="Q524" s="235">
        <v>5092604.2110508457</v>
      </c>
      <c r="R524" s="235">
        <v>2454300.0940918769</v>
      </c>
      <c r="S524" s="273">
        <v>6332027.5899435654</v>
      </c>
      <c r="T524" s="235">
        <v>2102985.2980799335</v>
      </c>
      <c r="U524" s="235">
        <v>8213546.7973897755</v>
      </c>
      <c r="V524" s="235">
        <v>3928829.6700742585</v>
      </c>
      <c r="W524" s="235">
        <v>9418248.2435483932</v>
      </c>
      <c r="X524" s="235">
        <v>1779075.4910758855</v>
      </c>
      <c r="Y524" s="235">
        <v>5295513.2534824414</v>
      </c>
      <c r="Z524" s="235">
        <v>9588397.0058996491</v>
      </c>
      <c r="AA524" s="235">
        <v>3053386.2085375637</v>
      </c>
      <c r="AB524" s="235">
        <v>1487638.8307757182</v>
      </c>
      <c r="AC524" s="235">
        <v>4546450.1207334111</v>
      </c>
      <c r="AD524" s="235">
        <v>1388780.6795480717</v>
      </c>
      <c r="AE524" s="235">
        <v>1981958.5396848347</v>
      </c>
      <c r="AF524" s="235">
        <v>2006397.5657603731</v>
      </c>
      <c r="AG524" s="235">
        <v>2560398.3088472853</v>
      </c>
      <c r="AH524" s="235">
        <v>2512553.8293147697</v>
      </c>
      <c r="AI524" s="235">
        <v>1412773.8063058204</v>
      </c>
      <c r="AJ524" s="235">
        <v>2123784.7480618018</v>
      </c>
      <c r="AK524" s="235">
        <v>230571.83629709575</v>
      </c>
      <c r="AL524" s="235">
        <v>157097.67353059084</v>
      </c>
      <c r="AM524" s="235">
        <v>4771103.0477286214</v>
      </c>
      <c r="AN524" s="235">
        <v>3219.0649705171818</v>
      </c>
      <c r="AO524" s="235">
        <v>3219.0649705171818</v>
      </c>
      <c r="AP524" s="235">
        <v>3219.0649705171818</v>
      </c>
      <c r="AQ524" s="235">
        <v>6465994.0649705175</v>
      </c>
      <c r="AR524" s="235">
        <v>3219.0649705171818</v>
      </c>
      <c r="AS524" s="235">
        <v>3219.0649705171818</v>
      </c>
      <c r="AT524" s="235">
        <v>6465094.9014608208</v>
      </c>
      <c r="AU524" s="235">
        <v>6465094.9014608208</v>
      </c>
      <c r="AV524" s="235"/>
      <c r="AW524" s="235"/>
      <c r="AX524" s="235"/>
      <c r="AY524" s="235"/>
      <c r="AZ524" s="235"/>
      <c r="BA524" s="235"/>
      <c r="BB524" s="235"/>
      <c r="BC524" s="235"/>
      <c r="BD524" s="235"/>
      <c r="BE524" s="235"/>
      <c r="BF524" s="235"/>
      <c r="BG524" s="235"/>
      <c r="BH524" s="235"/>
      <c r="BI524" s="235"/>
      <c r="BJ524" s="235"/>
      <c r="BK524" s="235"/>
    </row>
    <row r="525" spans="1:63" s="80" customFormat="1" ht="12.75">
      <c r="A525" s="168">
        <v>42185</v>
      </c>
      <c r="B525" s="213" t="str">
        <f>Servicio_internaColumna_título_intereses</f>
        <v>Intereses</v>
      </c>
      <c r="C525" s="270">
        <v>0</v>
      </c>
      <c r="D525" s="271"/>
      <c r="E525" s="271"/>
      <c r="F525" s="271"/>
      <c r="G525" s="271"/>
      <c r="H525" s="271"/>
      <c r="I525" s="271"/>
      <c r="J525" s="271"/>
      <c r="K525" s="271"/>
      <c r="L525" s="271"/>
      <c r="M525" s="271"/>
      <c r="N525" s="271"/>
      <c r="O525" s="271"/>
      <c r="P525" s="271"/>
      <c r="Q525" s="271">
        <v>2471903.1026095846</v>
      </c>
      <c r="R525" s="271">
        <v>4723547.2124691671</v>
      </c>
      <c r="S525" s="274">
        <v>4560798.0972691914</v>
      </c>
      <c r="T525" s="271">
        <v>4338715.0294065643</v>
      </c>
      <c r="U525" s="272">
        <v>4143924.5561438967</v>
      </c>
      <c r="V525" s="272">
        <v>3827983.7007466098</v>
      </c>
      <c r="W525" s="272">
        <v>3783734.00308843</v>
      </c>
      <c r="X525" s="272">
        <v>3316543.2507042545</v>
      </c>
      <c r="Y525" s="272">
        <v>3125273.6309169983</v>
      </c>
      <c r="Z525" s="272">
        <v>2805161.7689042888</v>
      </c>
      <c r="AA525" s="272">
        <v>2531038.2547752182</v>
      </c>
      <c r="AB525" s="272">
        <v>2368170.7060693162</v>
      </c>
      <c r="AC525" s="272">
        <v>2323827.8980203769</v>
      </c>
      <c r="AD525" s="236">
        <v>2045170.8243061071</v>
      </c>
      <c r="AE525" s="236">
        <v>1991068.290240594</v>
      </c>
      <c r="AF525" s="236">
        <v>1915355.391806914</v>
      </c>
      <c r="AG525" s="236">
        <v>1775715.5036377262</v>
      </c>
      <c r="AH525" s="236">
        <v>1685883.7641471087</v>
      </c>
      <c r="AI525" s="236">
        <v>1584122.4326157509</v>
      </c>
      <c r="AJ525" s="236">
        <v>1522952.3926413078</v>
      </c>
      <c r="AK525" s="236">
        <v>1442713.4532270874</v>
      </c>
      <c r="AL525" s="236">
        <v>1434996.9030953527</v>
      </c>
      <c r="AM525" s="236">
        <v>1430046.215829697</v>
      </c>
      <c r="AN525" s="236">
        <v>1082571.8798339735</v>
      </c>
      <c r="AO525" s="236">
        <v>1082567.4046858586</v>
      </c>
      <c r="AP525" s="236">
        <v>1082563.0582748814</v>
      </c>
      <c r="AQ525" s="236">
        <v>884635.97001462895</v>
      </c>
      <c r="AR525" s="236">
        <v>686709.01049151411</v>
      </c>
      <c r="AS525" s="236">
        <v>686704.53534339939</v>
      </c>
      <c r="AT525" s="236">
        <v>504934.59301470313</v>
      </c>
      <c r="AU525" s="236">
        <v>161595.11629716985</v>
      </c>
      <c r="AV525" s="236"/>
      <c r="AW525" s="236"/>
      <c r="AX525" s="236"/>
      <c r="AY525" s="236"/>
      <c r="AZ525" s="236"/>
      <c r="BA525" s="236"/>
      <c r="BB525" s="236"/>
      <c r="BC525" s="236"/>
      <c r="BD525" s="236"/>
      <c r="BE525" s="236"/>
      <c r="BF525" s="236"/>
      <c r="BG525" s="236"/>
      <c r="BH525" s="236"/>
      <c r="BI525" s="236"/>
      <c r="BJ525" s="236"/>
      <c r="BK525" s="236"/>
    </row>
    <row r="526" spans="1:63" s="80" customFormat="1" ht="12.75">
      <c r="A526" s="169"/>
      <c r="B526" s="307" t="str">
        <f>Servicio_internaColumna_título_total</f>
        <v>Total</v>
      </c>
      <c r="C526" s="310">
        <v>0</v>
      </c>
      <c r="D526" s="311"/>
      <c r="E526" s="311"/>
      <c r="F526" s="311"/>
      <c r="G526" s="311"/>
      <c r="H526" s="311"/>
      <c r="I526" s="311"/>
      <c r="J526" s="311"/>
      <c r="K526" s="311"/>
      <c r="L526" s="311"/>
      <c r="M526" s="311"/>
      <c r="N526" s="311"/>
      <c r="O526" s="311"/>
      <c r="P526" s="311"/>
      <c r="Q526" s="311">
        <f>+Q524+Q525</f>
        <v>7564507.3136604298</v>
      </c>
      <c r="R526" s="311">
        <f t="shared" ref="R526:AU526" si="77">+R524+R525</f>
        <v>7177847.3065610435</v>
      </c>
      <c r="S526" s="312">
        <f t="shared" si="77"/>
        <v>10892825.687212758</v>
      </c>
      <c r="T526" s="311">
        <f t="shared" si="77"/>
        <v>6441700.3274864983</v>
      </c>
      <c r="U526" s="311">
        <f t="shared" si="77"/>
        <v>12357471.353533672</v>
      </c>
      <c r="V526" s="311">
        <f t="shared" si="77"/>
        <v>7756813.3708208688</v>
      </c>
      <c r="W526" s="311">
        <f t="shared" si="77"/>
        <v>13201982.246636823</v>
      </c>
      <c r="X526" s="311">
        <f t="shared" si="77"/>
        <v>5095618.7417801395</v>
      </c>
      <c r="Y526" s="311">
        <f t="shared" si="77"/>
        <v>8420786.8843994401</v>
      </c>
      <c r="Z526" s="311">
        <f t="shared" si="77"/>
        <v>12393558.774803938</v>
      </c>
      <c r="AA526" s="311">
        <f t="shared" si="77"/>
        <v>5584424.4633127823</v>
      </c>
      <c r="AB526" s="311">
        <f t="shared" si="77"/>
        <v>3855809.5368450345</v>
      </c>
      <c r="AC526" s="311">
        <f t="shared" si="77"/>
        <v>6870278.0187537875</v>
      </c>
      <c r="AD526" s="311">
        <f t="shared" si="77"/>
        <v>3433951.5038541788</v>
      </c>
      <c r="AE526" s="311">
        <f t="shared" si="77"/>
        <v>3973026.8299254286</v>
      </c>
      <c r="AF526" s="311">
        <f t="shared" si="77"/>
        <v>3921752.9575672871</v>
      </c>
      <c r="AG526" s="311">
        <f t="shared" si="77"/>
        <v>4336113.8124850113</v>
      </c>
      <c r="AH526" s="311">
        <f t="shared" si="77"/>
        <v>4198437.5934618786</v>
      </c>
      <c r="AI526" s="311">
        <f t="shared" si="77"/>
        <v>2996896.2389215715</v>
      </c>
      <c r="AJ526" s="311">
        <f t="shared" si="77"/>
        <v>3646737.1407031096</v>
      </c>
      <c r="AK526" s="311">
        <f t="shared" si="77"/>
        <v>1673285.2895241831</v>
      </c>
      <c r="AL526" s="311">
        <f t="shared" si="77"/>
        <v>1592094.5766259436</v>
      </c>
      <c r="AM526" s="311">
        <f t="shared" si="77"/>
        <v>6201149.2635583188</v>
      </c>
      <c r="AN526" s="311">
        <f t="shared" si="77"/>
        <v>1085790.9448044905</v>
      </c>
      <c r="AO526" s="311">
        <f t="shared" si="77"/>
        <v>1085786.4696563757</v>
      </c>
      <c r="AP526" s="311">
        <f t="shared" si="77"/>
        <v>1085782.1232453985</v>
      </c>
      <c r="AQ526" s="311">
        <f t="shared" si="77"/>
        <v>7350630.0349851465</v>
      </c>
      <c r="AR526" s="311">
        <f t="shared" si="77"/>
        <v>689928.07546203129</v>
      </c>
      <c r="AS526" s="311">
        <f t="shared" si="77"/>
        <v>689923.60031391657</v>
      </c>
      <c r="AT526" s="311">
        <f t="shared" si="77"/>
        <v>6970029.4944755239</v>
      </c>
      <c r="AU526" s="311">
        <f t="shared" si="77"/>
        <v>6626690.0177579904</v>
      </c>
      <c r="AV526" s="311"/>
      <c r="AW526" s="311"/>
      <c r="AX526" s="311"/>
      <c r="AY526" s="311"/>
      <c r="AZ526" s="311"/>
      <c r="BA526" s="311"/>
      <c r="BB526" s="311"/>
      <c r="BC526" s="311"/>
      <c r="BD526" s="311"/>
      <c r="BE526" s="311"/>
      <c r="BF526" s="311"/>
      <c r="BG526" s="311"/>
      <c r="BH526" s="311"/>
      <c r="BI526" s="311"/>
      <c r="BJ526" s="311"/>
      <c r="BK526" s="311"/>
    </row>
    <row r="527" spans="1:63" s="80" customFormat="1" ht="12.75">
      <c r="A527" s="167"/>
      <c r="B527" s="210" t="str">
        <f>Servicio_internaColumna_título_amortizaciones</f>
        <v>Amortizaciones</v>
      </c>
      <c r="C527" s="269">
        <v>0</v>
      </c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>
        <v>5323956.5500039337</v>
      </c>
      <c r="R527" s="235">
        <v>2679461.4119112547</v>
      </c>
      <c r="S527" s="273">
        <v>6991730.7780587925</v>
      </c>
      <c r="T527" s="235">
        <v>2317994.0005115527</v>
      </c>
      <c r="U527" s="235">
        <v>9081593.8424953427</v>
      </c>
      <c r="V527" s="235">
        <v>4344143.7710506702</v>
      </c>
      <c r="W527" s="235">
        <v>10161944.015220284</v>
      </c>
      <c r="X527" s="235">
        <v>1960765.6892575715</v>
      </c>
      <c r="Y527" s="235">
        <v>5753428.7185273888</v>
      </c>
      <c r="Z527" s="235">
        <v>10630400.078367498</v>
      </c>
      <c r="AA527" s="235">
        <v>3386785.3392778635</v>
      </c>
      <c r="AB527" s="235">
        <v>1651258.2173106195</v>
      </c>
      <c r="AC527" s="235">
        <v>4833983.6824979465</v>
      </c>
      <c r="AD527" s="235">
        <v>1541605.1263617093</v>
      </c>
      <c r="AE527" s="235">
        <v>2201083.287374266</v>
      </c>
      <c r="AF527" s="235">
        <v>2227170.7792255576</v>
      </c>
      <c r="AG527" s="235">
        <v>2841381.6434380924</v>
      </c>
      <c r="AH527" s="235">
        <v>2788532.4870777619</v>
      </c>
      <c r="AI527" s="235">
        <v>1569236.7754273606</v>
      </c>
      <c r="AJ527" s="235">
        <v>2354713.2518905532</v>
      </c>
      <c r="AK527" s="235">
        <v>255760.42836114138</v>
      </c>
      <c r="AL527" s="235">
        <v>174301.6550573695</v>
      </c>
      <c r="AM527" s="235">
        <v>5289725.436566228</v>
      </c>
      <c r="AN527" s="235">
        <v>3563.1403178895157</v>
      </c>
      <c r="AO527" s="235">
        <v>3563.1403178895157</v>
      </c>
      <c r="AP527" s="235">
        <v>3563.1403178895157</v>
      </c>
      <c r="AQ527" s="235">
        <v>7168663.1403178899</v>
      </c>
      <c r="AR527" s="235">
        <v>3563.1403178895157</v>
      </c>
      <c r="AS527" s="235">
        <v>3563.1403178895157</v>
      </c>
      <c r="AT527" s="235">
        <v>7167666.2625891538</v>
      </c>
      <c r="AU527" s="235">
        <v>7167666.2625891538</v>
      </c>
      <c r="AV527" s="235"/>
      <c r="AW527" s="235"/>
      <c r="AX527" s="235"/>
      <c r="AY527" s="235"/>
      <c r="AZ527" s="235"/>
      <c r="BA527" s="235"/>
      <c r="BB527" s="235"/>
      <c r="BC527" s="235"/>
      <c r="BD527" s="235"/>
      <c r="BE527" s="235"/>
      <c r="BF527" s="235"/>
      <c r="BG527" s="235"/>
      <c r="BH527" s="235"/>
      <c r="BI527" s="235"/>
      <c r="BJ527" s="235"/>
      <c r="BK527" s="235"/>
    </row>
    <row r="528" spans="1:63" s="80" customFormat="1" ht="12.75">
      <c r="A528" s="168">
        <v>42216</v>
      </c>
      <c r="B528" s="213" t="str">
        <f>Servicio_internaColumna_título_intereses</f>
        <v>Intereses</v>
      </c>
      <c r="C528" s="270">
        <v>0</v>
      </c>
      <c r="D528" s="271"/>
      <c r="E528" s="271"/>
      <c r="F528" s="271"/>
      <c r="G528" s="271"/>
      <c r="H528" s="271"/>
      <c r="I528" s="271"/>
      <c r="J528" s="271"/>
      <c r="K528" s="271"/>
      <c r="L528" s="271"/>
      <c r="M528" s="271"/>
      <c r="N528" s="271"/>
      <c r="O528" s="271"/>
      <c r="P528" s="271"/>
      <c r="Q528" s="271">
        <v>2101074.023345185</v>
      </c>
      <c r="R528" s="271">
        <v>5179621.3274317058</v>
      </c>
      <c r="S528" s="274">
        <v>5007458.0575271295</v>
      </c>
      <c r="T528" s="271">
        <v>4714790.0820544213</v>
      </c>
      <c r="U528" s="272">
        <v>4512187.4251195258</v>
      </c>
      <c r="V528" s="272">
        <v>4139199.0398883699</v>
      </c>
      <c r="W528" s="272">
        <v>4071204.625140619</v>
      </c>
      <c r="X528" s="272">
        <v>3592839.3260589316</v>
      </c>
      <c r="Y528" s="272">
        <v>3383281.3303548871</v>
      </c>
      <c r="Z528" s="272">
        <v>3030171.5994451535</v>
      </c>
      <c r="AA528" s="272">
        <v>2737894.7824848285</v>
      </c>
      <c r="AB528" s="272">
        <v>2565387.322848219</v>
      </c>
      <c r="AC528" s="272">
        <v>2516243.2591155446</v>
      </c>
      <c r="AD528" s="236">
        <v>2232036.6003531348</v>
      </c>
      <c r="AE528" s="236">
        <v>2173453.065089128</v>
      </c>
      <c r="AF528" s="236">
        <v>2101826.2391730589</v>
      </c>
      <c r="AG528" s="236">
        <v>1953150.4419145952</v>
      </c>
      <c r="AH528" s="236">
        <v>1858969.3934481679</v>
      </c>
      <c r="AI528" s="236">
        <v>1749221.0721694583</v>
      </c>
      <c r="AJ528" s="236">
        <v>1681995.622016184</v>
      </c>
      <c r="AK528" s="236">
        <v>1598631.3165642996</v>
      </c>
      <c r="AL528" s="236">
        <v>1590574.9758967557</v>
      </c>
      <c r="AM528" s="236">
        <v>1585397.9484422125</v>
      </c>
      <c r="AN528" s="236">
        <v>1200217.5189757347</v>
      </c>
      <c r="AO528" s="236">
        <v>1200212.5575027207</v>
      </c>
      <c r="AP528" s="236">
        <v>1200207.7387570126</v>
      </c>
      <c r="AQ528" s="236">
        <v>980771.44705669279</v>
      </c>
      <c r="AR528" s="236">
        <v>761335.29808367894</v>
      </c>
      <c r="AS528" s="236">
        <v>761330.33661066508</v>
      </c>
      <c r="AT528" s="236">
        <v>559807.02599265019</v>
      </c>
      <c r="AU528" s="236">
        <v>179156.03866463737</v>
      </c>
      <c r="AV528" s="236"/>
      <c r="AW528" s="236"/>
      <c r="AX528" s="236"/>
      <c r="AY528" s="236"/>
      <c r="AZ528" s="236"/>
      <c r="BA528" s="236"/>
      <c r="BB528" s="236"/>
      <c r="BC528" s="236"/>
      <c r="BD528" s="236"/>
      <c r="BE528" s="236"/>
      <c r="BF528" s="236"/>
      <c r="BG528" s="236"/>
      <c r="BH528" s="236"/>
      <c r="BI528" s="236"/>
      <c r="BJ528" s="236"/>
      <c r="BK528" s="236"/>
    </row>
    <row r="529" spans="1:63" s="80" customFormat="1" ht="12.75">
      <c r="A529" s="169"/>
      <c r="B529" s="307" t="str">
        <f>Servicio_internaColumna_título_total</f>
        <v>Total</v>
      </c>
      <c r="C529" s="310">
        <v>0</v>
      </c>
      <c r="D529" s="311"/>
      <c r="E529" s="311"/>
      <c r="F529" s="311"/>
      <c r="G529" s="311"/>
      <c r="H529" s="311"/>
      <c r="I529" s="311"/>
      <c r="J529" s="311"/>
      <c r="K529" s="311"/>
      <c r="L529" s="311"/>
      <c r="M529" s="311"/>
      <c r="N529" s="311"/>
      <c r="O529" s="311"/>
      <c r="P529" s="311"/>
      <c r="Q529" s="311">
        <f>+Q527+Q528</f>
        <v>7425030.5733491182</v>
      </c>
      <c r="R529" s="311">
        <f t="shared" ref="R529:AU529" si="78">+R527+R528</f>
        <v>7859082.7393429605</v>
      </c>
      <c r="S529" s="312">
        <f t="shared" si="78"/>
        <v>11999188.835585922</v>
      </c>
      <c r="T529" s="311">
        <f t="shared" si="78"/>
        <v>7032784.0825659744</v>
      </c>
      <c r="U529" s="311">
        <f t="shared" si="78"/>
        <v>13593781.267614868</v>
      </c>
      <c r="V529" s="311">
        <f t="shared" si="78"/>
        <v>8483342.81093904</v>
      </c>
      <c r="W529" s="311">
        <f t="shared" si="78"/>
        <v>14233148.640360903</v>
      </c>
      <c r="X529" s="311">
        <f t="shared" si="78"/>
        <v>5553605.0153165031</v>
      </c>
      <c r="Y529" s="311">
        <f t="shared" si="78"/>
        <v>9136710.0488822758</v>
      </c>
      <c r="Z529" s="311">
        <f t="shared" si="78"/>
        <v>13660571.677812651</v>
      </c>
      <c r="AA529" s="311">
        <f t="shared" si="78"/>
        <v>6124680.121762692</v>
      </c>
      <c r="AB529" s="311">
        <f t="shared" si="78"/>
        <v>4216645.540158838</v>
      </c>
      <c r="AC529" s="311">
        <f t="shared" si="78"/>
        <v>7350226.9416134916</v>
      </c>
      <c r="AD529" s="311">
        <f t="shared" si="78"/>
        <v>3773641.7267148439</v>
      </c>
      <c r="AE529" s="311">
        <f t="shared" si="78"/>
        <v>4374536.3524633944</v>
      </c>
      <c r="AF529" s="311">
        <f t="shared" si="78"/>
        <v>4328997.0183986165</v>
      </c>
      <c r="AG529" s="311">
        <f t="shared" si="78"/>
        <v>4794532.0853526872</v>
      </c>
      <c r="AH529" s="311">
        <f t="shared" si="78"/>
        <v>4647501.8805259299</v>
      </c>
      <c r="AI529" s="311">
        <f t="shared" si="78"/>
        <v>3318457.8475968186</v>
      </c>
      <c r="AJ529" s="311">
        <f t="shared" si="78"/>
        <v>4036708.8739067372</v>
      </c>
      <c r="AK529" s="311">
        <f t="shared" si="78"/>
        <v>1854391.744925441</v>
      </c>
      <c r="AL529" s="311">
        <f t="shared" si="78"/>
        <v>1764876.6309541252</v>
      </c>
      <c r="AM529" s="311">
        <f t="shared" si="78"/>
        <v>6875123.3850084404</v>
      </c>
      <c r="AN529" s="311">
        <f t="shared" si="78"/>
        <v>1203780.6592936243</v>
      </c>
      <c r="AO529" s="311">
        <f t="shared" si="78"/>
        <v>1203775.6978206104</v>
      </c>
      <c r="AP529" s="311">
        <f t="shared" si="78"/>
        <v>1203770.8790749023</v>
      </c>
      <c r="AQ529" s="311">
        <f t="shared" si="78"/>
        <v>8149434.5873745829</v>
      </c>
      <c r="AR529" s="311">
        <f t="shared" si="78"/>
        <v>764898.43840156845</v>
      </c>
      <c r="AS529" s="311">
        <f t="shared" si="78"/>
        <v>764893.47692855459</v>
      </c>
      <c r="AT529" s="311">
        <f t="shared" si="78"/>
        <v>7727473.2885818044</v>
      </c>
      <c r="AU529" s="311">
        <f t="shared" si="78"/>
        <v>7346822.301253791</v>
      </c>
      <c r="AV529" s="311"/>
      <c r="AW529" s="311"/>
      <c r="AX529" s="311"/>
      <c r="AY529" s="311"/>
      <c r="AZ529" s="311"/>
      <c r="BA529" s="311"/>
      <c r="BB529" s="311"/>
      <c r="BC529" s="311"/>
      <c r="BD529" s="311"/>
      <c r="BE529" s="311"/>
      <c r="BF529" s="311"/>
      <c r="BG529" s="311"/>
      <c r="BH529" s="311"/>
      <c r="BI529" s="311"/>
      <c r="BJ529" s="311"/>
      <c r="BK529" s="311"/>
    </row>
    <row r="530" spans="1:63" s="80" customFormat="1" ht="12.75">
      <c r="A530" s="167"/>
      <c r="B530" s="210" t="str">
        <f>Servicio_internaColumna_título_amortizaciones</f>
        <v>Amortizaciones</v>
      </c>
      <c r="C530" s="269">
        <v>0</v>
      </c>
      <c r="D530" s="235"/>
      <c r="E530" s="235"/>
      <c r="F530" s="235"/>
      <c r="G530" s="235"/>
      <c r="H530" s="235"/>
      <c r="I530" s="235"/>
      <c r="J530" s="235"/>
      <c r="K530" s="235"/>
      <c r="L530" s="235"/>
      <c r="M530" s="235"/>
      <c r="N530" s="235"/>
      <c r="O530" s="235"/>
      <c r="P530" s="235"/>
      <c r="Q530" s="235">
        <v>5508942.7467185324</v>
      </c>
      <c r="R530" s="235">
        <v>2860537.3613094967</v>
      </c>
      <c r="S530" s="273">
        <v>7538338.1861857092</v>
      </c>
      <c r="T530" s="235">
        <v>2484664.580273882</v>
      </c>
      <c r="U530" s="235">
        <v>9777386.6595927291</v>
      </c>
      <c r="V530" s="235">
        <v>4626272.5106330868</v>
      </c>
      <c r="W530" s="235">
        <v>10719039.416723965</v>
      </c>
      <c r="X530" s="235">
        <v>2047618.6805573117</v>
      </c>
      <c r="Y530" s="235">
        <v>6072800.128044771</v>
      </c>
      <c r="Z530" s="235">
        <v>11438411.058278829</v>
      </c>
      <c r="AA530" s="235">
        <v>3602257.4354861025</v>
      </c>
      <c r="AB530" s="235">
        <v>1727491.109374597</v>
      </c>
      <c r="AC530" s="235">
        <v>5010285.6845767926</v>
      </c>
      <c r="AD530" s="235">
        <v>1616497.2960138214</v>
      </c>
      <c r="AE530" s="235">
        <v>2321264.7046602564</v>
      </c>
      <c r="AF530" s="235">
        <v>2326140.3884902</v>
      </c>
      <c r="AG530" s="235">
        <v>3012539.2294229059</v>
      </c>
      <c r="AH530" s="235">
        <v>2955355.6176139214</v>
      </c>
      <c r="AI530" s="235">
        <v>1636058.6324360948</v>
      </c>
      <c r="AJ530" s="235">
        <v>2547978.4360815454</v>
      </c>
      <c r="AK530" s="235">
        <v>276878.73019919236</v>
      </c>
      <c r="AL530" s="235">
        <v>188807.76582543962</v>
      </c>
      <c r="AM530" s="235">
        <v>5723774.9081446771</v>
      </c>
      <c r="AN530" s="235">
        <v>4055.0735674727089</v>
      </c>
      <c r="AO530" s="235">
        <v>4055.0735674727089</v>
      </c>
      <c r="AP530" s="235">
        <v>4055.0735674727089</v>
      </c>
      <c r="AQ530" s="235">
        <v>7756805.0735674724</v>
      </c>
      <c r="AR530" s="235">
        <v>4055.0735674727089</v>
      </c>
      <c r="AS530" s="235">
        <v>4055.0735674727089</v>
      </c>
      <c r="AT530" s="235">
        <v>7755726.4363102885</v>
      </c>
      <c r="AU530" s="235">
        <v>7755726.4363102885</v>
      </c>
      <c r="AV530" s="235"/>
      <c r="AW530" s="235"/>
      <c r="AX530" s="235"/>
      <c r="AY530" s="235"/>
      <c r="AZ530" s="235"/>
      <c r="BA530" s="235"/>
      <c r="BB530" s="235"/>
      <c r="BC530" s="235"/>
      <c r="BD530" s="235"/>
      <c r="BE530" s="235"/>
      <c r="BF530" s="235"/>
      <c r="BG530" s="235"/>
      <c r="BH530" s="235"/>
      <c r="BI530" s="235"/>
      <c r="BJ530" s="235"/>
      <c r="BK530" s="235"/>
    </row>
    <row r="531" spans="1:63" s="80" customFormat="1" ht="12.75">
      <c r="A531" s="168">
        <v>42247</v>
      </c>
      <c r="B531" s="213" t="str">
        <f>Servicio_internaColumna_título_intereses</f>
        <v>Intereses</v>
      </c>
      <c r="C531" s="270">
        <v>0</v>
      </c>
      <c r="D531" s="271"/>
      <c r="E531" s="271"/>
      <c r="F531" s="271"/>
      <c r="G531" s="271"/>
      <c r="H531" s="271"/>
      <c r="I531" s="271"/>
      <c r="J531" s="271"/>
      <c r="K531" s="271"/>
      <c r="L531" s="271"/>
      <c r="M531" s="271"/>
      <c r="N531" s="271"/>
      <c r="O531" s="271"/>
      <c r="P531" s="271"/>
      <c r="Q531" s="271">
        <v>1604921.678360827</v>
      </c>
      <c r="R531" s="271">
        <v>5551573.5327617647</v>
      </c>
      <c r="S531" s="274">
        <v>5375124.1991971247</v>
      </c>
      <c r="T531" s="271">
        <v>5054547.6193911564</v>
      </c>
      <c r="U531" s="272">
        <v>4836466.0684696827</v>
      </c>
      <c r="V531" s="272">
        <v>4427643.4588215714</v>
      </c>
      <c r="W531" s="272">
        <v>4358308.5185502088</v>
      </c>
      <c r="X531" s="272">
        <v>3875140.7490323638</v>
      </c>
      <c r="Y531" s="272">
        <v>3639359.62614412</v>
      </c>
      <c r="Z531" s="272">
        <v>3260356.4234833373</v>
      </c>
      <c r="AA531" s="272">
        <v>2951304.7683082274</v>
      </c>
      <c r="AB531" s="272">
        <v>2760138.8626940157</v>
      </c>
      <c r="AC531" s="272">
        <v>2705505.0565380482</v>
      </c>
      <c r="AD531" s="236">
        <v>2414448.6166882403</v>
      </c>
      <c r="AE531" s="236">
        <v>2350673.8335677441</v>
      </c>
      <c r="AF531" s="236">
        <v>2278823.8104427857</v>
      </c>
      <c r="AG531" s="236">
        <v>2113010.2356479797</v>
      </c>
      <c r="AH531" s="236">
        <v>2011265.0168648525</v>
      </c>
      <c r="AI531" s="236">
        <v>1892594.5159282996</v>
      </c>
      <c r="AJ531" s="236">
        <v>1819863.1116128222</v>
      </c>
      <c r="AK531" s="236">
        <v>1729742.5241331644</v>
      </c>
      <c r="AL531" s="236">
        <v>1721029.4258100234</v>
      </c>
      <c r="AM531" s="236">
        <v>1715433.0703845483</v>
      </c>
      <c r="AN531" s="236">
        <v>1298654.0830189565</v>
      </c>
      <c r="AO531" s="236">
        <v>1298648.7146277395</v>
      </c>
      <c r="AP531" s="236">
        <v>1298643.5006696947</v>
      </c>
      <c r="AQ531" s="236">
        <v>1061210.0090953056</v>
      </c>
      <c r="AR531" s="236">
        <v>823776.67195408884</v>
      </c>
      <c r="AS531" s="236">
        <v>823771.303562872</v>
      </c>
      <c r="AT531" s="236">
        <v>605719.93702314247</v>
      </c>
      <c r="AU531" s="236">
        <v>193849.62928043815</v>
      </c>
      <c r="AV531" s="236"/>
      <c r="AW531" s="236"/>
      <c r="AX531" s="236"/>
      <c r="AY531" s="236"/>
      <c r="AZ531" s="236"/>
      <c r="BA531" s="236"/>
      <c r="BB531" s="236"/>
      <c r="BC531" s="236"/>
      <c r="BD531" s="236"/>
      <c r="BE531" s="236"/>
      <c r="BF531" s="236"/>
      <c r="BG531" s="236"/>
      <c r="BH531" s="236"/>
      <c r="BI531" s="236"/>
      <c r="BJ531" s="236"/>
      <c r="BK531" s="236"/>
    </row>
    <row r="532" spans="1:63" s="80" customFormat="1" ht="12.75">
      <c r="A532" s="169"/>
      <c r="B532" s="307" t="str">
        <f>Servicio_internaColumna_título_total</f>
        <v>Total</v>
      </c>
      <c r="C532" s="310">
        <v>0</v>
      </c>
      <c r="D532" s="311"/>
      <c r="E532" s="311"/>
      <c r="F532" s="311"/>
      <c r="G532" s="311"/>
      <c r="H532" s="311"/>
      <c r="I532" s="311"/>
      <c r="J532" s="311"/>
      <c r="K532" s="311"/>
      <c r="L532" s="311"/>
      <c r="M532" s="311"/>
      <c r="N532" s="311"/>
      <c r="O532" s="311"/>
      <c r="P532" s="311"/>
      <c r="Q532" s="311">
        <f>+Q530+Q531</f>
        <v>7113864.4250793597</v>
      </c>
      <c r="R532" s="311">
        <f t="shared" ref="R532:AU532" si="79">+R530+R531</f>
        <v>8412110.8940712623</v>
      </c>
      <c r="S532" s="312">
        <f t="shared" si="79"/>
        <v>12913462.385382835</v>
      </c>
      <c r="T532" s="311">
        <f t="shared" si="79"/>
        <v>7539212.1996650379</v>
      </c>
      <c r="U532" s="311">
        <f t="shared" si="79"/>
        <v>14613852.728062412</v>
      </c>
      <c r="V532" s="311">
        <f t="shared" si="79"/>
        <v>9053915.9694546573</v>
      </c>
      <c r="W532" s="311">
        <f t="shared" si="79"/>
        <v>15077347.935274173</v>
      </c>
      <c r="X532" s="311">
        <f t="shared" si="79"/>
        <v>5922759.4295896757</v>
      </c>
      <c r="Y532" s="311">
        <f t="shared" si="79"/>
        <v>9712159.7541888915</v>
      </c>
      <c r="Z532" s="311">
        <f t="shared" si="79"/>
        <v>14698767.481762167</v>
      </c>
      <c r="AA532" s="311">
        <f t="shared" si="79"/>
        <v>6553562.2037943304</v>
      </c>
      <c r="AB532" s="311">
        <f t="shared" si="79"/>
        <v>4487629.9720686125</v>
      </c>
      <c r="AC532" s="311">
        <f t="shared" si="79"/>
        <v>7715790.7411148408</v>
      </c>
      <c r="AD532" s="311">
        <f t="shared" si="79"/>
        <v>4030945.9127020617</v>
      </c>
      <c r="AE532" s="311">
        <f t="shared" si="79"/>
        <v>4671938.5382280005</v>
      </c>
      <c r="AF532" s="311">
        <f t="shared" si="79"/>
        <v>4604964.1989329858</v>
      </c>
      <c r="AG532" s="311">
        <f t="shared" si="79"/>
        <v>5125549.4650708856</v>
      </c>
      <c r="AH532" s="311">
        <f t="shared" si="79"/>
        <v>4966620.6344787739</v>
      </c>
      <c r="AI532" s="311">
        <f t="shared" si="79"/>
        <v>3528653.1483643944</v>
      </c>
      <c r="AJ532" s="311">
        <f t="shared" si="79"/>
        <v>4367841.5476943674</v>
      </c>
      <c r="AK532" s="311">
        <f t="shared" si="79"/>
        <v>2006621.2543323569</v>
      </c>
      <c r="AL532" s="311">
        <f t="shared" si="79"/>
        <v>1909837.1916354632</v>
      </c>
      <c r="AM532" s="311">
        <f t="shared" si="79"/>
        <v>7439207.9785292251</v>
      </c>
      <c r="AN532" s="311">
        <f t="shared" si="79"/>
        <v>1302709.1565864291</v>
      </c>
      <c r="AO532" s="311">
        <f t="shared" si="79"/>
        <v>1302703.7881952121</v>
      </c>
      <c r="AP532" s="311">
        <f t="shared" si="79"/>
        <v>1302698.5742371674</v>
      </c>
      <c r="AQ532" s="311">
        <f t="shared" si="79"/>
        <v>8818015.082662778</v>
      </c>
      <c r="AR532" s="311">
        <f t="shared" si="79"/>
        <v>827831.74552156159</v>
      </c>
      <c r="AS532" s="311">
        <f t="shared" si="79"/>
        <v>827826.37713034474</v>
      </c>
      <c r="AT532" s="311">
        <f t="shared" si="79"/>
        <v>8361446.3733334308</v>
      </c>
      <c r="AU532" s="311">
        <f t="shared" si="79"/>
        <v>7949576.0655907262</v>
      </c>
      <c r="AV532" s="311"/>
      <c r="AW532" s="311"/>
      <c r="AX532" s="311"/>
      <c r="AY532" s="311"/>
      <c r="AZ532" s="311"/>
      <c r="BA532" s="311"/>
      <c r="BB532" s="311"/>
      <c r="BC532" s="311"/>
      <c r="BD532" s="311"/>
      <c r="BE532" s="311"/>
      <c r="BF532" s="311"/>
      <c r="BG532" s="311"/>
      <c r="BH532" s="311"/>
      <c r="BI532" s="311"/>
      <c r="BJ532" s="311"/>
      <c r="BK532" s="311"/>
    </row>
    <row r="533" spans="1:63" s="80" customFormat="1" ht="12.75">
      <c r="A533" s="167"/>
      <c r="B533" s="210" t="str">
        <f>Servicio_internaColumna_título_amortizaciones</f>
        <v>Amortizaciones</v>
      </c>
      <c r="C533" s="269">
        <v>0</v>
      </c>
      <c r="D533" s="235"/>
      <c r="E533" s="235"/>
      <c r="F533" s="235"/>
      <c r="G533" s="235"/>
      <c r="H533" s="235"/>
      <c r="I533" s="235"/>
      <c r="J533" s="235"/>
      <c r="K533" s="235"/>
      <c r="L533" s="235"/>
      <c r="M533" s="235"/>
      <c r="N533" s="235"/>
      <c r="O533" s="235"/>
      <c r="P533" s="235"/>
      <c r="Q533" s="235">
        <v>5432613.2705744663</v>
      </c>
      <c r="R533" s="235">
        <v>2783767.9225607268</v>
      </c>
      <c r="S533" s="273">
        <v>7552342.8891322426</v>
      </c>
      <c r="T533" s="235">
        <v>2468953.1226697336</v>
      </c>
      <c r="U533" s="235">
        <v>9887676.0798355285</v>
      </c>
      <c r="V533" s="235">
        <v>4714567.3406848935</v>
      </c>
      <c r="W533" s="235">
        <v>10831976.445703547</v>
      </c>
      <c r="X533" s="235">
        <v>2118867.2450358919</v>
      </c>
      <c r="Y533" s="235">
        <v>6164392.4725406095</v>
      </c>
      <c r="Z533" s="235">
        <v>11573323.193215406</v>
      </c>
      <c r="AA533" s="235">
        <v>3685384.7873970969</v>
      </c>
      <c r="AB533" s="235">
        <v>6480929.6640084423</v>
      </c>
      <c r="AC533" s="235">
        <v>5089314.9561664229</v>
      </c>
      <c r="AD533" s="235">
        <v>1686018.3263426488</v>
      </c>
      <c r="AE533" s="235">
        <v>2403717.1195057221</v>
      </c>
      <c r="AF533" s="235">
        <v>2424316.2300008498</v>
      </c>
      <c r="AG533" s="235">
        <v>3093342.0602254122</v>
      </c>
      <c r="AH533" s="235">
        <v>3035774.1633336833</v>
      </c>
      <c r="AI533" s="235">
        <v>1707611.2437548032</v>
      </c>
      <c r="AJ533" s="235">
        <v>2564658.294396536</v>
      </c>
      <c r="AK533" s="235">
        <v>278296.35322006507</v>
      </c>
      <c r="AL533" s="235">
        <v>190074.03408611679</v>
      </c>
      <c r="AM533" s="235">
        <v>5762237.2487978768</v>
      </c>
      <c r="AN533" s="235">
        <v>4082.3244568816708</v>
      </c>
      <c r="AO533" s="235">
        <v>4082.3244568816708</v>
      </c>
      <c r="AP533" s="235">
        <v>4082.3244568816708</v>
      </c>
      <c r="AQ533" s="235">
        <v>7808932.3244568817</v>
      </c>
      <c r="AR533" s="235">
        <v>4082.3244568816708</v>
      </c>
      <c r="AS533" s="235">
        <v>4082.3244568816708</v>
      </c>
      <c r="AT533" s="235">
        <v>7807846.438545852</v>
      </c>
      <c r="AU533" s="235">
        <v>7807846.438545852</v>
      </c>
      <c r="AV533" s="235"/>
      <c r="AW533" s="235"/>
      <c r="AX533" s="235"/>
      <c r="AY533" s="235"/>
      <c r="AZ533" s="235"/>
      <c r="BA533" s="235"/>
      <c r="BB533" s="235"/>
      <c r="BC533" s="235"/>
      <c r="BD533" s="235"/>
      <c r="BE533" s="235"/>
      <c r="BF533" s="235"/>
      <c r="BG533" s="235"/>
      <c r="BH533" s="235"/>
      <c r="BI533" s="235"/>
      <c r="BJ533" s="235"/>
      <c r="BK533" s="235"/>
    </row>
    <row r="534" spans="1:63" s="80" customFormat="1" ht="12.75">
      <c r="A534" s="168">
        <v>42277</v>
      </c>
      <c r="B534" s="213" t="str">
        <f>Servicio_internaColumna_título_intereses</f>
        <v>Intereses</v>
      </c>
      <c r="C534" s="270">
        <v>0</v>
      </c>
      <c r="D534" s="271"/>
      <c r="E534" s="271"/>
      <c r="F534" s="271"/>
      <c r="G534" s="271"/>
      <c r="H534" s="271"/>
      <c r="I534" s="271"/>
      <c r="J534" s="271"/>
      <c r="K534" s="271"/>
      <c r="L534" s="271"/>
      <c r="M534" s="271"/>
      <c r="N534" s="271"/>
      <c r="O534" s="271"/>
      <c r="P534" s="271"/>
      <c r="Q534" s="271">
        <v>1070991.6054849785</v>
      </c>
      <c r="R534" s="271">
        <v>5760993.3158983355</v>
      </c>
      <c r="S534" s="274">
        <v>5604738.5726179443</v>
      </c>
      <c r="T534" s="271">
        <v>5164390.4155250192</v>
      </c>
      <c r="U534" s="272">
        <v>4986868.4784031818</v>
      </c>
      <c r="V534" s="272">
        <v>4556402.2848551078</v>
      </c>
      <c r="W534" s="272">
        <v>4482716.9918174734</v>
      </c>
      <c r="X534" s="272">
        <v>4007383.8344000624</v>
      </c>
      <c r="Y534" s="272">
        <v>3808091.4199006674</v>
      </c>
      <c r="Z534" s="272">
        <v>3425935.7416526289</v>
      </c>
      <c r="AA534" s="272">
        <v>3125627.4344674256</v>
      </c>
      <c r="AB534" s="272">
        <v>2843437.1361088273</v>
      </c>
      <c r="AC534" s="272">
        <v>2686045.7911359281</v>
      </c>
      <c r="AD534" s="236">
        <v>2399686.3337262096</v>
      </c>
      <c r="AE534" s="236">
        <v>2340084.6678824979</v>
      </c>
      <c r="AF534" s="236">
        <v>2276031.5257806769</v>
      </c>
      <c r="AG534" s="236">
        <v>2110983.9500846602</v>
      </c>
      <c r="AH534" s="236">
        <v>2013697.8618400285</v>
      </c>
      <c r="AI534" s="236">
        <v>1898105.3098215566</v>
      </c>
      <c r="AJ534" s="236">
        <v>1825731.2762387148</v>
      </c>
      <c r="AK534" s="236">
        <v>1740570.7268174267</v>
      </c>
      <c r="AL534" s="236">
        <v>1732251.6083100166</v>
      </c>
      <c r="AM534" s="236">
        <v>1726919.3473715594</v>
      </c>
      <c r="AN534" s="236">
        <v>1307386.218567838</v>
      </c>
      <c r="AO534" s="236">
        <v>1307380.427848693</v>
      </c>
      <c r="AP534" s="236">
        <v>1307374.8037118793</v>
      </c>
      <c r="AQ534" s="236">
        <v>1068345.3151604028</v>
      </c>
      <c r="AR534" s="236">
        <v>829315.99319125758</v>
      </c>
      <c r="AS534" s="236">
        <v>829310.20247211249</v>
      </c>
      <c r="AT534" s="236">
        <v>609793.10862536321</v>
      </c>
      <c r="AU534" s="236">
        <v>195154.5585338223</v>
      </c>
      <c r="AV534" s="236"/>
      <c r="AW534" s="236"/>
      <c r="AX534" s="236"/>
      <c r="AY534" s="236"/>
      <c r="AZ534" s="236"/>
      <c r="BA534" s="236"/>
      <c r="BB534" s="236"/>
      <c r="BC534" s="236"/>
      <c r="BD534" s="236"/>
      <c r="BE534" s="236"/>
      <c r="BF534" s="236"/>
      <c r="BG534" s="236"/>
      <c r="BH534" s="236"/>
      <c r="BI534" s="236"/>
      <c r="BJ534" s="236"/>
      <c r="BK534" s="236"/>
    </row>
    <row r="535" spans="1:63" s="80" customFormat="1" ht="12.75">
      <c r="A535" s="169"/>
      <c r="B535" s="307" t="str">
        <f>Servicio_internaColumna_título_total</f>
        <v>Total</v>
      </c>
      <c r="C535" s="310">
        <v>0</v>
      </c>
      <c r="D535" s="311"/>
      <c r="E535" s="311"/>
      <c r="F535" s="311"/>
      <c r="G535" s="311"/>
      <c r="H535" s="311"/>
      <c r="I535" s="311"/>
      <c r="J535" s="311"/>
      <c r="K535" s="311"/>
      <c r="L535" s="311"/>
      <c r="M535" s="311"/>
      <c r="N535" s="311"/>
      <c r="O535" s="311"/>
      <c r="P535" s="311"/>
      <c r="Q535" s="311">
        <f>+Q533+Q534</f>
        <v>6503604.8760594446</v>
      </c>
      <c r="R535" s="311">
        <f t="shared" ref="R535:AU535" si="80">+R533+R534</f>
        <v>8544761.2384590618</v>
      </c>
      <c r="S535" s="312">
        <f t="shared" si="80"/>
        <v>13157081.461750187</v>
      </c>
      <c r="T535" s="311">
        <f t="shared" si="80"/>
        <v>7633343.5381947532</v>
      </c>
      <c r="U535" s="311">
        <f t="shared" si="80"/>
        <v>14874544.558238711</v>
      </c>
      <c r="V535" s="311">
        <f t="shared" si="80"/>
        <v>9270969.6255400013</v>
      </c>
      <c r="W535" s="311">
        <f t="shared" si="80"/>
        <v>15314693.437521022</v>
      </c>
      <c r="X535" s="311">
        <f t="shared" si="80"/>
        <v>6126251.0794359539</v>
      </c>
      <c r="Y535" s="311">
        <f t="shared" si="80"/>
        <v>9972483.8924412765</v>
      </c>
      <c r="Z535" s="311">
        <f t="shared" si="80"/>
        <v>14999258.934868034</v>
      </c>
      <c r="AA535" s="311">
        <f t="shared" si="80"/>
        <v>6811012.2218645224</v>
      </c>
      <c r="AB535" s="311">
        <f t="shared" si="80"/>
        <v>9324366.8001172692</v>
      </c>
      <c r="AC535" s="311">
        <f t="shared" si="80"/>
        <v>7775360.7473023515</v>
      </c>
      <c r="AD535" s="311">
        <f t="shared" si="80"/>
        <v>4085704.6600688584</v>
      </c>
      <c r="AE535" s="311">
        <f t="shared" si="80"/>
        <v>4743801.7873882204</v>
      </c>
      <c r="AF535" s="311">
        <f t="shared" si="80"/>
        <v>4700347.7557815267</v>
      </c>
      <c r="AG535" s="311">
        <f t="shared" si="80"/>
        <v>5204326.0103100725</v>
      </c>
      <c r="AH535" s="311">
        <f t="shared" si="80"/>
        <v>5049472.0251737116</v>
      </c>
      <c r="AI535" s="311">
        <f t="shared" si="80"/>
        <v>3605716.5535763595</v>
      </c>
      <c r="AJ535" s="311">
        <f t="shared" si="80"/>
        <v>4390389.5706352508</v>
      </c>
      <c r="AK535" s="311">
        <f t="shared" si="80"/>
        <v>2018867.0800374919</v>
      </c>
      <c r="AL535" s="311">
        <f t="shared" si="80"/>
        <v>1922325.6423961334</v>
      </c>
      <c r="AM535" s="311">
        <f t="shared" si="80"/>
        <v>7489156.5961694364</v>
      </c>
      <c r="AN535" s="311">
        <f t="shared" si="80"/>
        <v>1311468.5430247197</v>
      </c>
      <c r="AO535" s="311">
        <f t="shared" si="80"/>
        <v>1311462.7523055747</v>
      </c>
      <c r="AP535" s="311">
        <f t="shared" si="80"/>
        <v>1311457.128168761</v>
      </c>
      <c r="AQ535" s="311">
        <f t="shared" si="80"/>
        <v>8877277.6396172848</v>
      </c>
      <c r="AR535" s="311">
        <f t="shared" si="80"/>
        <v>833398.3176481392</v>
      </c>
      <c r="AS535" s="311">
        <f t="shared" si="80"/>
        <v>833392.52692899411</v>
      </c>
      <c r="AT535" s="311">
        <f t="shared" si="80"/>
        <v>8417639.5471712146</v>
      </c>
      <c r="AU535" s="311">
        <f t="shared" si="80"/>
        <v>8003000.9970796742</v>
      </c>
      <c r="AV535" s="311"/>
      <c r="AW535" s="311"/>
      <c r="AX535" s="311"/>
      <c r="AY535" s="311"/>
      <c r="AZ535" s="311"/>
      <c r="BA535" s="311"/>
      <c r="BB535" s="311"/>
      <c r="BC535" s="311"/>
      <c r="BD535" s="311"/>
      <c r="BE535" s="311"/>
      <c r="BF535" s="311"/>
      <c r="BG535" s="311"/>
      <c r="BH535" s="311"/>
      <c r="BI535" s="311"/>
      <c r="BJ535" s="311"/>
      <c r="BK535" s="311"/>
    </row>
    <row r="536" spans="1:63" s="80" customFormat="1" ht="12.75">
      <c r="A536" s="167"/>
      <c r="B536" s="210" t="str">
        <f>Servicio_internaColumna_título_amortizaciones</f>
        <v>Amortizaciones</v>
      </c>
      <c r="C536" s="269">
        <v>0</v>
      </c>
      <c r="D536" s="235"/>
      <c r="E536" s="235"/>
      <c r="F536" s="235"/>
      <c r="G536" s="235"/>
      <c r="H536" s="235"/>
      <c r="I536" s="235"/>
      <c r="J536" s="235"/>
      <c r="K536" s="235"/>
      <c r="L536" s="235"/>
      <c r="M536" s="235"/>
      <c r="N536" s="235"/>
      <c r="O536" s="235"/>
      <c r="P536" s="235"/>
      <c r="Q536" s="235">
        <v>2677764.9580869889</v>
      </c>
      <c r="R536" s="235">
        <v>2613373.6268986566</v>
      </c>
      <c r="S536" s="273">
        <v>7072072.1101259533</v>
      </c>
      <c r="T536" s="235">
        <v>2380812.3750988333</v>
      </c>
      <c r="U536" s="235">
        <v>9313696.0815932974</v>
      </c>
      <c r="V536" s="235">
        <v>4480905.970220862</v>
      </c>
      <c r="W536" s="235">
        <v>10383777.418390471</v>
      </c>
      <c r="X536" s="235">
        <v>2052009.8768024454</v>
      </c>
      <c r="Y536" s="235">
        <v>5909968.8218801236</v>
      </c>
      <c r="Z536" s="235">
        <v>10893114.403964825</v>
      </c>
      <c r="AA536" s="235">
        <v>3512065.3691707086</v>
      </c>
      <c r="AB536" s="235">
        <v>6154065.8129659072</v>
      </c>
      <c r="AC536" s="235">
        <v>4970354.9005253166</v>
      </c>
      <c r="AD536" s="235">
        <v>3103699.0644854154</v>
      </c>
      <c r="AE536" s="235">
        <v>2314519.4169742162</v>
      </c>
      <c r="AF536" s="235">
        <v>2334760.1842698734</v>
      </c>
      <c r="AG536" s="235">
        <v>2894200.1237273449</v>
      </c>
      <c r="AH536" s="235">
        <v>2839601.2861494459</v>
      </c>
      <c r="AI536" s="235">
        <v>1596787.8751856938</v>
      </c>
      <c r="AJ536" s="235">
        <v>2399842.0006238171</v>
      </c>
      <c r="AK536" s="235">
        <v>260404.70650617016</v>
      </c>
      <c r="AL536" s="235">
        <v>177851.67046691701</v>
      </c>
      <c r="AM536" s="235">
        <v>5391941.1542476183</v>
      </c>
      <c r="AN536" s="235">
        <v>3819.988879471598</v>
      </c>
      <c r="AO536" s="235">
        <v>3819.988879471598</v>
      </c>
      <c r="AP536" s="235">
        <v>3819.988879471598</v>
      </c>
      <c r="AQ536" s="235">
        <v>7307119.988879472</v>
      </c>
      <c r="AR536" s="235">
        <v>3819.988879471598</v>
      </c>
      <c r="AS536" s="235">
        <v>3819.988879471598</v>
      </c>
      <c r="AT536" s="235">
        <v>7306103.8834355464</v>
      </c>
      <c r="AU536" s="235">
        <v>7306103.8834355464</v>
      </c>
      <c r="AV536" s="235"/>
      <c r="AW536" s="235"/>
      <c r="AX536" s="235"/>
      <c r="AY536" s="235"/>
      <c r="AZ536" s="235"/>
      <c r="BA536" s="235"/>
      <c r="BB536" s="235"/>
      <c r="BC536" s="235"/>
      <c r="BD536" s="235"/>
      <c r="BE536" s="235"/>
      <c r="BF536" s="235"/>
      <c r="BG536" s="235"/>
      <c r="BH536" s="235"/>
      <c r="BI536" s="235"/>
      <c r="BJ536" s="235"/>
      <c r="BK536" s="235"/>
    </row>
    <row r="537" spans="1:63" s="80" customFormat="1" ht="12.75">
      <c r="A537" s="168">
        <v>42308</v>
      </c>
      <c r="B537" s="213" t="str">
        <f>Servicio_internaColumna_título_intereses</f>
        <v>Intereses</v>
      </c>
      <c r="C537" s="270">
        <v>0</v>
      </c>
      <c r="D537" s="271"/>
      <c r="E537" s="271"/>
      <c r="F537" s="271"/>
      <c r="G537" s="271"/>
      <c r="H537" s="271"/>
      <c r="I537" s="271"/>
      <c r="J537" s="271"/>
      <c r="K537" s="271"/>
      <c r="L537" s="271"/>
      <c r="M537" s="271"/>
      <c r="N537" s="271"/>
      <c r="O537" s="271"/>
      <c r="P537" s="271"/>
      <c r="Q537" s="271">
        <v>608676.56434142753</v>
      </c>
      <c r="R537" s="271">
        <v>5457782.4636195907</v>
      </c>
      <c r="S537" s="274">
        <v>5334734.4427295504</v>
      </c>
      <c r="T537" s="271">
        <v>4969099.7155277384</v>
      </c>
      <c r="U537" s="272">
        <v>4779849.3106272658</v>
      </c>
      <c r="V537" s="272">
        <v>4381028.9496857384</v>
      </c>
      <c r="W537" s="272">
        <v>4311297.1409597714</v>
      </c>
      <c r="X537" s="272">
        <v>3863826.0819530203</v>
      </c>
      <c r="Y537" s="272">
        <v>3656819.7852777769</v>
      </c>
      <c r="Z537" s="272">
        <v>3289629.2837965218</v>
      </c>
      <c r="AA537" s="272">
        <v>3009138.3324792846</v>
      </c>
      <c r="AB537" s="272">
        <v>2737232.7450344777</v>
      </c>
      <c r="AC537" s="272">
        <v>2585108.0839783903</v>
      </c>
      <c r="AD537" s="236">
        <v>2275339.2621126422</v>
      </c>
      <c r="AE537" s="236">
        <v>2188804.7927758871</v>
      </c>
      <c r="AF537" s="236">
        <v>2130042.5498979781</v>
      </c>
      <c r="AG537" s="236">
        <v>1977841.6925759041</v>
      </c>
      <c r="AH537" s="236">
        <v>1885468.9461677729</v>
      </c>
      <c r="AI537" s="236">
        <v>1776817.8419419748</v>
      </c>
      <c r="AJ537" s="236">
        <v>1708945.0929341265</v>
      </c>
      <c r="AK537" s="236">
        <v>1628776.8567645524</v>
      </c>
      <c r="AL537" s="236">
        <v>1620955.9434747477</v>
      </c>
      <c r="AM537" s="236">
        <v>1615945.748157698</v>
      </c>
      <c r="AN537" s="236">
        <v>1223371.8482823488</v>
      </c>
      <c r="AO537" s="236">
        <v>1223366.4296824872</v>
      </c>
      <c r="AP537" s="236">
        <v>1223361.1669601556</v>
      </c>
      <c r="AQ537" s="236">
        <v>999692.02998276334</v>
      </c>
      <c r="AR537" s="236">
        <v>776023.0488829012</v>
      </c>
      <c r="AS537" s="236">
        <v>776017.6302830393</v>
      </c>
      <c r="AT537" s="236">
        <v>570606.99567879143</v>
      </c>
      <c r="AU537" s="236">
        <v>182613.66808331542</v>
      </c>
      <c r="AV537" s="236"/>
      <c r="AW537" s="236"/>
      <c r="AX537" s="236"/>
      <c r="AY537" s="236"/>
      <c r="AZ537" s="236"/>
      <c r="BA537" s="236"/>
      <c r="BB537" s="236"/>
      <c r="BC537" s="236"/>
      <c r="BD537" s="236"/>
      <c r="BE537" s="236"/>
      <c r="BF537" s="236"/>
      <c r="BG537" s="236"/>
      <c r="BH537" s="236"/>
      <c r="BI537" s="236"/>
      <c r="BJ537" s="236"/>
      <c r="BK537" s="236"/>
    </row>
    <row r="538" spans="1:63" s="80" customFormat="1" ht="12.75">
      <c r="A538" s="169"/>
      <c r="B538" s="307" t="str">
        <f>Servicio_internaColumna_título_total</f>
        <v>Total</v>
      </c>
      <c r="C538" s="310">
        <v>0</v>
      </c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>
        <f>+Q536+Q537</f>
        <v>3286441.5224284166</v>
      </c>
      <c r="R538" s="311">
        <f t="shared" ref="R538:AU538" si="81">+R536+R537</f>
        <v>8071156.0905182473</v>
      </c>
      <c r="S538" s="312">
        <f t="shared" si="81"/>
        <v>12406806.552855503</v>
      </c>
      <c r="T538" s="311">
        <f t="shared" si="81"/>
        <v>7349912.0906265713</v>
      </c>
      <c r="U538" s="311">
        <f t="shared" si="81"/>
        <v>14093545.392220564</v>
      </c>
      <c r="V538" s="311">
        <f t="shared" si="81"/>
        <v>8861934.9199066013</v>
      </c>
      <c r="W538" s="311">
        <f t="shared" si="81"/>
        <v>14695074.559350243</v>
      </c>
      <c r="X538" s="311">
        <f t="shared" si="81"/>
        <v>5915835.9587554652</v>
      </c>
      <c r="Y538" s="311">
        <f t="shared" si="81"/>
        <v>9566788.6071579009</v>
      </c>
      <c r="Z538" s="311">
        <f t="shared" si="81"/>
        <v>14182743.687761348</v>
      </c>
      <c r="AA538" s="311">
        <f t="shared" si="81"/>
        <v>6521203.7016499937</v>
      </c>
      <c r="AB538" s="311">
        <f t="shared" si="81"/>
        <v>8891298.5580003858</v>
      </c>
      <c r="AC538" s="311">
        <f t="shared" si="81"/>
        <v>7555462.9845037069</v>
      </c>
      <c r="AD538" s="311">
        <f t="shared" si="81"/>
        <v>5379038.3265980575</v>
      </c>
      <c r="AE538" s="311">
        <f t="shared" si="81"/>
        <v>4503324.2097501028</v>
      </c>
      <c r="AF538" s="311">
        <f t="shared" si="81"/>
        <v>4464802.7341678515</v>
      </c>
      <c r="AG538" s="311">
        <f t="shared" si="81"/>
        <v>4872041.8163032494</v>
      </c>
      <c r="AH538" s="311">
        <f t="shared" si="81"/>
        <v>4725070.2323172186</v>
      </c>
      <c r="AI538" s="311">
        <f t="shared" si="81"/>
        <v>3373605.7171276687</v>
      </c>
      <c r="AJ538" s="311">
        <f t="shared" si="81"/>
        <v>4108787.0935579436</v>
      </c>
      <c r="AK538" s="311">
        <f t="shared" si="81"/>
        <v>1889181.5632707225</v>
      </c>
      <c r="AL538" s="311">
        <f t="shared" si="81"/>
        <v>1798807.6139416648</v>
      </c>
      <c r="AM538" s="311">
        <f t="shared" si="81"/>
        <v>7007886.902405316</v>
      </c>
      <c r="AN538" s="311">
        <f t="shared" si="81"/>
        <v>1227191.8371618204</v>
      </c>
      <c r="AO538" s="311">
        <f t="shared" si="81"/>
        <v>1227186.4185619587</v>
      </c>
      <c r="AP538" s="311">
        <f t="shared" si="81"/>
        <v>1227181.1558396271</v>
      </c>
      <c r="AQ538" s="311">
        <f t="shared" si="81"/>
        <v>8306812.0188622354</v>
      </c>
      <c r="AR538" s="311">
        <f t="shared" si="81"/>
        <v>779843.03776237275</v>
      </c>
      <c r="AS538" s="311">
        <f t="shared" si="81"/>
        <v>779837.61916251085</v>
      </c>
      <c r="AT538" s="311">
        <f t="shared" si="81"/>
        <v>7876710.8791143382</v>
      </c>
      <c r="AU538" s="311">
        <f t="shared" si="81"/>
        <v>7488717.5515188621</v>
      </c>
      <c r="AV538" s="311"/>
      <c r="AW538" s="311"/>
      <c r="AX538" s="311"/>
      <c r="AY538" s="311"/>
      <c r="AZ538" s="311"/>
      <c r="BA538" s="311"/>
      <c r="BB538" s="311"/>
      <c r="BC538" s="311"/>
      <c r="BD538" s="311"/>
      <c r="BE538" s="311"/>
      <c r="BF538" s="311"/>
      <c r="BG538" s="311"/>
      <c r="BH538" s="311"/>
      <c r="BI538" s="311"/>
      <c r="BJ538" s="311"/>
      <c r="BK538" s="311"/>
    </row>
    <row r="539" spans="1:63" s="80" customFormat="1" ht="12.75">
      <c r="A539" s="167"/>
      <c r="B539" s="210" t="str">
        <f>Servicio_internaColumna_título_amortizaciones</f>
        <v>Amortizaciones</v>
      </c>
      <c r="C539" s="269">
        <v>0</v>
      </c>
      <c r="D539" s="235"/>
      <c r="E539" s="235"/>
      <c r="F539" s="235"/>
      <c r="G539" s="235"/>
      <c r="H539" s="235"/>
      <c r="I539" s="235"/>
      <c r="J539" s="235"/>
      <c r="K539" s="235"/>
      <c r="L539" s="235"/>
      <c r="M539" s="235"/>
      <c r="N539" s="235"/>
      <c r="O539" s="235"/>
      <c r="P539" s="235"/>
      <c r="Q539" s="235">
        <v>2080694.994750008</v>
      </c>
      <c r="R539" s="235">
        <v>2630375.2179916669</v>
      </c>
      <c r="S539" s="273">
        <v>7456644.782765829</v>
      </c>
      <c r="T539" s="235">
        <v>2484198.2417282821</v>
      </c>
      <c r="U539" s="235">
        <v>9820689.7761615254</v>
      </c>
      <c r="V539" s="235">
        <v>4725129.5635788422</v>
      </c>
      <c r="W539" s="235">
        <v>10821022.778211847</v>
      </c>
      <c r="X539" s="235">
        <v>2149605.9233420817</v>
      </c>
      <c r="Y539" s="235">
        <v>6179041.4685623972</v>
      </c>
      <c r="Z539" s="235">
        <v>11544652.398796456</v>
      </c>
      <c r="AA539" s="235">
        <v>3710813.7486453578</v>
      </c>
      <c r="AB539" s="235">
        <v>6515498.6506470824</v>
      </c>
      <c r="AC539" s="235">
        <v>5122453.4626917634</v>
      </c>
      <c r="AD539" s="235">
        <v>3287826.5965898</v>
      </c>
      <c r="AE539" s="235">
        <v>2444850.8341510016</v>
      </c>
      <c r="AF539" s="235">
        <v>2458648.0848678397</v>
      </c>
      <c r="AG539" s="235">
        <v>3056412.3356009116</v>
      </c>
      <c r="AH539" s="235">
        <v>3014643.6403106856</v>
      </c>
      <c r="AI539" s="235">
        <v>1695346.6551328585</v>
      </c>
      <c r="AJ539" s="235">
        <v>2547821.2722224495</v>
      </c>
      <c r="AK539" s="235">
        <v>276721.56634009641</v>
      </c>
      <c r="AL539" s="235">
        <v>189088.16087225045</v>
      </c>
      <c r="AM539" s="235">
        <v>5724059.4996676687</v>
      </c>
      <c r="AN539" s="235">
        <v>4055.0735674727084</v>
      </c>
      <c r="AO539" s="235">
        <v>4055.0735674727084</v>
      </c>
      <c r="AP539" s="235">
        <v>4055.0735674727084</v>
      </c>
      <c r="AQ539" s="235">
        <v>7756805.0735674724</v>
      </c>
      <c r="AR539" s="235">
        <v>4055.0735674727084</v>
      </c>
      <c r="AS539" s="235">
        <v>4055.0735674727084</v>
      </c>
      <c r="AT539" s="235">
        <v>7755726.4363102885</v>
      </c>
      <c r="AU539" s="235">
        <v>7755726.4363102885</v>
      </c>
      <c r="AV539" s="235"/>
      <c r="AW539" s="235"/>
      <c r="AX539" s="235"/>
      <c r="AY539" s="235"/>
      <c r="AZ539" s="235"/>
      <c r="BA539" s="235"/>
      <c r="BB539" s="235"/>
      <c r="BC539" s="235"/>
      <c r="BD539" s="235"/>
      <c r="BE539" s="235"/>
      <c r="BF539" s="235"/>
      <c r="BG539" s="235"/>
      <c r="BH539" s="235"/>
      <c r="BI539" s="235"/>
      <c r="BJ539" s="235"/>
      <c r="BK539" s="235"/>
    </row>
    <row r="540" spans="1:63" s="80" customFormat="1" ht="12.75">
      <c r="A540" s="168">
        <v>42338</v>
      </c>
      <c r="B540" s="213" t="str">
        <f>Servicio_internaColumna_título_intereses</f>
        <v>Intereses</v>
      </c>
      <c r="C540" s="270">
        <v>0</v>
      </c>
      <c r="D540" s="271"/>
      <c r="E540" s="271"/>
      <c r="F540" s="271"/>
      <c r="G540" s="271"/>
      <c r="H540" s="271"/>
      <c r="I540" s="271"/>
      <c r="J540" s="271"/>
      <c r="K540" s="271"/>
      <c r="L540" s="271"/>
      <c r="M540" s="271"/>
      <c r="N540" s="271"/>
      <c r="O540" s="271"/>
      <c r="P540" s="271"/>
      <c r="Q540" s="271">
        <v>311471.4518676094</v>
      </c>
      <c r="R540" s="271">
        <v>5759866.98960777</v>
      </c>
      <c r="S540" s="274">
        <v>5651688.8943320466</v>
      </c>
      <c r="T540" s="271">
        <v>5295451.1464753691</v>
      </c>
      <c r="U540" s="272">
        <v>5063108.0662228083</v>
      </c>
      <c r="V540" s="272">
        <v>4633572.0261961287</v>
      </c>
      <c r="W540" s="272">
        <v>4520878.6551019698</v>
      </c>
      <c r="X540" s="272">
        <v>4053812.7127209809</v>
      </c>
      <c r="Y540" s="272">
        <v>3851747.242649138</v>
      </c>
      <c r="Z540" s="272">
        <v>3454640.9365649805</v>
      </c>
      <c r="AA540" s="272">
        <v>3157093.2075072816</v>
      </c>
      <c r="AB540" s="272">
        <v>2888282.4496517703</v>
      </c>
      <c r="AC540" s="272">
        <v>2724861.7404030995</v>
      </c>
      <c r="AD540" s="236">
        <v>2407977.9245637255</v>
      </c>
      <c r="AE540" s="236">
        <v>2316126.5070060622</v>
      </c>
      <c r="AF540" s="236">
        <v>2257493.0785278697</v>
      </c>
      <c r="AG540" s="236">
        <v>2099289.5164306541</v>
      </c>
      <c r="AH540" s="236">
        <v>2000892.2972281193</v>
      </c>
      <c r="AI540" s="236">
        <v>1885672.0465339834</v>
      </c>
      <c r="AJ540" s="236">
        <v>1813612.9771085884</v>
      </c>
      <c r="AK540" s="236">
        <v>1728958.1485752007</v>
      </c>
      <c r="AL540" s="236">
        <v>1720693.7468000771</v>
      </c>
      <c r="AM540" s="236">
        <v>1715393.046913228</v>
      </c>
      <c r="AN540" s="236">
        <v>1298658.9756371751</v>
      </c>
      <c r="AO540" s="236">
        <v>1298653.2235730286</v>
      </c>
      <c r="AP540" s="236">
        <v>1298647.6369792209</v>
      </c>
      <c r="AQ540" s="236">
        <v>1061213.7506947364</v>
      </c>
      <c r="AR540" s="236">
        <v>823780.02988058981</v>
      </c>
      <c r="AS540" s="236">
        <v>823774.27781644359</v>
      </c>
      <c r="AT540" s="236">
        <v>605722.53443631646</v>
      </c>
      <c r="AU540" s="236">
        <v>193851.83618815104</v>
      </c>
      <c r="AV540" s="236"/>
      <c r="AW540" s="236"/>
      <c r="AX540" s="236"/>
      <c r="AY540" s="236"/>
      <c r="AZ540" s="236"/>
      <c r="BA540" s="236"/>
      <c r="BB540" s="236"/>
      <c r="BC540" s="236"/>
      <c r="BD540" s="236"/>
      <c r="BE540" s="236"/>
      <c r="BF540" s="236"/>
      <c r="BG540" s="236"/>
      <c r="BH540" s="236"/>
      <c r="BI540" s="236"/>
      <c r="BJ540" s="236"/>
      <c r="BK540" s="236"/>
    </row>
    <row r="541" spans="1:63" s="80" customFormat="1" ht="12.75">
      <c r="A541" s="169"/>
      <c r="B541" s="307" t="str">
        <f>Servicio_internaColumna_título_total</f>
        <v>Total</v>
      </c>
      <c r="C541" s="310">
        <v>0</v>
      </c>
      <c r="D541" s="311"/>
      <c r="E541" s="311"/>
      <c r="F541" s="311"/>
      <c r="G541" s="311"/>
      <c r="H541" s="311"/>
      <c r="I541" s="311"/>
      <c r="J541" s="311"/>
      <c r="K541" s="311"/>
      <c r="L541" s="311"/>
      <c r="M541" s="311"/>
      <c r="N541" s="311"/>
      <c r="O541" s="311"/>
      <c r="P541" s="311"/>
      <c r="Q541" s="311">
        <f>+Q539+Q540</f>
        <v>2392166.4466176173</v>
      </c>
      <c r="R541" s="311">
        <f t="shared" ref="R541:AU541" si="82">+R539+R540</f>
        <v>8390242.2075994369</v>
      </c>
      <c r="S541" s="312">
        <f t="shared" si="82"/>
        <v>13108333.677097876</v>
      </c>
      <c r="T541" s="311">
        <f t="shared" si="82"/>
        <v>7779649.3882036507</v>
      </c>
      <c r="U541" s="311">
        <f t="shared" si="82"/>
        <v>14883797.842384335</v>
      </c>
      <c r="V541" s="311">
        <f t="shared" si="82"/>
        <v>9358701.58977497</v>
      </c>
      <c r="W541" s="311">
        <f t="shared" si="82"/>
        <v>15341901.433313817</v>
      </c>
      <c r="X541" s="311">
        <f t="shared" si="82"/>
        <v>6203418.6360630626</v>
      </c>
      <c r="Y541" s="311">
        <f t="shared" si="82"/>
        <v>10030788.711211536</v>
      </c>
      <c r="Z541" s="311">
        <f t="shared" si="82"/>
        <v>14999293.335361436</v>
      </c>
      <c r="AA541" s="311">
        <f t="shared" si="82"/>
        <v>6867906.9561526394</v>
      </c>
      <c r="AB541" s="311">
        <f t="shared" si="82"/>
        <v>9403781.1002988517</v>
      </c>
      <c r="AC541" s="311">
        <f t="shared" si="82"/>
        <v>7847315.2030948624</v>
      </c>
      <c r="AD541" s="311">
        <f t="shared" si="82"/>
        <v>5695804.5211535254</v>
      </c>
      <c r="AE541" s="311">
        <f t="shared" si="82"/>
        <v>4760977.3411570638</v>
      </c>
      <c r="AF541" s="311">
        <f t="shared" si="82"/>
        <v>4716141.1633957094</v>
      </c>
      <c r="AG541" s="311">
        <f t="shared" si="82"/>
        <v>5155701.8520315662</v>
      </c>
      <c r="AH541" s="311">
        <f t="shared" si="82"/>
        <v>5015535.9375388045</v>
      </c>
      <c r="AI541" s="311">
        <f t="shared" si="82"/>
        <v>3581018.7016668422</v>
      </c>
      <c r="AJ541" s="311">
        <f t="shared" si="82"/>
        <v>4361434.2493310384</v>
      </c>
      <c r="AK541" s="311">
        <f t="shared" si="82"/>
        <v>2005679.714915297</v>
      </c>
      <c r="AL541" s="311">
        <f t="shared" si="82"/>
        <v>1909781.9076723275</v>
      </c>
      <c r="AM541" s="311">
        <f t="shared" si="82"/>
        <v>7439452.5465808967</v>
      </c>
      <c r="AN541" s="311">
        <f t="shared" si="82"/>
        <v>1302714.0492046478</v>
      </c>
      <c r="AO541" s="311">
        <f t="shared" si="82"/>
        <v>1302708.2971405012</v>
      </c>
      <c r="AP541" s="311">
        <f t="shared" si="82"/>
        <v>1302702.7105466935</v>
      </c>
      <c r="AQ541" s="311">
        <f t="shared" si="82"/>
        <v>8818018.8242622092</v>
      </c>
      <c r="AR541" s="311">
        <f t="shared" si="82"/>
        <v>827835.10344806255</v>
      </c>
      <c r="AS541" s="311">
        <f t="shared" si="82"/>
        <v>827829.35138391634</v>
      </c>
      <c r="AT541" s="311">
        <f t="shared" si="82"/>
        <v>8361448.9707466047</v>
      </c>
      <c r="AU541" s="311">
        <f t="shared" si="82"/>
        <v>7949578.27249844</v>
      </c>
      <c r="AV541" s="311"/>
      <c r="AW541" s="311"/>
      <c r="AX541" s="311"/>
      <c r="AY541" s="311"/>
      <c r="AZ541" s="311"/>
      <c r="BA541" s="311"/>
      <c r="BB541" s="311"/>
      <c r="BC541" s="311"/>
      <c r="BD541" s="311"/>
      <c r="BE541" s="311"/>
      <c r="BF541" s="311"/>
      <c r="BG541" s="311"/>
      <c r="BH541" s="311"/>
      <c r="BI541" s="311"/>
      <c r="BJ541" s="311"/>
      <c r="BK541" s="311"/>
    </row>
    <row r="542" spans="1:63" s="80" customFormat="1" ht="12.75">
      <c r="A542" s="167"/>
      <c r="B542" s="210" t="str">
        <f>Servicio_internaColumna_título_amortizaciones</f>
        <v>Amortizaciones</v>
      </c>
      <c r="C542" s="269">
        <v>0</v>
      </c>
      <c r="D542" s="235"/>
      <c r="E542" s="235"/>
      <c r="F542" s="235"/>
      <c r="G542" s="235"/>
      <c r="H542" s="235"/>
      <c r="I542" s="235"/>
      <c r="J542" s="235"/>
      <c r="K542" s="235"/>
      <c r="L542" s="235"/>
      <c r="M542" s="235"/>
      <c r="N542" s="235"/>
      <c r="O542" s="235"/>
      <c r="P542" s="235"/>
      <c r="Q542" s="235"/>
      <c r="R542" s="235">
        <v>3126678.0197844896</v>
      </c>
      <c r="S542" s="273">
        <v>7842411.8645193949</v>
      </c>
      <c r="T542" s="235">
        <v>2841850.6094746608</v>
      </c>
      <c r="U542" s="235">
        <v>10287265.8960557</v>
      </c>
      <c r="V542" s="235">
        <v>5021747.6417902177</v>
      </c>
      <c r="W542" s="235">
        <v>11167585.252502119</v>
      </c>
      <c r="X542" s="235">
        <v>2399274.5258483822</v>
      </c>
      <c r="Y542" s="235">
        <v>6459631.4352978747</v>
      </c>
      <c r="Z542" s="235">
        <v>11915359.5615323</v>
      </c>
      <c r="AA542" s="235">
        <v>3949325.5339612621</v>
      </c>
      <c r="AB542" s="235">
        <v>6740584.8458689395</v>
      </c>
      <c r="AC542" s="235">
        <v>6544866.9715909148</v>
      </c>
      <c r="AD542" s="235">
        <v>3449155.7797681009</v>
      </c>
      <c r="AE542" s="235">
        <v>2587454.4269943135</v>
      </c>
      <c r="AF542" s="235">
        <v>2587272.0434677298</v>
      </c>
      <c r="AG542" s="235">
        <v>3133285.7140698801</v>
      </c>
      <c r="AH542" s="235">
        <v>3070019.9192105187</v>
      </c>
      <c r="AI542" s="235">
        <v>1730144.9471335101</v>
      </c>
      <c r="AJ542" s="235">
        <v>2589271.9934770358</v>
      </c>
      <c r="AK542" s="235">
        <v>2474935.552068477</v>
      </c>
      <c r="AL542" s="235">
        <v>192076.35522329313</v>
      </c>
      <c r="AM542" s="235">
        <v>5813369.7489923611</v>
      </c>
      <c r="AN542" s="235">
        <v>4118.32335253564</v>
      </c>
      <c r="AO542" s="235">
        <v>4118.32335253564</v>
      </c>
      <c r="AP542" s="235">
        <v>4118.32335253564</v>
      </c>
      <c r="AQ542" s="235">
        <v>7877793.3233525353</v>
      </c>
      <c r="AR542" s="235">
        <v>4118.32335253564</v>
      </c>
      <c r="AS542" s="235">
        <v>4118.32335253564</v>
      </c>
      <c r="AT542" s="235">
        <v>7876697.8618445592</v>
      </c>
      <c r="AU542" s="235">
        <v>7876697.8618445592</v>
      </c>
      <c r="AV542" s="235">
        <v>3022.8618445593697</v>
      </c>
      <c r="AW542" s="235"/>
      <c r="AX542" s="235"/>
      <c r="AY542" s="235"/>
      <c r="AZ542" s="235"/>
      <c r="BA542" s="235"/>
      <c r="BB542" s="235"/>
      <c r="BC542" s="235"/>
      <c r="BD542" s="235"/>
      <c r="BE542" s="235"/>
      <c r="BF542" s="235"/>
      <c r="BG542" s="235"/>
      <c r="BH542" s="235"/>
      <c r="BI542" s="235"/>
      <c r="BJ542" s="235"/>
      <c r="BK542" s="235"/>
    </row>
    <row r="543" spans="1:63" s="80" customFormat="1" ht="12.75">
      <c r="A543" s="168">
        <v>42341</v>
      </c>
      <c r="B543" s="213" t="str">
        <f>Servicio_internaColumna_título_intereses</f>
        <v>Intereses</v>
      </c>
      <c r="C543" s="270">
        <v>0</v>
      </c>
      <c r="D543" s="271"/>
      <c r="E543" s="271"/>
      <c r="F543" s="271"/>
      <c r="G543" s="271"/>
      <c r="H543" s="271"/>
      <c r="I543" s="271"/>
      <c r="J543" s="271"/>
      <c r="K543" s="271"/>
      <c r="L543" s="271"/>
      <c r="M543" s="271"/>
      <c r="N543" s="271"/>
      <c r="O543" s="271"/>
      <c r="P543" s="271"/>
      <c r="Q543" s="271"/>
      <c r="R543" s="271">
        <v>5993289.4339640448</v>
      </c>
      <c r="S543" s="274">
        <v>5942436.6419769898</v>
      </c>
      <c r="T543" s="271">
        <v>5586013.3740430437</v>
      </c>
      <c r="U543" s="272">
        <v>5335226.810689074</v>
      </c>
      <c r="V543" s="272">
        <v>4910111.674773748</v>
      </c>
      <c r="W543" s="272">
        <v>4792992.202918523</v>
      </c>
      <c r="X543" s="272">
        <v>4333218.8688661642</v>
      </c>
      <c r="Y543" s="272">
        <v>4114470.0597244049</v>
      </c>
      <c r="Z543" s="272">
        <v>3688679.3488557814</v>
      </c>
      <c r="AA543" s="272">
        <v>3382368.6618690565</v>
      </c>
      <c r="AB543" s="272">
        <v>3105407.1608782578</v>
      </c>
      <c r="AC543" s="272">
        <v>2931083.2071871422</v>
      </c>
      <c r="AD543" s="236">
        <v>2552154.6853188113</v>
      </c>
      <c r="AE543" s="236">
        <v>2450801.1992994728</v>
      </c>
      <c r="AF543" s="236">
        <v>2388898.4031158481</v>
      </c>
      <c r="AG543" s="236">
        <v>2221032.961951036</v>
      </c>
      <c r="AH543" s="236">
        <v>2112796.4210742917</v>
      </c>
      <c r="AI543" s="236">
        <v>1994059.4289176445</v>
      </c>
      <c r="AJ543" s="236">
        <v>1920995.6046651537</v>
      </c>
      <c r="AK543" s="236">
        <v>1794766.7016953689</v>
      </c>
      <c r="AL543" s="236">
        <v>1747687.3469545622</v>
      </c>
      <c r="AM543" s="236">
        <v>1742171.8173838558</v>
      </c>
      <c r="AN543" s="236">
        <v>1318915.0572377585</v>
      </c>
      <c r="AO543" s="236">
        <v>1318909.2154546925</v>
      </c>
      <c r="AP543" s="236">
        <v>1318903.54172292</v>
      </c>
      <c r="AQ543" s="236">
        <v>1077766.2350135602</v>
      </c>
      <c r="AR543" s="236">
        <v>836629.09635549365</v>
      </c>
      <c r="AS543" s="236">
        <v>836623.25457242737</v>
      </c>
      <c r="AT543" s="236">
        <v>615170.40744611435</v>
      </c>
      <c r="AU543" s="236">
        <v>196875.47725629489</v>
      </c>
      <c r="AV543" s="236">
        <v>27.760473228619986</v>
      </c>
      <c r="AW543" s="236"/>
      <c r="AX543" s="236"/>
      <c r="AY543" s="236"/>
      <c r="AZ543" s="236"/>
      <c r="BA543" s="236"/>
      <c r="BB543" s="236"/>
      <c r="BC543" s="236"/>
      <c r="BD543" s="236"/>
      <c r="BE543" s="236"/>
      <c r="BF543" s="236"/>
      <c r="BG543" s="236"/>
      <c r="BH543" s="236"/>
      <c r="BI543" s="236"/>
      <c r="BJ543" s="236"/>
      <c r="BK543" s="236"/>
    </row>
    <row r="544" spans="1:63" s="80" customFormat="1" ht="12.75">
      <c r="A544" s="169"/>
      <c r="B544" s="307" t="str">
        <f>Servicio_internaColumna_título_total</f>
        <v>Total</v>
      </c>
      <c r="C544" s="310">
        <v>0</v>
      </c>
      <c r="D544" s="311"/>
      <c r="E544" s="311"/>
      <c r="F544" s="311"/>
      <c r="G544" s="311"/>
      <c r="H544" s="311"/>
      <c r="I544" s="311"/>
      <c r="J544" s="311"/>
      <c r="K544" s="311"/>
      <c r="L544" s="311"/>
      <c r="M544" s="311"/>
      <c r="N544" s="311"/>
      <c r="O544" s="311"/>
      <c r="P544" s="311"/>
      <c r="Q544" s="311"/>
      <c r="R544" s="311">
        <f t="shared" ref="R544:AV544" si="83">+R542+R543</f>
        <v>9119967.4537485354</v>
      </c>
      <c r="S544" s="312">
        <f t="shared" si="83"/>
        <v>13784848.506496385</v>
      </c>
      <c r="T544" s="311">
        <f t="shared" si="83"/>
        <v>8427863.9835177045</v>
      </c>
      <c r="U544" s="311">
        <f t="shared" si="83"/>
        <v>15622492.706744775</v>
      </c>
      <c r="V544" s="311">
        <f t="shared" si="83"/>
        <v>9931859.3165639658</v>
      </c>
      <c r="W544" s="311">
        <f t="shared" si="83"/>
        <v>15960577.455420643</v>
      </c>
      <c r="X544" s="311">
        <f t="shared" si="83"/>
        <v>6732493.3947145464</v>
      </c>
      <c r="Y544" s="311">
        <f t="shared" si="83"/>
        <v>10574101.49502228</v>
      </c>
      <c r="Z544" s="311">
        <f t="shared" si="83"/>
        <v>15604038.910388082</v>
      </c>
      <c r="AA544" s="311">
        <f t="shared" si="83"/>
        <v>7331694.1958303191</v>
      </c>
      <c r="AB544" s="311">
        <f t="shared" si="83"/>
        <v>9845992.0067471974</v>
      </c>
      <c r="AC544" s="311">
        <f t="shared" si="83"/>
        <v>9475950.1787780561</v>
      </c>
      <c r="AD544" s="311">
        <f t="shared" si="83"/>
        <v>6001310.4650869127</v>
      </c>
      <c r="AE544" s="311">
        <f t="shared" si="83"/>
        <v>5038255.6262937859</v>
      </c>
      <c r="AF544" s="311">
        <f t="shared" si="83"/>
        <v>4976170.4465835784</v>
      </c>
      <c r="AG544" s="311">
        <f t="shared" si="83"/>
        <v>5354318.6760209166</v>
      </c>
      <c r="AH544" s="311">
        <f t="shared" si="83"/>
        <v>5182816.3402848104</v>
      </c>
      <c r="AI544" s="311">
        <f t="shared" si="83"/>
        <v>3724204.3760511549</v>
      </c>
      <c r="AJ544" s="311">
        <f t="shared" si="83"/>
        <v>4510267.5981421899</v>
      </c>
      <c r="AK544" s="311">
        <f t="shared" si="83"/>
        <v>4269702.2537638461</v>
      </c>
      <c r="AL544" s="311">
        <f t="shared" si="83"/>
        <v>1939763.7021778554</v>
      </c>
      <c r="AM544" s="311">
        <f t="shared" si="83"/>
        <v>7555541.5663762167</v>
      </c>
      <c r="AN544" s="311">
        <f t="shared" si="83"/>
        <v>1323033.3805902943</v>
      </c>
      <c r="AO544" s="311">
        <f t="shared" si="83"/>
        <v>1323027.5388072282</v>
      </c>
      <c r="AP544" s="311">
        <f t="shared" si="83"/>
        <v>1323021.8650754557</v>
      </c>
      <c r="AQ544" s="311">
        <f t="shared" si="83"/>
        <v>8955559.5583660956</v>
      </c>
      <c r="AR544" s="311">
        <f t="shared" si="83"/>
        <v>840747.41970802925</v>
      </c>
      <c r="AS544" s="311">
        <f t="shared" si="83"/>
        <v>840741.57792496297</v>
      </c>
      <c r="AT544" s="311">
        <f t="shared" si="83"/>
        <v>8491868.2692906745</v>
      </c>
      <c r="AU544" s="311">
        <f t="shared" si="83"/>
        <v>8073573.3391008545</v>
      </c>
      <c r="AV544" s="311">
        <f t="shared" si="83"/>
        <v>3050.6223177879897</v>
      </c>
      <c r="AW544" s="311"/>
      <c r="AX544" s="311"/>
      <c r="AY544" s="311"/>
      <c r="AZ544" s="311"/>
      <c r="BA544" s="311"/>
      <c r="BB544" s="311"/>
      <c r="BC544" s="311"/>
      <c r="BD544" s="311"/>
      <c r="BE544" s="311"/>
      <c r="BF544" s="311"/>
      <c r="BG544" s="311"/>
      <c r="BH544" s="311"/>
      <c r="BI544" s="311"/>
      <c r="BJ544" s="311"/>
      <c r="BK544" s="311"/>
    </row>
    <row r="545" spans="1:63" s="80" customFormat="1" ht="12.75">
      <c r="A545" s="167"/>
      <c r="B545" s="210" t="str">
        <f>Servicio_internaColumna_título_amortizaciones</f>
        <v>Amortizaciones</v>
      </c>
      <c r="C545" s="269">
        <v>0</v>
      </c>
      <c r="D545" s="235"/>
      <c r="E545" s="235"/>
      <c r="F545" s="235"/>
      <c r="G545" s="235"/>
      <c r="H545" s="235"/>
      <c r="I545" s="235"/>
      <c r="J545" s="235"/>
      <c r="K545" s="235"/>
      <c r="L545" s="235"/>
      <c r="M545" s="235"/>
      <c r="N545" s="235"/>
      <c r="O545" s="235"/>
      <c r="P545" s="235"/>
      <c r="Q545" s="235"/>
      <c r="R545" s="235">
        <v>3244095.6376171508</v>
      </c>
      <c r="S545" s="273">
        <v>8195003.5616285503</v>
      </c>
      <c r="T545" s="235">
        <v>3030713.7466602214</v>
      </c>
      <c r="U545" s="235">
        <v>10859048.61236535</v>
      </c>
      <c r="V545" s="235">
        <v>5317659.0827387953</v>
      </c>
      <c r="W545" s="235">
        <v>11654426.474605937</v>
      </c>
      <c r="X545" s="235">
        <v>2567412.3198417928</v>
      </c>
      <c r="Y545" s="235">
        <v>6785211.2960896874</v>
      </c>
      <c r="Z545" s="235">
        <v>12554896.954889389</v>
      </c>
      <c r="AA545" s="235">
        <v>4202127.2839849573</v>
      </c>
      <c r="AB545" s="235">
        <v>7129383.681564901</v>
      </c>
      <c r="AC545" s="235">
        <v>6841368.8411539793</v>
      </c>
      <c r="AD545" s="235">
        <v>3679455.3807221879</v>
      </c>
      <c r="AE545" s="235">
        <v>2775768.3334752447</v>
      </c>
      <c r="AF545" s="235">
        <v>2776597.5587478685</v>
      </c>
      <c r="AG545" s="235">
        <v>3285651.6149667008</v>
      </c>
      <c r="AH545" s="235">
        <v>3219541.7505063349</v>
      </c>
      <c r="AI545" s="235">
        <v>1814384.7422565045</v>
      </c>
      <c r="AJ545" s="235">
        <v>2715370.5919102426</v>
      </c>
      <c r="AK545" s="235">
        <v>2600939.7025440545</v>
      </c>
      <c r="AL545" s="235">
        <v>201377.62880818002</v>
      </c>
      <c r="AM545" s="235">
        <v>6096613.3270776682</v>
      </c>
      <c r="AN545" s="235">
        <v>4318.9782939850247</v>
      </c>
      <c r="AO545" s="235">
        <v>4318.9782939850247</v>
      </c>
      <c r="AP545" s="235">
        <v>4318.9782939850247</v>
      </c>
      <c r="AQ545" s="235">
        <v>8261618.9782939851</v>
      </c>
      <c r="AR545" s="235">
        <v>4318.9782939850247</v>
      </c>
      <c r="AS545" s="235">
        <v>4318.9782939850247</v>
      </c>
      <c r="AT545" s="235">
        <v>8260470.1431807997</v>
      </c>
      <c r="AU545" s="235">
        <v>8260470.1431807997</v>
      </c>
      <c r="AV545" s="235">
        <v>3170.1431807993204</v>
      </c>
      <c r="AW545" s="235"/>
      <c r="AX545" s="235"/>
      <c r="AY545" s="235"/>
      <c r="AZ545" s="235"/>
      <c r="BA545" s="235"/>
      <c r="BB545" s="235"/>
      <c r="BC545" s="235"/>
      <c r="BD545" s="235"/>
      <c r="BE545" s="235"/>
      <c r="BF545" s="235"/>
      <c r="BG545" s="235"/>
      <c r="BH545" s="235"/>
      <c r="BI545" s="235"/>
      <c r="BJ545" s="235"/>
      <c r="BK545" s="235"/>
    </row>
    <row r="546" spans="1:63" s="80" customFormat="1" ht="12.75">
      <c r="A546" s="168">
        <v>42372</v>
      </c>
      <c r="B546" s="213" t="str">
        <f>Servicio_internaColumna_título_intereses</f>
        <v>Intereses</v>
      </c>
      <c r="C546" s="270">
        <v>0</v>
      </c>
      <c r="D546" s="271"/>
      <c r="E546" s="271"/>
      <c r="F546" s="271"/>
      <c r="G546" s="271"/>
      <c r="H546" s="271"/>
      <c r="I546" s="271"/>
      <c r="J546" s="271"/>
      <c r="K546" s="271"/>
      <c r="L546" s="271"/>
      <c r="M546" s="271"/>
      <c r="N546" s="271"/>
      <c r="O546" s="271"/>
      <c r="P546" s="271"/>
      <c r="Q546" s="271"/>
      <c r="R546" s="271">
        <v>5519383.2217277559</v>
      </c>
      <c r="S546" s="274">
        <v>6212314.5048120096</v>
      </c>
      <c r="T546" s="271">
        <v>5635255.072328276</v>
      </c>
      <c r="U546" s="272">
        <v>5359803.5594213801</v>
      </c>
      <c r="V546" s="272">
        <v>4964079.0831842925</v>
      </c>
      <c r="W546" s="272">
        <v>4843792.1111984691</v>
      </c>
      <c r="X546" s="272">
        <v>4378697.5596864801</v>
      </c>
      <c r="Y546" s="272">
        <v>4211526.7690070067</v>
      </c>
      <c r="Z546" s="272">
        <v>3774699.8127198662</v>
      </c>
      <c r="AA546" s="272">
        <v>3460744.9195345053</v>
      </c>
      <c r="AB546" s="272">
        <v>3182052.3667228576</v>
      </c>
      <c r="AC546" s="272">
        <v>2995825.4684326686</v>
      </c>
      <c r="AD546" s="236">
        <v>2624441.011702925</v>
      </c>
      <c r="AE546" s="236">
        <v>2525408.6474769162</v>
      </c>
      <c r="AF546" s="236">
        <v>2464019.1254443601</v>
      </c>
      <c r="AG546" s="236">
        <v>2297991.5764597105</v>
      </c>
      <c r="AH546" s="236">
        <v>2188152.3533208356</v>
      </c>
      <c r="AI546" s="236">
        <v>2069955.8936898531</v>
      </c>
      <c r="AJ546" s="236">
        <v>1994769.3603052003</v>
      </c>
      <c r="AK546" s="236">
        <v>1876252.4023680403</v>
      </c>
      <c r="AL546" s="236">
        <v>1832224.3013160452</v>
      </c>
      <c r="AM546" s="236">
        <v>1826963.6569135841</v>
      </c>
      <c r="AN546" s="236">
        <v>1383175.8743063875</v>
      </c>
      <c r="AO546" s="236">
        <v>1383169.7478971423</v>
      </c>
      <c r="AP546" s="236">
        <v>1383163.7977270675</v>
      </c>
      <c r="AQ546" s="236">
        <v>1130277.6825786524</v>
      </c>
      <c r="AR546" s="236">
        <v>877391.74366940698</v>
      </c>
      <c r="AS546" s="236">
        <v>877385.61726016202</v>
      </c>
      <c r="AT546" s="236">
        <v>645143.03745135537</v>
      </c>
      <c r="AU546" s="236">
        <v>206467.73944167164</v>
      </c>
      <c r="AV546" s="236">
        <v>29.113032426495103</v>
      </c>
      <c r="AW546" s="236"/>
      <c r="AX546" s="236"/>
      <c r="AY546" s="236"/>
      <c r="AZ546" s="236"/>
      <c r="BA546" s="236"/>
      <c r="BB546" s="236"/>
      <c r="BC546" s="236"/>
      <c r="BD546" s="236"/>
      <c r="BE546" s="236"/>
      <c r="BF546" s="236"/>
      <c r="BG546" s="236"/>
      <c r="BH546" s="236"/>
      <c r="BI546" s="236"/>
      <c r="BJ546" s="236"/>
      <c r="BK546" s="236"/>
    </row>
    <row r="547" spans="1:63" s="80" customFormat="1" ht="12.75">
      <c r="A547" s="169"/>
      <c r="B547" s="307" t="str">
        <f>Servicio_internaColumna_título_total</f>
        <v>Total</v>
      </c>
      <c r="C547" s="310">
        <v>0</v>
      </c>
      <c r="D547" s="311"/>
      <c r="E547" s="311"/>
      <c r="F547" s="311"/>
      <c r="G547" s="311"/>
      <c r="H547" s="311"/>
      <c r="I547" s="311"/>
      <c r="J547" s="311"/>
      <c r="K547" s="311"/>
      <c r="L547" s="311"/>
      <c r="M547" s="311"/>
      <c r="N547" s="311"/>
      <c r="O547" s="311"/>
      <c r="P547" s="311"/>
      <c r="Q547" s="311"/>
      <c r="R547" s="311">
        <f>+R545+R546</f>
        <v>8763478.8593449071</v>
      </c>
      <c r="S547" s="312">
        <f t="shared" ref="S547:AV547" si="84">+S545+S546</f>
        <v>14407318.06644056</v>
      </c>
      <c r="T547" s="311">
        <f t="shared" si="84"/>
        <v>8665968.8189884983</v>
      </c>
      <c r="U547" s="311">
        <f t="shared" si="84"/>
        <v>16218852.171786729</v>
      </c>
      <c r="V547" s="311">
        <f t="shared" si="84"/>
        <v>10281738.165923089</v>
      </c>
      <c r="W547" s="311">
        <f t="shared" si="84"/>
        <v>16498218.585804407</v>
      </c>
      <c r="X547" s="311">
        <f t="shared" si="84"/>
        <v>6946109.8795282729</v>
      </c>
      <c r="Y547" s="311">
        <f t="shared" si="84"/>
        <v>10996738.065096695</v>
      </c>
      <c r="Z547" s="311">
        <f t="shared" si="84"/>
        <v>16329596.767609255</v>
      </c>
      <c r="AA547" s="311">
        <f t="shared" si="84"/>
        <v>7662872.2035194626</v>
      </c>
      <c r="AB547" s="311">
        <f t="shared" si="84"/>
        <v>10311436.048287759</v>
      </c>
      <c r="AC547" s="311">
        <f t="shared" si="84"/>
        <v>9837194.3095866479</v>
      </c>
      <c r="AD547" s="311">
        <f t="shared" si="84"/>
        <v>6303896.3924251124</v>
      </c>
      <c r="AE547" s="311">
        <f t="shared" si="84"/>
        <v>5301176.9809521604</v>
      </c>
      <c r="AF547" s="311">
        <f t="shared" si="84"/>
        <v>5240616.6841922291</v>
      </c>
      <c r="AG547" s="311">
        <f t="shared" si="84"/>
        <v>5583643.1914264113</v>
      </c>
      <c r="AH547" s="311">
        <f t="shared" si="84"/>
        <v>5407694.103827171</v>
      </c>
      <c r="AI547" s="311">
        <f t="shared" si="84"/>
        <v>3884340.6359463576</v>
      </c>
      <c r="AJ547" s="311">
        <f t="shared" si="84"/>
        <v>4710139.9522154424</v>
      </c>
      <c r="AK547" s="311">
        <f t="shared" si="84"/>
        <v>4477192.1049120948</v>
      </c>
      <c r="AL547" s="311">
        <f t="shared" si="84"/>
        <v>2033601.9301242253</v>
      </c>
      <c r="AM547" s="311">
        <f t="shared" si="84"/>
        <v>7923576.9839912523</v>
      </c>
      <c r="AN547" s="311">
        <f t="shared" si="84"/>
        <v>1387494.8526003726</v>
      </c>
      <c r="AO547" s="311">
        <f t="shared" si="84"/>
        <v>1387488.7261911274</v>
      </c>
      <c r="AP547" s="311">
        <f t="shared" si="84"/>
        <v>1387482.7760210526</v>
      </c>
      <c r="AQ547" s="311">
        <f t="shared" si="84"/>
        <v>9391896.6608726382</v>
      </c>
      <c r="AR547" s="311">
        <f t="shared" si="84"/>
        <v>881710.72196339199</v>
      </c>
      <c r="AS547" s="311">
        <f t="shared" si="84"/>
        <v>881704.59555414703</v>
      </c>
      <c r="AT547" s="311">
        <f t="shared" si="84"/>
        <v>8905613.1806321554</v>
      </c>
      <c r="AU547" s="311">
        <f t="shared" si="84"/>
        <v>8466937.8826224711</v>
      </c>
      <c r="AV547" s="311">
        <f t="shared" si="84"/>
        <v>3199.2562132258154</v>
      </c>
      <c r="AW547" s="311"/>
      <c r="AX547" s="311"/>
      <c r="AY547" s="311"/>
      <c r="AZ547" s="311"/>
      <c r="BA547" s="311"/>
      <c r="BB547" s="311"/>
      <c r="BC547" s="311"/>
      <c r="BD547" s="311"/>
      <c r="BE547" s="311"/>
      <c r="BF547" s="311"/>
      <c r="BG547" s="311"/>
      <c r="BH547" s="311"/>
      <c r="BI547" s="311"/>
      <c r="BJ547" s="311"/>
      <c r="BK547" s="311"/>
    </row>
    <row r="548" spans="1:63">
      <c r="A548" s="167"/>
      <c r="B548" s="210" t="str">
        <f>Servicio_internaColumna_título_amortizaciones</f>
        <v>Amortizaciones</v>
      </c>
      <c r="C548" s="269">
        <v>0</v>
      </c>
      <c r="D548" s="235"/>
      <c r="E548" s="235"/>
      <c r="F548" s="235"/>
      <c r="G548" s="235"/>
      <c r="H548" s="235"/>
      <c r="I548" s="235"/>
      <c r="J548" s="235"/>
      <c r="K548" s="235"/>
      <c r="L548" s="235"/>
      <c r="M548" s="235"/>
      <c r="N548" s="235"/>
      <c r="O548" s="235"/>
      <c r="P548" s="235"/>
      <c r="Q548" s="235"/>
      <c r="R548" s="235">
        <v>2946574.7633627793</v>
      </c>
      <c r="S548" s="273">
        <v>8161334.1888968609</v>
      </c>
      <c r="T548" s="235">
        <v>2992383.4996983833</v>
      </c>
      <c r="U548" s="235">
        <v>10906244.347913841</v>
      </c>
      <c r="V548" s="235">
        <v>5295716.5187333999</v>
      </c>
      <c r="W548" s="235">
        <v>11638038.307211675</v>
      </c>
      <c r="X548" s="235">
        <v>2556580.2739466764</v>
      </c>
      <c r="Y548" s="235">
        <v>6772654.5174850971</v>
      </c>
      <c r="Z548" s="235">
        <v>12560592.250129899</v>
      </c>
      <c r="AA548" s="235">
        <v>4203706.8863073671</v>
      </c>
      <c r="AB548" s="235">
        <v>7134358.5709732743</v>
      </c>
      <c r="AC548" s="235">
        <v>6834076.1217318196</v>
      </c>
      <c r="AD548" s="235">
        <v>3683334.4125479958</v>
      </c>
      <c r="AE548" s="235">
        <v>2775630.4099290464</v>
      </c>
      <c r="AF548" s="235">
        <v>2778543.8205824089</v>
      </c>
      <c r="AG548" s="235">
        <v>3289321.720959641</v>
      </c>
      <c r="AH548" s="235">
        <v>3223150.2085082438</v>
      </c>
      <c r="AI548" s="235">
        <v>1815975.9523346119</v>
      </c>
      <c r="AJ548" s="235">
        <v>2717801.9786856165</v>
      </c>
      <c r="AK548" s="235">
        <v>2587663.4336962048</v>
      </c>
      <c r="AL548" s="235">
        <v>201549.11816918486</v>
      </c>
      <c r="AM548" s="235">
        <v>6102226.3688760651</v>
      </c>
      <c r="AN548" s="235">
        <v>4323.0057766807822</v>
      </c>
      <c r="AO548" s="235">
        <v>4323.0057766807822</v>
      </c>
      <c r="AP548" s="235">
        <v>4323.0057766807822</v>
      </c>
      <c r="AQ548" s="235">
        <v>8269323.005776681</v>
      </c>
      <c r="AR548" s="235">
        <v>4323.0057766807822</v>
      </c>
      <c r="AS548" s="235">
        <v>4323.0057766807822</v>
      </c>
      <c r="AT548" s="235">
        <v>8268173.0993653266</v>
      </c>
      <c r="AU548" s="235">
        <v>8268173.0993653266</v>
      </c>
      <c r="AV548" s="235">
        <v>3173.0993653260002</v>
      </c>
      <c r="AW548" s="235"/>
      <c r="AX548" s="235"/>
      <c r="AY548" s="235"/>
      <c r="AZ548" s="235"/>
      <c r="BA548" s="235"/>
      <c r="BB548" s="235"/>
      <c r="BC548" s="235"/>
      <c r="BD548" s="235"/>
      <c r="BE548" s="235"/>
      <c r="BF548" s="235"/>
      <c r="BG548" s="235"/>
      <c r="BH548" s="235"/>
      <c r="BI548" s="235"/>
      <c r="BJ548" s="235"/>
      <c r="BK548" s="235"/>
    </row>
    <row r="549" spans="1:63">
      <c r="A549" s="168">
        <v>42401</v>
      </c>
      <c r="B549" s="213" t="str">
        <f>Servicio_internaColumna_título_intereses</f>
        <v>Intereses</v>
      </c>
      <c r="C549" s="270">
        <v>0</v>
      </c>
      <c r="D549" s="271"/>
      <c r="E549" s="271"/>
      <c r="F549" s="271"/>
      <c r="G549" s="271"/>
      <c r="H549" s="271"/>
      <c r="I549" s="271"/>
      <c r="J549" s="271"/>
      <c r="K549" s="271"/>
      <c r="L549" s="271"/>
      <c r="M549" s="271"/>
      <c r="N549" s="271"/>
      <c r="O549" s="271"/>
      <c r="P549" s="271"/>
      <c r="Q549" s="271"/>
      <c r="R549" s="236">
        <v>4835077.6091606347</v>
      </c>
      <c r="S549" s="275">
        <v>6206334.366394191</v>
      </c>
      <c r="T549" s="236">
        <v>5661134.6987151839</v>
      </c>
      <c r="U549" s="236">
        <v>5287563.7371813087</v>
      </c>
      <c r="V549" s="236">
        <v>4893162.3454031525</v>
      </c>
      <c r="W549" s="236">
        <v>4735894.174317765</v>
      </c>
      <c r="X549" s="236">
        <v>4253646.6766548287</v>
      </c>
      <c r="Y549" s="236">
        <v>4120411.3294314845</v>
      </c>
      <c r="Z549" s="236">
        <v>3687260.972576146</v>
      </c>
      <c r="AA549" s="236">
        <v>3369012.4309287621</v>
      </c>
      <c r="AB549" s="236">
        <v>3121658.6345914043</v>
      </c>
      <c r="AC549" s="236">
        <v>2939173.6755184545</v>
      </c>
      <c r="AD549" s="236">
        <v>2578624.4930859902</v>
      </c>
      <c r="AE549" s="236">
        <v>2485418.6938391933</v>
      </c>
      <c r="AF549" s="236">
        <v>2426754.0059811748</v>
      </c>
      <c r="AG549" s="236">
        <v>2282579.6110828021</v>
      </c>
      <c r="AH549" s="236">
        <v>2175901.6971676419</v>
      </c>
      <c r="AI549" s="236">
        <v>2060874.6329242603</v>
      </c>
      <c r="AJ549" s="236">
        <v>1986418.4511106883</v>
      </c>
      <c r="AK549" s="236">
        <v>1874901.1350575744</v>
      </c>
      <c r="AL549" s="236">
        <v>1833565.3982165703</v>
      </c>
      <c r="AM549" s="236">
        <v>1828621.9806713453</v>
      </c>
      <c r="AN549" s="236">
        <v>1384465.6971579441</v>
      </c>
      <c r="AO549" s="236">
        <v>1384459.565035772</v>
      </c>
      <c r="AP549" s="236">
        <v>1384453.6093171148</v>
      </c>
      <c r="AQ549" s="236">
        <v>1131331.6757914282</v>
      </c>
      <c r="AR549" s="236">
        <v>878209.91866925615</v>
      </c>
      <c r="AS549" s="236">
        <v>878203.78654708422</v>
      </c>
      <c r="AT549" s="236">
        <v>645744.63862708781</v>
      </c>
      <c r="AU549" s="236">
        <v>206660.27230274011</v>
      </c>
      <c r="AV549" s="236">
        <v>29.140180568101194</v>
      </c>
      <c r="AW549" s="236"/>
      <c r="AX549" s="236"/>
      <c r="AY549" s="236"/>
      <c r="AZ549" s="236"/>
      <c r="BA549" s="236"/>
      <c r="BB549" s="236"/>
      <c r="BC549" s="236"/>
      <c r="BD549" s="236"/>
      <c r="BE549" s="236"/>
      <c r="BF549" s="236"/>
      <c r="BG549" s="236"/>
      <c r="BH549" s="236"/>
      <c r="BI549" s="236"/>
      <c r="BJ549" s="236"/>
      <c r="BK549" s="236"/>
    </row>
    <row r="550" spans="1:63" s="80" customFormat="1" ht="12.75">
      <c r="A550" s="169"/>
      <c r="B550" s="307" t="str">
        <f>Servicio_internaColumna_título_total</f>
        <v>Total</v>
      </c>
      <c r="C550" s="310">
        <v>0</v>
      </c>
      <c r="D550" s="311"/>
      <c r="E550" s="311"/>
      <c r="F550" s="311"/>
      <c r="G550" s="311"/>
      <c r="H550" s="311"/>
      <c r="I550" s="311"/>
      <c r="J550" s="311"/>
      <c r="K550" s="311"/>
      <c r="L550" s="311"/>
      <c r="M550" s="311"/>
      <c r="N550" s="311"/>
      <c r="O550" s="311"/>
      <c r="P550" s="311"/>
      <c r="Q550" s="311"/>
      <c r="R550" s="311">
        <f>+R548+R549</f>
        <v>7781652.372523414</v>
      </c>
      <c r="S550" s="312">
        <f t="shared" ref="S550:AV550" si="85">+S548+S549</f>
        <v>14367668.555291053</v>
      </c>
      <c r="T550" s="311">
        <f t="shared" si="85"/>
        <v>8653518.1984135676</v>
      </c>
      <c r="U550" s="311">
        <f t="shared" si="85"/>
        <v>16193808.085095149</v>
      </c>
      <c r="V550" s="311">
        <f t="shared" si="85"/>
        <v>10188878.864136552</v>
      </c>
      <c r="W550" s="311">
        <f t="shared" si="85"/>
        <v>16373932.481529441</v>
      </c>
      <c r="X550" s="311">
        <f t="shared" si="85"/>
        <v>6810226.9506015051</v>
      </c>
      <c r="Y550" s="311">
        <f t="shared" si="85"/>
        <v>10893065.846916582</v>
      </c>
      <c r="Z550" s="311">
        <f t="shared" si="85"/>
        <v>16247853.222706046</v>
      </c>
      <c r="AA550" s="311">
        <f t="shared" si="85"/>
        <v>7572719.3172361292</v>
      </c>
      <c r="AB550" s="311">
        <f t="shared" si="85"/>
        <v>10256017.205564678</v>
      </c>
      <c r="AC550" s="311">
        <f t="shared" si="85"/>
        <v>9773249.7972502746</v>
      </c>
      <c r="AD550" s="311">
        <f t="shared" si="85"/>
        <v>6261958.905633986</v>
      </c>
      <c r="AE550" s="311">
        <f t="shared" si="85"/>
        <v>5261049.1037682397</v>
      </c>
      <c r="AF550" s="311">
        <f t="shared" si="85"/>
        <v>5205297.8265635837</v>
      </c>
      <c r="AG550" s="311">
        <f t="shared" si="85"/>
        <v>5571901.3320424426</v>
      </c>
      <c r="AH550" s="311">
        <f t="shared" si="85"/>
        <v>5399051.9056758862</v>
      </c>
      <c r="AI550" s="311">
        <f t="shared" si="85"/>
        <v>3876850.5852588722</v>
      </c>
      <c r="AJ550" s="311">
        <f t="shared" si="85"/>
        <v>4704220.4297963046</v>
      </c>
      <c r="AK550" s="311">
        <f t="shared" si="85"/>
        <v>4462564.5687537789</v>
      </c>
      <c r="AL550" s="311">
        <f t="shared" si="85"/>
        <v>2035114.516385755</v>
      </c>
      <c r="AM550" s="311">
        <f t="shared" si="85"/>
        <v>7930848.3495474104</v>
      </c>
      <c r="AN550" s="311">
        <f t="shared" si="85"/>
        <v>1388788.7029346249</v>
      </c>
      <c r="AO550" s="311">
        <f t="shared" si="85"/>
        <v>1388782.5708124528</v>
      </c>
      <c r="AP550" s="311">
        <f t="shared" si="85"/>
        <v>1388776.6150937956</v>
      </c>
      <c r="AQ550" s="311">
        <f t="shared" si="85"/>
        <v>9400654.6815681085</v>
      </c>
      <c r="AR550" s="311">
        <f t="shared" si="85"/>
        <v>882532.92444593692</v>
      </c>
      <c r="AS550" s="311">
        <f t="shared" si="85"/>
        <v>882526.792323765</v>
      </c>
      <c r="AT550" s="311">
        <f t="shared" si="85"/>
        <v>8913917.7379924152</v>
      </c>
      <c r="AU550" s="311">
        <f t="shared" si="85"/>
        <v>8474833.3716680668</v>
      </c>
      <c r="AV550" s="311">
        <f t="shared" si="85"/>
        <v>3202.2395458941014</v>
      </c>
      <c r="AW550" s="311"/>
      <c r="AX550" s="311"/>
      <c r="AY550" s="311"/>
      <c r="AZ550" s="311"/>
      <c r="BA550" s="311"/>
      <c r="BB550" s="311"/>
      <c r="BC550" s="311"/>
      <c r="BD550" s="311"/>
      <c r="BE550" s="311"/>
      <c r="BF550" s="311"/>
      <c r="BG550" s="311"/>
      <c r="BH550" s="311"/>
      <c r="BI550" s="311"/>
      <c r="BJ550" s="311"/>
      <c r="BK550" s="311"/>
    </row>
    <row r="551" spans="1:63">
      <c r="A551" s="167"/>
      <c r="B551" s="210" t="str">
        <f>Servicio_internaColumna_título_amortizaciones</f>
        <v>Amortizaciones</v>
      </c>
      <c r="C551" s="269">
        <v>0</v>
      </c>
      <c r="D551" s="235"/>
      <c r="E551" s="235"/>
      <c r="F551" s="235"/>
      <c r="G551" s="235"/>
      <c r="H551" s="235"/>
      <c r="I551" s="235"/>
      <c r="J551" s="235"/>
      <c r="K551" s="235"/>
      <c r="L551" s="235"/>
      <c r="M551" s="235"/>
      <c r="N551" s="235"/>
      <c r="O551" s="235"/>
      <c r="P551" s="235"/>
      <c r="Q551" s="235"/>
      <c r="R551" s="235">
        <v>2564370.7778925095</v>
      </c>
      <c r="S551" s="273">
        <v>7434445.2698689234</v>
      </c>
      <c r="T551" s="235">
        <v>2713248.4218080416</v>
      </c>
      <c r="U551" s="235">
        <v>9952282.0637952592</v>
      </c>
      <c r="V551" s="235">
        <v>4849962.5994078303</v>
      </c>
      <c r="W551" s="235">
        <v>10860162.400013145</v>
      </c>
      <c r="X551" s="235">
        <v>2346163.8845148371</v>
      </c>
      <c r="Y551" s="235">
        <v>6286123.3897961807</v>
      </c>
      <c r="Z551" s="235">
        <v>11484455.970827984</v>
      </c>
      <c r="AA551" s="235">
        <v>3844681.6635111584</v>
      </c>
      <c r="AB551" s="235">
        <v>11174060.286912402</v>
      </c>
      <c r="AC551" s="235">
        <v>6414582.2260315381</v>
      </c>
      <c r="AD551" s="235">
        <v>3369104.7355536679</v>
      </c>
      <c r="AE551" s="235">
        <v>2537394.5582609479</v>
      </c>
      <c r="AF551" s="235">
        <v>2540058.0025102491</v>
      </c>
      <c r="AG551" s="235">
        <v>3004966.6479768376</v>
      </c>
      <c r="AH551" s="235">
        <v>2944472.5552189783</v>
      </c>
      <c r="AI551" s="235">
        <v>1658012.4515845182</v>
      </c>
      <c r="AJ551" s="235">
        <v>2483932.3444480058</v>
      </c>
      <c r="AK551" s="235">
        <v>2467109.1852048002</v>
      </c>
      <c r="AL551" s="235">
        <v>184293.12966524338</v>
      </c>
      <c r="AM551" s="235">
        <v>5578697.1589305885</v>
      </c>
      <c r="AN551" s="235">
        <v>3952.0981576379804</v>
      </c>
      <c r="AO551" s="235">
        <v>3952.0981576379804</v>
      </c>
      <c r="AP551" s="235">
        <v>3952.0981576379804</v>
      </c>
      <c r="AQ551" s="235">
        <v>7559827.0981576378</v>
      </c>
      <c r="AR551" s="235">
        <v>3952.0981576379804</v>
      </c>
      <c r="AS551" s="235">
        <v>3952.0981576379804</v>
      </c>
      <c r="AT551" s="235">
        <v>7558775.8520468222</v>
      </c>
      <c r="AU551" s="235">
        <v>7558775.8520468222</v>
      </c>
      <c r="AV551" s="235">
        <v>2900.8520468218499</v>
      </c>
      <c r="AW551" s="235"/>
      <c r="AX551" s="235"/>
      <c r="AY551" s="235"/>
      <c r="AZ551" s="235"/>
      <c r="BA551" s="235"/>
      <c r="BB551" s="235"/>
      <c r="BC551" s="235"/>
      <c r="BD551" s="235"/>
      <c r="BE551" s="235"/>
      <c r="BF551" s="235"/>
      <c r="BG551" s="235"/>
      <c r="BH551" s="235"/>
      <c r="BI551" s="235"/>
      <c r="BJ551" s="235"/>
      <c r="BK551" s="235"/>
    </row>
    <row r="552" spans="1:63">
      <c r="A552" s="168">
        <v>42430</v>
      </c>
      <c r="B552" s="213" t="str">
        <f>Servicio_internaColumna_título_intereses</f>
        <v>Intereses</v>
      </c>
      <c r="C552" s="270">
        <v>0</v>
      </c>
      <c r="D552" s="271"/>
      <c r="E552" s="271"/>
      <c r="F552" s="271"/>
      <c r="G552" s="271"/>
      <c r="H552" s="271"/>
      <c r="I552" s="271"/>
      <c r="J552" s="271"/>
      <c r="K552" s="271"/>
      <c r="L552" s="271"/>
      <c r="M552" s="271"/>
      <c r="N552" s="271"/>
      <c r="O552" s="271"/>
      <c r="P552" s="271"/>
      <c r="Q552" s="271"/>
      <c r="R552" s="236">
        <v>3879194.0854987241</v>
      </c>
      <c r="S552" s="275">
        <v>5905725.8386605028</v>
      </c>
      <c r="T552" s="236">
        <v>5441616.6386761181</v>
      </c>
      <c r="U552" s="236">
        <v>5024504.9475211967</v>
      </c>
      <c r="V552" s="236">
        <v>4706561.8346235314</v>
      </c>
      <c r="W552" s="236">
        <v>4556750.0610039569</v>
      </c>
      <c r="X552" s="236">
        <v>4109320.0710375011</v>
      </c>
      <c r="Y552" s="236">
        <v>3996018.5843740008</v>
      </c>
      <c r="Z552" s="236">
        <v>3592016.5402166578</v>
      </c>
      <c r="AA552" s="236">
        <v>3302736.3648962267</v>
      </c>
      <c r="AB552" s="236">
        <v>3074801.4268053635</v>
      </c>
      <c r="AC552" s="236">
        <v>2721297.5614647726</v>
      </c>
      <c r="AD552" s="236">
        <v>2372580.3276757952</v>
      </c>
      <c r="AE552" s="236">
        <v>2286301.7457554052</v>
      </c>
      <c r="AF552" s="236">
        <v>2232099.6110592056</v>
      </c>
      <c r="AG552" s="236">
        <v>2101126.7946884795</v>
      </c>
      <c r="AH552" s="236">
        <v>1995898.8706419356</v>
      </c>
      <c r="AI552" s="236">
        <v>1889918.516774419</v>
      </c>
      <c r="AJ552" s="236">
        <v>1821688.4917403883</v>
      </c>
      <c r="AK552" s="236">
        <v>1716353.6048397885</v>
      </c>
      <c r="AL552" s="236">
        <v>1676338.4056396575</v>
      </c>
      <c r="AM552" s="236">
        <v>1671741.9005224293</v>
      </c>
      <c r="AN552" s="236">
        <v>1265680.5504553274</v>
      </c>
      <c r="AO552" s="236">
        <v>1265674.9444603345</v>
      </c>
      <c r="AP552" s="236">
        <v>1265669.4997336906</v>
      </c>
      <c r="AQ552" s="236">
        <v>1034265.0605953488</v>
      </c>
      <c r="AR552" s="236">
        <v>802860.78272535582</v>
      </c>
      <c r="AS552" s="236">
        <v>802855.17673036293</v>
      </c>
      <c r="AT552" s="236">
        <v>590340.68619315745</v>
      </c>
      <c r="AU552" s="236">
        <v>188929.12099037707</v>
      </c>
      <c r="AV552" s="236">
        <v>26.639995384150225</v>
      </c>
      <c r="AW552" s="236"/>
      <c r="AX552" s="236"/>
      <c r="AY552" s="236"/>
      <c r="AZ552" s="236"/>
      <c r="BA552" s="236"/>
      <c r="BB552" s="236"/>
      <c r="BC552" s="236"/>
      <c r="BD552" s="236"/>
      <c r="BE552" s="236"/>
      <c r="BF552" s="236"/>
      <c r="BG552" s="236"/>
      <c r="BH552" s="236"/>
      <c r="BI552" s="236"/>
      <c r="BJ552" s="236"/>
      <c r="BK552" s="236"/>
    </row>
    <row r="553" spans="1:63" s="80" customFormat="1" ht="12.75">
      <c r="A553" s="169"/>
      <c r="B553" s="307" t="str">
        <f>Servicio_internaColumna_título_total</f>
        <v>Total</v>
      </c>
      <c r="C553" s="310">
        <v>0</v>
      </c>
      <c r="D553" s="311"/>
      <c r="E553" s="311"/>
      <c r="F553" s="311"/>
      <c r="G553" s="311"/>
      <c r="H553" s="311"/>
      <c r="I553" s="311"/>
      <c r="J553" s="311"/>
      <c r="K553" s="311"/>
      <c r="L553" s="311"/>
      <c r="M553" s="311"/>
      <c r="N553" s="311"/>
      <c r="O553" s="311"/>
      <c r="P553" s="311"/>
      <c r="Q553" s="311"/>
      <c r="R553" s="311">
        <f>+R551+R552</f>
        <v>6443564.8633912336</v>
      </c>
      <c r="S553" s="312">
        <f t="shared" ref="S553:AV553" si="86">+S551+S552</f>
        <v>13340171.108529426</v>
      </c>
      <c r="T553" s="311">
        <f t="shared" si="86"/>
        <v>8154865.0604841597</v>
      </c>
      <c r="U553" s="311">
        <f t="shared" si="86"/>
        <v>14976787.011316456</v>
      </c>
      <c r="V553" s="311">
        <f t="shared" si="86"/>
        <v>9556524.4340313617</v>
      </c>
      <c r="W553" s="311">
        <f t="shared" si="86"/>
        <v>15416912.461017102</v>
      </c>
      <c r="X553" s="311">
        <f t="shared" si="86"/>
        <v>6455483.9555523377</v>
      </c>
      <c r="Y553" s="311">
        <f t="shared" si="86"/>
        <v>10282141.974170182</v>
      </c>
      <c r="Z553" s="311">
        <f t="shared" si="86"/>
        <v>15076472.511044642</v>
      </c>
      <c r="AA553" s="311">
        <f t="shared" si="86"/>
        <v>7147418.0284073856</v>
      </c>
      <c r="AB553" s="311">
        <f t="shared" si="86"/>
        <v>14248861.713717766</v>
      </c>
      <c r="AC553" s="311">
        <f t="shared" si="86"/>
        <v>9135879.7874963097</v>
      </c>
      <c r="AD553" s="311">
        <f t="shared" si="86"/>
        <v>5741685.0632294631</v>
      </c>
      <c r="AE553" s="311">
        <f t="shared" si="86"/>
        <v>4823696.3040163536</v>
      </c>
      <c r="AF553" s="311">
        <f t="shared" si="86"/>
        <v>4772157.6135694552</v>
      </c>
      <c r="AG553" s="311">
        <f t="shared" si="86"/>
        <v>5106093.4426653171</v>
      </c>
      <c r="AH553" s="311">
        <f t="shared" si="86"/>
        <v>4940371.4258609135</v>
      </c>
      <c r="AI553" s="311">
        <f t="shared" si="86"/>
        <v>3547930.9683589372</v>
      </c>
      <c r="AJ553" s="311">
        <f t="shared" si="86"/>
        <v>4305620.8361883946</v>
      </c>
      <c r="AK553" s="311">
        <f t="shared" si="86"/>
        <v>4183462.790044589</v>
      </c>
      <c r="AL553" s="311">
        <f t="shared" si="86"/>
        <v>1860631.535304901</v>
      </c>
      <c r="AM553" s="311">
        <f t="shared" si="86"/>
        <v>7250439.059453018</v>
      </c>
      <c r="AN553" s="311">
        <f t="shared" si="86"/>
        <v>1269632.6486129654</v>
      </c>
      <c r="AO553" s="311">
        <f t="shared" si="86"/>
        <v>1269627.0426179725</v>
      </c>
      <c r="AP553" s="311">
        <f t="shared" si="86"/>
        <v>1269621.5978913286</v>
      </c>
      <c r="AQ553" s="311">
        <f t="shared" si="86"/>
        <v>8594092.1587529872</v>
      </c>
      <c r="AR553" s="311">
        <f t="shared" si="86"/>
        <v>806812.88088299381</v>
      </c>
      <c r="AS553" s="311">
        <f t="shared" si="86"/>
        <v>806807.27488800092</v>
      </c>
      <c r="AT553" s="311">
        <f t="shared" si="86"/>
        <v>8149116.5382399801</v>
      </c>
      <c r="AU553" s="311">
        <f t="shared" si="86"/>
        <v>7747704.9730371991</v>
      </c>
      <c r="AV553" s="311">
        <f t="shared" si="86"/>
        <v>2927.492042206</v>
      </c>
      <c r="AW553" s="311"/>
      <c r="AX553" s="311"/>
      <c r="AY553" s="311"/>
      <c r="AZ553" s="311"/>
      <c r="BA553" s="311"/>
      <c r="BB553" s="311"/>
      <c r="BC553" s="311"/>
      <c r="BD553" s="311"/>
      <c r="BE553" s="311"/>
      <c r="BF553" s="311"/>
      <c r="BG553" s="311"/>
      <c r="BH553" s="311"/>
      <c r="BI553" s="311"/>
      <c r="BJ553" s="311"/>
      <c r="BK553" s="311"/>
    </row>
    <row r="554" spans="1:63">
      <c r="A554" s="167"/>
      <c r="B554" s="210" t="str">
        <f>Servicio_internaColumna_título_amortizaciones</f>
        <v>Amortizaciones</v>
      </c>
      <c r="C554" s="269">
        <v>0</v>
      </c>
      <c r="D554" s="235"/>
      <c r="E554" s="235"/>
      <c r="F554" s="235"/>
      <c r="G554" s="235"/>
      <c r="H554" s="235"/>
      <c r="I554" s="235"/>
      <c r="J554" s="235"/>
      <c r="K554" s="235"/>
      <c r="L554" s="235"/>
      <c r="M554" s="235"/>
      <c r="N554" s="235"/>
      <c r="O554" s="235"/>
      <c r="P554" s="235"/>
      <c r="Q554" s="235"/>
      <c r="R554" s="235">
        <v>2441668.1010639295</v>
      </c>
      <c r="S554" s="273">
        <v>7091180.1203677915</v>
      </c>
      <c r="T554" s="235">
        <v>2580443.6895173602</v>
      </c>
      <c r="U554" s="235">
        <v>9548261.4973997287</v>
      </c>
      <c r="V554" s="235">
        <v>4627023.4742469676</v>
      </c>
      <c r="W554" s="235">
        <v>10507003.162824471</v>
      </c>
      <c r="X554" s="235">
        <v>2236412.4179619616</v>
      </c>
      <c r="Y554" s="235">
        <v>6055577.0697094332</v>
      </c>
      <c r="Z554" s="235">
        <v>10956757.909521701</v>
      </c>
      <c r="AA554" s="235">
        <v>3662084.3983628657</v>
      </c>
      <c r="AB554" s="235">
        <v>10681553.611338034</v>
      </c>
      <c r="AC554" s="235">
        <v>6226262.7289724573</v>
      </c>
      <c r="AD554" s="235">
        <v>3143094.4452459137</v>
      </c>
      <c r="AE554" s="235">
        <v>2420412.1364119668</v>
      </c>
      <c r="AF554" s="235">
        <v>2424395.4336633212</v>
      </c>
      <c r="AG554" s="235">
        <v>2868090.8114999314</v>
      </c>
      <c r="AH554" s="235">
        <v>2810331.4476429303</v>
      </c>
      <c r="AI554" s="235">
        <v>1582024.1943828433</v>
      </c>
      <c r="AJ554" s="235">
        <v>2371735.3517071875</v>
      </c>
      <c r="AK554" s="235">
        <v>2365793.9394042226</v>
      </c>
      <c r="AL554" s="235">
        <v>176054.87959677205</v>
      </c>
      <c r="AM554" s="235">
        <v>5326595.4555699266</v>
      </c>
      <c r="AN554" s="235">
        <v>3773.4374561050417</v>
      </c>
      <c r="AO554" s="235">
        <v>3773.4374561050417</v>
      </c>
      <c r="AP554" s="235">
        <v>3773.4374561050417</v>
      </c>
      <c r="AQ554" s="235">
        <v>7218073.4374561049</v>
      </c>
      <c r="AR554" s="235">
        <v>3773.4374561050417</v>
      </c>
      <c r="AS554" s="235">
        <v>3773.4374561050417</v>
      </c>
      <c r="AT554" s="235">
        <v>7217069.7145494577</v>
      </c>
      <c r="AU554" s="235">
        <v>7217069.7145494577</v>
      </c>
      <c r="AV554" s="235">
        <v>2769.71454945812</v>
      </c>
      <c r="AW554" s="235"/>
      <c r="AX554" s="235"/>
      <c r="AY554" s="235"/>
      <c r="AZ554" s="235"/>
      <c r="BA554" s="235"/>
      <c r="BB554" s="235"/>
      <c r="BC554" s="235"/>
      <c r="BD554" s="235"/>
      <c r="BE554" s="235"/>
      <c r="BF554" s="235"/>
      <c r="BG554" s="235"/>
      <c r="BH554" s="235"/>
      <c r="BI554" s="235"/>
      <c r="BJ554" s="235"/>
      <c r="BK554" s="235"/>
    </row>
    <row r="555" spans="1:63">
      <c r="A555" s="168">
        <v>42461</v>
      </c>
      <c r="B555" s="213" t="str">
        <f>Servicio_internaColumna_título_intereses</f>
        <v>Intereses</v>
      </c>
      <c r="C555" s="270">
        <v>0</v>
      </c>
      <c r="D555" s="271"/>
      <c r="E555" s="271"/>
      <c r="F555" s="271"/>
      <c r="G555" s="271"/>
      <c r="H555" s="271"/>
      <c r="I555" s="271"/>
      <c r="J555" s="271"/>
      <c r="K555" s="271"/>
      <c r="L555" s="271"/>
      <c r="M555" s="271"/>
      <c r="N555" s="271"/>
      <c r="O555" s="271"/>
      <c r="P555" s="271"/>
      <c r="Q555" s="271"/>
      <c r="R555" s="236">
        <v>3404206.3822704796</v>
      </c>
      <c r="S555" s="275">
        <v>5653241.6671511242</v>
      </c>
      <c r="T555" s="236">
        <v>5294685.2109291907</v>
      </c>
      <c r="U555" s="236">
        <v>4845822.0376258893</v>
      </c>
      <c r="V555" s="236">
        <v>4547175.9786594771</v>
      </c>
      <c r="W555" s="236">
        <v>4393663.2765977513</v>
      </c>
      <c r="X555" s="236">
        <v>3959177.8346636267</v>
      </c>
      <c r="Y555" s="236">
        <v>3853151.4343570312</v>
      </c>
      <c r="Z555" s="236">
        <v>3453179.6858284799</v>
      </c>
      <c r="AA555" s="236">
        <v>3174743.4121773764</v>
      </c>
      <c r="AB555" s="236">
        <v>2963457.2548797028</v>
      </c>
      <c r="AC555" s="236">
        <v>2624090.7596754367</v>
      </c>
      <c r="AD555" s="236">
        <v>2279149.8613977353</v>
      </c>
      <c r="AE555" s="236">
        <v>2195097.8336991319</v>
      </c>
      <c r="AF555" s="236">
        <v>2142309.6628623214</v>
      </c>
      <c r="AG555" s="236">
        <v>2018547.4006359833</v>
      </c>
      <c r="AH555" s="236">
        <v>1910830.5765484145</v>
      </c>
      <c r="AI555" s="236">
        <v>1808526.509920985</v>
      </c>
      <c r="AJ555" s="236">
        <v>1743094.4451474261</v>
      </c>
      <c r="AK555" s="236">
        <v>1639945.1881723623</v>
      </c>
      <c r="AL555" s="236">
        <v>1600656.7313642246</v>
      </c>
      <c r="AM555" s="236">
        <v>1596181.798691652</v>
      </c>
      <c r="AN555" s="236">
        <v>1208463.5062318882</v>
      </c>
      <c r="AO555" s="236">
        <v>1208458.1536645577</v>
      </c>
      <c r="AP555" s="236">
        <v>1208452.9550751916</v>
      </c>
      <c r="AQ555" s="236">
        <v>987509.51102989726</v>
      </c>
      <c r="AR555" s="236">
        <v>766566.22096256679</v>
      </c>
      <c r="AS555" s="236">
        <v>766560.86839523644</v>
      </c>
      <c r="AT555" s="236">
        <v>563653.42364759825</v>
      </c>
      <c r="AU555" s="236">
        <v>180388.28826057567</v>
      </c>
      <c r="AV555" s="236">
        <v>25.435693245305799</v>
      </c>
      <c r="AW555" s="236"/>
      <c r="AX555" s="236"/>
      <c r="AY555" s="236"/>
      <c r="AZ555" s="236"/>
      <c r="BA555" s="236"/>
      <c r="BB555" s="236"/>
      <c r="BC555" s="236"/>
      <c r="BD555" s="236"/>
      <c r="BE555" s="236"/>
      <c r="BF555" s="236"/>
      <c r="BG555" s="236"/>
      <c r="BH555" s="236"/>
      <c r="BI555" s="236"/>
      <c r="BJ555" s="236"/>
      <c r="BK555" s="236"/>
    </row>
    <row r="556" spans="1:63" s="80" customFormat="1" ht="12.75">
      <c r="A556" s="169"/>
      <c r="B556" s="307" t="str">
        <f>Servicio_internaColumna_título_total</f>
        <v>Total</v>
      </c>
      <c r="C556" s="310">
        <v>0</v>
      </c>
      <c r="D556" s="311"/>
      <c r="E556" s="311"/>
      <c r="F556" s="311"/>
      <c r="G556" s="311"/>
      <c r="H556" s="311"/>
      <c r="I556" s="311"/>
      <c r="J556" s="311"/>
      <c r="K556" s="311"/>
      <c r="L556" s="311"/>
      <c r="M556" s="311"/>
      <c r="N556" s="311"/>
      <c r="O556" s="311"/>
      <c r="P556" s="311"/>
      <c r="Q556" s="311"/>
      <c r="R556" s="311">
        <f>+R554+R555</f>
        <v>5845874.4833344091</v>
      </c>
      <c r="S556" s="312">
        <f t="shared" ref="S556:AV556" si="87">+S554+S555</f>
        <v>12744421.787518915</v>
      </c>
      <c r="T556" s="311">
        <f t="shared" si="87"/>
        <v>7875128.9004465509</v>
      </c>
      <c r="U556" s="311">
        <f t="shared" si="87"/>
        <v>14394083.535025619</v>
      </c>
      <c r="V556" s="311">
        <f t="shared" si="87"/>
        <v>9174199.4529064447</v>
      </c>
      <c r="W556" s="311">
        <f t="shared" si="87"/>
        <v>14900666.439422222</v>
      </c>
      <c r="X556" s="311">
        <f t="shared" si="87"/>
        <v>6195590.2526255883</v>
      </c>
      <c r="Y556" s="311">
        <f t="shared" si="87"/>
        <v>9908728.5040664636</v>
      </c>
      <c r="Z556" s="311">
        <f t="shared" si="87"/>
        <v>14409937.59535018</v>
      </c>
      <c r="AA556" s="311">
        <f t="shared" si="87"/>
        <v>6836827.8105402421</v>
      </c>
      <c r="AB556" s="311">
        <f t="shared" si="87"/>
        <v>13645010.866217736</v>
      </c>
      <c r="AC556" s="311">
        <f t="shared" si="87"/>
        <v>8850353.4886478931</v>
      </c>
      <c r="AD556" s="311">
        <f t="shared" si="87"/>
        <v>5422244.306643649</v>
      </c>
      <c r="AE556" s="311">
        <f t="shared" si="87"/>
        <v>4615509.9701110981</v>
      </c>
      <c r="AF556" s="311">
        <f t="shared" si="87"/>
        <v>4566705.096525643</v>
      </c>
      <c r="AG556" s="311">
        <f t="shared" si="87"/>
        <v>4886638.2121359147</v>
      </c>
      <c r="AH556" s="311">
        <f t="shared" si="87"/>
        <v>4721162.0241913451</v>
      </c>
      <c r="AI556" s="311">
        <f t="shared" si="87"/>
        <v>3390550.7043038281</v>
      </c>
      <c r="AJ556" s="311">
        <f t="shared" si="87"/>
        <v>4114829.7968546133</v>
      </c>
      <c r="AK556" s="311">
        <f t="shared" si="87"/>
        <v>4005739.1275765849</v>
      </c>
      <c r="AL556" s="311">
        <f t="shared" si="87"/>
        <v>1776711.6109609967</v>
      </c>
      <c r="AM556" s="311">
        <f t="shared" si="87"/>
        <v>6922777.2542615784</v>
      </c>
      <c r="AN556" s="311">
        <f t="shared" si="87"/>
        <v>1212236.9436879933</v>
      </c>
      <c r="AO556" s="311">
        <f t="shared" si="87"/>
        <v>1212231.5911206629</v>
      </c>
      <c r="AP556" s="311">
        <f t="shared" si="87"/>
        <v>1212226.3925312967</v>
      </c>
      <c r="AQ556" s="311">
        <f t="shared" si="87"/>
        <v>8205582.9484860022</v>
      </c>
      <c r="AR556" s="311">
        <f t="shared" si="87"/>
        <v>770339.65841867181</v>
      </c>
      <c r="AS556" s="311">
        <f t="shared" si="87"/>
        <v>770334.30585134146</v>
      </c>
      <c r="AT556" s="311">
        <f t="shared" si="87"/>
        <v>7780723.138197056</v>
      </c>
      <c r="AU556" s="311">
        <f t="shared" si="87"/>
        <v>7397458.002810033</v>
      </c>
      <c r="AV556" s="311">
        <f t="shared" si="87"/>
        <v>2795.1502427034256</v>
      </c>
      <c r="AW556" s="311"/>
      <c r="AX556" s="311"/>
      <c r="AY556" s="311"/>
      <c r="AZ556" s="311"/>
      <c r="BA556" s="311"/>
      <c r="BB556" s="311"/>
      <c r="BC556" s="311"/>
      <c r="BD556" s="311"/>
      <c r="BE556" s="311"/>
      <c r="BF556" s="311"/>
      <c r="BG556" s="311"/>
      <c r="BH556" s="311"/>
      <c r="BI556" s="311"/>
      <c r="BJ556" s="311"/>
      <c r="BK556" s="311"/>
    </row>
    <row r="557" spans="1:63">
      <c r="A557" s="167"/>
      <c r="B557" s="210" t="str">
        <f>Servicio_internaColumna_título_amortizaciones</f>
        <v>Amortizaciones</v>
      </c>
      <c r="C557" s="269">
        <v>0</v>
      </c>
      <c r="D557" s="235"/>
      <c r="E557" s="235"/>
      <c r="F557" s="235"/>
      <c r="G557" s="235"/>
      <c r="H557" s="235"/>
      <c r="I557" s="235"/>
      <c r="J557" s="235"/>
      <c r="K557" s="235"/>
      <c r="L557" s="235"/>
      <c r="M557" s="235"/>
      <c r="N557" s="235"/>
      <c r="O557" s="235"/>
      <c r="P557" s="235"/>
      <c r="Q557" s="235"/>
      <c r="R557" s="235">
        <v>2351986.2633263669</v>
      </c>
      <c r="S557" s="273">
        <v>7491090.0902267797</v>
      </c>
      <c r="T557" s="235">
        <v>2707818.548148192</v>
      </c>
      <c r="U557" s="235">
        <v>10076943.780757019</v>
      </c>
      <c r="V557" s="235">
        <v>4887192.7817331869</v>
      </c>
      <c r="W557" s="235">
        <v>11025023.881883701</v>
      </c>
      <c r="X557" s="235">
        <v>2417359.9400154613</v>
      </c>
      <c r="Y557" s="235">
        <v>6407213.0160154263</v>
      </c>
      <c r="Z557" s="235">
        <v>11702867.342862193</v>
      </c>
      <c r="AA557" s="235">
        <v>3944459.3544768458</v>
      </c>
      <c r="AB557" s="235">
        <v>11278510.688136751</v>
      </c>
      <c r="AC557" s="235">
        <v>6528239.9536786033</v>
      </c>
      <c r="AD557" s="235">
        <v>3458062.195734832</v>
      </c>
      <c r="AE557" s="235">
        <v>2633839.0886245221</v>
      </c>
      <c r="AF557" s="235">
        <v>2629166.6695986395</v>
      </c>
      <c r="AG557" s="235">
        <v>3102934.0733854757</v>
      </c>
      <c r="AH557" s="235">
        <v>3059744.3741748314</v>
      </c>
      <c r="AI557" s="235">
        <v>1753362.75044627</v>
      </c>
      <c r="AJ557" s="235">
        <v>2593589.285306883</v>
      </c>
      <c r="AK557" s="235">
        <v>2525030.8988368949</v>
      </c>
      <c r="AL557" s="235">
        <v>258325.76889256542</v>
      </c>
      <c r="AM557" s="235">
        <v>5736296.7032991657</v>
      </c>
      <c r="AN557" s="235">
        <v>75114.151213363846</v>
      </c>
      <c r="AO557" s="235">
        <v>75114.151213363846</v>
      </c>
      <c r="AP557" s="235">
        <v>75114.151213363846</v>
      </c>
      <c r="AQ557" s="235">
        <v>7748039.1512133637</v>
      </c>
      <c r="AR557" s="235">
        <v>75114.151213363846</v>
      </c>
      <c r="AS557" s="235">
        <v>75114.151213363846</v>
      </c>
      <c r="AT557" s="235">
        <v>7746971.6199790817</v>
      </c>
      <c r="AU557" s="235">
        <v>7746971.6199790817</v>
      </c>
      <c r="AV557" s="235">
        <v>74046.619979081399</v>
      </c>
      <c r="AW557" s="235"/>
      <c r="AX557" s="235"/>
      <c r="AY557" s="235"/>
      <c r="AZ557" s="235"/>
      <c r="BA557" s="235"/>
      <c r="BB557" s="235"/>
      <c r="BC557" s="235"/>
      <c r="BD557" s="235"/>
      <c r="BE557" s="235"/>
      <c r="BF557" s="235"/>
      <c r="BG557" s="235"/>
      <c r="BH557" s="235"/>
      <c r="BI557" s="235"/>
      <c r="BJ557" s="235"/>
      <c r="BK557" s="235"/>
    </row>
    <row r="558" spans="1:63">
      <c r="A558" s="168">
        <v>42491</v>
      </c>
      <c r="B558" s="213" t="str">
        <f>Servicio_internaColumna_título_intereses</f>
        <v>Intereses</v>
      </c>
      <c r="C558" s="270">
        <v>0</v>
      </c>
      <c r="D558" s="271"/>
      <c r="E558" s="271"/>
      <c r="F558" s="271"/>
      <c r="G558" s="271"/>
      <c r="H558" s="271"/>
      <c r="I558" s="271"/>
      <c r="J558" s="271"/>
      <c r="K558" s="271"/>
      <c r="L558" s="271"/>
      <c r="M558" s="271"/>
      <c r="N558" s="271"/>
      <c r="O558" s="271"/>
      <c r="P558" s="271"/>
      <c r="Q558" s="271"/>
      <c r="R558" s="236">
        <v>3260718.3239663984</v>
      </c>
      <c r="S558" s="275">
        <v>5984837.7202493548</v>
      </c>
      <c r="T558" s="236">
        <v>5664979.1038703984</v>
      </c>
      <c r="U558" s="236">
        <v>5121917.6467443267</v>
      </c>
      <c r="V558" s="236">
        <v>4826502.7134307548</v>
      </c>
      <c r="W558" s="236">
        <v>4641078.5564393857</v>
      </c>
      <c r="X558" s="236">
        <v>4171888.3442108845</v>
      </c>
      <c r="Y558" s="236">
        <v>4062755.2758867131</v>
      </c>
      <c r="Z558" s="236">
        <v>3630868.7070033494</v>
      </c>
      <c r="AA558" s="236">
        <v>3328235.349347685</v>
      </c>
      <c r="AB558" s="236">
        <v>3110010.0896503818</v>
      </c>
      <c r="AC558" s="236">
        <v>2753671.1133300397</v>
      </c>
      <c r="AD558" s="236">
        <v>2400258.5359291672</v>
      </c>
      <c r="AE558" s="236">
        <v>2310772.0258513968</v>
      </c>
      <c r="AF558" s="236">
        <v>2253824.7509408654</v>
      </c>
      <c r="AG558" s="236">
        <v>2136730.9189961008</v>
      </c>
      <c r="AH558" s="236">
        <v>2027363.3182733732</v>
      </c>
      <c r="AI558" s="236">
        <v>1919051.2583102447</v>
      </c>
      <c r="AJ558" s="236">
        <v>1849466.8894955062</v>
      </c>
      <c r="AK558" s="236">
        <v>1742419.0816104955</v>
      </c>
      <c r="AL558" s="236">
        <v>1702333.3128473014</v>
      </c>
      <c r="AM558" s="236">
        <v>1697642.1080264577</v>
      </c>
      <c r="AN558" s="236">
        <v>1285287.5328936018</v>
      </c>
      <c r="AO558" s="236">
        <v>1285281.8400547006</v>
      </c>
      <c r="AP558" s="236">
        <v>1285276.3109823985</v>
      </c>
      <c r="AQ558" s="236">
        <v>1050287.1262518989</v>
      </c>
      <c r="AR558" s="236">
        <v>815298.10528799787</v>
      </c>
      <c r="AS558" s="236">
        <v>815292.41244909691</v>
      </c>
      <c r="AT558" s="236">
        <v>599485.80536451878</v>
      </c>
      <c r="AU558" s="236">
        <v>191855.87052129488</v>
      </c>
      <c r="AV558" s="236">
        <v>27.05268239388964</v>
      </c>
      <c r="AW558" s="236"/>
      <c r="AX558" s="236"/>
      <c r="AY558" s="236"/>
      <c r="AZ558" s="236"/>
      <c r="BA558" s="236"/>
      <c r="BB558" s="236"/>
      <c r="BC558" s="236"/>
      <c r="BD558" s="236"/>
      <c r="BE558" s="236"/>
      <c r="BF558" s="236"/>
      <c r="BG558" s="236"/>
      <c r="BH558" s="236"/>
      <c r="BI558" s="236"/>
      <c r="BJ558" s="236"/>
      <c r="BK558" s="236"/>
    </row>
    <row r="559" spans="1:63" s="80" customFormat="1" ht="12.75">
      <c r="A559" s="169"/>
      <c r="B559" s="307" t="str">
        <f>Servicio_internaColumna_título_total</f>
        <v>Total</v>
      </c>
      <c r="C559" s="310">
        <v>0</v>
      </c>
      <c r="D559" s="311"/>
      <c r="E559" s="311"/>
      <c r="F559" s="311"/>
      <c r="G559" s="311"/>
      <c r="H559" s="311"/>
      <c r="I559" s="311"/>
      <c r="J559" s="311"/>
      <c r="K559" s="311"/>
      <c r="L559" s="311"/>
      <c r="M559" s="311"/>
      <c r="N559" s="311"/>
      <c r="O559" s="311"/>
      <c r="P559" s="311"/>
      <c r="Q559" s="311"/>
      <c r="R559" s="311">
        <f>+R557+R558</f>
        <v>5612704.5872927653</v>
      </c>
      <c r="S559" s="312">
        <f t="shared" ref="S559:AV559" si="88">+S557+S558</f>
        <v>13475927.810476135</v>
      </c>
      <c r="T559" s="311">
        <f t="shared" si="88"/>
        <v>8372797.6520185899</v>
      </c>
      <c r="U559" s="311">
        <f t="shared" si="88"/>
        <v>15198861.427501347</v>
      </c>
      <c r="V559" s="311">
        <f t="shared" si="88"/>
        <v>9713695.4951639418</v>
      </c>
      <c r="W559" s="311">
        <f t="shared" si="88"/>
        <v>15666102.438323088</v>
      </c>
      <c r="X559" s="311">
        <f t="shared" si="88"/>
        <v>6589248.2842263458</v>
      </c>
      <c r="Y559" s="311">
        <f t="shared" si="88"/>
        <v>10469968.29190214</v>
      </c>
      <c r="Z559" s="311">
        <f t="shared" si="88"/>
        <v>15333736.049865542</v>
      </c>
      <c r="AA559" s="311">
        <f t="shared" si="88"/>
        <v>7272694.7038245313</v>
      </c>
      <c r="AB559" s="311">
        <f t="shared" si="88"/>
        <v>14388520.777787132</v>
      </c>
      <c r="AC559" s="311">
        <f t="shared" si="88"/>
        <v>9281911.0670086425</v>
      </c>
      <c r="AD559" s="311">
        <f t="shared" si="88"/>
        <v>5858320.7316639991</v>
      </c>
      <c r="AE559" s="311">
        <f t="shared" si="88"/>
        <v>4944611.1144759189</v>
      </c>
      <c r="AF559" s="311">
        <f t="shared" si="88"/>
        <v>4882991.4205395048</v>
      </c>
      <c r="AG559" s="311">
        <f t="shared" si="88"/>
        <v>5239664.9923815764</v>
      </c>
      <c r="AH559" s="311">
        <f t="shared" si="88"/>
        <v>5087107.6924482044</v>
      </c>
      <c r="AI559" s="311">
        <f t="shared" si="88"/>
        <v>3672414.0087565146</v>
      </c>
      <c r="AJ559" s="311">
        <f t="shared" si="88"/>
        <v>4443056.174802389</v>
      </c>
      <c r="AK559" s="311">
        <f t="shared" si="88"/>
        <v>4267449.9804473901</v>
      </c>
      <c r="AL559" s="311">
        <f t="shared" si="88"/>
        <v>1960659.0817398669</v>
      </c>
      <c r="AM559" s="311">
        <f t="shared" si="88"/>
        <v>7433938.8113256237</v>
      </c>
      <c r="AN559" s="311">
        <f t="shared" si="88"/>
        <v>1360401.6841069655</v>
      </c>
      <c r="AO559" s="311">
        <f t="shared" si="88"/>
        <v>1360395.9912680644</v>
      </c>
      <c r="AP559" s="311">
        <f t="shared" si="88"/>
        <v>1360390.4621957622</v>
      </c>
      <c r="AQ559" s="311">
        <f t="shared" si="88"/>
        <v>8798326.2774652634</v>
      </c>
      <c r="AR559" s="311">
        <f t="shared" si="88"/>
        <v>890412.25650136173</v>
      </c>
      <c r="AS559" s="311">
        <f t="shared" si="88"/>
        <v>890406.56366246077</v>
      </c>
      <c r="AT559" s="311">
        <f t="shared" si="88"/>
        <v>8346457.4253436001</v>
      </c>
      <c r="AU559" s="311">
        <f t="shared" si="88"/>
        <v>7938827.4905003766</v>
      </c>
      <c r="AV559" s="311">
        <f t="shared" si="88"/>
        <v>74073.672661475284</v>
      </c>
      <c r="AW559" s="311"/>
      <c r="AX559" s="311"/>
      <c r="AY559" s="311"/>
      <c r="AZ559" s="311"/>
      <c r="BA559" s="311"/>
      <c r="BB559" s="311"/>
      <c r="BC559" s="311"/>
      <c r="BD559" s="311"/>
      <c r="BE559" s="311"/>
      <c r="BF559" s="311"/>
      <c r="BG559" s="311"/>
      <c r="BH559" s="311"/>
      <c r="BI559" s="311"/>
      <c r="BJ559" s="311"/>
      <c r="BK559" s="311"/>
    </row>
    <row r="560" spans="1:63">
      <c r="A560" s="167"/>
      <c r="B560" s="210" t="str">
        <f>Servicio_internaColumna_título_amortizaciones</f>
        <v>Amortizaciones</v>
      </c>
      <c r="C560" s="211"/>
      <c r="D560" s="212"/>
      <c r="E560" s="212"/>
      <c r="F560" s="212"/>
      <c r="G560" s="212"/>
      <c r="H560" s="212"/>
      <c r="I560" s="212"/>
      <c r="J560" s="212"/>
      <c r="K560" s="212"/>
      <c r="L560" s="212"/>
      <c r="M560" s="212"/>
      <c r="N560" s="212"/>
      <c r="O560" s="212"/>
      <c r="P560" s="212"/>
      <c r="Q560" s="212"/>
      <c r="R560" s="212">
        <v>2170354.6154517527</v>
      </c>
      <c r="S560" s="267">
        <v>7053436.2247036546</v>
      </c>
      <c r="T560" s="212">
        <v>2537698.2314461544</v>
      </c>
      <c r="U560" s="212">
        <v>9655324.731968157</v>
      </c>
      <c r="V560" s="212">
        <v>4636237.5070925774</v>
      </c>
      <c r="W560" s="212">
        <v>10595604.991859086</v>
      </c>
      <c r="X560" s="212">
        <v>2294199.9063421739</v>
      </c>
      <c r="Y560" s="212">
        <v>6135587.4717485392</v>
      </c>
      <c r="Z560" s="212">
        <v>11113168.890776958</v>
      </c>
      <c r="AA560" s="212">
        <v>3742144.4377174163</v>
      </c>
      <c r="AB560" s="212">
        <v>10635520.351882972</v>
      </c>
      <c r="AC560" s="212">
        <v>6295191.7595060468</v>
      </c>
      <c r="AD560" s="212">
        <v>3291518.2815744323</v>
      </c>
      <c r="AE560" s="212">
        <v>2507077.9623868777</v>
      </c>
      <c r="AF560" s="212">
        <v>2499608.975880153</v>
      </c>
      <c r="AG560" s="212">
        <v>2950599.2930092923</v>
      </c>
      <c r="AH560" s="212">
        <v>2908174.87894875</v>
      </c>
      <c r="AI560" s="212">
        <v>1666836.70038435</v>
      </c>
      <c r="AJ560" s="212">
        <v>2464138.9190134476</v>
      </c>
      <c r="AK560" s="212">
        <v>2394721.5103921825</v>
      </c>
      <c r="AL560" s="212">
        <v>245304.93347611578</v>
      </c>
      <c r="AM560" s="212">
        <v>5450160.4940997995</v>
      </c>
      <c r="AN560" s="212">
        <v>71229.622069189441</v>
      </c>
      <c r="AO560" s="212">
        <v>71229.622069189441</v>
      </c>
      <c r="AP560" s="212">
        <v>71229.622069189441</v>
      </c>
      <c r="AQ560" s="212">
        <v>7361604.6220691893</v>
      </c>
      <c r="AR560" s="212">
        <v>71229.622069189441</v>
      </c>
      <c r="AS560" s="212">
        <v>71229.622069189441</v>
      </c>
      <c r="AT560" s="212">
        <v>7360590.314875762</v>
      </c>
      <c r="AU560" s="212">
        <v>7360590.314875762</v>
      </c>
      <c r="AV560" s="212">
        <v>70215.314875761658</v>
      </c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  <c r="BI560" s="212"/>
      <c r="BJ560" s="212"/>
      <c r="BK560" s="212"/>
    </row>
    <row r="561" spans="1:63">
      <c r="A561" s="168">
        <v>42522</v>
      </c>
      <c r="B561" s="213" t="str">
        <f>Servicio_internaColumna_título_intereses</f>
        <v>Intereses</v>
      </c>
      <c r="C561" s="214"/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215"/>
      <c r="Q561" s="215"/>
      <c r="R561" s="216">
        <v>2825749.3182624215</v>
      </c>
      <c r="S561" s="268">
        <v>5776723.6008596802</v>
      </c>
      <c r="T561" s="216">
        <v>5457194.3465713896</v>
      </c>
      <c r="U561" s="216">
        <v>4967436.8575578658</v>
      </c>
      <c r="V561" s="216">
        <v>4568647.2001724364</v>
      </c>
      <c r="W561" s="216">
        <v>4286491.2866213927</v>
      </c>
      <c r="X561" s="216">
        <v>3945164.7406803519</v>
      </c>
      <c r="Y561" s="216">
        <v>3868912.6386545454</v>
      </c>
      <c r="Z561" s="216">
        <v>3443160.7824291275</v>
      </c>
      <c r="AA561" s="216">
        <v>3157249.8097015037</v>
      </c>
      <c r="AB561" s="216">
        <v>2875967.3736918056</v>
      </c>
      <c r="AC561" s="216">
        <v>2526272.6881539472</v>
      </c>
      <c r="AD561" s="216">
        <v>2289943.2316916077</v>
      </c>
      <c r="AE561" s="216">
        <v>2211054.223153966</v>
      </c>
      <c r="AF561" s="216">
        <v>2160400.6945125931</v>
      </c>
      <c r="AG561" s="216">
        <v>2057863.8807583621</v>
      </c>
      <c r="AH561" s="216">
        <v>1951315.1172224511</v>
      </c>
      <c r="AI561" s="216">
        <v>1851071.1787232836</v>
      </c>
      <c r="AJ561" s="216">
        <v>1783944.9596418112</v>
      </c>
      <c r="AK561" s="216">
        <v>1691991.8803943628</v>
      </c>
      <c r="AL561" s="216">
        <v>1656531.4954479102</v>
      </c>
      <c r="AM561" s="216">
        <v>1650569.8736403291</v>
      </c>
      <c r="AN561" s="216">
        <v>1255098.8103259103</v>
      </c>
      <c r="AO561" s="216">
        <v>1253135.4195119655</v>
      </c>
      <c r="AP561" s="216">
        <v>1251150.2368277591</v>
      </c>
      <c r="AQ561" s="216">
        <v>1024711.7082191275</v>
      </c>
      <c r="AR561" s="216">
        <v>798270.3758200166</v>
      </c>
      <c r="AS561" s="216">
        <v>796096.26442030235</v>
      </c>
      <c r="AT561" s="216">
        <v>587882.6644985826</v>
      </c>
      <c r="AU561" s="216">
        <v>195107.91771503244</v>
      </c>
      <c r="AV561" s="216">
        <v>4272.1994958651267</v>
      </c>
      <c r="AW561" s="216"/>
      <c r="AX561" s="216"/>
      <c r="AY561" s="216"/>
      <c r="AZ561" s="216"/>
      <c r="BA561" s="216"/>
      <c r="BB561" s="216"/>
      <c r="BC561" s="216"/>
      <c r="BD561" s="216"/>
      <c r="BE561" s="216"/>
      <c r="BF561" s="216"/>
      <c r="BG561" s="216"/>
      <c r="BH561" s="216"/>
      <c r="BI561" s="216"/>
      <c r="BJ561" s="216"/>
      <c r="BK561" s="216"/>
    </row>
    <row r="562" spans="1:63" s="80" customFormat="1" ht="12.75">
      <c r="A562" s="169"/>
      <c r="B562" s="307" t="str">
        <f>Servicio_internaColumna_título_total</f>
        <v>Total</v>
      </c>
      <c r="C562" s="313">
        <v>0</v>
      </c>
      <c r="D562" s="314"/>
      <c r="E562" s="314"/>
      <c r="F562" s="314"/>
      <c r="G562" s="314"/>
      <c r="H562" s="314"/>
      <c r="I562" s="314"/>
      <c r="J562" s="314"/>
      <c r="K562" s="314"/>
      <c r="L562" s="314"/>
      <c r="M562" s="314"/>
      <c r="N562" s="314"/>
      <c r="O562" s="314"/>
      <c r="P562" s="314"/>
      <c r="Q562" s="314"/>
      <c r="R562" s="314">
        <f>+R560+R561</f>
        <v>4996103.9337141737</v>
      </c>
      <c r="S562" s="315">
        <f t="shared" ref="S562:AV562" si="89">+S560+S561</f>
        <v>12830159.825563334</v>
      </c>
      <c r="T562" s="314">
        <f t="shared" si="89"/>
        <v>7994892.578017544</v>
      </c>
      <c r="U562" s="314">
        <f t="shared" si="89"/>
        <v>14622761.589526024</v>
      </c>
      <c r="V562" s="314">
        <f t="shared" si="89"/>
        <v>9204884.7072650138</v>
      </c>
      <c r="W562" s="314">
        <f t="shared" si="89"/>
        <v>14882096.278480478</v>
      </c>
      <c r="X562" s="314">
        <f t="shared" si="89"/>
        <v>6239364.6470225258</v>
      </c>
      <c r="Y562" s="314">
        <f t="shared" si="89"/>
        <v>10004500.110403085</v>
      </c>
      <c r="Z562" s="314">
        <f t="shared" si="89"/>
        <v>14556329.673206085</v>
      </c>
      <c r="AA562" s="314">
        <f t="shared" si="89"/>
        <v>6899394.2474189196</v>
      </c>
      <c r="AB562" s="314">
        <f t="shared" si="89"/>
        <v>13511487.725574777</v>
      </c>
      <c r="AC562" s="314">
        <f t="shared" si="89"/>
        <v>8821464.4476599935</v>
      </c>
      <c r="AD562" s="314">
        <f t="shared" si="89"/>
        <v>5581461.51326604</v>
      </c>
      <c r="AE562" s="314">
        <f t="shared" si="89"/>
        <v>4718132.1855408438</v>
      </c>
      <c r="AF562" s="314">
        <f t="shared" si="89"/>
        <v>4660009.6703927461</v>
      </c>
      <c r="AG562" s="314">
        <f t="shared" si="89"/>
        <v>5008463.1737676542</v>
      </c>
      <c r="AH562" s="314">
        <f t="shared" si="89"/>
        <v>4859489.9961712006</v>
      </c>
      <c r="AI562" s="314">
        <f t="shared" si="89"/>
        <v>3517907.8791076336</v>
      </c>
      <c r="AJ562" s="314">
        <f t="shared" si="89"/>
        <v>4248083.8786552586</v>
      </c>
      <c r="AK562" s="314">
        <f t="shared" si="89"/>
        <v>4086713.3907865454</v>
      </c>
      <c r="AL562" s="314">
        <f t="shared" si="89"/>
        <v>1901836.428924026</v>
      </c>
      <c r="AM562" s="314">
        <f t="shared" si="89"/>
        <v>7100730.3677401282</v>
      </c>
      <c r="AN562" s="314">
        <f t="shared" si="89"/>
        <v>1326328.4323950997</v>
      </c>
      <c r="AO562" s="314">
        <f t="shared" si="89"/>
        <v>1324365.0415811548</v>
      </c>
      <c r="AP562" s="314">
        <f t="shared" si="89"/>
        <v>1322379.8588969484</v>
      </c>
      <c r="AQ562" s="314">
        <f t="shared" si="89"/>
        <v>8386316.3302883171</v>
      </c>
      <c r="AR562" s="314">
        <f t="shared" si="89"/>
        <v>869499.99788920605</v>
      </c>
      <c r="AS562" s="314">
        <f t="shared" si="89"/>
        <v>867325.88648949179</v>
      </c>
      <c r="AT562" s="314">
        <f t="shared" si="89"/>
        <v>7948472.9793743445</v>
      </c>
      <c r="AU562" s="314">
        <f t="shared" si="89"/>
        <v>7555698.2325907946</v>
      </c>
      <c r="AV562" s="314">
        <f t="shared" si="89"/>
        <v>74487.514371626778</v>
      </c>
      <c r="AW562" s="314"/>
      <c r="AX562" s="314"/>
      <c r="AY562" s="314"/>
      <c r="AZ562" s="314"/>
      <c r="BA562" s="314"/>
      <c r="BB562" s="314"/>
      <c r="BC562" s="314"/>
      <c r="BD562" s="314"/>
      <c r="BE562" s="314"/>
      <c r="BF562" s="314"/>
      <c r="BG562" s="314"/>
      <c r="BH562" s="314"/>
      <c r="BI562" s="314"/>
      <c r="BJ562" s="314"/>
      <c r="BK562" s="314"/>
    </row>
    <row r="563" spans="1:63">
      <c r="A563" s="167"/>
      <c r="B563" s="210" t="str">
        <f>Servicio_internaColumna_título_amortizaciones</f>
        <v>Amortizaciones</v>
      </c>
      <c r="C563" s="211"/>
      <c r="D563" s="212"/>
      <c r="E563" s="212"/>
      <c r="F563" s="212"/>
      <c r="G563" s="212"/>
      <c r="H563" s="212"/>
      <c r="I563" s="212"/>
      <c r="J563" s="212"/>
      <c r="K563" s="212"/>
      <c r="L563" s="212"/>
      <c r="M563" s="212"/>
      <c r="N563" s="212"/>
      <c r="O563" s="212"/>
      <c r="P563" s="212"/>
      <c r="Q563" s="212"/>
      <c r="R563" s="212">
        <v>2274247.1398388883</v>
      </c>
      <c r="S563" s="267">
        <v>7451133.5944677889</v>
      </c>
      <c r="T563" s="212">
        <v>2679995.6901815371</v>
      </c>
      <c r="U563" s="212">
        <v>10228543.937821388</v>
      </c>
      <c r="V563" s="212">
        <v>4905782.356363588</v>
      </c>
      <c r="W563" s="212">
        <v>11083947.12735283</v>
      </c>
      <c r="X563" s="212">
        <v>2423160.6631344138</v>
      </c>
      <c r="Y563" s="212">
        <v>6442271.9535513725</v>
      </c>
      <c r="Z563" s="212">
        <v>11781564.345106114</v>
      </c>
      <c r="AA563" s="212">
        <v>3967908.149517559</v>
      </c>
      <c r="AB563" s="212">
        <v>11418592.674239472</v>
      </c>
      <c r="AC563" s="212">
        <v>6566006.2213514186</v>
      </c>
      <c r="AD563" s="212">
        <v>3490704.0241028997</v>
      </c>
      <c r="AE563" s="212">
        <v>2659015.8351042806</v>
      </c>
      <c r="AF563" s="212">
        <v>2652052.2759984112</v>
      </c>
      <c r="AG563" s="212">
        <v>3129726.7953743283</v>
      </c>
      <c r="AH563" s="212">
        <v>3084970.4576337761</v>
      </c>
      <c r="AI563" s="212">
        <v>1768871.1512371749</v>
      </c>
      <c r="AJ563" s="212">
        <v>2614192.2264606957</v>
      </c>
      <c r="AK563" s="212">
        <v>2554986.9237405066</v>
      </c>
      <c r="AL563" s="212">
        <v>261725.26152246847</v>
      </c>
      <c r="AM563" s="212">
        <v>5780057.4485874977</v>
      </c>
      <c r="AN563" s="212">
        <v>75989.151262725296</v>
      </c>
      <c r="AO563" s="212">
        <v>75989.151262725296</v>
      </c>
      <c r="AP563" s="212">
        <v>75989.151262725296</v>
      </c>
      <c r="AQ563" s="212">
        <v>7805439.1512627257</v>
      </c>
      <c r="AR563" s="212">
        <v>75989.151262725296</v>
      </c>
      <c r="AS563" s="212">
        <v>75989.151262725296</v>
      </c>
      <c r="AT563" s="212">
        <v>7804363.7557259751</v>
      </c>
      <c r="AU563" s="212">
        <v>7804363.7557259751</v>
      </c>
      <c r="AV563" s="212">
        <v>74913.755725974392</v>
      </c>
      <c r="AW563" s="212"/>
      <c r="AX563" s="212"/>
      <c r="AY563" s="212"/>
      <c r="AZ563" s="212"/>
      <c r="BA563" s="212"/>
      <c r="BB563" s="212"/>
      <c r="BC563" s="212"/>
      <c r="BD563" s="212"/>
      <c r="BE563" s="212"/>
      <c r="BF563" s="212"/>
      <c r="BG563" s="212"/>
      <c r="BH563" s="212"/>
      <c r="BI563" s="212"/>
      <c r="BJ563" s="212"/>
      <c r="BK563" s="212"/>
    </row>
    <row r="564" spans="1:63">
      <c r="A564" s="168">
        <v>42552</v>
      </c>
      <c r="B564" s="213" t="str">
        <f>Servicio_internaColumna_título_intereses</f>
        <v>Intereses</v>
      </c>
      <c r="C564" s="214"/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215"/>
      <c r="Q564" s="215"/>
      <c r="R564" s="216">
        <v>2825749.3182624215</v>
      </c>
      <c r="S564" s="268">
        <v>5776723.6008596802</v>
      </c>
      <c r="T564" s="216">
        <v>5457194.3465713896</v>
      </c>
      <c r="U564" s="216">
        <v>4967436.8575578658</v>
      </c>
      <c r="V564" s="216">
        <v>4568647.2001724364</v>
      </c>
      <c r="W564" s="216">
        <v>4286491.2866213927</v>
      </c>
      <c r="X564" s="216">
        <v>3945164.7406803519</v>
      </c>
      <c r="Y564" s="216">
        <v>3868912.6386545454</v>
      </c>
      <c r="Z564" s="216">
        <v>3443160.7824291275</v>
      </c>
      <c r="AA564" s="216">
        <v>3157249.8097015037</v>
      </c>
      <c r="AB564" s="216">
        <v>2875967.3736918056</v>
      </c>
      <c r="AC564" s="216">
        <v>2526272.6881539472</v>
      </c>
      <c r="AD564" s="216">
        <v>2289943.2316916077</v>
      </c>
      <c r="AE564" s="216">
        <v>2211054.223153966</v>
      </c>
      <c r="AF564" s="216">
        <v>2160400.6945125931</v>
      </c>
      <c r="AG564" s="216">
        <v>2057863.8807583621</v>
      </c>
      <c r="AH564" s="216">
        <v>1951315.1172224511</v>
      </c>
      <c r="AI564" s="216">
        <v>1851071.1787232836</v>
      </c>
      <c r="AJ564" s="216">
        <v>1783944.9596418112</v>
      </c>
      <c r="AK564" s="216">
        <v>1691991.8803943628</v>
      </c>
      <c r="AL564" s="216">
        <v>1656531.4954479102</v>
      </c>
      <c r="AM564" s="216">
        <v>1650569.8736403291</v>
      </c>
      <c r="AN564" s="216">
        <v>1255098.8103259103</v>
      </c>
      <c r="AO564" s="216">
        <v>1253135.4195119655</v>
      </c>
      <c r="AP564" s="216">
        <v>1251150.2368277591</v>
      </c>
      <c r="AQ564" s="216">
        <v>1024711.7082191275</v>
      </c>
      <c r="AR564" s="216">
        <v>798270.3758200166</v>
      </c>
      <c r="AS564" s="216">
        <v>796096.26442030235</v>
      </c>
      <c r="AT564" s="216">
        <v>587882.6644985826</v>
      </c>
      <c r="AU564" s="216">
        <v>195107.91771503244</v>
      </c>
      <c r="AV564" s="216">
        <v>4272.1994958651267</v>
      </c>
      <c r="AW564" s="216"/>
      <c r="AX564" s="216"/>
      <c r="AY564" s="216"/>
      <c r="AZ564" s="216"/>
      <c r="BA564" s="216"/>
      <c r="BB564" s="216"/>
      <c r="BC564" s="216"/>
      <c r="BD564" s="216"/>
      <c r="BE564" s="216"/>
      <c r="BF564" s="216"/>
      <c r="BG564" s="216"/>
      <c r="BH564" s="216"/>
      <c r="BI564" s="216"/>
      <c r="BJ564" s="216"/>
      <c r="BK564" s="216"/>
    </row>
    <row r="565" spans="1:63" s="80" customFormat="1" ht="12.75">
      <c r="A565" s="169"/>
      <c r="B565" s="307" t="str">
        <f>Servicio_internaColumna_título_total</f>
        <v>Total</v>
      </c>
      <c r="C565" s="313">
        <v>0</v>
      </c>
      <c r="D565" s="314"/>
      <c r="E565" s="314"/>
      <c r="F565" s="314"/>
      <c r="G565" s="314"/>
      <c r="H565" s="314"/>
      <c r="I565" s="314"/>
      <c r="J565" s="314"/>
      <c r="K565" s="314"/>
      <c r="L565" s="314"/>
      <c r="M565" s="314"/>
      <c r="N565" s="314"/>
      <c r="O565" s="314"/>
      <c r="P565" s="314"/>
      <c r="Q565" s="314"/>
      <c r="R565" s="314">
        <f>+R563+R564</f>
        <v>5099996.4581013098</v>
      </c>
      <c r="S565" s="315">
        <f t="shared" ref="S565:AV565" si="90">+S563+S564</f>
        <v>13227857.195327468</v>
      </c>
      <c r="T565" s="314">
        <f t="shared" si="90"/>
        <v>8137190.0367529262</v>
      </c>
      <c r="U565" s="314">
        <f t="shared" si="90"/>
        <v>15195980.795379255</v>
      </c>
      <c r="V565" s="314">
        <f t="shared" si="90"/>
        <v>9474429.5565360244</v>
      </c>
      <c r="W565" s="314">
        <f t="shared" si="90"/>
        <v>15370438.413974222</v>
      </c>
      <c r="X565" s="314">
        <f t="shared" si="90"/>
        <v>6368325.4038147656</v>
      </c>
      <c r="Y565" s="314">
        <f t="shared" si="90"/>
        <v>10311184.592205917</v>
      </c>
      <c r="Z565" s="314">
        <f t="shared" si="90"/>
        <v>15224725.127535241</v>
      </c>
      <c r="AA565" s="314">
        <f t="shared" si="90"/>
        <v>7125157.9592190627</v>
      </c>
      <c r="AB565" s="314">
        <f t="shared" si="90"/>
        <v>14294560.047931276</v>
      </c>
      <c r="AC565" s="314">
        <f t="shared" si="90"/>
        <v>9092278.9095053654</v>
      </c>
      <c r="AD565" s="314">
        <f t="shared" si="90"/>
        <v>5780647.2557945075</v>
      </c>
      <c r="AE565" s="314">
        <f t="shared" si="90"/>
        <v>4870070.0582582466</v>
      </c>
      <c r="AF565" s="314">
        <f t="shared" si="90"/>
        <v>4812452.9705110043</v>
      </c>
      <c r="AG565" s="314">
        <f t="shared" si="90"/>
        <v>5187590.6761326902</v>
      </c>
      <c r="AH565" s="314">
        <f t="shared" si="90"/>
        <v>5036285.5748562273</v>
      </c>
      <c r="AI565" s="314">
        <f t="shared" si="90"/>
        <v>3619942.3299604584</v>
      </c>
      <c r="AJ565" s="314">
        <f t="shared" si="90"/>
        <v>4398137.1861025067</v>
      </c>
      <c r="AK565" s="314">
        <f t="shared" si="90"/>
        <v>4246978.8041348699</v>
      </c>
      <c r="AL565" s="314">
        <f t="shared" si="90"/>
        <v>1918256.7569703786</v>
      </c>
      <c r="AM565" s="314">
        <f t="shared" si="90"/>
        <v>7430627.3222278263</v>
      </c>
      <c r="AN565" s="314">
        <f t="shared" si="90"/>
        <v>1331087.9615886356</v>
      </c>
      <c r="AO565" s="314">
        <f t="shared" si="90"/>
        <v>1329124.5707746907</v>
      </c>
      <c r="AP565" s="314">
        <f t="shared" si="90"/>
        <v>1327139.3880904843</v>
      </c>
      <c r="AQ565" s="314">
        <f t="shared" si="90"/>
        <v>8830150.8594818525</v>
      </c>
      <c r="AR565" s="314">
        <f t="shared" si="90"/>
        <v>874259.52708274196</v>
      </c>
      <c r="AS565" s="314">
        <f t="shared" si="90"/>
        <v>872085.41568302759</v>
      </c>
      <c r="AT565" s="314">
        <f t="shared" si="90"/>
        <v>8392246.4202245586</v>
      </c>
      <c r="AU565" s="314">
        <f t="shared" si="90"/>
        <v>7999471.6734410077</v>
      </c>
      <c r="AV565" s="314">
        <f t="shared" si="90"/>
        <v>79185.955221839511</v>
      </c>
      <c r="AW565" s="314"/>
      <c r="AX565" s="314"/>
      <c r="AY565" s="314"/>
      <c r="AZ565" s="314"/>
      <c r="BA565" s="314"/>
      <c r="BB565" s="314"/>
      <c r="BC565" s="314"/>
      <c r="BD565" s="314"/>
      <c r="BE565" s="314"/>
      <c r="BF565" s="314"/>
      <c r="BG565" s="314"/>
      <c r="BH565" s="314"/>
      <c r="BI565" s="314"/>
      <c r="BJ565" s="314"/>
      <c r="BK565" s="314"/>
    </row>
    <row r="566" spans="1:63">
      <c r="A566" s="167"/>
      <c r="B566" s="210" t="str">
        <f>Servicio_internaColumna_título_amortizaciones</f>
        <v>Amortizaciones</v>
      </c>
      <c r="C566" s="211"/>
      <c r="D566" s="212"/>
      <c r="E566" s="212"/>
      <c r="F566" s="212"/>
      <c r="G566" s="212"/>
      <c r="H566" s="212"/>
      <c r="I566" s="212"/>
      <c r="J566" s="212"/>
      <c r="K566" s="212"/>
      <c r="L566" s="212"/>
      <c r="M566" s="212"/>
      <c r="N566" s="212"/>
      <c r="O566" s="212"/>
      <c r="P566" s="212"/>
      <c r="Q566" s="212"/>
      <c r="R566" s="212">
        <v>2118538.7330340464</v>
      </c>
      <c r="S566" s="267">
        <v>7037647.1712671034</v>
      </c>
      <c r="T566" s="212">
        <v>2507597.572005026</v>
      </c>
      <c r="U566" s="212">
        <v>9670423.6597453598</v>
      </c>
      <c r="V566" s="212">
        <v>4630997.7803353937</v>
      </c>
      <c r="W566" s="212">
        <v>10623828.875032974</v>
      </c>
      <c r="X566" s="212">
        <v>2287074.6639337703</v>
      </c>
      <c r="Y566" s="212">
        <v>6152677.9287987305</v>
      </c>
      <c r="Z566" s="212">
        <v>11173815.774117935</v>
      </c>
      <c r="AA566" s="212">
        <v>3763109.3986380324</v>
      </c>
      <c r="AB566" s="212">
        <v>10815903.847124089</v>
      </c>
      <c r="AC566" s="212">
        <v>6321438.7112507541</v>
      </c>
      <c r="AD566" s="212">
        <v>3307796.9311339087</v>
      </c>
      <c r="AE566" s="212">
        <v>2520587.1907276553</v>
      </c>
      <c r="AF566" s="212">
        <v>2515828.2695772024</v>
      </c>
      <c r="AG566" s="212">
        <v>2969484.1700046989</v>
      </c>
      <c r="AH566" s="212">
        <v>2927014.447453293</v>
      </c>
      <c r="AI566" s="212">
        <v>1678155.6195107934</v>
      </c>
      <c r="AJ566" s="212">
        <v>2480288.9785830011</v>
      </c>
      <c r="AK566" s="212">
        <v>2415689.4565952481</v>
      </c>
      <c r="AL566" s="212">
        <v>248014.73551324671</v>
      </c>
      <c r="AM566" s="212">
        <v>5484413.4964924846</v>
      </c>
      <c r="AN566" s="212">
        <v>71832.148368339971</v>
      </c>
      <c r="AO566" s="212">
        <v>71832.148368339971</v>
      </c>
      <c r="AP566" s="212">
        <v>71832.148368339971</v>
      </c>
      <c r="AQ566" s="212">
        <v>7406382.1483683409</v>
      </c>
      <c r="AR566" s="212">
        <v>71832.148368339971</v>
      </c>
      <c r="AS566" s="212">
        <v>71832.148368339971</v>
      </c>
      <c r="AT566" s="212">
        <v>7405361.6951234043</v>
      </c>
      <c r="AU566" s="212">
        <v>7405361.6951234043</v>
      </c>
      <c r="AV566" s="212">
        <v>70811.695123403217</v>
      </c>
      <c r="AW566" s="212"/>
      <c r="AX566" s="212"/>
      <c r="AY566" s="212"/>
      <c r="AZ566" s="212"/>
      <c r="BA566" s="212"/>
      <c r="BB566" s="212"/>
      <c r="BC566" s="212"/>
      <c r="BD566" s="212"/>
      <c r="BE566" s="212"/>
      <c r="BF566" s="212"/>
      <c r="BG566" s="212"/>
      <c r="BH566" s="212"/>
      <c r="BI566" s="212"/>
      <c r="BJ566" s="212"/>
      <c r="BK566" s="212"/>
    </row>
    <row r="567" spans="1:63">
      <c r="A567" s="168">
        <v>42583</v>
      </c>
      <c r="B567" s="213" t="str">
        <f>Servicio_internaColumna_título_intereses</f>
        <v>Intereses</v>
      </c>
      <c r="C567" s="214"/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6">
        <v>1269665.9232645531</v>
      </c>
      <c r="S567" s="268">
        <v>5883096.6696662623</v>
      </c>
      <c r="T567" s="216">
        <v>5658065.3344322881</v>
      </c>
      <c r="U567" s="216">
        <v>5038565.0027080122</v>
      </c>
      <c r="V567" s="216">
        <v>4663720.6802031584</v>
      </c>
      <c r="W567" s="216">
        <v>4452570.5117228162</v>
      </c>
      <c r="X567" s="216">
        <v>3970076.9552695658</v>
      </c>
      <c r="Y567" s="216">
        <v>3887382.3241806668</v>
      </c>
      <c r="Z567" s="216">
        <v>3456757.9274958456</v>
      </c>
      <c r="AA567" s="216">
        <v>3157183.1482187929</v>
      </c>
      <c r="AB567" s="216">
        <v>2872098.5183795025</v>
      </c>
      <c r="AC567" s="216">
        <v>2519169.188768771</v>
      </c>
      <c r="AD567" s="216">
        <v>2277932.4822692033</v>
      </c>
      <c r="AE567" s="216">
        <v>2195726.0900320839</v>
      </c>
      <c r="AF567" s="216">
        <v>2141467.2306730272</v>
      </c>
      <c r="AG567" s="216">
        <v>2049409.2609357098</v>
      </c>
      <c r="AH567" s="216">
        <v>1950916.5088066403</v>
      </c>
      <c r="AI567" s="216">
        <v>1850278.8324978088</v>
      </c>
      <c r="AJ567" s="216">
        <v>1782313.1606389021</v>
      </c>
      <c r="AK567" s="216">
        <v>1692601.6302824004</v>
      </c>
      <c r="AL567" s="216">
        <v>1657736.7167008272</v>
      </c>
      <c r="AM567" s="216">
        <v>1651809.4680111336</v>
      </c>
      <c r="AN567" s="216">
        <v>1255723.3949700964</v>
      </c>
      <c r="AO567" s="216">
        <v>1253731.5872462876</v>
      </c>
      <c r="AP567" s="216">
        <v>1251675.8467565579</v>
      </c>
      <c r="AQ567" s="216">
        <v>1024944.5587578428</v>
      </c>
      <c r="AR567" s="216">
        <v>798212.36372439936</v>
      </c>
      <c r="AS567" s="216">
        <v>796091.51421341579</v>
      </c>
      <c r="AT567" s="216">
        <v>587631.44991089287</v>
      </c>
      <c r="AU567" s="216">
        <v>195741.91836658865</v>
      </c>
      <c r="AV567" s="216">
        <v>4297.9744893003899</v>
      </c>
      <c r="AW567" s="216"/>
      <c r="AX567" s="216"/>
      <c r="AY567" s="216"/>
      <c r="AZ567" s="216"/>
      <c r="BA567" s="216"/>
      <c r="BB567" s="216"/>
      <c r="BC567" s="216"/>
      <c r="BD567" s="216"/>
      <c r="BE567" s="216"/>
      <c r="BF567" s="216"/>
      <c r="BG567" s="216"/>
      <c r="BH567" s="216"/>
      <c r="BI567" s="216"/>
      <c r="BJ567" s="216"/>
      <c r="BK567" s="216"/>
    </row>
    <row r="568" spans="1:63" s="80" customFormat="1" ht="12.75">
      <c r="A568" s="169"/>
      <c r="B568" s="307" t="str">
        <f>Servicio_internaColumna_título_total</f>
        <v>Total</v>
      </c>
      <c r="C568" s="313">
        <v>0</v>
      </c>
      <c r="D568" s="314"/>
      <c r="E568" s="314"/>
      <c r="F568" s="314"/>
      <c r="G568" s="314"/>
      <c r="H568" s="314"/>
      <c r="I568" s="314"/>
      <c r="J568" s="314"/>
      <c r="K568" s="314"/>
      <c r="L568" s="314"/>
      <c r="M568" s="314"/>
      <c r="N568" s="314"/>
      <c r="O568" s="314"/>
      <c r="P568" s="314"/>
      <c r="Q568" s="314"/>
      <c r="R568" s="314">
        <f>+R566+R567</f>
        <v>3388204.6562985992</v>
      </c>
      <c r="S568" s="315">
        <f t="shared" ref="S568:AV568" si="91">+S566+S567</f>
        <v>12920743.840933366</v>
      </c>
      <c r="T568" s="314">
        <f t="shared" si="91"/>
        <v>8165662.9064373141</v>
      </c>
      <c r="U568" s="314">
        <f t="shared" si="91"/>
        <v>14708988.662453372</v>
      </c>
      <c r="V568" s="314">
        <f t="shared" si="91"/>
        <v>9294718.4605385512</v>
      </c>
      <c r="W568" s="314">
        <f t="shared" si="91"/>
        <v>15076399.386755791</v>
      </c>
      <c r="X568" s="314">
        <f t="shared" si="91"/>
        <v>6257151.6192033365</v>
      </c>
      <c r="Y568" s="314">
        <f t="shared" si="91"/>
        <v>10040060.252979398</v>
      </c>
      <c r="Z568" s="314">
        <f t="shared" si="91"/>
        <v>14630573.70161378</v>
      </c>
      <c r="AA568" s="314">
        <f t="shared" si="91"/>
        <v>6920292.5468568252</v>
      </c>
      <c r="AB568" s="314">
        <f t="shared" si="91"/>
        <v>13688002.365503591</v>
      </c>
      <c r="AC568" s="314">
        <f t="shared" si="91"/>
        <v>8840607.9000195246</v>
      </c>
      <c r="AD568" s="314">
        <f t="shared" si="91"/>
        <v>5585729.4134031124</v>
      </c>
      <c r="AE568" s="314">
        <f t="shared" si="91"/>
        <v>4716313.2807597388</v>
      </c>
      <c r="AF568" s="314">
        <f t="shared" si="91"/>
        <v>4657295.5002502296</v>
      </c>
      <c r="AG568" s="314">
        <f t="shared" si="91"/>
        <v>5018893.4309404083</v>
      </c>
      <c r="AH568" s="314">
        <f t="shared" si="91"/>
        <v>4877930.9562599333</v>
      </c>
      <c r="AI568" s="314">
        <f t="shared" si="91"/>
        <v>3528434.4520086022</v>
      </c>
      <c r="AJ568" s="314">
        <f t="shared" si="91"/>
        <v>4262602.1392219029</v>
      </c>
      <c r="AK568" s="314">
        <f t="shared" si="91"/>
        <v>4108291.0868776487</v>
      </c>
      <c r="AL568" s="314">
        <f t="shared" si="91"/>
        <v>1905751.4522140739</v>
      </c>
      <c r="AM568" s="314">
        <f t="shared" si="91"/>
        <v>7136222.964503618</v>
      </c>
      <c r="AN568" s="314">
        <f t="shared" si="91"/>
        <v>1327555.5433384364</v>
      </c>
      <c r="AO568" s="314">
        <f t="shared" si="91"/>
        <v>1325563.7356146276</v>
      </c>
      <c r="AP568" s="314">
        <f t="shared" si="91"/>
        <v>1323507.9951248979</v>
      </c>
      <c r="AQ568" s="314">
        <f t="shared" si="91"/>
        <v>8431326.7071261834</v>
      </c>
      <c r="AR568" s="314">
        <f t="shared" si="91"/>
        <v>870044.51209273934</v>
      </c>
      <c r="AS568" s="314">
        <f t="shared" si="91"/>
        <v>867923.66258175578</v>
      </c>
      <c r="AT568" s="314">
        <f t="shared" si="91"/>
        <v>7992993.1450342974</v>
      </c>
      <c r="AU568" s="314">
        <f t="shared" si="91"/>
        <v>7601103.6134899929</v>
      </c>
      <c r="AV568" s="314">
        <f t="shared" si="91"/>
        <v>75109.669612703612</v>
      </c>
      <c r="AW568" s="314"/>
      <c r="AX568" s="314"/>
      <c r="AY568" s="314"/>
      <c r="AZ568" s="314"/>
      <c r="BA568" s="314"/>
      <c r="BB568" s="314"/>
      <c r="BC568" s="314"/>
      <c r="BD568" s="314"/>
      <c r="BE568" s="314"/>
      <c r="BF568" s="314"/>
      <c r="BG568" s="314"/>
      <c r="BH568" s="314"/>
      <c r="BI568" s="314"/>
      <c r="BJ568" s="314"/>
      <c r="BK568" s="314"/>
    </row>
    <row r="569" spans="1:63">
      <c r="A569" s="167"/>
      <c r="B569" s="210" t="str">
        <f>Servicio_internaColumna_título_amortizaciones</f>
        <v>Amortizaciones</v>
      </c>
      <c r="C569" s="211"/>
      <c r="D569" s="212"/>
      <c r="E569" s="212"/>
      <c r="F569" s="212"/>
      <c r="G569" s="212"/>
      <c r="H569" s="212"/>
      <c r="I569" s="212"/>
      <c r="J569" s="212"/>
      <c r="K569" s="212"/>
      <c r="L569" s="212"/>
      <c r="M569" s="212"/>
      <c r="N569" s="212"/>
      <c r="O569" s="212"/>
      <c r="P569" s="212"/>
      <c r="Q569" s="212"/>
      <c r="R569" s="212">
        <v>2009514.0732676508</v>
      </c>
      <c r="S569" s="267">
        <v>6838277.1733027725</v>
      </c>
      <c r="T569" s="212">
        <v>2426846.0353813749</v>
      </c>
      <c r="U569" s="212">
        <v>9485536.7557590939</v>
      </c>
      <c r="V569" s="212">
        <v>4542181.7694964148</v>
      </c>
      <c r="W569" s="212">
        <v>10471192.693344325</v>
      </c>
      <c r="X569" s="212">
        <v>2242208.2589009521</v>
      </c>
      <c r="Y569" s="212">
        <v>6055164.8676279979</v>
      </c>
      <c r="Z569" s="212">
        <v>10964323.144646801</v>
      </c>
      <c r="AA569" s="212">
        <v>3689787.7315379931</v>
      </c>
      <c r="AB569" s="212">
        <v>10651960.023358526</v>
      </c>
      <c r="AC569" s="212">
        <v>6236628.978286583</v>
      </c>
      <c r="AD569" s="212">
        <v>3243038.5669238446</v>
      </c>
      <c r="AE569" s="212">
        <v>2472494.0545534845</v>
      </c>
      <c r="AF569" s="212">
        <v>2467822.5154109169</v>
      </c>
      <c r="AG569" s="212">
        <v>2913819.2679238347</v>
      </c>
      <c r="AH569" s="212">
        <v>2872129.3627960761</v>
      </c>
      <c r="AI569" s="212">
        <v>1645858.3593495262</v>
      </c>
      <c r="AJ569" s="212">
        <v>2434663.1716497969</v>
      </c>
      <c r="AK569" s="212">
        <v>2389615.2495571203</v>
      </c>
      <c r="AL569" s="212">
        <v>244066.08566431981</v>
      </c>
      <c r="AM569" s="212">
        <v>5384315.3428161442</v>
      </c>
      <c r="AN569" s="212">
        <v>71112.407713538414</v>
      </c>
      <c r="AO569" s="212">
        <v>71112.407713538414</v>
      </c>
      <c r="AP569" s="212">
        <v>71112.407713538414</v>
      </c>
      <c r="AQ569" s="212">
        <v>7270987.407713538</v>
      </c>
      <c r="AR569" s="212">
        <v>71112.407713538414</v>
      </c>
      <c r="AS569" s="212">
        <v>71112.407713538414</v>
      </c>
      <c r="AT569" s="212">
        <v>7269985.6917518377</v>
      </c>
      <c r="AU569" s="212">
        <v>7269985.6917518377</v>
      </c>
      <c r="AV569" s="212">
        <v>70110.691751838109</v>
      </c>
      <c r="AW569" s="212"/>
      <c r="AX569" s="212"/>
      <c r="AY569" s="212"/>
      <c r="AZ569" s="212"/>
      <c r="BA569" s="212"/>
      <c r="BB569" s="212"/>
      <c r="BC569" s="212"/>
      <c r="BD569" s="212"/>
      <c r="BE569" s="212"/>
      <c r="BF569" s="212"/>
      <c r="BG569" s="212"/>
      <c r="BH569" s="212"/>
      <c r="BI569" s="212"/>
      <c r="BJ569" s="212"/>
      <c r="BK569" s="212"/>
    </row>
    <row r="570" spans="1:63">
      <c r="A570" s="168">
        <v>42614</v>
      </c>
      <c r="B570" s="213" t="str">
        <f>Servicio_internaColumna_título_intereses</f>
        <v>Intereses</v>
      </c>
      <c r="C570" s="214"/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6">
        <v>786734.61418517004</v>
      </c>
      <c r="S570" s="268">
        <v>5766747.3013235684</v>
      </c>
      <c r="T570" s="216">
        <v>5591373.9637249447</v>
      </c>
      <c r="U570" s="216">
        <v>4743095.0094361352</v>
      </c>
      <c r="V570" s="216">
        <v>4578702.6914083203</v>
      </c>
      <c r="W570" s="216">
        <v>4377241.1495405519</v>
      </c>
      <c r="X570" s="216">
        <v>3900617.1726805069</v>
      </c>
      <c r="Y570" s="216">
        <v>3806441.4469285747</v>
      </c>
      <c r="Z570" s="216">
        <v>3398060.4543377846</v>
      </c>
      <c r="AA570" s="216">
        <v>3103434.7044271682</v>
      </c>
      <c r="AB570" s="216">
        <v>2909684.037329833</v>
      </c>
      <c r="AC570" s="216">
        <v>2570090.9130208851</v>
      </c>
      <c r="AD570" s="216">
        <v>2236152.6565007828</v>
      </c>
      <c r="AE570" s="216">
        <v>2155505.1620299686</v>
      </c>
      <c r="AF570" s="216">
        <v>2102316.3001532233</v>
      </c>
      <c r="AG570" s="216">
        <v>2013824.255855185</v>
      </c>
      <c r="AH570" s="216">
        <v>1916096.7786552289</v>
      </c>
      <c r="AI570" s="216">
        <v>1816871.3648059568</v>
      </c>
      <c r="AJ570" s="216">
        <v>1750144.13098125</v>
      </c>
      <c r="AK570" s="216">
        <v>1661995.045106696</v>
      </c>
      <c r="AL570" s="216">
        <v>1627516.8983099915</v>
      </c>
      <c r="AM570" s="216">
        <v>1621678.1513656809</v>
      </c>
      <c r="AN570" s="216">
        <v>1232852.9899148343</v>
      </c>
      <c r="AO570" s="216">
        <v>1230878.9984053955</v>
      </c>
      <c r="AP570" s="216">
        <v>1228856.4770252085</v>
      </c>
      <c r="AQ570" s="216">
        <v>1006268.7437376805</v>
      </c>
      <c r="AR570" s="216">
        <v>783685.05396002124</v>
      </c>
      <c r="AS570" s="216">
        <v>781585.21664926247</v>
      </c>
      <c r="AT570" s="216">
        <v>576944.17665261938</v>
      </c>
      <c r="AU570" s="216">
        <v>192250.43330529585</v>
      </c>
      <c r="AV570" s="216">
        <v>4726.3123512265111</v>
      </c>
      <c r="AW570" s="216"/>
      <c r="AX570" s="216"/>
      <c r="AY570" s="216"/>
      <c r="AZ570" s="216"/>
      <c r="BA570" s="216"/>
      <c r="BB570" s="216"/>
      <c r="BC570" s="216"/>
      <c r="BD570" s="216"/>
      <c r="BE570" s="216"/>
      <c r="BF570" s="216"/>
      <c r="BG570" s="216"/>
      <c r="BH570" s="216"/>
      <c r="BI570" s="216"/>
      <c r="BJ570" s="216"/>
      <c r="BK570" s="216"/>
    </row>
    <row r="571" spans="1:63" s="80" customFormat="1" ht="12.75">
      <c r="A571" s="169"/>
      <c r="B571" s="307" t="str">
        <f>Servicio_internaColumna_título_total</f>
        <v>Total</v>
      </c>
      <c r="C571" s="313">
        <v>0</v>
      </c>
      <c r="D571" s="314"/>
      <c r="E571" s="314"/>
      <c r="F571" s="314"/>
      <c r="G571" s="314"/>
      <c r="H571" s="314"/>
      <c r="I571" s="314"/>
      <c r="J571" s="314"/>
      <c r="K571" s="314"/>
      <c r="L571" s="314"/>
      <c r="M571" s="314"/>
      <c r="N571" s="314"/>
      <c r="O571" s="314"/>
      <c r="P571" s="314"/>
      <c r="Q571" s="314"/>
      <c r="R571" s="314">
        <f>+R569+R570</f>
        <v>2796248.6874528211</v>
      </c>
      <c r="S571" s="315">
        <f t="shared" ref="S571:AV571" si="92">+S569+S570</f>
        <v>12605024.47462634</v>
      </c>
      <c r="T571" s="314">
        <f t="shared" si="92"/>
        <v>8018219.9991063196</v>
      </c>
      <c r="U571" s="314">
        <f t="shared" si="92"/>
        <v>14228631.765195228</v>
      </c>
      <c r="V571" s="314">
        <f t="shared" si="92"/>
        <v>9120884.4609047361</v>
      </c>
      <c r="W571" s="314">
        <f t="shared" si="92"/>
        <v>14848433.842884876</v>
      </c>
      <c r="X571" s="314">
        <f t="shared" si="92"/>
        <v>6142825.431581459</v>
      </c>
      <c r="Y571" s="314">
        <f t="shared" si="92"/>
        <v>9861606.3145565726</v>
      </c>
      <c r="Z571" s="314">
        <f t="shared" si="92"/>
        <v>14362383.598984586</v>
      </c>
      <c r="AA571" s="314">
        <f t="shared" si="92"/>
        <v>6793222.4359651618</v>
      </c>
      <c r="AB571" s="314">
        <f t="shared" si="92"/>
        <v>13561644.060688358</v>
      </c>
      <c r="AC571" s="314">
        <f t="shared" si="92"/>
        <v>8806719.8913074676</v>
      </c>
      <c r="AD571" s="314">
        <f t="shared" si="92"/>
        <v>5479191.2234246274</v>
      </c>
      <c r="AE571" s="314">
        <f t="shared" si="92"/>
        <v>4627999.2165834531</v>
      </c>
      <c r="AF571" s="314">
        <f t="shared" si="92"/>
        <v>4570138.8155641407</v>
      </c>
      <c r="AG571" s="314">
        <f t="shared" si="92"/>
        <v>4927643.5237790197</v>
      </c>
      <c r="AH571" s="314">
        <f t="shared" si="92"/>
        <v>4788226.1414513048</v>
      </c>
      <c r="AI571" s="314">
        <f t="shared" si="92"/>
        <v>3462729.7241554828</v>
      </c>
      <c r="AJ571" s="314">
        <f t="shared" si="92"/>
        <v>4184807.3026310466</v>
      </c>
      <c r="AK571" s="314">
        <f t="shared" si="92"/>
        <v>4051610.2946638162</v>
      </c>
      <c r="AL571" s="314">
        <f t="shared" si="92"/>
        <v>1871582.9839743113</v>
      </c>
      <c r="AM571" s="314">
        <f t="shared" si="92"/>
        <v>7005993.4941818248</v>
      </c>
      <c r="AN571" s="314">
        <f t="shared" si="92"/>
        <v>1303965.3976283728</v>
      </c>
      <c r="AO571" s="314">
        <f t="shared" si="92"/>
        <v>1301991.406118934</v>
      </c>
      <c r="AP571" s="314">
        <f t="shared" si="92"/>
        <v>1299968.884738747</v>
      </c>
      <c r="AQ571" s="314">
        <f t="shared" si="92"/>
        <v>8277256.1514512189</v>
      </c>
      <c r="AR571" s="314">
        <f t="shared" si="92"/>
        <v>854797.46167355962</v>
      </c>
      <c r="AS571" s="314">
        <f t="shared" si="92"/>
        <v>852697.62436280085</v>
      </c>
      <c r="AT571" s="314">
        <f t="shared" si="92"/>
        <v>7846929.8684044573</v>
      </c>
      <c r="AU571" s="314">
        <f t="shared" si="92"/>
        <v>7462236.1250571338</v>
      </c>
      <c r="AV571" s="314">
        <f t="shared" si="92"/>
        <v>74837.004103064624</v>
      </c>
      <c r="AW571" s="314"/>
      <c r="AX571" s="314"/>
      <c r="AY571" s="314"/>
      <c r="AZ571" s="314"/>
      <c r="BA571" s="314"/>
      <c r="BB571" s="314"/>
      <c r="BC571" s="314"/>
      <c r="BD571" s="314"/>
      <c r="BE571" s="314"/>
      <c r="BF571" s="314"/>
      <c r="BG571" s="314"/>
      <c r="BH571" s="314"/>
      <c r="BI571" s="314"/>
      <c r="BJ571" s="314"/>
      <c r="BK571" s="314"/>
    </row>
    <row r="572" spans="1:63">
      <c r="A572" s="167"/>
      <c r="B572" s="210" t="str">
        <f>Servicio_internaColumna_título_amortizaciones</f>
        <v>Amortizaciones</v>
      </c>
      <c r="C572" s="211"/>
      <c r="D572" s="212"/>
      <c r="E572" s="212"/>
      <c r="F572" s="212"/>
      <c r="G572" s="212"/>
      <c r="H572" s="212"/>
      <c r="I572" s="212"/>
      <c r="J572" s="212"/>
      <c r="K572" s="212"/>
      <c r="L572" s="212"/>
      <c r="M572" s="212"/>
      <c r="N572" s="212"/>
      <c r="O572" s="212"/>
      <c r="P572" s="212"/>
      <c r="Q572" s="212"/>
      <c r="R572" s="212">
        <v>2003890.921913936</v>
      </c>
      <c r="S572" s="267">
        <v>7029862.0877783122</v>
      </c>
      <c r="T572" s="212">
        <v>2483161.8197400798</v>
      </c>
      <c r="U572" s="212">
        <v>9709262.4432611875</v>
      </c>
      <c r="V572" s="212">
        <v>4671207.5518165817</v>
      </c>
      <c r="W572" s="212">
        <v>10703933.860399185</v>
      </c>
      <c r="X572" s="212">
        <v>2299485.2122216029</v>
      </c>
      <c r="Y572" s="212">
        <v>6198196.5212727943</v>
      </c>
      <c r="Z572" s="212">
        <v>11289677.574118692</v>
      </c>
      <c r="AA572" s="212">
        <v>3793593.349022253</v>
      </c>
      <c r="AB572" s="212">
        <v>10883943.728104258</v>
      </c>
      <c r="AC572" s="212">
        <v>6362120.2342283716</v>
      </c>
      <c r="AD572" s="212">
        <v>3338224.2885307358</v>
      </c>
      <c r="AE572" s="212">
        <v>2547874.3404336944</v>
      </c>
      <c r="AF572" s="212">
        <v>2554590.3325221571</v>
      </c>
      <c r="AG572" s="212">
        <v>3005417.1855836259</v>
      </c>
      <c r="AH572" s="212">
        <v>2956789.3675423702</v>
      </c>
      <c r="AI572" s="212">
        <v>1693099.4490194197</v>
      </c>
      <c r="AJ572" s="212">
        <v>2507087.9049285804</v>
      </c>
      <c r="AK572" s="212">
        <v>2408435.6716234158</v>
      </c>
      <c r="AL572" s="212">
        <v>249775.33068400685</v>
      </c>
      <c r="AM572" s="212">
        <v>5546575.6956294831</v>
      </c>
      <c r="AN572" s="212">
        <v>71573.943511423233</v>
      </c>
      <c r="AO572" s="212">
        <v>71573.943511423233</v>
      </c>
      <c r="AP572" s="212">
        <v>71573.943511423233</v>
      </c>
      <c r="AQ572" s="212">
        <v>7490723.9435114237</v>
      </c>
      <c r="AR572" s="212">
        <v>71573.943511423233</v>
      </c>
      <c r="AS572" s="212">
        <v>71573.943511423233</v>
      </c>
      <c r="AT572" s="212">
        <v>7489691.7198995901</v>
      </c>
      <c r="AU572" s="212">
        <v>7489691.7198995901</v>
      </c>
      <c r="AV572" s="212">
        <v>70541.719899589865</v>
      </c>
      <c r="AW572" s="212"/>
      <c r="AX572" s="212"/>
      <c r="AY572" s="212"/>
      <c r="AZ572" s="212"/>
      <c r="BA572" s="212"/>
      <c r="BB572" s="212"/>
      <c r="BC572" s="212"/>
      <c r="BD572" s="212"/>
      <c r="BE572" s="212"/>
      <c r="BF572" s="212"/>
      <c r="BG572" s="212"/>
      <c r="BH572" s="212"/>
      <c r="BI572" s="212"/>
      <c r="BJ572" s="212"/>
      <c r="BK572" s="212"/>
    </row>
    <row r="573" spans="1:63">
      <c r="A573" s="168">
        <v>42644</v>
      </c>
      <c r="B573" s="213" t="str">
        <f>Servicio_internaColumna_título_intereses</f>
        <v>Intereses</v>
      </c>
      <c r="C573" s="214"/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216">
        <v>672940.41337722831</v>
      </c>
      <c r="S573" s="268">
        <v>5907171.8440996204</v>
      </c>
      <c r="T573" s="216">
        <v>5768927.2442613281</v>
      </c>
      <c r="U573" s="216">
        <v>5113490.404233099</v>
      </c>
      <c r="V573" s="216">
        <v>4705767.6792478664</v>
      </c>
      <c r="W573" s="216">
        <v>4519359.7898131246</v>
      </c>
      <c r="X573" s="216">
        <v>4073938.9088113271</v>
      </c>
      <c r="Y573" s="216">
        <v>3996785.0181415146</v>
      </c>
      <c r="Z573" s="216">
        <v>3570228.6428957283</v>
      </c>
      <c r="AA573" s="216">
        <v>3272317.9416956455</v>
      </c>
      <c r="AB573" s="216">
        <v>3072611.9921596562</v>
      </c>
      <c r="AC573" s="216">
        <v>2712898.1836456098</v>
      </c>
      <c r="AD573" s="216">
        <v>2363347.311228524</v>
      </c>
      <c r="AE573" s="216">
        <v>2275880.7607208299</v>
      </c>
      <c r="AF573" s="216">
        <v>2219495.9095322271</v>
      </c>
      <c r="AG573" s="216">
        <v>2120364.2438676036</v>
      </c>
      <c r="AH573" s="216">
        <v>1998105.1015913701</v>
      </c>
      <c r="AI573" s="216">
        <v>1890221.3961612456</v>
      </c>
      <c r="AJ573" s="216">
        <v>1820830.8806470635</v>
      </c>
      <c r="AK573" s="216">
        <v>1719540.2779376844</v>
      </c>
      <c r="AL573" s="216">
        <v>1680341.2033567408</v>
      </c>
      <c r="AM573" s="216">
        <v>1673768.8051846642</v>
      </c>
      <c r="AN573" s="216">
        <v>1272912.0079877737</v>
      </c>
      <c r="AO573" s="216">
        <v>1270753.1797354817</v>
      </c>
      <c r="AP573" s="216">
        <v>1268543.2956591682</v>
      </c>
      <c r="AQ573" s="216">
        <v>1039022.4047506284</v>
      </c>
      <c r="AR573" s="216">
        <v>809498.97647627816</v>
      </c>
      <c r="AS573" s="216">
        <v>807159.0865805106</v>
      </c>
      <c r="AT573" s="216">
        <v>596102.51664818113</v>
      </c>
      <c r="AU573" s="216">
        <v>199484.29827164853</v>
      </c>
      <c r="AV573" s="216">
        <v>5505.810377994293</v>
      </c>
      <c r="AW573" s="216"/>
      <c r="AX573" s="216"/>
      <c r="AY573" s="216"/>
      <c r="AZ573" s="216"/>
      <c r="BA573" s="216"/>
      <c r="BB573" s="216"/>
      <c r="BC573" s="216"/>
      <c r="BD573" s="216"/>
      <c r="BE573" s="216"/>
      <c r="BF573" s="216"/>
      <c r="BG573" s="216"/>
      <c r="BH573" s="216"/>
      <c r="BI573" s="216"/>
      <c r="BJ573" s="216"/>
      <c r="BK573" s="216"/>
    </row>
    <row r="574" spans="1:63" s="80" customFormat="1" ht="12.75">
      <c r="A574" s="169"/>
      <c r="B574" s="307" t="str">
        <f>Servicio_internaColumna_título_total</f>
        <v>Total</v>
      </c>
      <c r="C574" s="313">
        <v>0</v>
      </c>
      <c r="D574" s="314"/>
      <c r="E574" s="314"/>
      <c r="F574" s="314"/>
      <c r="G574" s="314"/>
      <c r="H574" s="314"/>
      <c r="I574" s="314"/>
      <c r="J574" s="314"/>
      <c r="K574" s="314"/>
      <c r="L574" s="314"/>
      <c r="M574" s="314"/>
      <c r="N574" s="314"/>
      <c r="O574" s="314"/>
      <c r="P574" s="314"/>
      <c r="Q574" s="314"/>
      <c r="R574" s="314">
        <f>+R572+R573</f>
        <v>2676831.3352911645</v>
      </c>
      <c r="S574" s="315">
        <f t="shared" ref="S574:AV574" si="93">+S572+S573</f>
        <v>12937033.931877933</v>
      </c>
      <c r="T574" s="314">
        <f t="shared" si="93"/>
        <v>8252089.0640014075</v>
      </c>
      <c r="U574" s="314">
        <f t="shared" si="93"/>
        <v>14822752.847494286</v>
      </c>
      <c r="V574" s="314">
        <f t="shared" si="93"/>
        <v>9376975.2310644481</v>
      </c>
      <c r="W574" s="314">
        <f t="shared" si="93"/>
        <v>15223293.65021231</v>
      </c>
      <c r="X574" s="314">
        <f t="shared" si="93"/>
        <v>6373424.12103293</v>
      </c>
      <c r="Y574" s="314">
        <f t="shared" si="93"/>
        <v>10194981.539414309</v>
      </c>
      <c r="Z574" s="314">
        <f t="shared" si="93"/>
        <v>14859906.217014421</v>
      </c>
      <c r="AA574" s="314">
        <f t="shared" si="93"/>
        <v>7065911.2907178979</v>
      </c>
      <c r="AB574" s="314">
        <f t="shared" si="93"/>
        <v>13956555.720263913</v>
      </c>
      <c r="AC574" s="314">
        <f t="shared" si="93"/>
        <v>9075018.4178739823</v>
      </c>
      <c r="AD574" s="314">
        <f t="shared" si="93"/>
        <v>5701571.5997592602</v>
      </c>
      <c r="AE574" s="314">
        <f t="shared" si="93"/>
        <v>4823755.1011545248</v>
      </c>
      <c r="AF574" s="314">
        <f t="shared" si="93"/>
        <v>4774086.2420543842</v>
      </c>
      <c r="AG574" s="314">
        <f t="shared" si="93"/>
        <v>5125781.4294512291</v>
      </c>
      <c r="AH574" s="314">
        <f t="shared" si="93"/>
        <v>4954894.4691337403</v>
      </c>
      <c r="AI574" s="314">
        <f t="shared" si="93"/>
        <v>3583320.8451806651</v>
      </c>
      <c r="AJ574" s="314">
        <f t="shared" si="93"/>
        <v>4327918.7855756441</v>
      </c>
      <c r="AK574" s="314">
        <f t="shared" si="93"/>
        <v>4127975.9495611005</v>
      </c>
      <c r="AL574" s="314">
        <f t="shared" si="93"/>
        <v>1930116.5340407477</v>
      </c>
      <c r="AM574" s="314">
        <f t="shared" si="93"/>
        <v>7220344.5008141473</v>
      </c>
      <c r="AN574" s="314">
        <f t="shared" si="93"/>
        <v>1344485.9514991969</v>
      </c>
      <c r="AO574" s="314">
        <f t="shared" si="93"/>
        <v>1342327.1232469049</v>
      </c>
      <c r="AP574" s="314">
        <f t="shared" si="93"/>
        <v>1340117.2391705913</v>
      </c>
      <c r="AQ574" s="314">
        <f t="shared" si="93"/>
        <v>8529746.348262053</v>
      </c>
      <c r="AR574" s="314">
        <f t="shared" si="93"/>
        <v>881072.91998770135</v>
      </c>
      <c r="AS574" s="314">
        <f t="shared" si="93"/>
        <v>878733.03009193379</v>
      </c>
      <c r="AT574" s="314">
        <f t="shared" si="93"/>
        <v>8085794.2365477709</v>
      </c>
      <c r="AU574" s="314">
        <f t="shared" si="93"/>
        <v>7689176.0181712387</v>
      </c>
      <c r="AV574" s="314">
        <f t="shared" si="93"/>
        <v>76047.530277584156</v>
      </c>
      <c r="AW574" s="314"/>
      <c r="AX574" s="314"/>
      <c r="AY574" s="314"/>
      <c r="AZ574" s="314"/>
      <c r="BA574" s="314"/>
      <c r="BB574" s="314"/>
      <c r="BC574" s="314"/>
      <c r="BD574" s="314"/>
      <c r="BE574" s="314"/>
      <c r="BF574" s="314"/>
      <c r="BG574" s="314"/>
      <c r="BH574" s="314"/>
      <c r="BI574" s="314"/>
      <c r="BJ574" s="314"/>
      <c r="BK574" s="314"/>
    </row>
    <row r="575" spans="1:63">
      <c r="A575" s="167"/>
      <c r="B575" s="210" t="str">
        <f>Servicio_internaColumna_título_amortizaciones</f>
        <v>Amortizaciones</v>
      </c>
      <c r="C575" s="211"/>
      <c r="D575" s="212"/>
      <c r="E575" s="212"/>
      <c r="F575" s="212"/>
      <c r="G575" s="212"/>
      <c r="H575" s="212"/>
      <c r="I575" s="212"/>
      <c r="J575" s="212"/>
      <c r="K575" s="212"/>
      <c r="L575" s="212"/>
      <c r="M575" s="212"/>
      <c r="N575" s="212"/>
      <c r="O575" s="212"/>
      <c r="P575" s="212"/>
      <c r="Q575" s="212"/>
      <c r="R575" s="212">
        <v>2029622.5164845665</v>
      </c>
      <c r="S575" s="267">
        <v>7433957.5732538113</v>
      </c>
      <c r="T575" s="212">
        <v>2604919.8922163425</v>
      </c>
      <c r="U575" s="212">
        <v>10288450.026218159</v>
      </c>
      <c r="V575" s="212">
        <v>5032640.8585845185</v>
      </c>
      <c r="W575" s="212">
        <v>11301916.123957125</v>
      </c>
      <c r="X575" s="212">
        <v>2586909.814180728</v>
      </c>
      <c r="Y575" s="212">
        <v>6683328.9565632176</v>
      </c>
      <c r="Z575" s="212">
        <v>12185207.747831782</v>
      </c>
      <c r="AA575" s="212">
        <v>4190430.3070162949</v>
      </c>
      <c r="AB575" s="212">
        <v>11601327.431028901</v>
      </c>
      <c r="AC575" s="212">
        <v>6801955.4560326682</v>
      </c>
      <c r="AD575" s="212">
        <v>3704920.8151870091</v>
      </c>
      <c r="AE575" s="212">
        <v>2838416.2355801836</v>
      </c>
      <c r="AF575" s="212">
        <v>2843948.7498651552</v>
      </c>
      <c r="AG575" s="212">
        <v>3328122.6945221308</v>
      </c>
      <c r="AH575" s="212">
        <v>3238697.1668766756</v>
      </c>
      <c r="AI575" s="212">
        <v>1890961.5868897168</v>
      </c>
      <c r="AJ575" s="212">
        <v>2756189.7959795278</v>
      </c>
      <c r="AK575" s="212">
        <v>2579523.9320749925</v>
      </c>
      <c r="AL575" s="212">
        <v>348704.6205835056</v>
      </c>
      <c r="AM575" s="212">
        <v>5913486.4302158859</v>
      </c>
      <c r="AN575" s="212">
        <v>74004.288874689853</v>
      </c>
      <c r="AO575" s="212">
        <v>74004.288874689853</v>
      </c>
      <c r="AP575" s="212">
        <v>74004.288874689853</v>
      </c>
      <c r="AQ575" s="212">
        <v>7986729.2888746904</v>
      </c>
      <c r="AR575" s="212">
        <v>74004.288874689853</v>
      </c>
      <c r="AS575" s="212">
        <v>74004.288874689853</v>
      </c>
      <c r="AT575" s="212">
        <v>7985628.3943545707</v>
      </c>
      <c r="AU575" s="212">
        <v>7985628.3943545707</v>
      </c>
      <c r="AV575" s="212">
        <v>72903.39435457041</v>
      </c>
      <c r="AW575" s="212"/>
      <c r="AX575" s="212"/>
      <c r="AY575" s="212"/>
      <c r="AZ575" s="212"/>
      <c r="BA575" s="212"/>
      <c r="BB575" s="212"/>
      <c r="BC575" s="212"/>
      <c r="BD575" s="212"/>
      <c r="BE575" s="212"/>
      <c r="BF575" s="212"/>
      <c r="BG575" s="212"/>
      <c r="BH575" s="212"/>
      <c r="BI575" s="212"/>
      <c r="BJ575" s="212"/>
      <c r="BK575" s="212"/>
    </row>
    <row r="576" spans="1:63">
      <c r="A576" s="168">
        <v>42675</v>
      </c>
      <c r="B576" s="213" t="str">
        <f>Servicio_internaColumna_título_intereses</f>
        <v>Intereses</v>
      </c>
      <c r="C576" s="214"/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5"/>
      <c r="P576" s="215"/>
      <c r="Q576" s="215"/>
      <c r="R576" s="216">
        <v>359658.12912211788</v>
      </c>
      <c r="S576" s="268">
        <v>6298686.9470072808</v>
      </c>
      <c r="T576" s="216">
        <v>6225045.2781674834</v>
      </c>
      <c r="U576" s="216">
        <v>5441927.3338420196</v>
      </c>
      <c r="V576" s="216">
        <v>5192814.8646441437</v>
      </c>
      <c r="W576" s="216">
        <v>5039449.5855929842</v>
      </c>
      <c r="X576" s="216">
        <v>4620594.885365827</v>
      </c>
      <c r="Y576" s="216">
        <v>4575549.2987360628</v>
      </c>
      <c r="Z576" s="216">
        <v>4033163.369486433</v>
      </c>
      <c r="AA576" s="216">
        <v>3699902.6507221432</v>
      </c>
      <c r="AB576" s="216">
        <v>3470756.8608403616</v>
      </c>
      <c r="AC576" s="216">
        <v>3051091.6080658976</v>
      </c>
      <c r="AD576" s="216">
        <v>2654721.3914236492</v>
      </c>
      <c r="AE576" s="216">
        <v>2542621.7830240442</v>
      </c>
      <c r="AF576" s="216">
        <v>2469121.7969055795</v>
      </c>
      <c r="AG576" s="216">
        <v>2343702.0702921529</v>
      </c>
      <c r="AH576" s="216">
        <v>2186742.2695827582</v>
      </c>
      <c r="AI576" s="216">
        <v>2057822.6568403398</v>
      </c>
      <c r="AJ576" s="216">
        <v>1978499.8423488745</v>
      </c>
      <c r="AK576" s="216">
        <v>1849854.8209550122</v>
      </c>
      <c r="AL576" s="216">
        <v>1799266.4723842801</v>
      </c>
      <c r="AM576" s="216">
        <v>1788803.6221292664</v>
      </c>
      <c r="AN576" s="216">
        <v>1360857.8641432938</v>
      </c>
      <c r="AO576" s="216">
        <v>1358264.8856334041</v>
      </c>
      <c r="AP576" s="216">
        <v>1355635.9171745712</v>
      </c>
      <c r="AQ576" s="216">
        <v>1110555.8133059293</v>
      </c>
      <c r="AR576" s="216">
        <v>865488.02302997361</v>
      </c>
      <c r="AS576" s="216">
        <v>862720.89675525599</v>
      </c>
      <c r="AT576" s="216">
        <v>637365.31996428617</v>
      </c>
      <c r="AU576" s="216">
        <v>214092.59539372957</v>
      </c>
      <c r="AV576" s="216">
        <v>6697.3757657399146</v>
      </c>
      <c r="AW576" s="216"/>
      <c r="AX576" s="216"/>
      <c r="AY576" s="216"/>
      <c r="AZ576" s="216"/>
      <c r="BA576" s="216"/>
      <c r="BB576" s="216"/>
      <c r="BC576" s="216"/>
      <c r="BD576" s="216"/>
      <c r="BE576" s="216"/>
      <c r="BF576" s="216"/>
      <c r="BG576" s="216"/>
      <c r="BH576" s="216"/>
      <c r="BI576" s="216"/>
      <c r="BJ576" s="216"/>
      <c r="BK576" s="216"/>
    </row>
    <row r="577" spans="1:63" s="80" customFormat="1" ht="12.75">
      <c r="A577" s="169"/>
      <c r="B577" s="307" t="str">
        <f>Servicio_internaColumna_título_total</f>
        <v>Total</v>
      </c>
      <c r="C577" s="313">
        <v>0</v>
      </c>
      <c r="D577" s="314"/>
      <c r="E577" s="314"/>
      <c r="F577" s="314"/>
      <c r="G577" s="314"/>
      <c r="H577" s="314"/>
      <c r="I577" s="314"/>
      <c r="J577" s="314"/>
      <c r="K577" s="314"/>
      <c r="L577" s="314"/>
      <c r="M577" s="314"/>
      <c r="N577" s="314"/>
      <c r="O577" s="314"/>
      <c r="P577" s="314"/>
      <c r="Q577" s="314"/>
      <c r="R577" s="314">
        <f>+R575+R576</f>
        <v>2389280.6456066845</v>
      </c>
      <c r="S577" s="315">
        <f t="shared" ref="S577:AV577" si="94">+S575+S576</f>
        <v>13732644.520261092</v>
      </c>
      <c r="T577" s="314">
        <f t="shared" si="94"/>
        <v>8829965.1703838259</v>
      </c>
      <c r="U577" s="314">
        <f t="shared" si="94"/>
        <v>15730377.360060178</v>
      </c>
      <c r="V577" s="314">
        <f t="shared" si="94"/>
        <v>10225455.723228663</v>
      </c>
      <c r="W577" s="314">
        <f t="shared" si="94"/>
        <v>16341365.709550109</v>
      </c>
      <c r="X577" s="314">
        <f t="shared" si="94"/>
        <v>7207504.6995465551</v>
      </c>
      <c r="Y577" s="314">
        <f t="shared" si="94"/>
        <v>11258878.255299281</v>
      </c>
      <c r="Z577" s="314">
        <f t="shared" si="94"/>
        <v>16218371.117318215</v>
      </c>
      <c r="AA577" s="314">
        <f t="shared" si="94"/>
        <v>7890332.9577384386</v>
      </c>
      <c r="AB577" s="314">
        <f t="shared" si="94"/>
        <v>15072084.291869262</v>
      </c>
      <c r="AC577" s="314">
        <f t="shared" si="94"/>
        <v>9853047.0640985668</v>
      </c>
      <c r="AD577" s="314">
        <f t="shared" si="94"/>
        <v>6359642.2066106582</v>
      </c>
      <c r="AE577" s="314">
        <f t="shared" si="94"/>
        <v>5381038.0186042283</v>
      </c>
      <c r="AF577" s="314">
        <f t="shared" si="94"/>
        <v>5313070.5467707347</v>
      </c>
      <c r="AG577" s="314">
        <f t="shared" si="94"/>
        <v>5671824.7648142837</v>
      </c>
      <c r="AH577" s="314">
        <f t="shared" si="94"/>
        <v>5425439.4364594333</v>
      </c>
      <c r="AI577" s="314">
        <f t="shared" si="94"/>
        <v>3948784.2437300566</v>
      </c>
      <c r="AJ577" s="314">
        <f t="shared" si="94"/>
        <v>4734689.6383284023</v>
      </c>
      <c r="AK577" s="314">
        <f t="shared" si="94"/>
        <v>4429378.7530300049</v>
      </c>
      <c r="AL577" s="314">
        <f t="shared" si="94"/>
        <v>2147971.0929677859</v>
      </c>
      <c r="AM577" s="314">
        <f t="shared" si="94"/>
        <v>7702290.052345152</v>
      </c>
      <c r="AN577" s="314">
        <f t="shared" si="94"/>
        <v>1434862.1530179838</v>
      </c>
      <c r="AO577" s="314">
        <f t="shared" si="94"/>
        <v>1432269.1745080941</v>
      </c>
      <c r="AP577" s="314">
        <f t="shared" si="94"/>
        <v>1429640.2060492611</v>
      </c>
      <c r="AQ577" s="314">
        <f t="shared" si="94"/>
        <v>9097285.1021806188</v>
      </c>
      <c r="AR577" s="314">
        <f t="shared" si="94"/>
        <v>939492.31190466345</v>
      </c>
      <c r="AS577" s="314">
        <f t="shared" si="94"/>
        <v>936725.18562994583</v>
      </c>
      <c r="AT577" s="314">
        <f t="shared" si="94"/>
        <v>8622993.7143188566</v>
      </c>
      <c r="AU577" s="314">
        <f t="shared" si="94"/>
        <v>8199720.9897483001</v>
      </c>
      <c r="AV577" s="314">
        <f t="shared" si="94"/>
        <v>79600.770120310321</v>
      </c>
      <c r="AW577" s="314"/>
      <c r="AX577" s="314"/>
      <c r="AY577" s="314"/>
      <c r="AZ577" s="314"/>
      <c r="BA577" s="314"/>
      <c r="BB577" s="314"/>
      <c r="BC577" s="314"/>
      <c r="BD577" s="314"/>
      <c r="BE577" s="314"/>
      <c r="BF577" s="314"/>
      <c r="BG577" s="314"/>
      <c r="BH577" s="314"/>
      <c r="BI577" s="314"/>
      <c r="BJ577" s="314"/>
      <c r="BK577" s="314"/>
    </row>
    <row r="578" spans="1:63">
      <c r="A578" s="167"/>
      <c r="B578" s="210" t="str">
        <f>Servicio_internaColumna_título_amortizaciones</f>
        <v>Amortizaciones</v>
      </c>
      <c r="C578" s="211"/>
      <c r="D578" s="212"/>
      <c r="E578" s="212"/>
      <c r="F578" s="212"/>
      <c r="G578" s="212"/>
      <c r="H578" s="212"/>
      <c r="I578" s="212"/>
      <c r="J578" s="212"/>
      <c r="K578" s="212"/>
      <c r="L578" s="212"/>
      <c r="M578" s="212"/>
      <c r="N578" s="212"/>
      <c r="O578" s="212"/>
      <c r="P578" s="212"/>
      <c r="Q578" s="212"/>
      <c r="R578" s="212"/>
      <c r="S578" s="267">
        <v>7433769.7175958883</v>
      </c>
      <c r="T578" s="212">
        <v>2742702.8222399144</v>
      </c>
      <c r="U578" s="212">
        <v>9976498.2111029737</v>
      </c>
      <c r="V578" s="212">
        <v>4975939.2213661503</v>
      </c>
      <c r="W578" s="212">
        <v>11015244.892935848</v>
      </c>
      <c r="X578" s="212">
        <v>2624557.2731243619</v>
      </c>
      <c r="Y578" s="212">
        <v>6542464.9835644225</v>
      </c>
      <c r="Z578" s="212">
        <v>11691211.898539785</v>
      </c>
      <c r="AA578" s="212">
        <v>4101015.1815229342</v>
      </c>
      <c r="AB578" s="212">
        <v>11099776.160438985</v>
      </c>
      <c r="AC578" s="212">
        <v>6671882.9086472662</v>
      </c>
      <c r="AD578" s="212">
        <v>4847622.3752414696</v>
      </c>
      <c r="AE578" s="212">
        <v>2787441.5991701758</v>
      </c>
      <c r="AF578" s="212">
        <v>2777583.9753219737</v>
      </c>
      <c r="AG578" s="212">
        <v>3234590.0477967397</v>
      </c>
      <c r="AH578" s="212">
        <v>3082867.8725923137</v>
      </c>
      <c r="AI578" s="212">
        <v>1804919.7911183997</v>
      </c>
      <c r="AJ578" s="212">
        <v>2614395.8939696671</v>
      </c>
      <c r="AK578" s="212">
        <v>2435423.9137603207</v>
      </c>
      <c r="AL578" s="212">
        <v>2598458.6021531206</v>
      </c>
      <c r="AM578" s="212">
        <v>5606179.9434792809</v>
      </c>
      <c r="AN578" s="212">
        <v>69786.242925220853</v>
      </c>
      <c r="AO578" s="212">
        <v>69786.242925220853</v>
      </c>
      <c r="AP578" s="212">
        <v>69786.242925220853</v>
      </c>
      <c r="AQ578" s="212">
        <v>7571561.2429252211</v>
      </c>
      <c r="AR578" s="212">
        <v>69786.242925220853</v>
      </c>
      <c r="AS578" s="212">
        <v>69786.242925220853</v>
      </c>
      <c r="AT578" s="212">
        <v>7570517.5237275148</v>
      </c>
      <c r="AU578" s="212">
        <v>7570517.5237275148</v>
      </c>
      <c r="AV578" s="212">
        <v>68742.523727514752</v>
      </c>
      <c r="AW578" s="212">
        <v>68742.523727514752</v>
      </c>
      <c r="AX578" s="212"/>
      <c r="AY578" s="212"/>
      <c r="AZ578" s="212"/>
      <c r="BA578" s="212"/>
      <c r="BB578" s="212"/>
      <c r="BC578" s="212"/>
      <c r="BD578" s="212"/>
      <c r="BE578" s="212"/>
      <c r="BF578" s="212"/>
      <c r="BG578" s="212"/>
      <c r="BH578" s="212"/>
      <c r="BI578" s="212"/>
      <c r="BJ578" s="212"/>
      <c r="BK578" s="212"/>
    </row>
    <row r="579" spans="1:63">
      <c r="A579" s="168">
        <v>42705</v>
      </c>
      <c r="B579" s="213" t="str">
        <f>Servicio_internaColumna_título_intereses</f>
        <v>Intereses</v>
      </c>
      <c r="C579" s="214"/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5"/>
      <c r="P579" s="215"/>
      <c r="Q579" s="215"/>
      <c r="R579" s="216"/>
      <c r="S579" s="268">
        <v>6085706.2002791855</v>
      </c>
      <c r="T579" s="216">
        <v>6074011.5705133406</v>
      </c>
      <c r="U579" s="216">
        <v>5433829.695776457</v>
      </c>
      <c r="V579" s="216">
        <v>5120880.3069045302</v>
      </c>
      <c r="W579" s="216">
        <v>5007335.8873315398</v>
      </c>
      <c r="X579" s="216">
        <v>4593796.6325486051</v>
      </c>
      <c r="Y579" s="216">
        <v>4565659.1249195309</v>
      </c>
      <c r="Z579" s="216">
        <v>4040738.3724200474</v>
      </c>
      <c r="AA579" s="216">
        <v>3707533.6453281655</v>
      </c>
      <c r="AB579" s="216">
        <v>3489510.7778094504</v>
      </c>
      <c r="AC579" s="216">
        <v>3090166.9267741302</v>
      </c>
      <c r="AD579" s="216">
        <v>2692782.6375356</v>
      </c>
      <c r="AE579" s="216">
        <v>2533697.5685674506</v>
      </c>
      <c r="AF579" s="216">
        <v>2462344.0171559239</v>
      </c>
      <c r="AG579" s="216">
        <v>2340833.8194715567</v>
      </c>
      <c r="AH579" s="216">
        <v>2184611.2750964751</v>
      </c>
      <c r="AI579" s="216">
        <v>2054701.1897236598</v>
      </c>
      <c r="AJ579" s="216">
        <v>1979327.922669047</v>
      </c>
      <c r="AK579" s="216">
        <v>1852932.203340919</v>
      </c>
      <c r="AL579" s="216">
        <v>1803919.3767087164</v>
      </c>
      <c r="AM579" s="216">
        <v>1697118.1054312643</v>
      </c>
      <c r="AN579" s="216">
        <v>1291269.3766671079</v>
      </c>
      <c r="AO579" s="216">
        <v>1288708.2121066863</v>
      </c>
      <c r="AP579" s="216">
        <v>1286138.3108899607</v>
      </c>
      <c r="AQ579" s="216">
        <v>1053683.528925749</v>
      </c>
      <c r="AR579" s="216">
        <v>821251.76781416975</v>
      </c>
      <c r="AS579" s="216">
        <v>818533.4749354024</v>
      </c>
      <c r="AT579" s="216">
        <v>604803.96428103896</v>
      </c>
      <c r="AU579" s="216">
        <v>203419.9455168829</v>
      </c>
      <c r="AV579" s="216">
        <v>4331.2948365536513</v>
      </c>
      <c r="AW579" s="216">
        <v>10013.840784185217</v>
      </c>
      <c r="AX579" s="216"/>
      <c r="AY579" s="216"/>
      <c r="AZ579" s="216"/>
      <c r="BA579" s="216"/>
      <c r="BB579" s="216"/>
      <c r="BC579" s="216"/>
      <c r="BD579" s="216"/>
      <c r="BE579" s="216"/>
      <c r="BF579" s="216"/>
      <c r="BG579" s="216"/>
      <c r="BH579" s="216"/>
      <c r="BI579" s="216"/>
      <c r="BJ579" s="216"/>
      <c r="BK579" s="216"/>
    </row>
    <row r="580" spans="1:63" s="80" customFormat="1" ht="12.75">
      <c r="A580" s="169"/>
      <c r="B580" s="307" t="str">
        <f>Servicio_internaColumna_título_total</f>
        <v>Total</v>
      </c>
      <c r="C580" s="313">
        <v>0</v>
      </c>
      <c r="D580" s="314"/>
      <c r="E580" s="314"/>
      <c r="F580" s="314"/>
      <c r="G580" s="314"/>
      <c r="H580" s="314"/>
      <c r="I580" s="314"/>
      <c r="J580" s="314"/>
      <c r="K580" s="314"/>
      <c r="L580" s="314"/>
      <c r="M580" s="314"/>
      <c r="N580" s="314"/>
      <c r="O580" s="314"/>
      <c r="P580" s="314"/>
      <c r="Q580" s="314"/>
      <c r="R580" s="314"/>
      <c r="S580" s="315">
        <f t="shared" ref="S580:AV580" si="95">+S578+S579</f>
        <v>13519475.917875074</v>
      </c>
      <c r="T580" s="314">
        <f t="shared" si="95"/>
        <v>8816714.3927532546</v>
      </c>
      <c r="U580" s="314">
        <f t="shared" si="95"/>
        <v>15410327.906879431</v>
      </c>
      <c r="V580" s="314">
        <f t="shared" si="95"/>
        <v>10096819.52827068</v>
      </c>
      <c r="W580" s="314">
        <f t="shared" si="95"/>
        <v>16022580.780267388</v>
      </c>
      <c r="X580" s="314">
        <f t="shared" si="95"/>
        <v>7218353.9056729674</v>
      </c>
      <c r="Y580" s="314">
        <f t="shared" si="95"/>
        <v>11108124.108483953</v>
      </c>
      <c r="Z580" s="314">
        <f t="shared" si="95"/>
        <v>15731950.270959832</v>
      </c>
      <c r="AA580" s="314">
        <f t="shared" si="95"/>
        <v>7808548.8268510997</v>
      </c>
      <c r="AB580" s="314">
        <f t="shared" si="95"/>
        <v>14589286.938248435</v>
      </c>
      <c r="AC580" s="314">
        <f t="shared" si="95"/>
        <v>9762049.8354213964</v>
      </c>
      <c r="AD580" s="314">
        <f t="shared" si="95"/>
        <v>7540405.0127770696</v>
      </c>
      <c r="AE580" s="314">
        <f t="shared" si="95"/>
        <v>5321139.1677376265</v>
      </c>
      <c r="AF580" s="314">
        <f t="shared" si="95"/>
        <v>5239927.9924778976</v>
      </c>
      <c r="AG580" s="314">
        <f t="shared" si="95"/>
        <v>5575423.867268296</v>
      </c>
      <c r="AH580" s="314">
        <f t="shared" si="95"/>
        <v>5267479.1476887893</v>
      </c>
      <c r="AI580" s="314">
        <f t="shared" si="95"/>
        <v>3859620.9808420595</v>
      </c>
      <c r="AJ580" s="314">
        <f t="shared" si="95"/>
        <v>4593723.8166387137</v>
      </c>
      <c r="AK580" s="314">
        <f t="shared" si="95"/>
        <v>4288356.11710124</v>
      </c>
      <c r="AL580" s="314">
        <f t="shared" si="95"/>
        <v>4402377.9788618367</v>
      </c>
      <c r="AM580" s="314">
        <f t="shared" si="95"/>
        <v>7303298.0489105452</v>
      </c>
      <c r="AN580" s="314">
        <f t="shared" si="95"/>
        <v>1361055.6195923288</v>
      </c>
      <c r="AO580" s="314">
        <f t="shared" si="95"/>
        <v>1358494.4550319072</v>
      </c>
      <c r="AP580" s="314">
        <f t="shared" si="95"/>
        <v>1355924.5538151816</v>
      </c>
      <c r="AQ580" s="314">
        <f t="shared" si="95"/>
        <v>8625244.7718509696</v>
      </c>
      <c r="AR580" s="314">
        <f t="shared" si="95"/>
        <v>891038.01073939062</v>
      </c>
      <c r="AS580" s="314">
        <f t="shared" si="95"/>
        <v>888319.71786062326</v>
      </c>
      <c r="AT580" s="314">
        <f t="shared" si="95"/>
        <v>8175321.4880085541</v>
      </c>
      <c r="AU580" s="314">
        <f t="shared" si="95"/>
        <v>7773937.4692443972</v>
      </c>
      <c r="AV580" s="314">
        <f t="shared" si="95"/>
        <v>73073.81856406841</v>
      </c>
      <c r="AW580" s="314">
        <f>+AW578+AW579</f>
        <v>78756.364511699969</v>
      </c>
      <c r="AX580" s="314"/>
      <c r="AY580" s="314"/>
      <c r="AZ580" s="314"/>
      <c r="BA580" s="314"/>
      <c r="BB580" s="314"/>
      <c r="BC580" s="314"/>
      <c r="BD580" s="314"/>
      <c r="BE580" s="314"/>
      <c r="BF580" s="314"/>
      <c r="BG580" s="314"/>
      <c r="BH580" s="314"/>
      <c r="BI580" s="314"/>
      <c r="BJ580" s="314"/>
      <c r="BK580" s="314"/>
    </row>
    <row r="581" spans="1:63">
      <c r="A581" s="167"/>
      <c r="B581" s="210" t="str">
        <f>Servicio_internaColumna_título_amortizaciones</f>
        <v>Amortizaciones</v>
      </c>
      <c r="C581" s="211"/>
      <c r="D581" s="212"/>
      <c r="E581" s="212"/>
      <c r="F581" s="212"/>
      <c r="G581" s="212"/>
      <c r="H581" s="212"/>
      <c r="I581" s="212"/>
      <c r="J581" s="212"/>
      <c r="K581" s="212"/>
      <c r="L581" s="212"/>
      <c r="M581" s="212"/>
      <c r="N581" s="212"/>
      <c r="O581" s="212"/>
      <c r="P581" s="212"/>
      <c r="Q581" s="212"/>
      <c r="R581" s="212"/>
      <c r="S581" s="267">
        <v>2436211.6327816979</v>
      </c>
      <c r="T581" s="212">
        <v>2691234.0422115717</v>
      </c>
      <c r="U581" s="212">
        <v>9862936.0544823073</v>
      </c>
      <c r="V581" s="212">
        <v>4929300.3286917433</v>
      </c>
      <c r="W581" s="212">
        <v>10893949.515107973</v>
      </c>
      <c r="X581" s="212">
        <v>2629688.9287267155</v>
      </c>
      <c r="Y581" s="212">
        <v>6485230.0540696802</v>
      </c>
      <c r="Z581" s="212">
        <v>11500844.322956568</v>
      </c>
      <c r="AA581" s="212">
        <v>4072659.9629235431</v>
      </c>
      <c r="AB581" s="212">
        <v>11024713.067015739</v>
      </c>
      <c r="AC581" s="212">
        <v>9566355.6139558461</v>
      </c>
      <c r="AD581" s="212">
        <v>4803295.1541255265</v>
      </c>
      <c r="AE581" s="212">
        <v>2787783.6741416901</v>
      </c>
      <c r="AF581" s="212">
        <v>2773518.5990070528</v>
      </c>
      <c r="AG581" s="212">
        <v>3219160.9496290083</v>
      </c>
      <c r="AH581" s="212">
        <v>3018696.8997350843</v>
      </c>
      <c r="AI581" s="212">
        <v>1768005.6737069257</v>
      </c>
      <c r="AJ581" s="212">
        <v>2560203.5509423814</v>
      </c>
      <c r="AK581" s="212">
        <v>2433554.8577326876</v>
      </c>
      <c r="AL581" s="212">
        <v>2599103.0672476925</v>
      </c>
      <c r="AM581" s="212">
        <v>5488126.1946868328</v>
      </c>
      <c r="AN581" s="212">
        <v>69879.203712081944</v>
      </c>
      <c r="AO581" s="212">
        <v>69879.203712081944</v>
      </c>
      <c r="AP581" s="212">
        <v>69879.203712081944</v>
      </c>
      <c r="AQ581" s="212">
        <v>7411529.2037120825</v>
      </c>
      <c r="AR581" s="212">
        <v>69879.203712081944</v>
      </c>
      <c r="AS581" s="212">
        <v>69879.203712081944</v>
      </c>
      <c r="AT581" s="212">
        <v>7410507.7626467561</v>
      </c>
      <c r="AU581" s="212">
        <v>11815497.762646755</v>
      </c>
      <c r="AV581" s="212">
        <v>68857.762646755524</v>
      </c>
      <c r="AW581" s="212">
        <v>68857.762646755524</v>
      </c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  <c r="BI581" s="212"/>
      <c r="BJ581" s="212"/>
      <c r="BK581" s="212"/>
    </row>
    <row r="582" spans="1:63">
      <c r="A582" s="168">
        <v>42736</v>
      </c>
      <c r="B582" s="213" t="str">
        <f>Servicio_internaColumna_título_intereses</f>
        <v>Intereses</v>
      </c>
      <c r="C582" s="214"/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5"/>
      <c r="P582" s="215"/>
      <c r="Q582" s="215"/>
      <c r="R582" s="216"/>
      <c r="S582" s="268">
        <v>5541213.1158276554</v>
      </c>
      <c r="T582" s="216">
        <v>6293441.8706797967</v>
      </c>
      <c r="U582" s="216">
        <v>5725663.2276417213</v>
      </c>
      <c r="V582" s="216">
        <v>5340638.5431861198</v>
      </c>
      <c r="W582" s="216">
        <v>5257435.1059130915</v>
      </c>
      <c r="X582" s="216">
        <v>4842095.4870421551</v>
      </c>
      <c r="Y582" s="216">
        <v>4819193.6805716483</v>
      </c>
      <c r="Z582" s="216">
        <v>4321676.2108291099</v>
      </c>
      <c r="AA582" s="216">
        <v>3979890.3696073596</v>
      </c>
      <c r="AB582" s="216">
        <v>3765076.2194632594</v>
      </c>
      <c r="AC582" s="216">
        <v>3318320.6531495783</v>
      </c>
      <c r="AD582" s="216">
        <v>2860582.2382211098</v>
      </c>
      <c r="AE582" s="216">
        <v>2707699.870723031</v>
      </c>
      <c r="AF582" s="216">
        <v>2635965.1749676322</v>
      </c>
      <c r="AG582" s="216">
        <v>2515013.6937796134</v>
      </c>
      <c r="AH582" s="216">
        <v>2365814.4635661729</v>
      </c>
      <c r="AI582" s="216">
        <v>2234282.9968776801</v>
      </c>
      <c r="AJ582" s="216">
        <v>2160866.5516446047</v>
      </c>
      <c r="AK582" s="216">
        <v>2036634.5140788434</v>
      </c>
      <c r="AL582" s="216">
        <v>1988380.4327096248</v>
      </c>
      <c r="AM582" s="216">
        <v>1881931.3356325778</v>
      </c>
      <c r="AN582" s="216">
        <v>1484703.3110470243</v>
      </c>
      <c r="AO582" s="216">
        <v>1482132.8647061742</v>
      </c>
      <c r="AP582" s="216">
        <v>1479579.2282746022</v>
      </c>
      <c r="AQ582" s="216">
        <v>1252018.9557437943</v>
      </c>
      <c r="AR582" s="216">
        <v>1024490.2978339343</v>
      </c>
      <c r="AS582" s="216">
        <v>1021765.7905221197</v>
      </c>
      <c r="AT582" s="216">
        <v>812550.27500878298</v>
      </c>
      <c r="AU582" s="216">
        <v>309541.92456664291</v>
      </c>
      <c r="AV582" s="216">
        <v>4526.6332442720523</v>
      </c>
      <c r="AW582" s="216">
        <v>10004.361453323012</v>
      </c>
      <c r="AX582" s="216"/>
      <c r="AY582" s="216"/>
      <c r="AZ582" s="216"/>
      <c r="BA582" s="216"/>
      <c r="BB582" s="216"/>
      <c r="BC582" s="216"/>
      <c r="BD582" s="216"/>
      <c r="BE582" s="216"/>
      <c r="BF582" s="216"/>
      <c r="BG582" s="216"/>
      <c r="BH582" s="216"/>
      <c r="BI582" s="216"/>
      <c r="BJ582" s="216"/>
      <c r="BK582" s="216"/>
    </row>
    <row r="583" spans="1:63" s="80" customFormat="1" ht="12.75">
      <c r="A583" s="169"/>
      <c r="B583" s="307" t="str">
        <f>Servicio_internaColumna_título_total</f>
        <v>Total</v>
      </c>
      <c r="C583" s="313">
        <v>0</v>
      </c>
      <c r="D583" s="314"/>
      <c r="E583" s="314"/>
      <c r="F583" s="314"/>
      <c r="G583" s="314"/>
      <c r="H583" s="314"/>
      <c r="I583" s="314"/>
      <c r="J583" s="314"/>
      <c r="K583" s="314"/>
      <c r="L583" s="314"/>
      <c r="M583" s="314"/>
      <c r="N583" s="314"/>
      <c r="O583" s="314"/>
      <c r="P583" s="314"/>
      <c r="Q583" s="314"/>
      <c r="R583" s="314"/>
      <c r="S583" s="315">
        <f>+S581+S582</f>
        <v>7977424.7486093529</v>
      </c>
      <c r="T583" s="314">
        <f t="shared" ref="T583:AV583" si="96">+T581+T582</f>
        <v>8984675.9128913693</v>
      </c>
      <c r="U583" s="314">
        <f t="shared" si="96"/>
        <v>15588599.282124028</v>
      </c>
      <c r="V583" s="314">
        <f t="shared" si="96"/>
        <v>10269938.871877864</v>
      </c>
      <c r="W583" s="314">
        <f t="shared" si="96"/>
        <v>16151384.621021064</v>
      </c>
      <c r="X583" s="314">
        <f t="shared" si="96"/>
        <v>7471784.4157688711</v>
      </c>
      <c r="Y583" s="314">
        <f t="shared" si="96"/>
        <v>11304423.734641328</v>
      </c>
      <c r="Z583" s="314">
        <f t="shared" si="96"/>
        <v>15822520.533785678</v>
      </c>
      <c r="AA583" s="314">
        <f t="shared" si="96"/>
        <v>8052550.3325309027</v>
      </c>
      <c r="AB583" s="314">
        <f t="shared" si="96"/>
        <v>14789789.286478998</v>
      </c>
      <c r="AC583" s="314">
        <f t="shared" si="96"/>
        <v>12884676.267105425</v>
      </c>
      <c r="AD583" s="314">
        <f t="shared" si="96"/>
        <v>7663877.3923466364</v>
      </c>
      <c r="AE583" s="314">
        <f t="shared" si="96"/>
        <v>5495483.5448647216</v>
      </c>
      <c r="AF583" s="314">
        <f t="shared" si="96"/>
        <v>5409483.773974685</v>
      </c>
      <c r="AG583" s="314">
        <f t="shared" si="96"/>
        <v>5734174.6434086217</v>
      </c>
      <c r="AH583" s="314">
        <f t="shared" si="96"/>
        <v>5384511.3633012567</v>
      </c>
      <c r="AI583" s="314">
        <f t="shared" si="96"/>
        <v>4002288.670584606</v>
      </c>
      <c r="AJ583" s="314">
        <f t="shared" si="96"/>
        <v>4721070.1025869865</v>
      </c>
      <c r="AK583" s="314">
        <f t="shared" si="96"/>
        <v>4470189.3718115315</v>
      </c>
      <c r="AL583" s="314">
        <f t="shared" si="96"/>
        <v>4587483.4999573175</v>
      </c>
      <c r="AM583" s="314">
        <f t="shared" si="96"/>
        <v>7370057.5303194104</v>
      </c>
      <c r="AN583" s="314">
        <f t="shared" si="96"/>
        <v>1554582.5147591063</v>
      </c>
      <c r="AO583" s="314">
        <f t="shared" si="96"/>
        <v>1552012.0684182562</v>
      </c>
      <c r="AP583" s="314">
        <f t="shared" si="96"/>
        <v>1549458.4319866842</v>
      </c>
      <c r="AQ583" s="314">
        <f t="shared" si="96"/>
        <v>8663548.1594558768</v>
      </c>
      <c r="AR583" s="314">
        <f t="shared" si="96"/>
        <v>1094369.5015460162</v>
      </c>
      <c r="AS583" s="314">
        <f t="shared" si="96"/>
        <v>1091644.9942342017</v>
      </c>
      <c r="AT583" s="314">
        <f t="shared" si="96"/>
        <v>8223058.0376555389</v>
      </c>
      <c r="AU583" s="314">
        <f t="shared" si="96"/>
        <v>12125039.687213399</v>
      </c>
      <c r="AV583" s="314">
        <f t="shared" si="96"/>
        <v>73384.395891027583</v>
      </c>
      <c r="AW583" s="314">
        <f>+AW581+AW582</f>
        <v>78862.124100078538</v>
      </c>
      <c r="AX583" s="314"/>
      <c r="AY583" s="314"/>
      <c r="AZ583" s="314"/>
      <c r="BA583" s="314"/>
      <c r="BB583" s="314"/>
      <c r="BC583" s="314"/>
      <c r="BD583" s="314"/>
      <c r="BE583" s="314"/>
      <c r="BF583" s="314"/>
      <c r="BG583" s="314"/>
      <c r="BH583" s="314"/>
      <c r="BI583" s="314"/>
      <c r="BJ583" s="314"/>
      <c r="BK583" s="314"/>
    </row>
    <row r="584" spans="1:63">
      <c r="A584" s="167"/>
      <c r="B584" s="210" t="str">
        <f>Servicio_internaColumna_título_amortizaciones</f>
        <v>Amortizaciones</v>
      </c>
      <c r="C584" s="211"/>
      <c r="D584" s="212"/>
      <c r="E584" s="212"/>
      <c r="F584" s="212"/>
      <c r="G584" s="212"/>
      <c r="H584" s="212"/>
      <c r="I584" s="212"/>
      <c r="J584" s="212"/>
      <c r="K584" s="212"/>
      <c r="L584" s="212"/>
      <c r="M584" s="212"/>
      <c r="N584" s="212"/>
      <c r="O584" s="212"/>
      <c r="P584" s="212"/>
      <c r="Q584" s="212"/>
      <c r="R584" s="212"/>
      <c r="S584" s="267">
        <v>2325385.657787737</v>
      </c>
      <c r="T584" s="212">
        <v>2599609.31303983</v>
      </c>
      <c r="U584" s="212">
        <v>9698228.7131720949</v>
      </c>
      <c r="V584" s="212">
        <v>4823834.2232729672</v>
      </c>
      <c r="W584" s="212">
        <v>10754270.976800792</v>
      </c>
      <c r="X584" s="212">
        <v>2569736.3909496744</v>
      </c>
      <c r="Y584" s="212">
        <v>6389738.8981279163</v>
      </c>
      <c r="Z584" s="212">
        <v>11329199.036606841</v>
      </c>
      <c r="AA584" s="212">
        <v>4008170.734234117</v>
      </c>
      <c r="AB584" s="212">
        <v>10816750.886315312</v>
      </c>
      <c r="AC584" s="212">
        <v>9454207.3639457487</v>
      </c>
      <c r="AD584" s="212">
        <v>4730187.46417973</v>
      </c>
      <c r="AE584" s="212">
        <v>2746068.2173100314</v>
      </c>
      <c r="AF584" s="212">
        <v>2731921.9867826356</v>
      </c>
      <c r="AG584" s="212">
        <v>3172670.1675764145</v>
      </c>
      <c r="AH584" s="212">
        <v>2975981.3009201577</v>
      </c>
      <c r="AI584" s="212">
        <v>1742502.8590625071</v>
      </c>
      <c r="AJ584" s="212">
        <v>2523805.068341325</v>
      </c>
      <c r="AK584" s="212">
        <v>2365468.4458634485</v>
      </c>
      <c r="AL584" s="212">
        <v>2524686.7110481788</v>
      </c>
      <c r="AM584" s="212">
        <v>5411540.9395165127</v>
      </c>
      <c r="AN584" s="212">
        <v>67827.367482688933</v>
      </c>
      <c r="AO584" s="212">
        <v>67827.367482688933</v>
      </c>
      <c r="AP584" s="212">
        <v>67827.367482688933</v>
      </c>
      <c r="AQ584" s="212">
        <v>7308502.3674826892</v>
      </c>
      <c r="AR584" s="212">
        <v>67827.367482688933</v>
      </c>
      <c r="AS584" s="212">
        <v>67827.367482688933</v>
      </c>
      <c r="AT584" s="212">
        <v>7307494.9750319887</v>
      </c>
      <c r="AU584" s="212">
        <v>11651899.975031989</v>
      </c>
      <c r="AV584" s="212">
        <v>66819.975031988841</v>
      </c>
      <c r="AW584" s="212">
        <v>66819.975031988841</v>
      </c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  <c r="BI584" s="212"/>
      <c r="BJ584" s="212"/>
      <c r="BK584" s="212"/>
    </row>
    <row r="585" spans="1:63">
      <c r="A585" s="168">
        <v>42767</v>
      </c>
      <c r="B585" s="213" t="str">
        <f>Servicio_internaColumna_título_intereses</f>
        <v>Intereses</v>
      </c>
      <c r="C585" s="214"/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5"/>
      <c r="P585" s="215"/>
      <c r="Q585" s="215"/>
      <c r="R585" s="216"/>
      <c r="S585" s="268">
        <v>4833947.4133332409</v>
      </c>
      <c r="T585" s="216">
        <v>6189799.3124913815</v>
      </c>
      <c r="U585" s="216">
        <v>5768917.6491940739</v>
      </c>
      <c r="V585" s="216">
        <v>5289567.1600870257</v>
      </c>
      <c r="W585" s="216">
        <v>5184120.7253984679</v>
      </c>
      <c r="X585" s="216">
        <v>4745269.0881911628</v>
      </c>
      <c r="Y585" s="216">
        <v>4710602.7613768773</v>
      </c>
      <c r="Z585" s="216">
        <v>4245298.6307716491</v>
      </c>
      <c r="AA585" s="216">
        <v>3897065.3078297735</v>
      </c>
      <c r="AB585" s="216">
        <v>3680577.6253544968</v>
      </c>
      <c r="AC585" s="216">
        <v>3261042.7842558403</v>
      </c>
      <c r="AD585" s="216">
        <v>2805216.6493770769</v>
      </c>
      <c r="AE585" s="216">
        <v>2655562.562646559</v>
      </c>
      <c r="AF585" s="216">
        <v>2584051.4082335522</v>
      </c>
      <c r="AG585" s="216">
        <v>2465671.2092554998</v>
      </c>
      <c r="AH585" s="216">
        <v>2329826.2779073436</v>
      </c>
      <c r="AI585" s="216">
        <v>2199076.6377359866</v>
      </c>
      <c r="AJ585" s="216">
        <v>2126674.0796635668</v>
      </c>
      <c r="AK585" s="216">
        <v>2005217.3918840899</v>
      </c>
      <c r="AL585" s="216">
        <v>1958029.4440983539</v>
      </c>
      <c r="AM585" s="216">
        <v>1855279.4202997123</v>
      </c>
      <c r="AN585" s="216">
        <v>1463547.6745135228</v>
      </c>
      <c r="AO585" s="216">
        <v>1461104.8205548311</v>
      </c>
      <c r="AP585" s="216">
        <v>1458559.3002169929</v>
      </c>
      <c r="AQ585" s="216">
        <v>1234222.815247244</v>
      </c>
      <c r="AR585" s="216">
        <v>1009879.1322877186</v>
      </c>
      <c r="AS585" s="216">
        <v>1007275.3614167626</v>
      </c>
      <c r="AT585" s="216">
        <v>800944.35559649579</v>
      </c>
      <c r="AU585" s="216">
        <v>304939.07244597492</v>
      </c>
      <c r="AV585" s="216">
        <v>4557.9645156652468</v>
      </c>
      <c r="AW585" s="216">
        <v>9698.3308341939228</v>
      </c>
      <c r="AX585" s="216"/>
      <c r="AY585" s="216"/>
      <c r="AZ585" s="216"/>
      <c r="BA585" s="216"/>
      <c r="BB585" s="216"/>
      <c r="BC585" s="216"/>
      <c r="BD585" s="216"/>
      <c r="BE585" s="216"/>
      <c r="BF585" s="216"/>
      <c r="BG585" s="216"/>
      <c r="BH585" s="216"/>
      <c r="BI585" s="216"/>
      <c r="BJ585" s="216"/>
      <c r="BK585" s="216"/>
    </row>
    <row r="586" spans="1:63" s="80" customFormat="1" ht="12.75">
      <c r="A586" s="169"/>
      <c r="B586" s="307" t="str">
        <f>Servicio_internaColumna_título_total</f>
        <v>Total</v>
      </c>
      <c r="C586" s="313">
        <v>0</v>
      </c>
      <c r="D586" s="314"/>
      <c r="E586" s="314"/>
      <c r="F586" s="314"/>
      <c r="G586" s="314"/>
      <c r="H586" s="314"/>
      <c r="I586" s="314"/>
      <c r="J586" s="314"/>
      <c r="K586" s="314"/>
      <c r="L586" s="314"/>
      <c r="M586" s="314"/>
      <c r="N586" s="314"/>
      <c r="O586" s="314"/>
      <c r="P586" s="314"/>
      <c r="Q586" s="314"/>
      <c r="R586" s="314"/>
      <c r="S586" s="315">
        <f>+S584+S585</f>
        <v>7159333.0711209774</v>
      </c>
      <c r="T586" s="314">
        <f t="shared" ref="T586:AV586" si="97">+T584+T585</f>
        <v>8789408.6255312115</v>
      </c>
      <c r="U586" s="314">
        <f t="shared" si="97"/>
        <v>15467146.36236617</v>
      </c>
      <c r="V586" s="314">
        <f t="shared" si="97"/>
        <v>10113401.383359993</v>
      </c>
      <c r="W586" s="314">
        <f t="shared" si="97"/>
        <v>15938391.70219926</v>
      </c>
      <c r="X586" s="314">
        <f t="shared" si="97"/>
        <v>7315005.4791408367</v>
      </c>
      <c r="Y586" s="314">
        <f t="shared" si="97"/>
        <v>11100341.659504794</v>
      </c>
      <c r="Z586" s="314">
        <f t="shared" si="97"/>
        <v>15574497.667378489</v>
      </c>
      <c r="AA586" s="314">
        <f t="shared" si="97"/>
        <v>7905236.04206389</v>
      </c>
      <c r="AB586" s="314">
        <f t="shared" si="97"/>
        <v>14497328.511669809</v>
      </c>
      <c r="AC586" s="314">
        <f t="shared" si="97"/>
        <v>12715250.148201589</v>
      </c>
      <c r="AD586" s="314">
        <f t="shared" si="97"/>
        <v>7535404.1135568069</v>
      </c>
      <c r="AE586" s="314">
        <f t="shared" si="97"/>
        <v>5401630.7799565904</v>
      </c>
      <c r="AF586" s="314">
        <f t="shared" si="97"/>
        <v>5315973.3950161878</v>
      </c>
      <c r="AG586" s="314">
        <f t="shared" si="97"/>
        <v>5638341.3768319143</v>
      </c>
      <c r="AH586" s="314">
        <f t="shared" si="97"/>
        <v>5305807.5788275013</v>
      </c>
      <c r="AI586" s="314">
        <f t="shared" si="97"/>
        <v>3941579.4967984939</v>
      </c>
      <c r="AJ586" s="314">
        <f t="shared" si="97"/>
        <v>4650479.1480048914</v>
      </c>
      <c r="AK586" s="314">
        <f t="shared" si="97"/>
        <v>4370685.8377475385</v>
      </c>
      <c r="AL586" s="314">
        <f t="shared" si="97"/>
        <v>4482716.1551465327</v>
      </c>
      <c r="AM586" s="314">
        <f t="shared" si="97"/>
        <v>7266820.3598162252</v>
      </c>
      <c r="AN586" s="314">
        <f t="shared" si="97"/>
        <v>1531375.0419962117</v>
      </c>
      <c r="AO586" s="314">
        <f t="shared" si="97"/>
        <v>1528932.18803752</v>
      </c>
      <c r="AP586" s="314">
        <f t="shared" si="97"/>
        <v>1526386.6676996818</v>
      </c>
      <c r="AQ586" s="314">
        <f t="shared" si="97"/>
        <v>8542725.1827299334</v>
      </c>
      <c r="AR586" s="314">
        <f t="shared" si="97"/>
        <v>1077706.4997704076</v>
      </c>
      <c r="AS586" s="314">
        <f t="shared" si="97"/>
        <v>1075102.7288994514</v>
      </c>
      <c r="AT586" s="314">
        <f t="shared" si="97"/>
        <v>8108439.3306284845</v>
      </c>
      <c r="AU586" s="314">
        <f t="shared" si="97"/>
        <v>11956839.047477964</v>
      </c>
      <c r="AV586" s="314">
        <f t="shared" si="97"/>
        <v>71377.939547654081</v>
      </c>
      <c r="AW586" s="314">
        <f>+AW584+AW585</f>
        <v>76518.305866182767</v>
      </c>
      <c r="AX586" s="314"/>
      <c r="AY586" s="314"/>
      <c r="AZ586" s="314"/>
      <c r="BA586" s="314"/>
      <c r="BB586" s="314"/>
      <c r="BC586" s="314"/>
      <c r="BD586" s="314"/>
      <c r="BE586" s="314"/>
      <c r="BF586" s="314"/>
      <c r="BG586" s="314"/>
      <c r="BH586" s="314"/>
      <c r="BI586" s="314"/>
      <c r="BJ586" s="314"/>
      <c r="BK586" s="314"/>
    </row>
    <row r="587" spans="1:63">
      <c r="A587" s="167"/>
      <c r="B587" s="210" t="str">
        <f>Servicio_internaColumna_título_amortizaciones</f>
        <v>Amortizaciones</v>
      </c>
      <c r="C587" s="211"/>
      <c r="D587" s="212"/>
      <c r="E587" s="212"/>
      <c r="F587" s="212"/>
      <c r="G587" s="212"/>
      <c r="H587" s="212"/>
      <c r="I587" s="212"/>
      <c r="J587" s="212"/>
      <c r="K587" s="212"/>
      <c r="L587" s="212"/>
      <c r="M587" s="212"/>
      <c r="N587" s="212"/>
      <c r="O587" s="212"/>
      <c r="P587" s="212"/>
      <c r="Q587" s="212"/>
      <c r="R587" s="212"/>
      <c r="S587" s="267">
        <v>2221831.1834006128</v>
      </c>
      <c r="T587" s="212">
        <v>2535956.9689857257</v>
      </c>
      <c r="U587" s="212">
        <v>9601284.2271336596</v>
      </c>
      <c r="V587" s="212">
        <v>4789998.773973099</v>
      </c>
      <c r="W587" s="212">
        <v>10702076.631210977</v>
      </c>
      <c r="X587" s="212">
        <v>2549186.1113887182</v>
      </c>
      <c r="Y587" s="212">
        <v>6353559.207726731</v>
      </c>
      <c r="Z587" s="212">
        <v>11259698.640644357</v>
      </c>
      <c r="AA587" s="212">
        <v>3979299.880976391</v>
      </c>
      <c r="AB587" s="212">
        <v>10777414.818565326</v>
      </c>
      <c r="AC587" s="212">
        <v>9408623.6801811885</v>
      </c>
      <c r="AD587" s="212">
        <v>4699595.8946164604</v>
      </c>
      <c r="AE587" s="212">
        <v>2726541.934931376</v>
      </c>
      <c r="AF587" s="212">
        <v>2712473.9996165656</v>
      </c>
      <c r="AG587" s="212">
        <v>3168711.0773041719</v>
      </c>
      <c r="AH587" s="212">
        <v>2957731.7840182227</v>
      </c>
      <c r="AI587" s="212">
        <v>1731075.3459476142</v>
      </c>
      <c r="AJ587" s="212">
        <v>2509535.7870486877</v>
      </c>
      <c r="AK587" s="212">
        <v>2364932.6144001698</v>
      </c>
      <c r="AL587" s="212">
        <v>2525583.4650530778</v>
      </c>
      <c r="AM587" s="212">
        <v>5382013.5868658945</v>
      </c>
      <c r="AN587" s="212">
        <v>67871.46036912479</v>
      </c>
      <c r="AO587" s="212">
        <v>67871.46036912479</v>
      </c>
      <c r="AP587" s="212">
        <v>67871.46036912479</v>
      </c>
      <c r="AQ587" s="212">
        <v>7268471.460369125</v>
      </c>
      <c r="AR587" s="212">
        <v>67871.46036912479</v>
      </c>
      <c r="AS587" s="212">
        <v>67871.46036912479</v>
      </c>
      <c r="AT587" s="212">
        <v>7267469.6435384415</v>
      </c>
      <c r="AU587" s="212">
        <v>11587829.643538442</v>
      </c>
      <c r="AV587" s="212">
        <v>66869.643538441029</v>
      </c>
      <c r="AW587" s="212">
        <v>66869.643538441029</v>
      </c>
      <c r="AX587" s="212"/>
      <c r="AY587" s="212"/>
      <c r="AZ587" s="212"/>
      <c r="BA587" s="212"/>
      <c r="BB587" s="212"/>
      <c r="BC587" s="212"/>
      <c r="BD587" s="212"/>
      <c r="BE587" s="212"/>
      <c r="BF587" s="212"/>
      <c r="BG587" s="212"/>
      <c r="BH587" s="212"/>
      <c r="BI587" s="212"/>
      <c r="BJ587" s="212"/>
      <c r="BK587" s="212"/>
    </row>
    <row r="588" spans="1:63">
      <c r="A588" s="168">
        <v>42795</v>
      </c>
      <c r="B588" s="213" t="str">
        <f>Servicio_internaColumna_título_intereses</f>
        <v>Intereses</v>
      </c>
      <c r="C588" s="214"/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6"/>
      <c r="S588" s="268">
        <v>4069419.3751876894</v>
      </c>
      <c r="T588" s="216">
        <v>6151517.3552681841</v>
      </c>
      <c r="U588" s="216">
        <v>5759694.8327088701</v>
      </c>
      <c r="V588" s="216">
        <v>5218347.6950949924</v>
      </c>
      <c r="W588" s="216">
        <v>5154892.3211717438</v>
      </c>
      <c r="X588" s="216">
        <v>4709882.5516401222</v>
      </c>
      <c r="Y588" s="216">
        <v>4676335.5995247141</v>
      </c>
      <c r="Z588" s="216">
        <v>4239853.0401054285</v>
      </c>
      <c r="AA588" s="216">
        <v>3882650.1475030989</v>
      </c>
      <c r="AB588" s="216">
        <v>3665747.2842804617</v>
      </c>
      <c r="AC588" s="216">
        <v>3254639.5527864592</v>
      </c>
      <c r="AD588" s="216">
        <v>2796741.11153069</v>
      </c>
      <c r="AE588" s="216">
        <v>2647437.6469365139</v>
      </c>
      <c r="AF588" s="216">
        <v>2576274.0857641874</v>
      </c>
      <c r="AG588" s="216">
        <v>2458080.1413413319</v>
      </c>
      <c r="AH588" s="216">
        <v>2325670.3506786409</v>
      </c>
      <c r="AI588" s="216">
        <v>2190649.022047298</v>
      </c>
      <c r="AJ588" s="216">
        <v>2118599.8247966664</v>
      </c>
      <c r="AK588" s="216">
        <v>1996634.4411623331</v>
      </c>
      <c r="AL588" s="216">
        <v>1948633.1672430346</v>
      </c>
      <c r="AM588" s="216">
        <v>1845402.0291441616</v>
      </c>
      <c r="AN588" s="216">
        <v>1455810.0123962536</v>
      </c>
      <c r="AO588" s="216">
        <v>1453349.4059524552</v>
      </c>
      <c r="AP588" s="216">
        <v>1450806.2635013906</v>
      </c>
      <c r="AQ588" s="216">
        <v>1227680.1976560487</v>
      </c>
      <c r="AR588" s="216">
        <v>1004551.8019135843</v>
      </c>
      <c r="AS588" s="216">
        <v>1001930.3924887786</v>
      </c>
      <c r="AT588" s="216">
        <v>796720.71013375279</v>
      </c>
      <c r="AU588" s="216">
        <v>303428.75568675855</v>
      </c>
      <c r="AV588" s="216">
        <v>5833.3515038523929</v>
      </c>
      <c r="AW588" s="216">
        <v>8658.8340518370242</v>
      </c>
      <c r="AX588" s="216"/>
      <c r="AY588" s="216"/>
      <c r="AZ588" s="216"/>
      <c r="BA588" s="216"/>
      <c r="BB588" s="216"/>
      <c r="BC588" s="216"/>
      <c r="BD588" s="216"/>
      <c r="BE588" s="216"/>
      <c r="BF588" s="216"/>
      <c r="BG588" s="216"/>
      <c r="BH588" s="216"/>
      <c r="BI588" s="216"/>
      <c r="BJ588" s="216"/>
      <c r="BK588" s="216"/>
    </row>
    <row r="589" spans="1:63" s="80" customFormat="1" ht="12.75">
      <c r="A589" s="169"/>
      <c r="B589" s="307" t="str">
        <f>Servicio_internaColumna_título_total</f>
        <v>Total</v>
      </c>
      <c r="C589" s="313">
        <v>0</v>
      </c>
      <c r="D589" s="314"/>
      <c r="E589" s="314"/>
      <c r="F589" s="314"/>
      <c r="G589" s="314"/>
      <c r="H589" s="314"/>
      <c r="I589" s="314"/>
      <c r="J589" s="314"/>
      <c r="K589" s="314"/>
      <c r="L589" s="314"/>
      <c r="M589" s="314"/>
      <c r="N589" s="314"/>
      <c r="O589" s="314"/>
      <c r="P589" s="314"/>
      <c r="Q589" s="314"/>
      <c r="R589" s="314"/>
      <c r="S589" s="315">
        <f>+S587+S588</f>
        <v>6291250.5585883018</v>
      </c>
      <c r="T589" s="314">
        <f t="shared" ref="T589:AV589" si="98">+T587+T588</f>
        <v>8687474.3242539093</v>
      </c>
      <c r="U589" s="314">
        <f t="shared" si="98"/>
        <v>15360979.059842531</v>
      </c>
      <c r="V589" s="314">
        <f t="shared" si="98"/>
        <v>10008346.469068091</v>
      </c>
      <c r="W589" s="314">
        <f t="shared" si="98"/>
        <v>15856968.952382721</v>
      </c>
      <c r="X589" s="314">
        <f t="shared" si="98"/>
        <v>7259068.66302884</v>
      </c>
      <c r="Y589" s="314">
        <f t="shared" si="98"/>
        <v>11029894.807251446</v>
      </c>
      <c r="Z589" s="314">
        <f t="shared" si="98"/>
        <v>15499551.680749785</v>
      </c>
      <c r="AA589" s="314">
        <f t="shared" si="98"/>
        <v>7861950.0284794904</v>
      </c>
      <c r="AB589" s="314">
        <f t="shared" si="98"/>
        <v>14443162.102845788</v>
      </c>
      <c r="AC589" s="314">
        <f t="shared" si="98"/>
        <v>12663263.232967649</v>
      </c>
      <c r="AD589" s="314">
        <f t="shared" si="98"/>
        <v>7496337.00614715</v>
      </c>
      <c r="AE589" s="314">
        <f t="shared" si="98"/>
        <v>5373979.5818678904</v>
      </c>
      <c r="AF589" s="314">
        <f t="shared" si="98"/>
        <v>5288748.0853807535</v>
      </c>
      <c r="AG589" s="314">
        <f t="shared" si="98"/>
        <v>5626791.2186455037</v>
      </c>
      <c r="AH589" s="314">
        <f t="shared" si="98"/>
        <v>5283402.1346968636</v>
      </c>
      <c r="AI589" s="314">
        <f t="shared" si="98"/>
        <v>3921724.367994912</v>
      </c>
      <c r="AJ589" s="314">
        <f t="shared" si="98"/>
        <v>4628135.6118453536</v>
      </c>
      <c r="AK589" s="314">
        <f t="shared" si="98"/>
        <v>4361567.0555625027</v>
      </c>
      <c r="AL589" s="314">
        <f t="shared" si="98"/>
        <v>4474216.6322961124</v>
      </c>
      <c r="AM589" s="314">
        <f t="shared" si="98"/>
        <v>7227415.6160100559</v>
      </c>
      <c r="AN589" s="314">
        <f t="shared" si="98"/>
        <v>1523681.4727653784</v>
      </c>
      <c r="AO589" s="314">
        <f t="shared" si="98"/>
        <v>1521220.86632158</v>
      </c>
      <c r="AP589" s="314">
        <f t="shared" si="98"/>
        <v>1518677.7238705154</v>
      </c>
      <c r="AQ589" s="314">
        <f t="shared" si="98"/>
        <v>8496151.6580251735</v>
      </c>
      <c r="AR589" s="314">
        <f t="shared" si="98"/>
        <v>1072423.2622827091</v>
      </c>
      <c r="AS589" s="314">
        <f t="shared" si="98"/>
        <v>1069801.8528579033</v>
      </c>
      <c r="AT589" s="314">
        <f t="shared" si="98"/>
        <v>8064190.3536721943</v>
      </c>
      <c r="AU589" s="314">
        <f t="shared" si="98"/>
        <v>11891258.3992252</v>
      </c>
      <c r="AV589" s="314">
        <f t="shared" si="98"/>
        <v>72702.99504229342</v>
      </c>
      <c r="AW589" s="314">
        <f>+AW587+AW588</f>
        <v>75528.477590278053</v>
      </c>
      <c r="AX589" s="314"/>
      <c r="AY589" s="314"/>
      <c r="AZ589" s="314"/>
      <c r="BA589" s="314"/>
      <c r="BB589" s="314"/>
      <c r="BC589" s="314"/>
      <c r="BD589" s="314"/>
      <c r="BE589" s="314"/>
      <c r="BF589" s="314"/>
      <c r="BG589" s="314"/>
      <c r="BH589" s="314"/>
      <c r="BI589" s="314"/>
      <c r="BJ589" s="314"/>
      <c r="BK589" s="314"/>
    </row>
    <row r="590" spans="1:63">
      <c r="A590" s="167"/>
      <c r="B590" s="210" t="str">
        <f>Servicio_internaColumna_título_amortizaciones</f>
        <v>Amortizaciones</v>
      </c>
      <c r="C590" s="211"/>
      <c r="D590" s="212"/>
      <c r="E590" s="212"/>
      <c r="F590" s="212"/>
      <c r="G590" s="212"/>
      <c r="H590" s="212"/>
      <c r="I590" s="212"/>
      <c r="J590" s="212"/>
      <c r="K590" s="212"/>
      <c r="L590" s="212"/>
      <c r="M590" s="212"/>
      <c r="N590" s="212"/>
      <c r="O590" s="212"/>
      <c r="P590" s="212"/>
      <c r="Q590" s="212"/>
      <c r="R590" s="212"/>
      <c r="S590" s="267">
        <v>2252930.4533056002</v>
      </c>
      <c r="T590" s="212">
        <v>2575834.214407214</v>
      </c>
      <c r="U590" s="212">
        <v>9798080.3930324707</v>
      </c>
      <c r="V590" s="212">
        <v>4892245.7575923847</v>
      </c>
      <c r="W590" s="212">
        <v>10879168.83018939</v>
      </c>
      <c r="X590" s="212">
        <v>2602773.9157806444</v>
      </c>
      <c r="Y590" s="212">
        <v>6468265.4364130031</v>
      </c>
      <c r="Z590" s="212">
        <v>11508881.739303522</v>
      </c>
      <c r="AA590" s="212">
        <v>4066532.8822367541</v>
      </c>
      <c r="AB590" s="212">
        <v>11113096.98568566</v>
      </c>
      <c r="AC590" s="212">
        <v>9571475.6693232115</v>
      </c>
      <c r="AD590" s="212">
        <v>4805936.1859300733</v>
      </c>
      <c r="AE590" s="212">
        <v>2787194.7905173339</v>
      </c>
      <c r="AF590" s="212">
        <v>2779129.760425569</v>
      </c>
      <c r="AG590" s="212">
        <v>3240190.2879688716</v>
      </c>
      <c r="AH590" s="212">
        <v>3023651.5149257681</v>
      </c>
      <c r="AI590" s="212">
        <v>1769690.7088510897</v>
      </c>
      <c r="AJ590" s="212">
        <v>2566686.620032914</v>
      </c>
      <c r="AK590" s="212">
        <v>2455291.9747893196</v>
      </c>
      <c r="AL590" s="212">
        <v>2624017.4768348499</v>
      </c>
      <c r="AM590" s="212">
        <v>5503059.9100044221</v>
      </c>
      <c r="AN590" s="212">
        <v>70569.707651295423</v>
      </c>
      <c r="AO590" s="212">
        <v>70569.707651295423</v>
      </c>
      <c r="AP590" s="212">
        <v>70569.707651295423</v>
      </c>
      <c r="AQ590" s="212">
        <v>7431344.7076512957</v>
      </c>
      <c r="AR590" s="212">
        <v>70569.707651295423</v>
      </c>
      <c r="AS590" s="212">
        <v>70569.707651295423</v>
      </c>
      <c r="AT590" s="212">
        <v>7430320.6057317508</v>
      </c>
      <c r="AU590" s="212">
        <v>11846785.60573175</v>
      </c>
      <c r="AV590" s="212">
        <v>69545.605731750358</v>
      </c>
      <c r="AW590" s="212">
        <v>69545.605731750358</v>
      </c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  <c r="BI590" s="212"/>
      <c r="BJ590" s="212"/>
      <c r="BK590" s="212"/>
    </row>
    <row r="591" spans="1:63">
      <c r="A591" s="168">
        <v>42826</v>
      </c>
      <c r="B591" s="213" t="str">
        <f>Servicio_internaColumna_título_intereses</f>
        <v>Intereses</v>
      </c>
      <c r="C591" s="214"/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6"/>
      <c r="S591" s="268">
        <v>3762797.5299530309</v>
      </c>
      <c r="T591" s="216">
        <v>6253684.7746518888</v>
      </c>
      <c r="U591" s="216">
        <v>5892649.5312750675</v>
      </c>
      <c r="V591" s="216">
        <v>5268848.6375988862</v>
      </c>
      <c r="W591" s="216">
        <v>5207098.8702700101</v>
      </c>
      <c r="X591" s="216">
        <v>4743015.4492771821</v>
      </c>
      <c r="Y591" s="216">
        <v>4707441.7452548305</v>
      </c>
      <c r="Z591" s="216">
        <v>4287620.3894927995</v>
      </c>
      <c r="AA591" s="216">
        <v>3926018.7410924984</v>
      </c>
      <c r="AB591" s="216">
        <v>3707169.7608066197</v>
      </c>
      <c r="AC591" s="216">
        <v>3293004.3486774075</v>
      </c>
      <c r="AD591" s="216">
        <v>2833548.2200606773</v>
      </c>
      <c r="AE591" s="216">
        <v>2685925.1231060689</v>
      </c>
      <c r="AF591" s="216">
        <v>2615293.7327157897</v>
      </c>
      <c r="AG591" s="216">
        <v>2498451.9582648398</v>
      </c>
      <c r="AH591" s="216">
        <v>2371208.9146513315</v>
      </c>
      <c r="AI591" s="216">
        <v>2232214.0018068049</v>
      </c>
      <c r="AJ591" s="216">
        <v>2159135.378230141</v>
      </c>
      <c r="AK591" s="216">
        <v>2038280.469574197</v>
      </c>
      <c r="AL591" s="216">
        <v>1990262.1060639611</v>
      </c>
      <c r="AM591" s="216">
        <v>1886009.482706961</v>
      </c>
      <c r="AN591" s="216">
        <v>1487812.0066433141</v>
      </c>
      <c r="AO591" s="216">
        <v>1485318.8894218251</v>
      </c>
      <c r="AP591" s="216">
        <v>1482768.2196013799</v>
      </c>
      <c r="AQ591" s="216">
        <v>1254701.2717258737</v>
      </c>
      <c r="AR591" s="216">
        <v>1026640.1229447059</v>
      </c>
      <c r="AS591" s="216">
        <v>1023984.7844543355</v>
      </c>
      <c r="AT591" s="216">
        <v>814252.23289922834</v>
      </c>
      <c r="AU591" s="216">
        <v>310011.93998665962</v>
      </c>
      <c r="AV591" s="216">
        <v>7306.1639566315989</v>
      </c>
      <c r="AW591" s="216">
        <v>7603.4467626984579</v>
      </c>
      <c r="AX591" s="216"/>
      <c r="AY591" s="216"/>
      <c r="AZ591" s="216"/>
      <c r="BA591" s="216"/>
      <c r="BB591" s="216"/>
      <c r="BC591" s="216"/>
      <c r="BD591" s="216"/>
      <c r="BE591" s="216"/>
      <c r="BF591" s="216"/>
      <c r="BG591" s="216"/>
      <c r="BH591" s="216"/>
      <c r="BI591" s="216"/>
      <c r="BJ591" s="216"/>
      <c r="BK591" s="216"/>
    </row>
    <row r="592" spans="1:63" s="80" customFormat="1" ht="12.75">
      <c r="A592" s="169"/>
      <c r="B592" s="307" t="str">
        <f>Servicio_internaColumna_título_total</f>
        <v>Total</v>
      </c>
      <c r="C592" s="313">
        <v>0</v>
      </c>
      <c r="D592" s="314"/>
      <c r="E592" s="314"/>
      <c r="F592" s="314"/>
      <c r="G592" s="314"/>
      <c r="H592" s="314"/>
      <c r="I592" s="314"/>
      <c r="J592" s="314"/>
      <c r="K592" s="314"/>
      <c r="L592" s="314"/>
      <c r="M592" s="314"/>
      <c r="N592" s="314"/>
      <c r="O592" s="314"/>
      <c r="P592" s="314"/>
      <c r="Q592" s="314"/>
      <c r="R592" s="314"/>
      <c r="S592" s="315">
        <f>+S590+S591</f>
        <v>6015727.9832586311</v>
      </c>
      <c r="T592" s="314">
        <f t="shared" ref="T592:AV592" si="99">+T590+T591</f>
        <v>8829518.9890591018</v>
      </c>
      <c r="U592" s="314">
        <f t="shared" si="99"/>
        <v>15690729.924307538</v>
      </c>
      <c r="V592" s="314">
        <f t="shared" si="99"/>
        <v>10161094.395191271</v>
      </c>
      <c r="W592" s="314">
        <f t="shared" si="99"/>
        <v>16086267.7004594</v>
      </c>
      <c r="X592" s="314">
        <f t="shared" si="99"/>
        <v>7345789.365057826</v>
      </c>
      <c r="Y592" s="314">
        <f t="shared" si="99"/>
        <v>11175707.181667835</v>
      </c>
      <c r="Z592" s="314">
        <f t="shared" si="99"/>
        <v>15796502.12879632</v>
      </c>
      <c r="AA592" s="314">
        <f t="shared" si="99"/>
        <v>7992551.623329252</v>
      </c>
      <c r="AB592" s="314">
        <f t="shared" si="99"/>
        <v>14820266.74649228</v>
      </c>
      <c r="AC592" s="314">
        <f t="shared" si="99"/>
        <v>12864480.018000619</v>
      </c>
      <c r="AD592" s="314">
        <f t="shared" si="99"/>
        <v>7639484.4059907505</v>
      </c>
      <c r="AE592" s="314">
        <f t="shared" si="99"/>
        <v>5473119.9136234028</v>
      </c>
      <c r="AF592" s="314">
        <f t="shared" si="99"/>
        <v>5394423.4931413587</v>
      </c>
      <c r="AG592" s="314">
        <f t="shared" si="99"/>
        <v>5738642.246233711</v>
      </c>
      <c r="AH592" s="314">
        <f t="shared" si="99"/>
        <v>5394860.4295770992</v>
      </c>
      <c r="AI592" s="314">
        <f t="shared" si="99"/>
        <v>4001904.7106578946</v>
      </c>
      <c r="AJ592" s="314">
        <f t="shared" si="99"/>
        <v>4725821.9982630555</v>
      </c>
      <c r="AK592" s="314">
        <f t="shared" si="99"/>
        <v>4493572.4443635168</v>
      </c>
      <c r="AL592" s="314">
        <f t="shared" si="99"/>
        <v>4614279.5828988105</v>
      </c>
      <c r="AM592" s="314">
        <f t="shared" si="99"/>
        <v>7389069.3927113833</v>
      </c>
      <c r="AN592" s="314">
        <f t="shared" si="99"/>
        <v>1558381.7142946096</v>
      </c>
      <c r="AO592" s="314">
        <f t="shared" si="99"/>
        <v>1555888.5970731205</v>
      </c>
      <c r="AP592" s="314">
        <f t="shared" si="99"/>
        <v>1553337.9272526754</v>
      </c>
      <c r="AQ592" s="314">
        <f t="shared" si="99"/>
        <v>8686045.9793771692</v>
      </c>
      <c r="AR592" s="314">
        <f t="shared" si="99"/>
        <v>1097209.8305960014</v>
      </c>
      <c r="AS592" s="314">
        <f t="shared" si="99"/>
        <v>1094554.4921056309</v>
      </c>
      <c r="AT592" s="314">
        <f t="shared" si="99"/>
        <v>8244572.8386309789</v>
      </c>
      <c r="AU592" s="314">
        <f t="shared" si="99"/>
        <v>12156797.545718409</v>
      </c>
      <c r="AV592" s="314">
        <f t="shared" si="99"/>
        <v>76851.769688381959</v>
      </c>
      <c r="AW592" s="314">
        <f>+AW590+AW591</f>
        <v>77149.052494448813</v>
      </c>
      <c r="AX592" s="314"/>
      <c r="AY592" s="314"/>
      <c r="AZ592" s="314"/>
      <c r="BA592" s="314"/>
      <c r="BB592" s="314"/>
      <c r="BC592" s="314"/>
      <c r="BD592" s="314"/>
      <c r="BE592" s="314"/>
      <c r="BF592" s="314"/>
      <c r="BG592" s="314"/>
      <c r="BH592" s="314"/>
      <c r="BI592" s="314"/>
      <c r="BJ592" s="314"/>
      <c r="BK592" s="314"/>
    </row>
    <row r="593" spans="1:63">
      <c r="A593" s="167"/>
      <c r="B593" s="210" t="str">
        <f>Servicio_internaColumna_título_amortizaciones</f>
        <v>Amortizaciones</v>
      </c>
      <c r="C593" s="211"/>
      <c r="D593" s="212"/>
      <c r="E593" s="212"/>
      <c r="F593" s="212"/>
      <c r="G593" s="212"/>
      <c r="H593" s="212"/>
      <c r="I593" s="212"/>
      <c r="J593" s="212"/>
      <c r="K593" s="212"/>
      <c r="L593" s="212"/>
      <c r="M593" s="212"/>
      <c r="N593" s="212"/>
      <c r="O593" s="212"/>
      <c r="P593" s="212"/>
      <c r="Q593" s="212"/>
      <c r="R593" s="212"/>
      <c r="S593" s="267">
        <v>2176858.6112051532</v>
      </c>
      <c r="T593" s="212">
        <v>2532003.7013411731</v>
      </c>
      <c r="U593" s="212">
        <v>9707377.1650962755</v>
      </c>
      <c r="V593" s="212">
        <v>4852847.9872991825</v>
      </c>
      <c r="W593" s="212">
        <v>10818272.433518676</v>
      </c>
      <c r="X593" s="212">
        <v>2586069.5805434152</v>
      </c>
      <c r="Y593" s="212">
        <v>6434461.5241348632</v>
      </c>
      <c r="Z593" s="212">
        <v>11424120.978827301</v>
      </c>
      <c r="AA593" s="212">
        <v>4042159.0083979187</v>
      </c>
      <c r="AB593" s="212">
        <v>11171616.896196365</v>
      </c>
      <c r="AC593" s="212">
        <v>9520428.6103414148</v>
      </c>
      <c r="AD593" s="212">
        <v>4775648.7227029856</v>
      </c>
      <c r="AE593" s="212">
        <v>2771951.6220794907</v>
      </c>
      <c r="AF593" s="212">
        <v>2763952.0312821255</v>
      </c>
      <c r="AG593" s="212">
        <v>3220051.8845098391</v>
      </c>
      <c r="AH593" s="212">
        <v>3020286.3489785548</v>
      </c>
      <c r="AI593" s="212">
        <v>1757530.2851395069</v>
      </c>
      <c r="AJ593" s="212">
        <v>2548059.4070504545</v>
      </c>
      <c r="AK593" s="212">
        <v>2503682.1030962663</v>
      </c>
      <c r="AL593" s="212">
        <v>2679208.1568527189</v>
      </c>
      <c r="AM593" s="212">
        <v>5460605.8610380702</v>
      </c>
      <c r="AN593" s="212">
        <v>72154.237485458259</v>
      </c>
      <c r="AO593" s="212">
        <v>72154.237485458259</v>
      </c>
      <c r="AP593" s="212">
        <v>72154.237485458259</v>
      </c>
      <c r="AQ593" s="212">
        <v>7373204.2374854581</v>
      </c>
      <c r="AR593" s="212">
        <v>72154.237485458259</v>
      </c>
      <c r="AS593" s="212">
        <v>72154.237485458259</v>
      </c>
      <c r="AT593" s="212">
        <v>7372188.4450832056</v>
      </c>
      <c r="AU593" s="212">
        <v>11752818.445083205</v>
      </c>
      <c r="AV593" s="212">
        <v>71138.445083205166</v>
      </c>
      <c r="AW593" s="212">
        <v>71138.445083205166</v>
      </c>
      <c r="AX593" s="212"/>
      <c r="AY593" s="212"/>
      <c r="AZ593" s="212"/>
      <c r="BA593" s="212"/>
      <c r="BB593" s="212"/>
      <c r="BC593" s="212"/>
      <c r="BD593" s="212"/>
      <c r="BE593" s="212"/>
      <c r="BF593" s="212"/>
      <c r="BG593" s="212"/>
      <c r="BH593" s="212"/>
      <c r="BI593" s="212"/>
      <c r="BJ593" s="212"/>
      <c r="BK593" s="212"/>
    </row>
    <row r="594" spans="1:63">
      <c r="A594" s="168">
        <v>42856</v>
      </c>
      <c r="B594" s="213" t="str">
        <f>Servicio_internaColumna_título_intereses</f>
        <v>Intereses</v>
      </c>
      <c r="C594" s="214"/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6"/>
      <c r="S594" s="268">
        <v>3395835.5683033313</v>
      </c>
      <c r="T594" s="216">
        <v>6175136.1828162801</v>
      </c>
      <c r="U594" s="216">
        <v>5857231.3626779802</v>
      </c>
      <c r="V594" s="216">
        <v>5185453.7383640278</v>
      </c>
      <c r="W594" s="216">
        <v>5138931.4926471841</v>
      </c>
      <c r="X594" s="216">
        <v>4662261.2062721858</v>
      </c>
      <c r="Y594" s="216">
        <v>4620366.7051160354</v>
      </c>
      <c r="Z594" s="216">
        <v>4222283.8801274952</v>
      </c>
      <c r="AA594" s="216">
        <v>3867884.5314785494</v>
      </c>
      <c r="AB594" s="216">
        <v>3653780.4294986906</v>
      </c>
      <c r="AC594" s="216">
        <v>3247146.4957585023</v>
      </c>
      <c r="AD594" s="216">
        <v>2795180.044107554</v>
      </c>
      <c r="AE594" s="216">
        <v>2652793.5677089961</v>
      </c>
      <c r="AF594" s="216">
        <v>2584477.6535201264</v>
      </c>
      <c r="AG594" s="216">
        <v>2471587.9381757397</v>
      </c>
      <c r="AH594" s="216">
        <v>2351751.9922619904</v>
      </c>
      <c r="AI594" s="216">
        <v>2211326.2670010333</v>
      </c>
      <c r="AJ594" s="216">
        <v>2139355.1969729746</v>
      </c>
      <c r="AK594" s="216">
        <v>2021888.5347117386</v>
      </c>
      <c r="AL594" s="216">
        <v>1974689.0438145236</v>
      </c>
      <c r="AM594" s="216">
        <v>1870881.678652504</v>
      </c>
      <c r="AN594" s="216">
        <v>1475936.8514398497</v>
      </c>
      <c r="AO594" s="216">
        <v>1473451.0481346135</v>
      </c>
      <c r="AP594" s="216">
        <v>1470932.0871386565</v>
      </c>
      <c r="AQ594" s="216">
        <v>1244698.5203812039</v>
      </c>
      <c r="AR594" s="216">
        <v>1018477.4632493418</v>
      </c>
      <c r="AS594" s="216">
        <v>1015825.6815705131</v>
      </c>
      <c r="AT594" s="216">
        <v>807791.73841679923</v>
      </c>
      <c r="AU594" s="216">
        <v>307620.51133297471</v>
      </c>
      <c r="AV594" s="216">
        <v>8706.9485834392563</v>
      </c>
      <c r="AW594" s="216">
        <v>6437.2860808899904</v>
      </c>
      <c r="AX594" s="216"/>
      <c r="AY594" s="216"/>
      <c r="AZ594" s="216"/>
      <c r="BA594" s="216"/>
      <c r="BB594" s="216"/>
      <c r="BC594" s="216"/>
      <c r="BD594" s="216"/>
      <c r="BE594" s="216"/>
      <c r="BF594" s="216"/>
      <c r="BG594" s="216"/>
      <c r="BH594" s="216"/>
      <c r="BI594" s="216"/>
      <c r="BJ594" s="216"/>
      <c r="BK594" s="216"/>
    </row>
    <row r="595" spans="1:63" s="80" customFormat="1" ht="12.75">
      <c r="A595" s="169"/>
      <c r="B595" s="307" t="str">
        <f>Servicio_internaColumna_título_total</f>
        <v>Total</v>
      </c>
      <c r="C595" s="313">
        <v>0</v>
      </c>
      <c r="D595" s="314"/>
      <c r="E595" s="314"/>
      <c r="F595" s="314"/>
      <c r="G595" s="314"/>
      <c r="H595" s="314"/>
      <c r="I595" s="314"/>
      <c r="J595" s="314"/>
      <c r="K595" s="314"/>
      <c r="L595" s="314"/>
      <c r="M595" s="314"/>
      <c r="N595" s="314"/>
      <c r="O595" s="314"/>
      <c r="P595" s="314"/>
      <c r="Q595" s="314"/>
      <c r="R595" s="314"/>
      <c r="S595" s="315">
        <f>+S593+S594</f>
        <v>5572694.1795084849</v>
      </c>
      <c r="T595" s="314">
        <f t="shared" ref="T595:AV595" si="100">+T593+T594</f>
        <v>8707139.8841574527</v>
      </c>
      <c r="U595" s="314">
        <f t="shared" si="100"/>
        <v>15564608.527774256</v>
      </c>
      <c r="V595" s="314">
        <f t="shared" si="100"/>
        <v>10038301.725663211</v>
      </c>
      <c r="W595" s="314">
        <f t="shared" si="100"/>
        <v>15957203.92616586</v>
      </c>
      <c r="X595" s="314">
        <f t="shared" si="100"/>
        <v>7248330.7868156005</v>
      </c>
      <c r="Y595" s="314">
        <f t="shared" si="100"/>
        <v>11054828.229250899</v>
      </c>
      <c r="Z595" s="314">
        <f t="shared" si="100"/>
        <v>15646404.858954797</v>
      </c>
      <c r="AA595" s="314">
        <f t="shared" si="100"/>
        <v>7910043.5398764685</v>
      </c>
      <c r="AB595" s="314">
        <f t="shared" si="100"/>
        <v>14825397.325695056</v>
      </c>
      <c r="AC595" s="314">
        <f t="shared" si="100"/>
        <v>12767575.106099917</v>
      </c>
      <c r="AD595" s="314">
        <f t="shared" si="100"/>
        <v>7570828.7668105401</v>
      </c>
      <c r="AE595" s="314">
        <f t="shared" si="100"/>
        <v>5424745.1897884868</v>
      </c>
      <c r="AF595" s="314">
        <f t="shared" si="100"/>
        <v>5348429.6848022519</v>
      </c>
      <c r="AG595" s="314">
        <f t="shared" si="100"/>
        <v>5691639.8226855788</v>
      </c>
      <c r="AH595" s="314">
        <f t="shared" si="100"/>
        <v>5372038.3412405457</v>
      </c>
      <c r="AI595" s="314">
        <f t="shared" si="100"/>
        <v>3968856.5521405404</v>
      </c>
      <c r="AJ595" s="314">
        <f t="shared" si="100"/>
        <v>4687414.6040234286</v>
      </c>
      <c r="AK595" s="314">
        <f t="shared" si="100"/>
        <v>4525570.6378080044</v>
      </c>
      <c r="AL595" s="314">
        <f t="shared" si="100"/>
        <v>4653897.2006672425</v>
      </c>
      <c r="AM595" s="314">
        <f t="shared" si="100"/>
        <v>7331487.5396905746</v>
      </c>
      <c r="AN595" s="314">
        <f t="shared" si="100"/>
        <v>1548091.0889253081</v>
      </c>
      <c r="AO595" s="314">
        <f t="shared" si="100"/>
        <v>1545605.2856200719</v>
      </c>
      <c r="AP595" s="314">
        <f t="shared" si="100"/>
        <v>1543086.3246241147</v>
      </c>
      <c r="AQ595" s="314">
        <f t="shared" si="100"/>
        <v>8617902.757866662</v>
      </c>
      <c r="AR595" s="314">
        <f t="shared" si="100"/>
        <v>1090631.7007348002</v>
      </c>
      <c r="AS595" s="314">
        <f t="shared" si="100"/>
        <v>1087979.9190559713</v>
      </c>
      <c r="AT595" s="314">
        <f t="shared" si="100"/>
        <v>8179980.1835000049</v>
      </c>
      <c r="AU595" s="314">
        <f t="shared" si="100"/>
        <v>12060438.956416178</v>
      </c>
      <c r="AV595" s="314">
        <f t="shared" si="100"/>
        <v>79845.393666644421</v>
      </c>
      <c r="AW595" s="314">
        <f>+AW593+AW594</f>
        <v>77575.731164095152</v>
      </c>
      <c r="AX595" s="314"/>
      <c r="AY595" s="314"/>
      <c r="AZ595" s="314"/>
      <c r="BA595" s="314"/>
      <c r="BB595" s="314"/>
      <c r="BC595" s="314"/>
      <c r="BD595" s="314"/>
      <c r="BE595" s="314"/>
      <c r="BF595" s="314"/>
      <c r="BG595" s="314"/>
      <c r="BH595" s="314"/>
      <c r="BI595" s="314"/>
      <c r="BJ595" s="314"/>
      <c r="BK595" s="314"/>
    </row>
    <row r="596" spans="1:63">
      <c r="A596" s="167"/>
      <c r="B596" s="210" t="str">
        <f>Servicio_internaColumna_título_amortizaciones</f>
        <v>Amortizaciones</v>
      </c>
      <c r="C596" s="211"/>
      <c r="D596" s="212"/>
      <c r="E596" s="212"/>
      <c r="F596" s="212"/>
      <c r="G596" s="212"/>
      <c r="H596" s="212"/>
      <c r="I596" s="212"/>
      <c r="J596" s="212"/>
      <c r="K596" s="212"/>
      <c r="L596" s="212"/>
      <c r="M596" s="212"/>
      <c r="N596" s="212"/>
      <c r="O596" s="212"/>
      <c r="P596" s="212"/>
      <c r="Q596" s="212"/>
      <c r="R596" s="212"/>
      <c r="S596" s="267">
        <v>2134404.4733849936</v>
      </c>
      <c r="T596" s="212">
        <v>2572634.1111942451</v>
      </c>
      <c r="U596" s="212">
        <v>10052323.674496651</v>
      </c>
      <c r="V596" s="212">
        <v>5032792.2561408849</v>
      </c>
      <c r="W596" s="212">
        <v>11146443.925058614</v>
      </c>
      <c r="X596" s="212">
        <v>2681804.0679481369</v>
      </c>
      <c r="Y596" s="212">
        <v>6645979.8718770919</v>
      </c>
      <c r="Z596" s="212">
        <v>11880587.046017786</v>
      </c>
      <c r="AA596" s="212">
        <v>4201430.2242083829</v>
      </c>
      <c r="AB596" s="212">
        <v>11686857.872586997</v>
      </c>
      <c r="AC596" s="212">
        <v>9825528.4950753469</v>
      </c>
      <c r="AD596" s="212">
        <v>4971685.1055166032</v>
      </c>
      <c r="AE596" s="212">
        <v>2890057.2816252862</v>
      </c>
      <c r="AF596" s="212">
        <v>2879544.7264255444</v>
      </c>
      <c r="AG596" s="212">
        <v>3353796.9297463121</v>
      </c>
      <c r="AH596" s="212">
        <v>3146039.0930402987</v>
      </c>
      <c r="AI596" s="212">
        <v>1832033.5523414414</v>
      </c>
      <c r="AJ596" s="212">
        <v>2652438.5864145681</v>
      </c>
      <c r="AK596" s="212">
        <v>2637464.3665171447</v>
      </c>
      <c r="AL596" s="212">
        <v>2823927.539527948</v>
      </c>
      <c r="AM596" s="212">
        <v>5682505.8910764847</v>
      </c>
      <c r="AN596" s="212">
        <v>76083.465599631905</v>
      </c>
      <c r="AO596" s="212">
        <v>76083.465599631905</v>
      </c>
      <c r="AP596" s="212">
        <v>76083.465599631905</v>
      </c>
      <c r="AQ596" s="212">
        <v>7671733.4655996328</v>
      </c>
      <c r="AR596" s="212">
        <v>76083.465599631905</v>
      </c>
      <c r="AS596" s="212">
        <v>76083.465599631905</v>
      </c>
      <c r="AT596" s="212">
        <v>7670676.6856076904</v>
      </c>
      <c r="AU596" s="212">
        <v>12228066.68560769</v>
      </c>
      <c r="AV596" s="212">
        <v>75026.685607689142</v>
      </c>
      <c r="AW596" s="212">
        <v>75026.685607689142</v>
      </c>
      <c r="AX596" s="212"/>
      <c r="AY596" s="212"/>
      <c r="AZ596" s="212"/>
      <c r="BA596" s="212"/>
      <c r="BB596" s="212"/>
      <c r="BC596" s="212"/>
      <c r="BD596" s="212"/>
      <c r="BE596" s="212"/>
      <c r="BF596" s="212"/>
      <c r="BG596" s="212"/>
      <c r="BH596" s="212"/>
      <c r="BI596" s="212"/>
      <c r="BJ596" s="212"/>
      <c r="BK596" s="212"/>
    </row>
    <row r="597" spans="1:63">
      <c r="A597" s="168">
        <v>42887</v>
      </c>
      <c r="B597" s="213" t="str">
        <f>Servicio_internaColumna_título_intereses</f>
        <v>Intereses</v>
      </c>
      <c r="C597" s="214"/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6"/>
      <c r="S597" s="268">
        <v>2871083.1326002185</v>
      </c>
      <c r="T597" s="216">
        <v>6388118.3252986791</v>
      </c>
      <c r="U597" s="216">
        <v>6144099.1146948263</v>
      </c>
      <c r="V597" s="216">
        <v>5466785.6350473333</v>
      </c>
      <c r="W597" s="216">
        <v>5378024.5760784475</v>
      </c>
      <c r="X597" s="216">
        <v>4890099.5914667547</v>
      </c>
      <c r="Y597" s="216">
        <v>4864568.9047931191</v>
      </c>
      <c r="Z597" s="216">
        <v>4460330.1193832923</v>
      </c>
      <c r="AA597" s="216">
        <v>4069048.0404683859</v>
      </c>
      <c r="AB597" s="216">
        <v>3842508.7008324629</v>
      </c>
      <c r="AC597" s="216">
        <v>3417643.2703984776</v>
      </c>
      <c r="AD597" s="216">
        <v>2942053.5613427409</v>
      </c>
      <c r="AE597" s="216">
        <v>2788358.5891072853</v>
      </c>
      <c r="AF597" s="216">
        <v>2714966.0992003516</v>
      </c>
      <c r="AG597" s="216">
        <v>2593573.7415643339</v>
      </c>
      <c r="AH597" s="216">
        <v>2468737.781408824</v>
      </c>
      <c r="AI597" s="216">
        <v>2315276.3456581743</v>
      </c>
      <c r="AJ597" s="216">
        <v>2239615.3036699709</v>
      </c>
      <c r="AK597" s="216">
        <v>2112380.5788279218</v>
      </c>
      <c r="AL597" s="216">
        <v>2060968.8538935813</v>
      </c>
      <c r="AM597" s="216">
        <v>1948120.9978433966</v>
      </c>
      <c r="AN597" s="216">
        <v>1537058.8703427834</v>
      </c>
      <c r="AO597" s="216">
        <v>1534327.328971585</v>
      </c>
      <c r="AP597" s="216">
        <v>1531588.0539855985</v>
      </c>
      <c r="AQ597" s="216">
        <v>1296080.2093876186</v>
      </c>
      <c r="AR597" s="216">
        <v>1060598.450362782</v>
      </c>
      <c r="AS597" s="216">
        <v>1057704.5790744382</v>
      </c>
      <c r="AT597" s="216">
        <v>841159.55674169003</v>
      </c>
      <c r="AU597" s="216">
        <v>320672.60465604148</v>
      </c>
      <c r="AV597" s="216">
        <v>10786.022110972172</v>
      </c>
      <c r="AW597" s="216">
        <v>5669.6116554387418</v>
      </c>
      <c r="AX597" s="216"/>
      <c r="AY597" s="216"/>
      <c r="AZ597" s="216"/>
      <c r="BA597" s="216"/>
      <c r="BB597" s="216"/>
      <c r="BC597" s="216"/>
      <c r="BD597" s="216"/>
      <c r="BE597" s="216"/>
      <c r="BF597" s="216"/>
      <c r="BG597" s="216"/>
      <c r="BH597" s="216"/>
      <c r="BI597" s="216"/>
      <c r="BJ597" s="216"/>
      <c r="BK597" s="216"/>
    </row>
    <row r="598" spans="1:63" s="80" customFormat="1" ht="12.75">
      <c r="A598" s="169"/>
      <c r="B598" s="307" t="str">
        <f>Servicio_internaColumna_título_total</f>
        <v>Total</v>
      </c>
      <c r="C598" s="313">
        <v>0</v>
      </c>
      <c r="D598" s="314"/>
      <c r="E598" s="314"/>
      <c r="F598" s="314"/>
      <c r="G598" s="314"/>
      <c r="H598" s="314"/>
      <c r="I598" s="314"/>
      <c r="J598" s="314"/>
      <c r="K598" s="314"/>
      <c r="L598" s="314"/>
      <c r="M598" s="314"/>
      <c r="N598" s="314"/>
      <c r="O598" s="314"/>
      <c r="P598" s="314"/>
      <c r="Q598" s="314"/>
      <c r="R598" s="314"/>
      <c r="S598" s="315">
        <f>+S596+S597</f>
        <v>5005487.6059852121</v>
      </c>
      <c r="T598" s="314">
        <f t="shared" ref="T598:AV598" si="101">+T596+T597</f>
        <v>8960752.4364929236</v>
      </c>
      <c r="U598" s="314">
        <f t="shared" si="101"/>
        <v>16196422.789191477</v>
      </c>
      <c r="V598" s="314">
        <f t="shared" si="101"/>
        <v>10499577.891188219</v>
      </c>
      <c r="W598" s="314">
        <f t="shared" si="101"/>
        <v>16524468.501137063</v>
      </c>
      <c r="X598" s="314">
        <f t="shared" si="101"/>
        <v>7571903.6594148912</v>
      </c>
      <c r="Y598" s="314">
        <f t="shared" si="101"/>
        <v>11510548.77667021</v>
      </c>
      <c r="Z598" s="314">
        <f t="shared" si="101"/>
        <v>16340917.165401079</v>
      </c>
      <c r="AA598" s="314">
        <f t="shared" si="101"/>
        <v>8270478.2646767683</v>
      </c>
      <c r="AB598" s="314">
        <f t="shared" si="101"/>
        <v>15529366.573419459</v>
      </c>
      <c r="AC598" s="314">
        <f t="shared" si="101"/>
        <v>13243171.765473824</v>
      </c>
      <c r="AD598" s="314">
        <f t="shared" si="101"/>
        <v>7913738.6668593436</v>
      </c>
      <c r="AE598" s="314">
        <f t="shared" si="101"/>
        <v>5678415.8707325719</v>
      </c>
      <c r="AF598" s="314">
        <f t="shared" si="101"/>
        <v>5594510.8256258965</v>
      </c>
      <c r="AG598" s="314">
        <f t="shared" si="101"/>
        <v>5947370.6713106465</v>
      </c>
      <c r="AH598" s="314">
        <f t="shared" si="101"/>
        <v>5614776.8744491227</v>
      </c>
      <c r="AI598" s="314">
        <f t="shared" si="101"/>
        <v>4147309.8979996154</v>
      </c>
      <c r="AJ598" s="314">
        <f t="shared" si="101"/>
        <v>4892053.8900845386</v>
      </c>
      <c r="AK598" s="314">
        <f t="shared" si="101"/>
        <v>4749844.9453450665</v>
      </c>
      <c r="AL598" s="314">
        <f t="shared" si="101"/>
        <v>4884896.3934215289</v>
      </c>
      <c r="AM598" s="314">
        <f t="shared" si="101"/>
        <v>7630626.8889198815</v>
      </c>
      <c r="AN598" s="314">
        <f t="shared" si="101"/>
        <v>1613142.3359424153</v>
      </c>
      <c r="AO598" s="314">
        <f t="shared" si="101"/>
        <v>1610410.7945712169</v>
      </c>
      <c r="AP598" s="314">
        <f t="shared" si="101"/>
        <v>1607671.5195852304</v>
      </c>
      <c r="AQ598" s="314">
        <f t="shared" si="101"/>
        <v>8967813.6749872509</v>
      </c>
      <c r="AR598" s="314">
        <f t="shared" si="101"/>
        <v>1136681.9159624139</v>
      </c>
      <c r="AS598" s="314">
        <f t="shared" si="101"/>
        <v>1133788.0446740701</v>
      </c>
      <c r="AT598" s="314">
        <f t="shared" si="101"/>
        <v>8511836.2423493806</v>
      </c>
      <c r="AU598" s="314">
        <f t="shared" si="101"/>
        <v>12548739.290263731</v>
      </c>
      <c r="AV598" s="314">
        <f t="shared" si="101"/>
        <v>85812.707718661317</v>
      </c>
      <c r="AW598" s="314">
        <f>+AW596+AW597</f>
        <v>80696.297263127883</v>
      </c>
      <c r="AX598" s="314"/>
      <c r="AY598" s="314"/>
      <c r="AZ598" s="314"/>
      <c r="BA598" s="314"/>
      <c r="BB598" s="314"/>
      <c r="BC598" s="314"/>
      <c r="BD598" s="314"/>
      <c r="BE598" s="314"/>
      <c r="BF598" s="314"/>
      <c r="BG598" s="314"/>
      <c r="BH598" s="314"/>
      <c r="BI598" s="314"/>
      <c r="BJ598" s="314"/>
      <c r="BK598" s="314"/>
    </row>
    <row r="599" spans="1:63">
      <c r="A599" s="167"/>
      <c r="B599" s="210" t="str">
        <f>Servicio_internaColumna_título_amortizaciones</f>
        <v>Amortizaciones</v>
      </c>
      <c r="C599" s="211"/>
      <c r="D599" s="212"/>
      <c r="E599" s="212"/>
      <c r="F599" s="212"/>
      <c r="G599" s="212"/>
      <c r="H599" s="212"/>
      <c r="I599" s="212"/>
      <c r="J599" s="212"/>
      <c r="K599" s="212"/>
      <c r="L599" s="212"/>
      <c r="M599" s="212"/>
      <c r="N599" s="212"/>
      <c r="O599" s="212"/>
      <c r="P599" s="212"/>
      <c r="Q599" s="212"/>
      <c r="R599" s="212"/>
      <c r="S599" s="267">
        <v>2073673.6183655574</v>
      </c>
      <c r="T599" s="212">
        <v>2532610.7190820514</v>
      </c>
      <c r="U599" s="212">
        <v>9927801.0822663531</v>
      </c>
      <c r="V599" s="212">
        <v>4961549.3220109176</v>
      </c>
      <c r="W599" s="212">
        <v>11025954.480376262</v>
      </c>
      <c r="X599" s="212">
        <v>2646247.8180411612</v>
      </c>
      <c r="Y599" s="212">
        <v>6572131.5828120494</v>
      </c>
      <c r="Z599" s="212">
        <v>11717480.86669613</v>
      </c>
      <c r="AA599" s="212">
        <v>4148499.1077961475</v>
      </c>
      <c r="AB599" s="212">
        <v>11683185.526777308</v>
      </c>
      <c r="AC599" s="212">
        <v>9721141.7704610191</v>
      </c>
      <c r="AD599" s="212">
        <v>4908785.6139415111</v>
      </c>
      <c r="AE599" s="212">
        <v>2855181.0833557313</v>
      </c>
      <c r="AF599" s="212">
        <v>2848666.9926897739</v>
      </c>
      <c r="AG599" s="212">
        <v>3310919.7968912399</v>
      </c>
      <c r="AH599" s="212">
        <v>3104590.5538252182</v>
      </c>
      <c r="AI599" s="212">
        <v>1808503.1008355357</v>
      </c>
      <c r="AJ599" s="212">
        <v>2617288.9750552708</v>
      </c>
      <c r="AK599" s="212">
        <v>2675873.0644813706</v>
      </c>
      <c r="AL599" s="212">
        <v>2868758.9129476887</v>
      </c>
      <c r="AM599" s="212">
        <v>5604445.2196174385</v>
      </c>
      <c r="AN599" s="212">
        <v>77399.034306947287</v>
      </c>
      <c r="AO599" s="212">
        <v>77399.034306947287</v>
      </c>
      <c r="AP599" s="212">
        <v>77399.034306947287</v>
      </c>
      <c r="AQ599" s="212">
        <v>7565474.0343069471</v>
      </c>
      <c r="AR599" s="212">
        <v>77399.034306947287</v>
      </c>
      <c r="AS599" s="212">
        <v>77399.034306947287</v>
      </c>
      <c r="AT599" s="212">
        <v>7564432.2211852036</v>
      </c>
      <c r="AU599" s="212">
        <v>12057277.221185204</v>
      </c>
      <c r="AV599" s="212">
        <v>76357.22118520434</v>
      </c>
      <c r="AW599" s="212">
        <v>76357.22118520434</v>
      </c>
      <c r="AX599" s="212"/>
      <c r="AY599" s="212"/>
      <c r="AZ599" s="212"/>
      <c r="BA599" s="212"/>
      <c r="BB599" s="212"/>
      <c r="BC599" s="212"/>
      <c r="BD599" s="212"/>
      <c r="BE599" s="212"/>
      <c r="BF599" s="212"/>
      <c r="BG599" s="212"/>
      <c r="BH599" s="212"/>
      <c r="BI599" s="212"/>
      <c r="BJ599" s="212"/>
      <c r="BK599" s="212"/>
    </row>
    <row r="600" spans="1:63">
      <c r="A600" s="168">
        <v>42917</v>
      </c>
      <c r="B600" s="213" t="str">
        <f>Servicio_internaColumna_título_intereses</f>
        <v>Intereses</v>
      </c>
      <c r="C600" s="214"/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  <c r="N600" s="215"/>
      <c r="O600" s="215"/>
      <c r="P600" s="215"/>
      <c r="Q600" s="215"/>
      <c r="R600" s="216"/>
      <c r="S600" s="268">
        <v>2271274.4060766627</v>
      </c>
      <c r="T600" s="216">
        <v>6300363.3464666111</v>
      </c>
      <c r="U600" s="216">
        <v>6086727.9986863928</v>
      </c>
      <c r="V600" s="216">
        <v>5380965.2378690131</v>
      </c>
      <c r="W600" s="216">
        <v>5297631.5919595947</v>
      </c>
      <c r="X600" s="216">
        <v>4801919.772390903</v>
      </c>
      <c r="Y600" s="216">
        <v>4778333.9930494344</v>
      </c>
      <c r="Z600" s="216">
        <v>4394404.4541868856</v>
      </c>
      <c r="AA600" s="216">
        <v>4017553.2837098078</v>
      </c>
      <c r="AB600" s="216">
        <v>3796951.0467992742</v>
      </c>
      <c r="AC600" s="216">
        <v>3377813.8782018228</v>
      </c>
      <c r="AD600" s="216">
        <v>2904870.0540747163</v>
      </c>
      <c r="AE600" s="216">
        <v>2754552.3355594827</v>
      </c>
      <c r="AF600" s="216">
        <v>2683381.0556994607</v>
      </c>
      <c r="AG600" s="216">
        <v>2564558.7482787436</v>
      </c>
      <c r="AH600" s="216">
        <v>2446248.7600486325</v>
      </c>
      <c r="AI600" s="216">
        <v>2290332.9678367702</v>
      </c>
      <c r="AJ600" s="216">
        <v>2216074.0562833692</v>
      </c>
      <c r="AK600" s="216">
        <v>2089180.6026813623</v>
      </c>
      <c r="AL600" s="216">
        <v>2037368.7486201474</v>
      </c>
      <c r="AM600" s="216">
        <v>1922076.0865180811</v>
      </c>
      <c r="AN600" s="216">
        <v>1516770.5406993874</v>
      </c>
      <c r="AO600" s="216">
        <v>1513995.720892214</v>
      </c>
      <c r="AP600" s="216">
        <v>1511234.6754054734</v>
      </c>
      <c r="AQ600" s="216">
        <v>1278963.0352455552</v>
      </c>
      <c r="AR600" s="216">
        <v>1046720.6395182507</v>
      </c>
      <c r="AS600" s="216">
        <v>1043758.4458520999</v>
      </c>
      <c r="AT600" s="216">
        <v>830181.41285064432</v>
      </c>
      <c r="AU600" s="216">
        <v>316937.88617992873</v>
      </c>
      <c r="AV600" s="216">
        <v>12693.236893385651</v>
      </c>
      <c r="AW600" s="216">
        <v>4477.573140622032</v>
      </c>
      <c r="AX600" s="216"/>
      <c r="AY600" s="216"/>
      <c r="AZ600" s="216"/>
      <c r="BA600" s="216"/>
      <c r="BB600" s="216"/>
      <c r="BC600" s="216"/>
      <c r="BD600" s="216"/>
      <c r="BE600" s="216"/>
      <c r="BF600" s="216"/>
      <c r="BG600" s="216"/>
      <c r="BH600" s="216"/>
      <c r="BI600" s="216"/>
      <c r="BJ600" s="216"/>
      <c r="BK600" s="216"/>
    </row>
    <row r="601" spans="1:63" s="80" customFormat="1" ht="12.75">
      <c r="A601" s="169"/>
      <c r="B601" s="307" t="str">
        <f>Servicio_internaColumna_título_total</f>
        <v>Total</v>
      </c>
      <c r="C601" s="313">
        <v>0</v>
      </c>
      <c r="D601" s="314"/>
      <c r="E601" s="314"/>
      <c r="F601" s="314"/>
      <c r="G601" s="314"/>
      <c r="H601" s="314"/>
      <c r="I601" s="314"/>
      <c r="J601" s="314"/>
      <c r="K601" s="314"/>
      <c r="L601" s="314"/>
      <c r="M601" s="314"/>
      <c r="N601" s="314"/>
      <c r="O601" s="314"/>
      <c r="P601" s="314"/>
      <c r="Q601" s="314"/>
      <c r="R601" s="314"/>
      <c r="S601" s="315">
        <f>+S599+S600</f>
        <v>4344948.0244422201</v>
      </c>
      <c r="T601" s="314">
        <f t="shared" ref="T601:AV601" si="102">+T599+T600</f>
        <v>8832974.0655486621</v>
      </c>
      <c r="U601" s="314">
        <f t="shared" si="102"/>
        <v>16014529.080952745</v>
      </c>
      <c r="V601" s="314">
        <f t="shared" si="102"/>
        <v>10342514.559879931</v>
      </c>
      <c r="W601" s="314">
        <f t="shared" si="102"/>
        <v>16323586.072335858</v>
      </c>
      <c r="X601" s="314">
        <f t="shared" si="102"/>
        <v>7448167.5904320646</v>
      </c>
      <c r="Y601" s="314">
        <f t="shared" si="102"/>
        <v>11350465.575861484</v>
      </c>
      <c r="Z601" s="314">
        <f t="shared" si="102"/>
        <v>16111885.320883017</v>
      </c>
      <c r="AA601" s="314">
        <f t="shared" si="102"/>
        <v>8166052.3915059548</v>
      </c>
      <c r="AB601" s="314">
        <f t="shared" si="102"/>
        <v>15480136.573576583</v>
      </c>
      <c r="AC601" s="314">
        <f t="shared" si="102"/>
        <v>13098955.648662843</v>
      </c>
      <c r="AD601" s="314">
        <f t="shared" si="102"/>
        <v>7813655.668016227</v>
      </c>
      <c r="AE601" s="314">
        <f t="shared" si="102"/>
        <v>5609733.418915214</v>
      </c>
      <c r="AF601" s="314">
        <f t="shared" si="102"/>
        <v>5532048.0483892346</v>
      </c>
      <c r="AG601" s="314">
        <f t="shared" si="102"/>
        <v>5875478.5451699831</v>
      </c>
      <c r="AH601" s="314">
        <f t="shared" si="102"/>
        <v>5550839.3138738507</v>
      </c>
      <c r="AI601" s="314">
        <f t="shared" si="102"/>
        <v>4098836.0686723059</v>
      </c>
      <c r="AJ601" s="314">
        <f t="shared" si="102"/>
        <v>4833363.0313386396</v>
      </c>
      <c r="AK601" s="314">
        <f t="shared" si="102"/>
        <v>4765053.6671627332</v>
      </c>
      <c r="AL601" s="314">
        <f t="shared" si="102"/>
        <v>4906127.6615678361</v>
      </c>
      <c r="AM601" s="314">
        <f t="shared" si="102"/>
        <v>7526521.3061355194</v>
      </c>
      <c r="AN601" s="314">
        <f t="shared" si="102"/>
        <v>1594169.5750063348</v>
      </c>
      <c r="AO601" s="314">
        <f t="shared" si="102"/>
        <v>1591394.7551991614</v>
      </c>
      <c r="AP601" s="314">
        <f t="shared" si="102"/>
        <v>1588633.7097124208</v>
      </c>
      <c r="AQ601" s="314">
        <f t="shared" si="102"/>
        <v>8844437.0695525017</v>
      </c>
      <c r="AR601" s="314">
        <f t="shared" si="102"/>
        <v>1124119.6738251981</v>
      </c>
      <c r="AS601" s="314">
        <f t="shared" si="102"/>
        <v>1121157.4801590473</v>
      </c>
      <c r="AT601" s="314">
        <f t="shared" si="102"/>
        <v>8394613.6340358481</v>
      </c>
      <c r="AU601" s="314">
        <f t="shared" si="102"/>
        <v>12374215.107365133</v>
      </c>
      <c r="AV601" s="314">
        <f t="shared" si="102"/>
        <v>89050.458078589989</v>
      </c>
      <c r="AW601" s="314">
        <f>+AW599+AW600</f>
        <v>80834.794325826369</v>
      </c>
      <c r="AX601" s="314"/>
      <c r="AY601" s="314"/>
      <c r="AZ601" s="314"/>
      <c r="BA601" s="314"/>
      <c r="BB601" s="314"/>
      <c r="BC601" s="314"/>
      <c r="BD601" s="314"/>
      <c r="BE601" s="314"/>
      <c r="BF601" s="314"/>
      <c r="BG601" s="314"/>
      <c r="BH601" s="314"/>
      <c r="BI601" s="314"/>
      <c r="BJ601" s="314"/>
      <c r="BK601" s="314"/>
    </row>
    <row r="602" spans="1:63">
      <c r="A602" s="167"/>
      <c r="B602" s="210" t="str">
        <f>Servicio_internaColumna_título_amortizaciones</f>
        <v>Amortizaciones</v>
      </c>
      <c r="C602" s="211"/>
      <c r="D602" s="212"/>
      <c r="E602" s="212"/>
      <c r="F602" s="212"/>
      <c r="G602" s="212"/>
      <c r="H602" s="212"/>
      <c r="I602" s="212"/>
      <c r="J602" s="212"/>
      <c r="K602" s="212"/>
      <c r="L602" s="212"/>
      <c r="M602" s="212"/>
      <c r="N602" s="212"/>
      <c r="O602" s="212"/>
      <c r="P602" s="212"/>
      <c r="Q602" s="212"/>
      <c r="R602" s="212"/>
      <c r="S602" s="267">
        <v>1981061.7418654086</v>
      </c>
      <c r="T602" s="235">
        <v>2431788.7519913446</v>
      </c>
      <c r="U602" s="235">
        <v>9707668.373573428</v>
      </c>
      <c r="V602" s="235">
        <v>4833137.6664585555</v>
      </c>
      <c r="W602" s="235">
        <v>10843516.170692598</v>
      </c>
      <c r="X602" s="235">
        <v>2578568.137355004</v>
      </c>
      <c r="Y602" s="235">
        <v>6540196.2519614799</v>
      </c>
      <c r="Z602" s="235">
        <v>11572309.184575234</v>
      </c>
      <c r="AA602" s="235">
        <v>4153919.2582100872</v>
      </c>
      <c r="AB602" s="235">
        <v>11637953.492303241</v>
      </c>
      <c r="AC602" s="235">
        <v>13770305.440594321</v>
      </c>
      <c r="AD602" s="235">
        <v>4900745.3350379504</v>
      </c>
      <c r="AE602" s="235">
        <v>2891044.5701106219</v>
      </c>
      <c r="AF602" s="235">
        <v>2882240.0569426492</v>
      </c>
      <c r="AG602" s="235">
        <v>3335033.2250456735</v>
      </c>
      <c r="AH602" s="235">
        <v>3132268.0066424464</v>
      </c>
      <c r="AI602" s="235">
        <v>1861199.3306096327</v>
      </c>
      <c r="AJ602" s="235">
        <v>2653737.8512696368</v>
      </c>
      <c r="AK602" s="235">
        <v>2729727.2976466366</v>
      </c>
      <c r="AL602" s="235">
        <v>2922489.432257683</v>
      </c>
      <c r="AM602" s="235">
        <v>5584266.4991089609</v>
      </c>
      <c r="AN602" s="235">
        <v>76501.651655323585</v>
      </c>
      <c r="AO602" s="235">
        <v>76501.651655323585</v>
      </c>
      <c r="AP602" s="235">
        <v>76501.651655323585</v>
      </c>
      <c r="AQ602" s="235">
        <v>7419226.6516553247</v>
      </c>
      <c r="AR602" s="235">
        <v>76501.651655323585</v>
      </c>
      <c r="AS602" s="235">
        <v>76501.651655323585</v>
      </c>
      <c r="AT602" s="235">
        <v>7418205.0610256437</v>
      </c>
      <c r="AU602" s="235">
        <v>11823840.061025644</v>
      </c>
      <c r="AV602" s="235">
        <v>75480.061025642397</v>
      </c>
      <c r="AW602" s="235">
        <v>75480.061025642397</v>
      </c>
      <c r="AX602" s="235"/>
      <c r="AY602" s="235"/>
      <c r="AZ602" s="235"/>
      <c r="BA602" s="235"/>
      <c r="BB602" s="235"/>
      <c r="BC602" s="235"/>
      <c r="BD602" s="235"/>
      <c r="BE602" s="235"/>
      <c r="BF602" s="235"/>
      <c r="BG602" s="235"/>
      <c r="BH602" s="235"/>
      <c r="BI602" s="235"/>
      <c r="BJ602" s="235"/>
      <c r="BK602" s="235"/>
    </row>
    <row r="603" spans="1:63">
      <c r="A603" s="168">
        <v>42948</v>
      </c>
      <c r="B603" s="213" t="str">
        <f>Servicio_internaColumna_título_intereses</f>
        <v>Intereses</v>
      </c>
      <c r="C603" s="214"/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  <c r="N603" s="215"/>
      <c r="O603" s="215"/>
      <c r="P603" s="215"/>
      <c r="Q603" s="215"/>
      <c r="R603" s="216"/>
      <c r="S603" s="268">
        <v>2227187.0091257449</v>
      </c>
      <c r="T603" s="236">
        <v>6178067.8549806261</v>
      </c>
      <c r="U603" s="236">
        <v>5968579.3537263637</v>
      </c>
      <c r="V603" s="236">
        <v>5276516.0573621057</v>
      </c>
      <c r="W603" s="236">
        <v>5194799.989459442</v>
      </c>
      <c r="X603" s="236">
        <v>4708710.3642430119</v>
      </c>
      <c r="Y603" s="236">
        <v>4685582.4052395187</v>
      </c>
      <c r="Z603" s="236">
        <v>4309105.2701621447</v>
      </c>
      <c r="AA603" s="236">
        <v>3939569.1062293183</v>
      </c>
      <c r="AB603" s="236">
        <v>3723248.9491770854</v>
      </c>
      <c r="AC603" s="236">
        <v>3312247.5948517448</v>
      </c>
      <c r="AD603" s="236">
        <v>2848484.0186303919</v>
      </c>
      <c r="AE603" s="236">
        <v>2701084.0967967073</v>
      </c>
      <c r="AF603" s="236">
        <v>2631294.3129189843</v>
      </c>
      <c r="AG603" s="236">
        <v>2514778.4490613462</v>
      </c>
      <c r="AH603" s="236">
        <v>2398764.9598365529</v>
      </c>
      <c r="AI603" s="236">
        <v>2245875.6277493546</v>
      </c>
      <c r="AJ603" s="236">
        <v>2173058.1457748888</v>
      </c>
      <c r="AK603" s="236">
        <v>2048627.8036509391</v>
      </c>
      <c r="AL603" s="236">
        <v>1997821.6624048066</v>
      </c>
      <c r="AM603" s="236">
        <v>1884766.930403138</v>
      </c>
      <c r="AN603" s="236">
        <v>1487328.7151179588</v>
      </c>
      <c r="AO603" s="236">
        <v>1484607.7569586686</v>
      </c>
      <c r="AP603" s="236">
        <v>1481900.3057483607</v>
      </c>
      <c r="AQ603" s="236">
        <v>1254137.25863769</v>
      </c>
      <c r="AR603" s="236">
        <v>1026402.88829995</v>
      </c>
      <c r="AS603" s="236">
        <v>1023498.1933700397</v>
      </c>
      <c r="AT603" s="236">
        <v>814066.87495434366</v>
      </c>
      <c r="AU603" s="236">
        <v>310785.84820538218</v>
      </c>
      <c r="AV603" s="236">
        <v>12446.850207561376</v>
      </c>
      <c r="AW603" s="236">
        <v>4390.6595805963361</v>
      </c>
      <c r="AX603" s="236"/>
      <c r="AY603" s="236"/>
      <c r="AZ603" s="236"/>
      <c r="BA603" s="236"/>
      <c r="BB603" s="236"/>
      <c r="BC603" s="236"/>
      <c r="BD603" s="236"/>
      <c r="BE603" s="236"/>
      <c r="BF603" s="236"/>
      <c r="BG603" s="236"/>
      <c r="BH603" s="236"/>
      <c r="BI603" s="236"/>
      <c r="BJ603" s="236"/>
      <c r="BK603" s="236"/>
    </row>
    <row r="604" spans="1:63" s="80" customFormat="1" ht="12.75">
      <c r="A604" s="169"/>
      <c r="B604" s="307" t="str">
        <f>Servicio_internaColumna_título_total</f>
        <v>Total</v>
      </c>
      <c r="C604" s="313">
        <v>0</v>
      </c>
      <c r="D604" s="314"/>
      <c r="E604" s="314"/>
      <c r="F604" s="314"/>
      <c r="G604" s="314"/>
      <c r="H604" s="314"/>
      <c r="I604" s="314"/>
      <c r="J604" s="314"/>
      <c r="K604" s="314"/>
      <c r="L604" s="314"/>
      <c r="M604" s="314"/>
      <c r="N604" s="314"/>
      <c r="O604" s="314"/>
      <c r="P604" s="314"/>
      <c r="Q604" s="314"/>
      <c r="R604" s="314"/>
      <c r="S604" s="315">
        <f>+S602+S603</f>
        <v>4208248.7509911535</v>
      </c>
      <c r="T604" s="311">
        <f>+T602+T603</f>
        <v>8609856.6069719717</v>
      </c>
      <c r="U604" s="311">
        <f>+U602+U603</f>
        <v>15676247.727299791</v>
      </c>
      <c r="V604" s="311">
        <f t="shared" ref="V604:AV604" si="103">+V602+V603</f>
        <v>10109653.72382066</v>
      </c>
      <c r="W604" s="311">
        <f t="shared" si="103"/>
        <v>16038316.16015204</v>
      </c>
      <c r="X604" s="311">
        <f t="shared" si="103"/>
        <v>7287278.5015980154</v>
      </c>
      <c r="Y604" s="311">
        <f>+Y602+Y603</f>
        <v>11225778.657201</v>
      </c>
      <c r="Z604" s="311">
        <f t="shared" si="103"/>
        <v>15881414.454737378</v>
      </c>
      <c r="AA604" s="311">
        <f t="shared" si="103"/>
        <v>8093488.3644394055</v>
      </c>
      <c r="AB604" s="311">
        <f t="shared" si="103"/>
        <v>15361202.441480327</v>
      </c>
      <c r="AC604" s="311">
        <f t="shared" si="103"/>
        <v>17082553.035446066</v>
      </c>
      <c r="AD604" s="311">
        <f t="shared" si="103"/>
        <v>7749229.3536683423</v>
      </c>
      <c r="AE604" s="311">
        <f t="shared" si="103"/>
        <v>5592128.6669073291</v>
      </c>
      <c r="AF604" s="311">
        <f t="shared" si="103"/>
        <v>5513534.3698616335</v>
      </c>
      <c r="AG604" s="311">
        <f t="shared" si="103"/>
        <v>5849811.6741070198</v>
      </c>
      <c r="AH604" s="311">
        <f t="shared" si="103"/>
        <v>5531032.9664789997</v>
      </c>
      <c r="AI604" s="311">
        <f t="shared" si="103"/>
        <v>4107074.9583589872</v>
      </c>
      <c r="AJ604" s="311">
        <f t="shared" si="103"/>
        <v>4826795.997044526</v>
      </c>
      <c r="AK604" s="311">
        <f t="shared" si="103"/>
        <v>4778355.101297576</v>
      </c>
      <c r="AL604" s="311">
        <f t="shared" si="103"/>
        <v>4920311.0946624894</v>
      </c>
      <c r="AM604" s="311">
        <f t="shared" si="103"/>
        <v>7469033.4295120984</v>
      </c>
      <c r="AN604" s="311">
        <f t="shared" si="103"/>
        <v>1563830.3667732824</v>
      </c>
      <c r="AO604" s="311">
        <f t="shared" si="103"/>
        <v>1561109.4086139922</v>
      </c>
      <c r="AP604" s="311">
        <f t="shared" si="103"/>
        <v>1558401.9574036843</v>
      </c>
      <c r="AQ604" s="311">
        <f t="shared" si="103"/>
        <v>8673363.9102930147</v>
      </c>
      <c r="AR604" s="311">
        <f t="shared" si="103"/>
        <v>1102904.5399552737</v>
      </c>
      <c r="AS604" s="311">
        <f t="shared" si="103"/>
        <v>1099999.8450253634</v>
      </c>
      <c r="AT604" s="311">
        <f t="shared" si="103"/>
        <v>8232271.9359799875</v>
      </c>
      <c r="AU604" s="311">
        <f t="shared" si="103"/>
        <v>12134625.909231026</v>
      </c>
      <c r="AV604" s="311">
        <f t="shared" si="103"/>
        <v>87926.911233203777</v>
      </c>
      <c r="AW604" s="311">
        <f>+AW602+AW603</f>
        <v>79870.720606238727</v>
      </c>
      <c r="AX604" s="311"/>
      <c r="AY604" s="311"/>
      <c r="AZ604" s="311"/>
      <c r="BA604" s="311"/>
      <c r="BB604" s="311"/>
      <c r="BC604" s="311"/>
      <c r="BD604" s="311"/>
      <c r="BE604" s="311"/>
      <c r="BF604" s="311"/>
      <c r="BG604" s="311"/>
      <c r="BH604" s="311"/>
      <c r="BI604" s="311"/>
      <c r="BJ604" s="311"/>
      <c r="BK604" s="311"/>
    </row>
    <row r="605" spans="1:63">
      <c r="A605" s="167"/>
      <c r="B605" s="210" t="str">
        <f>Servicio_internaColumna_título_amortizaciones</f>
        <v>Amortizaciones</v>
      </c>
      <c r="C605" s="211"/>
      <c r="D605" s="212"/>
      <c r="E605" s="212"/>
      <c r="F605" s="212"/>
      <c r="G605" s="212"/>
      <c r="H605" s="212"/>
      <c r="I605" s="212"/>
      <c r="J605" s="212"/>
      <c r="K605" s="212"/>
      <c r="L605" s="212"/>
      <c r="M605" s="212"/>
      <c r="N605" s="212"/>
      <c r="O605" s="212"/>
      <c r="P605" s="212"/>
      <c r="Q605" s="212"/>
      <c r="R605" s="212"/>
      <c r="S605" s="267">
        <v>1908123.8866702912</v>
      </c>
      <c r="T605" s="235">
        <v>2383363.3061340041</v>
      </c>
      <c r="U605" s="235">
        <v>9641832.729995545</v>
      </c>
      <c r="V605" s="235">
        <v>4829953.0052744867</v>
      </c>
      <c r="W605" s="235">
        <v>10848815.898768833</v>
      </c>
      <c r="X605" s="235">
        <v>2572318.0847555534</v>
      </c>
      <c r="Y605" s="235">
        <v>6539478.2349764034</v>
      </c>
      <c r="Z605" s="235">
        <v>11578256.390385436</v>
      </c>
      <c r="AA605" s="235">
        <v>4149926.0618457077</v>
      </c>
      <c r="AB605" s="235">
        <v>11633675.688524084</v>
      </c>
      <c r="AC605" s="235">
        <v>13779618.858716154</v>
      </c>
      <c r="AD605" s="235">
        <v>4900546.9356594235</v>
      </c>
      <c r="AE605" s="235">
        <v>2888099.970734681</v>
      </c>
      <c r="AF605" s="235">
        <v>2879283.5267227748</v>
      </c>
      <c r="AG605" s="235">
        <v>3334507.6166760796</v>
      </c>
      <c r="AH605" s="235">
        <v>3133727.2096858602</v>
      </c>
      <c r="AI605" s="235">
        <v>1861052.7690970723</v>
      </c>
      <c r="AJ605" s="235">
        <v>2656179.0643365323</v>
      </c>
      <c r="AK605" s="235">
        <v>2719705.49643035</v>
      </c>
      <c r="AL605" s="235">
        <v>2911916.4569134484</v>
      </c>
      <c r="AM605" s="235">
        <v>5591419.2055461211</v>
      </c>
      <c r="AN605" s="235">
        <v>76195.31884098603</v>
      </c>
      <c r="AO605" s="235">
        <v>76195.31884098603</v>
      </c>
      <c r="AP605" s="235">
        <v>76195.31884098603</v>
      </c>
      <c r="AQ605" s="235">
        <v>7428870.3188409861</v>
      </c>
      <c r="AR605" s="235">
        <v>76195.31884098603</v>
      </c>
      <c r="AS605" s="235">
        <v>76195.31884098603</v>
      </c>
      <c r="AT605" s="235">
        <v>7427847.3438714631</v>
      </c>
      <c r="AU605" s="235">
        <v>11839452.343871463</v>
      </c>
      <c r="AV605" s="235">
        <v>75172.343871462974</v>
      </c>
      <c r="AW605" s="235">
        <v>75172.343871462974</v>
      </c>
      <c r="AX605" s="235"/>
      <c r="AY605" s="235"/>
      <c r="AZ605" s="235"/>
      <c r="BA605" s="235"/>
      <c r="BB605" s="235"/>
      <c r="BC605" s="235"/>
      <c r="BD605" s="235"/>
      <c r="BE605" s="235"/>
      <c r="BF605" s="235"/>
      <c r="BG605" s="235"/>
      <c r="BH605" s="235"/>
      <c r="BI605" s="235"/>
      <c r="BJ605" s="235"/>
      <c r="BK605" s="235"/>
    </row>
    <row r="606" spans="1:63">
      <c r="A606" s="168">
        <v>42979</v>
      </c>
      <c r="B606" s="213" t="str">
        <f>Servicio_internaColumna_título_intereses</f>
        <v>Intereses</v>
      </c>
      <c r="C606" s="214"/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  <c r="N606" s="215"/>
      <c r="O606" s="215"/>
      <c r="P606" s="215"/>
      <c r="Q606" s="215"/>
      <c r="R606" s="216"/>
      <c r="S606" s="268">
        <v>1135994.7402840441</v>
      </c>
      <c r="T606" s="236">
        <v>6450575.6758215409</v>
      </c>
      <c r="U606" s="236">
        <v>6298501.555600483</v>
      </c>
      <c r="V606" s="236">
        <v>5652304.5433148192</v>
      </c>
      <c r="W606" s="236">
        <v>5506261.770825522</v>
      </c>
      <c r="X606" s="236">
        <v>4995216.2868895987</v>
      </c>
      <c r="Y606" s="236">
        <v>4922645.1376373153</v>
      </c>
      <c r="Z606" s="236">
        <v>4539096.284456999</v>
      </c>
      <c r="AA606" s="236">
        <v>4172634.5525344918</v>
      </c>
      <c r="AB606" s="236">
        <v>3938852.8670685082</v>
      </c>
      <c r="AC606" s="236">
        <v>3442167.1102701682</v>
      </c>
      <c r="AD606" s="236">
        <v>2886484.2980560693</v>
      </c>
      <c r="AE606" s="236">
        <v>2732807.7130379495</v>
      </c>
      <c r="AF606" s="236">
        <v>2657793.8136619129</v>
      </c>
      <c r="AG606" s="236">
        <v>2537576.1482176906</v>
      </c>
      <c r="AH606" s="236">
        <v>2423712.088725239</v>
      </c>
      <c r="AI606" s="236">
        <v>2265771.7535348432</v>
      </c>
      <c r="AJ606" s="236">
        <v>2188630.8394018393</v>
      </c>
      <c r="AK606" s="236">
        <v>2059463.0733134404</v>
      </c>
      <c r="AL606" s="236">
        <v>2004420.6273009565</v>
      </c>
      <c r="AM606" s="236">
        <v>1889238.0446144841</v>
      </c>
      <c r="AN606" s="236">
        <v>1488858.9910426151</v>
      </c>
      <c r="AO606" s="236">
        <v>1486149.3215211569</v>
      </c>
      <c r="AP606" s="236">
        <v>1483355.3495002356</v>
      </c>
      <c r="AQ606" s="236">
        <v>1255317.5365920807</v>
      </c>
      <c r="AR606" s="236">
        <v>1027282.8084877575</v>
      </c>
      <c r="AS606" s="236">
        <v>1024416.0083560189</v>
      </c>
      <c r="AT606" s="236">
        <v>814683.58188522363</v>
      </c>
      <c r="AU606" s="236">
        <v>310784.7461553996</v>
      </c>
      <c r="AV606" s="236">
        <v>13663.817366513607</v>
      </c>
      <c r="AW606" s="236">
        <v>3185.8197108175877</v>
      </c>
      <c r="AX606" s="236"/>
      <c r="AY606" s="236"/>
      <c r="AZ606" s="236"/>
      <c r="BA606" s="236"/>
      <c r="BB606" s="236"/>
      <c r="BC606" s="236"/>
      <c r="BD606" s="236"/>
      <c r="BE606" s="236"/>
      <c r="BF606" s="236"/>
      <c r="BG606" s="236"/>
      <c r="BH606" s="236"/>
      <c r="BI606" s="236"/>
      <c r="BJ606" s="236"/>
      <c r="BK606" s="236"/>
    </row>
    <row r="607" spans="1:63">
      <c r="A607" s="169"/>
      <c r="B607" s="307" t="str">
        <f>Servicio_internaColumna_título_total</f>
        <v>Total</v>
      </c>
      <c r="C607" s="313">
        <v>0</v>
      </c>
      <c r="D607" s="314"/>
      <c r="E607" s="314"/>
      <c r="F607" s="314"/>
      <c r="G607" s="314"/>
      <c r="H607" s="314"/>
      <c r="I607" s="314"/>
      <c r="J607" s="314"/>
      <c r="K607" s="314"/>
      <c r="L607" s="314"/>
      <c r="M607" s="314"/>
      <c r="N607" s="314"/>
      <c r="O607" s="314"/>
      <c r="P607" s="314"/>
      <c r="Q607" s="314"/>
      <c r="R607" s="314"/>
      <c r="S607" s="315">
        <f t="shared" ref="S607:Y607" si="104">+S605+S606</f>
        <v>3044118.6269543353</v>
      </c>
      <c r="T607" s="311">
        <f t="shared" si="104"/>
        <v>8833938.981955545</v>
      </c>
      <c r="U607" s="311">
        <f t="shared" si="104"/>
        <v>15940334.285596028</v>
      </c>
      <c r="V607" s="311">
        <f t="shared" si="104"/>
        <v>10482257.548589306</v>
      </c>
      <c r="W607" s="311">
        <f t="shared" si="104"/>
        <v>16355077.669594355</v>
      </c>
      <c r="X607" s="311">
        <f t="shared" si="104"/>
        <v>7567534.3716451526</v>
      </c>
      <c r="Y607" s="311">
        <f t="shared" si="104"/>
        <v>11462123.372613719</v>
      </c>
      <c r="Z607" s="311">
        <f t="shared" ref="Z607:AV607" si="105">+Z605+Z606</f>
        <v>16117352.674842436</v>
      </c>
      <c r="AA607" s="311">
        <f t="shared" si="105"/>
        <v>8322560.6143801995</v>
      </c>
      <c r="AB607" s="311">
        <f t="shared" si="105"/>
        <v>15572528.555592593</v>
      </c>
      <c r="AC607" s="311">
        <f t="shared" si="105"/>
        <v>17221785.968986321</v>
      </c>
      <c r="AD607" s="311">
        <f t="shared" si="105"/>
        <v>7787031.2337154932</v>
      </c>
      <c r="AE607" s="311">
        <f t="shared" si="105"/>
        <v>5620907.683772631</v>
      </c>
      <c r="AF607" s="311">
        <f t="shared" si="105"/>
        <v>5537077.3403846882</v>
      </c>
      <c r="AG607" s="311">
        <f t="shared" si="105"/>
        <v>5872083.7648937702</v>
      </c>
      <c r="AH607" s="311">
        <f t="shared" si="105"/>
        <v>5557439.2984110992</v>
      </c>
      <c r="AI607" s="311">
        <f t="shared" si="105"/>
        <v>4126824.5226319153</v>
      </c>
      <c r="AJ607" s="311">
        <f t="shared" si="105"/>
        <v>4844809.903738372</v>
      </c>
      <c r="AK607" s="311">
        <f t="shared" si="105"/>
        <v>4779168.5697437907</v>
      </c>
      <c r="AL607" s="311">
        <f t="shared" si="105"/>
        <v>4916337.0842144052</v>
      </c>
      <c r="AM607" s="311">
        <f t="shared" si="105"/>
        <v>7480657.2501606047</v>
      </c>
      <c r="AN607" s="311">
        <f t="shared" si="105"/>
        <v>1565054.3098836013</v>
      </c>
      <c r="AO607" s="311">
        <f t="shared" si="105"/>
        <v>1562344.6403621431</v>
      </c>
      <c r="AP607" s="311">
        <f t="shared" si="105"/>
        <v>1559550.6683412218</v>
      </c>
      <c r="AQ607" s="311">
        <f t="shared" si="105"/>
        <v>8684187.8554330673</v>
      </c>
      <c r="AR607" s="311">
        <f t="shared" si="105"/>
        <v>1103478.1273287435</v>
      </c>
      <c r="AS607" s="311">
        <f t="shared" si="105"/>
        <v>1100611.327197005</v>
      </c>
      <c r="AT607" s="311">
        <f t="shared" si="105"/>
        <v>8242530.9257566864</v>
      </c>
      <c r="AU607" s="311">
        <f t="shared" si="105"/>
        <v>12150237.090026863</v>
      </c>
      <c r="AV607" s="311">
        <f t="shared" si="105"/>
        <v>88836.161237976587</v>
      </c>
      <c r="AW607" s="311">
        <f>+AW605+AW606</f>
        <v>78358.163582280555</v>
      </c>
      <c r="AX607" s="311"/>
      <c r="AY607" s="311"/>
      <c r="AZ607" s="311"/>
      <c r="BA607" s="311"/>
      <c r="BB607" s="311"/>
      <c r="BC607" s="311"/>
      <c r="BD607" s="311"/>
      <c r="BE607" s="311"/>
      <c r="BF607" s="311"/>
      <c r="BG607" s="311"/>
      <c r="BH607" s="311"/>
      <c r="BI607" s="311"/>
      <c r="BJ607" s="311"/>
      <c r="BK607" s="311"/>
    </row>
    <row r="608" spans="1:63">
      <c r="A608" s="167"/>
      <c r="B608" s="210" t="str">
        <f>Servicio_internaColumna_título_amortizaciones</f>
        <v>Amortizaciones</v>
      </c>
      <c r="C608" s="211"/>
      <c r="D608" s="212"/>
      <c r="E608" s="212"/>
      <c r="F608" s="212"/>
      <c r="G608" s="212"/>
      <c r="H608" s="212"/>
      <c r="I608" s="212"/>
      <c r="J608" s="212"/>
      <c r="K608" s="212"/>
      <c r="L608" s="212"/>
      <c r="M608" s="212"/>
      <c r="N608" s="212"/>
      <c r="O608" s="212"/>
      <c r="P608" s="212"/>
      <c r="Q608" s="212"/>
      <c r="R608" s="212"/>
      <c r="S608" s="267">
        <v>1926212.3389412318</v>
      </c>
      <c r="T608" s="235">
        <v>2413672.3803045657</v>
      </c>
      <c r="U608" s="235">
        <v>9834637.2524262834</v>
      </c>
      <c r="V608" s="235">
        <v>4938422.2885076553</v>
      </c>
      <c r="W608" s="235">
        <v>11037392.184473593</v>
      </c>
      <c r="X608" s="235">
        <v>2625693.1493394594</v>
      </c>
      <c r="Y608" s="235">
        <v>6662365.064222957</v>
      </c>
      <c r="Z608" s="235">
        <v>11849030.796119224</v>
      </c>
      <c r="AA608" s="235">
        <v>4242965.2877914133</v>
      </c>
      <c r="AB608" s="235">
        <v>11878398.396830609</v>
      </c>
      <c r="AC608" s="235">
        <v>14053728.397959886</v>
      </c>
      <c r="AD608" s="235">
        <v>5011209.5981250303</v>
      </c>
      <c r="AE608" s="235">
        <v>2963057.8744269731</v>
      </c>
      <c r="AF608" s="235">
        <v>2951572.3004201958</v>
      </c>
      <c r="AG608" s="235">
        <v>3413282.1691385871</v>
      </c>
      <c r="AH608" s="235">
        <v>3208483.3406964592</v>
      </c>
      <c r="AI608" s="235">
        <v>1905509.018622027</v>
      </c>
      <c r="AJ608" s="235">
        <v>2718949.6035030098</v>
      </c>
      <c r="AK608" s="235">
        <v>2750965.2123753391</v>
      </c>
      <c r="AL608" s="235">
        <v>2943693.5550209866</v>
      </c>
      <c r="AM608" s="235">
        <v>5724393.3780633891</v>
      </c>
      <c r="AN608" s="235">
        <v>76940.700710543417</v>
      </c>
      <c r="AO608" s="235">
        <v>76940.700710543417</v>
      </c>
      <c r="AP608" s="235">
        <v>76940.700710543417</v>
      </c>
      <c r="AQ608" s="235">
        <v>7605540.7007105434</v>
      </c>
      <c r="AR608" s="235">
        <v>76940.700710543417</v>
      </c>
      <c r="AS608" s="235">
        <v>76940.700710543417</v>
      </c>
      <c r="AT608" s="235">
        <v>7604493.2493604496</v>
      </c>
      <c r="AU608" s="235">
        <v>12121653.24936045</v>
      </c>
      <c r="AV608" s="235">
        <v>75893.249360449568</v>
      </c>
      <c r="AW608" s="235">
        <v>75893.249360449568</v>
      </c>
      <c r="AX608" s="235"/>
      <c r="AY608" s="235"/>
      <c r="AZ608" s="235"/>
      <c r="BA608" s="235"/>
      <c r="BB608" s="235"/>
      <c r="BC608" s="235"/>
      <c r="BD608" s="235"/>
      <c r="BE608" s="235"/>
      <c r="BF608" s="235"/>
      <c r="BG608" s="235"/>
      <c r="BH608" s="235"/>
      <c r="BI608" s="235"/>
      <c r="BJ608" s="235"/>
      <c r="BK608" s="235"/>
    </row>
    <row r="609" spans="1:63">
      <c r="A609" s="168">
        <v>43009</v>
      </c>
      <c r="B609" s="213" t="str">
        <f>Servicio_internaColumna_título_intereses</f>
        <v>Intereses</v>
      </c>
      <c r="C609" s="214"/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6"/>
      <c r="S609" s="268">
        <v>827303.04293651099</v>
      </c>
      <c r="T609" s="236">
        <v>6586420.6406908194</v>
      </c>
      <c r="U609" s="236">
        <v>6443778.4302783627</v>
      </c>
      <c r="V609" s="236">
        <v>5797632.9422686733</v>
      </c>
      <c r="W609" s="236">
        <v>5632985.5869107312</v>
      </c>
      <c r="X609" s="236">
        <v>5115702.8279350661</v>
      </c>
      <c r="Y609" s="236">
        <v>5049901.9588097408</v>
      </c>
      <c r="Z609" s="236">
        <v>4664100.6160774333</v>
      </c>
      <c r="AA609" s="236">
        <v>4264652.7513022674</v>
      </c>
      <c r="AB609" s="236">
        <v>4019094.7718367414</v>
      </c>
      <c r="AC609" s="236">
        <v>3512506.8971365965</v>
      </c>
      <c r="AD609" s="236">
        <v>2961097.6680224934</v>
      </c>
      <c r="AE609" s="236">
        <v>2802154.3646189189</v>
      </c>
      <c r="AF609" s="236">
        <v>2723763.2237203172</v>
      </c>
      <c r="AG609" s="236">
        <v>2598965.6593336337</v>
      </c>
      <c r="AH609" s="236">
        <v>2482587.5940928254</v>
      </c>
      <c r="AI609" s="236">
        <v>2323792.2448172779</v>
      </c>
      <c r="AJ609" s="236">
        <v>2243310.7840388953</v>
      </c>
      <c r="AK609" s="236">
        <v>2109379.4334641951</v>
      </c>
      <c r="AL609" s="236">
        <v>2052703.5542877072</v>
      </c>
      <c r="AM609" s="236">
        <v>1934525.2516167276</v>
      </c>
      <c r="AN609" s="236">
        <v>1524511.584880169</v>
      </c>
      <c r="AO609" s="236">
        <v>1521724.5454538607</v>
      </c>
      <c r="AP609" s="236">
        <v>1518878.2210863554</v>
      </c>
      <c r="AQ609" s="236">
        <v>1285371.9971398306</v>
      </c>
      <c r="AR609" s="236">
        <v>1051878.2249392015</v>
      </c>
      <c r="AS609" s="236">
        <v>1048934.3416274134</v>
      </c>
      <c r="AT609" s="236">
        <v>834192.88986831543</v>
      </c>
      <c r="AU609" s="236">
        <v>318229.12956422038</v>
      </c>
      <c r="AV609" s="236">
        <v>13996.854840956685</v>
      </c>
      <c r="AW609" s="236">
        <v>3371.9012316807211</v>
      </c>
      <c r="AX609" s="236"/>
      <c r="AY609" s="236"/>
      <c r="AZ609" s="236"/>
      <c r="BA609" s="236"/>
      <c r="BB609" s="236"/>
      <c r="BC609" s="236"/>
      <c r="BD609" s="236"/>
      <c r="BE609" s="236"/>
      <c r="BF609" s="236"/>
      <c r="BG609" s="236"/>
      <c r="BH609" s="236"/>
      <c r="BI609" s="236"/>
      <c r="BJ609" s="236"/>
      <c r="BK609" s="236"/>
    </row>
    <row r="610" spans="1:63">
      <c r="A610" s="169"/>
      <c r="B610" s="307" t="str">
        <f>Servicio_internaColumna_título_total</f>
        <v>Total</v>
      </c>
      <c r="C610" s="313">
        <v>0</v>
      </c>
      <c r="D610" s="314"/>
      <c r="E610" s="314"/>
      <c r="F610" s="314"/>
      <c r="G610" s="314"/>
      <c r="H610" s="314"/>
      <c r="I610" s="314"/>
      <c r="J610" s="314"/>
      <c r="K610" s="314"/>
      <c r="L610" s="314"/>
      <c r="M610" s="314"/>
      <c r="N610" s="314"/>
      <c r="O610" s="314"/>
      <c r="P610" s="314"/>
      <c r="Q610" s="314"/>
      <c r="R610" s="314"/>
      <c r="S610" s="315">
        <f t="shared" ref="S610:AV610" si="106">+S608+S609</f>
        <v>2753515.3818777427</v>
      </c>
      <c r="T610" s="311">
        <f t="shared" si="106"/>
        <v>9000093.0209953859</v>
      </c>
      <c r="U610" s="311">
        <f t="shared" si="106"/>
        <v>16278415.682704646</v>
      </c>
      <c r="V610" s="311">
        <f t="shared" si="106"/>
        <v>10736055.230776329</v>
      </c>
      <c r="W610" s="311">
        <f t="shared" si="106"/>
        <v>16670377.771384325</v>
      </c>
      <c r="X610" s="311">
        <f t="shared" si="106"/>
        <v>7741395.9772745259</v>
      </c>
      <c r="Y610" s="311">
        <f t="shared" si="106"/>
        <v>11712267.023032699</v>
      </c>
      <c r="Z610" s="311">
        <f t="shared" si="106"/>
        <v>16513131.412196659</v>
      </c>
      <c r="AA610" s="311">
        <f t="shared" si="106"/>
        <v>8507618.0390936807</v>
      </c>
      <c r="AB610" s="311">
        <f t="shared" si="106"/>
        <v>15897493.16866735</v>
      </c>
      <c r="AC610" s="311">
        <f t="shared" si="106"/>
        <v>17566235.295096483</v>
      </c>
      <c r="AD610" s="311">
        <f t="shared" si="106"/>
        <v>7972307.2661475241</v>
      </c>
      <c r="AE610" s="311">
        <f t="shared" si="106"/>
        <v>5765212.2390458919</v>
      </c>
      <c r="AF610" s="311">
        <f t="shared" si="106"/>
        <v>5675335.5241405126</v>
      </c>
      <c r="AG610" s="311">
        <f t="shared" si="106"/>
        <v>6012247.8284722213</v>
      </c>
      <c r="AH610" s="311">
        <f t="shared" si="106"/>
        <v>5691070.9347892851</v>
      </c>
      <c r="AI610" s="311">
        <f t="shared" si="106"/>
        <v>4229301.2634393051</v>
      </c>
      <c r="AJ610" s="311">
        <f t="shared" si="106"/>
        <v>4962260.387541905</v>
      </c>
      <c r="AK610" s="311">
        <f t="shared" si="106"/>
        <v>4860344.6458395347</v>
      </c>
      <c r="AL610" s="311">
        <f t="shared" si="106"/>
        <v>4996397.1093086936</v>
      </c>
      <c r="AM610" s="311">
        <f t="shared" si="106"/>
        <v>7658918.6296801167</v>
      </c>
      <c r="AN610" s="311">
        <f t="shared" si="106"/>
        <v>1601452.2855907124</v>
      </c>
      <c r="AO610" s="311">
        <f t="shared" si="106"/>
        <v>1598665.2461644041</v>
      </c>
      <c r="AP610" s="311">
        <f t="shared" si="106"/>
        <v>1595818.9217968988</v>
      </c>
      <c r="AQ610" s="311">
        <f t="shared" si="106"/>
        <v>8890912.6978503745</v>
      </c>
      <c r="AR610" s="311">
        <f t="shared" si="106"/>
        <v>1128818.9256497449</v>
      </c>
      <c r="AS610" s="311">
        <f t="shared" si="106"/>
        <v>1125875.0423379568</v>
      </c>
      <c r="AT610" s="311">
        <f t="shared" si="106"/>
        <v>8438686.1392287649</v>
      </c>
      <c r="AU610" s="311">
        <f t="shared" si="106"/>
        <v>12439882.37892467</v>
      </c>
      <c r="AV610" s="311">
        <f t="shared" si="106"/>
        <v>89890.104201406255</v>
      </c>
      <c r="AW610" s="311">
        <f>+AW608+AW609</f>
        <v>79265.150592130289</v>
      </c>
      <c r="AX610" s="311"/>
      <c r="AY610" s="311"/>
      <c r="AZ610" s="311"/>
      <c r="BA610" s="311"/>
      <c r="BB610" s="311"/>
      <c r="BC610" s="311"/>
      <c r="BD610" s="311"/>
      <c r="BE610" s="311"/>
      <c r="BF610" s="311"/>
      <c r="BG610" s="311"/>
      <c r="BH610" s="311"/>
      <c r="BI610" s="311"/>
      <c r="BJ610" s="311"/>
      <c r="BK610" s="311"/>
    </row>
    <row r="611" spans="1:63">
      <c r="A611" s="167"/>
      <c r="B611" s="210" t="str">
        <f>Servicio_internaColumna_título_amortizaciones</f>
        <v>Amortizaciones</v>
      </c>
      <c r="C611" s="211"/>
      <c r="D611" s="212"/>
      <c r="E611" s="212"/>
      <c r="F611" s="212"/>
      <c r="G611" s="212"/>
      <c r="H611" s="212"/>
      <c r="I611" s="212"/>
      <c r="J611" s="212"/>
      <c r="K611" s="212"/>
      <c r="L611" s="212"/>
      <c r="M611" s="212"/>
      <c r="N611" s="212"/>
      <c r="O611" s="212"/>
      <c r="P611" s="212"/>
      <c r="Q611" s="212"/>
      <c r="R611" s="212"/>
      <c r="S611" s="267">
        <v>1858006.8564620784</v>
      </c>
      <c r="T611" s="235">
        <v>2371738.5639820998</v>
      </c>
      <c r="U611" s="235">
        <v>9800934.468383275</v>
      </c>
      <c r="V611" s="235">
        <v>4911418.7112388108</v>
      </c>
      <c r="W611" s="235">
        <v>11007669.755059376</v>
      </c>
      <c r="X611" s="235">
        <v>2606530.1029171767</v>
      </c>
      <c r="Y611" s="235">
        <v>6642948.1250195159</v>
      </c>
      <c r="Z611" s="235">
        <v>11818492.707270604</v>
      </c>
      <c r="AA611" s="235">
        <v>4225939.8209673231</v>
      </c>
      <c r="AB611" s="235">
        <v>11959114.739398135</v>
      </c>
      <c r="AC611" s="235">
        <v>14025830.719875555</v>
      </c>
      <c r="AD611" s="235">
        <v>4992906.2904226817</v>
      </c>
      <c r="AE611" s="235">
        <v>2947333.224824138</v>
      </c>
      <c r="AF611" s="235">
        <v>2935868.0556140481</v>
      </c>
      <c r="AG611" s="235">
        <v>3396017.3236269709</v>
      </c>
      <c r="AH611" s="235">
        <v>3207335.9255727385</v>
      </c>
      <c r="AI611" s="235">
        <v>1905937.0307030797</v>
      </c>
      <c r="AJ611" s="235">
        <v>2715866.2080128193</v>
      </c>
      <c r="AK611" s="235">
        <v>2800350.2897241428</v>
      </c>
      <c r="AL611" s="235">
        <v>2999226.7481923448</v>
      </c>
      <c r="AM611" s="235">
        <v>5715969.2484293263</v>
      </c>
      <c r="AN611" s="235">
        <v>78517.790962802595</v>
      </c>
      <c r="AO611" s="235">
        <v>78517.790962802595</v>
      </c>
      <c r="AP611" s="235">
        <v>78517.790962802595</v>
      </c>
      <c r="AQ611" s="235">
        <v>7593742.7909628022</v>
      </c>
      <c r="AR611" s="235">
        <v>78517.790962802595</v>
      </c>
      <c r="AS611" s="235">
        <v>78517.790962802595</v>
      </c>
      <c r="AT611" s="235">
        <v>7592697.2004715418</v>
      </c>
      <c r="AU611" s="235">
        <v>12101832.200471541</v>
      </c>
      <c r="AV611" s="235">
        <v>77472.200471541408</v>
      </c>
      <c r="AW611" s="235">
        <v>77472.200471541408</v>
      </c>
      <c r="AX611" s="235"/>
      <c r="AY611" s="235"/>
      <c r="AZ611" s="235"/>
      <c r="BA611" s="235"/>
      <c r="BB611" s="235"/>
      <c r="BC611" s="235"/>
      <c r="BD611" s="235"/>
      <c r="BE611" s="235"/>
      <c r="BF611" s="235"/>
      <c r="BG611" s="235"/>
      <c r="BH611" s="235"/>
      <c r="BI611" s="235"/>
      <c r="BJ611" s="235"/>
      <c r="BK611" s="235"/>
    </row>
    <row r="612" spans="1:63">
      <c r="A612" s="168">
        <v>43040</v>
      </c>
      <c r="B612" s="213" t="str">
        <f>Servicio_internaColumna_título_intereses</f>
        <v>Intereses</v>
      </c>
      <c r="C612" s="214"/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6"/>
      <c r="S612" s="268">
        <v>472455.16121109895</v>
      </c>
      <c r="T612" s="236">
        <v>6539672.8425659379</v>
      </c>
      <c r="U612" s="236">
        <v>6432211.0709504057</v>
      </c>
      <c r="V612" s="236">
        <v>5857187.2532537216</v>
      </c>
      <c r="W612" s="236">
        <v>5643731.6030363925</v>
      </c>
      <c r="X612" s="236">
        <v>5125086.4993957644</v>
      </c>
      <c r="Y612" s="236">
        <v>5034814.1377721112</v>
      </c>
      <c r="Z612" s="236">
        <v>4647641.8955741115</v>
      </c>
      <c r="AA612" s="236">
        <v>4264966.6299545737</v>
      </c>
      <c r="AB612" s="236">
        <v>4017321.672836001</v>
      </c>
      <c r="AC612" s="236">
        <v>3508172.3360808454</v>
      </c>
      <c r="AD612" s="236">
        <v>2964654.7489649476</v>
      </c>
      <c r="AE612" s="236">
        <v>2802506.0731428391</v>
      </c>
      <c r="AF612" s="236">
        <v>2722001.5519945277</v>
      </c>
      <c r="AG612" s="236">
        <v>2596015.8131999457</v>
      </c>
      <c r="AH612" s="236">
        <v>2479843.3210726152</v>
      </c>
      <c r="AI612" s="236">
        <v>2328594.5224302891</v>
      </c>
      <c r="AJ612" s="236">
        <v>2246454.9986126428</v>
      </c>
      <c r="AK612" s="236">
        <v>2110592.1221474851</v>
      </c>
      <c r="AL612" s="236">
        <v>2052949.3162759275</v>
      </c>
      <c r="AM612" s="236">
        <v>1932096.9800391002</v>
      </c>
      <c r="AN612" s="236">
        <v>1522694.9679694106</v>
      </c>
      <c r="AO612" s="236">
        <v>1519803.2075004517</v>
      </c>
      <c r="AP612" s="236">
        <v>1516883.3500740114</v>
      </c>
      <c r="AQ612" s="236">
        <v>1283688.6508683101</v>
      </c>
      <c r="AR612" s="236">
        <v>1050522.0494823931</v>
      </c>
      <c r="AS612" s="236">
        <v>1047495.6152556684</v>
      </c>
      <c r="AT612" s="236">
        <v>833070.39386734716</v>
      </c>
      <c r="AU612" s="236">
        <v>317944.33734003536</v>
      </c>
      <c r="AV612" s="236">
        <v>14186.23086176793</v>
      </c>
      <c r="AW612" s="236">
        <v>3613.0655718790854</v>
      </c>
      <c r="AX612" s="236"/>
      <c r="AY612" s="236"/>
      <c r="AZ612" s="236"/>
      <c r="BA612" s="236"/>
      <c r="BB612" s="236"/>
      <c r="BC612" s="236"/>
      <c r="BD612" s="236"/>
      <c r="BE612" s="236"/>
      <c r="BF612" s="236"/>
      <c r="BG612" s="236"/>
      <c r="BH612" s="236"/>
      <c r="BI612" s="236"/>
      <c r="BJ612" s="236"/>
      <c r="BK612" s="236"/>
    </row>
    <row r="613" spans="1:63">
      <c r="A613" s="169"/>
      <c r="B613" s="307" t="str">
        <f>Servicio_internaColumna_título_total</f>
        <v>Total</v>
      </c>
      <c r="C613" s="313"/>
      <c r="D613" s="314"/>
      <c r="E613" s="314"/>
      <c r="F613" s="314"/>
      <c r="G613" s="314"/>
      <c r="H613" s="314"/>
      <c r="I613" s="314"/>
      <c r="J613" s="314"/>
      <c r="K613" s="314"/>
      <c r="L613" s="314"/>
      <c r="M613" s="314"/>
      <c r="N613" s="314"/>
      <c r="O613" s="314"/>
      <c r="P613" s="314"/>
      <c r="Q613" s="314"/>
      <c r="R613" s="314"/>
      <c r="S613" s="315">
        <f t="shared" ref="S613:AV613" si="107">+S611+S612</f>
        <v>2330462.0176731772</v>
      </c>
      <c r="T613" s="311">
        <f t="shared" si="107"/>
        <v>8911411.4065480381</v>
      </c>
      <c r="U613" s="311">
        <f t="shared" si="107"/>
        <v>16233145.539333681</v>
      </c>
      <c r="V613" s="311">
        <f t="shared" si="107"/>
        <v>10768605.964492533</v>
      </c>
      <c r="W613" s="311">
        <f t="shared" si="107"/>
        <v>16651401.358095769</v>
      </c>
      <c r="X613" s="311">
        <f t="shared" si="107"/>
        <v>7731616.6023129411</v>
      </c>
      <c r="Y613" s="311">
        <f t="shared" si="107"/>
        <v>11677762.262791626</v>
      </c>
      <c r="Z613" s="311">
        <f t="shared" si="107"/>
        <v>16466134.602844715</v>
      </c>
      <c r="AA613" s="311">
        <f t="shared" si="107"/>
        <v>8490906.4509218968</v>
      </c>
      <c r="AB613" s="311">
        <f t="shared" si="107"/>
        <v>15976436.412234135</v>
      </c>
      <c r="AC613" s="311">
        <f t="shared" si="107"/>
        <v>17534003.055956401</v>
      </c>
      <c r="AD613" s="311">
        <f t="shared" si="107"/>
        <v>7957561.0393876294</v>
      </c>
      <c r="AE613" s="311">
        <f t="shared" si="107"/>
        <v>5749839.2979669776</v>
      </c>
      <c r="AF613" s="311">
        <f t="shared" si="107"/>
        <v>5657869.6076085754</v>
      </c>
      <c r="AG613" s="311">
        <f t="shared" si="107"/>
        <v>5992033.1368269166</v>
      </c>
      <c r="AH613" s="311">
        <f t="shared" si="107"/>
        <v>5687179.2466453537</v>
      </c>
      <c r="AI613" s="311">
        <f t="shared" si="107"/>
        <v>4234531.5531333685</v>
      </c>
      <c r="AJ613" s="311">
        <f t="shared" si="107"/>
        <v>4962321.2066254616</v>
      </c>
      <c r="AK613" s="311">
        <f t="shared" si="107"/>
        <v>4910942.4118716279</v>
      </c>
      <c r="AL613" s="311">
        <f t="shared" si="107"/>
        <v>5052176.064468272</v>
      </c>
      <c r="AM613" s="311">
        <f t="shared" si="107"/>
        <v>7648066.2284684265</v>
      </c>
      <c r="AN613" s="311">
        <f t="shared" si="107"/>
        <v>1601212.7589322133</v>
      </c>
      <c r="AO613" s="311">
        <f t="shared" si="107"/>
        <v>1598320.9984632544</v>
      </c>
      <c r="AP613" s="311">
        <f t="shared" si="107"/>
        <v>1595401.1410368141</v>
      </c>
      <c r="AQ613" s="311">
        <f t="shared" si="107"/>
        <v>8877431.4418311119</v>
      </c>
      <c r="AR613" s="311">
        <f t="shared" si="107"/>
        <v>1129039.8404451958</v>
      </c>
      <c r="AS613" s="311">
        <f t="shared" si="107"/>
        <v>1126013.406218471</v>
      </c>
      <c r="AT613" s="311">
        <f t="shared" si="107"/>
        <v>8425767.5943388883</v>
      </c>
      <c r="AU613" s="311">
        <f t="shared" si="107"/>
        <v>12419776.537811575</v>
      </c>
      <c r="AV613" s="311">
        <f t="shared" si="107"/>
        <v>91658.431333309331</v>
      </c>
      <c r="AW613" s="311">
        <f>+AW611+AW612</f>
        <v>81085.266043420488</v>
      </c>
      <c r="AX613" s="311"/>
      <c r="AY613" s="311"/>
      <c r="AZ613" s="311"/>
      <c r="BA613" s="311"/>
      <c r="BB613" s="311"/>
      <c r="BC613" s="311"/>
      <c r="BD613" s="311"/>
      <c r="BE613" s="311"/>
      <c r="BF613" s="311"/>
      <c r="BG613" s="311"/>
      <c r="BH613" s="311"/>
      <c r="BI613" s="311"/>
      <c r="BJ613" s="311"/>
      <c r="BK613" s="311"/>
    </row>
    <row r="614" spans="1:63">
      <c r="A614" s="167"/>
      <c r="B614" s="210" t="str">
        <f>Servicio_internaColumna_título_amortizaciones</f>
        <v>Amortizaciones</v>
      </c>
      <c r="C614" s="211"/>
      <c r="D614" s="212"/>
      <c r="E614" s="212"/>
      <c r="F614" s="212"/>
      <c r="G614" s="212"/>
      <c r="H614" s="212"/>
      <c r="I614" s="212"/>
      <c r="J614" s="212"/>
      <c r="K614" s="212"/>
      <c r="L614" s="212"/>
      <c r="M614" s="212"/>
      <c r="N614" s="212"/>
      <c r="O614" s="212"/>
      <c r="P614" s="212"/>
      <c r="Q614" s="212"/>
      <c r="R614" s="212"/>
      <c r="S614" s="235"/>
      <c r="T614" s="235">
        <v>2264640.9579008529</v>
      </c>
      <c r="U614" s="235">
        <v>9663584.4071412273</v>
      </c>
      <c r="V614" s="235">
        <v>4854807.9944423698</v>
      </c>
      <c r="W614" s="235">
        <v>10930879.598472808</v>
      </c>
      <c r="X614" s="235">
        <v>2573505.6033948767</v>
      </c>
      <c r="Y614" s="235">
        <v>6588682.4070248157</v>
      </c>
      <c r="Z614" s="235">
        <v>11718308.074204154</v>
      </c>
      <c r="AA614" s="235">
        <v>4184692.8541474924</v>
      </c>
      <c r="AB614" s="235">
        <v>12793692.908543643</v>
      </c>
      <c r="AC614" s="235">
        <v>13930734.193360023</v>
      </c>
      <c r="AD614" s="235">
        <v>5003944.3679592852</v>
      </c>
      <c r="AE614" s="235">
        <v>2927669.9101103651</v>
      </c>
      <c r="AF614" s="235">
        <v>2936222.6068986603</v>
      </c>
      <c r="AG614" s="235">
        <v>3376426.3267619745</v>
      </c>
      <c r="AH614" s="235">
        <v>3184736.4825646486</v>
      </c>
      <c r="AI614" s="235">
        <v>1893167.6324242125</v>
      </c>
      <c r="AJ614" s="235">
        <v>2696491.8321072133</v>
      </c>
      <c r="AK614" s="235">
        <v>2796339.4227566249</v>
      </c>
      <c r="AL614" s="235">
        <v>2995729.6235456998</v>
      </c>
      <c r="AM614" s="235">
        <v>5674640.371575987</v>
      </c>
      <c r="AN614" s="235">
        <v>78462.341151578774</v>
      </c>
      <c r="AO614" s="235">
        <v>78462.341151578774</v>
      </c>
      <c r="AP614" s="235">
        <v>78462.341151578774</v>
      </c>
      <c r="AQ614" s="235">
        <v>7538462.3411515793</v>
      </c>
      <c r="AR614" s="235">
        <v>78462.341151578774</v>
      </c>
      <c r="AS614" s="235">
        <v>78462.341151578774</v>
      </c>
      <c r="AT614" s="235">
        <v>7537424.4340942642</v>
      </c>
      <c r="AU614" s="235">
        <v>12013424.434094265</v>
      </c>
      <c r="AV614" s="235">
        <v>77424.434094263997</v>
      </c>
      <c r="AW614" s="235">
        <v>77424.434094263997</v>
      </c>
      <c r="AX614" s="235">
        <v>77424.434094263997</v>
      </c>
      <c r="AY614" s="235"/>
      <c r="AZ614" s="235"/>
      <c r="BA614" s="235"/>
      <c r="BB614" s="235"/>
      <c r="BC614" s="235"/>
      <c r="BD614" s="235"/>
      <c r="BE614" s="235"/>
      <c r="BF614" s="235"/>
      <c r="BG614" s="235"/>
      <c r="BH614" s="235"/>
      <c r="BI614" s="235"/>
      <c r="BJ614" s="235"/>
      <c r="BK614" s="235"/>
    </row>
    <row r="615" spans="1:63">
      <c r="A615" s="168">
        <v>43070</v>
      </c>
      <c r="B615" s="213" t="str">
        <f>Servicio_internaColumna_título_intereses</f>
        <v>Intereses</v>
      </c>
      <c r="C615" s="214"/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216"/>
      <c r="S615" s="236"/>
      <c r="T615" s="236">
        <v>6548850.6743651619</v>
      </c>
      <c r="U615" s="236">
        <v>6457039.4043354299</v>
      </c>
      <c r="V615" s="236">
        <v>5865425.3671921305</v>
      </c>
      <c r="W615" s="236">
        <v>5646810.7389526274</v>
      </c>
      <c r="X615" s="236">
        <v>5135461.9830964841</v>
      </c>
      <c r="Y615" s="236">
        <v>5010850.4029773269</v>
      </c>
      <c r="Z615" s="236">
        <v>4609311.9597699046</v>
      </c>
      <c r="AA615" s="236">
        <v>4255272.9572825236</v>
      </c>
      <c r="AB615" s="236">
        <v>3975008.8971976223</v>
      </c>
      <c r="AC615" s="236">
        <v>3464779.8973025037</v>
      </c>
      <c r="AD615" s="236">
        <v>2933452.6617388856</v>
      </c>
      <c r="AE615" s="236">
        <v>2770596.7307259883</v>
      </c>
      <c r="AF615" s="236">
        <v>2690431.185490794</v>
      </c>
      <c r="AG615" s="236">
        <v>2565487.9071017317</v>
      </c>
      <c r="AH615" s="236">
        <v>2451716.3174417051</v>
      </c>
      <c r="AI615" s="236">
        <v>2310063.5091925883</v>
      </c>
      <c r="AJ615" s="236">
        <v>2227418.2696904209</v>
      </c>
      <c r="AK615" s="236">
        <v>2093623.2942957089</v>
      </c>
      <c r="AL615" s="236">
        <v>2036905.241872184</v>
      </c>
      <c r="AM615" s="236">
        <v>1917573.1955378291</v>
      </c>
      <c r="AN615" s="236">
        <v>1511192.9022212191</v>
      </c>
      <c r="AO615" s="236">
        <v>1508295.3069405323</v>
      </c>
      <c r="AP615" s="236">
        <v>1505405.3300411487</v>
      </c>
      <c r="AQ615" s="236">
        <v>1273910.3016712707</v>
      </c>
      <c r="AR615" s="236">
        <v>1042460.0556113863</v>
      </c>
      <c r="AS615" s="236">
        <v>1039459.8749550538</v>
      </c>
      <c r="AT615" s="236">
        <v>826640.67777547543</v>
      </c>
      <c r="AU615" s="236">
        <v>315319.38935783639</v>
      </c>
      <c r="AV615" s="236">
        <v>13827.338655044896</v>
      </c>
      <c r="AW615" s="236">
        <v>3799.1560165576439</v>
      </c>
      <c r="AX615" s="236">
        <v>7534.1215313248122</v>
      </c>
      <c r="AY615" s="236"/>
      <c r="AZ615" s="236"/>
      <c r="BA615" s="236"/>
      <c r="BB615" s="236"/>
      <c r="BC615" s="236"/>
      <c r="BD615" s="236"/>
      <c r="BE615" s="236"/>
      <c r="BF615" s="236"/>
      <c r="BG615" s="236"/>
      <c r="BH615" s="236"/>
      <c r="BI615" s="236"/>
      <c r="BJ615" s="236"/>
      <c r="BK615" s="236"/>
    </row>
    <row r="616" spans="1:63">
      <c r="A616" s="169"/>
      <c r="B616" s="307" t="str">
        <f>Servicio_internaColumna_título_total</f>
        <v>Total</v>
      </c>
      <c r="C616" s="313"/>
      <c r="D616" s="314"/>
      <c r="E616" s="314"/>
      <c r="F616" s="314"/>
      <c r="G616" s="314"/>
      <c r="H616" s="314"/>
      <c r="I616" s="314"/>
      <c r="J616" s="314"/>
      <c r="K616" s="314"/>
      <c r="L616" s="314"/>
      <c r="M616" s="314"/>
      <c r="N616" s="314"/>
      <c r="O616" s="314"/>
      <c r="P616" s="314"/>
      <c r="Q616" s="314"/>
      <c r="R616" s="314"/>
      <c r="S616" s="311"/>
      <c r="T616" s="311">
        <f>+T614+T615</f>
        <v>8813491.6322660148</v>
      </c>
      <c r="U616" s="311">
        <f t="shared" ref="U616:AV616" si="108">+U614+U615</f>
        <v>16120623.811476657</v>
      </c>
      <c r="V616" s="311">
        <f t="shared" si="108"/>
        <v>10720233.3616345</v>
      </c>
      <c r="W616" s="311">
        <f t="shared" si="108"/>
        <v>16577690.337425435</v>
      </c>
      <c r="X616" s="311">
        <f t="shared" si="108"/>
        <v>7708967.5864913613</v>
      </c>
      <c r="Y616" s="311">
        <f t="shared" si="108"/>
        <v>11599532.810002143</v>
      </c>
      <c r="Z616" s="311">
        <f t="shared" si="108"/>
        <v>16327620.033974059</v>
      </c>
      <c r="AA616" s="311">
        <f t="shared" si="108"/>
        <v>8439965.8114300165</v>
      </c>
      <c r="AB616" s="311">
        <f t="shared" si="108"/>
        <v>16768701.805741265</v>
      </c>
      <c r="AC616" s="311">
        <f t="shared" si="108"/>
        <v>17395514.090662528</v>
      </c>
      <c r="AD616" s="311">
        <f t="shared" si="108"/>
        <v>7937397.0296981707</v>
      </c>
      <c r="AE616" s="311">
        <f t="shared" si="108"/>
        <v>5698266.6408363534</v>
      </c>
      <c r="AF616" s="311">
        <f t="shared" si="108"/>
        <v>5626653.7923894543</v>
      </c>
      <c r="AG616" s="311">
        <f t="shared" si="108"/>
        <v>5941914.2338637058</v>
      </c>
      <c r="AH616" s="311">
        <f t="shared" si="108"/>
        <v>5636452.8000063542</v>
      </c>
      <c r="AI616" s="311">
        <f t="shared" si="108"/>
        <v>4203231.1416168008</v>
      </c>
      <c r="AJ616" s="311">
        <f t="shared" si="108"/>
        <v>4923910.1017976347</v>
      </c>
      <c r="AK616" s="311">
        <f t="shared" si="108"/>
        <v>4889962.717052334</v>
      </c>
      <c r="AL616" s="311">
        <f t="shared" si="108"/>
        <v>5032634.8654178837</v>
      </c>
      <c r="AM616" s="311">
        <f t="shared" si="108"/>
        <v>7592213.5671138158</v>
      </c>
      <c r="AN616" s="311">
        <f t="shared" si="108"/>
        <v>1589655.243372798</v>
      </c>
      <c r="AO616" s="311">
        <f t="shared" si="108"/>
        <v>1586757.6480921111</v>
      </c>
      <c r="AP616" s="311">
        <f t="shared" si="108"/>
        <v>1583867.6711927275</v>
      </c>
      <c r="AQ616" s="311">
        <f t="shared" si="108"/>
        <v>8812372.6428228505</v>
      </c>
      <c r="AR616" s="311">
        <f t="shared" si="108"/>
        <v>1120922.396762965</v>
      </c>
      <c r="AS616" s="311">
        <f t="shared" si="108"/>
        <v>1117922.2161066325</v>
      </c>
      <c r="AT616" s="311">
        <f t="shared" si="108"/>
        <v>8364065.1118697394</v>
      </c>
      <c r="AU616" s="311">
        <f t="shared" si="108"/>
        <v>12328743.823452102</v>
      </c>
      <c r="AV616" s="311">
        <f t="shared" si="108"/>
        <v>91251.77274930889</v>
      </c>
      <c r="AW616" s="311">
        <f>+AW614+AW615</f>
        <v>81223.590110821635</v>
      </c>
      <c r="AX616" s="311">
        <f>+AX614+AX615</f>
        <v>84958.555625588808</v>
      </c>
      <c r="AY616" s="311"/>
      <c r="AZ616" s="311"/>
      <c r="BA616" s="311"/>
      <c r="BB616" s="311"/>
      <c r="BC616" s="311"/>
      <c r="BD616" s="311"/>
      <c r="BE616" s="311"/>
      <c r="BF616" s="311"/>
      <c r="BG616" s="311"/>
      <c r="BH616" s="311"/>
      <c r="BI616" s="311"/>
      <c r="BJ616" s="311"/>
      <c r="BK616" s="311"/>
    </row>
    <row r="617" spans="1:63">
      <c r="A617" s="167"/>
      <c r="B617" s="210" t="str">
        <f>Servicio_internaColumna_título_amortizaciones</f>
        <v>Amortizaciones</v>
      </c>
      <c r="C617" s="211"/>
      <c r="D617" s="212"/>
      <c r="E617" s="212"/>
      <c r="F617" s="212"/>
      <c r="G617" s="212"/>
      <c r="H617" s="212"/>
      <c r="I617" s="212"/>
      <c r="J617" s="212"/>
      <c r="K617" s="212"/>
      <c r="L617" s="212"/>
      <c r="M617" s="212"/>
      <c r="N617" s="212"/>
      <c r="O617" s="212"/>
      <c r="P617" s="212"/>
      <c r="Q617" s="212"/>
      <c r="R617" s="212"/>
      <c r="S617" s="235"/>
      <c r="T617" s="235">
        <v>2536785.5177668943</v>
      </c>
      <c r="U617" s="235">
        <v>9560285.1814770047</v>
      </c>
      <c r="V617" s="235">
        <v>4798568.5134846903</v>
      </c>
      <c r="W617" s="235">
        <v>10664919.311874762</v>
      </c>
      <c r="X617" s="235">
        <v>2583278.696489064</v>
      </c>
      <c r="Y617" s="235">
        <v>6441777.0178022962</v>
      </c>
      <c r="Z617" s="235">
        <v>11268257.34358824</v>
      </c>
      <c r="AA617" s="235">
        <v>4072479.18729871</v>
      </c>
      <c r="AB617" s="235">
        <v>12445607.06367437</v>
      </c>
      <c r="AC617" s="235">
        <v>13443400.504329963</v>
      </c>
      <c r="AD617" s="235">
        <v>4835498.5800689654</v>
      </c>
      <c r="AE617" s="235">
        <v>3980987.275584491</v>
      </c>
      <c r="AF617" s="235">
        <v>2842886.0125550958</v>
      </c>
      <c r="AG617" s="235">
        <v>3253282.2512932206</v>
      </c>
      <c r="AH617" s="235">
        <v>3049289.665533999</v>
      </c>
      <c r="AI617" s="235">
        <v>1816704.9737487135</v>
      </c>
      <c r="AJ617" s="235">
        <v>2577142.2846195628</v>
      </c>
      <c r="AK617" s="235">
        <v>2753926.8848821153</v>
      </c>
      <c r="AL617" s="235">
        <v>2950055.5088292314</v>
      </c>
      <c r="AM617" s="235">
        <v>5411606.9745335607</v>
      </c>
      <c r="AN617" s="235">
        <v>77447.781607352299</v>
      </c>
      <c r="AO617" s="235">
        <v>77447.781607352299</v>
      </c>
      <c r="AP617" s="235">
        <v>77447.781607352299</v>
      </c>
      <c r="AQ617" s="235">
        <v>7187797.7816073522</v>
      </c>
      <c r="AR617" s="235">
        <v>77447.781607352299</v>
      </c>
      <c r="AS617" s="235">
        <v>77447.781607352299</v>
      </c>
      <c r="AT617" s="235">
        <v>7186808.5212259879</v>
      </c>
      <c r="AU617" s="235">
        <v>11453018.521225987</v>
      </c>
      <c r="AV617" s="235">
        <v>76458.521225987934</v>
      </c>
      <c r="AW617" s="235">
        <v>76458.521225987934</v>
      </c>
      <c r="AX617" s="235">
        <v>76458.521225987934</v>
      </c>
      <c r="AY617" s="235"/>
      <c r="AZ617" s="235"/>
      <c r="BA617" s="235"/>
      <c r="BB617" s="235"/>
      <c r="BC617" s="235"/>
      <c r="BD617" s="235"/>
      <c r="BE617" s="235"/>
      <c r="BF617" s="235"/>
      <c r="BG617" s="235"/>
      <c r="BH617" s="235"/>
      <c r="BI617" s="235"/>
      <c r="BJ617" s="235"/>
      <c r="BK617" s="235"/>
    </row>
    <row r="618" spans="1:63">
      <c r="A618" s="168">
        <v>43101</v>
      </c>
      <c r="B618" s="213" t="str">
        <f>Servicio_internaColumna_título_intereses</f>
        <v>Intereses</v>
      </c>
      <c r="C618" s="214"/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  <c r="N618" s="215"/>
      <c r="O618" s="215"/>
      <c r="P618" s="215"/>
      <c r="Q618" s="215"/>
      <c r="R618" s="216"/>
      <c r="S618" s="236"/>
      <c r="T618" s="236">
        <v>5843871.0696533192</v>
      </c>
      <c r="U618" s="236">
        <v>6334326.5901765637</v>
      </c>
      <c r="V618" s="236">
        <v>5882997.2920020605</v>
      </c>
      <c r="W618" s="236">
        <v>5637525.2796948431</v>
      </c>
      <c r="X618" s="236">
        <v>5136367.4488989925</v>
      </c>
      <c r="Y618" s="236">
        <v>5025981.9613984227</v>
      </c>
      <c r="Z618" s="236">
        <v>4645777.2059751684</v>
      </c>
      <c r="AA618" s="236">
        <v>4268386.6593248434</v>
      </c>
      <c r="AB618" s="236">
        <v>3963452.2358500869</v>
      </c>
      <c r="AC618" s="236">
        <v>3460995.7245697272</v>
      </c>
      <c r="AD618" s="236">
        <v>2922258.0366905299</v>
      </c>
      <c r="AE618" s="236">
        <v>2748659.7159734135</v>
      </c>
      <c r="AF618" s="236">
        <v>2625121.9648737921</v>
      </c>
      <c r="AG618" s="236">
        <v>2495930.550184112</v>
      </c>
      <c r="AH618" s="236">
        <v>2378988.4783083214</v>
      </c>
      <c r="AI618" s="236">
        <v>2241016.8177482109</v>
      </c>
      <c r="AJ618" s="236">
        <v>2158619.4277887624</v>
      </c>
      <c r="AK618" s="236">
        <v>2018303.8385010997</v>
      </c>
      <c r="AL618" s="236">
        <v>1958222.5582794971</v>
      </c>
      <c r="AM618" s="236">
        <v>1832213.5733251069</v>
      </c>
      <c r="AN618" s="236">
        <v>1444278.3860071639</v>
      </c>
      <c r="AO618" s="236">
        <v>1441162.838615136</v>
      </c>
      <c r="AP618" s="236">
        <v>1438092.1637072905</v>
      </c>
      <c r="AQ618" s="236">
        <v>1217092.9384082174</v>
      </c>
      <c r="AR618" s="236">
        <v>996159.22169464536</v>
      </c>
      <c r="AS618" s="236">
        <v>992968.33118903416</v>
      </c>
      <c r="AT618" s="236">
        <v>789818.91984786966</v>
      </c>
      <c r="AU618" s="236">
        <v>302135.84255130327</v>
      </c>
      <c r="AV618" s="236">
        <v>14464.091286754228</v>
      </c>
      <c r="AW618" s="236">
        <v>3966.7901458562319</v>
      </c>
      <c r="AX618" s="236">
        <v>7843.0757780367103</v>
      </c>
      <c r="AY618" s="236"/>
      <c r="AZ618" s="236"/>
      <c r="BA618" s="236"/>
      <c r="BB618" s="236"/>
      <c r="BC618" s="236"/>
      <c r="BD618" s="236"/>
      <c r="BE618" s="236"/>
      <c r="BF618" s="236"/>
      <c r="BG618" s="236"/>
      <c r="BH618" s="236"/>
      <c r="BI618" s="236"/>
      <c r="BJ618" s="236"/>
      <c r="BK618" s="236"/>
    </row>
    <row r="619" spans="1:63">
      <c r="A619" s="169"/>
      <c r="B619" s="307" t="str">
        <f>Servicio_internaColumna_título_total</f>
        <v>Total</v>
      </c>
      <c r="C619" s="313"/>
      <c r="D619" s="314"/>
      <c r="E619" s="314"/>
      <c r="F619" s="314"/>
      <c r="G619" s="314"/>
      <c r="H619" s="314"/>
      <c r="I619" s="314"/>
      <c r="J619" s="314"/>
      <c r="K619" s="314"/>
      <c r="L619" s="314"/>
      <c r="M619" s="314"/>
      <c r="N619" s="314"/>
      <c r="O619" s="314"/>
      <c r="P619" s="314"/>
      <c r="Q619" s="314"/>
      <c r="R619" s="314"/>
      <c r="S619" s="311"/>
      <c r="T619" s="311">
        <f>+T617+T618</f>
        <v>8380656.587420214</v>
      </c>
      <c r="U619" s="311">
        <f>+U617+U618</f>
        <v>15894611.771653568</v>
      </c>
      <c r="V619" s="311">
        <f t="shared" ref="V619:AX619" si="109">+V617+V618</f>
        <v>10681565.80548675</v>
      </c>
      <c r="W619" s="311">
        <f t="shared" si="109"/>
        <v>16302444.591569606</v>
      </c>
      <c r="X619" s="311">
        <f t="shared" si="109"/>
        <v>7719646.1453880565</v>
      </c>
      <c r="Y619" s="311">
        <f t="shared" si="109"/>
        <v>11467758.979200719</v>
      </c>
      <c r="Z619" s="311">
        <f t="shared" si="109"/>
        <v>15914034.549563408</v>
      </c>
      <c r="AA619" s="311">
        <f t="shared" si="109"/>
        <v>8340865.846623553</v>
      </c>
      <c r="AB619" s="311">
        <f t="shared" si="109"/>
        <v>16409059.299524456</v>
      </c>
      <c r="AC619" s="311">
        <f t="shared" si="109"/>
        <v>16904396.228899691</v>
      </c>
      <c r="AD619" s="311">
        <f t="shared" si="109"/>
        <v>7757756.6167594958</v>
      </c>
      <c r="AE619" s="311">
        <f t="shared" si="109"/>
        <v>6729646.9915579045</v>
      </c>
      <c r="AF619" s="311">
        <f t="shared" si="109"/>
        <v>5468007.977428888</v>
      </c>
      <c r="AG619" s="311">
        <f t="shared" si="109"/>
        <v>5749212.8014773326</v>
      </c>
      <c r="AH619" s="311">
        <f t="shared" si="109"/>
        <v>5428278.1438423209</v>
      </c>
      <c r="AI619" s="311">
        <f t="shared" si="109"/>
        <v>4057721.7914969241</v>
      </c>
      <c r="AJ619" s="311">
        <f t="shared" si="109"/>
        <v>4735761.7124083247</v>
      </c>
      <c r="AK619" s="311">
        <f t="shared" si="109"/>
        <v>4772230.7233832153</v>
      </c>
      <c r="AL619" s="311">
        <f t="shared" si="109"/>
        <v>4908278.067108728</v>
      </c>
      <c r="AM619" s="311">
        <f t="shared" si="109"/>
        <v>7243820.5478586676</v>
      </c>
      <c r="AN619" s="311">
        <f t="shared" si="109"/>
        <v>1521726.1676145161</v>
      </c>
      <c r="AO619" s="311">
        <f t="shared" si="109"/>
        <v>1518610.6202224882</v>
      </c>
      <c r="AP619" s="311">
        <f t="shared" si="109"/>
        <v>1515539.9453146427</v>
      </c>
      <c r="AQ619" s="311">
        <f t="shared" si="109"/>
        <v>8404890.7200155705</v>
      </c>
      <c r="AR619" s="311">
        <f t="shared" si="109"/>
        <v>1073607.0033019977</v>
      </c>
      <c r="AS619" s="311">
        <f t="shared" si="109"/>
        <v>1070416.1127963865</v>
      </c>
      <c r="AT619" s="311">
        <f t="shared" si="109"/>
        <v>7976627.4410738572</v>
      </c>
      <c r="AU619" s="311">
        <f t="shared" si="109"/>
        <v>11755154.363777291</v>
      </c>
      <c r="AV619" s="311">
        <f t="shared" si="109"/>
        <v>90922.612512742169</v>
      </c>
      <c r="AW619" s="311">
        <f t="shared" si="109"/>
        <v>80425.31137184416</v>
      </c>
      <c r="AX619" s="311">
        <f t="shared" si="109"/>
        <v>84301.597004024647</v>
      </c>
      <c r="AY619" s="311"/>
      <c r="AZ619" s="311"/>
      <c r="BA619" s="311"/>
      <c r="BB619" s="311"/>
      <c r="BC619" s="311"/>
      <c r="BD619" s="311"/>
      <c r="BE619" s="311"/>
      <c r="BF619" s="311"/>
      <c r="BG619" s="311"/>
      <c r="BH619" s="311"/>
      <c r="BI619" s="311"/>
      <c r="BJ619" s="311"/>
      <c r="BK619" s="311"/>
    </row>
    <row r="620" spans="1:63">
      <c r="A620" s="167"/>
      <c r="B620" s="210" t="str">
        <f>Servicio_internaColumna_título_amortizaciones</f>
        <v>Amortizaciones</v>
      </c>
      <c r="C620" s="211"/>
      <c r="D620" s="212"/>
      <c r="E620" s="212"/>
      <c r="F620" s="212"/>
      <c r="G620" s="212"/>
      <c r="H620" s="212"/>
      <c r="I620" s="212"/>
      <c r="J620" s="212"/>
      <c r="K620" s="212"/>
      <c r="L620" s="212"/>
      <c r="M620" s="212"/>
      <c r="N620" s="212"/>
      <c r="O620" s="212"/>
      <c r="P620" s="212"/>
      <c r="Q620" s="212"/>
      <c r="R620" s="212"/>
      <c r="S620" s="235"/>
      <c r="T620" s="235">
        <v>2468875.0340223773</v>
      </c>
      <c r="U620" s="235">
        <v>9583833.2911482453</v>
      </c>
      <c r="V620" s="235">
        <v>4800626.394540132</v>
      </c>
      <c r="W620" s="235">
        <v>10699204.668710452</v>
      </c>
      <c r="X620" s="235">
        <v>2594292.5648450274</v>
      </c>
      <c r="Y620" s="235">
        <v>6464720.0890058931</v>
      </c>
      <c r="Z620" s="235">
        <v>11327551.776970154</v>
      </c>
      <c r="AA620" s="235">
        <v>4106024.3897438003</v>
      </c>
      <c r="AB620" s="235">
        <v>12413951.978398858</v>
      </c>
      <c r="AC620" s="235">
        <v>13508559.409672299</v>
      </c>
      <c r="AD620" s="235">
        <v>4872952.4034201438</v>
      </c>
      <c r="AE620" s="235">
        <v>4015844.6219146964</v>
      </c>
      <c r="AF620" s="235">
        <v>2875125.2587343398</v>
      </c>
      <c r="AG620" s="235">
        <v>3288933.7728749663</v>
      </c>
      <c r="AH620" s="235">
        <v>3085226.0831670165</v>
      </c>
      <c r="AI620" s="235">
        <v>1821479.817434917</v>
      </c>
      <c r="AJ620" s="235">
        <v>2585069.4189437684</v>
      </c>
      <c r="AK620" s="235">
        <v>2715052.8427574509</v>
      </c>
      <c r="AL620" s="235">
        <v>2907485.0874642222</v>
      </c>
      <c r="AM620" s="235">
        <v>5432649.7434472302</v>
      </c>
      <c r="AN620" s="235">
        <v>76217.906763601844</v>
      </c>
      <c r="AO620" s="235">
        <v>76217.906763601844</v>
      </c>
      <c r="AP620" s="235">
        <v>76217.906763601844</v>
      </c>
      <c r="AQ620" s="235">
        <v>7216042.906763602</v>
      </c>
      <c r="AR620" s="235">
        <v>76217.906763601844</v>
      </c>
      <c r="AS620" s="235">
        <v>76217.906763601844</v>
      </c>
      <c r="AT620" s="235">
        <v>7215049.5455363244</v>
      </c>
      <c r="AU620" s="235">
        <v>11498944.545536324</v>
      </c>
      <c r="AV620" s="235">
        <v>75224.545536324033</v>
      </c>
      <c r="AW620" s="235">
        <v>75224.545536324033</v>
      </c>
      <c r="AX620" s="235">
        <v>75224.545536324033</v>
      </c>
      <c r="AY620" s="235"/>
      <c r="AZ620" s="235"/>
      <c r="BA620" s="235"/>
      <c r="BB620" s="235"/>
      <c r="BC620" s="235"/>
      <c r="BD620" s="235"/>
      <c r="BE620" s="235"/>
      <c r="BF620" s="235"/>
      <c r="BG620" s="235"/>
      <c r="BH620" s="235"/>
      <c r="BI620" s="235"/>
      <c r="BJ620" s="235"/>
      <c r="BK620" s="235"/>
    </row>
    <row r="621" spans="1:63">
      <c r="A621" s="168">
        <v>43132</v>
      </c>
      <c r="B621" s="213" t="str">
        <f>Servicio_internaColumna_título_intereses</f>
        <v>Intereses</v>
      </c>
      <c r="C621" s="214"/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  <c r="N621" s="215"/>
      <c r="O621" s="215"/>
      <c r="P621" s="215"/>
      <c r="Q621" s="215"/>
      <c r="R621" s="216"/>
      <c r="S621" s="236"/>
      <c r="T621" s="236">
        <v>5858343.9407225382</v>
      </c>
      <c r="U621" s="236">
        <v>6350062.3228617925</v>
      </c>
      <c r="V621" s="236">
        <v>5896144.436949322</v>
      </c>
      <c r="W621" s="236">
        <v>5649832.4754249351</v>
      </c>
      <c r="X621" s="236">
        <v>5147413.6788281137</v>
      </c>
      <c r="Y621" s="236">
        <v>5036629.9700421738</v>
      </c>
      <c r="Z621" s="236">
        <v>4655067.8977610515</v>
      </c>
      <c r="AA621" s="236">
        <v>4276438.5598778678</v>
      </c>
      <c r="AB621" s="236">
        <v>3970479.110120886</v>
      </c>
      <c r="AC621" s="236">
        <v>3469335.3064378477</v>
      </c>
      <c r="AD621" s="236">
        <v>2929317.1979701505</v>
      </c>
      <c r="AE621" s="236">
        <v>2755151.1646177536</v>
      </c>
      <c r="AF621" s="236">
        <v>2631198.5413201074</v>
      </c>
      <c r="AG621" s="236">
        <v>2501523.0435088659</v>
      </c>
      <c r="AH621" s="236">
        <v>2384125.738061883</v>
      </c>
      <c r="AI621" s="236">
        <v>2245761.365938622</v>
      </c>
      <c r="AJ621" s="236">
        <v>2163132.4356690384</v>
      </c>
      <c r="AK621" s="236">
        <v>2023051.4843252595</v>
      </c>
      <c r="AL621" s="236">
        <v>1963530.9596021622</v>
      </c>
      <c r="AM621" s="236">
        <v>1839044.7432218655</v>
      </c>
      <c r="AN621" s="236">
        <v>1449556.7591220525</v>
      </c>
      <c r="AO621" s="236">
        <v>1446483.5166141051</v>
      </c>
      <c r="AP621" s="236">
        <v>1443454.5386285745</v>
      </c>
      <c r="AQ621" s="236">
        <v>1221596.7020126868</v>
      </c>
      <c r="AR621" s="236">
        <v>999803.48519005696</v>
      </c>
      <c r="AS621" s="236">
        <v>996655.92489023041</v>
      </c>
      <c r="AT621" s="236">
        <v>792720.58788153192</v>
      </c>
      <c r="AU621" s="236">
        <v>303074.21007948252</v>
      </c>
      <c r="AV621" s="236">
        <v>14267.698908617216</v>
      </c>
      <c r="AW621" s="236">
        <v>3913.1587117638401</v>
      </c>
      <c r="AX621" s="236">
        <v>7736.6001230794727</v>
      </c>
      <c r="AY621" s="236"/>
      <c r="AZ621" s="236"/>
      <c r="BA621" s="236"/>
      <c r="BB621" s="236"/>
      <c r="BC621" s="236"/>
      <c r="BD621" s="236"/>
      <c r="BE621" s="236"/>
      <c r="BF621" s="236"/>
      <c r="BG621" s="236"/>
      <c r="BH621" s="236"/>
      <c r="BI621" s="236"/>
      <c r="BJ621" s="236"/>
      <c r="BK621" s="236"/>
    </row>
    <row r="622" spans="1:63">
      <c r="A622" s="169"/>
      <c r="B622" s="307" t="str">
        <f>Servicio_internaColumna_título_total</f>
        <v>Total</v>
      </c>
      <c r="C622" s="313"/>
      <c r="D622" s="314"/>
      <c r="E622" s="314"/>
      <c r="F622" s="314"/>
      <c r="G622" s="314"/>
      <c r="H622" s="314"/>
      <c r="I622" s="314"/>
      <c r="J622" s="314"/>
      <c r="K622" s="314"/>
      <c r="L622" s="314"/>
      <c r="M622" s="314"/>
      <c r="N622" s="314"/>
      <c r="O622" s="314"/>
      <c r="P622" s="314"/>
      <c r="Q622" s="314"/>
      <c r="R622" s="314"/>
      <c r="S622" s="311"/>
      <c r="T622" s="311">
        <f>+T620+T621</f>
        <v>8327218.974744916</v>
      </c>
      <c r="U622" s="311">
        <f>+U620+U621</f>
        <v>15933895.614010038</v>
      </c>
      <c r="V622" s="311">
        <f t="shared" ref="V622:AX622" si="110">+V620+V621</f>
        <v>10696770.831489455</v>
      </c>
      <c r="W622" s="311">
        <f t="shared" si="110"/>
        <v>16349037.144135386</v>
      </c>
      <c r="X622" s="311">
        <f t="shared" si="110"/>
        <v>7741706.2436731411</v>
      </c>
      <c r="Y622" s="311">
        <f t="shared" si="110"/>
        <v>11501350.059048068</v>
      </c>
      <c r="Z622" s="311">
        <f t="shared" si="110"/>
        <v>15982619.674731206</v>
      </c>
      <c r="AA622" s="311">
        <f t="shared" si="110"/>
        <v>8382462.9496216681</v>
      </c>
      <c r="AB622" s="311">
        <f t="shared" si="110"/>
        <v>16384431.088519745</v>
      </c>
      <c r="AC622" s="311">
        <f t="shared" si="110"/>
        <v>16977894.716110148</v>
      </c>
      <c r="AD622" s="311">
        <f t="shared" si="110"/>
        <v>7802269.6013902947</v>
      </c>
      <c r="AE622" s="311">
        <f t="shared" si="110"/>
        <v>6770995.7865324505</v>
      </c>
      <c r="AF622" s="311">
        <f t="shared" si="110"/>
        <v>5506323.8000544477</v>
      </c>
      <c r="AG622" s="311">
        <f t="shared" si="110"/>
        <v>5790456.8163838321</v>
      </c>
      <c r="AH622" s="311">
        <f t="shared" si="110"/>
        <v>5469351.8212288991</v>
      </c>
      <c r="AI622" s="311">
        <f t="shared" si="110"/>
        <v>4067241.1833735388</v>
      </c>
      <c r="AJ622" s="311">
        <f t="shared" si="110"/>
        <v>4748201.8546128068</v>
      </c>
      <c r="AK622" s="311">
        <f t="shared" si="110"/>
        <v>4738104.3270827103</v>
      </c>
      <c r="AL622" s="311">
        <f t="shared" si="110"/>
        <v>4871016.0470663849</v>
      </c>
      <c r="AM622" s="311">
        <f t="shared" si="110"/>
        <v>7271694.4866690952</v>
      </c>
      <c r="AN622" s="311">
        <f t="shared" si="110"/>
        <v>1525774.6658856543</v>
      </c>
      <c r="AO622" s="311">
        <f t="shared" si="110"/>
        <v>1522701.4233777069</v>
      </c>
      <c r="AP622" s="311">
        <f t="shared" si="110"/>
        <v>1519672.4453921763</v>
      </c>
      <c r="AQ622" s="311">
        <f t="shared" si="110"/>
        <v>8437639.6087762881</v>
      </c>
      <c r="AR622" s="311">
        <f t="shared" si="110"/>
        <v>1076021.3919536588</v>
      </c>
      <c r="AS622" s="311">
        <f t="shared" si="110"/>
        <v>1072873.8316538322</v>
      </c>
      <c r="AT622" s="311">
        <f t="shared" si="110"/>
        <v>8007770.1334178559</v>
      </c>
      <c r="AU622" s="311">
        <f t="shared" si="110"/>
        <v>11802018.755615806</v>
      </c>
      <c r="AV622" s="311">
        <f t="shared" si="110"/>
        <v>89492.244444941243</v>
      </c>
      <c r="AW622" s="311">
        <f t="shared" si="110"/>
        <v>79137.704248087874</v>
      </c>
      <c r="AX622" s="311">
        <f t="shared" si="110"/>
        <v>82961.145659403512</v>
      </c>
      <c r="AY622" s="311"/>
      <c r="AZ622" s="311"/>
      <c r="BA622" s="311"/>
      <c r="BB622" s="311"/>
      <c r="BC622" s="311"/>
      <c r="BD622" s="311"/>
      <c r="BE622" s="311"/>
      <c r="BF622" s="311"/>
      <c r="BG622" s="311"/>
      <c r="BH622" s="311"/>
      <c r="BI622" s="311"/>
      <c r="BJ622" s="311"/>
      <c r="BK622" s="311"/>
    </row>
    <row r="623" spans="1:63">
      <c r="A623" s="167"/>
      <c r="B623" s="210" t="str">
        <f>Servicio_internaColumna_título_amortizaciones</f>
        <v>Amortizaciones</v>
      </c>
      <c r="C623" s="211"/>
      <c r="D623" s="212"/>
      <c r="E623" s="212"/>
      <c r="F623" s="212"/>
      <c r="G623" s="212"/>
      <c r="H623" s="212"/>
      <c r="I623" s="212"/>
      <c r="J623" s="212"/>
      <c r="K623" s="212"/>
      <c r="L623" s="212"/>
      <c r="M623" s="212"/>
      <c r="N623" s="212"/>
      <c r="O623" s="212"/>
      <c r="P623" s="212"/>
      <c r="Q623" s="212"/>
      <c r="R623" s="212"/>
      <c r="S623" s="235"/>
      <c r="T623" s="235">
        <v>2335226.85256438</v>
      </c>
      <c r="U623" s="235">
        <v>9266394.6573108472</v>
      </c>
      <c r="V623" s="235">
        <v>4666723.8140281662</v>
      </c>
      <c r="W623" s="235">
        <v>10474839.017713599</v>
      </c>
      <c r="X623" s="235">
        <v>2520110.8693914958</v>
      </c>
      <c r="Y623" s="235">
        <v>6314079.1720341677</v>
      </c>
      <c r="Z623" s="235">
        <v>11019327.353073837</v>
      </c>
      <c r="AA623" s="235">
        <v>3989817.1576451552</v>
      </c>
      <c r="AB623" s="235">
        <v>12115261.163824879</v>
      </c>
      <c r="AC623" s="235">
        <v>13196958.299144519</v>
      </c>
      <c r="AD623" s="235">
        <v>4742203.8041976588</v>
      </c>
      <c r="AE623" s="235">
        <v>3905431.8591279355</v>
      </c>
      <c r="AF623" s="235">
        <v>2795024.5807927102</v>
      </c>
      <c r="AG623" s="235">
        <v>3198662.8667117441</v>
      </c>
      <c r="AH623" s="235">
        <v>3001923.927325428</v>
      </c>
      <c r="AI623" s="235">
        <v>1771360.8491885017</v>
      </c>
      <c r="AJ623" s="235">
        <v>2516180.1198846619</v>
      </c>
      <c r="AK623" s="235">
        <v>2660792.4041364267</v>
      </c>
      <c r="AL623" s="235">
        <v>2851084.4013201683</v>
      </c>
      <c r="AM623" s="235">
        <v>7232158.6100787316</v>
      </c>
      <c r="AN623" s="235">
        <v>74782.587413167465</v>
      </c>
      <c r="AO623" s="235">
        <v>74782.587413167465</v>
      </c>
      <c r="AP623" s="235">
        <v>74782.587413167465</v>
      </c>
      <c r="AQ623" s="235">
        <v>7024882.5874131676</v>
      </c>
      <c r="AR623" s="235">
        <v>74782.587413167465</v>
      </c>
      <c r="AS623" s="235">
        <v>74782.587413167465</v>
      </c>
      <c r="AT623" s="235">
        <v>7023915.6225553872</v>
      </c>
      <c r="AU623" s="235">
        <v>11193975.622555386</v>
      </c>
      <c r="AV623" s="235">
        <v>73815.622555386843</v>
      </c>
      <c r="AW623" s="235">
        <v>73815.622555386843</v>
      </c>
      <c r="AX623" s="235">
        <v>73815.622555386843</v>
      </c>
      <c r="AY623" s="235"/>
      <c r="AZ623" s="235"/>
      <c r="BA623" s="235"/>
      <c r="BB623" s="235"/>
      <c r="BC623" s="235"/>
      <c r="BD623" s="235"/>
      <c r="BE623" s="235"/>
      <c r="BF623" s="235"/>
      <c r="BG623" s="235"/>
      <c r="BH623" s="235"/>
      <c r="BI623" s="235"/>
      <c r="BJ623" s="235"/>
      <c r="BK623" s="235"/>
    </row>
    <row r="624" spans="1:63">
      <c r="A624" s="168">
        <v>43160</v>
      </c>
      <c r="B624" s="213" t="str">
        <f>Servicio_internaColumna_título_intereses</f>
        <v>Intereses</v>
      </c>
      <c r="C624" s="214"/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6"/>
      <c r="S624" s="236"/>
      <c r="T624" s="236">
        <v>4113303.8758301819</v>
      </c>
      <c r="U624" s="236">
        <v>5842612.4647279326</v>
      </c>
      <c r="V624" s="236">
        <v>5445849.6119044023</v>
      </c>
      <c r="W624" s="236">
        <v>5176594.6672438579</v>
      </c>
      <c r="X624" s="236">
        <v>4571203.7845364641</v>
      </c>
      <c r="Y624" s="236">
        <v>4490211.3928044895</v>
      </c>
      <c r="Z624" s="236">
        <v>4139753.8474834799</v>
      </c>
      <c r="AA624" s="236">
        <v>3821378.6910531004</v>
      </c>
      <c r="AB624" s="236">
        <v>3549575.1222035484</v>
      </c>
      <c r="AC624" s="236">
        <v>3063986.0248716269</v>
      </c>
      <c r="AD624" s="236">
        <v>2540347.3891023616</v>
      </c>
      <c r="AE624" s="236">
        <v>2379494.718093887</v>
      </c>
      <c r="AF624" s="236">
        <v>2265527.2952513341</v>
      </c>
      <c r="AG624" s="236">
        <v>2163443.7427620506</v>
      </c>
      <c r="AH624" s="236">
        <v>2074706.3862999009</v>
      </c>
      <c r="AI624" s="236">
        <v>1968206.3588277625</v>
      </c>
      <c r="AJ624" s="236">
        <v>1896141.2747330123</v>
      </c>
      <c r="AK624" s="236">
        <v>1820822.7229562707</v>
      </c>
      <c r="AL624" s="236">
        <v>1800392.8735936405</v>
      </c>
      <c r="AM624" s="236">
        <v>1759709.8752111013</v>
      </c>
      <c r="AN624" s="236">
        <v>1382933.5845819237</v>
      </c>
      <c r="AO624" s="236">
        <v>1382101.4397060135</v>
      </c>
      <c r="AP624" s="236">
        <v>1381293.4912450935</v>
      </c>
      <c r="AQ624" s="236">
        <v>1167590.3374541928</v>
      </c>
      <c r="AR624" s="236">
        <v>953911.38007828232</v>
      </c>
      <c r="AS624" s="236">
        <v>953079.23520237196</v>
      </c>
      <c r="AT624" s="236">
        <v>756790.60484555154</v>
      </c>
      <c r="AU624" s="236">
        <v>282467.82045055128</v>
      </c>
      <c r="AV624" s="236">
        <v>3631.6755746409431</v>
      </c>
      <c r="AW624" s="236">
        <v>2799.5306987305798</v>
      </c>
      <c r="AX624" s="236">
        <v>1973.3434460096346</v>
      </c>
      <c r="AY624" s="236"/>
      <c r="AZ624" s="236"/>
      <c r="BA624" s="236"/>
      <c r="BB624" s="236"/>
      <c r="BC624" s="236"/>
      <c r="BD624" s="236"/>
      <c r="BE624" s="236"/>
      <c r="BF624" s="236"/>
      <c r="BG624" s="236"/>
      <c r="BH624" s="236"/>
      <c r="BI624" s="236"/>
      <c r="BJ624" s="236"/>
      <c r="BK624" s="236"/>
    </row>
    <row r="625" spans="1:63">
      <c r="A625" s="169"/>
      <c r="B625" s="307" t="str">
        <f>Servicio_internaColumna_título_total</f>
        <v>Total</v>
      </c>
      <c r="C625" s="313"/>
      <c r="D625" s="314"/>
      <c r="E625" s="314"/>
      <c r="F625" s="314"/>
      <c r="G625" s="314"/>
      <c r="H625" s="314"/>
      <c r="I625" s="314"/>
      <c r="J625" s="314"/>
      <c r="K625" s="314"/>
      <c r="L625" s="314"/>
      <c r="M625" s="314"/>
      <c r="N625" s="314"/>
      <c r="O625" s="314"/>
      <c r="P625" s="314"/>
      <c r="Q625" s="314"/>
      <c r="R625" s="314"/>
      <c r="S625" s="311"/>
      <c r="T625" s="311">
        <f>+T623+T624</f>
        <v>6448530.7283945624</v>
      </c>
      <c r="U625" s="311">
        <f t="shared" ref="U625:AX625" si="111">+U623+U624</f>
        <v>15109007.12203878</v>
      </c>
      <c r="V625" s="311">
        <f t="shared" si="111"/>
        <v>10112573.425932568</v>
      </c>
      <c r="W625" s="311">
        <f t="shared" si="111"/>
        <v>15651433.684957456</v>
      </c>
      <c r="X625" s="311">
        <f t="shared" si="111"/>
        <v>7091314.6539279595</v>
      </c>
      <c r="Y625" s="311">
        <f t="shared" si="111"/>
        <v>10804290.564838657</v>
      </c>
      <c r="Z625" s="311">
        <f t="shared" si="111"/>
        <v>15159081.200557318</v>
      </c>
      <c r="AA625" s="311">
        <f t="shared" si="111"/>
        <v>7811195.8486982556</v>
      </c>
      <c r="AB625" s="311">
        <f t="shared" si="111"/>
        <v>15664836.286028426</v>
      </c>
      <c r="AC625" s="311">
        <f t="shared" si="111"/>
        <v>16260944.324016146</v>
      </c>
      <c r="AD625" s="311">
        <f t="shared" si="111"/>
        <v>7282551.1933000199</v>
      </c>
      <c r="AE625" s="311">
        <f t="shared" si="111"/>
        <v>6284926.577221822</v>
      </c>
      <c r="AF625" s="311">
        <f t="shared" si="111"/>
        <v>5060551.8760440443</v>
      </c>
      <c r="AG625" s="311">
        <f t="shared" si="111"/>
        <v>5362106.6094737947</v>
      </c>
      <c r="AH625" s="311">
        <f t="shared" si="111"/>
        <v>5076630.3136253292</v>
      </c>
      <c r="AI625" s="311">
        <f t="shared" si="111"/>
        <v>3739567.2080162643</v>
      </c>
      <c r="AJ625" s="311">
        <f t="shared" si="111"/>
        <v>4412321.3946176739</v>
      </c>
      <c r="AK625" s="311">
        <f t="shared" si="111"/>
        <v>4481615.1270926977</v>
      </c>
      <c r="AL625" s="311">
        <f t="shared" si="111"/>
        <v>4651477.2749138083</v>
      </c>
      <c r="AM625" s="311">
        <f t="shared" si="111"/>
        <v>8991868.4852898326</v>
      </c>
      <c r="AN625" s="311">
        <f t="shared" si="111"/>
        <v>1457716.1719950913</v>
      </c>
      <c r="AO625" s="311">
        <f t="shared" si="111"/>
        <v>1456884.0271191811</v>
      </c>
      <c r="AP625" s="311">
        <f t="shared" si="111"/>
        <v>1456076.0786582609</v>
      </c>
      <c r="AQ625" s="311">
        <f t="shared" si="111"/>
        <v>8192472.9248673599</v>
      </c>
      <c r="AR625" s="311">
        <f t="shared" si="111"/>
        <v>1028693.9674914498</v>
      </c>
      <c r="AS625" s="311">
        <f t="shared" si="111"/>
        <v>1027861.8226155394</v>
      </c>
      <c r="AT625" s="311">
        <f t="shared" si="111"/>
        <v>7780706.227400939</v>
      </c>
      <c r="AU625" s="311">
        <f t="shared" si="111"/>
        <v>11476443.443005938</v>
      </c>
      <c r="AV625" s="311">
        <f t="shared" si="111"/>
        <v>77447.29813002779</v>
      </c>
      <c r="AW625" s="311">
        <f t="shared" si="111"/>
        <v>76615.153254117424</v>
      </c>
      <c r="AX625" s="311">
        <f t="shared" si="111"/>
        <v>75788.966001396475</v>
      </c>
      <c r="AY625" s="311"/>
      <c r="AZ625" s="311"/>
      <c r="BA625" s="311"/>
      <c r="BB625" s="311"/>
      <c r="BC625" s="311"/>
      <c r="BD625" s="311"/>
      <c r="BE625" s="311"/>
      <c r="BF625" s="311"/>
      <c r="BG625" s="311"/>
      <c r="BH625" s="311"/>
      <c r="BI625" s="311"/>
      <c r="BJ625" s="311"/>
      <c r="BK625" s="311"/>
    </row>
    <row r="626" spans="1:63">
      <c r="A626" s="167"/>
      <c r="B626" s="210" t="str">
        <f>Servicio_internaColumna_título_amortizaciones</f>
        <v>Amortizaciones</v>
      </c>
      <c r="C626" s="211"/>
      <c r="D626" s="212"/>
      <c r="E626" s="212"/>
      <c r="F626" s="212"/>
      <c r="G626" s="212"/>
      <c r="H626" s="212"/>
      <c r="I626" s="212"/>
      <c r="J626" s="212"/>
      <c r="K626" s="212"/>
      <c r="L626" s="212"/>
      <c r="M626" s="212"/>
      <c r="N626" s="212"/>
      <c r="O626" s="212"/>
      <c r="P626" s="212"/>
      <c r="Q626" s="212"/>
      <c r="R626" s="212"/>
      <c r="S626" s="235"/>
      <c r="T626" s="235">
        <v>2318523.7958635753</v>
      </c>
      <c r="U626" s="235">
        <v>9281650.541562153</v>
      </c>
      <c r="V626" s="235">
        <v>4699065.0607947716</v>
      </c>
      <c r="W626" s="235">
        <v>10537829.49893629</v>
      </c>
      <c r="X626" s="235">
        <v>2530925.3245878369</v>
      </c>
      <c r="Y626" s="235">
        <v>6396697.3240490574</v>
      </c>
      <c r="Z626" s="235">
        <v>11156323.514320379</v>
      </c>
      <c r="AA626" s="235">
        <v>4060463.7888388727</v>
      </c>
      <c r="AB626" s="235">
        <v>12206381.615516573</v>
      </c>
      <c r="AC626" s="235">
        <v>13335810.535835648</v>
      </c>
      <c r="AD626" s="235">
        <v>4819118.5480798613</v>
      </c>
      <c r="AE626" s="235">
        <v>3980283.4278326235</v>
      </c>
      <c r="AF626" s="235">
        <v>2858563.3550698147</v>
      </c>
      <c r="AG626" s="235">
        <v>3267449.2767165643</v>
      </c>
      <c r="AH626" s="235">
        <v>3069776.9684427469</v>
      </c>
      <c r="AI626" s="235">
        <v>1828021.7514615469</v>
      </c>
      <c r="AJ626" s="235">
        <v>2581105.4960261113</v>
      </c>
      <c r="AK626" s="235">
        <v>2688249.1789362053</v>
      </c>
      <c r="AL626" s="235">
        <v>2875538.6611400819</v>
      </c>
      <c r="AM626" s="235">
        <v>7309755.5803595046</v>
      </c>
      <c r="AN626" s="235">
        <v>74221.390285563204</v>
      </c>
      <c r="AO626" s="235">
        <v>74221.390285563204</v>
      </c>
      <c r="AP626" s="235">
        <v>74221.390285563204</v>
      </c>
      <c r="AQ626" s="235">
        <v>7089921.3902855646</v>
      </c>
      <c r="AR626" s="235">
        <v>74221.390285563204</v>
      </c>
      <c r="AS626" s="235">
        <v>74221.390285563204</v>
      </c>
      <c r="AT626" s="235">
        <v>7088945.298523902</v>
      </c>
      <c r="AU626" s="235">
        <v>11298365.298523903</v>
      </c>
      <c r="AV626" s="235">
        <v>73245.29852390055</v>
      </c>
      <c r="AW626" s="235">
        <v>73245.29852390055</v>
      </c>
      <c r="AX626" s="235">
        <v>73245.29852390055</v>
      </c>
      <c r="AY626" s="235"/>
      <c r="AZ626" s="235"/>
      <c r="BA626" s="235"/>
      <c r="BB626" s="235"/>
      <c r="BC626" s="235"/>
      <c r="BD626" s="235"/>
      <c r="BE626" s="235"/>
      <c r="BF626" s="235"/>
      <c r="BG626" s="235"/>
      <c r="BH626" s="235"/>
      <c r="BI626" s="235"/>
      <c r="BJ626" s="235"/>
      <c r="BK626" s="235"/>
    </row>
    <row r="627" spans="1:63">
      <c r="A627" s="168">
        <v>43191</v>
      </c>
      <c r="B627" s="213" t="str">
        <f>Servicio_internaColumna_título_intereses</f>
        <v>Intereses</v>
      </c>
      <c r="C627" s="214"/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  <c r="N627" s="215"/>
      <c r="O627" s="215"/>
      <c r="P627" s="215"/>
      <c r="Q627" s="215"/>
      <c r="R627" s="216"/>
      <c r="S627" s="236"/>
      <c r="T627" s="236">
        <v>3809266.2989399265</v>
      </c>
      <c r="U627" s="236">
        <v>6032210.6685391786</v>
      </c>
      <c r="V627" s="236">
        <v>5567122.146549168</v>
      </c>
      <c r="W627" s="236">
        <v>5291629.9673851617</v>
      </c>
      <c r="X627" s="236">
        <v>4782647.2830039468</v>
      </c>
      <c r="Y627" s="236">
        <v>4653580.9633832742</v>
      </c>
      <c r="Z627" s="236">
        <v>4252524.145330267</v>
      </c>
      <c r="AA627" s="236">
        <v>3918137.6845084256</v>
      </c>
      <c r="AB627" s="236">
        <v>3626256.928477631</v>
      </c>
      <c r="AC627" s="236">
        <v>3132683.2186537059</v>
      </c>
      <c r="AD627" s="236">
        <v>2607220.0584110189</v>
      </c>
      <c r="AE627" s="236">
        <v>2441999.3849172061</v>
      </c>
      <c r="AF627" s="236">
        <v>2320782.3171578562</v>
      </c>
      <c r="AG627" s="236">
        <v>2214638.4720152719</v>
      </c>
      <c r="AH627" s="236">
        <v>2122629.5537709934</v>
      </c>
      <c r="AI627" s="236">
        <v>2013249.8804948919</v>
      </c>
      <c r="AJ627" s="236">
        <v>1938844.6122679377</v>
      </c>
      <c r="AK627" s="236">
        <v>1861600.3394424643</v>
      </c>
      <c r="AL627" s="236">
        <v>1839845.6109418785</v>
      </c>
      <c r="AM627" s="236">
        <v>1798066.2735861219</v>
      </c>
      <c r="AN627" s="236">
        <v>1395784.7932918787</v>
      </c>
      <c r="AO627" s="236">
        <v>1394961.1269659945</v>
      </c>
      <c r="AP627" s="236">
        <v>1394161.4104913063</v>
      </c>
      <c r="AQ627" s="236">
        <v>1178457.9818142257</v>
      </c>
      <c r="AR627" s="236">
        <v>962778.50298834138</v>
      </c>
      <c r="AS627" s="236">
        <v>961954.83666245686</v>
      </c>
      <c r="AT627" s="236">
        <v>763829.53120748512</v>
      </c>
      <c r="AU627" s="236">
        <v>285046.37901068816</v>
      </c>
      <c r="AV627" s="236">
        <v>3594.7126848038047</v>
      </c>
      <c r="AW627" s="236">
        <v>2771.0463589194533</v>
      </c>
      <c r="AX627" s="236">
        <v>1953.2769236640579</v>
      </c>
      <c r="AY627" s="236"/>
      <c r="AZ627" s="236"/>
      <c r="BA627" s="236"/>
      <c r="BB627" s="236"/>
      <c r="BC627" s="236"/>
      <c r="BD627" s="236"/>
      <c r="BE627" s="236"/>
      <c r="BF627" s="236"/>
      <c r="BG627" s="236"/>
      <c r="BH627" s="236"/>
      <c r="BI627" s="236"/>
      <c r="BJ627" s="236"/>
      <c r="BK627" s="236"/>
    </row>
    <row r="628" spans="1:63">
      <c r="A628" s="169"/>
      <c r="B628" s="307" t="str">
        <f>Servicio_internaColumna_título_total</f>
        <v>Total</v>
      </c>
      <c r="C628" s="313"/>
      <c r="D628" s="314"/>
      <c r="E628" s="314"/>
      <c r="F628" s="314"/>
      <c r="G628" s="314"/>
      <c r="H628" s="314"/>
      <c r="I628" s="314"/>
      <c r="J628" s="314"/>
      <c r="K628" s="314"/>
      <c r="L628" s="314"/>
      <c r="M628" s="314"/>
      <c r="N628" s="314"/>
      <c r="O628" s="314"/>
      <c r="P628" s="314"/>
      <c r="Q628" s="314"/>
      <c r="R628" s="314"/>
      <c r="S628" s="311"/>
      <c r="T628" s="311">
        <f>+T626+T627</f>
        <v>6127790.0948035019</v>
      </c>
      <c r="U628" s="311">
        <f t="shared" ref="U628:AX628" si="112">+U626+U627</f>
        <v>15313861.210101333</v>
      </c>
      <c r="V628" s="311">
        <f t="shared" si="112"/>
        <v>10266187.20734394</v>
      </c>
      <c r="W628" s="311">
        <f t="shared" si="112"/>
        <v>15829459.466321452</v>
      </c>
      <c r="X628" s="311">
        <f t="shared" si="112"/>
        <v>7313572.6075917836</v>
      </c>
      <c r="Y628" s="311">
        <f t="shared" si="112"/>
        <v>11050278.287432332</v>
      </c>
      <c r="Z628" s="311">
        <f t="shared" si="112"/>
        <v>15408847.659650646</v>
      </c>
      <c r="AA628" s="311">
        <f t="shared" si="112"/>
        <v>7978601.4733472988</v>
      </c>
      <c r="AB628" s="311">
        <f t="shared" si="112"/>
        <v>15832638.543994203</v>
      </c>
      <c r="AC628" s="311">
        <f t="shared" si="112"/>
        <v>16468493.754489355</v>
      </c>
      <c r="AD628" s="311">
        <f t="shared" si="112"/>
        <v>7426338.6064908803</v>
      </c>
      <c r="AE628" s="311">
        <f t="shared" si="112"/>
        <v>6422282.8127498291</v>
      </c>
      <c r="AF628" s="311">
        <f t="shared" si="112"/>
        <v>5179345.6722276714</v>
      </c>
      <c r="AG628" s="311">
        <f t="shared" si="112"/>
        <v>5482087.7487318367</v>
      </c>
      <c r="AH628" s="311">
        <f t="shared" si="112"/>
        <v>5192406.5222137403</v>
      </c>
      <c r="AI628" s="311">
        <f t="shared" si="112"/>
        <v>3841271.6319564385</v>
      </c>
      <c r="AJ628" s="311">
        <f t="shared" si="112"/>
        <v>4519950.1082940493</v>
      </c>
      <c r="AK628" s="311">
        <f t="shared" si="112"/>
        <v>4549849.5183786694</v>
      </c>
      <c r="AL628" s="311">
        <f t="shared" si="112"/>
        <v>4715384.27208196</v>
      </c>
      <c r="AM628" s="311">
        <f t="shared" si="112"/>
        <v>9107821.8539456259</v>
      </c>
      <c r="AN628" s="311">
        <f t="shared" si="112"/>
        <v>1470006.1835774418</v>
      </c>
      <c r="AO628" s="311">
        <f t="shared" si="112"/>
        <v>1469182.5172515577</v>
      </c>
      <c r="AP628" s="311">
        <f t="shared" si="112"/>
        <v>1468382.8007768695</v>
      </c>
      <c r="AQ628" s="311">
        <f t="shared" si="112"/>
        <v>8268379.3720997907</v>
      </c>
      <c r="AR628" s="311">
        <f t="shared" si="112"/>
        <v>1036999.8932739046</v>
      </c>
      <c r="AS628" s="311">
        <f t="shared" si="112"/>
        <v>1036176.22694802</v>
      </c>
      <c r="AT628" s="311">
        <f t="shared" si="112"/>
        <v>7852774.8297313871</v>
      </c>
      <c r="AU628" s="311">
        <f t="shared" si="112"/>
        <v>11583411.677534591</v>
      </c>
      <c r="AV628" s="311">
        <f t="shared" si="112"/>
        <v>76840.011208704353</v>
      </c>
      <c r="AW628" s="311">
        <f t="shared" si="112"/>
        <v>76016.344882820005</v>
      </c>
      <c r="AX628" s="311">
        <f t="shared" si="112"/>
        <v>75198.57544756461</v>
      </c>
      <c r="AY628" s="311"/>
      <c r="AZ628" s="311"/>
      <c r="BA628" s="311"/>
      <c r="BB628" s="311"/>
      <c r="BC628" s="311"/>
      <c r="BD628" s="311"/>
      <c r="BE628" s="311"/>
      <c r="BF628" s="311"/>
      <c r="BG628" s="311"/>
      <c r="BH628" s="311"/>
      <c r="BI628" s="311"/>
      <c r="BJ628" s="311"/>
      <c r="BK628" s="311"/>
    </row>
    <row r="629" spans="1:63">
      <c r="A629" s="167"/>
      <c r="B629" s="210" t="str">
        <f>Servicio_internaColumna_título_amortizaciones</f>
        <v>Amortizaciones</v>
      </c>
      <c r="C629" s="211"/>
      <c r="D629" s="212"/>
      <c r="E629" s="212"/>
      <c r="F629" s="212"/>
      <c r="G629" s="212"/>
      <c r="H629" s="212"/>
      <c r="I629" s="212"/>
      <c r="J629" s="212"/>
      <c r="K629" s="212"/>
      <c r="L629" s="212"/>
      <c r="M629" s="212"/>
      <c r="N629" s="212"/>
      <c r="O629" s="212"/>
      <c r="P629" s="212"/>
      <c r="Q629" s="212"/>
      <c r="R629" s="212"/>
      <c r="S629" s="235"/>
      <c r="T629" s="235">
        <v>2339363.6049318979</v>
      </c>
      <c r="U629" s="235">
        <v>9494547.0161597393</v>
      </c>
      <c r="V629" s="235">
        <v>4780514.0221132543</v>
      </c>
      <c r="W629" s="235">
        <v>10707151.927401122</v>
      </c>
      <c r="X629" s="235">
        <v>2556075.6930312077</v>
      </c>
      <c r="Y629" s="235">
        <v>6500995.1590094799</v>
      </c>
      <c r="Z629" s="235">
        <v>11412446.717900632</v>
      </c>
      <c r="AA629" s="235">
        <v>4131900.6480952636</v>
      </c>
      <c r="AB629" s="235">
        <v>12351994.309156952</v>
      </c>
      <c r="AC629" s="235">
        <v>13598738.779110385</v>
      </c>
      <c r="AD629" s="235">
        <v>4934924.3793543214</v>
      </c>
      <c r="AE629" s="235">
        <v>4051296.9720562743</v>
      </c>
      <c r="AF629" s="235">
        <v>2903518.9936184343</v>
      </c>
      <c r="AG629" s="235">
        <v>3355911.097743799</v>
      </c>
      <c r="AH629" s="235">
        <v>3143348.0587861757</v>
      </c>
      <c r="AI629" s="235">
        <v>1871549.7341506248</v>
      </c>
      <c r="AJ629" s="235">
        <v>2644234.2443918134</v>
      </c>
      <c r="AK629" s="235">
        <v>2679068.369537178</v>
      </c>
      <c r="AL629" s="235">
        <v>2861952.6805117829</v>
      </c>
      <c r="AM629" s="235">
        <v>7429035.8324641241</v>
      </c>
      <c r="AN629" s="235">
        <v>73702.895343079756</v>
      </c>
      <c r="AO629" s="235">
        <v>73702.895343079756</v>
      </c>
      <c r="AP629" s="235">
        <v>73702.895343079756</v>
      </c>
      <c r="AQ629" s="235">
        <v>7272002.8953430792</v>
      </c>
      <c r="AR629" s="235">
        <v>73702.895343079756</v>
      </c>
      <c r="AS629" s="235">
        <v>73702.895343079756</v>
      </c>
      <c r="AT629" s="235">
        <v>7271001.3985105501</v>
      </c>
      <c r="AU629" s="235">
        <v>11589981.398510551</v>
      </c>
      <c r="AV629" s="235">
        <v>72701.398510550396</v>
      </c>
      <c r="AW629" s="235">
        <v>72701.398510550396</v>
      </c>
      <c r="AX629" s="235">
        <v>72701.398510550396</v>
      </c>
      <c r="AY629" s="235"/>
      <c r="AZ629" s="235"/>
      <c r="BA629" s="235"/>
      <c r="BB629" s="235"/>
      <c r="BC629" s="235"/>
      <c r="BD629" s="235"/>
      <c r="BE629" s="235"/>
      <c r="BF629" s="235"/>
      <c r="BG629" s="235"/>
      <c r="BH629" s="235"/>
      <c r="BI629" s="235"/>
      <c r="BJ629" s="235"/>
      <c r="BK629" s="235"/>
    </row>
    <row r="630" spans="1:63">
      <c r="A630" s="168">
        <v>43221</v>
      </c>
      <c r="B630" s="213" t="str">
        <f>Servicio_internaColumna_título_intereses</f>
        <v>Intereses</v>
      </c>
      <c r="C630" s="214"/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  <c r="N630" s="215"/>
      <c r="O630" s="215"/>
      <c r="P630" s="215"/>
      <c r="Q630" s="215"/>
      <c r="R630" s="216"/>
      <c r="S630" s="236"/>
      <c r="T630" s="236">
        <v>3600860.5773718623</v>
      </c>
      <c r="U630" s="236">
        <v>6287190.8382660756</v>
      </c>
      <c r="V630" s="236">
        <v>5849245.4404882211</v>
      </c>
      <c r="W630" s="236">
        <v>5526558.8275158396</v>
      </c>
      <c r="X630" s="236">
        <v>5025966.0912679993</v>
      </c>
      <c r="Y630" s="236">
        <v>4899050.9398842361</v>
      </c>
      <c r="Z630" s="236">
        <v>4488237.456670518</v>
      </c>
      <c r="AA630" s="236">
        <v>4148600.0592332729</v>
      </c>
      <c r="AB630" s="236">
        <v>3834146.3971632211</v>
      </c>
      <c r="AC630" s="236">
        <v>3331088.0693662371</v>
      </c>
      <c r="AD630" s="236">
        <v>2797448.4349454092</v>
      </c>
      <c r="AE630" s="236">
        <v>2621812.5158292656</v>
      </c>
      <c r="AF630" s="236">
        <v>2490956.73510403</v>
      </c>
      <c r="AG630" s="236">
        <v>2354917.0083199902</v>
      </c>
      <c r="AH630" s="236">
        <v>2230591.8433177378</v>
      </c>
      <c r="AI630" s="236">
        <v>2100782.3644245141</v>
      </c>
      <c r="AJ630" s="236">
        <v>2020410.9534394301</v>
      </c>
      <c r="AK630" s="236">
        <v>1912001.241262319</v>
      </c>
      <c r="AL630" s="236">
        <v>1887655.7653768177</v>
      </c>
      <c r="AM630" s="236">
        <v>1844138.052787435</v>
      </c>
      <c r="AN630" s="236">
        <v>1431783.1846432432</v>
      </c>
      <c r="AO630" s="236">
        <v>1430964.7895096212</v>
      </c>
      <c r="AP630" s="236">
        <v>1430170.1909033894</v>
      </c>
      <c r="AQ630" s="236">
        <v>1208880.0617423765</v>
      </c>
      <c r="AR630" s="236">
        <v>987613.72910875431</v>
      </c>
      <c r="AS630" s="236">
        <v>986795.33397513209</v>
      </c>
      <c r="AT630" s="236">
        <v>783539.57915510715</v>
      </c>
      <c r="AU630" s="236">
        <v>292322.16870788764</v>
      </c>
      <c r="AV630" s="236">
        <v>3571.7735742653863</v>
      </c>
      <c r="AW630" s="236">
        <v>2753.3784406431669</v>
      </c>
      <c r="AX630" s="236">
        <v>1940.8424068251554</v>
      </c>
      <c r="AY630" s="236"/>
      <c r="AZ630" s="236"/>
      <c r="BA630" s="236"/>
      <c r="BB630" s="236"/>
      <c r="BC630" s="236"/>
      <c r="BD630" s="236"/>
      <c r="BE630" s="236"/>
      <c r="BF630" s="236"/>
      <c r="BG630" s="236"/>
      <c r="BH630" s="236"/>
      <c r="BI630" s="236"/>
      <c r="BJ630" s="236"/>
      <c r="BK630" s="236"/>
    </row>
    <row r="631" spans="1:63">
      <c r="A631" s="169"/>
      <c r="B631" s="307" t="str">
        <f>Servicio_internaColumna_título_total</f>
        <v>Total</v>
      </c>
      <c r="C631" s="313"/>
      <c r="D631" s="314"/>
      <c r="E631" s="314"/>
      <c r="F631" s="314"/>
      <c r="G631" s="314"/>
      <c r="H631" s="314"/>
      <c r="I631" s="314"/>
      <c r="J631" s="314"/>
      <c r="K631" s="314"/>
      <c r="L631" s="314"/>
      <c r="M631" s="314"/>
      <c r="N631" s="314"/>
      <c r="O631" s="314"/>
      <c r="P631" s="314"/>
      <c r="Q631" s="314"/>
      <c r="R631" s="314"/>
      <c r="S631" s="311"/>
      <c r="T631" s="311">
        <f>+T629+T630</f>
        <v>5940224.1823037602</v>
      </c>
      <c r="U631" s="311">
        <f t="shared" ref="U631:AX631" si="113">+U629+U630</f>
        <v>15781737.854425814</v>
      </c>
      <c r="V631" s="311">
        <f t="shared" si="113"/>
        <v>10629759.462601475</v>
      </c>
      <c r="W631" s="311">
        <f t="shared" si="113"/>
        <v>16233710.754916962</v>
      </c>
      <c r="X631" s="311">
        <f t="shared" si="113"/>
        <v>7582041.7842992069</v>
      </c>
      <c r="Y631" s="311">
        <f t="shared" si="113"/>
        <v>11400046.098893717</v>
      </c>
      <c r="Z631" s="311">
        <f t="shared" si="113"/>
        <v>15900684.174571149</v>
      </c>
      <c r="AA631" s="311">
        <f t="shared" si="113"/>
        <v>8280500.7073285365</v>
      </c>
      <c r="AB631" s="311">
        <f t="shared" si="113"/>
        <v>16186140.706320174</v>
      </c>
      <c r="AC631" s="311">
        <f t="shared" si="113"/>
        <v>16929826.848476622</v>
      </c>
      <c r="AD631" s="311">
        <f t="shared" si="113"/>
        <v>7732372.8142997306</v>
      </c>
      <c r="AE631" s="311">
        <f t="shared" si="113"/>
        <v>6673109.4878855404</v>
      </c>
      <c r="AF631" s="311">
        <f t="shared" si="113"/>
        <v>5394475.7287224643</v>
      </c>
      <c r="AG631" s="311">
        <f t="shared" si="113"/>
        <v>5710828.1060637888</v>
      </c>
      <c r="AH631" s="311">
        <f t="shared" si="113"/>
        <v>5373939.9021039139</v>
      </c>
      <c r="AI631" s="311">
        <f t="shared" si="113"/>
        <v>3972332.098575139</v>
      </c>
      <c r="AJ631" s="311">
        <f t="shared" si="113"/>
        <v>4664645.1978312433</v>
      </c>
      <c r="AK631" s="311">
        <f t="shared" si="113"/>
        <v>4591069.610799497</v>
      </c>
      <c r="AL631" s="311">
        <f t="shared" si="113"/>
        <v>4749608.4458886003</v>
      </c>
      <c r="AM631" s="311">
        <f t="shared" si="113"/>
        <v>9273173.8852515593</v>
      </c>
      <c r="AN631" s="311">
        <f t="shared" si="113"/>
        <v>1505486.0799863229</v>
      </c>
      <c r="AO631" s="311">
        <f t="shared" si="113"/>
        <v>1504667.6848527009</v>
      </c>
      <c r="AP631" s="311">
        <f t="shared" si="113"/>
        <v>1503873.0862464691</v>
      </c>
      <c r="AQ631" s="311">
        <f t="shared" si="113"/>
        <v>8480882.9570854567</v>
      </c>
      <c r="AR631" s="311">
        <f t="shared" si="113"/>
        <v>1061316.624451834</v>
      </c>
      <c r="AS631" s="311">
        <f t="shared" si="113"/>
        <v>1060498.2293182118</v>
      </c>
      <c r="AT631" s="311">
        <f t="shared" si="113"/>
        <v>8054540.9776656572</v>
      </c>
      <c r="AU631" s="311">
        <f t="shared" si="113"/>
        <v>11882303.567218438</v>
      </c>
      <c r="AV631" s="311">
        <f t="shared" si="113"/>
        <v>76273.172084815786</v>
      </c>
      <c r="AW631" s="311">
        <f t="shared" si="113"/>
        <v>75454.776951193562</v>
      </c>
      <c r="AX631" s="311">
        <f t="shared" si="113"/>
        <v>74642.240917375559</v>
      </c>
      <c r="AY631" s="311"/>
      <c r="AZ631" s="311"/>
      <c r="BA631" s="311"/>
      <c r="BB631" s="311"/>
      <c r="BC631" s="311"/>
      <c r="BD631" s="311"/>
      <c r="BE631" s="311"/>
      <c r="BF631" s="311"/>
      <c r="BG631" s="311"/>
      <c r="BH631" s="311"/>
      <c r="BI631" s="311"/>
      <c r="BJ631" s="311"/>
      <c r="BK631" s="311"/>
    </row>
    <row r="632" spans="1:63">
      <c r="A632" s="167"/>
      <c r="B632" s="210" t="s">
        <v>28</v>
      </c>
      <c r="C632" s="211"/>
      <c r="D632" s="212"/>
      <c r="E632" s="212"/>
      <c r="F632" s="212"/>
      <c r="G632" s="212"/>
      <c r="H632" s="212"/>
      <c r="I632" s="212"/>
      <c r="J632" s="212"/>
      <c r="K632" s="212"/>
      <c r="L632" s="212"/>
      <c r="M632" s="212"/>
      <c r="N632" s="212"/>
      <c r="O632" s="212"/>
      <c r="P632" s="212"/>
      <c r="Q632" s="212"/>
      <c r="R632" s="212"/>
      <c r="S632" s="235"/>
      <c r="T632" s="235">
        <v>3761513.4089889862</v>
      </c>
      <c r="U632" s="235">
        <v>11120219.784526657</v>
      </c>
      <c r="V632" s="235">
        <v>6337968.172990026</v>
      </c>
      <c r="W632" s="235">
        <v>6473336.0870057205</v>
      </c>
      <c r="X632" s="235">
        <v>2598242.5100428164</v>
      </c>
      <c r="Y632" s="235">
        <v>6615756.6308689779</v>
      </c>
      <c r="Z632" s="235">
        <v>11658686.657668235</v>
      </c>
      <c r="AA632" s="235">
        <v>4215383.6803219933</v>
      </c>
      <c r="AB632" s="235">
        <v>12626896.359697938</v>
      </c>
      <c r="AC632" s="235">
        <v>13866591.518159121</v>
      </c>
      <c r="AD632" s="235">
        <v>5019719.3399447864</v>
      </c>
      <c r="AE632" s="235">
        <v>4150719.3420671285</v>
      </c>
      <c r="AF632" s="235">
        <v>2979927.3320701448</v>
      </c>
      <c r="AG632" s="235">
        <v>3431891.5393052828</v>
      </c>
      <c r="AH632" s="235">
        <v>3215301.14726931</v>
      </c>
      <c r="AI632" s="235">
        <v>1914449.9976932022</v>
      </c>
      <c r="AJ632" s="235">
        <v>2704848.9729318367</v>
      </c>
      <c r="AK632" s="235">
        <v>2741042.211258525</v>
      </c>
      <c r="AL632" s="235">
        <v>2928173.6239590156</v>
      </c>
      <c r="AM632" s="235">
        <v>7599449.3659535339</v>
      </c>
      <c r="AN632" s="235">
        <v>75447.786326746427</v>
      </c>
      <c r="AO632" s="235">
        <v>75404.814786291885</v>
      </c>
      <c r="AP632" s="235">
        <v>75404.814786291885</v>
      </c>
      <c r="AQ632" s="235">
        <v>7438129.8147862926</v>
      </c>
      <c r="AR632" s="235">
        <v>75404.814786291885</v>
      </c>
      <c r="AS632" s="235">
        <v>75404.814786291885</v>
      </c>
      <c r="AT632" s="235">
        <v>7437105.4415639648</v>
      </c>
      <c r="AU632" s="235">
        <v>11854740.441563966</v>
      </c>
      <c r="AV632" s="235">
        <v>74380.44156396373</v>
      </c>
      <c r="AW632" s="235">
        <v>74380.44156396373</v>
      </c>
      <c r="AX632" s="235">
        <v>74380.44156396373</v>
      </c>
      <c r="AY632" s="235"/>
      <c r="AZ632" s="235"/>
      <c r="BA632" s="235"/>
      <c r="BB632" s="235"/>
      <c r="BC632" s="235"/>
      <c r="BD632" s="235"/>
      <c r="BE632" s="235"/>
      <c r="BF632" s="235"/>
      <c r="BG632" s="235"/>
      <c r="BH632" s="235"/>
      <c r="BI632" s="235"/>
      <c r="BJ632" s="235"/>
      <c r="BK632" s="235"/>
    </row>
    <row r="633" spans="1:63">
      <c r="A633" s="168">
        <v>43281</v>
      </c>
      <c r="B633" s="213" t="s">
        <v>385</v>
      </c>
      <c r="C633" s="214"/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6"/>
      <c r="S633" s="236"/>
      <c r="T633" s="236">
        <v>2976757.150265079</v>
      </c>
      <c r="U633" s="236">
        <v>6389787.5923132636</v>
      </c>
      <c r="V633" s="236">
        <v>6006630.0604751455</v>
      </c>
      <c r="W633" s="236">
        <v>5702276.9712948138</v>
      </c>
      <c r="X633" s="236">
        <v>5177269.6313806809</v>
      </c>
      <c r="Y633" s="236">
        <v>5063867.1341761649</v>
      </c>
      <c r="Z633" s="236">
        <v>4677280.3094999064</v>
      </c>
      <c r="AA633" s="236">
        <v>4349338.7808535369</v>
      </c>
      <c r="AB633" s="236">
        <v>4023467.9199712682</v>
      </c>
      <c r="AC633" s="236">
        <v>3522777.6070747841</v>
      </c>
      <c r="AD633" s="236">
        <v>2993165.6706760083</v>
      </c>
      <c r="AE633" s="236">
        <v>2812493.8846203564</v>
      </c>
      <c r="AF633" s="236">
        <v>2689731.1185929971</v>
      </c>
      <c r="AG633" s="236">
        <v>2560956.4259010111</v>
      </c>
      <c r="AH633" s="236">
        <v>2444852.5285848272</v>
      </c>
      <c r="AI633" s="236">
        <v>2309004.871882475</v>
      </c>
      <c r="AJ633" s="236">
        <v>2192142.0552349933</v>
      </c>
      <c r="AK633" s="236">
        <v>2066011.2508653721</v>
      </c>
      <c r="AL633" s="236">
        <v>2024931.5775613789</v>
      </c>
      <c r="AM633" s="236">
        <v>1938213.5066005061</v>
      </c>
      <c r="AN633" s="236">
        <v>1480914.5795441966</v>
      </c>
      <c r="AO633" s="236">
        <v>1479239.7421588288</v>
      </c>
      <c r="AP633" s="236">
        <v>1477517.0230297553</v>
      </c>
      <c r="AQ633" s="236">
        <v>1250147.1712388443</v>
      </c>
      <c r="AR633" s="236">
        <v>1022741.3067441458</v>
      </c>
      <c r="AS633" s="236">
        <v>1020741.0247020881</v>
      </c>
      <c r="AT633" s="236">
        <v>811597.74326735048</v>
      </c>
      <c r="AU633" s="236">
        <v>307803.14322519588</v>
      </c>
      <c r="AV633" s="236">
        <v>11024.76920191303</v>
      </c>
      <c r="AW633" s="236">
        <v>6988.6196825561447</v>
      </c>
      <c r="AX633" s="236">
        <v>3471.9899036988495</v>
      </c>
      <c r="AY633" s="236"/>
      <c r="AZ633" s="236"/>
      <c r="BA633" s="236"/>
      <c r="BB633" s="236"/>
      <c r="BC633" s="236"/>
      <c r="BD633" s="236"/>
      <c r="BE633" s="236"/>
      <c r="BF633" s="236"/>
      <c r="BG633" s="236"/>
      <c r="BH633" s="236"/>
      <c r="BI633" s="236"/>
      <c r="BJ633" s="236"/>
      <c r="BK633" s="236"/>
    </row>
    <row r="634" spans="1:63">
      <c r="A634" s="169"/>
      <c r="B634" s="307" t="s">
        <v>29</v>
      </c>
      <c r="C634" s="313"/>
      <c r="D634" s="314"/>
      <c r="E634" s="314"/>
      <c r="F634" s="314"/>
      <c r="G634" s="314"/>
      <c r="H634" s="314"/>
      <c r="I634" s="314"/>
      <c r="J634" s="314"/>
      <c r="K634" s="314"/>
      <c r="L634" s="314"/>
      <c r="M634" s="314"/>
      <c r="N634" s="314"/>
      <c r="O634" s="314"/>
      <c r="P634" s="314"/>
      <c r="Q634" s="314"/>
      <c r="R634" s="314"/>
      <c r="S634" s="311"/>
      <c r="T634" s="311">
        <v>6738270.5592540652</v>
      </c>
      <c r="U634" s="311">
        <v>17510007.376839921</v>
      </c>
      <c r="V634" s="311">
        <v>12344598.233465172</v>
      </c>
      <c r="W634" s="311">
        <v>12175613.058300534</v>
      </c>
      <c r="X634" s="311">
        <v>7775512.1414234973</v>
      </c>
      <c r="Y634" s="311">
        <v>11679623.765045144</v>
      </c>
      <c r="Z634" s="311">
        <v>16335966.967168141</v>
      </c>
      <c r="AA634" s="311">
        <v>8564722.4611755293</v>
      </c>
      <c r="AB634" s="311">
        <v>16650364.279669207</v>
      </c>
      <c r="AC634" s="311">
        <v>17389369.125233904</v>
      </c>
      <c r="AD634" s="311">
        <v>8012885.0106207933</v>
      </c>
      <c r="AE634" s="311">
        <v>6963213.2266874844</v>
      </c>
      <c r="AF634" s="311">
        <v>5669658.4506631419</v>
      </c>
      <c r="AG634" s="311">
        <v>5992847.9652062943</v>
      </c>
      <c r="AH634" s="311">
        <v>5660153.6758541372</v>
      </c>
      <c r="AI634" s="311">
        <v>4223454.8695756774</v>
      </c>
      <c r="AJ634" s="311">
        <v>4896991.0281668305</v>
      </c>
      <c r="AK634" s="311">
        <v>4807053.4621238969</v>
      </c>
      <c r="AL634" s="311">
        <v>4953105.2015203945</v>
      </c>
      <c r="AM634" s="311">
        <v>9537662.8725540396</v>
      </c>
      <c r="AN634" s="311">
        <v>1556362.3658709431</v>
      </c>
      <c r="AO634" s="311">
        <v>1554644.5569451209</v>
      </c>
      <c r="AP634" s="311">
        <v>1552921.8378160475</v>
      </c>
      <c r="AQ634" s="311">
        <v>8688276.9860251378</v>
      </c>
      <c r="AR634" s="311">
        <v>1098146.1215304376</v>
      </c>
      <c r="AS634" s="311">
        <v>1096145.8394883799</v>
      </c>
      <c r="AT634" s="311">
        <v>8248703.1848313157</v>
      </c>
      <c r="AU634" s="311">
        <v>12162543.584789161</v>
      </c>
      <c r="AV634" s="311">
        <v>85405.210765876764</v>
      </c>
      <c r="AW634" s="311">
        <v>81369.061246519879</v>
      </c>
      <c r="AX634" s="311">
        <v>77852.43146766258</v>
      </c>
      <c r="AY634" s="311"/>
      <c r="AZ634" s="311"/>
      <c r="BA634" s="311"/>
      <c r="BB634" s="311"/>
      <c r="BC634" s="311"/>
      <c r="BD634" s="311"/>
      <c r="BE634" s="311"/>
      <c r="BF634" s="311"/>
      <c r="BG634" s="311"/>
      <c r="BH634" s="311"/>
      <c r="BI634" s="311"/>
      <c r="BJ634" s="311"/>
      <c r="BK634" s="311"/>
    </row>
    <row r="635" spans="1:63">
      <c r="A635" s="167"/>
      <c r="B635" s="210" t="s">
        <v>28</v>
      </c>
      <c r="C635" s="211"/>
      <c r="D635" s="212"/>
      <c r="E635" s="212"/>
      <c r="F635" s="212"/>
      <c r="G635" s="212"/>
      <c r="H635" s="212"/>
      <c r="I635" s="212"/>
      <c r="J635" s="212"/>
      <c r="K635" s="212"/>
      <c r="L635" s="212"/>
      <c r="M635" s="212"/>
      <c r="N635" s="212"/>
      <c r="O635" s="212"/>
      <c r="P635" s="212"/>
      <c r="Q635" s="212"/>
      <c r="R635" s="212"/>
      <c r="S635" s="235"/>
      <c r="T635" s="235">
        <v>2225796.1001393846</v>
      </c>
      <c r="U635" s="235">
        <v>9398318.1216433104</v>
      </c>
      <c r="V635" s="235">
        <v>4741856.380081119</v>
      </c>
      <c r="W635" s="235">
        <v>10672000.316827973</v>
      </c>
      <c r="X635" s="235">
        <v>2528227.3540982725</v>
      </c>
      <c r="Y635" s="235">
        <v>6474375.7516186293</v>
      </c>
      <c r="Z635" s="235">
        <v>11378552.781508794</v>
      </c>
      <c r="AA635" s="235">
        <v>4112128.00480319</v>
      </c>
      <c r="AB635" s="235">
        <v>12335217.613346644</v>
      </c>
      <c r="AC635" s="235">
        <v>13574802.662127465</v>
      </c>
      <c r="AD635" s="235">
        <v>4900145.3875977742</v>
      </c>
      <c r="AE635" s="235">
        <v>4051523.0387119157</v>
      </c>
      <c r="AF635" s="235">
        <v>2909344.988518903</v>
      </c>
      <c r="AG635" s="235">
        <v>3351198.4634742476</v>
      </c>
      <c r="AH635" s="235">
        <v>3139150.7964744754</v>
      </c>
      <c r="AI635" s="235">
        <v>1869512.7531856226</v>
      </c>
      <c r="AJ635" s="235">
        <v>2641294.3086128742</v>
      </c>
      <c r="AK635" s="235">
        <v>2681219.6514216745</v>
      </c>
      <c r="AL635" s="235">
        <v>2864509.8018793417</v>
      </c>
      <c r="AM635" s="235">
        <v>7424781.1998491781</v>
      </c>
      <c r="AN635" s="235">
        <v>73820.239948170594</v>
      </c>
      <c r="AO635" s="235">
        <v>73778.280579079685</v>
      </c>
      <c r="AP635" s="235">
        <v>73778.280579079685</v>
      </c>
      <c r="AQ635" s="235">
        <v>7263078.2805790789</v>
      </c>
      <c r="AR635" s="235">
        <v>73778.280579079685</v>
      </c>
      <c r="AS635" s="235">
        <v>73778.280579079685</v>
      </c>
      <c r="AT635" s="235">
        <v>7262078.0359132411</v>
      </c>
      <c r="AU635" s="235">
        <v>11575658.03591324</v>
      </c>
      <c r="AV635" s="235">
        <v>72778.03591324146</v>
      </c>
      <c r="AW635" s="235">
        <v>72778.03591324146</v>
      </c>
      <c r="AX635" s="235">
        <v>72778.03591324146</v>
      </c>
      <c r="AY635" s="235"/>
      <c r="AZ635" s="235"/>
      <c r="BA635" s="235"/>
      <c r="BB635" s="235"/>
      <c r="BC635" s="235"/>
      <c r="BD635" s="235"/>
      <c r="BE635" s="235"/>
      <c r="BF635" s="235"/>
      <c r="BG635" s="235"/>
      <c r="BH635" s="235"/>
      <c r="BI635" s="235"/>
      <c r="BJ635" s="235"/>
      <c r="BK635" s="235"/>
    </row>
    <row r="636" spans="1:63">
      <c r="A636" s="168">
        <v>43312</v>
      </c>
      <c r="B636" s="213" t="s">
        <v>385</v>
      </c>
      <c r="C636" s="214"/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6"/>
      <c r="S636" s="236"/>
      <c r="T636" s="236">
        <v>2341965.7686799834</v>
      </c>
      <c r="U636" s="236">
        <v>6249805.2470903434</v>
      </c>
      <c r="V636" s="236">
        <v>5919980.1520250561</v>
      </c>
      <c r="W636" s="236">
        <v>5627434.5898939604</v>
      </c>
      <c r="X636" s="236">
        <v>5089934.8659888683</v>
      </c>
      <c r="Y636" s="236">
        <v>4978578.4649377093</v>
      </c>
      <c r="Z636" s="236">
        <v>4605140.634281707</v>
      </c>
      <c r="AA636" s="236">
        <v>4289856.0922138114</v>
      </c>
      <c r="AB636" s="236">
        <v>3960443.973102808</v>
      </c>
      <c r="AC636" s="236">
        <v>3470028.9469522801</v>
      </c>
      <c r="AD636" s="236">
        <v>2946414.2703301976</v>
      </c>
      <c r="AE636" s="236">
        <v>2765666.6529969452</v>
      </c>
      <c r="AF636" s="236">
        <v>2643654.772165542</v>
      </c>
      <c r="AG636" s="236">
        <v>2515316.2951311399</v>
      </c>
      <c r="AH636" s="236">
        <v>2400006.1832822175</v>
      </c>
      <c r="AI636" s="236">
        <v>2270168.5452204305</v>
      </c>
      <c r="AJ636" s="236">
        <v>2147347.998999272</v>
      </c>
      <c r="AK636" s="236">
        <v>2021030.3522946599</v>
      </c>
      <c r="AL636" s="236">
        <v>1980040.2268060099</v>
      </c>
      <c r="AM636" s="236">
        <v>1893870.5595097521</v>
      </c>
      <c r="AN636" s="236">
        <v>1446390.7298181041</v>
      </c>
      <c r="AO636" s="236">
        <v>1444705.2873584356</v>
      </c>
      <c r="AP636" s="236">
        <v>1442988.1003667035</v>
      </c>
      <c r="AQ636" s="236">
        <v>1220928.0048532456</v>
      </c>
      <c r="AR636" s="236">
        <v>998840.65720310051</v>
      </c>
      <c r="AS636" s="236">
        <v>996849.9955761272</v>
      </c>
      <c r="AT636" s="236">
        <v>792607.05702040775</v>
      </c>
      <c r="AU636" s="236">
        <v>300646.82623548934</v>
      </c>
      <c r="AV636" s="236">
        <v>10833.338355733</v>
      </c>
      <c r="AW636" s="236">
        <v>7667.8382867746304</v>
      </c>
      <c r="AX636" s="236">
        <v>2726.1540919160952</v>
      </c>
      <c r="AY636" s="236"/>
      <c r="AZ636" s="236"/>
      <c r="BA636" s="236"/>
      <c r="BB636" s="236"/>
      <c r="BC636" s="236"/>
      <c r="BD636" s="236"/>
      <c r="BE636" s="236"/>
      <c r="BF636" s="236"/>
      <c r="BG636" s="236"/>
      <c r="BH636" s="236"/>
      <c r="BI636" s="236"/>
      <c r="BJ636" s="236"/>
      <c r="BK636" s="236"/>
    </row>
    <row r="637" spans="1:63">
      <c r="A637" s="169"/>
      <c r="B637" s="307" t="s">
        <v>29</v>
      </c>
      <c r="C637" s="313"/>
      <c r="D637" s="314"/>
      <c r="E637" s="314"/>
      <c r="F637" s="314"/>
      <c r="G637" s="314"/>
      <c r="H637" s="314"/>
      <c r="I637" s="314"/>
      <c r="J637" s="314"/>
      <c r="K637" s="314"/>
      <c r="L637" s="314"/>
      <c r="M637" s="314"/>
      <c r="N637" s="314"/>
      <c r="O637" s="314"/>
      <c r="P637" s="314"/>
      <c r="Q637" s="314"/>
      <c r="R637" s="314"/>
      <c r="S637" s="311"/>
      <c r="T637" s="311">
        <v>4567761.8688193681</v>
      </c>
      <c r="U637" s="311">
        <v>15648123.368733654</v>
      </c>
      <c r="V637" s="311">
        <v>10661836.532106176</v>
      </c>
      <c r="W637" s="311">
        <v>16299434.906721935</v>
      </c>
      <c r="X637" s="311">
        <v>7618162.2200871408</v>
      </c>
      <c r="Y637" s="311">
        <v>11452954.216556339</v>
      </c>
      <c r="Z637" s="311">
        <v>15983693.415790504</v>
      </c>
      <c r="AA637" s="311">
        <v>8401984.0970169995</v>
      </c>
      <c r="AB637" s="311">
        <v>16295661.586449454</v>
      </c>
      <c r="AC637" s="311">
        <v>17044831.609079745</v>
      </c>
      <c r="AD637" s="311">
        <v>7846559.6579279713</v>
      </c>
      <c r="AE637" s="311">
        <v>6817189.6917088609</v>
      </c>
      <c r="AF637" s="311">
        <v>5552999.7606844446</v>
      </c>
      <c r="AG637" s="311">
        <v>5866514.758605388</v>
      </c>
      <c r="AH637" s="311">
        <v>5539156.9797566924</v>
      </c>
      <c r="AI637" s="311">
        <v>4139681.2984060533</v>
      </c>
      <c r="AJ637" s="311">
        <v>4788642.3076121463</v>
      </c>
      <c r="AK637" s="311">
        <v>4702250.0037163347</v>
      </c>
      <c r="AL637" s="311">
        <v>4844550.0286853518</v>
      </c>
      <c r="AM637" s="311">
        <v>9318651.7593589295</v>
      </c>
      <c r="AN637" s="311">
        <v>1520210.9697662746</v>
      </c>
      <c r="AO637" s="311">
        <v>1518483.5679375154</v>
      </c>
      <c r="AP637" s="311">
        <v>1516766.3809457831</v>
      </c>
      <c r="AQ637" s="311">
        <v>8484006.2854323238</v>
      </c>
      <c r="AR637" s="311">
        <v>1072618.9377821803</v>
      </c>
      <c r="AS637" s="311">
        <v>1070628.2761552068</v>
      </c>
      <c r="AT637" s="311">
        <v>8054685.0929336492</v>
      </c>
      <c r="AU637" s="311">
        <v>11876304.86214873</v>
      </c>
      <c r="AV637" s="311">
        <v>83611.374268974454</v>
      </c>
      <c r="AW637" s="311">
        <v>80445.874200016086</v>
      </c>
      <c r="AX637" s="311">
        <v>75504.19000515755</v>
      </c>
      <c r="AY637" s="311"/>
      <c r="AZ637" s="311"/>
      <c r="BA637" s="311"/>
      <c r="BB637" s="311"/>
      <c r="BC637" s="311"/>
      <c r="BD637" s="311"/>
      <c r="BE637" s="311"/>
      <c r="BF637" s="311"/>
      <c r="BG637" s="311"/>
      <c r="BH637" s="311"/>
      <c r="BI637" s="311"/>
      <c r="BJ637" s="311"/>
      <c r="BK637" s="311"/>
    </row>
    <row r="638" spans="1:63">
      <c r="A638" s="167"/>
      <c r="B638" s="210" t="s">
        <v>28</v>
      </c>
      <c r="C638" s="211"/>
      <c r="D638" s="212"/>
      <c r="E638" s="212"/>
      <c r="F638" s="212"/>
      <c r="G638" s="212"/>
      <c r="H638" s="212"/>
      <c r="I638" s="212"/>
      <c r="J638" s="212"/>
      <c r="K638" s="212"/>
      <c r="L638" s="212"/>
      <c r="M638" s="212"/>
      <c r="N638" s="212"/>
      <c r="O638" s="212"/>
      <c r="P638" s="212"/>
      <c r="Q638" s="212"/>
      <c r="R638" s="212"/>
      <c r="S638" s="235"/>
      <c r="T638" s="235">
        <v>2294389.17764505</v>
      </c>
      <c r="U638" s="235">
        <v>9857221.1898892261</v>
      </c>
      <c r="V638" s="235">
        <v>4942337.4756820938</v>
      </c>
      <c r="W638" s="235">
        <v>11075555.479508836</v>
      </c>
      <c r="X638" s="235">
        <v>2632412.9670102326</v>
      </c>
      <c r="Y638" s="235">
        <v>6739494.6698790938</v>
      </c>
      <c r="Z638" s="235">
        <v>11970799.40316993</v>
      </c>
      <c r="AA638" s="235">
        <v>4325456.7871817118</v>
      </c>
      <c r="AB638" s="235">
        <v>12956032.922218863</v>
      </c>
      <c r="AC638" s="235">
        <v>14184814.253720976</v>
      </c>
      <c r="AD638" s="235">
        <v>5154764.5562456567</v>
      </c>
      <c r="AE638" s="235">
        <v>4262332.6241393508</v>
      </c>
      <c r="AF638" s="235">
        <v>3059447.8088916871</v>
      </c>
      <c r="AG638" s="235">
        <v>3525170.2907190849</v>
      </c>
      <c r="AH638" s="235">
        <v>3302241.9376774943</v>
      </c>
      <c r="AI638" s="235">
        <v>1965508.0379541004</v>
      </c>
      <c r="AJ638" s="235">
        <v>2776779.7250254201</v>
      </c>
      <c r="AK638" s="235">
        <v>2806069.0536879851</v>
      </c>
      <c r="AL638" s="235">
        <v>5000831.9014228247</v>
      </c>
      <c r="AM638" s="235">
        <v>5800623.1068690997</v>
      </c>
      <c r="AN638" s="235">
        <v>77297.902312700127</v>
      </c>
      <c r="AO638" s="235">
        <v>77253.729940427409</v>
      </c>
      <c r="AP638" s="235">
        <v>77253.729940427409</v>
      </c>
      <c r="AQ638" s="235">
        <v>7645728.7299404265</v>
      </c>
      <c r="AR638" s="235">
        <v>77253.729940427409</v>
      </c>
      <c r="AS638" s="235">
        <v>77253.729940427409</v>
      </c>
      <c r="AT638" s="235">
        <v>7644675.7307962431</v>
      </c>
      <c r="AU638" s="235">
        <v>12185760.730796242</v>
      </c>
      <c r="AV638" s="235">
        <v>76200.73079624369</v>
      </c>
      <c r="AW638" s="235">
        <v>76200.73079624369</v>
      </c>
      <c r="AX638" s="235">
        <v>76200.73079624369</v>
      </c>
      <c r="AY638" s="235"/>
      <c r="AZ638" s="235"/>
      <c r="BA638" s="235"/>
      <c r="BB638" s="235"/>
      <c r="BC638" s="235"/>
      <c r="BD638" s="235"/>
      <c r="BE638" s="235"/>
      <c r="BF638" s="235"/>
      <c r="BG638" s="235"/>
      <c r="BH638" s="235"/>
      <c r="BI638" s="235"/>
      <c r="BJ638" s="235"/>
      <c r="BK638" s="235"/>
    </row>
    <row r="639" spans="1:63">
      <c r="A639" s="168">
        <v>43343</v>
      </c>
      <c r="B639" s="213" t="s">
        <v>385</v>
      </c>
      <c r="C639" s="214"/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6"/>
      <c r="S639" s="236"/>
      <c r="T639" s="236">
        <v>1962168.4445976918</v>
      </c>
      <c r="U639" s="236">
        <v>6825022.61747739</v>
      </c>
      <c r="V639" s="236">
        <v>6562548.0111723607</v>
      </c>
      <c r="W639" s="236">
        <v>6379306.2557390751</v>
      </c>
      <c r="X639" s="236">
        <v>5877189.1895772256</v>
      </c>
      <c r="Y639" s="236">
        <v>5809067.3338881452</v>
      </c>
      <c r="Z639" s="236">
        <v>5767034.044695247</v>
      </c>
      <c r="AA639" s="236">
        <v>5522044.9637648501</v>
      </c>
      <c r="AB639" s="236">
        <v>4973471.309350892</v>
      </c>
      <c r="AC639" s="236">
        <v>4404002.1693573762</v>
      </c>
      <c r="AD639" s="236">
        <v>3787922.3289371845</v>
      </c>
      <c r="AE639" s="236">
        <v>3416741.1810727008</v>
      </c>
      <c r="AF639" s="236">
        <v>3154460.2976301946</v>
      </c>
      <c r="AG639" s="236">
        <v>2863883.6643939144</v>
      </c>
      <c r="AH639" s="236">
        <v>2560085.738603164</v>
      </c>
      <c r="AI639" s="236">
        <v>2379811.6485195081</v>
      </c>
      <c r="AJ639" s="236">
        <v>2251703.5057637985</v>
      </c>
      <c r="AK639" s="236">
        <v>2122141.658857407</v>
      </c>
      <c r="AL639" s="236">
        <v>2079898.6168332407</v>
      </c>
      <c r="AM639" s="236">
        <v>1934349.2955186784</v>
      </c>
      <c r="AN639" s="236">
        <v>1521999.7755639988</v>
      </c>
      <c r="AO639" s="236">
        <v>1520312.927834806</v>
      </c>
      <c r="AP639" s="236">
        <v>1518531.7414430312</v>
      </c>
      <c r="AQ639" s="236">
        <v>1284845.2580258525</v>
      </c>
      <c r="AR639" s="236">
        <v>1051106.6502880096</v>
      </c>
      <c r="AS639" s="236">
        <v>1049083.8812265617</v>
      </c>
      <c r="AT639" s="236">
        <v>834098.00188084925</v>
      </c>
      <c r="AU639" s="236">
        <v>316260.99464276852</v>
      </c>
      <c r="AV639" s="236">
        <v>11214.839065703831</v>
      </c>
      <c r="AW639" s="236">
        <v>8793.5100852769265</v>
      </c>
      <c r="AX639" s="236">
        <v>2155.7217263551192</v>
      </c>
      <c r="AY639" s="236"/>
      <c r="AZ639" s="236"/>
      <c r="BA639" s="236"/>
      <c r="BB639" s="236"/>
      <c r="BC639" s="236"/>
      <c r="BD639" s="236"/>
      <c r="BE639" s="236"/>
      <c r="BF639" s="236"/>
      <c r="BG639" s="236"/>
      <c r="BH639" s="236"/>
      <c r="BI639" s="236"/>
      <c r="BJ639" s="236"/>
      <c r="BK639" s="236"/>
    </row>
    <row r="640" spans="1:63">
      <c r="A640" s="169"/>
      <c r="B640" s="307" t="s">
        <v>29</v>
      </c>
      <c r="C640" s="313"/>
      <c r="D640" s="314"/>
      <c r="E640" s="314"/>
      <c r="F640" s="314"/>
      <c r="G640" s="314"/>
      <c r="H640" s="314"/>
      <c r="I640" s="314"/>
      <c r="J640" s="314"/>
      <c r="K640" s="314"/>
      <c r="L640" s="314"/>
      <c r="M640" s="314"/>
      <c r="N640" s="314"/>
      <c r="O640" s="314"/>
      <c r="P640" s="314"/>
      <c r="Q640" s="314"/>
      <c r="R640" s="314"/>
      <c r="S640" s="311"/>
      <c r="T640" s="311">
        <v>4256557.6222427413</v>
      </c>
      <c r="U640" s="311">
        <v>16682243.807366617</v>
      </c>
      <c r="V640" s="311">
        <v>11504885.486854453</v>
      </c>
      <c r="W640" s="311">
        <v>17454861.73524791</v>
      </c>
      <c r="X640" s="311">
        <v>8509602.1565874573</v>
      </c>
      <c r="Y640" s="311">
        <v>12548562.003767239</v>
      </c>
      <c r="Z640" s="311">
        <v>17737833.447865177</v>
      </c>
      <c r="AA640" s="311">
        <v>9847501.7509465627</v>
      </c>
      <c r="AB640" s="311">
        <v>17929504.231569752</v>
      </c>
      <c r="AC640" s="311">
        <v>18588816.423078351</v>
      </c>
      <c r="AD640" s="311">
        <v>8942686.8851828407</v>
      </c>
      <c r="AE640" s="311">
        <v>7679073.8052120516</v>
      </c>
      <c r="AF640" s="311">
        <v>6213908.1065218821</v>
      </c>
      <c r="AG640" s="311">
        <v>6389053.9551129993</v>
      </c>
      <c r="AH640" s="311">
        <v>5862327.6762806587</v>
      </c>
      <c r="AI640" s="311">
        <v>4345319.6864736089</v>
      </c>
      <c r="AJ640" s="311">
        <v>5028483.2307892181</v>
      </c>
      <c r="AK640" s="311">
        <v>4928210.7125453921</v>
      </c>
      <c r="AL640" s="311">
        <v>7080730.5182560654</v>
      </c>
      <c r="AM640" s="311">
        <v>7734972.4023877783</v>
      </c>
      <c r="AN640" s="311">
        <v>1599297.6778766988</v>
      </c>
      <c r="AO640" s="311">
        <v>1597566.6577752335</v>
      </c>
      <c r="AP640" s="311">
        <v>1595785.4713834587</v>
      </c>
      <c r="AQ640" s="311">
        <v>8930573.9879662786</v>
      </c>
      <c r="AR640" s="311">
        <v>1128360.3802284368</v>
      </c>
      <c r="AS640" s="311">
        <v>1126337.611166989</v>
      </c>
      <c r="AT640" s="311">
        <v>8478773.7326770909</v>
      </c>
      <c r="AU640" s="311">
        <v>12502021.72543901</v>
      </c>
      <c r="AV640" s="311">
        <v>87415.56986194753</v>
      </c>
      <c r="AW640" s="311">
        <v>84994.240881520629</v>
      </c>
      <c r="AX640" s="311">
        <v>78356.452522598818</v>
      </c>
      <c r="AY640" s="311"/>
      <c r="AZ640" s="311"/>
      <c r="BA640" s="311"/>
      <c r="BB640" s="311"/>
      <c r="BC640" s="311"/>
      <c r="BD640" s="311"/>
      <c r="BE640" s="311"/>
      <c r="BF640" s="311"/>
      <c r="BG640" s="311"/>
      <c r="BH640" s="311"/>
      <c r="BI640" s="311"/>
      <c r="BJ640" s="311"/>
      <c r="BK640" s="311"/>
    </row>
    <row r="641" spans="1:63">
      <c r="A641" s="167"/>
      <c r="B641" s="210" t="s">
        <v>28</v>
      </c>
      <c r="C641" s="211"/>
      <c r="D641" s="212"/>
      <c r="E641" s="212"/>
      <c r="F641" s="212"/>
      <c r="G641" s="212"/>
      <c r="H641" s="212"/>
      <c r="I641" s="212"/>
      <c r="J641" s="212"/>
      <c r="K641" s="212"/>
      <c r="L641" s="212"/>
      <c r="M641" s="212"/>
      <c r="N641" s="212"/>
      <c r="O641" s="212"/>
      <c r="P641" s="212"/>
      <c r="Q641" s="212"/>
      <c r="R641" s="212"/>
      <c r="S641" s="235"/>
      <c r="T641" s="235">
        <v>2191851.0804503607</v>
      </c>
      <c r="U641" s="235">
        <v>9633420.0962554887</v>
      </c>
      <c r="V641" s="235">
        <v>4871849.8133564033</v>
      </c>
      <c r="W641" s="235">
        <v>11095689.896413701</v>
      </c>
      <c r="X641" s="235">
        <v>2712735.4771353099</v>
      </c>
      <c r="Y641" s="235">
        <v>6786793.0743943667</v>
      </c>
      <c r="Z641" s="235">
        <v>11933283.946113119</v>
      </c>
      <c r="AA641" s="235">
        <v>4383556.6156258462</v>
      </c>
      <c r="AB641" s="235">
        <v>12900656.411345337</v>
      </c>
      <c r="AC641" s="235">
        <v>14158173.911956141</v>
      </c>
      <c r="AD641" s="235">
        <v>5202786.3337806808</v>
      </c>
      <c r="AE641" s="235">
        <v>4202735.9746234743</v>
      </c>
      <c r="AF641" s="235">
        <v>3015588.4643480908</v>
      </c>
      <c r="AG641" s="235">
        <v>3475725.3422285975</v>
      </c>
      <c r="AH641" s="235">
        <v>3258521.6345871617</v>
      </c>
      <c r="AI641" s="235">
        <v>1938339.3913167997</v>
      </c>
      <c r="AJ641" s="235">
        <v>2741113.8205590094</v>
      </c>
      <c r="AK641" s="235">
        <v>2766224.4355022572</v>
      </c>
      <c r="AL641" s="235">
        <v>4930501.5114241242</v>
      </c>
      <c r="AM641" s="235">
        <v>5727986.690394735</v>
      </c>
      <c r="AN641" s="235">
        <v>76164.478080824221</v>
      </c>
      <c r="AO641" s="235">
        <v>76164.478080824221</v>
      </c>
      <c r="AP641" s="235">
        <v>76164.478080824221</v>
      </c>
      <c r="AQ641" s="235">
        <v>7550114.4780808231</v>
      </c>
      <c r="AR641" s="235">
        <v>76164.478080824221</v>
      </c>
      <c r="AS641" s="235">
        <v>76164.478080824221</v>
      </c>
      <c r="AT641" s="235">
        <v>7549074.6301651374</v>
      </c>
      <c r="AU641" s="235">
        <v>12033444.630165137</v>
      </c>
      <c r="AV641" s="235">
        <v>75124.63016513818</v>
      </c>
      <c r="AW641" s="235">
        <v>75124.63016513818</v>
      </c>
      <c r="AX641" s="235">
        <v>75124.63016513818</v>
      </c>
      <c r="AY641" s="235"/>
      <c r="AZ641" s="235"/>
      <c r="BA641" s="235"/>
      <c r="BB641" s="235"/>
      <c r="BC641" s="235"/>
      <c r="BD641" s="235"/>
      <c r="BE641" s="235"/>
      <c r="BF641" s="235"/>
      <c r="BG641" s="235"/>
      <c r="BH641" s="235"/>
      <c r="BI641" s="235"/>
      <c r="BJ641" s="235"/>
      <c r="BK641" s="235"/>
    </row>
    <row r="642" spans="1:63">
      <c r="A642" s="168">
        <v>43373</v>
      </c>
      <c r="B642" s="213" t="s">
        <v>385</v>
      </c>
      <c r="C642" s="214"/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  <c r="N642" s="215"/>
      <c r="O642" s="215"/>
      <c r="P642" s="215"/>
      <c r="Q642" s="215"/>
      <c r="R642" s="216"/>
      <c r="S642" s="236"/>
      <c r="T642" s="236">
        <v>1193273.5088019257</v>
      </c>
      <c r="U642" s="236">
        <v>6453882.9752073279</v>
      </c>
      <c r="V642" s="236">
        <v>6154833.8164139446</v>
      </c>
      <c r="W642" s="236">
        <v>5882444.1061657825</v>
      </c>
      <c r="X642" s="236">
        <v>5311838.3060374772</v>
      </c>
      <c r="Y642" s="236">
        <v>5192167.7144712275</v>
      </c>
      <c r="Z642" s="236">
        <v>4793866.0567331649</v>
      </c>
      <c r="AA642" s="236">
        <v>4473728.0801228229</v>
      </c>
      <c r="AB642" s="236">
        <v>4131760.4442992941</v>
      </c>
      <c r="AC642" s="236">
        <v>3621634.554261608</v>
      </c>
      <c r="AD642" s="236">
        <v>3081351.4739383454</v>
      </c>
      <c r="AE642" s="236">
        <v>2885237.1164451116</v>
      </c>
      <c r="AF642" s="236">
        <v>2755016.1872776388</v>
      </c>
      <c r="AG642" s="236">
        <v>2618986.0946250358</v>
      </c>
      <c r="AH642" s="236">
        <v>2496098.1264943895</v>
      </c>
      <c r="AI642" s="236">
        <v>2369111.4364710324</v>
      </c>
      <c r="AJ642" s="236">
        <v>2236778.9351768219</v>
      </c>
      <c r="AK642" s="236">
        <v>2102358.525998624</v>
      </c>
      <c r="AL642" s="236">
        <v>2058694.3694535648</v>
      </c>
      <c r="AM642" s="236">
        <v>1911039.9876135262</v>
      </c>
      <c r="AN642" s="236">
        <v>1503595.7010850513</v>
      </c>
      <c r="AO642" s="236">
        <v>1501843.4408810011</v>
      </c>
      <c r="AP642" s="236">
        <v>1500010.513457306</v>
      </c>
      <c r="AQ642" s="236">
        <v>1269165.3475350463</v>
      </c>
      <c r="AR642" s="236">
        <v>1038278.6410837374</v>
      </c>
      <c r="AS642" s="236">
        <v>1036218.7411268869</v>
      </c>
      <c r="AT642" s="236">
        <v>823867.02659368864</v>
      </c>
      <c r="AU642" s="236">
        <v>312446.40581287025</v>
      </c>
      <c r="AV642" s="236">
        <v>11168.49865073396</v>
      </c>
      <c r="AW642" s="236">
        <v>8769.1583625619842</v>
      </c>
      <c r="AX642" s="236">
        <v>2215.5421182656669</v>
      </c>
      <c r="AY642" s="236"/>
      <c r="AZ642" s="236"/>
      <c r="BA642" s="236"/>
      <c r="BB642" s="236"/>
      <c r="BC642" s="236"/>
      <c r="BD642" s="236"/>
      <c r="BE642" s="236"/>
      <c r="BF642" s="236"/>
      <c r="BG642" s="236"/>
      <c r="BH642" s="236"/>
      <c r="BI642" s="236"/>
      <c r="BJ642" s="236"/>
      <c r="BK642" s="236"/>
    </row>
    <row r="643" spans="1:63">
      <c r="A643" s="169"/>
      <c r="B643" s="307" t="s">
        <v>29</v>
      </c>
      <c r="C643" s="313"/>
      <c r="D643" s="314"/>
      <c r="E643" s="314"/>
      <c r="F643" s="314"/>
      <c r="G643" s="314"/>
      <c r="H643" s="314"/>
      <c r="I643" s="314"/>
      <c r="J643" s="314"/>
      <c r="K643" s="314"/>
      <c r="L643" s="314"/>
      <c r="M643" s="314"/>
      <c r="N643" s="314"/>
      <c r="O643" s="314"/>
      <c r="P643" s="314"/>
      <c r="Q643" s="314"/>
      <c r="R643" s="314"/>
      <c r="S643" s="311"/>
      <c r="T643" s="311">
        <v>4256557.6222427413</v>
      </c>
      <c r="U643" s="311">
        <v>16682243.807366617</v>
      </c>
      <c r="V643" s="311">
        <v>11504885.486854453</v>
      </c>
      <c r="W643" s="311">
        <v>17454861.73524791</v>
      </c>
      <c r="X643" s="311">
        <v>8509602.1565874573</v>
      </c>
      <c r="Y643" s="311">
        <v>12548562.003767239</v>
      </c>
      <c r="Z643" s="311">
        <v>17737833.447865177</v>
      </c>
      <c r="AA643" s="311">
        <v>9847501.7509465627</v>
      </c>
      <c r="AB643" s="311">
        <v>17929504.231569752</v>
      </c>
      <c r="AC643" s="311">
        <v>18588816.423078351</v>
      </c>
      <c r="AD643" s="311">
        <v>8942686.8851828407</v>
      </c>
      <c r="AE643" s="311">
        <v>7679073.8052120516</v>
      </c>
      <c r="AF643" s="311">
        <v>6213908.1065218821</v>
      </c>
      <c r="AG643" s="311">
        <v>6389053.9551129993</v>
      </c>
      <c r="AH643" s="311">
        <v>5862327.6762806587</v>
      </c>
      <c r="AI643" s="311">
        <v>4345319.6864736089</v>
      </c>
      <c r="AJ643" s="311">
        <v>5028483.2307892181</v>
      </c>
      <c r="AK643" s="311">
        <v>4928210.7125453921</v>
      </c>
      <c r="AL643" s="311">
        <v>7080730.5182560654</v>
      </c>
      <c r="AM643" s="311">
        <v>7734972.4023877783</v>
      </c>
      <c r="AN643" s="311">
        <v>1599297.6778766988</v>
      </c>
      <c r="AO643" s="311">
        <v>1597566.6577752335</v>
      </c>
      <c r="AP643" s="311">
        <v>1595785.4713834587</v>
      </c>
      <c r="AQ643" s="311">
        <v>8930573.9879662786</v>
      </c>
      <c r="AR643" s="311">
        <v>1128360.3802284368</v>
      </c>
      <c r="AS643" s="311">
        <v>1126337.611166989</v>
      </c>
      <c r="AT643" s="311">
        <v>8478773.7326770909</v>
      </c>
      <c r="AU643" s="311">
        <v>12502021.72543901</v>
      </c>
      <c r="AV643" s="311">
        <v>87415.56986194753</v>
      </c>
      <c r="AW643" s="311">
        <v>84994.240881520629</v>
      </c>
      <c r="AX643" s="311">
        <v>78356.452522598818</v>
      </c>
      <c r="AY643" s="311"/>
      <c r="AZ643" s="311"/>
      <c r="BA643" s="311"/>
      <c r="BB643" s="311"/>
      <c r="BC643" s="311"/>
      <c r="BD643" s="311"/>
      <c r="BE643" s="311"/>
      <c r="BF643" s="311"/>
      <c r="BG643" s="311"/>
      <c r="BH643" s="311"/>
      <c r="BI643" s="311"/>
      <c r="BJ643" s="311"/>
      <c r="BK643" s="311"/>
    </row>
    <row r="644" spans="1:63">
      <c r="A644" s="167"/>
      <c r="B644" s="210" t="s">
        <v>28</v>
      </c>
      <c r="C644" s="211"/>
      <c r="D644" s="212"/>
      <c r="E644" s="212"/>
      <c r="F644" s="212"/>
      <c r="G644" s="212"/>
      <c r="H644" s="212"/>
      <c r="I644" s="212"/>
      <c r="J644" s="212"/>
      <c r="K644" s="212"/>
      <c r="L644" s="212"/>
      <c r="M644" s="212"/>
      <c r="N644" s="212"/>
      <c r="O644" s="212"/>
      <c r="P644" s="212"/>
      <c r="Q644" s="212"/>
      <c r="R644" s="212"/>
      <c r="S644" s="235"/>
      <c r="T644" s="235">
        <v>2311276.2889198489</v>
      </c>
      <c r="U644" s="235">
        <v>7086318.3818275407</v>
      </c>
      <c r="V644" s="235">
        <v>5195133.2352319602</v>
      </c>
      <c r="W644" s="235">
        <v>11665870.149108993</v>
      </c>
      <c r="X644" s="235">
        <v>2877214.8529368751</v>
      </c>
      <c r="Y644" s="235">
        <v>7208784.1551601924</v>
      </c>
      <c r="Z644" s="235">
        <v>12803973.315847851</v>
      </c>
      <c r="AA644" s="235">
        <v>4716700.5911689121</v>
      </c>
      <c r="AB644" s="235">
        <v>13717441.767039528</v>
      </c>
      <c r="AC644" s="235">
        <v>15038372.641657334</v>
      </c>
      <c r="AD644" s="235">
        <v>5594451.3183700964</v>
      </c>
      <c r="AE644" s="235">
        <v>9333619.8347832169</v>
      </c>
      <c r="AF644" s="235">
        <v>3270328.8198403395</v>
      </c>
      <c r="AG644" s="235">
        <v>3755699.298070957</v>
      </c>
      <c r="AH644" s="235">
        <v>3524409.9457735973</v>
      </c>
      <c r="AI644" s="235">
        <v>2111491.4366331957</v>
      </c>
      <c r="AJ644" s="235">
        <v>2972832.5053941212</v>
      </c>
      <c r="AK644" s="235">
        <v>2944871.9791486622</v>
      </c>
      <c r="AL644" s="235">
        <v>5204393.6718237819</v>
      </c>
      <c r="AM644" s="235">
        <v>6178732.2098739706</v>
      </c>
      <c r="AN644" s="235">
        <v>125730.16074227718</v>
      </c>
      <c r="AO644" s="235">
        <v>79695.085742277181</v>
      </c>
      <c r="AP644" s="235">
        <v>79695.085742277181</v>
      </c>
      <c r="AQ644" s="235">
        <v>8085795.085742278</v>
      </c>
      <c r="AR644" s="235">
        <v>79695.085742277181</v>
      </c>
      <c r="AS644" s="235">
        <v>79695.085742277181</v>
      </c>
      <c r="AT644" s="235">
        <v>8084681.1999927377</v>
      </c>
      <c r="AU644" s="235">
        <v>14489561.199992739</v>
      </c>
      <c r="AV644" s="235">
        <v>78581.199992737253</v>
      </c>
      <c r="AW644" s="235">
        <v>78581.199992737253</v>
      </c>
      <c r="AX644" s="235">
        <v>78581.199992737253</v>
      </c>
      <c r="AY644" s="235"/>
      <c r="AZ644" s="235"/>
      <c r="BA644" s="235"/>
      <c r="BB644" s="235"/>
      <c r="BC644" s="235"/>
      <c r="BD644" s="235"/>
      <c r="BE644" s="235"/>
      <c r="BF644" s="235"/>
      <c r="BG644" s="235"/>
      <c r="BH644" s="235"/>
      <c r="BI644" s="235"/>
      <c r="BJ644" s="235"/>
      <c r="BK644" s="235"/>
    </row>
    <row r="645" spans="1:63">
      <c r="A645" s="168">
        <v>43404</v>
      </c>
      <c r="B645" s="213" t="s">
        <v>385</v>
      </c>
      <c r="C645" s="214"/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  <c r="N645" s="215"/>
      <c r="O645" s="215"/>
      <c r="P645" s="215"/>
      <c r="Q645" s="215"/>
      <c r="R645" s="216"/>
      <c r="S645" s="236"/>
      <c r="T645" s="236">
        <v>993423.11406432255</v>
      </c>
      <c r="U645" s="236">
        <v>7121113.4070022134</v>
      </c>
      <c r="V645" s="236">
        <v>6923050.5724415602</v>
      </c>
      <c r="W645" s="236">
        <v>6554374.0712529141</v>
      </c>
      <c r="X645" s="236">
        <v>5989885.6368322754</v>
      </c>
      <c r="Y645" s="236">
        <v>5853569.5986526553</v>
      </c>
      <c r="Z645" s="236">
        <v>5429371.3507102011</v>
      </c>
      <c r="AA645" s="236">
        <v>5083821.3481151648</v>
      </c>
      <c r="AB645" s="236">
        <v>4730677.3018479869</v>
      </c>
      <c r="AC645" s="236">
        <v>4185669.5127681503</v>
      </c>
      <c r="AD645" s="236">
        <v>3615906.3873770996</v>
      </c>
      <c r="AE645" s="236">
        <v>3294092.7965892185</v>
      </c>
      <c r="AF645" s="236">
        <v>3041791.1988069024</v>
      </c>
      <c r="AG645" s="236">
        <v>2891613.7206470342</v>
      </c>
      <c r="AH645" s="236">
        <v>2755244.2671361128</v>
      </c>
      <c r="AI645" s="236">
        <v>2618099.6076438357</v>
      </c>
      <c r="AJ645" s="236">
        <v>2475303.4226391413</v>
      </c>
      <c r="AK645" s="236">
        <v>2326064.4396791095</v>
      </c>
      <c r="AL645" s="236">
        <v>2279888.3362107398</v>
      </c>
      <c r="AM645" s="236">
        <v>2126232.0811441047</v>
      </c>
      <c r="AN645" s="236">
        <v>1689742.1172062091</v>
      </c>
      <c r="AO645" s="236">
        <v>1687934.7839771116</v>
      </c>
      <c r="AP645" s="236">
        <v>1686055.9588659992</v>
      </c>
      <c r="AQ645" s="236">
        <v>1438847.3075791497</v>
      </c>
      <c r="AR645" s="236">
        <v>1191598.1011588583</v>
      </c>
      <c r="AS645" s="236">
        <v>1189465.1142988235</v>
      </c>
      <c r="AT645" s="236">
        <v>962078.02385505079</v>
      </c>
      <c r="AU645" s="236">
        <v>374289.5039068709</v>
      </c>
      <c r="AV645" s="236">
        <v>11609.120546180813</v>
      </c>
      <c r="AW645" s="236">
        <v>9117.0522868260305</v>
      </c>
      <c r="AX645" s="236">
        <v>2445.9700051330874</v>
      </c>
      <c r="AY645" s="236"/>
      <c r="AZ645" s="236"/>
      <c r="BA645" s="236"/>
      <c r="BB645" s="236"/>
      <c r="BC645" s="236"/>
      <c r="BD645" s="236"/>
      <c r="BE645" s="236"/>
      <c r="BF645" s="236"/>
      <c r="BG645" s="236"/>
      <c r="BH645" s="236"/>
      <c r="BI645" s="236"/>
      <c r="BJ645" s="236"/>
      <c r="BK645" s="236"/>
    </row>
    <row r="646" spans="1:63">
      <c r="A646" s="169"/>
      <c r="B646" s="307" t="s">
        <v>29</v>
      </c>
      <c r="C646" s="313"/>
      <c r="D646" s="314"/>
      <c r="E646" s="314"/>
      <c r="F646" s="314"/>
      <c r="G646" s="314"/>
      <c r="H646" s="314"/>
      <c r="I646" s="314"/>
      <c r="J646" s="314"/>
      <c r="K646" s="314"/>
      <c r="L646" s="314"/>
      <c r="M646" s="314"/>
      <c r="N646" s="314"/>
      <c r="O646" s="314"/>
      <c r="P646" s="314"/>
      <c r="Q646" s="314"/>
      <c r="R646" s="314"/>
      <c r="S646" s="311"/>
      <c r="T646" s="311">
        <v>3304699.4029841712</v>
      </c>
      <c r="U646" s="311">
        <v>14207431.788829755</v>
      </c>
      <c r="V646" s="311">
        <v>12118183.807673521</v>
      </c>
      <c r="W646" s="311">
        <v>18220244.220361907</v>
      </c>
      <c r="X646" s="311">
        <v>8867100.4897691496</v>
      </c>
      <c r="Y646" s="311">
        <v>13062353.753812848</v>
      </c>
      <c r="Z646" s="311">
        <v>18233344.666558053</v>
      </c>
      <c r="AA646" s="311">
        <v>9800521.9392840769</v>
      </c>
      <c r="AB646" s="311">
        <v>18448119.068887517</v>
      </c>
      <c r="AC646" s="311">
        <v>19224042.154425483</v>
      </c>
      <c r="AD646" s="311">
        <v>9210357.7057471965</v>
      </c>
      <c r="AE646" s="311">
        <v>12627712.631372435</v>
      </c>
      <c r="AF646" s="311">
        <v>6312120.0186472423</v>
      </c>
      <c r="AG646" s="311">
        <v>6647313.0187179912</v>
      </c>
      <c r="AH646" s="311">
        <v>6279654.2129097097</v>
      </c>
      <c r="AI646" s="311">
        <v>4729591.044277031</v>
      </c>
      <c r="AJ646" s="311">
        <v>5448135.9280332625</v>
      </c>
      <c r="AK646" s="311">
        <v>5270936.4188277721</v>
      </c>
      <c r="AL646" s="311">
        <v>7484282.0080345217</v>
      </c>
      <c r="AM646" s="311">
        <v>8304964.2910180753</v>
      </c>
      <c r="AN646" s="311">
        <v>1815472.2779484864</v>
      </c>
      <c r="AO646" s="311">
        <v>1767629.8697193887</v>
      </c>
      <c r="AP646" s="311">
        <v>1765751.0446082763</v>
      </c>
      <c r="AQ646" s="311">
        <v>9524642.3933214284</v>
      </c>
      <c r="AR646" s="311">
        <v>1271293.1869011354</v>
      </c>
      <c r="AS646" s="311">
        <v>1269160.2000411006</v>
      </c>
      <c r="AT646" s="311">
        <v>9046759.2238477878</v>
      </c>
      <c r="AU646" s="311">
        <v>14863850.703899609</v>
      </c>
      <c r="AV646" s="311">
        <v>90190.320538918066</v>
      </c>
      <c r="AW646" s="311">
        <v>87698.252279563283</v>
      </c>
      <c r="AX646" s="311">
        <v>81027.16999787034</v>
      </c>
      <c r="AY646" s="311"/>
      <c r="AZ646" s="311"/>
      <c r="BA646" s="311"/>
      <c r="BB646" s="311"/>
      <c r="BC646" s="311"/>
      <c r="BD646" s="311"/>
      <c r="BE646" s="311"/>
      <c r="BF646" s="311"/>
      <c r="BG646" s="311"/>
      <c r="BH646" s="311"/>
      <c r="BI646" s="311"/>
      <c r="BJ646" s="311"/>
      <c r="BK646" s="311"/>
    </row>
    <row r="647" spans="1:63">
      <c r="A647" s="167"/>
      <c r="B647" s="210" t="s">
        <v>28</v>
      </c>
      <c r="C647" s="211"/>
      <c r="D647" s="212"/>
      <c r="E647" s="212"/>
      <c r="F647" s="212"/>
      <c r="G647" s="212"/>
      <c r="H647" s="212"/>
      <c r="I647" s="212"/>
      <c r="J647" s="212"/>
      <c r="K647" s="212"/>
      <c r="L647" s="212"/>
      <c r="M647" s="212"/>
      <c r="N647" s="212"/>
      <c r="O647" s="212"/>
      <c r="P647" s="212"/>
      <c r="Q647" s="212"/>
      <c r="R647" s="212"/>
      <c r="S647" s="235"/>
      <c r="T647" s="235">
        <v>2274343.9918110273</v>
      </c>
      <c r="U647" s="235">
        <v>7098097.8140392331</v>
      </c>
      <c r="V647" s="235">
        <v>5216534.6992608272</v>
      </c>
      <c r="W647" s="235">
        <v>11737005.69966062</v>
      </c>
      <c r="X647" s="235">
        <v>2874174.2178783198</v>
      </c>
      <c r="Y647" s="235">
        <v>7251562.1464406354</v>
      </c>
      <c r="Z647" s="235">
        <v>13046371.318957023</v>
      </c>
      <c r="AA647" s="235">
        <v>4864196.0484088594</v>
      </c>
      <c r="AB647" s="235">
        <v>14021061.535830781</v>
      </c>
      <c r="AC647" s="235">
        <v>15284539.41860323</v>
      </c>
      <c r="AD647" s="235">
        <v>5631932.1562069422</v>
      </c>
      <c r="AE647" s="235">
        <v>9744198.1599418614</v>
      </c>
      <c r="AF647" s="235">
        <v>3289556.5281237443</v>
      </c>
      <c r="AG647" s="235">
        <v>3779908.5282322736</v>
      </c>
      <c r="AH647" s="235">
        <v>3564699.5113618216</v>
      </c>
      <c r="AI647" s="235">
        <v>2135955.1127700862</v>
      </c>
      <c r="AJ647" s="235">
        <v>3007403.8486151737</v>
      </c>
      <c r="AK647" s="235">
        <v>2977462.2825212446</v>
      </c>
      <c r="AL647" s="235">
        <v>5262053.995945977</v>
      </c>
      <c r="AM647" s="235">
        <v>6251156.2736064307</v>
      </c>
      <c r="AN647" s="235">
        <v>127151.64809792909</v>
      </c>
      <c r="AO647" s="235">
        <v>80576.360597929088</v>
      </c>
      <c r="AP647" s="235">
        <v>80576.360597929088</v>
      </c>
      <c r="AQ647" s="235">
        <v>8180626.360597929</v>
      </c>
      <c r="AR647" s="235">
        <v>80576.360597929088</v>
      </c>
      <c r="AS647" s="235">
        <v>80576.360597929088</v>
      </c>
      <c r="AT647" s="235">
        <v>8179499.40361943</v>
      </c>
      <c r="AU647" s="235">
        <v>14659539.403619431</v>
      </c>
      <c r="AV647" s="235">
        <v>79449.403619430086</v>
      </c>
      <c r="AW647" s="235">
        <v>79449.403619430086</v>
      </c>
      <c r="AX647" s="235">
        <v>79449.403619430086</v>
      </c>
      <c r="AY647" s="235"/>
      <c r="AZ647" s="235"/>
      <c r="BA647" s="235"/>
      <c r="BB647" s="235"/>
      <c r="BC647" s="235"/>
      <c r="BD647" s="235"/>
      <c r="BE647" s="235"/>
      <c r="BF647" s="235"/>
      <c r="BG647" s="235"/>
      <c r="BH647" s="235"/>
      <c r="BI647" s="235"/>
      <c r="BJ647" s="235"/>
      <c r="BK647" s="235"/>
    </row>
    <row r="648" spans="1:63">
      <c r="A648" s="168">
        <v>43434</v>
      </c>
      <c r="B648" s="213" t="s">
        <v>385</v>
      </c>
      <c r="C648" s="214"/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6"/>
      <c r="S648" s="236"/>
      <c r="T648" s="236">
        <v>615166.33049436111</v>
      </c>
      <c r="U648" s="236">
        <v>7380415.0996930245</v>
      </c>
      <c r="V648" s="236">
        <v>7020931.4242493017</v>
      </c>
      <c r="W648" s="236">
        <v>6514807.4458518615</v>
      </c>
      <c r="X648" s="236">
        <v>5998995.9620492291</v>
      </c>
      <c r="Y648" s="236">
        <v>5864133.1977368901</v>
      </c>
      <c r="Z648" s="236">
        <v>5436337.8447405249</v>
      </c>
      <c r="AA648" s="236">
        <v>5083957.4501082879</v>
      </c>
      <c r="AB648" s="236">
        <v>4758577.4275991619</v>
      </c>
      <c r="AC648" s="236">
        <v>4207225.873670713</v>
      </c>
      <c r="AD648" s="236">
        <v>3640281.3353527971</v>
      </c>
      <c r="AE648" s="236">
        <v>3330118.275578592</v>
      </c>
      <c r="AF648" s="236">
        <v>3066062.233024789</v>
      </c>
      <c r="AG648" s="236">
        <v>2917841.3767839167</v>
      </c>
      <c r="AH648" s="236">
        <v>2784004.0294871153</v>
      </c>
      <c r="AI648" s="236">
        <v>2647431.2157650646</v>
      </c>
      <c r="AJ648" s="236">
        <v>2507830.6486813407</v>
      </c>
      <c r="AK648" s="236">
        <v>2354748.3629596117</v>
      </c>
      <c r="AL648" s="236">
        <v>2307452.2564907819</v>
      </c>
      <c r="AM648" s="236">
        <v>2153298.7613306674</v>
      </c>
      <c r="AN648" s="236">
        <v>1709555.2596580829</v>
      </c>
      <c r="AO648" s="236">
        <v>1707185.2254674337</v>
      </c>
      <c r="AP648" s="236">
        <v>1705353.4394751645</v>
      </c>
      <c r="AQ648" s="236">
        <v>1455298.4981905613</v>
      </c>
      <c r="AR648" s="236">
        <v>1205203.7431482614</v>
      </c>
      <c r="AS648" s="236">
        <v>1203095.8040368962</v>
      </c>
      <c r="AT648" s="236">
        <v>973097.72292854218</v>
      </c>
      <c r="AU648" s="236">
        <v>378458.021757168</v>
      </c>
      <c r="AV648" s="236">
        <v>11568.270313521367</v>
      </c>
      <c r="AW648" s="236">
        <v>9089.5730927398745</v>
      </c>
      <c r="AX648" s="236">
        <v>2609.2184115590426</v>
      </c>
      <c r="AY648" s="236"/>
      <c r="AZ648" s="236"/>
      <c r="BA648" s="236"/>
      <c r="BB648" s="236"/>
      <c r="BC648" s="236"/>
      <c r="BD648" s="236"/>
      <c r="BE648" s="236"/>
      <c r="BF648" s="236"/>
      <c r="BG648" s="236"/>
      <c r="BH648" s="236"/>
      <c r="BI648" s="236"/>
      <c r="BJ648" s="236"/>
      <c r="BK648" s="236"/>
    </row>
    <row r="649" spans="1:63">
      <c r="A649" s="169"/>
      <c r="B649" s="307" t="s">
        <v>29</v>
      </c>
      <c r="C649" s="313"/>
      <c r="D649" s="314"/>
      <c r="E649" s="314"/>
      <c r="F649" s="314"/>
      <c r="G649" s="314"/>
      <c r="H649" s="314"/>
      <c r="I649" s="314"/>
      <c r="J649" s="314"/>
      <c r="K649" s="314"/>
      <c r="L649" s="314"/>
      <c r="M649" s="314"/>
      <c r="N649" s="314"/>
      <c r="O649" s="314"/>
      <c r="P649" s="314"/>
      <c r="Q649" s="314"/>
      <c r="R649" s="314"/>
      <c r="S649" s="311"/>
      <c r="T649" s="311">
        <v>2889510.3223053883</v>
      </c>
      <c r="U649" s="311">
        <v>14478512.913732257</v>
      </c>
      <c r="V649" s="311">
        <v>12237466.12351013</v>
      </c>
      <c r="W649" s="311">
        <v>18251813.14551248</v>
      </c>
      <c r="X649" s="311">
        <v>8873170.1799275484</v>
      </c>
      <c r="Y649" s="311">
        <v>13115695.344177525</v>
      </c>
      <c r="Z649" s="311">
        <v>18482709.163697548</v>
      </c>
      <c r="AA649" s="311">
        <v>9948153.4985171482</v>
      </c>
      <c r="AB649" s="311">
        <v>18779638.963429943</v>
      </c>
      <c r="AC649" s="311">
        <v>19491765.292273942</v>
      </c>
      <c r="AD649" s="311">
        <v>9272213.4915597402</v>
      </c>
      <c r="AE649" s="311">
        <v>13074316.435520453</v>
      </c>
      <c r="AF649" s="311">
        <v>6355618.7611485329</v>
      </c>
      <c r="AG649" s="311">
        <v>6697749.9050161904</v>
      </c>
      <c r="AH649" s="311">
        <v>6348703.5408489369</v>
      </c>
      <c r="AI649" s="311">
        <v>4783386.3285351507</v>
      </c>
      <c r="AJ649" s="311">
        <v>5515234.497296514</v>
      </c>
      <c r="AK649" s="311">
        <v>5332210.6454808563</v>
      </c>
      <c r="AL649" s="311">
        <v>7569506.252436759</v>
      </c>
      <c r="AM649" s="311">
        <v>8404455.0349370986</v>
      </c>
      <c r="AN649" s="311">
        <v>1836706.9077560119</v>
      </c>
      <c r="AO649" s="311">
        <v>1787761.5860653627</v>
      </c>
      <c r="AP649" s="311">
        <v>1785929.8000730935</v>
      </c>
      <c r="AQ649" s="311">
        <v>9635924.8587884903</v>
      </c>
      <c r="AR649" s="311">
        <v>1285780.1037461904</v>
      </c>
      <c r="AS649" s="311">
        <v>1283672.1646348252</v>
      </c>
      <c r="AT649" s="311">
        <v>9152597.1265479717</v>
      </c>
      <c r="AU649" s="311">
        <v>15037997.4253766</v>
      </c>
      <c r="AV649" s="311">
        <v>91017.673932951453</v>
      </c>
      <c r="AW649" s="311">
        <v>88538.976712169955</v>
      </c>
      <c r="AX649" s="311">
        <v>82058.622030989121</v>
      </c>
      <c r="AY649" s="311"/>
      <c r="AZ649" s="311"/>
      <c r="BA649" s="311"/>
      <c r="BB649" s="311"/>
      <c r="BC649" s="311"/>
      <c r="BD649" s="311"/>
      <c r="BE649" s="311"/>
      <c r="BF649" s="311"/>
      <c r="BG649" s="311"/>
      <c r="BH649" s="311"/>
      <c r="BI649" s="311"/>
      <c r="BJ649" s="311"/>
      <c r="BK649" s="311"/>
    </row>
    <row r="650" spans="1:63">
      <c r="A650" s="167"/>
      <c r="B650" s="210" t="s">
        <v>28</v>
      </c>
      <c r="C650" s="211"/>
      <c r="D650" s="212"/>
      <c r="E650" s="212"/>
      <c r="F650" s="212"/>
      <c r="G650" s="212"/>
      <c r="H650" s="212"/>
      <c r="I650" s="212"/>
      <c r="J650" s="212"/>
      <c r="K650" s="212"/>
      <c r="L650" s="212"/>
      <c r="M650" s="212"/>
      <c r="N650" s="212"/>
      <c r="O650" s="212"/>
      <c r="P650" s="212"/>
      <c r="Q650" s="212"/>
      <c r="R650" s="212"/>
      <c r="S650" s="235"/>
      <c r="T650" s="235"/>
      <c r="U650" s="235">
        <v>7538818.2742146896</v>
      </c>
      <c r="V650" s="235">
        <v>5461534.0701242127</v>
      </c>
      <c r="W650" s="235">
        <v>11940480.687452599</v>
      </c>
      <c r="X650" s="235">
        <v>3058212.8863470932</v>
      </c>
      <c r="Y650" s="235">
        <v>7420921.0670632608</v>
      </c>
      <c r="Z650" s="235">
        <v>13475258.283081139</v>
      </c>
      <c r="AA650" s="235">
        <v>5250313.4551438</v>
      </c>
      <c r="AB650" s="235">
        <v>14479519.126531469</v>
      </c>
      <c r="AC650" s="235">
        <v>15686576.611616232</v>
      </c>
      <c r="AD650" s="235">
        <v>5938385.2182221627</v>
      </c>
      <c r="AE650" s="235">
        <v>10007406.589601308</v>
      </c>
      <c r="AF650" s="235">
        <v>3518939.5916319643</v>
      </c>
      <c r="AG650" s="235">
        <v>3976225.620145699</v>
      </c>
      <c r="AH650" s="235">
        <v>3738398.0126019213</v>
      </c>
      <c r="AI650" s="235">
        <v>2304015.9441591944</v>
      </c>
      <c r="AJ650" s="235">
        <v>3169537.3463007947</v>
      </c>
      <c r="AK650" s="235">
        <v>3155100.8600101699</v>
      </c>
      <c r="AL650" s="235">
        <v>5463556.8000559146</v>
      </c>
      <c r="AM650" s="235">
        <v>6405773.0573925711</v>
      </c>
      <c r="AN650" s="235">
        <v>258240.22765751308</v>
      </c>
      <c r="AO650" s="235">
        <v>81535.071407513125</v>
      </c>
      <c r="AP650" s="235">
        <v>81535.071407513125</v>
      </c>
      <c r="AQ650" s="235">
        <v>8205910.0714075137</v>
      </c>
      <c r="AR650" s="235">
        <v>81535.071407513125</v>
      </c>
      <c r="AS650" s="235">
        <v>81535.071407513125</v>
      </c>
      <c r="AT650" s="235">
        <v>8204779.7301007081</v>
      </c>
      <c r="AU650" s="235">
        <v>14704279.730100706</v>
      </c>
      <c r="AV650" s="235">
        <v>80404.730100707253</v>
      </c>
      <c r="AW650" s="235">
        <v>80404.730100707253</v>
      </c>
      <c r="AX650" s="235">
        <v>80404.730100707253</v>
      </c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235"/>
    </row>
    <row r="651" spans="1:63">
      <c r="A651" s="168">
        <v>43465</v>
      </c>
      <c r="B651" s="213" t="s">
        <v>385</v>
      </c>
      <c r="C651" s="214"/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6"/>
      <c r="S651" s="236"/>
      <c r="T651" s="236"/>
      <c r="U651" s="236">
        <v>7486083.2925518751</v>
      </c>
      <c r="V651" s="236">
        <v>7097826.1938553285</v>
      </c>
      <c r="W651" s="236">
        <v>6440129.4431641335</v>
      </c>
      <c r="X651" s="236">
        <v>5919809.1386547713</v>
      </c>
      <c r="Y651" s="236">
        <v>5807369.3062056415</v>
      </c>
      <c r="Z651" s="236">
        <v>5407133.1274475567</v>
      </c>
      <c r="AA651" s="236">
        <v>5051920.7191633657</v>
      </c>
      <c r="AB651" s="236">
        <v>4767251.12301601</v>
      </c>
      <c r="AC651" s="236">
        <v>4216180.6778688366</v>
      </c>
      <c r="AD651" s="236">
        <v>3656044.8598911925</v>
      </c>
      <c r="AE651" s="236">
        <v>3342257.9457597942</v>
      </c>
      <c r="AF651" s="236">
        <v>3081003.791070574</v>
      </c>
      <c r="AG651" s="236">
        <v>2938069.8793330309</v>
      </c>
      <c r="AH651" s="236">
        <v>2808363.7843644349</v>
      </c>
      <c r="AI651" s="236">
        <v>2671276.096825507</v>
      </c>
      <c r="AJ651" s="236">
        <v>2530358.9264795971</v>
      </c>
      <c r="AK651" s="236">
        <v>2374548.7014610064</v>
      </c>
      <c r="AL651" s="236">
        <v>2324435.4826958403</v>
      </c>
      <c r="AM651" s="236">
        <v>2167650.7790990407</v>
      </c>
      <c r="AN651" s="236">
        <v>1718085.7026178234</v>
      </c>
      <c r="AO651" s="236">
        <v>1712004.9175304763</v>
      </c>
      <c r="AP651" s="236">
        <v>1710207.4469994835</v>
      </c>
      <c r="AQ651" s="236">
        <v>1459428.1989307099</v>
      </c>
      <c r="AR651" s="236">
        <v>1208611.6855228145</v>
      </c>
      <c r="AS651" s="236">
        <v>1206522.5115566123</v>
      </c>
      <c r="AT651" s="236">
        <v>975866.88103675877</v>
      </c>
      <c r="AU651" s="236">
        <v>379465.02945435158</v>
      </c>
      <c r="AV651" s="236">
        <v>11498.917583754073</v>
      </c>
      <c r="AW651" s="236">
        <v>9035.8976427979032</v>
      </c>
      <c r="AX651" s="236">
        <v>2787.910586971569</v>
      </c>
      <c r="AY651" s="236"/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</row>
    <row r="652" spans="1:63">
      <c r="A652" s="169"/>
      <c r="B652" s="307" t="s">
        <v>29</v>
      </c>
      <c r="C652" s="313"/>
      <c r="D652" s="314"/>
      <c r="E652" s="314"/>
      <c r="F652" s="314"/>
      <c r="G652" s="314"/>
      <c r="H652" s="314"/>
      <c r="I652" s="314"/>
      <c r="J652" s="314"/>
      <c r="K652" s="314"/>
      <c r="L652" s="314"/>
      <c r="M652" s="314"/>
      <c r="N652" s="314"/>
      <c r="O652" s="314"/>
      <c r="P652" s="314"/>
      <c r="Q652" s="314"/>
      <c r="R652" s="314"/>
      <c r="S652" s="311"/>
      <c r="T652" s="311"/>
      <c r="U652" s="311">
        <v>15024901.566766564</v>
      </c>
      <c r="V652" s="311">
        <v>12559360.263979541</v>
      </c>
      <c r="W652" s="311">
        <v>18380610.130616732</v>
      </c>
      <c r="X652" s="311">
        <v>8978022.0250018649</v>
      </c>
      <c r="Y652" s="311">
        <v>13228290.373268902</v>
      </c>
      <c r="Z652" s="311">
        <v>18882391.410528697</v>
      </c>
      <c r="AA652" s="311">
        <v>10302234.174307166</v>
      </c>
      <c r="AB652" s="311">
        <v>19246770.249547478</v>
      </c>
      <c r="AC652" s="311">
        <v>19902757.289485067</v>
      </c>
      <c r="AD652" s="311">
        <v>9594430.0781133547</v>
      </c>
      <c r="AE652" s="311">
        <v>13349664.535361102</v>
      </c>
      <c r="AF652" s="311">
        <v>6599943.3827025387</v>
      </c>
      <c r="AG652" s="311">
        <v>6914295.4994787294</v>
      </c>
      <c r="AH652" s="311">
        <v>6546761.7969663562</v>
      </c>
      <c r="AI652" s="311">
        <v>4975292.0409847014</v>
      </c>
      <c r="AJ652" s="311">
        <v>5699896.2727803923</v>
      </c>
      <c r="AK652" s="311">
        <v>5529649.5614711763</v>
      </c>
      <c r="AL652" s="311">
        <v>7787992.2827517549</v>
      </c>
      <c r="AM652" s="311">
        <v>8573423.8364916109</v>
      </c>
      <c r="AN652" s="311">
        <v>1976325.9302753364</v>
      </c>
      <c r="AO652" s="311">
        <v>1793539.9889379896</v>
      </c>
      <c r="AP652" s="311">
        <v>1791742.5184069967</v>
      </c>
      <c r="AQ652" s="311">
        <v>9665338.2703382242</v>
      </c>
      <c r="AR652" s="311">
        <v>1290146.7569303277</v>
      </c>
      <c r="AS652" s="311">
        <v>1288057.5829641256</v>
      </c>
      <c r="AT652" s="311">
        <v>9180646.6111374665</v>
      </c>
      <c r="AU652" s="311">
        <v>15083744.759555059</v>
      </c>
      <c r="AV652" s="311">
        <v>91903.647684461321</v>
      </c>
      <c r="AW652" s="311">
        <v>89440.62774350516</v>
      </c>
      <c r="AX652" s="311">
        <v>83192.640687678824</v>
      </c>
      <c r="AY652" s="311"/>
      <c r="AZ652" s="311"/>
      <c r="BA652" s="311"/>
      <c r="BB652" s="311"/>
      <c r="BC652" s="311"/>
      <c r="BD652" s="311"/>
      <c r="BE652" s="311"/>
      <c r="BF652" s="311"/>
      <c r="BG652" s="311"/>
      <c r="BH652" s="311"/>
      <c r="BI652" s="311"/>
      <c r="BJ652" s="311"/>
      <c r="BK652" s="311"/>
    </row>
    <row r="653" spans="1:63">
      <c r="A653" s="167"/>
      <c r="B653" s="210" t="s">
        <v>28</v>
      </c>
      <c r="C653" s="211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35"/>
      <c r="T653" s="235"/>
      <c r="U653" s="235">
        <v>7687591.299583694</v>
      </c>
      <c r="V653" s="235">
        <v>5650844.1724224277</v>
      </c>
      <c r="W653" s="235">
        <v>11932471.57404392</v>
      </c>
      <c r="X653" s="235">
        <v>3109965.9916740176</v>
      </c>
      <c r="Y653" s="235">
        <v>7363082.8685834957</v>
      </c>
      <c r="Z653" s="235">
        <v>13235299.323570192</v>
      </c>
      <c r="AA653" s="235">
        <v>6036364.220966937</v>
      </c>
      <c r="AB653" s="235">
        <v>13098091.654239489</v>
      </c>
      <c r="AC653" s="235">
        <v>15215141.140142091</v>
      </c>
      <c r="AD653" s="235">
        <v>5639116.3443015628</v>
      </c>
      <c r="AE653" s="235">
        <v>11184441.017518302</v>
      </c>
      <c r="AF653" s="235">
        <v>3193534.7241212721</v>
      </c>
      <c r="AG653" s="235">
        <v>3606381.6751590855</v>
      </c>
      <c r="AH653" s="235">
        <v>3538703.6580801625</v>
      </c>
      <c r="AI653" s="235">
        <v>2165599.8415578888</v>
      </c>
      <c r="AJ653" s="235">
        <v>3067810.7882807921</v>
      </c>
      <c r="AK653" s="235">
        <v>3058912.0939748185</v>
      </c>
      <c r="AL653" s="235">
        <v>5319183.4183947593</v>
      </c>
      <c r="AM653" s="235">
        <v>6201902.4684088556</v>
      </c>
      <c r="AN653" s="235">
        <v>231497.94394023906</v>
      </c>
      <c r="AO653" s="235">
        <v>80706.350606905733</v>
      </c>
      <c r="AP653" s="235">
        <v>80706.350606905733</v>
      </c>
      <c r="AQ653" s="235">
        <v>7989356.3506069044</v>
      </c>
      <c r="AR653" s="235">
        <v>80706.350606905733</v>
      </c>
      <c r="AS653" s="235">
        <v>80131.179378770379</v>
      </c>
      <c r="AT653" s="235">
        <v>7988206.0081506344</v>
      </c>
      <c r="AU653" s="235">
        <v>14315126.008150635</v>
      </c>
      <c r="AV653" s="235">
        <v>79556.008150635011</v>
      </c>
      <c r="AW653" s="235">
        <v>79556.008150635011</v>
      </c>
      <c r="AX653" s="235">
        <v>79556.008150635011</v>
      </c>
      <c r="AY653" s="235"/>
      <c r="AZ653" s="235"/>
      <c r="BA653" s="235"/>
      <c r="BB653" s="235"/>
      <c r="BC653" s="235"/>
      <c r="BD653" s="235"/>
      <c r="BE653" s="235"/>
      <c r="BF653" s="235"/>
      <c r="BG653" s="235"/>
      <c r="BH653" s="235"/>
      <c r="BI653" s="235"/>
      <c r="BJ653" s="235"/>
      <c r="BK653" s="235"/>
    </row>
    <row r="654" spans="1:63">
      <c r="A654" s="168">
        <v>43496</v>
      </c>
      <c r="B654" s="213" t="s">
        <v>385</v>
      </c>
      <c r="C654" s="214"/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6"/>
      <c r="S654" s="236"/>
      <c r="T654" s="236"/>
      <c r="U654" s="236">
        <v>6992027.6967766881</v>
      </c>
      <c r="V654" s="236">
        <v>7239279.0667656697</v>
      </c>
      <c r="W654" s="236">
        <v>6640568.120646283</v>
      </c>
      <c r="X654" s="236">
        <v>6044978.8194654975</v>
      </c>
      <c r="Y654" s="236">
        <v>5969248.6784803011</v>
      </c>
      <c r="Z654" s="236">
        <v>5563824.7285865229</v>
      </c>
      <c r="AA654" s="236">
        <v>5217212.2546439478</v>
      </c>
      <c r="AB654" s="236">
        <v>4930111.0476009669</v>
      </c>
      <c r="AC654" s="236">
        <v>4392456.0384223964</v>
      </c>
      <c r="AD654" s="236">
        <v>3841426.3043468008</v>
      </c>
      <c r="AE654" s="236">
        <v>3511910.7163420422</v>
      </c>
      <c r="AF654" s="236">
        <v>3225645.8667483022</v>
      </c>
      <c r="AG654" s="236">
        <v>3086434.4481011755</v>
      </c>
      <c r="AH654" s="236">
        <v>2961191.0485933297</v>
      </c>
      <c r="AI654" s="236">
        <v>2826533.1562292869</v>
      </c>
      <c r="AJ654" s="236">
        <v>2700644.3729909007</v>
      </c>
      <c r="AK654" s="236">
        <v>2548612.365831919</v>
      </c>
      <c r="AL654" s="236">
        <v>2502855.8001464065</v>
      </c>
      <c r="AM654" s="236">
        <v>2358306.1878771558</v>
      </c>
      <c r="AN654" s="236">
        <v>1920853.5794537847</v>
      </c>
      <c r="AO654" s="236">
        <v>1915055.1503975694</v>
      </c>
      <c r="AP654" s="236">
        <v>1914119.1003370392</v>
      </c>
      <c r="AQ654" s="236">
        <v>1669439.3066594815</v>
      </c>
      <c r="AR654" s="236">
        <v>1425413.1691553693</v>
      </c>
      <c r="AS654" s="236">
        <v>1423510.9220110611</v>
      </c>
      <c r="AT654" s="236">
        <v>1199807.9093597007</v>
      </c>
      <c r="AU654" s="236">
        <v>618699.59083016973</v>
      </c>
      <c r="AV654" s="236">
        <v>260652.53811344542</v>
      </c>
      <c r="AW654" s="236">
        <v>258407.36947358053</v>
      </c>
      <c r="AX654" s="236">
        <v>253680.20328018855</v>
      </c>
      <c r="AY654" s="236"/>
      <c r="AZ654" s="236"/>
      <c r="BA654" s="236"/>
      <c r="BB654" s="236"/>
      <c r="BC654" s="236"/>
      <c r="BD654" s="236"/>
      <c r="BE654" s="236"/>
      <c r="BF654" s="236"/>
      <c r="BG654" s="236"/>
      <c r="BH654" s="236"/>
      <c r="BI654" s="236"/>
      <c r="BJ654" s="236"/>
      <c r="BK654" s="236"/>
    </row>
    <row r="655" spans="1:63">
      <c r="A655" s="169"/>
      <c r="B655" s="307" t="s">
        <v>29</v>
      </c>
      <c r="C655" s="313"/>
      <c r="D655" s="314"/>
      <c r="E655" s="314"/>
      <c r="F655" s="314"/>
      <c r="G655" s="314"/>
      <c r="H655" s="314"/>
      <c r="I655" s="314"/>
      <c r="J655" s="314"/>
      <c r="K655" s="314"/>
      <c r="L655" s="314"/>
      <c r="M655" s="314"/>
      <c r="N655" s="314"/>
      <c r="O655" s="314"/>
      <c r="P655" s="314"/>
      <c r="Q655" s="314"/>
      <c r="R655" s="314"/>
      <c r="S655" s="311"/>
      <c r="T655" s="311"/>
      <c r="U655" s="311">
        <v>15024901.566766564</v>
      </c>
      <c r="V655" s="311">
        <v>12559360.263979541</v>
      </c>
      <c r="W655" s="311">
        <v>18380610.130616732</v>
      </c>
      <c r="X655" s="311">
        <v>8978022.0250018649</v>
      </c>
      <c r="Y655" s="311">
        <v>13228290.373268902</v>
      </c>
      <c r="Z655" s="311">
        <v>18882391.410528697</v>
      </c>
      <c r="AA655" s="311">
        <v>10302234.174307166</v>
      </c>
      <c r="AB655" s="311">
        <v>19246770.249547478</v>
      </c>
      <c r="AC655" s="311">
        <v>19902757.289485067</v>
      </c>
      <c r="AD655" s="311">
        <v>9594430.0781133547</v>
      </c>
      <c r="AE655" s="311">
        <v>13349664.535361102</v>
      </c>
      <c r="AF655" s="311">
        <v>6599943.3827025387</v>
      </c>
      <c r="AG655" s="311">
        <v>6914295.4994787294</v>
      </c>
      <c r="AH655" s="311">
        <v>6546761.7969663562</v>
      </c>
      <c r="AI655" s="311">
        <v>4975292.0409847014</v>
      </c>
      <c r="AJ655" s="311">
        <v>5699896.2727803923</v>
      </c>
      <c r="AK655" s="311">
        <v>5529649.5614711763</v>
      </c>
      <c r="AL655" s="311">
        <v>7787992.2827517549</v>
      </c>
      <c r="AM655" s="311">
        <v>8573423.8364916109</v>
      </c>
      <c r="AN655" s="311">
        <v>1976325.9302753364</v>
      </c>
      <c r="AO655" s="311">
        <v>1793539.9889379896</v>
      </c>
      <c r="AP655" s="311">
        <v>1791742.5184069967</v>
      </c>
      <c r="AQ655" s="311">
        <v>9665338.2703382242</v>
      </c>
      <c r="AR655" s="311">
        <v>1290146.7569303277</v>
      </c>
      <c r="AS655" s="311">
        <v>1288057.5829641256</v>
      </c>
      <c r="AT655" s="311">
        <v>9180646.6111374665</v>
      </c>
      <c r="AU655" s="311">
        <v>15083744.759555059</v>
      </c>
      <c r="AV655" s="311">
        <v>91903.647684461321</v>
      </c>
      <c r="AW655" s="311">
        <v>89440.62774350516</v>
      </c>
      <c r="AX655" s="311">
        <v>83192.640687678824</v>
      </c>
      <c r="AY655" s="311"/>
      <c r="AZ655" s="311"/>
      <c r="BA655" s="311"/>
      <c r="BB655" s="311"/>
      <c r="BC655" s="311"/>
      <c r="BD655" s="311"/>
      <c r="BE655" s="311"/>
      <c r="BF655" s="311"/>
      <c r="BG655" s="311"/>
      <c r="BH655" s="311"/>
      <c r="BI655" s="311"/>
      <c r="BJ655" s="311"/>
      <c r="BK655" s="311"/>
    </row>
    <row r="656" spans="1:63">
      <c r="A656" s="167"/>
      <c r="B656" s="210" t="s">
        <v>28</v>
      </c>
      <c r="C656" s="211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35"/>
      <c r="T656" s="235"/>
      <c r="U656" s="235">
        <v>7126718.2893662965</v>
      </c>
      <c r="V656" s="235">
        <v>5491188.8994527208</v>
      </c>
      <c r="W656" s="235">
        <v>11657797.382109417</v>
      </c>
      <c r="X656" s="235">
        <v>3017495.4264025586</v>
      </c>
      <c r="Y656" s="235">
        <v>7176223.445131883</v>
      </c>
      <c r="Z656" s="235">
        <v>12848756.445239039</v>
      </c>
      <c r="AA656" s="235">
        <v>5857929.7359636165</v>
      </c>
      <c r="AB656" s="235">
        <v>12679108.420624847</v>
      </c>
      <c r="AC656" s="235">
        <v>14827005.99046647</v>
      </c>
      <c r="AD656" s="235">
        <v>5472822.7745747734</v>
      </c>
      <c r="AE656" s="235">
        <v>10858559.233111301</v>
      </c>
      <c r="AF656" s="235">
        <v>3098966.264041848</v>
      </c>
      <c r="AG656" s="235">
        <v>3500189.5541851167</v>
      </c>
      <c r="AH656" s="235">
        <v>3435089.2880339958</v>
      </c>
      <c r="AI656" s="235">
        <v>2102098.4010719787</v>
      </c>
      <c r="AJ656" s="235">
        <v>2978228.0345871788</v>
      </c>
      <c r="AK656" s="235">
        <v>2952389.1080159545</v>
      </c>
      <c r="AL656" s="235">
        <v>5129867.576792161</v>
      </c>
      <c r="AM656" s="235">
        <v>6021716.4743773667</v>
      </c>
      <c r="AN656" s="235">
        <v>224272.8658302408</v>
      </c>
      <c r="AO656" s="235">
        <v>77840.389163574102</v>
      </c>
      <c r="AP656" s="235">
        <v>77840.389163574102</v>
      </c>
      <c r="AQ656" s="235">
        <v>7757865.3891635751</v>
      </c>
      <c r="AR656" s="235">
        <v>77840.389163574102</v>
      </c>
      <c r="AS656" s="235">
        <v>77281.845112268216</v>
      </c>
      <c r="AT656" s="235">
        <v>7756748.3010609616</v>
      </c>
      <c r="AU656" s="235">
        <v>13900768.301060965</v>
      </c>
      <c r="AV656" s="235">
        <v>76723.301060962345</v>
      </c>
      <c r="AW656" s="235">
        <v>76723.301060962345</v>
      </c>
      <c r="AX656" s="235">
        <v>76723.301060962345</v>
      </c>
      <c r="AY656" s="235"/>
      <c r="AZ656" s="235"/>
      <c r="BA656" s="235"/>
      <c r="BB656" s="235"/>
      <c r="BC656" s="235"/>
      <c r="BD656" s="235"/>
      <c r="BE656" s="235"/>
      <c r="BF656" s="235"/>
      <c r="BG656" s="235"/>
      <c r="BH656" s="235"/>
      <c r="BI656" s="235"/>
      <c r="BJ656" s="235"/>
      <c r="BK656" s="235"/>
    </row>
    <row r="657" spans="1:63">
      <c r="A657" s="168">
        <v>43524</v>
      </c>
      <c r="B657" s="213" t="s">
        <v>385</v>
      </c>
      <c r="C657" s="214"/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6"/>
      <c r="S657" s="236"/>
      <c r="T657" s="236"/>
      <c r="U657" s="236">
        <v>5796844.96443683</v>
      </c>
      <c r="V657" s="236">
        <v>6982215.0016506528</v>
      </c>
      <c r="W657" s="236">
        <v>6546129.2235234771</v>
      </c>
      <c r="X657" s="236">
        <v>5913716.7090778835</v>
      </c>
      <c r="Y657" s="236">
        <v>5833656.841113844</v>
      </c>
      <c r="Z657" s="236">
        <v>5430396.9522098564</v>
      </c>
      <c r="AA657" s="236">
        <v>5100846.9345645625</v>
      </c>
      <c r="AB657" s="236">
        <v>4814776.1124053663</v>
      </c>
      <c r="AC657" s="236">
        <v>4293995.5985593982</v>
      </c>
      <c r="AD657" s="236">
        <v>3749002.7354276893</v>
      </c>
      <c r="AE657" s="236">
        <v>3427259.5266871164</v>
      </c>
      <c r="AF657" s="236">
        <v>3146040.9221596168</v>
      </c>
      <c r="AG657" s="236">
        <v>3008481.0865864903</v>
      </c>
      <c r="AH657" s="236">
        <v>2883097.7151666903</v>
      </c>
      <c r="AI657" s="236">
        <v>2750935.5142688793</v>
      </c>
      <c r="AJ657" s="236">
        <v>2632977.3714153194</v>
      </c>
      <c r="AK657" s="236">
        <v>2478683.4748794301</v>
      </c>
      <c r="AL657" s="236">
        <v>2433163.0070326054</v>
      </c>
      <c r="AM657" s="236">
        <v>2290849.5672307732</v>
      </c>
      <c r="AN657" s="236">
        <v>1865802.6196698069</v>
      </c>
      <c r="AO657" s="236">
        <v>1860075.8125338915</v>
      </c>
      <c r="AP657" s="236">
        <v>1859121.1927484765</v>
      </c>
      <c r="AQ657" s="236">
        <v>1621510.4831996274</v>
      </c>
      <c r="AR657" s="236">
        <v>1384517.5114845212</v>
      </c>
      <c r="AS657" s="236">
        <v>1382657.4052461265</v>
      </c>
      <c r="AT657" s="236">
        <v>1165372.9875511809</v>
      </c>
      <c r="AU657" s="236">
        <v>601042.75223532494</v>
      </c>
      <c r="AV657" s="236">
        <v>253312.3019005364</v>
      </c>
      <c r="AW657" s="236">
        <v>251099.98425825156</v>
      </c>
      <c r="AX657" s="236">
        <v>246457.66176450564</v>
      </c>
      <c r="AY657" s="236"/>
      <c r="AZ657" s="236"/>
      <c r="BA657" s="236"/>
      <c r="BB657" s="236"/>
      <c r="BC657" s="236"/>
      <c r="BD657" s="236"/>
      <c r="BE657" s="236"/>
      <c r="BF657" s="236"/>
      <c r="BG657" s="236"/>
      <c r="BH657" s="236"/>
      <c r="BI657" s="236"/>
      <c r="BJ657" s="236"/>
      <c r="BK657" s="236"/>
    </row>
    <row r="658" spans="1:63">
      <c r="A658" s="169"/>
      <c r="B658" s="307" t="s">
        <v>29</v>
      </c>
      <c r="C658" s="313"/>
      <c r="D658" s="314"/>
      <c r="E658" s="314"/>
      <c r="F658" s="314"/>
      <c r="G658" s="314"/>
      <c r="H658" s="314"/>
      <c r="I658" s="314"/>
      <c r="J658" s="314"/>
      <c r="K658" s="314"/>
      <c r="L658" s="314"/>
      <c r="M658" s="314"/>
      <c r="N658" s="314"/>
      <c r="O658" s="314"/>
      <c r="P658" s="314"/>
      <c r="Q658" s="314"/>
      <c r="R658" s="314"/>
      <c r="S658" s="311"/>
      <c r="T658" s="311"/>
      <c r="U658" s="311">
        <v>12923563.253803127</v>
      </c>
      <c r="V658" s="311">
        <v>12473403.901103374</v>
      </c>
      <c r="W658" s="311">
        <v>18203926.605632894</v>
      </c>
      <c r="X658" s="311">
        <v>8931212.1354804412</v>
      </c>
      <c r="Y658" s="311">
        <v>13009880.286245726</v>
      </c>
      <c r="Z658" s="311">
        <v>18279153.397448897</v>
      </c>
      <c r="AA658" s="311">
        <v>10958776.670528179</v>
      </c>
      <c r="AB658" s="311">
        <v>17493884.533030212</v>
      </c>
      <c r="AC658" s="311">
        <v>19121001.58902587</v>
      </c>
      <c r="AD658" s="311">
        <v>9221825.5100024622</v>
      </c>
      <c r="AE658" s="311">
        <v>14285818.759798419</v>
      </c>
      <c r="AF658" s="311">
        <v>6245007.1862014644</v>
      </c>
      <c r="AG658" s="311">
        <v>6508670.6407716069</v>
      </c>
      <c r="AH658" s="311">
        <v>6318187.0032006856</v>
      </c>
      <c r="AI658" s="311">
        <v>4853033.9153408576</v>
      </c>
      <c r="AJ658" s="311">
        <v>5611205.4060024982</v>
      </c>
      <c r="AK658" s="311">
        <v>5431072.5828953851</v>
      </c>
      <c r="AL658" s="311">
        <v>7563030.5838247668</v>
      </c>
      <c r="AM658" s="311">
        <v>8312566.0416081399</v>
      </c>
      <c r="AN658" s="311">
        <v>2090075.4855000477</v>
      </c>
      <c r="AO658" s="311">
        <v>1937916.2016974657</v>
      </c>
      <c r="AP658" s="311">
        <v>1936961.5819120507</v>
      </c>
      <c r="AQ658" s="311">
        <v>9379375.8723632023</v>
      </c>
      <c r="AR658" s="311">
        <v>1462357.9006480954</v>
      </c>
      <c r="AS658" s="311">
        <v>1459939.2503583946</v>
      </c>
      <c r="AT658" s="311">
        <v>8922121.2886121422</v>
      </c>
      <c r="AU658" s="311">
        <v>14501811.05329629</v>
      </c>
      <c r="AV658" s="311">
        <v>330035.60296149878</v>
      </c>
      <c r="AW658" s="311">
        <v>327823.28531921387</v>
      </c>
      <c r="AX658" s="311">
        <v>323180.96282546798</v>
      </c>
      <c r="AY658" s="311"/>
      <c r="AZ658" s="311"/>
      <c r="BA658" s="311"/>
      <c r="BB658" s="311"/>
      <c r="BC658" s="311"/>
      <c r="BD658" s="311"/>
      <c r="BE658" s="311"/>
      <c r="BF658" s="311"/>
      <c r="BG658" s="311"/>
      <c r="BH658" s="311"/>
      <c r="BI658" s="311"/>
      <c r="BJ658" s="311"/>
      <c r="BK658" s="311"/>
    </row>
    <row r="659" spans="1:63">
      <c r="A659" s="167"/>
      <c r="B659" s="210" t="s">
        <v>28</v>
      </c>
      <c r="C659" s="211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35"/>
      <c r="T659" s="235"/>
      <c r="U659" s="235">
        <v>3942261.7920746198</v>
      </c>
      <c r="V659" s="235">
        <v>5693703.596221867</v>
      </c>
      <c r="W659" s="235">
        <v>12004885.936339332</v>
      </c>
      <c r="X659" s="235">
        <v>3125941.4335513287</v>
      </c>
      <c r="Y659" s="235">
        <v>7406230.3100282475</v>
      </c>
      <c r="Z659" s="235">
        <v>13338449.881929636</v>
      </c>
      <c r="AA659" s="235">
        <v>6076979.7839682316</v>
      </c>
      <c r="AB659" s="235">
        <v>13090189.641747607</v>
      </c>
      <c r="AC659" s="235">
        <v>15318805.632906498</v>
      </c>
      <c r="AD659" s="235">
        <v>5677002.2338877656</v>
      </c>
      <c r="AE659" s="235">
        <v>11274134.330853</v>
      </c>
      <c r="AF659" s="235">
        <v>3214792.2091980004</v>
      </c>
      <c r="AG659" s="235">
        <v>3632204.7316280729</v>
      </c>
      <c r="AH659" s="235">
        <v>3565522.6891261805</v>
      </c>
      <c r="AI659" s="235">
        <v>2181456.3616749849</v>
      </c>
      <c r="AJ659" s="235">
        <v>3091504.5362480483</v>
      </c>
      <c r="AK659" s="235">
        <v>3028142.6243524216</v>
      </c>
      <c r="AL659" s="235">
        <v>5252859.8446953846</v>
      </c>
      <c r="AM659" s="235">
        <v>6252820.2271886887</v>
      </c>
      <c r="AN659" s="235">
        <v>231711.27207588922</v>
      </c>
      <c r="AO659" s="235">
        <v>79609.798742555926</v>
      </c>
      <c r="AP659" s="235">
        <v>79609.798742555926</v>
      </c>
      <c r="AQ659" s="235">
        <v>8056959.7987425551</v>
      </c>
      <c r="AR659" s="235">
        <v>79609.798742555926</v>
      </c>
      <c r="AS659" s="235">
        <v>79029.631179600721</v>
      </c>
      <c r="AT659" s="235">
        <v>8055799.463616644</v>
      </c>
      <c r="AU659" s="235">
        <v>14437679.463616647</v>
      </c>
      <c r="AV659" s="235">
        <v>78449.463616645531</v>
      </c>
      <c r="AW659" s="235">
        <v>78449.463616645531</v>
      </c>
      <c r="AX659" s="235">
        <v>78449.463616645531</v>
      </c>
      <c r="AY659" s="235"/>
      <c r="AZ659" s="235"/>
      <c r="BA659" s="235"/>
      <c r="BB659" s="235"/>
      <c r="BC659" s="235"/>
      <c r="BD659" s="235"/>
      <c r="BE659" s="235"/>
      <c r="BF659" s="235"/>
      <c r="BG659" s="235"/>
      <c r="BH659" s="235"/>
      <c r="BI659" s="235"/>
      <c r="BJ659" s="235"/>
      <c r="BK659" s="235"/>
    </row>
    <row r="660" spans="1:63">
      <c r="A660" s="168">
        <v>43555</v>
      </c>
      <c r="B660" s="213" t="s">
        <v>385</v>
      </c>
      <c r="C660" s="214"/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6"/>
      <c r="S660" s="236"/>
      <c r="T660" s="236"/>
      <c r="U660" s="236">
        <v>5231138.9528920194</v>
      </c>
      <c r="V660" s="236">
        <v>7143346.5837699855</v>
      </c>
      <c r="W660" s="236">
        <v>6654396.5415867968</v>
      </c>
      <c r="X660" s="236">
        <v>5957178.1125851329</v>
      </c>
      <c r="Y660" s="236">
        <v>5902460.4333214285</v>
      </c>
      <c r="Z660" s="236">
        <v>5474513.6662880788</v>
      </c>
      <c r="AA660" s="236">
        <v>5134082.8670412889</v>
      </c>
      <c r="AB660" s="236">
        <v>4855405.060265854</v>
      </c>
      <c r="AC660" s="236">
        <v>4327339.8622281607</v>
      </c>
      <c r="AD660" s="236">
        <v>3783240.8898542305</v>
      </c>
      <c r="AE660" s="236">
        <v>3467341.0862738113</v>
      </c>
      <c r="AF660" s="236">
        <v>3189814.4367623641</v>
      </c>
      <c r="AG660" s="236">
        <v>3056959.5758929146</v>
      </c>
      <c r="AH660" s="236">
        <v>2936919.8328711186</v>
      </c>
      <c r="AI660" s="236">
        <v>2805205.4148922083</v>
      </c>
      <c r="AJ660" s="236">
        <v>2696282.9177717003</v>
      </c>
      <c r="AK660" s="236">
        <v>2548900.5163265425</v>
      </c>
      <c r="AL660" s="236">
        <v>2506900.4008676363</v>
      </c>
      <c r="AM660" s="236">
        <v>2375096.6479178765</v>
      </c>
      <c r="AN660" s="236">
        <v>1934706.5867735015</v>
      </c>
      <c r="AO660" s="236">
        <v>1929304.1444037957</v>
      </c>
      <c r="AP660" s="236">
        <v>1928522.6131463863</v>
      </c>
      <c r="AQ660" s="236">
        <v>1681921.3675407527</v>
      </c>
      <c r="AR660" s="236">
        <v>1435969.2735236241</v>
      </c>
      <c r="AS660" s="236">
        <v>1434255.1554784845</v>
      </c>
      <c r="AT660" s="236">
        <v>1208795.2828221463</v>
      </c>
      <c r="AU660" s="236">
        <v>622857.78808239091</v>
      </c>
      <c r="AV660" s="236">
        <v>261914.26906252501</v>
      </c>
      <c r="AW660" s="236">
        <v>259872.40191903317</v>
      </c>
      <c r="AX660" s="236">
        <v>256293.36357433634</v>
      </c>
      <c r="AY660" s="236"/>
      <c r="AZ660" s="236"/>
      <c r="BA660" s="236"/>
      <c r="BB660" s="236"/>
      <c r="BC660" s="236"/>
      <c r="BD660" s="236"/>
      <c r="BE660" s="236"/>
      <c r="BF660" s="236"/>
      <c r="BG660" s="236"/>
      <c r="BH660" s="236"/>
      <c r="BI660" s="236"/>
      <c r="BJ660" s="236"/>
      <c r="BK660" s="236"/>
    </row>
    <row r="661" spans="1:63">
      <c r="A661" s="169"/>
      <c r="B661" s="307" t="s">
        <v>29</v>
      </c>
      <c r="C661" s="313"/>
      <c r="D661" s="314"/>
      <c r="E661" s="314"/>
      <c r="F661" s="314"/>
      <c r="G661" s="314"/>
      <c r="H661" s="314"/>
      <c r="I661" s="314"/>
      <c r="J661" s="314"/>
      <c r="K661" s="314"/>
      <c r="L661" s="314"/>
      <c r="M661" s="314"/>
      <c r="N661" s="314"/>
      <c r="O661" s="314"/>
      <c r="P661" s="314"/>
      <c r="Q661" s="314"/>
      <c r="R661" s="314"/>
      <c r="S661" s="311"/>
      <c r="T661" s="311"/>
      <c r="U661" s="311">
        <v>9173400.7449666392</v>
      </c>
      <c r="V661" s="311">
        <v>12837050.179991852</v>
      </c>
      <c r="W661" s="311">
        <v>18659282.477926128</v>
      </c>
      <c r="X661" s="311">
        <v>9083119.5461364612</v>
      </c>
      <c r="Y661" s="311">
        <v>13308690.743349675</v>
      </c>
      <c r="Z661" s="311">
        <v>18812963.548217714</v>
      </c>
      <c r="AA661" s="311">
        <v>11211062.651009521</v>
      </c>
      <c r="AB661" s="311">
        <v>17945594.702013463</v>
      </c>
      <c r="AC661" s="311">
        <v>19646145.495134659</v>
      </c>
      <c r="AD661" s="311">
        <v>9460243.1237419955</v>
      </c>
      <c r="AE661" s="311">
        <v>14741475.417126812</v>
      </c>
      <c r="AF661" s="311">
        <v>6404606.6459603645</v>
      </c>
      <c r="AG661" s="311">
        <v>6689164.3075209875</v>
      </c>
      <c r="AH661" s="311">
        <v>6502442.521997299</v>
      </c>
      <c r="AI661" s="311">
        <v>4986661.7765671927</v>
      </c>
      <c r="AJ661" s="311">
        <v>5787787.4540197486</v>
      </c>
      <c r="AK661" s="311">
        <v>5577043.1406789646</v>
      </c>
      <c r="AL661" s="311">
        <v>7759760.2455630209</v>
      </c>
      <c r="AM661" s="311">
        <v>8627916.8751065657</v>
      </c>
      <c r="AN661" s="311">
        <v>2166417.8588493909</v>
      </c>
      <c r="AO661" s="311">
        <v>2008913.9431463517</v>
      </c>
      <c r="AP661" s="311">
        <v>2008132.4118889424</v>
      </c>
      <c r="AQ661" s="311">
        <v>9738881.1662833076</v>
      </c>
      <c r="AR661" s="311">
        <v>1515579.0722661801</v>
      </c>
      <c r="AS661" s="311">
        <v>1513284.7866580852</v>
      </c>
      <c r="AT661" s="311">
        <v>9264594.7464387901</v>
      </c>
      <c r="AU661" s="311">
        <v>15060537.251699038</v>
      </c>
      <c r="AV661" s="311">
        <v>340363.73267917056</v>
      </c>
      <c r="AW661" s="311">
        <v>338321.86553567869</v>
      </c>
      <c r="AX661" s="311">
        <v>334742.82719098189</v>
      </c>
      <c r="AY661" s="311"/>
      <c r="AZ661" s="311"/>
      <c r="BA661" s="311"/>
      <c r="BB661" s="311"/>
      <c r="BC661" s="311"/>
      <c r="BD661" s="311"/>
      <c r="BE661" s="311"/>
      <c r="BF661" s="311"/>
      <c r="BG661" s="311"/>
      <c r="BH661" s="311"/>
      <c r="BI661" s="311"/>
      <c r="BJ661" s="311"/>
      <c r="BK661" s="311"/>
    </row>
    <row r="662" spans="1:63">
      <c r="A662" s="167"/>
      <c r="B662" s="210" t="s">
        <v>28</v>
      </c>
      <c r="C662" s="211"/>
      <c r="D662" s="212"/>
      <c r="E662" s="212"/>
      <c r="F662" s="212"/>
      <c r="G662" s="212"/>
      <c r="H662" s="212"/>
      <c r="I662" s="212"/>
      <c r="J662" s="212"/>
      <c r="K662" s="212"/>
      <c r="L662" s="212"/>
      <c r="M662" s="212"/>
      <c r="N662" s="212"/>
      <c r="O662" s="212"/>
      <c r="P662" s="212"/>
      <c r="Q662" s="212"/>
      <c r="R662" s="212"/>
      <c r="S662" s="235"/>
      <c r="T662" s="235"/>
      <c r="U662" s="235">
        <v>3766597.0448622643</v>
      </c>
      <c r="V662" s="235">
        <v>5793495.3559749573</v>
      </c>
      <c r="W662" s="235">
        <v>12172647.621509366</v>
      </c>
      <c r="X662" s="235">
        <v>3179974.3098563566</v>
      </c>
      <c r="Y662" s="235">
        <v>7518443.6512302114</v>
      </c>
      <c r="Z662" s="235">
        <v>13574581.940922</v>
      </c>
      <c r="AA662" s="235">
        <v>6183808.1519710934</v>
      </c>
      <c r="AB662" s="235">
        <v>13306369.594431315</v>
      </c>
      <c r="AC662" s="235">
        <v>15554897.311258953</v>
      </c>
      <c r="AD662" s="235">
        <v>5776619.5900645778</v>
      </c>
      <c r="AE662" s="235">
        <v>11476187.918473914</v>
      </c>
      <c r="AF662" s="235">
        <v>3272426.7703725849</v>
      </c>
      <c r="AG662" s="235">
        <v>3695951.7643083432</v>
      </c>
      <c r="AH662" s="235">
        <v>3628340.1608889657</v>
      </c>
      <c r="AI662" s="235">
        <v>2219802.075046387</v>
      </c>
      <c r="AJ662" s="235">
        <v>3146043.7648073058</v>
      </c>
      <c r="AK662" s="235">
        <v>3072612.2250592941</v>
      </c>
      <c r="AL662" s="235">
        <v>5327842.748029789</v>
      </c>
      <c r="AM662" s="235">
        <v>6363611.9618474627</v>
      </c>
      <c r="AN662" s="235">
        <v>235538.81838219921</v>
      </c>
      <c r="AO662" s="235">
        <v>80730.831715532535</v>
      </c>
      <c r="AP662" s="235">
        <v>80730.831715532535</v>
      </c>
      <c r="AQ662" s="235">
        <v>8200030.8317155316</v>
      </c>
      <c r="AR662" s="235">
        <v>80730.831715532535</v>
      </c>
      <c r="AS662" s="235">
        <v>80140.340575755254</v>
      </c>
      <c r="AT662" s="235">
        <v>8198849.8494359776</v>
      </c>
      <c r="AU662" s="235">
        <v>14694289.849435978</v>
      </c>
      <c r="AV662" s="235">
        <v>79549.849435978016</v>
      </c>
      <c r="AW662" s="235">
        <v>79549.849435978016</v>
      </c>
      <c r="AX662" s="235">
        <v>79549.849435978016</v>
      </c>
      <c r="AY662" s="235"/>
      <c r="AZ662" s="235"/>
      <c r="BA662" s="235"/>
      <c r="BB662" s="235"/>
      <c r="BC662" s="235"/>
      <c r="BD662" s="235"/>
      <c r="BE662" s="235"/>
      <c r="BF662" s="235"/>
      <c r="BG662" s="235"/>
      <c r="BH662" s="235"/>
      <c r="BI662" s="235"/>
      <c r="BJ662" s="235"/>
      <c r="BK662" s="235"/>
    </row>
    <row r="663" spans="1:63">
      <c r="A663" s="168">
        <v>43585</v>
      </c>
      <c r="B663" s="213" t="s">
        <v>385</v>
      </c>
      <c r="C663" s="214"/>
      <c r="D663" s="215"/>
      <c r="E663" s="215"/>
      <c r="F663" s="215"/>
      <c r="G663" s="215"/>
      <c r="H663" s="215"/>
      <c r="I663" s="215"/>
      <c r="J663" s="215"/>
      <c r="K663" s="215"/>
      <c r="L663" s="215"/>
      <c r="M663" s="215"/>
      <c r="N663" s="215"/>
      <c r="O663" s="215"/>
      <c r="P663" s="215"/>
      <c r="Q663" s="215"/>
      <c r="R663" s="216"/>
      <c r="S663" s="236"/>
      <c r="T663" s="236"/>
      <c r="U663" s="236">
        <v>4735761.9974281061</v>
      </c>
      <c r="V663" s="236">
        <v>7241583.4978622803</v>
      </c>
      <c r="W663" s="236">
        <v>6801717.1215283284</v>
      </c>
      <c r="X663" s="236">
        <v>6029448.1087388219</v>
      </c>
      <c r="Y663" s="236">
        <v>6008678.2937057018</v>
      </c>
      <c r="Z663" s="236">
        <v>5577364.9864880098</v>
      </c>
      <c r="AA663" s="236">
        <v>5249849.9289460098</v>
      </c>
      <c r="AB663" s="236">
        <v>4963005.4207126386</v>
      </c>
      <c r="AC663" s="236">
        <v>4428935.8734373702</v>
      </c>
      <c r="AD663" s="236">
        <v>3879542.3527816348</v>
      </c>
      <c r="AE663" s="236">
        <v>3553055.3703959114</v>
      </c>
      <c r="AF663" s="236">
        <v>3264218.6490282286</v>
      </c>
      <c r="AG663" s="236">
        <v>3126791.9813479665</v>
      </c>
      <c r="AH663" s="236">
        <v>3001794.4234541422</v>
      </c>
      <c r="AI663" s="236">
        <v>2866083.5639035488</v>
      </c>
      <c r="AJ663" s="236">
        <v>2756882.926354181</v>
      </c>
      <c r="AK663" s="236">
        <v>2597413.5024180901</v>
      </c>
      <c r="AL663" s="236">
        <v>2553847.8566961479</v>
      </c>
      <c r="AM663" s="236">
        <v>2417924.7129039271</v>
      </c>
      <c r="AN663" s="236">
        <v>1969478.6101535351</v>
      </c>
      <c r="AO663" s="236">
        <v>1963894.9141672472</v>
      </c>
      <c r="AP663" s="236">
        <v>1963080.7385785482</v>
      </c>
      <c r="AQ663" s="236">
        <v>1712065.9515469347</v>
      </c>
      <c r="AR663" s="236">
        <v>1461714.4786422211</v>
      </c>
      <c r="AS663" s="236">
        <v>1459945.6779238884</v>
      </c>
      <c r="AT663" s="236">
        <v>1230454.3518253569</v>
      </c>
      <c r="AU663" s="236">
        <v>634065.80170693225</v>
      </c>
      <c r="AV663" s="236">
        <v>266676.65243924677</v>
      </c>
      <c r="AW663" s="236">
        <v>264574.70256896125</v>
      </c>
      <c r="AX663" s="236">
        <v>261288.21587837787</v>
      </c>
      <c r="AY663" s="236"/>
      <c r="AZ663" s="236"/>
      <c r="BA663" s="236"/>
      <c r="BB663" s="236"/>
      <c r="BC663" s="236"/>
      <c r="BD663" s="236"/>
      <c r="BE663" s="236"/>
      <c r="BF663" s="236"/>
      <c r="BG663" s="236"/>
      <c r="BH663" s="236"/>
      <c r="BI663" s="236"/>
      <c r="BJ663" s="236"/>
      <c r="BK663" s="236"/>
    </row>
    <row r="664" spans="1:63">
      <c r="A664" s="169"/>
      <c r="B664" s="307" t="s">
        <v>29</v>
      </c>
      <c r="C664" s="313"/>
      <c r="D664" s="314"/>
      <c r="E664" s="314"/>
      <c r="F664" s="314"/>
      <c r="G664" s="314"/>
      <c r="H664" s="314"/>
      <c r="I664" s="314"/>
      <c r="J664" s="314"/>
      <c r="K664" s="314"/>
      <c r="L664" s="314"/>
      <c r="M664" s="314"/>
      <c r="N664" s="314"/>
      <c r="O664" s="314"/>
      <c r="P664" s="314"/>
      <c r="Q664" s="314"/>
      <c r="R664" s="314"/>
      <c r="S664" s="311"/>
      <c r="T664" s="311"/>
      <c r="U664" s="311">
        <v>8502359.0422903709</v>
      </c>
      <c r="V664" s="311">
        <v>13035078.853837237</v>
      </c>
      <c r="W664" s="311">
        <v>18974364.743037693</v>
      </c>
      <c r="X664" s="311">
        <v>9209422.4185951781</v>
      </c>
      <c r="Y664" s="311">
        <v>13527121.944935914</v>
      </c>
      <c r="Z664" s="311">
        <v>19151946.92741001</v>
      </c>
      <c r="AA664" s="311">
        <v>11433658.080917103</v>
      </c>
      <c r="AB664" s="311">
        <v>18269375.015143953</v>
      </c>
      <c r="AC664" s="311">
        <v>19983833.184696324</v>
      </c>
      <c r="AD664" s="311">
        <v>9656161.9428462125</v>
      </c>
      <c r="AE664" s="311">
        <v>15029243.288869826</v>
      </c>
      <c r="AF664" s="311">
        <v>6536645.4194008131</v>
      </c>
      <c r="AG664" s="311">
        <v>6822743.7456563096</v>
      </c>
      <c r="AH664" s="311">
        <v>6630134.5843431074</v>
      </c>
      <c r="AI664" s="311">
        <v>5085885.6389499363</v>
      </c>
      <c r="AJ664" s="311">
        <v>5902926.6911614873</v>
      </c>
      <c r="AK664" s="311">
        <v>5670025.7274773847</v>
      </c>
      <c r="AL664" s="311">
        <v>7881690.6047259364</v>
      </c>
      <c r="AM664" s="311">
        <v>8781536.6747513898</v>
      </c>
      <c r="AN664" s="311">
        <v>2205017.4285357343</v>
      </c>
      <c r="AO664" s="311">
        <v>2044625.7458827798</v>
      </c>
      <c r="AP664" s="311">
        <v>2043811.5702940808</v>
      </c>
      <c r="AQ664" s="311">
        <v>9912096.783262467</v>
      </c>
      <c r="AR664" s="311">
        <v>1542445.3103577537</v>
      </c>
      <c r="AS664" s="311">
        <v>1540086.0184996438</v>
      </c>
      <c r="AT664" s="311">
        <v>9429304.2012613341</v>
      </c>
      <c r="AU664" s="311">
        <v>15328355.65114291</v>
      </c>
      <c r="AV664" s="311">
        <v>346226.50187522476</v>
      </c>
      <c r="AW664" s="311">
        <v>344124.55200493929</v>
      </c>
      <c r="AX664" s="311">
        <v>340838.06531435589</v>
      </c>
      <c r="AY664" s="311"/>
      <c r="AZ664" s="311"/>
      <c r="BA664" s="311"/>
      <c r="BB664" s="311"/>
      <c r="BC664" s="311"/>
      <c r="BD664" s="311"/>
      <c r="BE664" s="311"/>
      <c r="BF664" s="311"/>
      <c r="BG664" s="311"/>
      <c r="BH664" s="311"/>
      <c r="BI664" s="311"/>
      <c r="BJ664" s="311"/>
      <c r="BK664" s="311"/>
    </row>
    <row r="665" spans="1:63">
      <c r="A665" s="167"/>
      <c r="B665" s="210" t="s">
        <v>28</v>
      </c>
      <c r="C665" s="211"/>
      <c r="D665" s="212"/>
      <c r="E665" s="212"/>
      <c r="F665" s="212"/>
      <c r="G665" s="212"/>
      <c r="H665" s="212"/>
      <c r="I665" s="212"/>
      <c r="J665" s="212"/>
      <c r="K665" s="212"/>
      <c r="L665" s="212"/>
      <c r="M665" s="212"/>
      <c r="N665" s="212"/>
      <c r="O665" s="212"/>
      <c r="P665" s="212"/>
      <c r="Q665" s="212"/>
      <c r="R665" s="212"/>
      <c r="S665" s="235"/>
      <c r="T665" s="235"/>
      <c r="U665" s="235">
        <v>3384466.9498826698</v>
      </c>
      <c r="V665" s="235">
        <v>5958454.6959099732</v>
      </c>
      <c r="W665" s="235">
        <v>12500525.261678599</v>
      </c>
      <c r="X665" s="235">
        <v>3287909.892612129</v>
      </c>
      <c r="Y665" s="235">
        <v>7715462.2265309524</v>
      </c>
      <c r="Z665" s="235">
        <v>14037836.495137921</v>
      </c>
      <c r="AA665" s="235">
        <v>6396325.5490212301</v>
      </c>
      <c r="AB665" s="235">
        <v>13856737.539412528</v>
      </c>
      <c r="AC665" s="235">
        <v>16019760.977582954</v>
      </c>
      <c r="AD665" s="235">
        <v>5978694.9659385299</v>
      </c>
      <c r="AE665" s="235">
        <v>11870753.789472213</v>
      </c>
      <c r="AF665" s="235">
        <v>3396849.3632324534</v>
      </c>
      <c r="AG665" s="235">
        <v>3826596.9138073898</v>
      </c>
      <c r="AH665" s="235">
        <v>3753798.4025872583</v>
      </c>
      <c r="AI665" s="235">
        <v>2297153.1958377436</v>
      </c>
      <c r="AJ665" s="235">
        <v>3254795.132553502</v>
      </c>
      <c r="AK665" s="235">
        <v>3182547.1086441069</v>
      </c>
      <c r="AL665" s="235">
        <v>5517958.575015516</v>
      </c>
      <c r="AM665" s="235">
        <v>6581460.6559277261</v>
      </c>
      <c r="AN665" s="235">
        <v>243705.473952256</v>
      </c>
      <c r="AO665" s="235">
        <v>83649.38728558927</v>
      </c>
      <c r="AP665" s="235">
        <v>83649.38728558927</v>
      </c>
      <c r="AQ665" s="235">
        <v>8478199.3872855883</v>
      </c>
      <c r="AR665" s="235">
        <v>83649.38728558927</v>
      </c>
      <c r="AS665" s="235">
        <v>83038.87807944871</v>
      </c>
      <c r="AT665" s="235">
        <v>8476918.0460886359</v>
      </c>
      <c r="AU665" s="235">
        <v>15192558.046088634</v>
      </c>
      <c r="AV665" s="235">
        <v>82368.046088634917</v>
      </c>
      <c r="AW665" s="235">
        <v>82368.046088634917</v>
      </c>
      <c r="AX665" s="235">
        <v>82368.046088634917</v>
      </c>
      <c r="AY665" s="235"/>
      <c r="AZ665" s="235"/>
      <c r="BA665" s="235"/>
      <c r="BB665" s="235"/>
      <c r="BC665" s="235"/>
      <c r="BD665" s="235"/>
      <c r="BE665" s="235"/>
      <c r="BF665" s="235"/>
      <c r="BG665" s="235"/>
      <c r="BH665" s="235"/>
      <c r="BI665" s="235"/>
      <c r="BJ665" s="235"/>
      <c r="BK665" s="235"/>
    </row>
    <row r="666" spans="1:63">
      <c r="A666" s="168">
        <v>43616</v>
      </c>
      <c r="B666" s="213" t="s">
        <v>385</v>
      </c>
      <c r="C666" s="214"/>
      <c r="D666" s="215"/>
      <c r="E666" s="215"/>
      <c r="F666" s="215"/>
      <c r="G666" s="215"/>
      <c r="H666" s="215"/>
      <c r="I666" s="215"/>
      <c r="J666" s="215"/>
      <c r="K666" s="215"/>
      <c r="L666" s="215"/>
      <c r="M666" s="215"/>
      <c r="N666" s="215"/>
      <c r="O666" s="215"/>
      <c r="P666" s="215"/>
      <c r="Q666" s="215"/>
      <c r="R666" s="216"/>
      <c r="S666" s="236"/>
      <c r="T666" s="236"/>
      <c r="U666" s="236">
        <v>4367686.2121776501</v>
      </c>
      <c r="V666" s="236">
        <v>7378477.303666262</v>
      </c>
      <c r="W666" s="236">
        <v>6841119.8904395225</v>
      </c>
      <c r="X666" s="236">
        <v>5902379.4276708402</v>
      </c>
      <c r="Y666" s="236">
        <v>6023718.7995990245</v>
      </c>
      <c r="Z666" s="236">
        <v>5578773.832208625</v>
      </c>
      <c r="AA666" s="236">
        <v>5263741.5746175488</v>
      </c>
      <c r="AB666" s="236">
        <v>4980273.6785510955</v>
      </c>
      <c r="AC666" s="236">
        <v>4434037.8746686736</v>
      </c>
      <c r="AD666" s="236">
        <v>3894212.0179808778</v>
      </c>
      <c r="AE666" s="236">
        <v>3577170.6343402681</v>
      </c>
      <c r="AF666" s="236">
        <v>3297072.6637407811</v>
      </c>
      <c r="AG666" s="236">
        <v>3168982.4737957073</v>
      </c>
      <c r="AH666" s="236">
        <v>3053020.891772836</v>
      </c>
      <c r="AI666" s="236">
        <v>2920714.3259106367</v>
      </c>
      <c r="AJ666" s="236">
        <v>2816679.2691612658</v>
      </c>
      <c r="AK666" s="236">
        <v>2664027.8101777635</v>
      </c>
      <c r="AL666" s="236">
        <v>2624060.6305984599</v>
      </c>
      <c r="AM666" s="236">
        <v>2495960.7312217746</v>
      </c>
      <c r="AN666" s="236">
        <v>2033621.124976503</v>
      </c>
      <c r="AO666" s="236">
        <v>2028460.9770273322</v>
      </c>
      <c r="AP666" s="236">
        <v>2027766.5357761504</v>
      </c>
      <c r="AQ666" s="236">
        <v>1768388.9964280643</v>
      </c>
      <c r="AR666" s="236">
        <v>1509703.4594073102</v>
      </c>
      <c r="AS666" s="236">
        <v>1508030.2560225856</v>
      </c>
      <c r="AT666" s="236">
        <v>1270928.7800553376</v>
      </c>
      <c r="AU666" s="236">
        <v>654495.65100355889</v>
      </c>
      <c r="AV666" s="236">
        <v>274832.80576507986</v>
      </c>
      <c r="AW666" s="236">
        <v>272846.51483871607</v>
      </c>
      <c r="AX666" s="236">
        <v>270337.06419321336</v>
      </c>
      <c r="AY666" s="236"/>
      <c r="AZ666" s="236"/>
      <c r="BA666" s="236"/>
      <c r="BB666" s="236"/>
      <c r="BC666" s="236"/>
      <c r="BD666" s="236"/>
      <c r="BE666" s="236"/>
      <c r="BF666" s="236"/>
      <c r="BG666" s="236"/>
      <c r="BH666" s="236"/>
      <c r="BI666" s="236"/>
      <c r="BJ666" s="236"/>
      <c r="BK666" s="236"/>
    </row>
    <row r="667" spans="1:63">
      <c r="A667" s="169"/>
      <c r="B667" s="307" t="s">
        <v>29</v>
      </c>
      <c r="C667" s="313"/>
      <c r="D667" s="314"/>
      <c r="E667" s="314"/>
      <c r="F667" s="314"/>
      <c r="G667" s="314"/>
      <c r="H667" s="314"/>
      <c r="I667" s="314"/>
      <c r="J667" s="314"/>
      <c r="K667" s="314"/>
      <c r="L667" s="314"/>
      <c r="M667" s="314"/>
      <c r="N667" s="314"/>
      <c r="O667" s="314"/>
      <c r="P667" s="314"/>
      <c r="Q667" s="314"/>
      <c r="R667" s="314"/>
      <c r="S667" s="311"/>
      <c r="T667" s="311"/>
      <c r="U667" s="311">
        <v>7752153.1620603204</v>
      </c>
      <c r="V667" s="311">
        <v>13336931.999576235</v>
      </c>
      <c r="W667" s="311">
        <v>19341645.15211812</v>
      </c>
      <c r="X667" s="311">
        <v>9190289.3202829696</v>
      </c>
      <c r="Y667" s="311">
        <v>13739181.026129976</v>
      </c>
      <c r="Z667" s="311">
        <v>19616610.327346545</v>
      </c>
      <c r="AA667" s="311">
        <v>11660067.123638779</v>
      </c>
      <c r="AB667" s="311">
        <v>18837011.217963625</v>
      </c>
      <c r="AC667" s="311">
        <v>20453798.852251627</v>
      </c>
      <c r="AD667" s="311">
        <v>9872906.9839194082</v>
      </c>
      <c r="AE667" s="311">
        <v>15447924.423812481</v>
      </c>
      <c r="AF667" s="311">
        <v>6693922.0269732345</v>
      </c>
      <c r="AG667" s="311">
        <v>6995579.3876030967</v>
      </c>
      <c r="AH667" s="311">
        <v>6806819.2943600938</v>
      </c>
      <c r="AI667" s="311">
        <v>5217867.5217483807</v>
      </c>
      <c r="AJ667" s="311">
        <v>6071474.4017147683</v>
      </c>
      <c r="AK667" s="311">
        <v>5846574.9188218703</v>
      </c>
      <c r="AL667" s="311">
        <v>8142019.2056139763</v>
      </c>
      <c r="AM667" s="311">
        <v>9077421.3871495016</v>
      </c>
      <c r="AN667" s="311">
        <v>2277326.5989287589</v>
      </c>
      <c r="AO667" s="311">
        <v>2112110.3643129217</v>
      </c>
      <c r="AP667" s="311">
        <v>2111415.9230617397</v>
      </c>
      <c r="AQ667" s="311">
        <v>10246588.383713653</v>
      </c>
      <c r="AR667" s="311">
        <v>1593352.8466928995</v>
      </c>
      <c r="AS667" s="311">
        <v>1591069.1341020344</v>
      </c>
      <c r="AT667" s="311">
        <v>9747846.8261439726</v>
      </c>
      <c r="AU667" s="311">
        <v>15847053.697092192</v>
      </c>
      <c r="AV667" s="311">
        <v>357200.85185371479</v>
      </c>
      <c r="AW667" s="311">
        <v>355214.56092735101</v>
      </c>
      <c r="AX667" s="311">
        <v>352705.11028184829</v>
      </c>
      <c r="AY667" s="311"/>
      <c r="AZ667" s="311"/>
      <c r="BA667" s="311"/>
      <c r="BB667" s="311"/>
      <c r="BC667" s="311"/>
      <c r="BD667" s="311"/>
      <c r="BE667" s="311"/>
      <c r="BF667" s="311"/>
      <c r="BG667" s="311"/>
      <c r="BH667" s="311"/>
      <c r="BI667" s="311"/>
      <c r="BJ667" s="311"/>
      <c r="BK667" s="311"/>
    </row>
    <row r="668" spans="1:63">
      <c r="A668" s="167"/>
      <c r="B668" s="210" t="s">
        <v>28</v>
      </c>
      <c r="C668" s="211"/>
      <c r="D668" s="212"/>
      <c r="E668" s="212"/>
      <c r="F668" s="212"/>
      <c r="G668" s="212"/>
      <c r="H668" s="212"/>
      <c r="I668" s="212"/>
      <c r="J668" s="212"/>
      <c r="K668" s="212"/>
      <c r="L668" s="212"/>
      <c r="M668" s="212"/>
      <c r="N668" s="212"/>
      <c r="O668" s="212"/>
      <c r="P668" s="212"/>
      <c r="Q668" s="212"/>
      <c r="R668" s="212"/>
      <c r="S668" s="235"/>
      <c r="T668" s="235"/>
      <c r="U668" s="235">
        <v>2971188.1409889855</v>
      </c>
      <c r="V668" s="235">
        <v>5684041.290605505</v>
      </c>
      <c r="W668" s="235">
        <v>12034988.328590494</v>
      </c>
      <c r="X668" s="235">
        <v>3144840.413941585</v>
      </c>
      <c r="Y668" s="235">
        <v>7409052.5022007292</v>
      </c>
      <c r="Z668" s="235">
        <v>13380285.618704168</v>
      </c>
      <c r="AA668" s="235">
        <v>6104501.7409784514</v>
      </c>
      <c r="AB668" s="235">
        <v>13318571.131027872</v>
      </c>
      <c r="AC668" s="235">
        <v>15359818.756828098</v>
      </c>
      <c r="AD668" s="235">
        <v>5705593.073521262</v>
      </c>
      <c r="AE668" s="235">
        <v>11310245.997315807</v>
      </c>
      <c r="AF668" s="235">
        <v>3240674.8404045799</v>
      </c>
      <c r="AG668" s="235">
        <v>3670674.4304081211</v>
      </c>
      <c r="AH668" s="235">
        <v>3578059.306423048</v>
      </c>
      <c r="AI668" s="235">
        <v>2190162.5280021187</v>
      </c>
      <c r="AJ668" s="235">
        <v>3102004.5949748643</v>
      </c>
      <c r="AK668" s="235">
        <v>3085388.2795843324</v>
      </c>
      <c r="AL668" s="235">
        <v>5362052.4791215025</v>
      </c>
      <c r="AM668" s="235">
        <v>6269569.8196659237</v>
      </c>
      <c r="AN668" s="235">
        <v>233774.68729569527</v>
      </c>
      <c r="AO668" s="235">
        <v>81373.390629028581</v>
      </c>
      <c r="AP668" s="235">
        <v>81373.390629028581</v>
      </c>
      <c r="AQ668" s="235">
        <v>8074448.390629028</v>
      </c>
      <c r="AR668" s="235">
        <v>81373.390629028581</v>
      </c>
      <c r="AS668" s="235">
        <v>80792.079436305678</v>
      </c>
      <c r="AT668" s="235">
        <v>8073228.3304366609</v>
      </c>
      <c r="AU668" s="235">
        <v>14467688.33043666</v>
      </c>
      <c r="AV668" s="235">
        <v>80153.33043666021</v>
      </c>
      <c r="AW668" s="235">
        <v>80153.33043666021</v>
      </c>
      <c r="AX668" s="235">
        <v>80153.33043666021</v>
      </c>
      <c r="AY668" s="235"/>
      <c r="AZ668" s="235"/>
      <c r="BA668" s="235"/>
      <c r="BB668" s="235"/>
      <c r="BC668" s="235"/>
      <c r="BD668" s="235"/>
      <c r="BE668" s="235"/>
      <c r="BF668" s="235"/>
      <c r="BG668" s="235"/>
      <c r="BH668" s="235"/>
      <c r="BI668" s="235"/>
      <c r="BJ668" s="235"/>
      <c r="BK668" s="235"/>
    </row>
    <row r="669" spans="1:63">
      <c r="A669" s="168">
        <v>43646</v>
      </c>
      <c r="B669" s="213" t="s">
        <v>385</v>
      </c>
      <c r="C669" s="214"/>
      <c r="D669" s="215"/>
      <c r="E669" s="215"/>
      <c r="F669" s="215"/>
      <c r="G669" s="215"/>
      <c r="H669" s="215"/>
      <c r="I669" s="215"/>
      <c r="J669" s="215"/>
      <c r="K669" s="215"/>
      <c r="L669" s="215"/>
      <c r="M669" s="215"/>
      <c r="N669" s="215"/>
      <c r="O669" s="215"/>
      <c r="P669" s="215"/>
      <c r="Q669" s="215"/>
      <c r="R669" s="216"/>
      <c r="S669" s="236"/>
      <c r="T669" s="236"/>
      <c r="U669" s="236">
        <v>3352217.2540547759</v>
      </c>
      <c r="V669" s="236">
        <v>6887566.779020207</v>
      </c>
      <c r="W669" s="236">
        <v>6496404.4927687179</v>
      </c>
      <c r="X669" s="236">
        <v>5632091.6849755347</v>
      </c>
      <c r="Y669" s="236">
        <v>5690238.5654356908</v>
      </c>
      <c r="Z669" s="236">
        <v>5259986.0181045346</v>
      </c>
      <c r="AA669" s="236">
        <v>4971733.5083698854</v>
      </c>
      <c r="AB669" s="236">
        <v>4708148.2204760779</v>
      </c>
      <c r="AC669" s="236">
        <v>4190748.0520710237</v>
      </c>
      <c r="AD669" s="236">
        <v>3675997.0186285153</v>
      </c>
      <c r="AE669" s="236">
        <v>3378338.8405812294</v>
      </c>
      <c r="AF669" s="236">
        <v>3112734.0481225448</v>
      </c>
      <c r="AG669" s="236">
        <v>2994289.5971522946</v>
      </c>
      <c r="AH669" s="236">
        <v>2886157.7611138718</v>
      </c>
      <c r="AI669" s="236">
        <v>2761421.5780206374</v>
      </c>
      <c r="AJ669" s="236">
        <v>2668145.2498116349</v>
      </c>
      <c r="AK669" s="236">
        <v>2525768.8547714055</v>
      </c>
      <c r="AL669" s="236">
        <v>2490045.9915130436</v>
      </c>
      <c r="AM669" s="236">
        <v>2374870.7446387117</v>
      </c>
      <c r="AN669" s="236">
        <v>1934958.8916209708</v>
      </c>
      <c r="AO669" s="236">
        <v>1930230.4636203786</v>
      </c>
      <c r="AP669" s="236">
        <v>1929668.2104659011</v>
      </c>
      <c r="AQ669" s="236">
        <v>1682792.9514249214</v>
      </c>
      <c r="AR669" s="236">
        <v>1436578.4007818308</v>
      </c>
      <c r="AS669" s="236">
        <v>1435084.1390626582</v>
      </c>
      <c r="AT669" s="236">
        <v>1209427.693115843</v>
      </c>
      <c r="AU669" s="236">
        <v>622580.90439466166</v>
      </c>
      <c r="AV669" s="236">
        <v>261183.45615427426</v>
      </c>
      <c r="AW669" s="236">
        <v>259401.58760181585</v>
      </c>
      <c r="AX669" s="236">
        <v>257589.54671361367</v>
      </c>
      <c r="AY669" s="236"/>
      <c r="AZ669" s="236"/>
      <c r="BA669" s="236"/>
      <c r="BB669" s="236"/>
      <c r="BC669" s="236"/>
      <c r="BD669" s="236"/>
      <c r="BE669" s="236"/>
      <c r="BF669" s="236"/>
      <c r="BG669" s="236"/>
      <c r="BH669" s="236"/>
      <c r="BI669" s="236"/>
      <c r="BJ669" s="236"/>
      <c r="BK669" s="236"/>
    </row>
    <row r="670" spans="1:63">
      <c r="A670" s="169"/>
      <c r="B670" s="307" t="s">
        <v>29</v>
      </c>
      <c r="C670" s="313"/>
      <c r="D670" s="314"/>
      <c r="E670" s="314"/>
      <c r="F670" s="314"/>
      <c r="G670" s="314"/>
      <c r="H670" s="314"/>
      <c r="I670" s="314"/>
      <c r="J670" s="314"/>
      <c r="K670" s="314"/>
      <c r="L670" s="314"/>
      <c r="M670" s="314"/>
      <c r="N670" s="314"/>
      <c r="O670" s="314"/>
      <c r="P670" s="314"/>
      <c r="Q670" s="314"/>
      <c r="R670" s="314"/>
      <c r="S670" s="311"/>
      <c r="T670" s="311"/>
      <c r="U670" s="311">
        <f>+U668+U669</f>
        <v>6323405.3950437615</v>
      </c>
      <c r="V670" s="311">
        <f t="shared" ref="V670:AX670" si="114">+V668+V669</f>
        <v>12571608.069625713</v>
      </c>
      <c r="W670" s="311">
        <f t="shared" si="114"/>
        <v>18531392.82135921</v>
      </c>
      <c r="X670" s="311">
        <f t="shared" si="114"/>
        <v>8776932.0989171192</v>
      </c>
      <c r="Y670" s="311">
        <f t="shared" si="114"/>
        <v>13099291.067636419</v>
      </c>
      <c r="Z670" s="311">
        <f t="shared" si="114"/>
        <v>18640271.636808701</v>
      </c>
      <c r="AA670" s="311">
        <f t="shared" si="114"/>
        <v>11076235.249348337</v>
      </c>
      <c r="AB670" s="311">
        <f t="shared" si="114"/>
        <v>18026719.35150395</v>
      </c>
      <c r="AC670" s="311">
        <f t="shared" si="114"/>
        <v>19550566.808899119</v>
      </c>
      <c r="AD670" s="311">
        <f t="shared" si="114"/>
        <v>9381590.0921497773</v>
      </c>
      <c r="AE670" s="311">
        <f t="shared" si="114"/>
        <v>14688584.837897036</v>
      </c>
      <c r="AF670" s="311">
        <f t="shared" si="114"/>
        <v>6353408.8885271251</v>
      </c>
      <c r="AG670" s="311">
        <f t="shared" si="114"/>
        <v>6664964.0275604157</v>
      </c>
      <c r="AH670" s="311">
        <f t="shared" si="114"/>
        <v>6464217.0675369203</v>
      </c>
      <c r="AI670" s="311">
        <f t="shared" si="114"/>
        <v>4951584.1060227565</v>
      </c>
      <c r="AJ670" s="311">
        <f t="shared" si="114"/>
        <v>5770149.8447864987</v>
      </c>
      <c r="AK670" s="311">
        <f t="shared" si="114"/>
        <v>5611157.1343557378</v>
      </c>
      <c r="AL670" s="311">
        <f t="shared" si="114"/>
        <v>7852098.4706345461</v>
      </c>
      <c r="AM670" s="311">
        <f t="shared" si="114"/>
        <v>8644440.5643046349</v>
      </c>
      <c r="AN670" s="311">
        <f t="shared" si="114"/>
        <v>2168733.5789166661</v>
      </c>
      <c r="AO670" s="311">
        <f t="shared" si="114"/>
        <v>2011603.8542494073</v>
      </c>
      <c r="AP670" s="311">
        <f t="shared" si="114"/>
        <v>2011041.6010949297</v>
      </c>
      <c r="AQ670" s="311">
        <f t="shared" si="114"/>
        <v>9757241.3420539498</v>
      </c>
      <c r="AR670" s="311">
        <f t="shared" si="114"/>
        <v>1517951.7914108594</v>
      </c>
      <c r="AS670" s="311">
        <f t="shared" si="114"/>
        <v>1515876.2184989639</v>
      </c>
      <c r="AT670" s="311">
        <f t="shared" si="114"/>
        <v>9282656.0235525034</v>
      </c>
      <c r="AU670" s="311">
        <f t="shared" si="114"/>
        <v>15090269.234831322</v>
      </c>
      <c r="AV670" s="311">
        <f t="shared" si="114"/>
        <v>341336.7865909345</v>
      </c>
      <c r="AW670" s="311">
        <f t="shared" si="114"/>
        <v>339554.91803847603</v>
      </c>
      <c r="AX670" s="311">
        <f t="shared" si="114"/>
        <v>337742.87715027388</v>
      </c>
      <c r="AY670" s="311"/>
      <c r="AZ670" s="311"/>
      <c r="BA670" s="311"/>
      <c r="BB670" s="311"/>
      <c r="BC670" s="311"/>
      <c r="BD670" s="311"/>
      <c r="BE670" s="311"/>
      <c r="BF670" s="311"/>
      <c r="BG670" s="311"/>
      <c r="BH670" s="311"/>
      <c r="BI670" s="311"/>
      <c r="BJ670" s="311"/>
      <c r="BK670" s="311"/>
    </row>
    <row r="671" spans="1:63">
      <c r="A671" s="167"/>
      <c r="B671" s="210" t="s">
        <v>28</v>
      </c>
      <c r="C671" s="211"/>
      <c r="D671" s="212"/>
      <c r="E671" s="212"/>
      <c r="F671" s="212"/>
      <c r="G671" s="212"/>
      <c r="H671" s="212"/>
      <c r="I671" s="212"/>
      <c r="J671" s="212"/>
      <c r="K671" s="212"/>
      <c r="L671" s="212"/>
      <c r="M671" s="212"/>
      <c r="N671" s="212"/>
      <c r="O671" s="212"/>
      <c r="P671" s="212"/>
      <c r="Q671" s="212"/>
      <c r="R671" s="212"/>
      <c r="S671" s="235"/>
      <c r="T671" s="235"/>
      <c r="U671" s="235">
        <v>2975885.4701953349</v>
      </c>
      <c r="V671" s="235">
        <v>5852163.5362636466</v>
      </c>
      <c r="W671" s="235">
        <v>12318920.298534662</v>
      </c>
      <c r="X671" s="235">
        <v>3227744.5127365445</v>
      </c>
      <c r="Y671" s="235">
        <v>7592963.9779775105</v>
      </c>
      <c r="Z671" s="235">
        <v>13781741.128272831</v>
      </c>
      <c r="AA671" s="235">
        <v>6279256.6549741663</v>
      </c>
      <c r="AB671" s="235">
        <v>13568092.406503294</v>
      </c>
      <c r="AC671" s="235">
        <v>15763029.208131313</v>
      </c>
      <c r="AD671" s="235">
        <v>5870963.6797966538</v>
      </c>
      <c r="AE671" s="235">
        <v>11652823.55809458</v>
      </c>
      <c r="AF671" s="235">
        <v>3341591.1459409539</v>
      </c>
      <c r="AG671" s="235">
        <v>3777786.5432340652</v>
      </c>
      <c r="AH671" s="235">
        <v>3684409.2216257267</v>
      </c>
      <c r="AI671" s="235">
        <v>2254520.7779953298</v>
      </c>
      <c r="AJ671" s="235">
        <v>3194774.2219136897</v>
      </c>
      <c r="AK671" s="235">
        <v>3106779.3593832408</v>
      </c>
      <c r="AL671" s="235">
        <v>5382476.1649135407</v>
      </c>
      <c r="AM671" s="235">
        <v>6461037.408460957</v>
      </c>
      <c r="AN671" s="235">
        <v>238716.52143757723</v>
      </c>
      <c r="AO671" s="235">
        <v>81566.671437577272</v>
      </c>
      <c r="AP671" s="235">
        <v>81566.671437577272</v>
      </c>
      <c r="AQ671" s="235">
        <v>8323691.6714375764</v>
      </c>
      <c r="AR671" s="235">
        <v>81566.671437577272</v>
      </c>
      <c r="AS671" s="235">
        <v>80967.247622046794</v>
      </c>
      <c r="AT671" s="235">
        <v>8322433.5963396924</v>
      </c>
      <c r="AU671" s="235">
        <v>14916133.596339691</v>
      </c>
      <c r="AV671" s="235">
        <v>80308.596339692638</v>
      </c>
      <c r="AW671" s="235">
        <v>80308.596339692638</v>
      </c>
      <c r="AX671" s="235">
        <v>80308.596339692638</v>
      </c>
      <c r="AY671" s="235">
        <v>5025583.5963396924</v>
      </c>
      <c r="AZ671" s="235">
        <v>50520.896143413149</v>
      </c>
      <c r="BA671" s="235"/>
      <c r="BB671" s="235"/>
      <c r="BC671" s="235"/>
      <c r="BD671" s="235"/>
      <c r="BE671" s="235"/>
      <c r="BF671" s="235"/>
      <c r="BG671" s="235"/>
      <c r="BH671" s="235"/>
      <c r="BI671" s="235"/>
      <c r="BJ671" s="235"/>
      <c r="BK671" s="235"/>
    </row>
    <row r="672" spans="1:63">
      <c r="A672" s="168">
        <v>43647</v>
      </c>
      <c r="B672" s="213" t="s">
        <v>385</v>
      </c>
      <c r="C672" s="214"/>
      <c r="D672" s="215"/>
      <c r="E672" s="215"/>
      <c r="F672" s="215"/>
      <c r="G672" s="215"/>
      <c r="H672" s="215"/>
      <c r="I672" s="215"/>
      <c r="J672" s="215"/>
      <c r="K672" s="215"/>
      <c r="L672" s="215"/>
      <c r="M672" s="215"/>
      <c r="N672" s="215"/>
      <c r="O672" s="215"/>
      <c r="P672" s="215"/>
      <c r="Q672" s="215"/>
      <c r="R672" s="216"/>
      <c r="S672" s="236"/>
      <c r="T672" s="236"/>
      <c r="U672" s="236">
        <v>2717694.0836572326</v>
      </c>
      <c r="V672" s="236">
        <v>7061286.8755030259</v>
      </c>
      <c r="W672" s="236">
        <v>6728797.0658965977</v>
      </c>
      <c r="X672" s="236">
        <v>5956914.6246951921</v>
      </c>
      <c r="Y672" s="236">
        <v>5907132.4277399741</v>
      </c>
      <c r="Z672" s="236">
        <v>5444818.7612749068</v>
      </c>
      <c r="AA672" s="236">
        <v>5096152.1877191467</v>
      </c>
      <c r="AB672" s="236">
        <v>4810219.0746531822</v>
      </c>
      <c r="AC672" s="236">
        <v>4286577.8077069959</v>
      </c>
      <c r="AD672" s="236">
        <v>3757576.6006551855</v>
      </c>
      <c r="AE672" s="236">
        <v>3450059.3305199351</v>
      </c>
      <c r="AF672" s="236">
        <v>3176605.1091943141</v>
      </c>
      <c r="AG672" s="236">
        <v>3053743.3156807348</v>
      </c>
      <c r="AH672" s="236">
        <v>2942666.4764532377</v>
      </c>
      <c r="AI672" s="236">
        <v>2813641.9691930641</v>
      </c>
      <c r="AJ672" s="236">
        <v>2723084.732422546</v>
      </c>
      <c r="AK672" s="236">
        <v>2584930.1321625654</v>
      </c>
      <c r="AL672" s="236">
        <v>2551228.8508535712</v>
      </c>
      <c r="AM672" s="236">
        <v>2445777.9432111382</v>
      </c>
      <c r="AN672" s="236">
        <v>1992487.9397896365</v>
      </c>
      <c r="AO672" s="236">
        <v>1987834.9089956712</v>
      </c>
      <c r="AP672" s="236">
        <v>1987431.0461314793</v>
      </c>
      <c r="AQ672" s="236">
        <v>1733052.3762804335</v>
      </c>
      <c r="AR672" s="236">
        <v>1479359.7496421842</v>
      </c>
      <c r="AS672" s="236">
        <v>1478019.3695216731</v>
      </c>
      <c r="AT672" s="236">
        <v>1245541.982911896</v>
      </c>
      <c r="AU672" s="236">
        <v>640631.80735861661</v>
      </c>
      <c r="AV672" s="236">
        <v>268202.88267010025</v>
      </c>
      <c r="AW672" s="236">
        <v>266603.45849901059</v>
      </c>
      <c r="AX672" s="236">
        <v>265403.98405502923</v>
      </c>
      <c r="AY672" s="236">
        <v>130814.98173266045</v>
      </c>
      <c r="AZ672" s="236">
        <v>550.63019335772674</v>
      </c>
      <c r="BA672" s="236"/>
      <c r="BB672" s="236"/>
      <c r="BC672" s="236"/>
      <c r="BD672" s="236"/>
      <c r="BE672" s="236"/>
      <c r="BF672" s="236"/>
      <c r="BG672" s="236"/>
      <c r="BH672" s="236"/>
      <c r="BI672" s="236"/>
      <c r="BJ672" s="236"/>
      <c r="BK672" s="236"/>
    </row>
    <row r="673" spans="1:63">
      <c r="A673" s="169"/>
      <c r="B673" s="307" t="s">
        <v>29</v>
      </c>
      <c r="C673" s="313"/>
      <c r="D673" s="314"/>
      <c r="E673" s="314"/>
      <c r="F673" s="314"/>
      <c r="G673" s="314"/>
      <c r="H673" s="314"/>
      <c r="I673" s="314"/>
      <c r="J673" s="314"/>
      <c r="K673" s="314"/>
      <c r="L673" s="314"/>
      <c r="M673" s="314"/>
      <c r="N673" s="314"/>
      <c r="O673" s="314"/>
      <c r="P673" s="314"/>
      <c r="Q673" s="314"/>
      <c r="R673" s="314"/>
      <c r="S673" s="311"/>
      <c r="T673" s="311"/>
      <c r="U673" s="311">
        <f>(U671+U672)</f>
        <v>5693579.5538525674</v>
      </c>
      <c r="V673" s="311">
        <f t="shared" ref="V673:AZ673" si="115">(V671+V672)</f>
        <v>12913450.411766673</v>
      </c>
      <c r="W673" s="311">
        <f t="shared" si="115"/>
        <v>19047717.364431258</v>
      </c>
      <c r="X673" s="311">
        <f t="shared" si="115"/>
        <v>9184659.137431737</v>
      </c>
      <c r="Y673" s="311">
        <f t="shared" si="115"/>
        <v>13500096.405717485</v>
      </c>
      <c r="Z673" s="311">
        <f t="shared" si="115"/>
        <v>19226559.889547739</v>
      </c>
      <c r="AA673" s="311">
        <f t="shared" si="115"/>
        <v>11375408.842693314</v>
      </c>
      <c r="AB673" s="311">
        <f t="shared" si="115"/>
        <v>18378311.481156476</v>
      </c>
      <c r="AC673" s="311">
        <f t="shared" si="115"/>
        <v>20049607.01583831</v>
      </c>
      <c r="AD673" s="311">
        <f t="shared" si="115"/>
        <v>9628540.2804518398</v>
      </c>
      <c r="AE673" s="311">
        <f t="shared" si="115"/>
        <v>15102882.888614515</v>
      </c>
      <c r="AF673" s="311">
        <f t="shared" si="115"/>
        <v>6518196.255135268</v>
      </c>
      <c r="AG673" s="311">
        <f t="shared" si="115"/>
        <v>6831529.8589148</v>
      </c>
      <c r="AH673" s="311">
        <f t="shared" si="115"/>
        <v>6627075.6980789639</v>
      </c>
      <c r="AI673" s="311">
        <f t="shared" si="115"/>
        <v>5068162.747188394</v>
      </c>
      <c r="AJ673" s="311">
        <f t="shared" si="115"/>
        <v>5917858.9543362353</v>
      </c>
      <c r="AK673" s="311">
        <f t="shared" si="115"/>
        <v>5691709.4915458057</v>
      </c>
      <c r="AL673" s="311">
        <f t="shared" si="115"/>
        <v>7933705.0157671124</v>
      </c>
      <c r="AM673" s="311">
        <f t="shared" si="115"/>
        <v>8906815.3516720943</v>
      </c>
      <c r="AN673" s="311">
        <f t="shared" si="115"/>
        <v>2231204.461227214</v>
      </c>
      <c r="AO673" s="311">
        <f t="shared" si="115"/>
        <v>2069401.5804332485</v>
      </c>
      <c r="AP673" s="311">
        <f t="shared" si="115"/>
        <v>2068997.7175690567</v>
      </c>
      <c r="AQ673" s="311">
        <f t="shared" si="115"/>
        <v>10056744.047718011</v>
      </c>
      <c r="AR673" s="311">
        <f t="shared" si="115"/>
        <v>1560926.4210797616</v>
      </c>
      <c r="AS673" s="311">
        <f t="shared" si="115"/>
        <v>1558986.6171437199</v>
      </c>
      <c r="AT673" s="311">
        <f t="shared" si="115"/>
        <v>9567975.5792515874</v>
      </c>
      <c r="AU673" s="311">
        <f t="shared" si="115"/>
        <v>15556765.403698308</v>
      </c>
      <c r="AV673" s="311">
        <f t="shared" si="115"/>
        <v>348511.47900979291</v>
      </c>
      <c r="AW673" s="311">
        <f t="shared" si="115"/>
        <v>346912.05483870325</v>
      </c>
      <c r="AX673" s="311">
        <f t="shared" si="115"/>
        <v>345712.58039472188</v>
      </c>
      <c r="AY673" s="311">
        <f t="shared" si="115"/>
        <v>5156398.5780723533</v>
      </c>
      <c r="AZ673" s="311">
        <f t="shared" si="115"/>
        <v>51071.526336770876</v>
      </c>
      <c r="BA673" s="311"/>
      <c r="BB673" s="311"/>
      <c r="BC673" s="311"/>
      <c r="BD673" s="311"/>
      <c r="BE673" s="311"/>
      <c r="BF673" s="311"/>
      <c r="BG673" s="311"/>
      <c r="BH673" s="311"/>
      <c r="BI673" s="311"/>
      <c r="BJ673" s="311"/>
      <c r="BK673" s="311"/>
    </row>
    <row r="674" spans="1:63">
      <c r="A674" s="167"/>
      <c r="B674" s="210" t="s">
        <v>28</v>
      </c>
      <c r="C674" s="211"/>
      <c r="D674" s="212"/>
      <c r="E674" s="212"/>
      <c r="F674" s="212"/>
      <c r="G674" s="212"/>
      <c r="H674" s="212"/>
      <c r="I674" s="212"/>
      <c r="J674" s="212"/>
      <c r="K674" s="212"/>
      <c r="L674" s="212"/>
      <c r="M674" s="212"/>
      <c r="N674" s="212"/>
      <c r="O674" s="212"/>
      <c r="P674" s="212"/>
      <c r="Q674" s="212"/>
      <c r="R674" s="212"/>
      <c r="S674" s="235"/>
      <c r="T674" s="235"/>
      <c r="U674" s="235">
        <v>2773891.4435040266</v>
      </c>
      <c r="V674" s="235">
        <v>6138192.9711200958</v>
      </c>
      <c r="W674" s="235">
        <v>12805823.423666527</v>
      </c>
      <c r="X674" s="235">
        <v>3379281.1655571689</v>
      </c>
      <c r="Y674" s="235">
        <v>7914912.6099537406</v>
      </c>
      <c r="Z674" s="235">
        <v>14469881.84060473</v>
      </c>
      <c r="AA674" s="235">
        <v>6586872.7774619367</v>
      </c>
      <c r="AB674" s="235">
        <v>14168166.797399489</v>
      </c>
      <c r="AC674" s="235">
        <v>16454263.454378208</v>
      </c>
      <c r="AD674" s="235">
        <v>6157894.6044983789</v>
      </c>
      <c r="AE674" s="235">
        <v>12236052.549683299</v>
      </c>
      <c r="AF674" s="235">
        <v>3505899.9335284019</v>
      </c>
      <c r="AG674" s="235">
        <v>3965293.9193994096</v>
      </c>
      <c r="AH674" s="235">
        <v>3868594.6461729454</v>
      </c>
      <c r="AI674" s="235">
        <v>2366914.0682934322</v>
      </c>
      <c r="AJ674" s="235">
        <v>3354881.0573123368</v>
      </c>
      <c r="AK674" s="235">
        <v>3225851.5335422964</v>
      </c>
      <c r="AL674" s="235">
        <v>5579919.7152083907</v>
      </c>
      <c r="AM674" s="235">
        <v>6786890.099470662</v>
      </c>
      <c r="AN674" s="235">
        <v>249621.55935086179</v>
      </c>
      <c r="AO674" s="235">
        <v>84497.076017528452</v>
      </c>
      <c r="AP674" s="235">
        <v>84497.076017528452</v>
      </c>
      <c r="AQ674" s="235">
        <v>8744872.0760175288</v>
      </c>
      <c r="AR674" s="235">
        <v>84497.076017528452</v>
      </c>
      <c r="AS674" s="235">
        <v>83867.234195616649</v>
      </c>
      <c r="AT674" s="235">
        <v>8743550.1593848821</v>
      </c>
      <c r="AU674" s="235">
        <v>15671850.159384884</v>
      </c>
      <c r="AV674" s="235">
        <v>83175.159384883009</v>
      </c>
      <c r="AW674" s="235">
        <v>83175.159384883009</v>
      </c>
      <c r="AX674" s="235">
        <v>83175.159384883009</v>
      </c>
      <c r="AY674" s="235">
        <v>5279400.159384883</v>
      </c>
      <c r="AZ674" s="235">
        <v>52342.595013892518</v>
      </c>
      <c r="BA674" s="235"/>
      <c r="BB674" s="235"/>
      <c r="BC674" s="235"/>
      <c r="BD674" s="235"/>
      <c r="BE674" s="235"/>
      <c r="BF674" s="235"/>
      <c r="BG674" s="235"/>
      <c r="BH674" s="235"/>
      <c r="BI674" s="235"/>
      <c r="BJ674" s="235"/>
      <c r="BK674" s="235"/>
    </row>
    <row r="675" spans="1:63">
      <c r="A675" s="168">
        <v>43678</v>
      </c>
      <c r="B675" s="213" t="s">
        <v>385</v>
      </c>
      <c r="C675" s="214"/>
      <c r="D675" s="215"/>
      <c r="E675" s="215"/>
      <c r="F675" s="215"/>
      <c r="G675" s="215"/>
      <c r="H675" s="215"/>
      <c r="I675" s="215"/>
      <c r="J675" s="215"/>
      <c r="K675" s="215"/>
      <c r="L675" s="215"/>
      <c r="M675" s="215"/>
      <c r="N675" s="215"/>
      <c r="O675" s="215"/>
      <c r="P675" s="215"/>
      <c r="Q675" s="215"/>
      <c r="R675" s="216"/>
      <c r="S675" s="236"/>
      <c r="T675" s="236"/>
      <c r="U675" s="236">
        <v>2067314.0481760625</v>
      </c>
      <c r="V675" s="236">
        <v>7345385.5516470689</v>
      </c>
      <c r="W675" s="236">
        <v>6962273.1912961192</v>
      </c>
      <c r="X675" s="236">
        <v>6034907.2281758925</v>
      </c>
      <c r="Y675" s="236">
        <v>6057647.9226825414</v>
      </c>
      <c r="Z675" s="236">
        <v>5566555.4964112109</v>
      </c>
      <c r="AA675" s="236">
        <v>5182456.1547311386</v>
      </c>
      <c r="AB675" s="236">
        <v>4878737.9315498946</v>
      </c>
      <c r="AC675" s="236">
        <v>4354431.3753179479</v>
      </c>
      <c r="AD675" s="236">
        <v>3806171.3326405655</v>
      </c>
      <c r="AE675" s="236">
        <v>3483157.362899303</v>
      </c>
      <c r="AF675" s="236">
        <v>3210250.6584402123</v>
      </c>
      <c r="AG675" s="236">
        <v>3101281.9291334874</v>
      </c>
      <c r="AH675" s="236">
        <v>3004115.0534300646</v>
      </c>
      <c r="AI675" s="236">
        <v>2880574.6675635241</v>
      </c>
      <c r="AJ675" s="236">
        <v>2793059.2741493178</v>
      </c>
      <c r="AK675" s="236">
        <v>2676756.223628243</v>
      </c>
      <c r="AL675" s="236">
        <v>2648990.7180808992</v>
      </c>
      <c r="AM675" s="236">
        <v>2562573.9788887575</v>
      </c>
      <c r="AN675" s="236">
        <v>2088384.5371219194</v>
      </c>
      <c r="AO675" s="236">
        <v>2084464.6831376899</v>
      </c>
      <c r="AP675" s="236">
        <v>2084302.9506381119</v>
      </c>
      <c r="AQ675" s="236">
        <v>1817299.3089497893</v>
      </c>
      <c r="AR675" s="236">
        <v>1551034.2388055469</v>
      </c>
      <c r="AS675" s="236">
        <v>1549945.3850240044</v>
      </c>
      <c r="AT675" s="236">
        <v>1306014.5278613374</v>
      </c>
      <c r="AU675" s="236">
        <v>670777.06433564436</v>
      </c>
      <c r="AV675" s="236">
        <v>279837.76600768161</v>
      </c>
      <c r="AW675" s="236">
        <v>278568.24332084419</v>
      </c>
      <c r="AX675" s="236">
        <v>278008.96878630127</v>
      </c>
      <c r="AY675" s="236">
        <v>137344.38207279466</v>
      </c>
      <c r="AZ675" s="236">
        <v>429.06525387591552</v>
      </c>
      <c r="BA675" s="236"/>
      <c r="BB675" s="236"/>
      <c r="BC675" s="236"/>
      <c r="BD675" s="236"/>
      <c r="BE675" s="236"/>
      <c r="BF675" s="236"/>
      <c r="BG675" s="236"/>
      <c r="BH675" s="236"/>
      <c r="BI675" s="236"/>
      <c r="BJ675" s="236"/>
      <c r="BK675" s="236"/>
    </row>
    <row r="676" spans="1:63">
      <c r="A676" s="169"/>
      <c r="B676" s="307" t="s">
        <v>29</v>
      </c>
      <c r="C676" s="313"/>
      <c r="D676" s="314"/>
      <c r="E676" s="314"/>
      <c r="F676" s="314"/>
      <c r="G676" s="314"/>
      <c r="H676" s="314"/>
      <c r="I676" s="314"/>
      <c r="J676" s="314"/>
      <c r="K676" s="314"/>
      <c r="L676" s="314"/>
      <c r="M676" s="314"/>
      <c r="N676" s="314"/>
      <c r="O676" s="314"/>
      <c r="P676" s="314"/>
      <c r="Q676" s="314"/>
      <c r="R676" s="314"/>
      <c r="S676" s="311"/>
      <c r="T676" s="311"/>
      <c r="U676" s="311">
        <f>+U675+U674</f>
        <v>4841205.4916800894</v>
      </c>
      <c r="V676" s="311">
        <f t="shared" ref="V676:AZ676" si="116">+V675+V674</f>
        <v>13483578.522767164</v>
      </c>
      <c r="W676" s="311">
        <f t="shared" si="116"/>
        <v>19768096.614962645</v>
      </c>
      <c r="X676" s="311">
        <f t="shared" si="116"/>
        <v>9414188.3937330619</v>
      </c>
      <c r="Y676" s="311">
        <f t="shared" si="116"/>
        <v>13972560.532636281</v>
      </c>
      <c r="Z676" s="311">
        <f t="shared" si="116"/>
        <v>20036437.337015942</v>
      </c>
      <c r="AA676" s="311">
        <f t="shared" si="116"/>
        <v>11769328.932193074</v>
      </c>
      <c r="AB676" s="311">
        <f t="shared" si="116"/>
        <v>19046904.728949383</v>
      </c>
      <c r="AC676" s="311">
        <f t="shared" si="116"/>
        <v>20808694.829696156</v>
      </c>
      <c r="AD676" s="311">
        <f t="shared" si="116"/>
        <v>9964065.9371389449</v>
      </c>
      <c r="AE676" s="311">
        <f t="shared" si="116"/>
        <v>15719209.912582602</v>
      </c>
      <c r="AF676" s="311">
        <f t="shared" si="116"/>
        <v>6716150.5919686146</v>
      </c>
      <c r="AG676" s="311">
        <f t="shared" si="116"/>
        <v>7066575.8485328965</v>
      </c>
      <c r="AH676" s="311">
        <f t="shared" si="116"/>
        <v>6872709.69960301</v>
      </c>
      <c r="AI676" s="311">
        <f t="shared" si="116"/>
        <v>5247488.7358569559</v>
      </c>
      <c r="AJ676" s="311">
        <f t="shared" si="116"/>
        <v>6147940.331461655</v>
      </c>
      <c r="AK676" s="311">
        <f t="shared" si="116"/>
        <v>5902607.7571705393</v>
      </c>
      <c r="AL676" s="311">
        <f t="shared" si="116"/>
        <v>8228910.4332892895</v>
      </c>
      <c r="AM676" s="311">
        <f t="shared" si="116"/>
        <v>9349464.0783594195</v>
      </c>
      <c r="AN676" s="311">
        <f t="shared" si="116"/>
        <v>2338006.0964727812</v>
      </c>
      <c r="AO676" s="311">
        <f t="shared" si="116"/>
        <v>2168961.7591552185</v>
      </c>
      <c r="AP676" s="311">
        <f t="shared" si="116"/>
        <v>2168800.0266556405</v>
      </c>
      <c r="AQ676" s="311">
        <f t="shared" si="116"/>
        <v>10562171.384967318</v>
      </c>
      <c r="AR676" s="311">
        <f t="shared" si="116"/>
        <v>1635531.3148230754</v>
      </c>
      <c r="AS676" s="311">
        <f t="shared" si="116"/>
        <v>1633812.6192196209</v>
      </c>
      <c r="AT676" s="311">
        <f t="shared" si="116"/>
        <v>10049564.68724622</v>
      </c>
      <c r="AU676" s="311">
        <f t="shared" si="116"/>
        <v>16342627.223720528</v>
      </c>
      <c r="AV676" s="311">
        <f t="shared" si="116"/>
        <v>363012.92539256462</v>
      </c>
      <c r="AW676" s="311">
        <f t="shared" si="116"/>
        <v>361743.4027057272</v>
      </c>
      <c r="AX676" s="311">
        <f t="shared" si="116"/>
        <v>361184.12817118427</v>
      </c>
      <c r="AY676" s="311">
        <f t="shared" si="116"/>
        <v>5416744.5414576773</v>
      </c>
      <c r="AZ676" s="311">
        <f t="shared" si="116"/>
        <v>52771.660267768435</v>
      </c>
      <c r="BA676" s="311"/>
      <c r="BB676" s="311"/>
      <c r="BC676" s="311"/>
      <c r="BD676" s="311"/>
      <c r="BE676" s="311"/>
      <c r="BF676" s="311"/>
      <c r="BG676" s="311"/>
      <c r="BH676" s="311"/>
      <c r="BI676" s="311"/>
      <c r="BJ676" s="311"/>
      <c r="BK676" s="311"/>
    </row>
    <row r="677" spans="1:63">
      <c r="A677" s="167"/>
      <c r="B677" s="210" t="s">
        <v>28</v>
      </c>
      <c r="C677" s="211"/>
      <c r="D677" s="212"/>
      <c r="E677" s="212"/>
      <c r="F677" s="212"/>
      <c r="G677" s="212"/>
      <c r="H677" s="212"/>
      <c r="I677" s="212"/>
      <c r="J677" s="212"/>
      <c r="K677" s="212"/>
      <c r="L677" s="212"/>
      <c r="M677" s="212"/>
      <c r="N677" s="212"/>
      <c r="O677" s="212"/>
      <c r="P677" s="212"/>
      <c r="Q677" s="212"/>
      <c r="R677" s="212"/>
      <c r="S677" s="235"/>
      <c r="T677" s="235"/>
      <c r="U677" s="235">
        <v>2588052.1906330967</v>
      </c>
      <c r="V677" s="235">
        <v>6137711.7423941707</v>
      </c>
      <c r="W677" s="235">
        <v>12803344.241820617</v>
      </c>
      <c r="X677" s="235">
        <v>3381183.8897816585</v>
      </c>
      <c r="Y677" s="235">
        <v>7914667.7488785619</v>
      </c>
      <c r="Z677" s="235">
        <v>14464988.001167605</v>
      </c>
      <c r="AA677" s="235">
        <v>6586702.2643023338</v>
      </c>
      <c r="AB677" s="235">
        <v>14180448.608288324</v>
      </c>
      <c r="AC677" s="235">
        <v>16458519.633717915</v>
      </c>
      <c r="AD677" s="235">
        <v>6167321.2067443039</v>
      </c>
      <c r="AE677" s="235">
        <v>12241011.260817455</v>
      </c>
      <c r="AF677" s="235">
        <v>3516606.1053002086</v>
      </c>
      <c r="AG677" s="235">
        <v>5014252.9509309651</v>
      </c>
      <c r="AH677" s="235">
        <v>3876134.2477297271</v>
      </c>
      <c r="AI677" s="235">
        <v>2375319.718378901</v>
      </c>
      <c r="AJ677" s="235">
        <v>3362953.1483093048</v>
      </c>
      <c r="AK677" s="235">
        <v>3237419.0211935304</v>
      </c>
      <c r="AL677" s="235">
        <v>5593780.2473991672</v>
      </c>
      <c r="AM677" s="235">
        <v>6792566.0922081191</v>
      </c>
      <c r="AN677" s="235">
        <v>259254.69176872665</v>
      </c>
      <c r="AO677" s="235">
        <v>94232.21510205997</v>
      </c>
      <c r="AP677" s="235">
        <v>94232.21510205997</v>
      </c>
      <c r="AQ677" s="235">
        <v>8749257.2151020598</v>
      </c>
      <c r="AR677" s="235">
        <v>94232.21510205997</v>
      </c>
      <c r="AS677" s="235">
        <v>93602.762368813186</v>
      </c>
      <c r="AT677" s="235">
        <v>8743257.7231996637</v>
      </c>
      <c r="AU677" s="235">
        <v>15662599.331307776</v>
      </c>
      <c r="AV677" s="235">
        <v>83554.331307772954</v>
      </c>
      <c r="AW677" s="235">
        <v>83554.331307772954</v>
      </c>
      <c r="AX677" s="235">
        <v>83554.331307772954</v>
      </c>
      <c r="AY677" s="235">
        <v>5276569.3313077725</v>
      </c>
      <c r="AZ677" s="235">
        <v>43438.480154284793</v>
      </c>
      <c r="BA677" s="235"/>
      <c r="BB677" s="235"/>
      <c r="BC677" s="235"/>
      <c r="BD677" s="235"/>
      <c r="BE677" s="235"/>
      <c r="BF677" s="235"/>
      <c r="BG677" s="235"/>
      <c r="BH677" s="235"/>
      <c r="BI677" s="235"/>
      <c r="BJ677" s="235"/>
      <c r="BK677" s="235"/>
    </row>
    <row r="678" spans="1:63">
      <c r="A678" s="168">
        <v>43738</v>
      </c>
      <c r="B678" s="213" t="s">
        <v>385</v>
      </c>
      <c r="C678" s="214"/>
      <c r="D678" s="215"/>
      <c r="E678" s="215"/>
      <c r="F678" s="215"/>
      <c r="G678" s="215"/>
      <c r="H678" s="215"/>
      <c r="I678" s="215"/>
      <c r="J678" s="215"/>
      <c r="K678" s="215"/>
      <c r="L678" s="215"/>
      <c r="M678" s="215"/>
      <c r="N678" s="215"/>
      <c r="O678" s="215"/>
      <c r="P678" s="215"/>
      <c r="Q678" s="215"/>
      <c r="R678" s="216"/>
      <c r="S678" s="236"/>
      <c r="T678" s="236"/>
      <c r="U678" s="236">
        <v>1581991.115665291</v>
      </c>
      <c r="V678" s="236">
        <v>7576801.8240657849</v>
      </c>
      <c r="W678" s="236">
        <v>7226599.547514298</v>
      </c>
      <c r="X678" s="236">
        <v>6311941.8174297512</v>
      </c>
      <c r="Y678" s="236">
        <v>6308507.9745725468</v>
      </c>
      <c r="Z678" s="236">
        <v>5816911.1886970513</v>
      </c>
      <c r="AA678" s="236">
        <v>5412170.4907200271</v>
      </c>
      <c r="AB678" s="236">
        <v>5092838.7901689336</v>
      </c>
      <c r="AC678" s="236">
        <v>4533122.9682837445</v>
      </c>
      <c r="AD678" s="236">
        <v>3969898.0336417989</v>
      </c>
      <c r="AE678" s="236">
        <v>3631215.3205449176</v>
      </c>
      <c r="AF678" s="236">
        <v>3341016.1488241623</v>
      </c>
      <c r="AG678" s="236">
        <v>3211968.9588724677</v>
      </c>
      <c r="AH678" s="236">
        <v>3059673.9360115184</v>
      </c>
      <c r="AI678" s="236">
        <v>2921009.6757530994</v>
      </c>
      <c r="AJ678" s="236">
        <v>2825221.2236265447</v>
      </c>
      <c r="AK678" s="236">
        <v>2712509.4686481291</v>
      </c>
      <c r="AL678" s="236">
        <v>2672295.0840917057</v>
      </c>
      <c r="AM678" s="236">
        <v>2568090.8262959295</v>
      </c>
      <c r="AN678" s="236">
        <v>2091577.9022203796</v>
      </c>
      <c r="AO678" s="236">
        <v>2085858.5744859318</v>
      </c>
      <c r="AP678" s="236">
        <v>2085086.1236865153</v>
      </c>
      <c r="AQ678" s="236">
        <v>1817671.2326373442</v>
      </c>
      <c r="AR678" s="236">
        <v>1551047.4678909213</v>
      </c>
      <c r="AS678" s="236">
        <v>1549483.828284499</v>
      </c>
      <c r="AT678" s="236">
        <v>1305272.1723378028</v>
      </c>
      <c r="AU678" s="236">
        <v>670216.10662946908</v>
      </c>
      <c r="AV678" s="236">
        <v>279415.75784327509</v>
      </c>
      <c r="AW678" s="236">
        <v>278091.53405708127</v>
      </c>
      <c r="AX678" s="236">
        <v>277526.48246290855</v>
      </c>
      <c r="AY678" s="236">
        <v>137424.28781802676</v>
      </c>
      <c r="AZ678" s="236">
        <v>331.57186516621982</v>
      </c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</row>
    <row r="679" spans="1:63">
      <c r="A679" s="169"/>
      <c r="B679" s="307" t="s">
        <v>29</v>
      </c>
      <c r="C679" s="313"/>
      <c r="D679" s="314"/>
      <c r="E679" s="314"/>
      <c r="F679" s="314"/>
      <c r="G679" s="314"/>
      <c r="H679" s="314"/>
      <c r="I679" s="314"/>
      <c r="J679" s="314"/>
      <c r="K679" s="314"/>
      <c r="L679" s="314"/>
      <c r="M679" s="314"/>
      <c r="N679" s="314"/>
      <c r="O679" s="314"/>
      <c r="P679" s="314"/>
      <c r="Q679" s="314"/>
      <c r="R679" s="314"/>
      <c r="S679" s="311"/>
      <c r="T679" s="311"/>
      <c r="U679" s="311">
        <f>+U678+U677</f>
        <v>4170043.3062983877</v>
      </c>
      <c r="V679" s="311">
        <f t="shared" ref="V679:AZ679" si="117">+V678+V677</f>
        <v>13714513.566459956</v>
      </c>
      <c r="W679" s="311">
        <f t="shared" si="117"/>
        <v>20029943.789334916</v>
      </c>
      <c r="X679" s="311">
        <f t="shared" si="117"/>
        <v>9693125.7072114088</v>
      </c>
      <c r="Y679" s="311">
        <f t="shared" si="117"/>
        <v>14223175.723451108</v>
      </c>
      <c r="Z679" s="311">
        <f t="shared" si="117"/>
        <v>20281899.189864658</v>
      </c>
      <c r="AA679" s="311">
        <f t="shared" si="117"/>
        <v>11998872.755022362</v>
      </c>
      <c r="AB679" s="311">
        <f t="shared" si="117"/>
        <v>19273287.398457259</v>
      </c>
      <c r="AC679" s="311">
        <f t="shared" si="117"/>
        <v>20991642.60200166</v>
      </c>
      <c r="AD679" s="311">
        <f t="shared" si="117"/>
        <v>10137219.240386102</v>
      </c>
      <c r="AE679" s="311">
        <f t="shared" si="117"/>
        <v>15872226.581362372</v>
      </c>
      <c r="AF679" s="311">
        <f t="shared" si="117"/>
        <v>6857622.2541243713</v>
      </c>
      <c r="AG679" s="311">
        <f t="shared" si="117"/>
        <v>8226221.9098034333</v>
      </c>
      <c r="AH679" s="311">
        <f t="shared" si="117"/>
        <v>6935808.1837412454</v>
      </c>
      <c r="AI679" s="311">
        <f t="shared" si="117"/>
        <v>5296329.3941320004</v>
      </c>
      <c r="AJ679" s="311">
        <f t="shared" si="117"/>
        <v>6188174.37193585</v>
      </c>
      <c r="AK679" s="311">
        <f t="shared" si="117"/>
        <v>5949928.4898416596</v>
      </c>
      <c r="AL679" s="311">
        <f t="shared" si="117"/>
        <v>8266075.3314908724</v>
      </c>
      <c r="AM679" s="311">
        <f t="shared" si="117"/>
        <v>9360656.9185040481</v>
      </c>
      <c r="AN679" s="311">
        <f t="shared" si="117"/>
        <v>2350832.5939891064</v>
      </c>
      <c r="AO679" s="311">
        <f t="shared" si="117"/>
        <v>2180090.7895879918</v>
      </c>
      <c r="AP679" s="311">
        <f t="shared" si="117"/>
        <v>2179318.338788575</v>
      </c>
      <c r="AQ679" s="311">
        <f t="shared" si="117"/>
        <v>10566928.447739404</v>
      </c>
      <c r="AR679" s="311">
        <f t="shared" si="117"/>
        <v>1645279.6829929813</v>
      </c>
      <c r="AS679" s="311">
        <f t="shared" si="117"/>
        <v>1643086.5906533122</v>
      </c>
      <c r="AT679" s="311">
        <f t="shared" si="117"/>
        <v>10048529.895537466</v>
      </c>
      <c r="AU679" s="311">
        <f t="shared" si="117"/>
        <v>16332815.437937245</v>
      </c>
      <c r="AV679" s="311">
        <f t="shared" si="117"/>
        <v>362970.08915104804</v>
      </c>
      <c r="AW679" s="311">
        <f t="shared" si="117"/>
        <v>361645.86536485422</v>
      </c>
      <c r="AX679" s="311">
        <f t="shared" si="117"/>
        <v>361080.8137706815</v>
      </c>
      <c r="AY679" s="311">
        <f t="shared" si="117"/>
        <v>5413993.6191257993</v>
      </c>
      <c r="AZ679" s="311">
        <f t="shared" si="117"/>
        <v>43770.05201945101</v>
      </c>
      <c r="BA679" s="311"/>
      <c r="BB679" s="311"/>
      <c r="BC679" s="311"/>
      <c r="BD679" s="311"/>
      <c r="BE679" s="311"/>
      <c r="BF679" s="311"/>
      <c r="BG679" s="311"/>
      <c r="BH679" s="311"/>
      <c r="BI679" s="311"/>
      <c r="BJ679" s="311"/>
      <c r="BK679" s="311"/>
    </row>
    <row r="680" spans="1:63">
      <c r="A680" s="167"/>
      <c r="B680" s="210" t="s">
        <v>28</v>
      </c>
      <c r="C680" s="211"/>
      <c r="D680" s="212"/>
      <c r="E680" s="212"/>
      <c r="F680" s="212"/>
      <c r="G680" s="212"/>
      <c r="H680" s="212"/>
      <c r="I680" s="212"/>
      <c r="J680" s="212"/>
      <c r="K680" s="212"/>
      <c r="L680" s="212"/>
      <c r="M680" s="212"/>
      <c r="N680" s="212"/>
      <c r="O680" s="212"/>
      <c r="P680" s="212"/>
      <c r="Q680" s="212"/>
      <c r="R680" s="212"/>
      <c r="S680" s="235"/>
      <c r="T680" s="235"/>
      <c r="U680" s="235">
        <v>2279906.372774547</v>
      </c>
      <c r="V680" s="235">
        <v>6015920.5697871875</v>
      </c>
      <c r="W680" s="235">
        <v>12596401.783853417</v>
      </c>
      <c r="X680" s="235">
        <v>3319307.6065366119</v>
      </c>
      <c r="Y680" s="235">
        <v>7779941.2593774879</v>
      </c>
      <c r="Z680" s="235">
        <v>14173083.719274599</v>
      </c>
      <c r="AA680" s="235">
        <v>6458744.3240090385</v>
      </c>
      <c r="AB680" s="235">
        <v>13998675.801233878</v>
      </c>
      <c r="AC680" s="235">
        <v>16165129.562797846</v>
      </c>
      <c r="AD680" s="235">
        <v>6048434.7047589123</v>
      </c>
      <c r="AE680" s="235">
        <v>11993567.455990842</v>
      </c>
      <c r="AF680" s="235">
        <v>3449385.739217246</v>
      </c>
      <c r="AG680" s="235">
        <v>4915205.4037595466</v>
      </c>
      <c r="AH680" s="235">
        <v>3799244.1011699541</v>
      </c>
      <c r="AI680" s="235">
        <v>2328261.1620097947</v>
      </c>
      <c r="AJ680" s="235">
        <v>3294981.762301323</v>
      </c>
      <c r="AK680" s="235">
        <v>3208240.4039705866</v>
      </c>
      <c r="AL680" s="235">
        <v>5552260.7712711412</v>
      </c>
      <c r="AM680" s="235">
        <v>6653197.2087888904</v>
      </c>
      <c r="AN680" s="235">
        <v>254751.45903777968</v>
      </c>
      <c r="AO680" s="235">
        <v>93164.319037779671</v>
      </c>
      <c r="AP680" s="235">
        <v>93164.319037779671</v>
      </c>
      <c r="AQ680" s="235">
        <v>8568014.3190377783</v>
      </c>
      <c r="AR680" s="235">
        <v>93164.319037779671</v>
      </c>
      <c r="AS680" s="235">
        <v>92547.969865321298</v>
      </c>
      <c r="AT680" s="235">
        <v>8562139.7208767105</v>
      </c>
      <c r="AU680" s="235">
        <v>15337438.72087671</v>
      </c>
      <c r="AV680" s="235">
        <v>82708.720876709849</v>
      </c>
      <c r="AW680" s="235">
        <v>82708.720876709849</v>
      </c>
      <c r="AX680" s="235">
        <v>82708.720876709849</v>
      </c>
      <c r="AY680" s="235">
        <v>5167618.7208767096</v>
      </c>
      <c r="AZ680" s="235">
        <v>52028.76123721405</v>
      </c>
      <c r="BA680" s="235"/>
      <c r="BB680" s="235"/>
      <c r="BC680" s="235"/>
      <c r="BD680" s="235"/>
      <c r="BE680" s="235"/>
      <c r="BF680" s="235"/>
      <c r="BG680" s="235"/>
      <c r="BH680" s="235"/>
      <c r="BI680" s="235"/>
      <c r="BJ680" s="235"/>
      <c r="BK680" s="235"/>
    </row>
    <row r="681" spans="1:63">
      <c r="A681" s="168">
        <v>43769</v>
      </c>
      <c r="B681" s="213" t="s">
        <v>385</v>
      </c>
      <c r="C681" s="214"/>
      <c r="D681" s="215"/>
      <c r="E681" s="215"/>
      <c r="F681" s="215"/>
      <c r="G681" s="215"/>
      <c r="H681" s="215"/>
      <c r="I681" s="215"/>
      <c r="J681" s="215"/>
      <c r="K681" s="215"/>
      <c r="L681" s="215"/>
      <c r="M681" s="215"/>
      <c r="N681" s="215"/>
      <c r="O681" s="215"/>
      <c r="P681" s="215"/>
      <c r="Q681" s="215"/>
      <c r="R681" s="216"/>
      <c r="S681" s="236"/>
      <c r="T681" s="236"/>
      <c r="U681" s="236">
        <v>1171372.5716176108</v>
      </c>
      <c r="V681" s="236">
        <v>7298532.0657051597</v>
      </c>
      <c r="W681" s="236">
        <v>6933570.6743927514</v>
      </c>
      <c r="X681" s="236">
        <v>6082217.7275955118</v>
      </c>
      <c r="Y681" s="236">
        <v>6063963.6630123574</v>
      </c>
      <c r="Z681" s="236">
        <v>5596020.8362298068</v>
      </c>
      <c r="AA681" s="236">
        <v>5214221.5969861289</v>
      </c>
      <c r="AB681" s="236">
        <v>4910947.8648555186</v>
      </c>
      <c r="AC681" s="236">
        <v>4370977.245173933</v>
      </c>
      <c r="AD681" s="236">
        <v>3826085.557782664</v>
      </c>
      <c r="AE681" s="236">
        <v>3502739.0572242406</v>
      </c>
      <c r="AF681" s="236">
        <v>3224035.0299392552</v>
      </c>
      <c r="AG681" s="236">
        <v>3108399.5467435005</v>
      </c>
      <c r="AH681" s="236">
        <v>2976990.8148637479</v>
      </c>
      <c r="AI681" s="236">
        <v>2847293.6788786496</v>
      </c>
      <c r="AJ681" s="236">
        <v>2757862.6372992224</v>
      </c>
      <c r="AK681" s="236">
        <v>2650165.9107211814</v>
      </c>
      <c r="AL681" s="236">
        <v>2613331.4343691631</v>
      </c>
      <c r="AM681" s="236">
        <v>2512404.5800743774</v>
      </c>
      <c r="AN681" s="236">
        <v>2047353.2666927057</v>
      </c>
      <c r="AO681" s="236">
        <v>2042747.3597191984</v>
      </c>
      <c r="AP681" s="236">
        <v>2041977.7252998243</v>
      </c>
      <c r="AQ681" s="236">
        <v>1780114.8117685225</v>
      </c>
      <c r="AR681" s="236">
        <v>1519027.3715866243</v>
      </c>
      <c r="AS681" s="236">
        <v>1517482.1944768</v>
      </c>
      <c r="AT681" s="236">
        <v>1278340.8148450376</v>
      </c>
      <c r="AU681" s="236">
        <v>656489.60787747486</v>
      </c>
      <c r="AV681" s="236">
        <v>273810.02075835329</v>
      </c>
      <c r="AW681" s="236">
        <v>272498.68363923166</v>
      </c>
      <c r="AX681" s="236">
        <v>271931.22242580721</v>
      </c>
      <c r="AY681" s="236">
        <v>134730.40140098831</v>
      </c>
      <c r="AZ681" s="236">
        <v>402.0025699246209</v>
      </c>
      <c r="BA681" s="236"/>
      <c r="BB681" s="236"/>
      <c r="BC681" s="236"/>
      <c r="BD681" s="236"/>
      <c r="BE681" s="236"/>
      <c r="BF681" s="236"/>
      <c r="BG681" s="236"/>
      <c r="BH681" s="236"/>
      <c r="BI681" s="236"/>
      <c r="BJ681" s="236"/>
      <c r="BK681" s="236"/>
    </row>
    <row r="682" spans="1:63">
      <c r="A682" s="169"/>
      <c r="B682" s="307" t="s">
        <v>29</v>
      </c>
      <c r="C682" s="313"/>
      <c r="D682" s="314"/>
      <c r="E682" s="314"/>
      <c r="F682" s="314"/>
      <c r="G682" s="314"/>
      <c r="H682" s="314"/>
      <c r="I682" s="314"/>
      <c r="J682" s="314"/>
      <c r="K682" s="314"/>
      <c r="L682" s="314"/>
      <c r="M682" s="314"/>
      <c r="N682" s="314"/>
      <c r="O682" s="314"/>
      <c r="P682" s="314"/>
      <c r="Q682" s="314"/>
      <c r="R682" s="314"/>
      <c r="S682" s="311"/>
      <c r="T682" s="311"/>
      <c r="U682" s="311">
        <f>+U681+U680</f>
        <v>3451278.9443921577</v>
      </c>
      <c r="V682" s="311">
        <f t="shared" ref="V682:AZ682" si="118">+V681+V680</f>
        <v>13314452.635492347</v>
      </c>
      <c r="W682" s="311">
        <f t="shared" si="118"/>
        <v>19529972.458246168</v>
      </c>
      <c r="X682" s="311">
        <f t="shared" si="118"/>
        <v>9401525.3341321237</v>
      </c>
      <c r="Y682" s="311">
        <f t="shared" si="118"/>
        <v>13843904.922389846</v>
      </c>
      <c r="Z682" s="311">
        <f t="shared" si="118"/>
        <v>19769104.555504404</v>
      </c>
      <c r="AA682" s="311">
        <f t="shared" si="118"/>
        <v>11672965.920995168</v>
      </c>
      <c r="AB682" s="311">
        <f t="shared" si="118"/>
        <v>18909623.666089397</v>
      </c>
      <c r="AC682" s="311">
        <f t="shared" si="118"/>
        <v>20536106.807971779</v>
      </c>
      <c r="AD682" s="311">
        <f t="shared" si="118"/>
        <v>9874520.2625415772</v>
      </c>
      <c r="AE682" s="311">
        <f t="shared" si="118"/>
        <v>15496306.513215082</v>
      </c>
      <c r="AF682" s="311">
        <f t="shared" si="118"/>
        <v>6673420.7691565007</v>
      </c>
      <c r="AG682" s="311">
        <f t="shared" si="118"/>
        <v>8023604.9505030476</v>
      </c>
      <c r="AH682" s="311">
        <f t="shared" si="118"/>
        <v>6776234.916033702</v>
      </c>
      <c r="AI682" s="311">
        <f t="shared" si="118"/>
        <v>5175554.8408884443</v>
      </c>
      <c r="AJ682" s="311">
        <f t="shared" si="118"/>
        <v>6052844.3996005449</v>
      </c>
      <c r="AK682" s="311">
        <f t="shared" si="118"/>
        <v>5858406.314691768</v>
      </c>
      <c r="AL682" s="311">
        <f t="shared" si="118"/>
        <v>8165592.2056403048</v>
      </c>
      <c r="AM682" s="311">
        <f t="shared" si="118"/>
        <v>9165601.7888632677</v>
      </c>
      <c r="AN682" s="311">
        <f t="shared" si="118"/>
        <v>2302104.7257304853</v>
      </c>
      <c r="AO682" s="311">
        <f t="shared" si="118"/>
        <v>2135911.6787569779</v>
      </c>
      <c r="AP682" s="311">
        <f t="shared" si="118"/>
        <v>2135142.0443376037</v>
      </c>
      <c r="AQ682" s="311">
        <f t="shared" si="118"/>
        <v>10348129.130806301</v>
      </c>
      <c r="AR682" s="311">
        <f t="shared" si="118"/>
        <v>1612191.690624404</v>
      </c>
      <c r="AS682" s="311">
        <f t="shared" si="118"/>
        <v>1610030.1643421212</v>
      </c>
      <c r="AT682" s="311">
        <f t="shared" si="118"/>
        <v>9840480.5357217491</v>
      </c>
      <c r="AU682" s="311">
        <f t="shared" si="118"/>
        <v>15993928.328754185</v>
      </c>
      <c r="AV682" s="311">
        <f t="shared" si="118"/>
        <v>356518.74163506314</v>
      </c>
      <c r="AW682" s="311">
        <f t="shared" si="118"/>
        <v>355207.40451594151</v>
      </c>
      <c r="AX682" s="311">
        <f t="shared" si="118"/>
        <v>354639.94330251706</v>
      </c>
      <c r="AY682" s="311">
        <f t="shared" si="118"/>
        <v>5302349.1222776975</v>
      </c>
      <c r="AZ682" s="311">
        <f t="shared" si="118"/>
        <v>52430.763807138668</v>
      </c>
      <c r="BA682" s="311"/>
      <c r="BB682" s="311"/>
      <c r="BC682" s="311"/>
      <c r="BD682" s="311"/>
      <c r="BE682" s="311"/>
      <c r="BF682" s="311"/>
      <c r="BG682" s="311"/>
      <c r="BH682" s="311"/>
      <c r="BI682" s="311"/>
      <c r="BJ682" s="311"/>
      <c r="BK682" s="311"/>
    </row>
    <row r="683" spans="1:63">
      <c r="A683" s="167"/>
      <c r="B683" s="210" t="s">
        <v>28</v>
      </c>
      <c r="C683" s="211"/>
      <c r="D683" s="212"/>
      <c r="E683" s="212"/>
      <c r="F683" s="212"/>
      <c r="G683" s="212"/>
      <c r="H683" s="212"/>
      <c r="I683" s="212"/>
      <c r="J683" s="212"/>
      <c r="K683" s="212"/>
      <c r="L683" s="212"/>
      <c r="M683" s="212"/>
      <c r="N683" s="212"/>
      <c r="O683" s="212"/>
      <c r="P683" s="212"/>
      <c r="Q683" s="212"/>
      <c r="R683" s="212"/>
      <c r="S683" s="235"/>
      <c r="T683" s="235"/>
      <c r="U683" s="235">
        <v>274061.54713869613</v>
      </c>
      <c r="V683" s="235">
        <v>6243326.185583056</v>
      </c>
      <c r="W683" s="235">
        <v>12929822.129865205</v>
      </c>
      <c r="X683" s="235">
        <v>3426607.6648601666</v>
      </c>
      <c r="Y683" s="235">
        <v>8027442.2075348282</v>
      </c>
      <c r="Z683" s="235">
        <v>14641305.733917354</v>
      </c>
      <c r="AA683" s="235">
        <v>6669877.5675189691</v>
      </c>
      <c r="AB683" s="235">
        <v>14435000.961746842</v>
      </c>
      <c r="AC683" s="235">
        <v>16635619.134768544</v>
      </c>
      <c r="AD683" s="235">
        <v>6246563.0384849813</v>
      </c>
      <c r="AE683" s="235">
        <v>12390122.372921528</v>
      </c>
      <c r="AF683" s="235">
        <v>3572147.6865933239</v>
      </c>
      <c r="AG683" s="235">
        <v>5074764.7446206221</v>
      </c>
      <c r="AH683" s="235">
        <v>3924303.4410024532</v>
      </c>
      <c r="AI683" s="235">
        <v>2403396.4496594416</v>
      </c>
      <c r="AJ683" s="235">
        <v>3402335.9368392359</v>
      </c>
      <c r="AK683" s="235">
        <v>3300375.2290362478</v>
      </c>
      <c r="AL683" s="235">
        <v>6339219.0641363943</v>
      </c>
      <c r="AM683" s="235">
        <v>7501686.1799528478</v>
      </c>
      <c r="AN683" s="235">
        <v>892046.33381131268</v>
      </c>
      <c r="AO683" s="235">
        <v>725073.81381131255</v>
      </c>
      <c r="AP683" s="235">
        <v>95861.8088113126</v>
      </c>
      <c r="AQ683" s="235">
        <v>8853161.8088113125</v>
      </c>
      <c r="AR683" s="235">
        <v>95861.8088113126</v>
      </c>
      <c r="AS683" s="235">
        <v>95224.917939147344</v>
      </c>
      <c r="AT683" s="235">
        <v>8847091.4219046477</v>
      </c>
      <c r="AU683" s="235">
        <v>15848197.746228972</v>
      </c>
      <c r="AV683" s="235">
        <v>85057.746228973469</v>
      </c>
      <c r="AW683" s="235">
        <v>85057.746228973469</v>
      </c>
      <c r="AX683" s="235">
        <v>85057.746228973469</v>
      </c>
      <c r="AY683" s="235">
        <v>5339437.7462289734</v>
      </c>
      <c r="AZ683" s="235">
        <v>53512.628752169083</v>
      </c>
      <c r="BA683" s="235"/>
      <c r="BB683" s="235"/>
      <c r="BC683" s="235"/>
      <c r="BD683" s="235"/>
      <c r="BE683" s="235"/>
      <c r="BF683" s="235"/>
      <c r="BG683" s="235"/>
      <c r="BH683" s="235"/>
      <c r="BI683" s="235"/>
      <c r="BJ683" s="235"/>
      <c r="BK683" s="235"/>
    </row>
    <row r="684" spans="1:63">
      <c r="A684" s="168">
        <v>43799</v>
      </c>
      <c r="B684" s="213" t="s">
        <v>385</v>
      </c>
      <c r="C684" s="214"/>
      <c r="D684" s="215"/>
      <c r="E684" s="215"/>
      <c r="F684" s="215"/>
      <c r="G684" s="215"/>
      <c r="H684" s="215"/>
      <c r="I684" s="215"/>
      <c r="J684" s="215"/>
      <c r="K684" s="215"/>
      <c r="L684" s="215"/>
      <c r="M684" s="215"/>
      <c r="N684" s="215"/>
      <c r="O684" s="215"/>
      <c r="P684" s="215"/>
      <c r="Q684" s="215"/>
      <c r="R684" s="216"/>
      <c r="S684" s="236"/>
      <c r="T684" s="236"/>
      <c r="U684" s="236">
        <v>648834.59115930996</v>
      </c>
      <c r="V684" s="236">
        <v>7563657.0090215886</v>
      </c>
      <c r="W684" s="236">
        <v>7296390.1442070268</v>
      </c>
      <c r="X684" s="236">
        <v>6391560.9979522731</v>
      </c>
      <c r="Y684" s="236">
        <v>6352148.1374904122</v>
      </c>
      <c r="Z684" s="236">
        <v>5893133.5674976306</v>
      </c>
      <c r="AA684" s="236">
        <v>5512721.7726715822</v>
      </c>
      <c r="AB684" s="236">
        <v>5207052.193738346</v>
      </c>
      <c r="AC684" s="236">
        <v>4623115.2255054303</v>
      </c>
      <c r="AD684" s="236">
        <v>4065529.9750265609</v>
      </c>
      <c r="AE684" s="236">
        <v>3730727.4170147814</v>
      </c>
      <c r="AF684" s="236">
        <v>3440765.5761954575</v>
      </c>
      <c r="AG684" s="236">
        <v>3313956.5411131764</v>
      </c>
      <c r="AH684" s="236">
        <v>3167860.9805849898</v>
      </c>
      <c r="AI684" s="236">
        <v>3029079.1969111203</v>
      </c>
      <c r="AJ684" s="236">
        <v>2936234.2442748114</v>
      </c>
      <c r="AK684" s="236">
        <v>2814898.5730270371</v>
      </c>
      <c r="AL684" s="236">
        <v>2769766.2590094404</v>
      </c>
      <c r="AM684" s="236">
        <v>2646651.3680877662</v>
      </c>
      <c r="AN684" s="236">
        <v>2147315.2043565814</v>
      </c>
      <c r="AO684" s="236">
        <v>2123968.6789883221</v>
      </c>
      <c r="AP684" s="236">
        <v>2109321.5817517922</v>
      </c>
      <c r="AQ684" s="236">
        <v>1838890.5974482801</v>
      </c>
      <c r="AR684" s="236">
        <v>1569258.8746321823</v>
      </c>
      <c r="AS684" s="236">
        <v>1567819.444972402</v>
      </c>
      <c r="AT684" s="236">
        <v>1320864.9075286838</v>
      </c>
      <c r="AU684" s="236">
        <v>678333.22194506903</v>
      </c>
      <c r="AV684" s="236">
        <v>282906.37362153485</v>
      </c>
      <c r="AW684" s="236">
        <v>281558.02529800055</v>
      </c>
      <c r="AX684" s="236">
        <v>280978.29686280573</v>
      </c>
      <c r="AY684" s="236">
        <v>139211.584650932</v>
      </c>
      <c r="AZ684" s="236">
        <v>413.36306342612181</v>
      </c>
      <c r="BA684" s="236"/>
      <c r="BB684" s="236"/>
      <c r="BC684" s="236"/>
      <c r="BD684" s="236"/>
      <c r="BE684" s="236"/>
      <c r="BF684" s="236"/>
      <c r="BG684" s="236"/>
      <c r="BH684" s="236"/>
      <c r="BI684" s="236"/>
      <c r="BJ684" s="236"/>
      <c r="BK684" s="236"/>
    </row>
    <row r="685" spans="1:63">
      <c r="A685" s="169"/>
      <c r="B685" s="307" t="s">
        <v>29</v>
      </c>
      <c r="C685" s="313"/>
      <c r="D685" s="314"/>
      <c r="E685" s="314"/>
      <c r="F685" s="314"/>
      <c r="G685" s="314"/>
      <c r="H685" s="314"/>
      <c r="I685" s="314"/>
      <c r="J685" s="314"/>
      <c r="K685" s="314"/>
      <c r="L685" s="314"/>
      <c r="M685" s="314"/>
      <c r="N685" s="314"/>
      <c r="O685" s="314"/>
      <c r="P685" s="314"/>
      <c r="Q685" s="314"/>
      <c r="R685" s="314"/>
      <c r="S685" s="311"/>
      <c r="T685" s="311"/>
      <c r="U685" s="311">
        <f>+U684+U683</f>
        <v>922896.13829800603</v>
      </c>
      <c r="V685" s="311">
        <f t="shared" ref="V685:AZ685" si="119">+V684+V683</f>
        <v>13806983.194604645</v>
      </c>
      <c r="W685" s="311">
        <f t="shared" si="119"/>
        <v>20226212.27407223</v>
      </c>
      <c r="X685" s="311">
        <f t="shared" si="119"/>
        <v>9818168.6628124397</v>
      </c>
      <c r="Y685" s="311">
        <f t="shared" si="119"/>
        <v>14379590.345025241</v>
      </c>
      <c r="Z685" s="311">
        <f t="shared" si="119"/>
        <v>20534439.301414985</v>
      </c>
      <c r="AA685" s="311">
        <f t="shared" si="119"/>
        <v>12182599.340190552</v>
      </c>
      <c r="AB685" s="311">
        <f t="shared" si="119"/>
        <v>19642053.155485187</v>
      </c>
      <c r="AC685" s="311">
        <f t="shared" si="119"/>
        <v>21258734.360273972</v>
      </c>
      <c r="AD685" s="311">
        <f t="shared" si="119"/>
        <v>10312093.013511542</v>
      </c>
      <c r="AE685" s="311">
        <f t="shared" si="119"/>
        <v>16120849.78993631</v>
      </c>
      <c r="AF685" s="311">
        <f t="shared" si="119"/>
        <v>7012913.2627887819</v>
      </c>
      <c r="AG685" s="311">
        <f t="shared" si="119"/>
        <v>8388721.2857337985</v>
      </c>
      <c r="AH685" s="311">
        <f t="shared" si="119"/>
        <v>7092164.421587443</v>
      </c>
      <c r="AI685" s="311">
        <f t="shared" si="119"/>
        <v>5432475.6465705615</v>
      </c>
      <c r="AJ685" s="311">
        <f t="shared" si="119"/>
        <v>6338570.1811140478</v>
      </c>
      <c r="AK685" s="311">
        <f t="shared" si="119"/>
        <v>6115273.8020632844</v>
      </c>
      <c r="AL685" s="311">
        <f t="shared" si="119"/>
        <v>9108985.3231458347</v>
      </c>
      <c r="AM685" s="311">
        <f t="shared" si="119"/>
        <v>10148337.548040614</v>
      </c>
      <c r="AN685" s="311">
        <f t="shared" si="119"/>
        <v>3039361.5381678939</v>
      </c>
      <c r="AO685" s="311">
        <f t="shared" si="119"/>
        <v>2849042.4927996346</v>
      </c>
      <c r="AP685" s="311">
        <f t="shared" si="119"/>
        <v>2205183.3905631048</v>
      </c>
      <c r="AQ685" s="311">
        <f t="shared" si="119"/>
        <v>10692052.406259593</v>
      </c>
      <c r="AR685" s="311">
        <f t="shared" si="119"/>
        <v>1665120.6834434948</v>
      </c>
      <c r="AS685" s="311">
        <f t="shared" si="119"/>
        <v>1663044.3629115494</v>
      </c>
      <c r="AT685" s="311">
        <f t="shared" si="119"/>
        <v>10167956.329433331</v>
      </c>
      <c r="AU685" s="311">
        <f t="shared" si="119"/>
        <v>16526530.968174042</v>
      </c>
      <c r="AV685" s="311">
        <f t="shared" si="119"/>
        <v>367964.11985050829</v>
      </c>
      <c r="AW685" s="311">
        <f t="shared" si="119"/>
        <v>366615.77152697404</v>
      </c>
      <c r="AX685" s="311">
        <f t="shared" si="119"/>
        <v>366036.04309177923</v>
      </c>
      <c r="AY685" s="311">
        <f t="shared" si="119"/>
        <v>5478649.3308799053</v>
      </c>
      <c r="AZ685" s="311">
        <f t="shared" si="119"/>
        <v>53925.991815595204</v>
      </c>
      <c r="BA685" s="311"/>
      <c r="BB685" s="311"/>
      <c r="BC685" s="311"/>
      <c r="BD685" s="311"/>
      <c r="BE685" s="311"/>
      <c r="BF685" s="311"/>
      <c r="BG685" s="311"/>
      <c r="BH685" s="311"/>
      <c r="BI685" s="311"/>
      <c r="BJ685" s="311"/>
      <c r="BK685" s="311"/>
    </row>
    <row r="686" spans="1:63">
      <c r="A686" s="167"/>
      <c r="B686" s="210" t="s">
        <v>28</v>
      </c>
      <c r="C686" s="211"/>
      <c r="D686" s="212"/>
      <c r="E686" s="212"/>
      <c r="F686" s="212"/>
      <c r="G686" s="212"/>
      <c r="H686" s="212"/>
      <c r="I686" s="212"/>
      <c r="J686" s="212"/>
      <c r="K686" s="212"/>
      <c r="L686" s="212"/>
      <c r="M686" s="212"/>
      <c r="N686" s="212"/>
      <c r="O686" s="212"/>
      <c r="P686" s="212"/>
      <c r="Q686" s="212"/>
      <c r="R686" s="212"/>
      <c r="S686" s="235"/>
      <c r="T686" s="235"/>
      <c r="U686" s="235"/>
      <c r="V686" s="235">
        <v>5850471.0639797365</v>
      </c>
      <c r="W686" s="235">
        <v>12266846.966098059</v>
      </c>
      <c r="X686" s="235">
        <v>3216307.4273697534</v>
      </c>
      <c r="Y686" s="235">
        <v>7585858.73039327</v>
      </c>
      <c r="Z686" s="235">
        <v>13706698.432034394</v>
      </c>
      <c r="AA686" s="235">
        <v>6389515.97248872</v>
      </c>
      <c r="AB686" s="235">
        <v>13734995.377820466</v>
      </c>
      <c r="AC686" s="235">
        <v>15837220.441552266</v>
      </c>
      <c r="AD686" s="235">
        <v>5993523.7854765449</v>
      </c>
      <c r="AE686" s="235">
        <v>11751140.695807712</v>
      </c>
      <c r="AF686" s="235">
        <v>3514145.5741959298</v>
      </c>
      <c r="AG686" s="235">
        <v>4937570.1811354114</v>
      </c>
      <c r="AH686" s="235">
        <v>3814933.319507624</v>
      </c>
      <c r="AI686" s="235">
        <v>2391391.087293183</v>
      </c>
      <c r="AJ686" s="235">
        <v>3330169.7972889026</v>
      </c>
      <c r="AK686" s="235">
        <v>3268294.2408420914</v>
      </c>
      <c r="AL686" s="235">
        <v>6149951.6972238841</v>
      </c>
      <c r="AM686" s="235">
        <v>7160686.7542513795</v>
      </c>
      <c r="AN686" s="235">
        <v>976258.54562303459</v>
      </c>
      <c r="AO686" s="235">
        <v>679599.34848017734</v>
      </c>
      <c r="AP686" s="235">
        <v>90943.075980177397</v>
      </c>
      <c r="AQ686" s="235">
        <v>8283793.0759801762</v>
      </c>
      <c r="AR686" s="235">
        <v>90943.075980177397</v>
      </c>
      <c r="AS686" s="235">
        <v>90347.235780341944</v>
      </c>
      <c r="AT686" s="235">
        <v>8278113.9546336122</v>
      </c>
      <c r="AU686" s="235">
        <v>14827965.387066046</v>
      </c>
      <c r="AV686" s="235">
        <v>80835.387066046664</v>
      </c>
      <c r="AW686" s="235">
        <v>80835.387066046664</v>
      </c>
      <c r="AX686" s="235">
        <v>80835.387066046664</v>
      </c>
      <c r="AY686" s="235">
        <v>4996545.3870660458</v>
      </c>
      <c r="AZ686" s="235">
        <v>50836.973930446868</v>
      </c>
      <c r="BA686" s="235"/>
      <c r="BB686" s="235"/>
      <c r="BC686" s="235"/>
      <c r="BD686" s="235"/>
      <c r="BE686" s="235"/>
      <c r="BF686" s="235"/>
      <c r="BG686" s="235"/>
      <c r="BH686" s="235"/>
      <c r="BI686" s="235"/>
      <c r="BJ686" s="235"/>
      <c r="BK686" s="235"/>
    </row>
    <row r="687" spans="1:63">
      <c r="A687" s="168">
        <v>43830</v>
      </c>
      <c r="B687" s="213" t="s">
        <v>385</v>
      </c>
      <c r="C687" s="214"/>
      <c r="D687" s="215"/>
      <c r="E687" s="215"/>
      <c r="F687" s="215"/>
      <c r="G687" s="215"/>
      <c r="H687" s="215"/>
      <c r="I687" s="215"/>
      <c r="J687" s="215"/>
      <c r="K687" s="215"/>
      <c r="L687" s="215"/>
      <c r="M687" s="215"/>
      <c r="N687" s="215"/>
      <c r="O687" s="215"/>
      <c r="P687" s="215"/>
      <c r="Q687" s="215"/>
      <c r="R687" s="216"/>
      <c r="S687" s="236"/>
      <c r="T687" s="236"/>
      <c r="U687" s="236"/>
      <c r="V687" s="236">
        <v>7178368.1540187541</v>
      </c>
      <c r="W687" s="236">
        <v>6958502.7659658166</v>
      </c>
      <c r="X687" s="236">
        <v>6130512.9754029317</v>
      </c>
      <c r="Y687" s="236">
        <v>6055378.2388198618</v>
      </c>
      <c r="Z687" s="236">
        <v>5643768.9119043713</v>
      </c>
      <c r="AA687" s="236">
        <v>5289187.2326709805</v>
      </c>
      <c r="AB687" s="236">
        <v>5003988.3588320715</v>
      </c>
      <c r="AC687" s="236">
        <v>4447800.7837170875</v>
      </c>
      <c r="AD687" s="236">
        <v>3909806.3547710851</v>
      </c>
      <c r="AE687" s="236">
        <v>3591672.7292287489</v>
      </c>
      <c r="AF687" s="236">
        <v>3301257.8275403939</v>
      </c>
      <c r="AG687" s="236">
        <v>3169149.5881648897</v>
      </c>
      <c r="AH687" s="236">
        <v>3018804.8463937202</v>
      </c>
      <c r="AI687" s="236">
        <v>2880702.1031341432</v>
      </c>
      <c r="AJ687" s="236">
        <v>2788484.8159074727</v>
      </c>
      <c r="AK687" s="236">
        <v>2661862.4366322085</v>
      </c>
      <c r="AL687" s="236">
        <v>2612322.8385686683</v>
      </c>
      <c r="AM687" s="236">
        <v>2489150.3598559471</v>
      </c>
      <c r="AN687" s="236">
        <v>2015742.8238098843</v>
      </c>
      <c r="AO687" s="236">
        <v>1989003.6888263396</v>
      </c>
      <c r="AP687" s="236">
        <v>1974182.0804355019</v>
      </c>
      <c r="AQ687" s="236">
        <v>1721017.519710222</v>
      </c>
      <c r="AR687" s="236">
        <v>1468603.0382029305</v>
      </c>
      <c r="AS687" s="236">
        <v>1467094.5659473494</v>
      </c>
      <c r="AT687" s="236">
        <v>1235896.2089198031</v>
      </c>
      <c r="AU687" s="236">
        <v>634722.35864205228</v>
      </c>
      <c r="AV687" s="236">
        <v>264761.97199754894</v>
      </c>
      <c r="AW687" s="236">
        <v>263479.83535304549</v>
      </c>
      <c r="AX687" s="236">
        <v>262916.92556640907</v>
      </c>
      <c r="AY687" s="236">
        <v>130266.91406403873</v>
      </c>
      <c r="AZ687" s="236">
        <v>393.01991367939229</v>
      </c>
      <c r="BA687" s="236"/>
      <c r="BB687" s="236"/>
      <c r="BC687" s="236"/>
      <c r="BD687" s="236"/>
      <c r="BE687" s="236"/>
      <c r="BF687" s="236"/>
      <c r="BG687" s="236"/>
      <c r="BH687" s="236"/>
      <c r="BI687" s="236"/>
      <c r="BJ687" s="236"/>
      <c r="BK687" s="236"/>
    </row>
    <row r="688" spans="1:63">
      <c r="A688" s="169"/>
      <c r="B688" s="307" t="s">
        <v>29</v>
      </c>
      <c r="C688" s="313"/>
      <c r="D688" s="314"/>
      <c r="E688" s="314"/>
      <c r="F688" s="314"/>
      <c r="G688" s="314"/>
      <c r="H688" s="314"/>
      <c r="I688" s="314"/>
      <c r="J688" s="314"/>
      <c r="K688" s="314"/>
      <c r="L688" s="314"/>
      <c r="M688" s="314"/>
      <c r="N688" s="314"/>
      <c r="O688" s="314"/>
      <c r="P688" s="314"/>
      <c r="Q688" s="314"/>
      <c r="R688" s="314"/>
      <c r="S688" s="311"/>
      <c r="T688" s="311"/>
      <c r="U688" s="311"/>
      <c r="V688" s="311">
        <f t="shared" ref="V688:AZ688" si="120">+V687+V686</f>
        <v>13028839.21799849</v>
      </c>
      <c r="W688" s="311">
        <f t="shared" si="120"/>
        <v>19225349.732063875</v>
      </c>
      <c r="X688" s="311">
        <f t="shared" si="120"/>
        <v>9346820.4027726855</v>
      </c>
      <c r="Y688" s="311">
        <f t="shared" si="120"/>
        <v>13641236.969213132</v>
      </c>
      <c r="Z688" s="311">
        <f t="shared" si="120"/>
        <v>19350467.343938764</v>
      </c>
      <c r="AA688" s="311">
        <f t="shared" si="120"/>
        <v>11678703.205159701</v>
      </c>
      <c r="AB688" s="311">
        <f t="shared" si="120"/>
        <v>18738983.736652538</v>
      </c>
      <c r="AC688" s="311">
        <f t="shared" si="120"/>
        <v>20285021.225269355</v>
      </c>
      <c r="AD688" s="311">
        <f t="shared" si="120"/>
        <v>9903330.14024763</v>
      </c>
      <c r="AE688" s="311">
        <f t="shared" si="120"/>
        <v>15342813.42503646</v>
      </c>
      <c r="AF688" s="311">
        <f t="shared" si="120"/>
        <v>6815403.4017363237</v>
      </c>
      <c r="AG688" s="311">
        <f t="shared" si="120"/>
        <v>8106719.7693003006</v>
      </c>
      <c r="AH688" s="311">
        <f t="shared" si="120"/>
        <v>6833738.1659013443</v>
      </c>
      <c r="AI688" s="311">
        <f t="shared" si="120"/>
        <v>5272093.1904273257</v>
      </c>
      <c r="AJ688" s="311">
        <f t="shared" si="120"/>
        <v>6118654.6131963748</v>
      </c>
      <c r="AK688" s="311">
        <f t="shared" si="120"/>
        <v>5930156.6774742994</v>
      </c>
      <c r="AL688" s="311">
        <f t="shared" si="120"/>
        <v>8762274.5357925519</v>
      </c>
      <c r="AM688" s="311">
        <f t="shared" si="120"/>
        <v>9649837.1141073257</v>
      </c>
      <c r="AN688" s="311">
        <f t="shared" si="120"/>
        <v>2992001.3694329187</v>
      </c>
      <c r="AO688" s="311">
        <f t="shared" si="120"/>
        <v>2668603.0373065169</v>
      </c>
      <c r="AP688" s="311">
        <f t="shared" si="120"/>
        <v>2065125.1564156793</v>
      </c>
      <c r="AQ688" s="311">
        <f t="shared" si="120"/>
        <v>10004810.595690398</v>
      </c>
      <c r="AR688" s="311">
        <f t="shared" si="120"/>
        <v>1559546.1141831079</v>
      </c>
      <c r="AS688" s="311">
        <f t="shared" si="120"/>
        <v>1557441.8017276914</v>
      </c>
      <c r="AT688" s="311">
        <f t="shared" si="120"/>
        <v>9514010.1635534149</v>
      </c>
      <c r="AU688" s="311">
        <f t="shared" si="120"/>
        <v>15462687.745708099</v>
      </c>
      <c r="AV688" s="311">
        <f t="shared" si="120"/>
        <v>345597.35906359559</v>
      </c>
      <c r="AW688" s="311">
        <f t="shared" si="120"/>
        <v>344315.22241909214</v>
      </c>
      <c r="AX688" s="311">
        <f t="shared" si="120"/>
        <v>343752.31263245572</v>
      </c>
      <c r="AY688" s="311">
        <f t="shared" si="120"/>
        <v>5126812.3011300843</v>
      </c>
      <c r="AZ688" s="311">
        <f t="shared" si="120"/>
        <v>51229.993844126257</v>
      </c>
      <c r="BA688" s="311"/>
      <c r="BB688" s="311"/>
      <c r="BC688" s="311"/>
      <c r="BD688" s="311"/>
      <c r="BE688" s="311"/>
      <c r="BF688" s="311"/>
      <c r="BG688" s="311"/>
      <c r="BH688" s="311"/>
      <c r="BI688" s="311"/>
      <c r="BJ688" s="311"/>
      <c r="BK688" s="311"/>
    </row>
    <row r="689" spans="1:63">
      <c r="A689" s="167"/>
      <c r="B689" s="210" t="s">
        <v>28</v>
      </c>
      <c r="C689" s="211"/>
      <c r="D689" s="212"/>
      <c r="E689" s="212"/>
      <c r="F689" s="212"/>
      <c r="G689" s="212"/>
      <c r="H689" s="212"/>
      <c r="I689" s="212"/>
      <c r="J689" s="212"/>
      <c r="K689" s="212"/>
      <c r="L689" s="212"/>
      <c r="M689" s="212"/>
      <c r="N689" s="212"/>
      <c r="O689" s="212"/>
      <c r="P689" s="212"/>
      <c r="Q689" s="212"/>
      <c r="R689" s="212"/>
      <c r="S689" s="235"/>
      <c r="T689" s="235"/>
      <c r="U689" s="235"/>
      <c r="V689" s="235">
        <v>6013682.1471863128</v>
      </c>
      <c r="W689" s="235">
        <v>10906873.005000895</v>
      </c>
      <c r="X689" s="235">
        <v>3341836.494154912</v>
      </c>
      <c r="Y689" s="235">
        <v>7848954.1210298249</v>
      </c>
      <c r="Z689" s="235">
        <v>14263079.441621523</v>
      </c>
      <c r="AA689" s="235">
        <v>6704828.3203971805</v>
      </c>
      <c r="AB689" s="235">
        <v>14353447.080120921</v>
      </c>
      <c r="AC689" s="235">
        <v>16519397.76049654</v>
      </c>
      <c r="AD689" s="235">
        <v>6351151.7870526453</v>
      </c>
      <c r="AE689" s="235">
        <v>12347126.730192164</v>
      </c>
      <c r="AF689" s="235">
        <v>9036512.9365250655</v>
      </c>
      <c r="AG689" s="235">
        <v>5254996.966720866</v>
      </c>
      <c r="AH689" s="235">
        <v>4087054.4110663771</v>
      </c>
      <c r="AI689" s="235">
        <v>2605581.5864115204</v>
      </c>
      <c r="AJ689" s="235">
        <v>3582562.3937850306</v>
      </c>
      <c r="AK689" s="235">
        <v>3491703.9487643111</v>
      </c>
      <c r="AL689" s="235">
        <v>6464350.4479899155</v>
      </c>
      <c r="AM689" s="235">
        <v>7570343.6809438458</v>
      </c>
      <c r="AN689" s="235">
        <v>1133022.4725580432</v>
      </c>
      <c r="AO689" s="235">
        <v>824205.02255804301</v>
      </c>
      <c r="AP689" s="235">
        <v>93787.109411491387</v>
      </c>
      <c r="AQ689" s="235">
        <v>8622412.1094114892</v>
      </c>
      <c r="AR689" s="235">
        <v>93787.109411491387</v>
      </c>
      <c r="AS689" s="235">
        <v>93166.849352498277</v>
      </c>
      <c r="AT689" s="235">
        <v>8616500.2354855277</v>
      </c>
      <c r="AU689" s="235">
        <v>15434790.167917961</v>
      </c>
      <c r="AV689" s="235">
        <v>83265.167917960047</v>
      </c>
      <c r="AW689" s="235">
        <v>83265.167917960047</v>
      </c>
      <c r="AX689" s="235">
        <v>83265.167917960047</v>
      </c>
      <c r="AY689" s="235">
        <v>6223875.1679179594</v>
      </c>
      <c r="AZ689" s="235">
        <v>52378.319335658554</v>
      </c>
      <c r="BA689" s="235"/>
      <c r="BB689" s="235"/>
      <c r="BC689" s="235"/>
      <c r="BD689" s="235"/>
      <c r="BE689" s="235"/>
      <c r="BF689" s="235"/>
      <c r="BG689" s="235"/>
      <c r="BH689" s="235"/>
      <c r="BI689" s="235"/>
      <c r="BJ689" s="235"/>
      <c r="BK689" s="235"/>
    </row>
    <row r="690" spans="1:63">
      <c r="A690" s="168">
        <v>43861</v>
      </c>
      <c r="B690" s="213" t="s">
        <v>385</v>
      </c>
      <c r="C690" s="214"/>
      <c r="D690" s="215"/>
      <c r="E690" s="215"/>
      <c r="F690" s="215"/>
      <c r="G690" s="215"/>
      <c r="H690" s="215"/>
      <c r="I690" s="215"/>
      <c r="J690" s="215"/>
      <c r="K690" s="215"/>
      <c r="L690" s="215"/>
      <c r="M690" s="215"/>
      <c r="N690" s="215"/>
      <c r="O690" s="215"/>
      <c r="P690" s="215"/>
      <c r="Q690" s="215"/>
      <c r="R690" s="216"/>
      <c r="S690" s="236"/>
      <c r="T690" s="236"/>
      <c r="U690" s="236"/>
      <c r="V690" s="236">
        <v>6806413.4326534551</v>
      </c>
      <c r="W690" s="236">
        <v>7313402.7998519409</v>
      </c>
      <c r="X690" s="236">
        <v>6497393.5181218181</v>
      </c>
      <c r="Y690" s="236">
        <v>6360520.5823924243</v>
      </c>
      <c r="Z690" s="236">
        <v>5974270.6075124051</v>
      </c>
      <c r="AA690" s="236">
        <v>5599159.3429345721</v>
      </c>
      <c r="AB690" s="236">
        <v>5304999.8680620687</v>
      </c>
      <c r="AC690" s="236">
        <v>4743518.3588023391</v>
      </c>
      <c r="AD690" s="236">
        <v>4205899.8086328832</v>
      </c>
      <c r="AE690" s="236">
        <v>3878888.0244631316</v>
      </c>
      <c r="AF690" s="236">
        <v>3510449.1085761385</v>
      </c>
      <c r="AG690" s="236">
        <v>3310652.9371728166</v>
      </c>
      <c r="AH690" s="236">
        <v>3172611.8910323787</v>
      </c>
      <c r="AI690" s="236">
        <v>3035612.8211037344</v>
      </c>
      <c r="AJ690" s="236">
        <v>2939885.9605760588</v>
      </c>
      <c r="AK690" s="236">
        <v>2821758.7369293319</v>
      </c>
      <c r="AL690" s="236">
        <v>2770814.4134877776</v>
      </c>
      <c r="AM690" s="236">
        <v>2645164.9272986422</v>
      </c>
      <c r="AN690" s="236">
        <v>2153215.4906882774</v>
      </c>
      <c r="AO690" s="236">
        <v>2125218.7732200082</v>
      </c>
      <c r="AP690" s="236">
        <v>2109045.5914196763</v>
      </c>
      <c r="AQ690" s="236">
        <v>1845372.735951538</v>
      </c>
      <c r="AR690" s="236">
        <v>1582628.1084364289</v>
      </c>
      <c r="AS690" s="236">
        <v>1581072.5983054466</v>
      </c>
      <c r="AT690" s="236">
        <v>1340561.1131348063</v>
      </c>
      <c r="AU690" s="236">
        <v>714615.74927245534</v>
      </c>
      <c r="AV690" s="236">
        <v>329507.44671196304</v>
      </c>
      <c r="AW690" s="236">
        <v>328187.2691514708</v>
      </c>
      <c r="AX690" s="236">
        <v>327763.52079320635</v>
      </c>
      <c r="AY690" s="236">
        <v>162343.14603048633</v>
      </c>
      <c r="AZ690" s="236">
        <v>404.71157392604283</v>
      </c>
      <c r="BA690" s="236"/>
      <c r="BB690" s="236"/>
      <c r="BC690" s="236"/>
      <c r="BD690" s="236"/>
      <c r="BE690" s="236"/>
      <c r="BF690" s="236"/>
      <c r="BG690" s="236"/>
      <c r="BH690" s="236"/>
      <c r="BI690" s="236"/>
      <c r="BJ690" s="236"/>
      <c r="BK690" s="236"/>
    </row>
    <row r="691" spans="1:63">
      <c r="A691" s="169"/>
      <c r="B691" s="307" t="s">
        <v>29</v>
      </c>
      <c r="C691" s="313"/>
      <c r="D691" s="314"/>
      <c r="E691" s="314"/>
      <c r="F691" s="314"/>
      <c r="G691" s="314"/>
      <c r="H691" s="314"/>
      <c r="I691" s="314"/>
      <c r="J691" s="314"/>
      <c r="K691" s="314"/>
      <c r="L691" s="314"/>
      <c r="M691" s="314"/>
      <c r="N691" s="314"/>
      <c r="O691" s="314"/>
      <c r="P691" s="314"/>
      <c r="Q691" s="314"/>
      <c r="R691" s="314"/>
      <c r="S691" s="311"/>
      <c r="T691" s="311"/>
      <c r="U691" s="311"/>
      <c r="V691" s="311">
        <f t="shared" ref="V691:AZ691" si="121">+V690+V689</f>
        <v>12820095.579839768</v>
      </c>
      <c r="W691" s="311">
        <f t="shared" si="121"/>
        <v>18220275.804852836</v>
      </c>
      <c r="X691" s="311">
        <f t="shared" si="121"/>
        <v>9839230.0122767296</v>
      </c>
      <c r="Y691" s="311">
        <f t="shared" si="121"/>
        <v>14209474.703422248</v>
      </c>
      <c r="Z691" s="311">
        <f t="shared" si="121"/>
        <v>20237350.049133927</v>
      </c>
      <c r="AA691" s="311">
        <f t="shared" si="121"/>
        <v>12303987.663331753</v>
      </c>
      <c r="AB691" s="311">
        <f t="shared" si="121"/>
        <v>19658446.948182989</v>
      </c>
      <c r="AC691" s="311">
        <f t="shared" si="121"/>
        <v>21262916.119298879</v>
      </c>
      <c r="AD691" s="311">
        <f t="shared" si="121"/>
        <v>10557051.595685529</v>
      </c>
      <c r="AE691" s="311">
        <f t="shared" si="121"/>
        <v>16226014.754655296</v>
      </c>
      <c r="AF691" s="311">
        <f t="shared" si="121"/>
        <v>12546962.045101203</v>
      </c>
      <c r="AG691" s="311">
        <f t="shared" si="121"/>
        <v>8565649.9038936831</v>
      </c>
      <c r="AH691" s="311">
        <f t="shared" si="121"/>
        <v>7259666.3020987557</v>
      </c>
      <c r="AI691" s="311">
        <f t="shared" si="121"/>
        <v>5641194.4075152548</v>
      </c>
      <c r="AJ691" s="311">
        <f t="shared" si="121"/>
        <v>6522448.3543610889</v>
      </c>
      <c r="AK691" s="311">
        <f t="shared" si="121"/>
        <v>6313462.6856936431</v>
      </c>
      <c r="AL691" s="311">
        <f t="shared" si="121"/>
        <v>9235164.8614776935</v>
      </c>
      <c r="AM691" s="311">
        <f t="shared" si="121"/>
        <v>10215508.608242488</v>
      </c>
      <c r="AN691" s="311">
        <f t="shared" si="121"/>
        <v>3286237.9632463204</v>
      </c>
      <c r="AO691" s="311">
        <f t="shared" si="121"/>
        <v>2949423.795778051</v>
      </c>
      <c r="AP691" s="311">
        <f t="shared" si="121"/>
        <v>2202832.7008311679</v>
      </c>
      <c r="AQ691" s="311">
        <f t="shared" si="121"/>
        <v>10467784.845363026</v>
      </c>
      <c r="AR691" s="311">
        <f t="shared" si="121"/>
        <v>1676415.2178479203</v>
      </c>
      <c r="AS691" s="311">
        <f t="shared" si="121"/>
        <v>1674239.4476579449</v>
      </c>
      <c r="AT691" s="311">
        <f t="shared" si="121"/>
        <v>9957061.3486203346</v>
      </c>
      <c r="AU691" s="311">
        <f t="shared" si="121"/>
        <v>16149405.917190416</v>
      </c>
      <c r="AV691" s="311">
        <f t="shared" si="121"/>
        <v>412772.61462992307</v>
      </c>
      <c r="AW691" s="311">
        <f t="shared" si="121"/>
        <v>411452.43706943083</v>
      </c>
      <c r="AX691" s="311">
        <f t="shared" si="121"/>
        <v>411028.68871116638</v>
      </c>
      <c r="AY691" s="311">
        <f t="shared" si="121"/>
        <v>6386218.313948446</v>
      </c>
      <c r="AZ691" s="311">
        <f t="shared" si="121"/>
        <v>52783.030909584595</v>
      </c>
      <c r="BA691" s="311"/>
      <c r="BB691" s="311"/>
      <c r="BC691" s="311"/>
      <c r="BD691" s="311"/>
      <c r="BE691" s="311"/>
      <c r="BF691" s="311"/>
      <c r="BG691" s="311"/>
      <c r="BH691" s="311"/>
      <c r="BI691" s="311"/>
      <c r="BJ691" s="311"/>
      <c r="BK691" s="311"/>
    </row>
    <row r="692" spans="1:63">
      <c r="A692" s="167"/>
      <c r="B692" s="210" t="s">
        <v>28</v>
      </c>
      <c r="C692" s="211"/>
      <c r="D692" s="212"/>
      <c r="E692" s="212"/>
      <c r="F692" s="212"/>
      <c r="G692" s="212"/>
      <c r="H692" s="212"/>
      <c r="I692" s="212"/>
      <c r="J692" s="212"/>
      <c r="K692" s="212"/>
      <c r="L692" s="212"/>
      <c r="M692" s="212"/>
      <c r="N692" s="212"/>
      <c r="O692" s="212"/>
      <c r="P692" s="212"/>
      <c r="Q692" s="212"/>
      <c r="R692" s="212"/>
      <c r="S692" s="235"/>
      <c r="T692" s="235"/>
      <c r="U692" s="235"/>
      <c r="V692" s="235">
        <v>3046280.1618963541</v>
      </c>
      <c r="W692" s="235">
        <v>11104258.338717278</v>
      </c>
      <c r="X692" s="235">
        <v>3397017.705085888</v>
      </c>
      <c r="Y692" s="235">
        <v>8002300.9361597402</v>
      </c>
      <c r="Z692" s="235">
        <v>14625403.719350949</v>
      </c>
      <c r="AA692" s="235">
        <v>6855212.7055985499</v>
      </c>
      <c r="AB692" s="235">
        <v>14715716.042774843</v>
      </c>
      <c r="AC692" s="235">
        <v>16891036.857936166</v>
      </c>
      <c r="AD692" s="235">
        <v>6491632.8142981147</v>
      </c>
      <c r="AE692" s="235">
        <v>12655796.665575268</v>
      </c>
      <c r="AF692" s="235">
        <v>9303640.4928165227</v>
      </c>
      <c r="AG692" s="235">
        <v>5513706.0748528847</v>
      </c>
      <c r="AH692" s="235">
        <v>4313735.3772778343</v>
      </c>
      <c r="AI692" s="235">
        <v>2704491.97060205</v>
      </c>
      <c r="AJ692" s="235">
        <v>3709148.5313867726</v>
      </c>
      <c r="AK692" s="235">
        <v>3606479.9174474315</v>
      </c>
      <c r="AL692" s="235">
        <v>6653488.4485381963</v>
      </c>
      <c r="AM692" s="235">
        <v>7782325.1678495174</v>
      </c>
      <c r="AN692" s="235">
        <v>1164709.0328587482</v>
      </c>
      <c r="AO692" s="235">
        <v>847232.07523970061</v>
      </c>
      <c r="AP692" s="235">
        <v>96209.865053493602</v>
      </c>
      <c r="AQ692" s="235">
        <v>8863984.8650534935</v>
      </c>
      <c r="AR692" s="235">
        <v>96209.865053493602</v>
      </c>
      <c r="AS692" s="235">
        <v>95572.212367540327</v>
      </c>
      <c r="AT692" s="235">
        <v>8857817.4482708201</v>
      </c>
      <c r="AU692" s="235">
        <v>15867298.110432984</v>
      </c>
      <c r="AV692" s="235">
        <v>85303.110432983245</v>
      </c>
      <c r="AW692" s="235">
        <v>85303.110432983245</v>
      </c>
      <c r="AX692" s="235">
        <v>85303.110432983245</v>
      </c>
      <c r="AY692" s="235">
        <v>6398101.1104329843</v>
      </c>
      <c r="AZ692" s="235">
        <v>53664.803570185555</v>
      </c>
      <c r="BA692" s="235"/>
      <c r="BB692" s="235"/>
      <c r="BC692" s="235"/>
      <c r="BD692" s="235"/>
      <c r="BE692" s="235"/>
      <c r="BF692" s="235"/>
      <c r="BG692" s="235"/>
      <c r="BH692" s="235"/>
      <c r="BI692" s="235"/>
      <c r="BJ692" s="235"/>
      <c r="BK692" s="235"/>
    </row>
    <row r="693" spans="1:63">
      <c r="A693" s="168">
        <v>43890</v>
      </c>
      <c r="B693" s="213" t="s">
        <v>385</v>
      </c>
      <c r="C693" s="214"/>
      <c r="D693" s="215"/>
      <c r="E693" s="215"/>
      <c r="F693" s="215"/>
      <c r="G693" s="215"/>
      <c r="H693" s="215"/>
      <c r="I693" s="215"/>
      <c r="J693" s="215"/>
      <c r="K693" s="215"/>
      <c r="L693" s="215"/>
      <c r="M693" s="215"/>
      <c r="N693" s="215"/>
      <c r="O693" s="215"/>
      <c r="P693" s="215"/>
      <c r="Q693" s="215"/>
      <c r="R693" s="216"/>
      <c r="S693" s="236"/>
      <c r="T693" s="236"/>
      <c r="U693" s="236"/>
      <c r="V693" s="236">
        <v>6139447.5811554715</v>
      </c>
      <c r="W693" s="236">
        <v>7356702.6865699803</v>
      </c>
      <c r="X693" s="236">
        <v>6719536.036160944</v>
      </c>
      <c r="Y693" s="236">
        <v>6552776.4404321788</v>
      </c>
      <c r="Z693" s="236">
        <v>6130215.342091958</v>
      </c>
      <c r="AA693" s="236">
        <v>5737794.7693390902</v>
      </c>
      <c r="AB693" s="236">
        <v>5440937.333007114</v>
      </c>
      <c r="AC693" s="236">
        <v>4845662.7939048931</v>
      </c>
      <c r="AD693" s="236">
        <v>4291013.8985759476</v>
      </c>
      <c r="AE693" s="236">
        <v>3955544.6537628137</v>
      </c>
      <c r="AF693" s="236">
        <v>3573693.8634292451</v>
      </c>
      <c r="AG693" s="236">
        <v>3369958.1917381468</v>
      </c>
      <c r="AH693" s="236">
        <v>3229656.0708778603</v>
      </c>
      <c r="AI693" s="236">
        <v>3092661.7360488526</v>
      </c>
      <c r="AJ693" s="236">
        <v>2995346.7470305366</v>
      </c>
      <c r="AK693" s="236">
        <v>2886822.9641868244</v>
      </c>
      <c r="AL693" s="236">
        <v>2836516.4113604366</v>
      </c>
      <c r="AM693" s="236">
        <v>2711181.5221864409</v>
      </c>
      <c r="AN693" s="236">
        <v>2208893.1970611536</v>
      </c>
      <c r="AO693" s="236">
        <v>2183029.7902888027</v>
      </c>
      <c r="AP693" s="236">
        <v>2168141.0854719356</v>
      </c>
      <c r="AQ693" s="236">
        <v>1897077.8538861605</v>
      </c>
      <c r="AR693" s="236">
        <v>1626968.7437307029</v>
      </c>
      <c r="AS693" s="236">
        <v>1625372.6953047069</v>
      </c>
      <c r="AT693" s="236">
        <v>1378120.4921582942</v>
      </c>
      <c r="AU693" s="236">
        <v>734628.04517389741</v>
      </c>
      <c r="AV693" s="236">
        <v>338725.85002566327</v>
      </c>
      <c r="AW693" s="236">
        <v>337373.52987742913</v>
      </c>
      <c r="AX693" s="236">
        <v>336942.7406585053</v>
      </c>
      <c r="AY693" s="236">
        <v>166888.74718096096</v>
      </c>
      <c r="AZ693" s="236">
        <v>414.57561729019966</v>
      </c>
      <c r="BA693" s="236"/>
      <c r="BB693" s="236"/>
      <c r="BC693" s="236"/>
      <c r="BD693" s="236"/>
      <c r="BE693" s="236"/>
      <c r="BF693" s="236"/>
      <c r="BG693" s="236"/>
      <c r="BH693" s="236"/>
      <c r="BI693" s="236"/>
      <c r="BJ693" s="236"/>
      <c r="BK693" s="236"/>
    </row>
    <row r="694" spans="1:63">
      <c r="A694" s="169"/>
      <c r="B694" s="307" t="s">
        <v>29</v>
      </c>
      <c r="C694" s="313"/>
      <c r="D694" s="314"/>
      <c r="E694" s="314"/>
      <c r="F694" s="314"/>
      <c r="G694" s="314"/>
      <c r="H694" s="314"/>
      <c r="I694" s="314"/>
      <c r="J694" s="314"/>
      <c r="K694" s="314"/>
      <c r="L694" s="314"/>
      <c r="M694" s="314"/>
      <c r="N694" s="314"/>
      <c r="O694" s="314"/>
      <c r="P694" s="314"/>
      <c r="Q694" s="314"/>
      <c r="R694" s="314"/>
      <c r="S694" s="311"/>
      <c r="T694" s="311"/>
      <c r="U694" s="311"/>
      <c r="V694" s="311">
        <f t="shared" ref="V694:AZ694" si="122">+V693+V692</f>
        <v>9185727.7430518251</v>
      </c>
      <c r="W694" s="311">
        <f t="shared" si="122"/>
        <v>18460961.025287259</v>
      </c>
      <c r="X694" s="311">
        <f t="shared" si="122"/>
        <v>10116553.741246833</v>
      </c>
      <c r="Y694" s="311">
        <f t="shared" si="122"/>
        <v>14555077.376591919</v>
      </c>
      <c r="Z694" s="311">
        <f t="shared" si="122"/>
        <v>20755619.061442908</v>
      </c>
      <c r="AA694" s="311">
        <f t="shared" si="122"/>
        <v>12593007.47493764</v>
      </c>
      <c r="AB694" s="311">
        <f t="shared" si="122"/>
        <v>20156653.375781957</v>
      </c>
      <c r="AC694" s="311">
        <f t="shared" si="122"/>
        <v>21736699.651841059</v>
      </c>
      <c r="AD694" s="311">
        <f t="shared" si="122"/>
        <v>10782646.712874062</v>
      </c>
      <c r="AE694" s="311">
        <f t="shared" si="122"/>
        <v>16611341.319338081</v>
      </c>
      <c r="AF694" s="311">
        <f t="shared" si="122"/>
        <v>12877334.356245767</v>
      </c>
      <c r="AG694" s="311">
        <f t="shared" si="122"/>
        <v>8883664.2665910311</v>
      </c>
      <c r="AH694" s="311">
        <f t="shared" si="122"/>
        <v>7543391.4481556946</v>
      </c>
      <c r="AI694" s="311">
        <f t="shared" si="122"/>
        <v>5797153.7066509025</v>
      </c>
      <c r="AJ694" s="311">
        <f t="shared" si="122"/>
        <v>6704495.2784173097</v>
      </c>
      <c r="AK694" s="311">
        <f t="shared" si="122"/>
        <v>6493302.8816342559</v>
      </c>
      <c r="AL694" s="311">
        <f t="shared" si="122"/>
        <v>9490004.8598986324</v>
      </c>
      <c r="AM694" s="311">
        <f t="shared" si="122"/>
        <v>10493506.690035958</v>
      </c>
      <c r="AN694" s="311">
        <f t="shared" si="122"/>
        <v>3373602.229919902</v>
      </c>
      <c r="AO694" s="311">
        <f t="shared" si="122"/>
        <v>3030261.8655285034</v>
      </c>
      <c r="AP694" s="311">
        <f t="shared" si="122"/>
        <v>2264350.9505254291</v>
      </c>
      <c r="AQ694" s="311">
        <f t="shared" si="122"/>
        <v>10761062.718939655</v>
      </c>
      <c r="AR694" s="311">
        <f t="shared" si="122"/>
        <v>1723178.6087841964</v>
      </c>
      <c r="AS694" s="311">
        <f t="shared" si="122"/>
        <v>1720944.9076722472</v>
      </c>
      <c r="AT694" s="311">
        <f t="shared" si="122"/>
        <v>10235937.940429114</v>
      </c>
      <c r="AU694" s="311">
        <f t="shared" si="122"/>
        <v>16601926.155606881</v>
      </c>
      <c r="AV694" s="311">
        <f t="shared" si="122"/>
        <v>424028.96045864653</v>
      </c>
      <c r="AW694" s="311">
        <f t="shared" si="122"/>
        <v>422676.64031041239</v>
      </c>
      <c r="AX694" s="311">
        <f t="shared" si="122"/>
        <v>422245.85109148856</v>
      </c>
      <c r="AY694" s="311">
        <f t="shared" si="122"/>
        <v>6564989.8576139454</v>
      </c>
      <c r="AZ694" s="311">
        <f t="shared" si="122"/>
        <v>54079.379187475752</v>
      </c>
      <c r="BA694" s="311"/>
      <c r="BB694" s="311"/>
      <c r="BC694" s="311"/>
      <c r="BD694" s="311"/>
      <c r="BE694" s="311"/>
      <c r="BF694" s="311"/>
      <c r="BG694" s="311"/>
      <c r="BH694" s="311"/>
      <c r="BI694" s="311"/>
      <c r="BJ694" s="311"/>
      <c r="BK694" s="311"/>
    </row>
    <row r="695" spans="1:63">
      <c r="A695" s="167"/>
      <c r="B695" s="210" t="s">
        <v>28</v>
      </c>
      <c r="C695" s="211"/>
      <c r="D695" s="212"/>
      <c r="E695" s="212"/>
      <c r="F695" s="212"/>
      <c r="G695" s="212"/>
      <c r="H695" s="212"/>
      <c r="I695" s="212"/>
      <c r="J695" s="212"/>
      <c r="K695" s="212"/>
      <c r="L695" s="212"/>
      <c r="M695" s="212"/>
      <c r="N695" s="212"/>
      <c r="O695" s="212"/>
      <c r="P695" s="212"/>
      <c r="Q695" s="212"/>
      <c r="R695" s="212"/>
      <c r="S695" s="235"/>
      <c r="T695" s="235"/>
      <c r="U695" s="235"/>
      <c r="V695" s="235">
        <v>3351826.1062066401</v>
      </c>
      <c r="W695" s="235">
        <v>12463634.930138934</v>
      </c>
      <c r="X695" s="235">
        <v>3928351.3409506418</v>
      </c>
      <c r="Y695" s="235">
        <v>9345493.3695403878</v>
      </c>
      <c r="Z695" s="235">
        <v>17186635.146192312</v>
      </c>
      <c r="AA695" s="235">
        <v>8180829.7348527247</v>
      </c>
      <c r="AB695" s="235">
        <v>17259917.997490775</v>
      </c>
      <c r="AC695" s="235">
        <v>19506541.691763718</v>
      </c>
      <c r="AD695" s="235">
        <v>7759897.8704209011</v>
      </c>
      <c r="AE695" s="235">
        <v>14905460.043195484</v>
      </c>
      <c r="AF695" s="235">
        <v>12036847.694526529</v>
      </c>
      <c r="AG695" s="235">
        <v>6628436.6830169046</v>
      </c>
      <c r="AH695" s="235">
        <v>5238088.1011312287</v>
      </c>
      <c r="AI695" s="235">
        <v>3134387.022201532</v>
      </c>
      <c r="AJ695" s="235">
        <v>4298599.3397227339</v>
      </c>
      <c r="AK695" s="235">
        <v>4164776.2519377191</v>
      </c>
      <c r="AL695" s="235">
        <v>7681273.6284436313</v>
      </c>
      <c r="AM695" s="235">
        <v>9019493.3901390582</v>
      </c>
      <c r="AN695" s="235">
        <v>1349430.7377115125</v>
      </c>
      <c r="AO695" s="235">
        <v>981468.6515210364</v>
      </c>
      <c r="AP695" s="235">
        <v>111019.0248520709</v>
      </c>
      <c r="AQ695" s="235">
        <v>10273044.024852069</v>
      </c>
      <c r="AR695" s="235">
        <v>111019.0248520709</v>
      </c>
      <c r="AS695" s="235">
        <v>110279.97275094212</v>
      </c>
      <c r="AT695" s="235">
        <v>10265895.866564371</v>
      </c>
      <c r="AU695" s="235">
        <v>18390022.880077887</v>
      </c>
      <c r="AV695" s="235">
        <v>98377.880077884533</v>
      </c>
      <c r="AW695" s="235">
        <v>98377.880077884533</v>
      </c>
      <c r="AX695" s="235">
        <v>98377.880077884533</v>
      </c>
      <c r="AY695" s="235">
        <v>7415035.8800778845</v>
      </c>
      <c r="AZ695" s="235">
        <v>61897.702937047849</v>
      </c>
      <c r="BA695" s="235"/>
      <c r="BB695" s="235"/>
      <c r="BC695" s="235"/>
      <c r="BD695" s="235"/>
      <c r="BE695" s="235"/>
      <c r="BF695" s="235"/>
      <c r="BG695" s="235"/>
      <c r="BH695" s="235"/>
      <c r="BI695" s="235"/>
      <c r="BJ695" s="235"/>
      <c r="BK695" s="235"/>
    </row>
    <row r="696" spans="1:63">
      <c r="A696" s="168">
        <v>43921</v>
      </c>
      <c r="B696" s="213" t="s">
        <v>385</v>
      </c>
      <c r="C696" s="214"/>
      <c r="D696" s="215"/>
      <c r="E696" s="215"/>
      <c r="F696" s="215"/>
      <c r="G696" s="215"/>
      <c r="H696" s="215"/>
      <c r="I696" s="215"/>
      <c r="J696" s="215"/>
      <c r="K696" s="215"/>
      <c r="L696" s="215"/>
      <c r="M696" s="215"/>
      <c r="N696" s="215"/>
      <c r="O696" s="215"/>
      <c r="P696" s="215"/>
      <c r="Q696" s="215"/>
      <c r="R696" s="216"/>
      <c r="S696" s="236"/>
      <c r="T696" s="236"/>
      <c r="U696" s="236"/>
      <c r="V696" s="236">
        <v>6078433.8387435172</v>
      </c>
      <c r="W696" s="236">
        <v>8432935.5750835836</v>
      </c>
      <c r="X696" s="236">
        <v>7802153.9593067011</v>
      </c>
      <c r="Y696" s="236">
        <v>7623354.1223454624</v>
      </c>
      <c r="Z696" s="236">
        <v>7116759.4306572331</v>
      </c>
      <c r="AA696" s="236">
        <v>6656206.9756628275</v>
      </c>
      <c r="AB696" s="236">
        <v>6306833.561506791</v>
      </c>
      <c r="AC696" s="236">
        <v>5617030.587656037</v>
      </c>
      <c r="AD696" s="236">
        <v>5003761.5943513364</v>
      </c>
      <c r="AE696" s="236">
        <v>4613605.8272940107</v>
      </c>
      <c r="AF696" s="236">
        <v>4158727.8452442922</v>
      </c>
      <c r="AG696" s="236">
        <v>3914352.9579539355</v>
      </c>
      <c r="AH696" s="236">
        <v>3750500.0699087423</v>
      </c>
      <c r="AI696" s="236">
        <v>3590043.7096781889</v>
      </c>
      <c r="AJ696" s="236">
        <v>3476013.1466892767</v>
      </c>
      <c r="AK696" s="236">
        <v>3351106.1580306492</v>
      </c>
      <c r="AL696" s="236">
        <v>3295711.7467254233</v>
      </c>
      <c r="AM696" s="236">
        <v>3148528.3444437962</v>
      </c>
      <c r="AN696" s="236">
        <v>2563983.8437638315</v>
      </c>
      <c r="AO696" s="236">
        <v>2531674.5894516129</v>
      </c>
      <c r="AP696" s="236">
        <v>2512831.975863995</v>
      </c>
      <c r="AQ696" s="236">
        <v>2198673.3654958569</v>
      </c>
      <c r="AR696" s="236">
        <v>1885620.3623684715</v>
      </c>
      <c r="AS696" s="236">
        <v>1883779.3260453444</v>
      </c>
      <c r="AT696" s="236">
        <v>1597217.6049567505</v>
      </c>
      <c r="AU696" s="236">
        <v>851405.30106936558</v>
      </c>
      <c r="AV696" s="236">
        <v>392554.86036364862</v>
      </c>
      <c r="AW696" s="236">
        <v>390995.54465793184</v>
      </c>
      <c r="AX696" s="236">
        <v>390504.24391432194</v>
      </c>
      <c r="AY696" s="236">
        <v>193416.40284649827</v>
      </c>
      <c r="AZ696" s="236">
        <v>478.05078717095972</v>
      </c>
      <c r="BA696" s="236"/>
      <c r="BB696" s="236"/>
      <c r="BC696" s="236"/>
      <c r="BD696" s="236"/>
      <c r="BE696" s="236"/>
      <c r="BF696" s="236"/>
      <c r="BG696" s="236"/>
      <c r="BH696" s="236"/>
      <c r="BI696" s="236"/>
      <c r="BJ696" s="236"/>
      <c r="BK696" s="236"/>
    </row>
    <row r="697" spans="1:63">
      <c r="A697" s="169"/>
      <c r="B697" s="307" t="s">
        <v>29</v>
      </c>
      <c r="C697" s="313"/>
      <c r="D697" s="314"/>
      <c r="E697" s="314"/>
      <c r="F697" s="314"/>
      <c r="G697" s="314"/>
      <c r="H697" s="314"/>
      <c r="I697" s="314"/>
      <c r="J697" s="314"/>
      <c r="K697" s="314"/>
      <c r="L697" s="314"/>
      <c r="M697" s="314"/>
      <c r="N697" s="314"/>
      <c r="O697" s="314"/>
      <c r="P697" s="314"/>
      <c r="Q697" s="314"/>
      <c r="R697" s="314"/>
      <c r="S697" s="311"/>
      <c r="T697" s="311"/>
      <c r="U697" s="311"/>
      <c r="V697" s="311">
        <f t="shared" ref="V697:AZ697" si="123">+V696+V695</f>
        <v>9430259.9449501578</v>
      </c>
      <c r="W697" s="311">
        <f t="shared" si="123"/>
        <v>20896570.505222518</v>
      </c>
      <c r="X697" s="311">
        <f t="shared" si="123"/>
        <v>11730505.300257344</v>
      </c>
      <c r="Y697" s="311">
        <f t="shared" si="123"/>
        <v>16968847.491885848</v>
      </c>
      <c r="Z697" s="311">
        <f t="shared" si="123"/>
        <v>24303394.576849546</v>
      </c>
      <c r="AA697" s="311">
        <f t="shared" si="123"/>
        <v>14837036.710515551</v>
      </c>
      <c r="AB697" s="311">
        <f t="shared" si="123"/>
        <v>23566751.558997564</v>
      </c>
      <c r="AC697" s="311">
        <f t="shared" si="123"/>
        <v>25123572.279419754</v>
      </c>
      <c r="AD697" s="311">
        <f t="shared" si="123"/>
        <v>12763659.464772237</v>
      </c>
      <c r="AE697" s="311">
        <f t="shared" si="123"/>
        <v>19519065.870489493</v>
      </c>
      <c r="AF697" s="311">
        <f t="shared" si="123"/>
        <v>16195575.539770821</v>
      </c>
      <c r="AG697" s="311">
        <f t="shared" si="123"/>
        <v>10542789.640970841</v>
      </c>
      <c r="AH697" s="311">
        <f t="shared" si="123"/>
        <v>8988588.1710399706</v>
      </c>
      <c r="AI697" s="311">
        <f t="shared" si="123"/>
        <v>6724430.7318797205</v>
      </c>
      <c r="AJ697" s="311">
        <f t="shared" si="123"/>
        <v>7774612.4864120111</v>
      </c>
      <c r="AK697" s="311">
        <f t="shared" si="123"/>
        <v>7515882.4099683687</v>
      </c>
      <c r="AL697" s="311">
        <f t="shared" si="123"/>
        <v>10976985.375169054</v>
      </c>
      <c r="AM697" s="311">
        <f t="shared" si="123"/>
        <v>12168021.734582854</v>
      </c>
      <c r="AN697" s="311">
        <f t="shared" si="123"/>
        <v>3913414.581475344</v>
      </c>
      <c r="AO697" s="311">
        <f t="shared" si="123"/>
        <v>3513143.2409726493</v>
      </c>
      <c r="AP697" s="311">
        <f t="shared" si="123"/>
        <v>2623851.000716066</v>
      </c>
      <c r="AQ697" s="311">
        <f t="shared" si="123"/>
        <v>12471717.390347926</v>
      </c>
      <c r="AR697" s="311">
        <f t="shared" si="123"/>
        <v>1996639.3872205424</v>
      </c>
      <c r="AS697" s="311">
        <f t="shared" si="123"/>
        <v>1994059.2987962866</v>
      </c>
      <c r="AT697" s="311">
        <f t="shared" si="123"/>
        <v>11863113.471521121</v>
      </c>
      <c r="AU697" s="311">
        <f t="shared" si="123"/>
        <v>19241428.181147251</v>
      </c>
      <c r="AV697" s="311">
        <f t="shared" si="123"/>
        <v>490932.74044153315</v>
      </c>
      <c r="AW697" s="311">
        <f t="shared" si="123"/>
        <v>489373.42473581637</v>
      </c>
      <c r="AX697" s="311">
        <f t="shared" si="123"/>
        <v>488882.12399220647</v>
      </c>
      <c r="AY697" s="311">
        <f t="shared" si="123"/>
        <v>7608452.2829243829</v>
      </c>
      <c r="AZ697" s="311">
        <f t="shared" si="123"/>
        <v>62375.753724218812</v>
      </c>
      <c r="BA697" s="311"/>
      <c r="BB697" s="311"/>
      <c r="BC697" s="311"/>
      <c r="BD697" s="311"/>
      <c r="BE697" s="311"/>
      <c r="BF697" s="311"/>
      <c r="BG697" s="311"/>
      <c r="BH697" s="311"/>
      <c r="BI697" s="311"/>
      <c r="BJ697" s="311"/>
      <c r="BK697" s="311"/>
    </row>
    <row r="698" spans="1:63">
      <c r="A698" s="167"/>
      <c r="B698" s="210" t="s">
        <v>28</v>
      </c>
      <c r="C698" s="211"/>
      <c r="D698" s="212"/>
      <c r="E698" s="212"/>
      <c r="F698" s="212"/>
      <c r="G698" s="212"/>
      <c r="H698" s="212"/>
      <c r="I698" s="212"/>
      <c r="J698" s="212"/>
      <c r="K698" s="212"/>
      <c r="L698" s="212"/>
      <c r="M698" s="212"/>
      <c r="N698" s="212"/>
      <c r="O698" s="212"/>
      <c r="P698" s="212"/>
      <c r="Q698" s="212"/>
      <c r="R698" s="212"/>
      <c r="S698" s="235"/>
      <c r="T698" s="235"/>
      <c r="U698" s="235"/>
      <c r="V698" s="235">
        <v>2977926.8019205206</v>
      </c>
      <c r="W698" s="235">
        <v>12256175.229681747</v>
      </c>
      <c r="X698" s="235">
        <v>3840517.0020720544</v>
      </c>
      <c r="Y698" s="235">
        <v>9548110.9579505138</v>
      </c>
      <c r="Z698" s="235">
        <v>17211201.20759397</v>
      </c>
      <c r="AA698" s="235">
        <v>8425789.6084338557</v>
      </c>
      <c r="AB698" s="235">
        <v>17261138.379881933</v>
      </c>
      <c r="AC698" s="235">
        <v>19602824.162375227</v>
      </c>
      <c r="AD698" s="235">
        <v>8053181.080155299</v>
      </c>
      <c r="AE698" s="235">
        <v>15059234.598530514</v>
      </c>
      <c r="AF698" s="235">
        <v>12277455.490002038</v>
      </c>
      <c r="AG698" s="235">
        <v>6949667.3224750981</v>
      </c>
      <c r="AH698" s="235">
        <v>5588603.5094052823</v>
      </c>
      <c r="AI698" s="235">
        <v>3527958.8824596102</v>
      </c>
      <c r="AJ698" s="235">
        <v>4668822.8545176731</v>
      </c>
      <c r="AK698" s="235">
        <v>4489741.8162455736</v>
      </c>
      <c r="AL698" s="235">
        <v>7887068.5392689267</v>
      </c>
      <c r="AM698" s="235">
        <v>9295673.0178455133</v>
      </c>
      <c r="AN698" s="235">
        <v>1400449.018432311</v>
      </c>
      <c r="AO698" s="235">
        <v>1039866.4331942159</v>
      </c>
      <c r="AP698" s="235">
        <v>147040.82420800888</v>
      </c>
      <c r="AQ698" s="235">
        <v>10065432.924208008</v>
      </c>
      <c r="AR698" s="235">
        <v>107207.92420800889</v>
      </c>
      <c r="AS698" s="235">
        <v>106483.69383957708</v>
      </c>
      <c r="AT698" s="235">
        <v>10058428.122648817</v>
      </c>
      <c r="AU698" s="235">
        <v>18019625.298324496</v>
      </c>
      <c r="AV698" s="235">
        <v>94820.298324494346</v>
      </c>
      <c r="AW698" s="235">
        <v>94820.298324494346</v>
      </c>
      <c r="AX698" s="235">
        <v>94820.298324494346</v>
      </c>
      <c r="AY698" s="235">
        <v>7264742.2983244956</v>
      </c>
      <c r="AZ698" s="235">
        <v>59683.595350964039</v>
      </c>
      <c r="BA698" s="235"/>
      <c r="BB698" s="235"/>
      <c r="BC698" s="235"/>
      <c r="BD698" s="235"/>
      <c r="BE698" s="235"/>
      <c r="BF698" s="235"/>
      <c r="BG698" s="235"/>
      <c r="BH698" s="235"/>
      <c r="BI698" s="235"/>
      <c r="BJ698" s="235"/>
      <c r="BK698" s="235"/>
    </row>
    <row r="699" spans="1:63">
      <c r="A699" s="168">
        <v>43951</v>
      </c>
      <c r="B699" s="213" t="s">
        <v>385</v>
      </c>
      <c r="C699" s="214"/>
      <c r="D699" s="215"/>
      <c r="E699" s="215"/>
      <c r="F699" s="215"/>
      <c r="G699" s="215"/>
      <c r="H699" s="215"/>
      <c r="I699" s="215"/>
      <c r="J699" s="215"/>
      <c r="K699" s="215"/>
      <c r="L699" s="215"/>
      <c r="M699" s="215"/>
      <c r="N699" s="215"/>
      <c r="O699" s="215"/>
      <c r="P699" s="215"/>
      <c r="Q699" s="215"/>
      <c r="R699" s="216"/>
      <c r="S699" s="236"/>
      <c r="T699" s="236"/>
      <c r="U699" s="236"/>
      <c r="V699" s="236">
        <v>5363278.9867550088</v>
      </c>
      <c r="W699" s="236">
        <v>8270104.2988034571</v>
      </c>
      <c r="X699" s="236">
        <v>7656394.028780235</v>
      </c>
      <c r="Y699" s="236">
        <v>7452533.1714171218</v>
      </c>
      <c r="Z699" s="236">
        <v>6974640.0501824366</v>
      </c>
      <c r="AA699" s="236">
        <v>6525927.7243503965</v>
      </c>
      <c r="AB699" s="236">
        <v>6186474.2561758859</v>
      </c>
      <c r="AC699" s="236">
        <v>5515885.3151630685</v>
      </c>
      <c r="AD699" s="236">
        <v>4912133.6579065192</v>
      </c>
      <c r="AE699" s="236">
        <v>4530456.3535145875</v>
      </c>
      <c r="AF699" s="236">
        <v>4084857.8073625388</v>
      </c>
      <c r="AG699" s="236">
        <v>3844507.7426751638</v>
      </c>
      <c r="AH699" s="236">
        <v>3683508.7878615502</v>
      </c>
      <c r="AI699" s="236">
        <v>3525394.0439658607</v>
      </c>
      <c r="AJ699" s="236">
        <v>3412580.2518202905</v>
      </c>
      <c r="AK699" s="236">
        <v>3288903.3310798546</v>
      </c>
      <c r="AL699" s="236">
        <v>3233141.9247374702</v>
      </c>
      <c r="AM699" s="236">
        <v>3089359.0608928367</v>
      </c>
      <c r="AN699" s="236">
        <v>2515284.1458469662</v>
      </c>
      <c r="AO699" s="236">
        <v>2482314.4658891833</v>
      </c>
      <c r="AP699" s="236">
        <v>2462512.6667253841</v>
      </c>
      <c r="AQ699" s="236">
        <v>2154334.9095146223</v>
      </c>
      <c r="AR699" s="236">
        <v>1847586.3342793733</v>
      </c>
      <c r="AS699" s="236">
        <v>1845808.3460536371</v>
      </c>
      <c r="AT699" s="236">
        <v>1565019.2615984268</v>
      </c>
      <c r="AU699" s="236">
        <v>834190.76546452637</v>
      </c>
      <c r="AV699" s="236">
        <v>384568.62410658901</v>
      </c>
      <c r="AW699" s="236">
        <v>383066.60774865176</v>
      </c>
      <c r="AX699" s="236">
        <v>382611.00086265168</v>
      </c>
      <c r="AY699" s="236">
        <v>189501.98143277719</v>
      </c>
      <c r="AZ699" s="236">
        <v>460.54043828967559</v>
      </c>
      <c r="BA699" s="236"/>
      <c r="BB699" s="236"/>
      <c r="BC699" s="236"/>
      <c r="BD699" s="236"/>
      <c r="BE699" s="236"/>
      <c r="BF699" s="236"/>
      <c r="BG699" s="236"/>
      <c r="BH699" s="236"/>
      <c r="BI699" s="236"/>
      <c r="BJ699" s="236"/>
      <c r="BK699" s="236"/>
    </row>
    <row r="700" spans="1:63">
      <c r="A700" s="169"/>
      <c r="B700" s="307" t="s">
        <v>29</v>
      </c>
      <c r="C700" s="313"/>
      <c r="D700" s="314"/>
      <c r="E700" s="314"/>
      <c r="F700" s="314"/>
      <c r="G700" s="314"/>
      <c r="H700" s="314"/>
      <c r="I700" s="314"/>
      <c r="J700" s="314"/>
      <c r="K700" s="314"/>
      <c r="L700" s="314"/>
      <c r="M700" s="314"/>
      <c r="N700" s="314"/>
      <c r="O700" s="314"/>
      <c r="P700" s="314"/>
      <c r="Q700" s="314"/>
      <c r="R700" s="314"/>
      <c r="S700" s="311"/>
      <c r="T700" s="311"/>
      <c r="U700" s="311"/>
      <c r="V700" s="311">
        <f t="shared" ref="V700:AZ700" si="124">+V699+V698</f>
        <v>8341205.7886755299</v>
      </c>
      <c r="W700" s="311">
        <f t="shared" si="124"/>
        <v>20526279.528485205</v>
      </c>
      <c r="X700" s="311">
        <f t="shared" si="124"/>
        <v>11496911.03085229</v>
      </c>
      <c r="Y700" s="311">
        <f t="shared" si="124"/>
        <v>17000644.129367635</v>
      </c>
      <c r="Z700" s="311">
        <f t="shared" si="124"/>
        <v>24185841.257776406</v>
      </c>
      <c r="AA700" s="311">
        <f t="shared" si="124"/>
        <v>14951717.332784252</v>
      </c>
      <c r="AB700" s="311">
        <f t="shared" si="124"/>
        <v>23447612.63605782</v>
      </c>
      <c r="AC700" s="311">
        <f t="shared" si="124"/>
        <v>25118709.477538295</v>
      </c>
      <c r="AD700" s="311">
        <f t="shared" si="124"/>
        <v>12965314.738061819</v>
      </c>
      <c r="AE700" s="311">
        <f t="shared" si="124"/>
        <v>19589690.952045102</v>
      </c>
      <c r="AF700" s="311">
        <f t="shared" si="124"/>
        <v>16362313.297364578</v>
      </c>
      <c r="AG700" s="311">
        <f t="shared" si="124"/>
        <v>10794175.065150261</v>
      </c>
      <c r="AH700" s="311">
        <f t="shared" si="124"/>
        <v>9272112.2972668335</v>
      </c>
      <c r="AI700" s="311">
        <f t="shared" si="124"/>
        <v>7053352.926425471</v>
      </c>
      <c r="AJ700" s="311">
        <f t="shared" si="124"/>
        <v>8081403.1063379636</v>
      </c>
      <c r="AK700" s="311">
        <f t="shared" si="124"/>
        <v>7778645.1473254282</v>
      </c>
      <c r="AL700" s="311">
        <f t="shared" si="124"/>
        <v>11120210.464006398</v>
      </c>
      <c r="AM700" s="311">
        <f t="shared" si="124"/>
        <v>12385032.07873835</v>
      </c>
      <c r="AN700" s="311">
        <f t="shared" si="124"/>
        <v>3915733.1642792774</v>
      </c>
      <c r="AO700" s="311">
        <f t="shared" si="124"/>
        <v>3522180.8990833992</v>
      </c>
      <c r="AP700" s="311">
        <f t="shared" si="124"/>
        <v>2609553.4909333931</v>
      </c>
      <c r="AQ700" s="311">
        <f t="shared" si="124"/>
        <v>12219767.833722631</v>
      </c>
      <c r="AR700" s="311">
        <f t="shared" si="124"/>
        <v>1954794.2584873822</v>
      </c>
      <c r="AS700" s="311">
        <f t="shared" si="124"/>
        <v>1952292.0398932141</v>
      </c>
      <c r="AT700" s="311">
        <f t="shared" si="124"/>
        <v>11623447.384247243</v>
      </c>
      <c r="AU700" s="311">
        <f t="shared" si="124"/>
        <v>18853816.063789021</v>
      </c>
      <c r="AV700" s="311">
        <f t="shared" si="124"/>
        <v>479388.92243108334</v>
      </c>
      <c r="AW700" s="311">
        <f t="shared" si="124"/>
        <v>477886.90607314609</v>
      </c>
      <c r="AX700" s="311">
        <f t="shared" si="124"/>
        <v>477431.29918714601</v>
      </c>
      <c r="AY700" s="311">
        <f t="shared" si="124"/>
        <v>7454244.2797572725</v>
      </c>
      <c r="AZ700" s="311">
        <f t="shared" si="124"/>
        <v>60144.135789253713</v>
      </c>
      <c r="BA700" s="311"/>
      <c r="BB700" s="311"/>
      <c r="BC700" s="311"/>
      <c r="BD700" s="311"/>
      <c r="BE700" s="311"/>
      <c r="BF700" s="311"/>
      <c r="BG700" s="311"/>
      <c r="BH700" s="311"/>
      <c r="BI700" s="311"/>
      <c r="BJ700" s="311"/>
      <c r="BK700" s="311"/>
    </row>
    <row r="701" spans="1:63">
      <c r="A701" s="167"/>
      <c r="B701" s="210" t="s">
        <v>28</v>
      </c>
      <c r="C701" s="211"/>
      <c r="D701" s="212"/>
      <c r="E701" s="212"/>
      <c r="F701" s="212"/>
      <c r="G701" s="212"/>
      <c r="H701" s="212"/>
      <c r="I701" s="212"/>
      <c r="J701" s="212"/>
      <c r="K701" s="212"/>
      <c r="L701" s="212"/>
      <c r="M701" s="212"/>
      <c r="N701" s="212"/>
      <c r="O701" s="212"/>
      <c r="P701" s="212"/>
      <c r="Q701" s="212"/>
      <c r="R701" s="212"/>
      <c r="S701" s="235"/>
      <c r="T701" s="235"/>
      <c r="U701" s="235"/>
      <c r="V701" s="235">
        <v>2150026.1824039617</v>
      </c>
      <c r="W701" s="235">
        <v>11633487.018058052</v>
      </c>
      <c r="X701" s="235">
        <v>3605518.9877914758</v>
      </c>
      <c r="Y701" s="235">
        <v>9226686.0627265442</v>
      </c>
      <c r="Z701" s="235">
        <v>16350891.814927913</v>
      </c>
      <c r="AA701" s="235">
        <v>8138688.5657798154</v>
      </c>
      <c r="AB701" s="235">
        <v>16541316.079756137</v>
      </c>
      <c r="AC701" s="235">
        <v>18712062.071692567</v>
      </c>
      <c r="AD701" s="235">
        <v>7790338.1301524248</v>
      </c>
      <c r="AE701" s="235">
        <v>14333941.806078602</v>
      </c>
      <c r="AF701" s="235">
        <v>11732426.426742146</v>
      </c>
      <c r="AG701" s="235">
        <v>6751003.7219399493</v>
      </c>
      <c r="AH701" s="235">
        <v>5476758.8790071998</v>
      </c>
      <c r="AI701" s="235">
        <v>3502907.5720122419</v>
      </c>
      <c r="AJ701" s="235">
        <v>4568216.7278832663</v>
      </c>
      <c r="AK701" s="235">
        <v>4468324.8849391118</v>
      </c>
      <c r="AL701" s="235">
        <v>7713059.2624587258</v>
      </c>
      <c r="AM701" s="235">
        <v>8893008.4842026401</v>
      </c>
      <c r="AN701" s="235">
        <v>1311498.5328789256</v>
      </c>
      <c r="AO701" s="235">
        <v>2463808.3700217828</v>
      </c>
      <c r="AP701" s="235">
        <v>139691.46239833441</v>
      </c>
      <c r="AQ701" s="235">
        <v>9411007.2623983342</v>
      </c>
      <c r="AR701" s="235">
        <v>102457.26239833438</v>
      </c>
      <c r="AS701" s="235">
        <v>101780.28084830254</v>
      </c>
      <c r="AT701" s="235">
        <v>9404459.4543749355</v>
      </c>
      <c r="AU701" s="235">
        <v>16846267.805726286</v>
      </c>
      <c r="AV701" s="235">
        <v>90877.805726287974</v>
      </c>
      <c r="AW701" s="235">
        <v>90877.805726287974</v>
      </c>
      <c r="AX701" s="235">
        <v>90877.805726287974</v>
      </c>
      <c r="AY701" s="235">
        <v>6793033.8057262879</v>
      </c>
      <c r="AZ701" s="235">
        <v>57167.109715048588</v>
      </c>
      <c r="BA701" s="235"/>
      <c r="BB701" s="235"/>
      <c r="BC701" s="235"/>
      <c r="BD701" s="235"/>
      <c r="BE701" s="235"/>
      <c r="BF701" s="235"/>
      <c r="BG701" s="235"/>
      <c r="BH701" s="235"/>
      <c r="BI701" s="235"/>
      <c r="BJ701" s="235"/>
      <c r="BK701" s="235"/>
    </row>
    <row r="702" spans="1:63">
      <c r="A702" s="168">
        <v>43982</v>
      </c>
      <c r="B702" s="213" t="s">
        <v>385</v>
      </c>
      <c r="C702" s="214"/>
      <c r="D702" s="215"/>
      <c r="E702" s="215"/>
      <c r="F702" s="215"/>
      <c r="G702" s="215"/>
      <c r="H702" s="215"/>
      <c r="I702" s="215"/>
      <c r="J702" s="215"/>
      <c r="K702" s="215"/>
      <c r="L702" s="215"/>
      <c r="M702" s="215"/>
      <c r="N702" s="215"/>
      <c r="O702" s="215"/>
      <c r="P702" s="215"/>
      <c r="Q702" s="215"/>
      <c r="R702" s="216"/>
      <c r="S702" s="236"/>
      <c r="T702" s="236"/>
      <c r="U702" s="236"/>
      <c r="V702" s="236">
        <v>4500524.2352705579</v>
      </c>
      <c r="W702" s="236">
        <v>7813781.9017148651</v>
      </c>
      <c r="X702" s="236">
        <v>7244538.3068768242</v>
      </c>
      <c r="Y702" s="236">
        <v>7054942.1137454547</v>
      </c>
      <c r="Z702" s="236">
        <v>6594803.595185956</v>
      </c>
      <c r="AA702" s="236">
        <v>6174357.1914184336</v>
      </c>
      <c r="AB702" s="236">
        <v>5856730.3084975779</v>
      </c>
      <c r="AC702" s="236">
        <v>5222652.1514868448</v>
      </c>
      <c r="AD702" s="236">
        <v>4644019.0284590479</v>
      </c>
      <c r="AE702" s="236">
        <v>4286115.3785946984</v>
      </c>
      <c r="AF702" s="236">
        <v>3867383.4404166485</v>
      </c>
      <c r="AG702" s="236">
        <v>3640653.6637585103</v>
      </c>
      <c r="AH702" s="236">
        <v>3490036.5957738599</v>
      </c>
      <c r="AI702" s="236">
        <v>3342339.4470723206</v>
      </c>
      <c r="AJ702" s="236">
        <v>3237295.1120646675</v>
      </c>
      <c r="AK702" s="236">
        <v>3119549.9718780625</v>
      </c>
      <c r="AL702" s="236">
        <v>3064492.8251171988</v>
      </c>
      <c r="AM702" s="236">
        <v>2927494.6224520896</v>
      </c>
      <c r="AN702" s="236">
        <v>2390759.156482561</v>
      </c>
      <c r="AO702" s="236">
        <v>2359959.7335133571</v>
      </c>
      <c r="AP702" s="236">
        <v>2302319.7369988244</v>
      </c>
      <c r="AQ702" s="236">
        <v>2014131.6476479212</v>
      </c>
      <c r="AR702" s="236">
        <v>1727358.3058082969</v>
      </c>
      <c r="AS702" s="236">
        <v>1725659.225395418</v>
      </c>
      <c r="AT702" s="236">
        <v>1463152.4485255477</v>
      </c>
      <c r="AU702" s="236">
        <v>779965.71423820825</v>
      </c>
      <c r="AV702" s="236">
        <v>359640.08856354241</v>
      </c>
      <c r="AW702" s="236">
        <v>358199.21288887667</v>
      </c>
      <c r="AX702" s="236">
        <v>357736.74279028911</v>
      </c>
      <c r="AY702" s="236">
        <v>177189.04873954511</v>
      </c>
      <c r="AZ702" s="236">
        <v>441.7126625821615</v>
      </c>
      <c r="BA702" s="236"/>
      <c r="BB702" s="236"/>
      <c r="BC702" s="236"/>
      <c r="BD702" s="236"/>
      <c r="BE702" s="236"/>
      <c r="BF702" s="236"/>
      <c r="BG702" s="236"/>
      <c r="BH702" s="236"/>
      <c r="BI702" s="236"/>
      <c r="BJ702" s="236"/>
      <c r="BK702" s="236"/>
    </row>
    <row r="703" spans="1:63">
      <c r="A703" s="169"/>
      <c r="B703" s="307" t="s">
        <v>29</v>
      </c>
      <c r="C703" s="313"/>
      <c r="D703" s="314"/>
      <c r="E703" s="314"/>
      <c r="F703" s="314"/>
      <c r="G703" s="314"/>
      <c r="H703" s="314"/>
      <c r="I703" s="314"/>
      <c r="J703" s="314"/>
      <c r="K703" s="314"/>
      <c r="L703" s="314"/>
      <c r="M703" s="314"/>
      <c r="N703" s="314"/>
      <c r="O703" s="314"/>
      <c r="P703" s="314"/>
      <c r="Q703" s="314"/>
      <c r="R703" s="314"/>
      <c r="S703" s="311"/>
      <c r="T703" s="311"/>
      <c r="U703" s="311"/>
      <c r="V703" s="311">
        <f t="shared" ref="V703:AZ703" si="125">+V702+V701</f>
        <v>6650550.4176745191</v>
      </c>
      <c r="W703" s="311">
        <f t="shared" si="125"/>
        <v>19447268.919772916</v>
      </c>
      <c r="X703" s="311">
        <f t="shared" si="125"/>
        <v>10850057.2946683</v>
      </c>
      <c r="Y703" s="311">
        <f t="shared" si="125"/>
        <v>16281628.176471999</v>
      </c>
      <c r="Z703" s="311">
        <f t="shared" si="125"/>
        <v>22945695.410113871</v>
      </c>
      <c r="AA703" s="311">
        <f t="shared" si="125"/>
        <v>14313045.757198248</v>
      </c>
      <c r="AB703" s="311">
        <f t="shared" si="125"/>
        <v>22398046.388253715</v>
      </c>
      <c r="AC703" s="311">
        <f t="shared" si="125"/>
        <v>23934714.223179411</v>
      </c>
      <c r="AD703" s="311">
        <f t="shared" si="125"/>
        <v>12434357.158611473</v>
      </c>
      <c r="AE703" s="311">
        <f t="shared" si="125"/>
        <v>18620057.184673302</v>
      </c>
      <c r="AF703" s="311">
        <f t="shared" si="125"/>
        <v>15599809.867158795</v>
      </c>
      <c r="AG703" s="311">
        <f t="shared" si="125"/>
        <v>10391657.38569846</v>
      </c>
      <c r="AH703" s="311">
        <f t="shared" si="125"/>
        <v>8966795.4747810587</v>
      </c>
      <c r="AI703" s="311">
        <f t="shared" si="125"/>
        <v>6845247.0190845625</v>
      </c>
      <c r="AJ703" s="311">
        <f t="shared" si="125"/>
        <v>7805511.8399479333</v>
      </c>
      <c r="AK703" s="311">
        <f t="shared" si="125"/>
        <v>7587874.8568171747</v>
      </c>
      <c r="AL703" s="311">
        <f t="shared" si="125"/>
        <v>10777552.087575924</v>
      </c>
      <c r="AM703" s="311">
        <f t="shared" si="125"/>
        <v>11820503.10665473</v>
      </c>
      <c r="AN703" s="311">
        <f t="shared" si="125"/>
        <v>3702257.6893614866</v>
      </c>
      <c r="AO703" s="311">
        <f t="shared" si="125"/>
        <v>4823768.1035351399</v>
      </c>
      <c r="AP703" s="311">
        <f t="shared" si="125"/>
        <v>2442011.1993971588</v>
      </c>
      <c r="AQ703" s="311">
        <f t="shared" si="125"/>
        <v>11425138.910046255</v>
      </c>
      <c r="AR703" s="311">
        <f t="shared" si="125"/>
        <v>1829815.5682066313</v>
      </c>
      <c r="AS703" s="311">
        <f t="shared" si="125"/>
        <v>1827439.5062437207</v>
      </c>
      <c r="AT703" s="311">
        <f t="shared" si="125"/>
        <v>10867611.902900483</v>
      </c>
      <c r="AU703" s="311">
        <f t="shared" si="125"/>
        <v>17626233.519964494</v>
      </c>
      <c r="AV703" s="311">
        <f t="shared" si="125"/>
        <v>450517.89428983035</v>
      </c>
      <c r="AW703" s="311">
        <f t="shared" si="125"/>
        <v>449077.01861516468</v>
      </c>
      <c r="AX703" s="311">
        <f t="shared" si="125"/>
        <v>448614.54851657711</v>
      </c>
      <c r="AY703" s="311">
        <f t="shared" si="125"/>
        <v>6970222.8544658329</v>
      </c>
      <c r="AZ703" s="311">
        <f t="shared" si="125"/>
        <v>57608.82237763075</v>
      </c>
      <c r="BA703" s="311"/>
      <c r="BB703" s="311"/>
      <c r="BC703" s="311"/>
      <c r="BD703" s="311"/>
      <c r="BE703" s="311"/>
      <c r="BF703" s="311"/>
      <c r="BG703" s="311"/>
      <c r="BH703" s="311"/>
      <c r="BI703" s="311"/>
      <c r="BJ703" s="311"/>
      <c r="BK703" s="311"/>
    </row>
    <row r="704" spans="1:63">
      <c r="A704" s="167"/>
      <c r="B704" s="210" t="s">
        <v>28</v>
      </c>
      <c r="C704" s="211"/>
      <c r="D704" s="212"/>
      <c r="E704" s="212"/>
      <c r="F704" s="212"/>
      <c r="G704" s="212"/>
      <c r="H704" s="212"/>
      <c r="I704" s="212"/>
      <c r="J704" s="212"/>
      <c r="K704" s="212"/>
      <c r="L704" s="212"/>
      <c r="M704" s="212"/>
      <c r="N704" s="212"/>
      <c r="O704" s="212"/>
      <c r="P704" s="212"/>
      <c r="Q704" s="212"/>
      <c r="R704" s="212"/>
      <c r="S704" s="235"/>
      <c r="T704" s="235"/>
      <c r="U704" s="235"/>
      <c r="V704" s="235">
        <v>1863195.6994334303</v>
      </c>
      <c r="W704" s="235">
        <v>11724298.073271003</v>
      </c>
      <c r="X704" s="235">
        <v>3644482.5150023238</v>
      </c>
      <c r="Y704" s="235">
        <v>9310266.3309195545</v>
      </c>
      <c r="Z704" s="235">
        <v>16512748.047349479</v>
      </c>
      <c r="AA704" s="235">
        <v>8222271.4701574761</v>
      </c>
      <c r="AB704" s="235">
        <v>16759192.534095688</v>
      </c>
      <c r="AC704" s="235">
        <v>18878043.367209766</v>
      </c>
      <c r="AD704" s="235">
        <v>7873239.9194934359</v>
      </c>
      <c r="AE704" s="235">
        <v>14474571.716791637</v>
      </c>
      <c r="AF704" s="235">
        <v>11847799.778663138</v>
      </c>
      <c r="AG704" s="235">
        <v>10577348.193975175</v>
      </c>
      <c r="AH704" s="235">
        <v>5531290.6591101708</v>
      </c>
      <c r="AI704" s="235">
        <v>3537932.5319586839</v>
      </c>
      <c r="AJ704" s="235">
        <v>4613170.512373155</v>
      </c>
      <c r="AK704" s="235">
        <v>4537930.6208879426</v>
      </c>
      <c r="AL704" s="235">
        <v>7840165.4972259291</v>
      </c>
      <c r="AM704" s="235">
        <v>8979774.8518177737</v>
      </c>
      <c r="AN704" s="235">
        <v>1325438.1388348339</v>
      </c>
      <c r="AO704" s="235">
        <v>2488731.2859776914</v>
      </c>
      <c r="AP704" s="235">
        <v>141869.23393772382</v>
      </c>
      <c r="AQ704" s="235">
        <v>9501555.1339377221</v>
      </c>
      <c r="AR704" s="235">
        <v>104280.13393772386</v>
      </c>
      <c r="AS704" s="235">
        <v>103596.69969763538</v>
      </c>
      <c r="AT704" s="235">
        <v>9494944.915091278</v>
      </c>
      <c r="AU704" s="235">
        <v>17007685.306983169</v>
      </c>
      <c r="AV704" s="235">
        <v>92590.306983170798</v>
      </c>
      <c r="AW704" s="235">
        <v>92590.306983170798</v>
      </c>
      <c r="AX704" s="235">
        <v>92590.306983170798</v>
      </c>
      <c r="AY704" s="235">
        <v>6858628.306983171</v>
      </c>
      <c r="AZ704" s="235">
        <v>58231.517260747103</v>
      </c>
      <c r="BA704" s="235">
        <v>5638365</v>
      </c>
      <c r="BB704" s="235">
        <v>5638365</v>
      </c>
      <c r="BC704" s="235">
        <v>5638365</v>
      </c>
      <c r="BD704" s="235">
        <v>5638365</v>
      </c>
      <c r="BE704" s="235">
        <v>5638365</v>
      </c>
      <c r="BF704" s="235">
        <v>5638365</v>
      </c>
      <c r="BG704" s="235">
        <v>5638365</v>
      </c>
      <c r="BH704" s="235">
        <v>5638365</v>
      </c>
      <c r="BI704" s="235">
        <v>5638365</v>
      </c>
      <c r="BJ704" s="235">
        <v>5638365</v>
      </c>
      <c r="BK704" s="235">
        <v>5638365</v>
      </c>
    </row>
    <row r="705" spans="1:63">
      <c r="A705" s="168">
        <v>44012</v>
      </c>
      <c r="B705" s="213" t="s">
        <v>385</v>
      </c>
      <c r="C705" s="214"/>
      <c r="D705" s="215"/>
      <c r="E705" s="215"/>
      <c r="F705" s="215"/>
      <c r="G705" s="215"/>
      <c r="H705" s="215"/>
      <c r="I705" s="215"/>
      <c r="J705" s="215"/>
      <c r="K705" s="215"/>
      <c r="L705" s="215"/>
      <c r="M705" s="215"/>
      <c r="N705" s="215"/>
      <c r="O705" s="215"/>
      <c r="P705" s="215"/>
      <c r="Q705" s="215"/>
      <c r="R705" s="216"/>
      <c r="S705" s="236"/>
      <c r="T705" s="236"/>
      <c r="U705" s="236"/>
      <c r="V705" s="236">
        <v>3810328.366501628</v>
      </c>
      <c r="W705" s="236">
        <v>8229489.7825364619</v>
      </c>
      <c r="X705" s="236">
        <v>7673444.4206053866</v>
      </c>
      <c r="Y705" s="236">
        <v>7480291.215074352</v>
      </c>
      <c r="Z705" s="236">
        <v>7012487.3802373139</v>
      </c>
      <c r="AA705" s="236">
        <v>6586209.0804872168</v>
      </c>
      <c r="AB705" s="236">
        <v>6266200.240636901</v>
      </c>
      <c r="AC705" s="236">
        <v>5625124.6387775838</v>
      </c>
      <c r="AD705" s="236">
        <v>5045329.4050687039</v>
      </c>
      <c r="AE705" s="236">
        <v>4683283.2873552078</v>
      </c>
      <c r="AF705" s="236">
        <v>4260857.6259792522</v>
      </c>
      <c r="AG705" s="236">
        <v>3972060.7229391034</v>
      </c>
      <c r="AH705" s="236">
        <v>3761408.6088120099</v>
      </c>
      <c r="AI705" s="236">
        <v>3611740.6072107628</v>
      </c>
      <c r="AJ705" s="236">
        <v>3505788.9443338048</v>
      </c>
      <c r="AK705" s="236">
        <v>3386927.6060823002</v>
      </c>
      <c r="AL705" s="236">
        <v>3330713.1603169227</v>
      </c>
      <c r="AM705" s="236">
        <v>3190825.1042907266</v>
      </c>
      <c r="AN705" s="236">
        <v>2648930.2810864928</v>
      </c>
      <c r="AO705" s="236">
        <v>2617791.0153576676</v>
      </c>
      <c r="AP705" s="236">
        <v>2560867.5380983176</v>
      </c>
      <c r="AQ705" s="236">
        <v>2269272.268216684</v>
      </c>
      <c r="AR705" s="236">
        <v>1979751.6982525059</v>
      </c>
      <c r="AS705" s="236">
        <v>1978022.5959181103</v>
      </c>
      <c r="AT705" s="236">
        <v>1713646.1891633391</v>
      </c>
      <c r="AU705" s="236">
        <v>1023287.4048219896</v>
      </c>
      <c r="AV705" s="236">
        <v>598941.51997542987</v>
      </c>
      <c r="AW705" s="236">
        <v>597473.01012887014</v>
      </c>
      <c r="AX705" s="236">
        <v>597638.39379046764</v>
      </c>
      <c r="AY705" s="236">
        <v>414709.73603575083</v>
      </c>
      <c r="AZ705" s="236">
        <v>236263.02386085334</v>
      </c>
      <c r="BA705" s="236">
        <v>116937.34078124999</v>
      </c>
      <c r="BB705" s="236">
        <v>116937.34078124999</v>
      </c>
      <c r="BC705" s="236">
        <v>116937.34078124999</v>
      </c>
      <c r="BD705" s="236">
        <v>116937.34078124999</v>
      </c>
      <c r="BE705" s="236">
        <v>116937.34078124999</v>
      </c>
      <c r="BF705" s="236">
        <v>116937.34078124999</v>
      </c>
      <c r="BG705" s="236">
        <v>116937.34078124999</v>
      </c>
      <c r="BH705" s="236">
        <v>116937.34078124999</v>
      </c>
      <c r="BI705" s="236">
        <v>116937.34078124999</v>
      </c>
      <c r="BJ705" s="236">
        <v>116937.34078124999</v>
      </c>
      <c r="BK705" s="236">
        <v>116937.34078124999</v>
      </c>
    </row>
    <row r="706" spans="1:63">
      <c r="A706" s="169"/>
      <c r="B706" s="307" t="s">
        <v>29</v>
      </c>
      <c r="C706" s="313"/>
      <c r="D706" s="314"/>
      <c r="E706" s="314"/>
      <c r="F706" s="314"/>
      <c r="G706" s="314"/>
      <c r="H706" s="314"/>
      <c r="I706" s="314"/>
      <c r="J706" s="314"/>
      <c r="K706" s="314"/>
      <c r="L706" s="314"/>
      <c r="M706" s="314"/>
      <c r="N706" s="314"/>
      <c r="O706" s="314"/>
      <c r="P706" s="314"/>
      <c r="Q706" s="314"/>
      <c r="R706" s="314"/>
      <c r="S706" s="311"/>
      <c r="T706" s="311"/>
      <c r="U706" s="311"/>
      <c r="V706" s="311">
        <f>+V705+V704</f>
        <v>5673524.0659350585</v>
      </c>
      <c r="W706" s="311">
        <f t="shared" ref="W706:BA706" si="126">+W705+W704</f>
        <v>19953787.855807465</v>
      </c>
      <c r="X706" s="311">
        <f t="shared" si="126"/>
        <v>11317926.935607711</v>
      </c>
      <c r="Y706" s="311">
        <f t="shared" si="126"/>
        <v>16790557.545993906</v>
      </c>
      <c r="Z706" s="311">
        <f t="shared" si="126"/>
        <v>23525235.427586794</v>
      </c>
      <c r="AA706" s="311">
        <f t="shared" si="126"/>
        <v>14808480.550644692</v>
      </c>
      <c r="AB706" s="311">
        <f t="shared" si="126"/>
        <v>23025392.77473259</v>
      </c>
      <c r="AC706" s="311">
        <f t="shared" si="126"/>
        <v>24503168.00598735</v>
      </c>
      <c r="AD706" s="311">
        <f t="shared" si="126"/>
        <v>12918569.32456214</v>
      </c>
      <c r="AE706" s="311">
        <f t="shared" si="126"/>
        <v>19157855.004146844</v>
      </c>
      <c r="AF706" s="311">
        <f t="shared" si="126"/>
        <v>16108657.40464239</v>
      </c>
      <c r="AG706" s="311">
        <f t="shared" si="126"/>
        <v>14549408.916914279</v>
      </c>
      <c r="AH706" s="311">
        <f t="shared" si="126"/>
        <v>9292699.2679221816</v>
      </c>
      <c r="AI706" s="311">
        <f t="shared" si="126"/>
        <v>7149673.1391694471</v>
      </c>
      <c r="AJ706" s="311">
        <f t="shared" si="126"/>
        <v>8118959.4567069598</v>
      </c>
      <c r="AK706" s="311">
        <f t="shared" si="126"/>
        <v>7924858.2269702423</v>
      </c>
      <c r="AL706" s="311">
        <f t="shared" si="126"/>
        <v>11170878.657542851</v>
      </c>
      <c r="AM706" s="311">
        <f t="shared" si="126"/>
        <v>12170599.956108499</v>
      </c>
      <c r="AN706" s="311">
        <f t="shared" si="126"/>
        <v>3974368.4199213265</v>
      </c>
      <c r="AO706" s="311">
        <f t="shared" si="126"/>
        <v>5106522.301335359</v>
      </c>
      <c r="AP706" s="311">
        <f t="shared" si="126"/>
        <v>2702736.7720360416</v>
      </c>
      <c r="AQ706" s="311">
        <f t="shared" si="126"/>
        <v>11770827.402154407</v>
      </c>
      <c r="AR706" s="311">
        <f t="shared" si="126"/>
        <v>2084031.8321902298</v>
      </c>
      <c r="AS706" s="311">
        <f t="shared" si="126"/>
        <v>2081619.2956157457</v>
      </c>
      <c r="AT706" s="311">
        <f t="shared" si="126"/>
        <v>11208591.104254616</v>
      </c>
      <c r="AU706" s="311">
        <f t="shared" si="126"/>
        <v>18030972.711805157</v>
      </c>
      <c r="AV706" s="311">
        <f t="shared" si="126"/>
        <v>691531.82695860066</v>
      </c>
      <c r="AW706" s="311">
        <f t="shared" si="126"/>
        <v>690063.31711204094</v>
      </c>
      <c r="AX706" s="311">
        <f t="shared" si="126"/>
        <v>690228.70077363844</v>
      </c>
      <c r="AY706" s="311">
        <f t="shared" si="126"/>
        <v>7273338.0430189222</v>
      </c>
      <c r="AZ706" s="311">
        <f t="shared" si="126"/>
        <v>294494.54112160043</v>
      </c>
      <c r="BA706" s="311">
        <f t="shared" si="126"/>
        <v>5755302.34078125</v>
      </c>
      <c r="BB706" s="311">
        <f t="shared" ref="BB706:BJ706" si="127">+BB705+BB704</f>
        <v>5755302.34078125</v>
      </c>
      <c r="BC706" s="311">
        <f t="shared" si="127"/>
        <v>5755302.34078125</v>
      </c>
      <c r="BD706" s="311">
        <f t="shared" si="127"/>
        <v>5755302.34078125</v>
      </c>
      <c r="BE706" s="311">
        <f t="shared" si="127"/>
        <v>5755302.34078125</v>
      </c>
      <c r="BF706" s="311">
        <f t="shared" si="127"/>
        <v>5755302.34078125</v>
      </c>
      <c r="BG706" s="311">
        <f t="shared" si="127"/>
        <v>5755302.34078125</v>
      </c>
      <c r="BH706" s="311">
        <f t="shared" si="127"/>
        <v>5755302.34078125</v>
      </c>
      <c r="BI706" s="311">
        <f t="shared" si="127"/>
        <v>5755302.34078125</v>
      </c>
      <c r="BJ706" s="311">
        <f t="shared" si="127"/>
        <v>5755302.34078125</v>
      </c>
      <c r="BK706" s="311">
        <f>+BK705+BK704</f>
        <v>5755302.34078125</v>
      </c>
    </row>
    <row r="707" spans="1:63">
      <c r="A707" s="167"/>
      <c r="B707" s="210" t="s">
        <v>28</v>
      </c>
      <c r="C707" s="211"/>
      <c r="D707" s="212"/>
      <c r="E707" s="212"/>
      <c r="F707" s="212"/>
      <c r="G707" s="212"/>
      <c r="H707" s="212"/>
      <c r="I707" s="212"/>
      <c r="J707" s="212"/>
      <c r="K707" s="212"/>
      <c r="L707" s="212"/>
      <c r="M707" s="212"/>
      <c r="N707" s="212"/>
      <c r="O707" s="212"/>
      <c r="P707" s="212"/>
      <c r="Q707" s="212"/>
      <c r="R707" s="212"/>
      <c r="S707" s="235"/>
      <c r="T707" s="235"/>
      <c r="U707" s="235"/>
      <c r="V707" s="235">
        <v>1782558.1465392301</v>
      </c>
      <c r="W707" s="235">
        <v>11698716.943397624</v>
      </c>
      <c r="X707" s="235">
        <v>3651282.1609271634</v>
      </c>
      <c r="Y707" s="235">
        <v>9294211.9933911376</v>
      </c>
      <c r="Z707" s="235">
        <v>16455485.278784079</v>
      </c>
      <c r="AA707" s="235">
        <v>8207828.9233350856</v>
      </c>
      <c r="AB707" s="235">
        <v>16966595.550093431</v>
      </c>
      <c r="AC707" s="235">
        <v>18818383.472934902</v>
      </c>
      <c r="AD707" s="235">
        <v>7860447.1775636468</v>
      </c>
      <c r="AE707" s="235">
        <v>14418125.323050609</v>
      </c>
      <c r="AF707" s="235">
        <v>11802910.762660155</v>
      </c>
      <c r="AG707" s="235">
        <v>10536647.340579201</v>
      </c>
      <c r="AH707" s="235">
        <v>5512226.7142914329</v>
      </c>
      <c r="AI707" s="235">
        <v>6705144.9741783636</v>
      </c>
      <c r="AJ707" s="235">
        <v>4596261.3544229325</v>
      </c>
      <c r="AK707" s="235">
        <v>4647037.327584683</v>
      </c>
      <c r="AL707" s="235">
        <v>8059687.5107687823</v>
      </c>
      <c r="AM707" s="235">
        <v>8940300.1189220287</v>
      </c>
      <c r="AN707" s="235">
        <v>1322742.7729927341</v>
      </c>
      <c r="AO707" s="235">
        <v>2480025.8925165432</v>
      </c>
      <c r="AP707" s="235">
        <v>2762931.6482135574</v>
      </c>
      <c r="AQ707" s="235">
        <v>9456618.7482135557</v>
      </c>
      <c r="AR707" s="235">
        <v>107893.74821355786</v>
      </c>
      <c r="AS707" s="235">
        <v>107213.84486219577</v>
      </c>
      <c r="AT707" s="235">
        <v>9450042.6803443879</v>
      </c>
      <c r="AU707" s="235">
        <v>16923969.315479524</v>
      </c>
      <c r="AV707" s="235">
        <v>96264.315479525467</v>
      </c>
      <c r="AW707" s="235">
        <v>96264.315479525467</v>
      </c>
      <c r="AX707" s="235">
        <v>96264.315479525467</v>
      </c>
      <c r="AY707" s="235">
        <v>6827346.3154795254</v>
      </c>
      <c r="AZ707" s="235">
        <v>60479.689969061168</v>
      </c>
      <c r="BA707" s="235">
        <v>5609235</v>
      </c>
      <c r="BB707" s="235">
        <v>5609235</v>
      </c>
      <c r="BC707" s="235">
        <v>5609235</v>
      </c>
      <c r="BD707" s="235">
        <v>5609235</v>
      </c>
      <c r="BE707" s="235">
        <v>5609235</v>
      </c>
      <c r="BF707" s="235">
        <v>5609235</v>
      </c>
      <c r="BG707" s="235">
        <v>5609235</v>
      </c>
      <c r="BH707" s="235">
        <v>5609235</v>
      </c>
      <c r="BI707" s="235">
        <v>5609235</v>
      </c>
      <c r="BJ707" s="235">
        <v>5609235</v>
      </c>
      <c r="BK707" s="235">
        <v>5609235</v>
      </c>
    </row>
    <row r="708" spans="1:63">
      <c r="A708" s="168">
        <v>44043</v>
      </c>
      <c r="B708" s="213" t="s">
        <v>385</v>
      </c>
      <c r="C708" s="214"/>
      <c r="D708" s="215"/>
      <c r="E708" s="215"/>
      <c r="F708" s="215"/>
      <c r="G708" s="215"/>
      <c r="H708" s="215"/>
      <c r="I708" s="215"/>
      <c r="J708" s="215"/>
      <c r="K708" s="215"/>
      <c r="L708" s="215"/>
      <c r="M708" s="215"/>
      <c r="N708" s="215"/>
      <c r="O708" s="215"/>
      <c r="P708" s="215"/>
      <c r="Q708" s="215"/>
      <c r="R708" s="216"/>
      <c r="S708" s="236"/>
      <c r="T708" s="236"/>
      <c r="U708" s="236"/>
      <c r="V708" s="236">
        <v>2940112.8123877766</v>
      </c>
      <c r="W708" s="236">
        <v>8294227.2100149691</v>
      </c>
      <c r="X708" s="236">
        <v>7764841.1973283095</v>
      </c>
      <c r="Y708" s="236">
        <v>7524316.8558999952</v>
      </c>
      <c r="Z708" s="236">
        <v>7082667.6157280626</v>
      </c>
      <c r="AA708" s="236">
        <v>6655259.8480683025</v>
      </c>
      <c r="AB708" s="236">
        <v>6338150.4667912889</v>
      </c>
      <c r="AC708" s="236">
        <v>5693830.8235038398</v>
      </c>
      <c r="AD708" s="236">
        <v>5141276.2767682066</v>
      </c>
      <c r="AE708" s="236">
        <v>4787634.8966600494</v>
      </c>
      <c r="AF708" s="236">
        <v>4372526.573102531</v>
      </c>
      <c r="AG708" s="236">
        <v>4065618.8549136338</v>
      </c>
      <c r="AH708" s="236">
        <v>3858978.8228300903</v>
      </c>
      <c r="AI708" s="236">
        <v>3686068.7283571246</v>
      </c>
      <c r="AJ708" s="236">
        <v>3555473.421789492</v>
      </c>
      <c r="AK708" s="236">
        <v>3438620.718450937</v>
      </c>
      <c r="AL708" s="236">
        <v>3380004.3930205163</v>
      </c>
      <c r="AM708" s="236">
        <v>3236703.814231385</v>
      </c>
      <c r="AN708" s="236">
        <v>2698035.1252344688</v>
      </c>
      <c r="AO708" s="236">
        <v>2667498.2773898426</v>
      </c>
      <c r="AP708" s="236">
        <v>2581232.3048725943</v>
      </c>
      <c r="AQ708" s="236">
        <v>2258185.9916592888</v>
      </c>
      <c r="AR708" s="236">
        <v>1970093.2889497704</v>
      </c>
      <c r="AS708" s="236">
        <v>1968305.2199216934</v>
      </c>
      <c r="AT708" s="236">
        <v>1705227.9507529626</v>
      </c>
      <c r="AU708" s="236">
        <v>1018366.391582832</v>
      </c>
      <c r="AV708" s="236">
        <v>596144.64101706399</v>
      </c>
      <c r="AW708" s="236">
        <v>594615.51545129588</v>
      </c>
      <c r="AX708" s="236">
        <v>594712.33047928626</v>
      </c>
      <c r="AY708" s="236">
        <v>412660.06271975988</v>
      </c>
      <c r="AZ708" s="236">
        <v>235063.15838887086</v>
      </c>
      <c r="BA708" s="236">
        <v>116333.19671875</v>
      </c>
      <c r="BB708" s="236">
        <v>116333.19671875</v>
      </c>
      <c r="BC708" s="236">
        <v>116333.19671875</v>
      </c>
      <c r="BD708" s="236">
        <v>116333.19671875</v>
      </c>
      <c r="BE708" s="236">
        <v>116333.19671875</v>
      </c>
      <c r="BF708" s="236">
        <v>116333.19671875</v>
      </c>
      <c r="BG708" s="236">
        <v>116333.19671875</v>
      </c>
      <c r="BH708" s="236">
        <v>116333.19671875</v>
      </c>
      <c r="BI708" s="236">
        <v>116333.19671875</v>
      </c>
      <c r="BJ708" s="236">
        <v>116333.19671875</v>
      </c>
      <c r="BK708" s="236">
        <v>116333.19671875</v>
      </c>
    </row>
    <row r="709" spans="1:63">
      <c r="A709" s="169"/>
      <c r="B709" s="307" t="s">
        <v>29</v>
      </c>
      <c r="C709" s="313"/>
      <c r="D709" s="314"/>
      <c r="E709" s="314"/>
      <c r="F709" s="314"/>
      <c r="G709" s="314"/>
      <c r="H709" s="314"/>
      <c r="I709" s="314"/>
      <c r="J709" s="314"/>
      <c r="K709" s="314"/>
      <c r="L709" s="314"/>
      <c r="M709" s="314"/>
      <c r="N709" s="314"/>
      <c r="O709" s="314"/>
      <c r="P709" s="314"/>
      <c r="Q709" s="314"/>
      <c r="R709" s="314"/>
      <c r="S709" s="311"/>
      <c r="T709" s="311"/>
      <c r="U709" s="311"/>
      <c r="V709" s="311">
        <f>+V708+V707</f>
        <v>4722670.9589270065</v>
      </c>
      <c r="W709" s="311">
        <f t="shared" ref="W709:BA709" si="128">+W708+W707</f>
        <v>19992944.153412595</v>
      </c>
      <c r="X709" s="311">
        <f t="shared" si="128"/>
        <v>11416123.358255472</v>
      </c>
      <c r="Y709" s="311">
        <f t="shared" si="128"/>
        <v>16818528.849291131</v>
      </c>
      <c r="Z709" s="311">
        <f t="shared" si="128"/>
        <v>23538152.894512143</v>
      </c>
      <c r="AA709" s="311">
        <f t="shared" si="128"/>
        <v>14863088.771403387</v>
      </c>
      <c r="AB709" s="311">
        <f t="shared" si="128"/>
        <v>23304746.016884722</v>
      </c>
      <c r="AC709" s="311">
        <f t="shared" si="128"/>
        <v>24512214.296438742</v>
      </c>
      <c r="AD709" s="311">
        <f t="shared" si="128"/>
        <v>13001723.454331852</v>
      </c>
      <c r="AE709" s="311">
        <f t="shared" si="128"/>
        <v>19205760.219710659</v>
      </c>
      <c r="AF709" s="311">
        <f t="shared" si="128"/>
        <v>16175437.335762687</v>
      </c>
      <c r="AG709" s="311">
        <f t="shared" si="128"/>
        <v>14602266.195492834</v>
      </c>
      <c r="AH709" s="311">
        <f t="shared" si="128"/>
        <v>9371205.5371215232</v>
      </c>
      <c r="AI709" s="311">
        <f t="shared" si="128"/>
        <v>10391213.702535488</v>
      </c>
      <c r="AJ709" s="311">
        <f t="shared" si="128"/>
        <v>8151734.776212424</v>
      </c>
      <c r="AK709" s="311">
        <f t="shared" si="128"/>
        <v>8085658.0460356195</v>
      </c>
      <c r="AL709" s="311">
        <f t="shared" si="128"/>
        <v>11439691.903789299</v>
      </c>
      <c r="AM709" s="311">
        <f t="shared" si="128"/>
        <v>12177003.933153413</v>
      </c>
      <c r="AN709" s="311">
        <f t="shared" si="128"/>
        <v>4020777.8982272027</v>
      </c>
      <c r="AO709" s="311">
        <f t="shared" si="128"/>
        <v>5147524.1699063852</v>
      </c>
      <c r="AP709" s="311">
        <f t="shared" si="128"/>
        <v>5344163.9530861517</v>
      </c>
      <c r="AQ709" s="311">
        <f t="shared" si="128"/>
        <v>11714804.739872845</v>
      </c>
      <c r="AR709" s="311">
        <f t="shared" si="128"/>
        <v>2077987.0371633281</v>
      </c>
      <c r="AS709" s="311">
        <f t="shared" si="128"/>
        <v>2075519.0647838891</v>
      </c>
      <c r="AT709" s="311">
        <f t="shared" si="128"/>
        <v>11155270.63109735</v>
      </c>
      <c r="AU709" s="311">
        <f t="shared" si="128"/>
        <v>17942335.707062356</v>
      </c>
      <c r="AV709" s="311">
        <f t="shared" si="128"/>
        <v>692408.95649658947</v>
      </c>
      <c r="AW709" s="311">
        <f t="shared" si="128"/>
        <v>690879.83093082136</v>
      </c>
      <c r="AX709" s="311">
        <f t="shared" si="128"/>
        <v>690976.64595881174</v>
      </c>
      <c r="AY709" s="311">
        <f t="shared" si="128"/>
        <v>7240006.3781992849</v>
      </c>
      <c r="AZ709" s="311">
        <f t="shared" si="128"/>
        <v>295542.848357932</v>
      </c>
      <c r="BA709" s="311">
        <f t="shared" si="128"/>
        <v>5725568.1967187496</v>
      </c>
      <c r="BB709" s="311">
        <f t="shared" ref="BB709:BJ709" si="129">+BB708+BB707</f>
        <v>5725568.1967187496</v>
      </c>
      <c r="BC709" s="311">
        <f t="shared" si="129"/>
        <v>5725568.1967187496</v>
      </c>
      <c r="BD709" s="311">
        <f t="shared" si="129"/>
        <v>5725568.1967187496</v>
      </c>
      <c r="BE709" s="311">
        <f t="shared" si="129"/>
        <v>5725568.1967187496</v>
      </c>
      <c r="BF709" s="311">
        <f t="shared" si="129"/>
        <v>5725568.1967187496</v>
      </c>
      <c r="BG709" s="311">
        <f t="shared" si="129"/>
        <v>5725568.1967187496</v>
      </c>
      <c r="BH709" s="311">
        <f t="shared" si="129"/>
        <v>5725568.1967187496</v>
      </c>
      <c r="BI709" s="311">
        <f t="shared" si="129"/>
        <v>5725568.1967187496</v>
      </c>
      <c r="BJ709" s="311">
        <f t="shared" si="129"/>
        <v>5725568.1967187496</v>
      </c>
      <c r="BK709" s="311">
        <f>+BK708+BK707</f>
        <v>5725568.1967187496</v>
      </c>
    </row>
    <row r="710" spans="1:63">
      <c r="A710" s="167"/>
      <c r="B710" s="210" t="s">
        <v>28</v>
      </c>
      <c r="C710" s="211"/>
      <c r="D710" s="212"/>
      <c r="E710" s="212"/>
      <c r="F710" s="212"/>
      <c r="G710" s="212"/>
      <c r="H710" s="212"/>
      <c r="I710" s="212"/>
      <c r="J710" s="212"/>
      <c r="K710" s="212"/>
      <c r="L710" s="212"/>
      <c r="M710" s="212"/>
      <c r="N710" s="212"/>
      <c r="O710" s="212"/>
      <c r="P710" s="212"/>
      <c r="Q710" s="212"/>
      <c r="R710" s="212"/>
      <c r="S710" s="235"/>
      <c r="T710" s="235"/>
      <c r="U710" s="235"/>
      <c r="V710" s="235">
        <v>1425054.9058370749</v>
      </c>
      <c r="W710" s="235">
        <v>11756208.423773259</v>
      </c>
      <c r="X710" s="235">
        <v>3678585.9589203191</v>
      </c>
      <c r="Y710" s="235">
        <v>9381414.5059082154</v>
      </c>
      <c r="Z710" s="235">
        <v>16622446.526786242</v>
      </c>
      <c r="AA710" s="235">
        <v>8329091.7316006133</v>
      </c>
      <c r="AB710" s="235">
        <v>17241137.127802908</v>
      </c>
      <c r="AC710" s="235">
        <v>19078940.398895424</v>
      </c>
      <c r="AD710" s="235">
        <v>8070530.4767879229</v>
      </c>
      <c r="AE710" s="235">
        <v>14662639.315267742</v>
      </c>
      <c r="AF710" s="235">
        <v>12031873.393678285</v>
      </c>
      <c r="AG710" s="235">
        <v>10758437.834193956</v>
      </c>
      <c r="AH710" s="235">
        <v>5705006.3817305351</v>
      </c>
      <c r="AI710" s="235">
        <v>6906555.6301274979</v>
      </c>
      <c r="AJ710" s="235">
        <v>4783440.0671355538</v>
      </c>
      <c r="AK710" s="235">
        <v>4860628.0106735891</v>
      </c>
      <c r="AL710" s="235">
        <v>8253277.4699152689</v>
      </c>
      <c r="AM710" s="235">
        <v>9081311.5267293621</v>
      </c>
      <c r="AN710" s="235">
        <v>1421886.2881043733</v>
      </c>
      <c r="AO710" s="235">
        <v>2585634.3652472314</v>
      </c>
      <c r="AP710" s="235">
        <v>2870054.7173001384</v>
      </c>
      <c r="AQ710" s="235">
        <v>9510367.1241966896</v>
      </c>
      <c r="AR710" s="235">
        <v>109417.12419669029</v>
      </c>
      <c r="AS710" s="235">
        <v>108733.42268541605</v>
      </c>
      <c r="AT710" s="235">
        <v>9503754.3202865683</v>
      </c>
      <c r="AU710" s="235">
        <v>17019432.725691974</v>
      </c>
      <c r="AV710" s="235">
        <v>97722.725691974221</v>
      </c>
      <c r="AW710" s="235">
        <v>97722.725691974221</v>
      </c>
      <c r="AX710" s="235">
        <v>97722.725691974221</v>
      </c>
      <c r="AY710" s="235">
        <v>6866406.7256919751</v>
      </c>
      <c r="AZ710" s="235">
        <v>61382.707841347627</v>
      </c>
      <c r="BA710" s="235">
        <v>5640570</v>
      </c>
      <c r="BB710" s="235">
        <v>5640570</v>
      </c>
      <c r="BC710" s="235">
        <v>5640570</v>
      </c>
      <c r="BD710" s="235">
        <v>5640570</v>
      </c>
      <c r="BE710" s="235">
        <v>5640570</v>
      </c>
      <c r="BF710" s="235">
        <v>5640570</v>
      </c>
      <c r="BG710" s="235">
        <v>5640570</v>
      </c>
      <c r="BH710" s="235">
        <v>5640570</v>
      </c>
      <c r="BI710" s="235">
        <v>5640570</v>
      </c>
      <c r="BJ710" s="235">
        <v>5640570</v>
      </c>
      <c r="BK710" s="235">
        <v>5640570</v>
      </c>
    </row>
    <row r="711" spans="1:63">
      <c r="A711" s="168">
        <v>44074</v>
      </c>
      <c r="B711" s="213" t="s">
        <v>385</v>
      </c>
      <c r="C711" s="214"/>
      <c r="D711" s="215"/>
      <c r="E711" s="215"/>
      <c r="F711" s="215"/>
      <c r="G711" s="215"/>
      <c r="H711" s="215"/>
      <c r="I711" s="215"/>
      <c r="J711" s="215"/>
      <c r="K711" s="215"/>
      <c r="L711" s="215"/>
      <c r="M711" s="215"/>
      <c r="N711" s="215"/>
      <c r="O711" s="215"/>
      <c r="P711" s="215"/>
      <c r="Q711" s="215"/>
      <c r="R711" s="216"/>
      <c r="S711" s="236"/>
      <c r="T711" s="236"/>
      <c r="U711" s="236"/>
      <c r="V711" s="236">
        <v>2357849.933144311</v>
      </c>
      <c r="W711" s="236">
        <v>8414474.4432255048</v>
      </c>
      <c r="X711" s="236">
        <v>7881215.4094036492</v>
      </c>
      <c r="Y711" s="236">
        <v>7672877.4797358289</v>
      </c>
      <c r="Z711" s="236">
        <v>7204281.8182643168</v>
      </c>
      <c r="AA711" s="236">
        <v>6774933.0249781758</v>
      </c>
      <c r="AB711" s="236">
        <v>6458307.3053918174</v>
      </c>
      <c r="AC711" s="236">
        <v>5804456.2565930197</v>
      </c>
      <c r="AD711" s="236">
        <v>5227573.3408452561</v>
      </c>
      <c r="AE711" s="236">
        <v>4865043.1507155364</v>
      </c>
      <c r="AF711" s="236">
        <v>4443371.6694621965</v>
      </c>
      <c r="AG711" s="236">
        <v>4153745.0643051346</v>
      </c>
      <c r="AH711" s="236">
        <v>3943291.137309338</v>
      </c>
      <c r="AI711" s="236">
        <v>3760478.1979804812</v>
      </c>
      <c r="AJ711" s="236">
        <v>3620825.6716311146</v>
      </c>
      <c r="AK711" s="236">
        <v>3501462.7321128091</v>
      </c>
      <c r="AL711" s="236">
        <v>3425972.4622069527</v>
      </c>
      <c r="AM711" s="236">
        <v>3277481.4942069128</v>
      </c>
      <c r="AN711" s="236">
        <v>2733734.2601582296</v>
      </c>
      <c r="AO711" s="236">
        <v>2700999.9863828691</v>
      </c>
      <c r="AP711" s="236">
        <v>2602511.6241728431</v>
      </c>
      <c r="AQ711" s="236">
        <v>2270944.1365360669</v>
      </c>
      <c r="AR711" s="236">
        <v>1981226.3735199457</v>
      </c>
      <c r="AS711" s="236">
        <v>1979412.5940094078</v>
      </c>
      <c r="AT711" s="236">
        <v>1714850.3803202885</v>
      </c>
      <c r="AU711" s="236">
        <v>1024136.3948122215</v>
      </c>
      <c r="AV711" s="236">
        <v>599540.85543587711</v>
      </c>
      <c r="AW711" s="236">
        <v>597988.06605953258</v>
      </c>
      <c r="AX711" s="236">
        <v>598070.40859706048</v>
      </c>
      <c r="AY711" s="236">
        <v>414985.908106844</v>
      </c>
      <c r="AZ711" s="236">
        <v>236380.90039839377</v>
      </c>
      <c r="BA711" s="236">
        <v>116983.0715625</v>
      </c>
      <c r="BB711" s="236">
        <v>116983.0715625</v>
      </c>
      <c r="BC711" s="236">
        <v>116983.0715625</v>
      </c>
      <c r="BD711" s="236">
        <v>116983.0715625</v>
      </c>
      <c r="BE711" s="236">
        <v>116983.0715625</v>
      </c>
      <c r="BF711" s="236">
        <v>116983.0715625</v>
      </c>
      <c r="BG711" s="236">
        <v>116983.0715625</v>
      </c>
      <c r="BH711" s="236">
        <v>116983.0715625</v>
      </c>
      <c r="BI711" s="236">
        <v>116983.0715625</v>
      </c>
      <c r="BJ711" s="236">
        <v>116983.0715625</v>
      </c>
      <c r="BK711" s="236">
        <v>116983.0715625</v>
      </c>
    </row>
    <row r="712" spans="1:63">
      <c r="A712" s="169"/>
      <c r="B712" s="307" t="s">
        <v>29</v>
      </c>
      <c r="C712" s="313"/>
      <c r="D712" s="314"/>
      <c r="E712" s="314"/>
      <c r="F712" s="314"/>
      <c r="G712" s="314"/>
      <c r="H712" s="314"/>
      <c r="I712" s="314"/>
      <c r="J712" s="314"/>
      <c r="K712" s="314"/>
      <c r="L712" s="314"/>
      <c r="M712" s="314"/>
      <c r="N712" s="314"/>
      <c r="O712" s="314"/>
      <c r="P712" s="314"/>
      <c r="Q712" s="314"/>
      <c r="R712" s="314"/>
      <c r="S712" s="311"/>
      <c r="T712" s="311"/>
      <c r="U712" s="311"/>
      <c r="V712" s="311">
        <f>+V711+V710</f>
        <v>3782904.8389813858</v>
      </c>
      <c r="W712" s="311">
        <f t="shared" ref="W712:BA712" si="130">+W711+W710</f>
        <v>20170682.866998762</v>
      </c>
      <c r="X712" s="311">
        <f t="shared" si="130"/>
        <v>11559801.368323969</v>
      </c>
      <c r="Y712" s="311">
        <f t="shared" si="130"/>
        <v>17054291.985644042</v>
      </c>
      <c r="Z712" s="311">
        <f t="shared" si="130"/>
        <v>23826728.345050558</v>
      </c>
      <c r="AA712" s="311">
        <f t="shared" si="130"/>
        <v>15104024.756578788</v>
      </c>
      <c r="AB712" s="311">
        <f t="shared" si="130"/>
        <v>23699444.433194727</v>
      </c>
      <c r="AC712" s="311">
        <f t="shared" si="130"/>
        <v>24883396.655488443</v>
      </c>
      <c r="AD712" s="311">
        <f t="shared" si="130"/>
        <v>13298103.817633178</v>
      </c>
      <c r="AE712" s="311">
        <f t="shared" si="130"/>
        <v>19527682.465983279</v>
      </c>
      <c r="AF712" s="311">
        <f t="shared" si="130"/>
        <v>16475245.063140482</v>
      </c>
      <c r="AG712" s="311">
        <f t="shared" si="130"/>
        <v>14912182.89849909</v>
      </c>
      <c r="AH712" s="311">
        <f t="shared" si="130"/>
        <v>9648297.519039873</v>
      </c>
      <c r="AI712" s="311">
        <f t="shared" si="130"/>
        <v>10667033.828107979</v>
      </c>
      <c r="AJ712" s="311">
        <f t="shared" si="130"/>
        <v>8404265.7387666684</v>
      </c>
      <c r="AK712" s="311">
        <f t="shared" si="130"/>
        <v>8362090.7427863982</v>
      </c>
      <c r="AL712" s="311">
        <f t="shared" si="130"/>
        <v>11679249.932122221</v>
      </c>
      <c r="AM712" s="311">
        <f t="shared" si="130"/>
        <v>12358793.020936275</v>
      </c>
      <c r="AN712" s="311">
        <f t="shared" si="130"/>
        <v>4155620.5482626026</v>
      </c>
      <c r="AO712" s="311">
        <f t="shared" si="130"/>
        <v>5286634.351630101</v>
      </c>
      <c r="AP712" s="311">
        <f t="shared" si="130"/>
        <v>5472566.3414729815</v>
      </c>
      <c r="AQ712" s="311">
        <f t="shared" si="130"/>
        <v>11781311.260732757</v>
      </c>
      <c r="AR712" s="311">
        <f t="shared" si="130"/>
        <v>2090643.4977166359</v>
      </c>
      <c r="AS712" s="311">
        <f t="shared" si="130"/>
        <v>2088146.0166948237</v>
      </c>
      <c r="AT712" s="311">
        <f t="shared" si="130"/>
        <v>11218604.700606856</v>
      </c>
      <c r="AU712" s="311">
        <f t="shared" si="130"/>
        <v>18043569.120504197</v>
      </c>
      <c r="AV712" s="311">
        <f t="shared" si="130"/>
        <v>697263.58112785127</v>
      </c>
      <c r="AW712" s="311">
        <f t="shared" si="130"/>
        <v>695710.79175150674</v>
      </c>
      <c r="AX712" s="311">
        <f t="shared" si="130"/>
        <v>695793.13428903464</v>
      </c>
      <c r="AY712" s="311">
        <f t="shared" si="130"/>
        <v>7281392.633798819</v>
      </c>
      <c r="AZ712" s="311">
        <f t="shared" si="130"/>
        <v>297763.60823974141</v>
      </c>
      <c r="BA712" s="311">
        <f t="shared" si="130"/>
        <v>5757553.0715624997</v>
      </c>
      <c r="BB712" s="311">
        <f t="shared" ref="BB712:BJ712" si="131">+BB711+BB710</f>
        <v>5757553.0715624997</v>
      </c>
      <c r="BC712" s="311">
        <f t="shared" si="131"/>
        <v>5757553.0715624997</v>
      </c>
      <c r="BD712" s="311">
        <f t="shared" si="131"/>
        <v>5757553.0715624997</v>
      </c>
      <c r="BE712" s="311">
        <f t="shared" si="131"/>
        <v>5757553.0715624997</v>
      </c>
      <c r="BF712" s="311">
        <f t="shared" si="131"/>
        <v>5757553.0715624997</v>
      </c>
      <c r="BG712" s="311">
        <f t="shared" si="131"/>
        <v>5757553.0715624997</v>
      </c>
      <c r="BH712" s="311">
        <f t="shared" si="131"/>
        <v>5757553.0715624997</v>
      </c>
      <c r="BI712" s="311">
        <f t="shared" si="131"/>
        <v>5757553.0715624997</v>
      </c>
      <c r="BJ712" s="311">
        <f t="shared" si="131"/>
        <v>5757553.0715624997</v>
      </c>
      <c r="BK712" s="311">
        <f>+BK711+BK710</f>
        <v>5757553.0715624997</v>
      </c>
    </row>
    <row r="713" spans="1:63">
      <c r="A713" s="167"/>
      <c r="B713" s="210" t="s">
        <v>28</v>
      </c>
      <c r="C713" s="211"/>
      <c r="D713" s="212"/>
      <c r="E713" s="212"/>
      <c r="F713" s="212"/>
      <c r="G713" s="212"/>
      <c r="H713" s="212"/>
      <c r="I713" s="212"/>
      <c r="J713" s="212"/>
      <c r="K713" s="212"/>
      <c r="L713" s="212"/>
      <c r="M713" s="212"/>
      <c r="N713" s="212"/>
      <c r="O713" s="212"/>
      <c r="P713" s="212"/>
      <c r="Q713" s="212"/>
      <c r="R713" s="212"/>
      <c r="S713" s="235"/>
      <c r="T713" s="235"/>
      <c r="U713" s="235"/>
      <c r="V713" s="235">
        <v>1303458.3840439257</v>
      </c>
      <c r="W713" s="235">
        <v>12033635.107607614</v>
      </c>
      <c r="X713" s="235">
        <v>3778082.2926585283</v>
      </c>
      <c r="Y713" s="235">
        <v>9628431.4076827671</v>
      </c>
      <c r="Z713" s="235">
        <v>17129604.340918977</v>
      </c>
      <c r="AA713" s="235">
        <v>8574808.8359153848</v>
      </c>
      <c r="AB713" s="235">
        <v>17606114.432457678</v>
      </c>
      <c r="AC713" s="235">
        <v>19602915.695499104</v>
      </c>
      <c r="AD713" s="235">
        <v>8308129.5854977947</v>
      </c>
      <c r="AE713" s="235">
        <v>15114128.153374529</v>
      </c>
      <c r="AF713" s="235">
        <v>12401924.620389068</v>
      </c>
      <c r="AG713" s="235">
        <v>11099155.805954464</v>
      </c>
      <c r="AH713" s="235">
        <v>5879308.0537059521</v>
      </c>
      <c r="AI713" s="235">
        <v>7121018.4277668893</v>
      </c>
      <c r="AJ713" s="235">
        <v>4930048.4555113483</v>
      </c>
      <c r="AK713" s="235">
        <v>4933275.8704195954</v>
      </c>
      <c r="AL713" s="235">
        <v>8355371.1882978473</v>
      </c>
      <c r="AM713" s="235">
        <v>9363426.6986486036</v>
      </c>
      <c r="AN713" s="235">
        <v>1464191.491015289</v>
      </c>
      <c r="AO713" s="235">
        <v>2664631.0653010029</v>
      </c>
      <c r="AP713" s="235">
        <v>2958018.8294078507</v>
      </c>
      <c r="AQ713" s="235">
        <v>9807691.8432009537</v>
      </c>
      <c r="AR713" s="235">
        <v>110341.84320095398</v>
      </c>
      <c r="AS713" s="235">
        <v>109636.5854503697</v>
      </c>
      <c r="AT713" s="235">
        <v>9800870.5459918603</v>
      </c>
      <c r="AU713" s="235">
        <v>17553508.735181052</v>
      </c>
      <c r="AV713" s="235">
        <v>98278.735181050855</v>
      </c>
      <c r="AW713" s="235">
        <v>98278.735181050855</v>
      </c>
      <c r="AX713" s="235">
        <v>98278.735181050855</v>
      </c>
      <c r="AY713" s="235">
        <v>7080370.7351810513</v>
      </c>
      <c r="AZ713" s="235">
        <v>61767.96174132506</v>
      </c>
      <c r="BA713" s="235">
        <v>5818410</v>
      </c>
      <c r="BB713" s="235">
        <v>5818410</v>
      </c>
      <c r="BC713" s="235">
        <v>5818410</v>
      </c>
      <c r="BD713" s="235">
        <v>5818410</v>
      </c>
      <c r="BE713" s="235">
        <v>5818410</v>
      </c>
      <c r="BF713" s="235">
        <v>5818410</v>
      </c>
      <c r="BG713" s="235">
        <v>5818410</v>
      </c>
      <c r="BH713" s="235">
        <v>5818410</v>
      </c>
      <c r="BI713" s="235">
        <v>5818410</v>
      </c>
      <c r="BJ713" s="235">
        <v>5818410</v>
      </c>
      <c r="BK713" s="235">
        <v>5818410</v>
      </c>
    </row>
    <row r="714" spans="1:63">
      <c r="A714" s="168">
        <v>44104</v>
      </c>
      <c r="B714" s="213" t="s">
        <v>385</v>
      </c>
      <c r="C714" s="214"/>
      <c r="D714" s="215"/>
      <c r="E714" s="215"/>
      <c r="F714" s="215"/>
      <c r="G714" s="215"/>
      <c r="H714" s="215"/>
      <c r="I714" s="215"/>
      <c r="J714" s="215"/>
      <c r="K714" s="215"/>
      <c r="L714" s="215"/>
      <c r="M714" s="215"/>
      <c r="N714" s="215"/>
      <c r="O714" s="215"/>
      <c r="P714" s="215"/>
      <c r="Q714" s="215"/>
      <c r="R714" s="216"/>
      <c r="S714" s="236"/>
      <c r="T714" s="236"/>
      <c r="U714" s="236"/>
      <c r="V714" s="236">
        <v>1856654.060110566</v>
      </c>
      <c r="W714" s="236">
        <v>8697010.6340525988</v>
      </c>
      <c r="X714" s="236">
        <v>8143817.5439094659</v>
      </c>
      <c r="Y714" s="236">
        <v>7971066.6851829281</v>
      </c>
      <c r="Z714" s="236">
        <v>7466662.5094860261</v>
      </c>
      <c r="AA714" s="236">
        <v>7020231.1913541341</v>
      </c>
      <c r="AB714" s="236">
        <v>6682453.736277733</v>
      </c>
      <c r="AC714" s="236">
        <v>6008169.5256360294</v>
      </c>
      <c r="AD714" s="236">
        <v>5410139.3234265372</v>
      </c>
      <c r="AE714" s="236">
        <v>5029888.16703883</v>
      </c>
      <c r="AF714" s="236">
        <v>4589221.5774298413</v>
      </c>
      <c r="AG714" s="236">
        <v>4287146.1443981798</v>
      </c>
      <c r="AH714" s="236">
        <v>4065351.024657411</v>
      </c>
      <c r="AI714" s="236">
        <v>3871757.7648390727</v>
      </c>
      <c r="AJ714" s="236">
        <v>3722929.9899377748</v>
      </c>
      <c r="AK714" s="236">
        <v>3597474.3397318688</v>
      </c>
      <c r="AL714" s="236">
        <v>3539535.1200803081</v>
      </c>
      <c r="AM714" s="236">
        <v>3388959.4132947903</v>
      </c>
      <c r="AN714" s="236">
        <v>2826720.0298111285</v>
      </c>
      <c r="AO714" s="236">
        <v>2791555.9130100776</v>
      </c>
      <c r="AP714" s="236">
        <v>2685718.1870591245</v>
      </c>
      <c r="AQ714" s="236">
        <v>2342155.7746885982</v>
      </c>
      <c r="AR714" s="236">
        <v>2043345.0810398317</v>
      </c>
      <c r="AS714" s="236">
        <v>2041515.6160788962</v>
      </c>
      <c r="AT714" s="236">
        <v>1768652.8297365971</v>
      </c>
      <c r="AU714" s="236">
        <v>1056203.7362153896</v>
      </c>
      <c r="AV714" s="236">
        <v>618262.7135372546</v>
      </c>
      <c r="AW714" s="236">
        <v>616702.44085911918</v>
      </c>
      <c r="AX714" s="236">
        <v>616828.55671633803</v>
      </c>
      <c r="AY714" s="236">
        <v>428013.40590284899</v>
      </c>
      <c r="AZ714" s="236">
        <v>243821.06434677934</v>
      </c>
      <c r="BA714" s="236">
        <v>120671.3990625</v>
      </c>
      <c r="BB714" s="236">
        <v>120671.3990625</v>
      </c>
      <c r="BC714" s="236">
        <v>120671.3990625</v>
      </c>
      <c r="BD714" s="236">
        <v>120671.3990625</v>
      </c>
      <c r="BE714" s="236">
        <v>120671.3990625</v>
      </c>
      <c r="BF714" s="236">
        <v>120671.3990625</v>
      </c>
      <c r="BG714" s="236">
        <v>120671.3990625</v>
      </c>
      <c r="BH714" s="236">
        <v>120671.3990625</v>
      </c>
      <c r="BI714" s="236">
        <v>120671.3990625</v>
      </c>
      <c r="BJ714" s="236">
        <v>120671.3990625</v>
      </c>
      <c r="BK714" s="236">
        <v>120671.3990625</v>
      </c>
    </row>
    <row r="715" spans="1:63">
      <c r="A715" s="169"/>
      <c r="B715" s="307" t="s">
        <v>29</v>
      </c>
      <c r="C715" s="313"/>
      <c r="D715" s="314"/>
      <c r="E715" s="314"/>
      <c r="F715" s="314"/>
      <c r="G715" s="314"/>
      <c r="H715" s="314"/>
      <c r="I715" s="314"/>
      <c r="J715" s="314"/>
      <c r="K715" s="314"/>
      <c r="L715" s="314"/>
      <c r="M715" s="314"/>
      <c r="N715" s="314"/>
      <c r="O715" s="314"/>
      <c r="P715" s="314"/>
      <c r="Q715" s="314"/>
      <c r="R715" s="314"/>
      <c r="S715" s="311"/>
      <c r="T715" s="311"/>
      <c r="U715" s="311"/>
      <c r="V715" s="311">
        <f>+V714+V713</f>
        <v>3160112.4441544916</v>
      </c>
      <c r="W715" s="311">
        <f t="shared" ref="W715:BA715" si="132">+W714+W713</f>
        <v>20730645.741660215</v>
      </c>
      <c r="X715" s="311">
        <f t="shared" si="132"/>
        <v>11921899.836567994</v>
      </c>
      <c r="Y715" s="311">
        <f t="shared" si="132"/>
        <v>17599498.092865694</v>
      </c>
      <c r="Z715" s="311">
        <f t="shared" si="132"/>
        <v>24596266.850405004</v>
      </c>
      <c r="AA715" s="311">
        <f t="shared" si="132"/>
        <v>15595040.02726952</v>
      </c>
      <c r="AB715" s="311">
        <f t="shared" si="132"/>
        <v>24288568.168735411</v>
      </c>
      <c r="AC715" s="311">
        <f t="shared" si="132"/>
        <v>25611085.221135132</v>
      </c>
      <c r="AD715" s="311">
        <f t="shared" si="132"/>
        <v>13718268.908924332</v>
      </c>
      <c r="AE715" s="311">
        <f t="shared" si="132"/>
        <v>20144016.320413359</v>
      </c>
      <c r="AF715" s="311">
        <f t="shared" si="132"/>
        <v>16991146.197818909</v>
      </c>
      <c r="AG715" s="311">
        <f t="shared" si="132"/>
        <v>15386301.950352643</v>
      </c>
      <c r="AH715" s="311">
        <f t="shared" si="132"/>
        <v>9944659.0783633627</v>
      </c>
      <c r="AI715" s="311">
        <f t="shared" si="132"/>
        <v>10992776.192605961</v>
      </c>
      <c r="AJ715" s="311">
        <f t="shared" si="132"/>
        <v>8652978.4454491232</v>
      </c>
      <c r="AK715" s="311">
        <f t="shared" si="132"/>
        <v>8530750.2101514637</v>
      </c>
      <c r="AL715" s="311">
        <f t="shared" si="132"/>
        <v>11894906.308378156</v>
      </c>
      <c r="AM715" s="311">
        <f t="shared" si="132"/>
        <v>12752386.111943394</v>
      </c>
      <c r="AN715" s="311">
        <f t="shared" si="132"/>
        <v>4290911.520826418</v>
      </c>
      <c r="AO715" s="311">
        <f t="shared" si="132"/>
        <v>5456186.9783110805</v>
      </c>
      <c r="AP715" s="311">
        <f t="shared" si="132"/>
        <v>5643737.0164669752</v>
      </c>
      <c r="AQ715" s="311">
        <f t="shared" si="132"/>
        <v>12149847.617889551</v>
      </c>
      <c r="AR715" s="311">
        <f t="shared" si="132"/>
        <v>2153686.9242407857</v>
      </c>
      <c r="AS715" s="311">
        <f t="shared" si="132"/>
        <v>2151152.2015292658</v>
      </c>
      <c r="AT715" s="311">
        <f t="shared" si="132"/>
        <v>11569523.375728458</v>
      </c>
      <c r="AU715" s="311">
        <f t="shared" si="132"/>
        <v>18609712.471396443</v>
      </c>
      <c r="AV715" s="311">
        <f t="shared" si="132"/>
        <v>716541.44871830544</v>
      </c>
      <c r="AW715" s="311">
        <f t="shared" si="132"/>
        <v>714981.17604017002</v>
      </c>
      <c r="AX715" s="311">
        <f t="shared" si="132"/>
        <v>715107.29189738887</v>
      </c>
      <c r="AY715" s="311">
        <f t="shared" si="132"/>
        <v>7508384.1410838999</v>
      </c>
      <c r="AZ715" s="311">
        <f t="shared" si="132"/>
        <v>305589.02608810441</v>
      </c>
      <c r="BA715" s="311">
        <f t="shared" si="132"/>
        <v>5939081.3990625003</v>
      </c>
      <c r="BB715" s="311">
        <f t="shared" ref="BB715:BJ715" si="133">+BB714+BB713</f>
        <v>5939081.3990625003</v>
      </c>
      <c r="BC715" s="311">
        <f t="shared" si="133"/>
        <v>5939081.3990625003</v>
      </c>
      <c r="BD715" s="311">
        <f t="shared" si="133"/>
        <v>5939081.3990625003</v>
      </c>
      <c r="BE715" s="311">
        <f t="shared" si="133"/>
        <v>5939081.3990625003</v>
      </c>
      <c r="BF715" s="311">
        <f t="shared" si="133"/>
        <v>5939081.3990625003</v>
      </c>
      <c r="BG715" s="311">
        <f t="shared" si="133"/>
        <v>5939081.3990625003</v>
      </c>
      <c r="BH715" s="311">
        <f t="shared" si="133"/>
        <v>5939081.3990625003</v>
      </c>
      <c r="BI715" s="311">
        <f t="shared" si="133"/>
        <v>5939081.3990625003</v>
      </c>
      <c r="BJ715" s="311">
        <f t="shared" si="133"/>
        <v>5939081.3990625003</v>
      </c>
      <c r="BK715" s="311">
        <f>+BK714+BK713</f>
        <v>5939081.3990625003</v>
      </c>
    </row>
    <row r="716" spans="1:63">
      <c r="A716" s="167"/>
      <c r="B716" s="210" t="s">
        <v>28</v>
      </c>
      <c r="C716" s="211"/>
      <c r="D716" s="212"/>
      <c r="E716" s="212"/>
      <c r="F716" s="212"/>
      <c r="G716" s="212"/>
      <c r="H716" s="212"/>
      <c r="I716" s="212"/>
      <c r="J716" s="212"/>
      <c r="K716" s="212"/>
      <c r="L716" s="212"/>
      <c r="M716" s="212"/>
      <c r="N716" s="212"/>
      <c r="O716" s="212"/>
      <c r="P716" s="212"/>
      <c r="Q716" s="212"/>
      <c r="R716" s="212"/>
      <c r="S716" s="235"/>
      <c r="T716" s="235"/>
      <c r="U716" s="235"/>
      <c r="V716" s="235">
        <v>1003203.799995131</v>
      </c>
      <c r="W716" s="235">
        <v>11967143.90423103</v>
      </c>
      <c r="X716" s="235">
        <v>3756213.4725286118</v>
      </c>
      <c r="Y716" s="235">
        <v>9570139.5401857048</v>
      </c>
      <c r="Z716" s="235">
        <v>17006972.044601321</v>
      </c>
      <c r="AA716" s="235">
        <v>8517146.1422574352</v>
      </c>
      <c r="AB716" s="235">
        <v>17554865.058828704</v>
      </c>
      <c r="AC716" s="235">
        <v>19476217.15202219</v>
      </c>
      <c r="AD716" s="235">
        <v>8256777.2686259802</v>
      </c>
      <c r="AE716" s="235">
        <v>15011202.359016804</v>
      </c>
      <c r="AF716" s="235">
        <v>12343182.440101478</v>
      </c>
      <c r="AG716" s="235">
        <v>11017989.103853926</v>
      </c>
      <c r="AH716" s="235">
        <v>5836684.6867919676</v>
      </c>
      <c r="AI716" s="235">
        <v>7068351.0787510797</v>
      </c>
      <c r="AJ716" s="235">
        <v>4897401.1234775614</v>
      </c>
      <c r="AK716" s="235">
        <v>4932462.9824028118</v>
      </c>
      <c r="AL716" s="235">
        <v>8365256.8420541845</v>
      </c>
      <c r="AM716" s="235">
        <v>9296458.905745117</v>
      </c>
      <c r="AN716" s="235">
        <v>1455008.0227299312</v>
      </c>
      <c r="AO716" s="235">
        <v>2646345.9022537409</v>
      </c>
      <c r="AP716" s="235">
        <v>2936760.4760574168</v>
      </c>
      <c r="AQ716" s="235">
        <v>9734499.4864022452</v>
      </c>
      <c r="AR716" s="235">
        <v>110674.4864022447</v>
      </c>
      <c r="AS716" s="235">
        <v>109974.57589354728</v>
      </c>
      <c r="AT716" s="235">
        <v>9727729.9080521502</v>
      </c>
      <c r="AU716" s="235">
        <v>17421587.840484586</v>
      </c>
      <c r="AV716" s="235">
        <v>98702.840484582222</v>
      </c>
      <c r="AW716" s="235">
        <v>98702.840484582222</v>
      </c>
      <c r="AX716" s="235">
        <v>98702.840484582222</v>
      </c>
      <c r="AY716" s="235">
        <v>7027856.8404845838</v>
      </c>
      <c r="AZ716" s="235">
        <v>62017.409281215136</v>
      </c>
      <c r="BA716" s="235">
        <v>5774295</v>
      </c>
      <c r="BB716" s="235">
        <v>5774295</v>
      </c>
      <c r="BC716" s="235">
        <v>5774295</v>
      </c>
      <c r="BD716" s="235">
        <v>5774295</v>
      </c>
      <c r="BE716" s="235">
        <v>5774295</v>
      </c>
      <c r="BF716" s="235">
        <v>5774295</v>
      </c>
      <c r="BG716" s="235">
        <v>5774295</v>
      </c>
      <c r="BH716" s="235">
        <v>5774295</v>
      </c>
      <c r="BI716" s="235">
        <v>5774295</v>
      </c>
      <c r="BJ716" s="235">
        <v>5774295</v>
      </c>
      <c r="BK716" s="235">
        <v>5774295</v>
      </c>
    </row>
    <row r="717" spans="1:63">
      <c r="A717" s="168">
        <v>44135</v>
      </c>
      <c r="B717" s="213" t="s">
        <v>385</v>
      </c>
      <c r="C717" s="214"/>
      <c r="D717" s="215"/>
      <c r="E717" s="215"/>
      <c r="F717" s="215"/>
      <c r="G717" s="215"/>
      <c r="H717" s="215"/>
      <c r="I717" s="215"/>
      <c r="J717" s="215"/>
      <c r="K717" s="215"/>
      <c r="L717" s="215"/>
      <c r="M717" s="215"/>
      <c r="N717" s="215"/>
      <c r="O717" s="215"/>
      <c r="P717" s="215"/>
      <c r="Q717" s="215"/>
      <c r="R717" s="216"/>
      <c r="S717" s="236"/>
      <c r="T717" s="236"/>
      <c r="U717" s="236"/>
      <c r="V717" s="236">
        <v>1395324.9638026319</v>
      </c>
      <c r="W717" s="236">
        <v>8666015.1859030779</v>
      </c>
      <c r="X717" s="236">
        <v>8116283.4511104273</v>
      </c>
      <c r="Y717" s="236">
        <v>7947386.247279794</v>
      </c>
      <c r="Z717" s="236">
        <v>7445408.8527005604</v>
      </c>
      <c r="AA717" s="236">
        <v>7002236.4228010485</v>
      </c>
      <c r="AB717" s="236">
        <v>6668779.4167829836</v>
      </c>
      <c r="AC717" s="236">
        <v>5996665.3388567595</v>
      </c>
      <c r="AD717" s="236">
        <v>5400327.2688940167</v>
      </c>
      <c r="AE717" s="236">
        <v>5022331.7213551775</v>
      </c>
      <c r="AF717" s="236">
        <v>4584560.0227942821</v>
      </c>
      <c r="AG717" s="236">
        <v>4262469.2343931887</v>
      </c>
      <c r="AH717" s="236">
        <v>4038669.9789228695</v>
      </c>
      <c r="AI717" s="236">
        <v>3846402.2234076941</v>
      </c>
      <c r="AJ717" s="236">
        <v>3698187.8797339955</v>
      </c>
      <c r="AK717" s="236">
        <v>3572374.6626931797</v>
      </c>
      <c r="AL717" s="236">
        <v>3514483.3814079035</v>
      </c>
      <c r="AM717" s="236">
        <v>3363720.7781099756</v>
      </c>
      <c r="AN717" s="236">
        <v>2805641.0611240594</v>
      </c>
      <c r="AO717" s="236">
        <v>2770685.9391780039</v>
      </c>
      <c r="AP717" s="236">
        <v>2665605.9544980628</v>
      </c>
      <c r="AQ717" s="236">
        <v>2324614.899743739</v>
      </c>
      <c r="AR717" s="236">
        <v>2028036.9491043254</v>
      </c>
      <c r="AS717" s="236">
        <v>2026188.5178054683</v>
      </c>
      <c r="AT717" s="236">
        <v>1755365.4865149823</v>
      </c>
      <c r="AU717" s="236">
        <v>1048298.6064602394</v>
      </c>
      <c r="AV717" s="236">
        <v>613658.83376324666</v>
      </c>
      <c r="AW717" s="236">
        <v>612091.18606625404</v>
      </c>
      <c r="AX717" s="236">
        <v>612197.27829255187</v>
      </c>
      <c r="AY717" s="236">
        <v>424794.37547226873</v>
      </c>
      <c r="AZ717" s="236">
        <v>241978.26701223772</v>
      </c>
      <c r="BA717" s="236">
        <v>119756.47234375001</v>
      </c>
      <c r="BB717" s="236">
        <v>119756.47234375001</v>
      </c>
      <c r="BC717" s="236">
        <v>119756.47234375001</v>
      </c>
      <c r="BD717" s="236">
        <v>119756.47234375001</v>
      </c>
      <c r="BE717" s="236">
        <v>119756.47234375001</v>
      </c>
      <c r="BF717" s="236">
        <v>119756.47234375001</v>
      </c>
      <c r="BG717" s="236">
        <v>119756.47234375001</v>
      </c>
      <c r="BH717" s="236">
        <v>119756.47234375001</v>
      </c>
      <c r="BI717" s="236">
        <v>119756.47234375001</v>
      </c>
      <c r="BJ717" s="236">
        <v>119756.47234375001</v>
      </c>
      <c r="BK717" s="236">
        <v>119756.47234375001</v>
      </c>
    </row>
    <row r="718" spans="1:63">
      <c r="A718" s="169"/>
      <c r="B718" s="307" t="s">
        <v>29</v>
      </c>
      <c r="C718" s="313"/>
      <c r="D718" s="314"/>
      <c r="E718" s="314"/>
      <c r="F718" s="314"/>
      <c r="G718" s="314"/>
      <c r="H718" s="314"/>
      <c r="I718" s="314"/>
      <c r="J718" s="314"/>
      <c r="K718" s="314"/>
      <c r="L718" s="314"/>
      <c r="M718" s="314"/>
      <c r="N718" s="314"/>
      <c r="O718" s="314"/>
      <c r="P718" s="314"/>
      <c r="Q718" s="314"/>
      <c r="R718" s="314"/>
      <c r="S718" s="311"/>
      <c r="T718" s="311"/>
      <c r="U718" s="311"/>
      <c r="V718" s="311">
        <f>+V717+V716</f>
        <v>2398528.7637977628</v>
      </c>
      <c r="W718" s="311">
        <f t="shared" ref="W718:BA718" si="134">+W717+W716</f>
        <v>20633159.090134107</v>
      </c>
      <c r="X718" s="311">
        <f t="shared" si="134"/>
        <v>11872496.923639039</v>
      </c>
      <c r="Y718" s="311">
        <f t="shared" si="134"/>
        <v>17517525.787465498</v>
      </c>
      <c r="Z718" s="311">
        <f t="shared" si="134"/>
        <v>24452380.897301883</v>
      </c>
      <c r="AA718" s="311">
        <f t="shared" si="134"/>
        <v>15519382.565058485</v>
      </c>
      <c r="AB718" s="311">
        <f t="shared" si="134"/>
        <v>24223644.475611687</v>
      </c>
      <c r="AC718" s="311">
        <f t="shared" si="134"/>
        <v>25472882.490878951</v>
      </c>
      <c r="AD718" s="311">
        <f t="shared" si="134"/>
        <v>13657104.537519997</v>
      </c>
      <c r="AE718" s="311">
        <f t="shared" si="134"/>
        <v>20033534.080371983</v>
      </c>
      <c r="AF718" s="311">
        <f t="shared" si="134"/>
        <v>16927742.462895758</v>
      </c>
      <c r="AG718" s="311">
        <f t="shared" si="134"/>
        <v>15280458.338247115</v>
      </c>
      <c r="AH718" s="311">
        <f t="shared" si="134"/>
        <v>9875354.6657148376</v>
      </c>
      <c r="AI718" s="311">
        <f t="shared" si="134"/>
        <v>10914753.302158773</v>
      </c>
      <c r="AJ718" s="311">
        <f t="shared" si="134"/>
        <v>8595589.0032115579</v>
      </c>
      <c r="AK718" s="311">
        <f t="shared" si="134"/>
        <v>8504837.645095991</v>
      </c>
      <c r="AL718" s="311">
        <f t="shared" si="134"/>
        <v>11879740.223462088</v>
      </c>
      <c r="AM718" s="311">
        <f t="shared" si="134"/>
        <v>12660179.683855092</v>
      </c>
      <c r="AN718" s="311">
        <f t="shared" si="134"/>
        <v>4260649.0838539908</v>
      </c>
      <c r="AO718" s="311">
        <f t="shared" si="134"/>
        <v>5417031.8414317444</v>
      </c>
      <c r="AP718" s="311">
        <f t="shared" si="134"/>
        <v>5602366.4305554796</v>
      </c>
      <c r="AQ718" s="311">
        <f t="shared" si="134"/>
        <v>12059114.386145985</v>
      </c>
      <c r="AR718" s="311">
        <f t="shared" si="134"/>
        <v>2138711.4355065702</v>
      </c>
      <c r="AS718" s="311">
        <f t="shared" si="134"/>
        <v>2136163.0936990157</v>
      </c>
      <c r="AT718" s="311">
        <f t="shared" si="134"/>
        <v>11483095.394567132</v>
      </c>
      <c r="AU718" s="311">
        <f t="shared" si="134"/>
        <v>18469886.446944825</v>
      </c>
      <c r="AV718" s="311">
        <f t="shared" si="134"/>
        <v>712361.67424782889</v>
      </c>
      <c r="AW718" s="311">
        <f t="shared" si="134"/>
        <v>710794.02655083628</v>
      </c>
      <c r="AX718" s="311">
        <f t="shared" si="134"/>
        <v>710900.11877713411</v>
      </c>
      <c r="AY718" s="311">
        <f t="shared" si="134"/>
        <v>7452651.2159568528</v>
      </c>
      <c r="AZ718" s="311">
        <f t="shared" si="134"/>
        <v>303995.67629345285</v>
      </c>
      <c r="BA718" s="311">
        <f t="shared" si="134"/>
        <v>5894051.4723437503</v>
      </c>
      <c r="BB718" s="311">
        <f t="shared" ref="BB718:BJ718" si="135">+BB717+BB716</f>
        <v>5894051.4723437503</v>
      </c>
      <c r="BC718" s="311">
        <f t="shared" si="135"/>
        <v>5894051.4723437503</v>
      </c>
      <c r="BD718" s="311">
        <f t="shared" si="135"/>
        <v>5894051.4723437503</v>
      </c>
      <c r="BE718" s="311">
        <f t="shared" si="135"/>
        <v>5894051.4723437503</v>
      </c>
      <c r="BF718" s="311">
        <f t="shared" si="135"/>
        <v>5894051.4723437503</v>
      </c>
      <c r="BG718" s="311">
        <f t="shared" si="135"/>
        <v>5894051.4723437503</v>
      </c>
      <c r="BH718" s="311">
        <f t="shared" si="135"/>
        <v>5894051.4723437503</v>
      </c>
      <c r="BI718" s="311">
        <f t="shared" si="135"/>
        <v>5894051.4723437503</v>
      </c>
      <c r="BJ718" s="311">
        <f t="shared" si="135"/>
        <v>5894051.4723437503</v>
      </c>
      <c r="BK718" s="311">
        <f>+BK717+BK716</f>
        <v>5894051.4723437503</v>
      </c>
    </row>
    <row r="719" spans="1:63">
      <c r="A719" s="167"/>
      <c r="B719" s="210" t="s">
        <v>28</v>
      </c>
      <c r="C719" s="211"/>
      <c r="D719" s="212"/>
      <c r="E719" s="212"/>
      <c r="F719" s="212"/>
      <c r="G719" s="212"/>
      <c r="H719" s="212"/>
      <c r="I719" s="212"/>
      <c r="J719" s="212"/>
      <c r="K719" s="212"/>
      <c r="L719" s="212"/>
      <c r="M719" s="212"/>
      <c r="N719" s="212"/>
      <c r="O719" s="212"/>
      <c r="P719" s="212"/>
      <c r="Q719" s="212"/>
      <c r="R719" s="212"/>
      <c r="S719" s="235"/>
      <c r="T719" s="235"/>
      <c r="U719" s="235"/>
      <c r="V719" s="235">
        <v>316477.64875304309</v>
      </c>
      <c r="W719" s="235">
        <v>11402178.528877085</v>
      </c>
      <c r="X719" s="235">
        <v>3545372.8497006325</v>
      </c>
      <c r="Y719" s="235">
        <v>9089607.1680860594</v>
      </c>
      <c r="Z719" s="235">
        <v>15973279.852373339</v>
      </c>
      <c r="AA719" s="235">
        <v>8008542.1761425501</v>
      </c>
      <c r="AB719" s="235">
        <v>16584117.344302135</v>
      </c>
      <c r="AC719" s="235">
        <v>18408777.949674375</v>
      </c>
      <c r="AD719" s="235">
        <v>7768227.5132929478</v>
      </c>
      <c r="AE719" s="235">
        <v>14105086.82456854</v>
      </c>
      <c r="AF719" s="235">
        <v>11618462.241932591</v>
      </c>
      <c r="AG719" s="235">
        <v>10343312.275316793</v>
      </c>
      <c r="AH719" s="235">
        <v>5477938.9859111616</v>
      </c>
      <c r="AI719" s="235">
        <v>6635523.9829632519</v>
      </c>
      <c r="AJ719" s="235">
        <v>4628448.9619540852</v>
      </c>
      <c r="AK719" s="235">
        <v>4665615.9717081552</v>
      </c>
      <c r="AL719" s="235">
        <v>7924752.3385613095</v>
      </c>
      <c r="AM719" s="235">
        <v>8721601.3324102443</v>
      </c>
      <c r="AN719" s="235">
        <v>1366276.3207354129</v>
      </c>
      <c r="AO719" s="235">
        <v>2483931.0140687469</v>
      </c>
      <c r="AP719" s="235">
        <v>2756383.7052849592</v>
      </c>
      <c r="AQ719" s="235">
        <v>9133688.6156297866</v>
      </c>
      <c r="AR719" s="235">
        <v>105088.61562978708</v>
      </c>
      <c r="AS719" s="235">
        <v>104431.99396232894</v>
      </c>
      <c r="AT719" s="235">
        <v>9127337.7296679504</v>
      </c>
      <c r="AU719" s="235">
        <v>16345337.405343629</v>
      </c>
      <c r="AV719" s="235">
        <v>93857.405343626699</v>
      </c>
      <c r="AW719" s="235">
        <v>93857.405343626699</v>
      </c>
      <c r="AX719" s="235">
        <v>93857.405343626699</v>
      </c>
      <c r="AY719" s="235">
        <v>6594449.4053436266</v>
      </c>
      <c r="AZ719" s="235">
        <v>58954.7040516259</v>
      </c>
      <c r="BA719" s="235">
        <v>5417160</v>
      </c>
      <c r="BB719" s="235">
        <v>5417160</v>
      </c>
      <c r="BC719" s="235">
        <v>5417160</v>
      </c>
      <c r="BD719" s="235">
        <v>5417160</v>
      </c>
      <c r="BE719" s="235">
        <v>5417160</v>
      </c>
      <c r="BF719" s="235">
        <v>5417160</v>
      </c>
      <c r="BG719" s="235">
        <v>5417160</v>
      </c>
      <c r="BH719" s="235">
        <v>5417160</v>
      </c>
      <c r="BI719" s="235">
        <v>5417160</v>
      </c>
      <c r="BJ719" s="235">
        <v>5417160</v>
      </c>
      <c r="BK719" s="235">
        <v>5417160</v>
      </c>
    </row>
    <row r="720" spans="1:63">
      <c r="A720" s="168">
        <v>44165</v>
      </c>
      <c r="B720" s="213" t="s">
        <v>385</v>
      </c>
      <c r="C720" s="214"/>
      <c r="D720" s="215"/>
      <c r="E720" s="215"/>
      <c r="F720" s="215"/>
      <c r="G720" s="215"/>
      <c r="H720" s="215"/>
      <c r="I720" s="215"/>
      <c r="J720" s="215"/>
      <c r="K720" s="215"/>
      <c r="L720" s="215"/>
      <c r="M720" s="215"/>
      <c r="N720" s="215"/>
      <c r="O720" s="215"/>
      <c r="P720" s="215"/>
      <c r="Q720" s="215"/>
      <c r="R720" s="216"/>
      <c r="S720" s="236"/>
      <c r="T720" s="236"/>
      <c r="U720" s="236"/>
      <c r="V720" s="236">
        <v>656935.53122947668</v>
      </c>
      <c r="W720" s="236">
        <v>8143243.8649102552</v>
      </c>
      <c r="X720" s="236">
        <v>7614893.2792809568</v>
      </c>
      <c r="Y720" s="236">
        <v>7454977.3324063998</v>
      </c>
      <c r="Z720" s="236">
        <v>6980342.8926593596</v>
      </c>
      <c r="AA720" s="236">
        <v>6564193.876581518</v>
      </c>
      <c r="AB720" s="236">
        <v>6251291.9366314681</v>
      </c>
      <c r="AC720" s="236">
        <v>5617304.0428664722</v>
      </c>
      <c r="AD720" s="236">
        <v>5046069.3803014494</v>
      </c>
      <c r="AE720" s="236">
        <v>4691157.14372038</v>
      </c>
      <c r="AF720" s="236">
        <v>4280372.5755871171</v>
      </c>
      <c r="AG720" s="236">
        <v>3996980.341027163</v>
      </c>
      <c r="AH720" s="236">
        <v>3790299.0402636458</v>
      </c>
      <c r="AI720" s="236">
        <v>3610022.42642025</v>
      </c>
      <c r="AJ720" s="236">
        <v>3471367.4742014115</v>
      </c>
      <c r="AK720" s="236">
        <v>3353118.8581372248</v>
      </c>
      <c r="AL720" s="236">
        <v>3298582.2035087207</v>
      </c>
      <c r="AM720" s="236">
        <v>3155839.8405652582</v>
      </c>
      <c r="AN720" s="236">
        <v>2632296.603034711</v>
      </c>
      <c r="AO720" s="236">
        <v>2599496.2926347381</v>
      </c>
      <c r="AP720" s="236">
        <v>2500908.2795632095</v>
      </c>
      <c r="AQ720" s="236">
        <v>2180998.6354192132</v>
      </c>
      <c r="AR720" s="236">
        <v>1902755.6443348534</v>
      </c>
      <c r="AS720" s="236">
        <v>1901013.4173624422</v>
      </c>
      <c r="AT720" s="236">
        <v>1646929.6526032379</v>
      </c>
      <c r="AU720" s="236">
        <v>983573.1710546707</v>
      </c>
      <c r="AV720" s="236">
        <v>575794.79782916093</v>
      </c>
      <c r="AW720" s="236">
        <v>574303.42460365093</v>
      </c>
      <c r="AX720" s="236">
        <v>574382.42009674024</v>
      </c>
      <c r="AY720" s="236">
        <v>398549.38855263125</v>
      </c>
      <c r="AZ720" s="236">
        <v>227018.42305342018</v>
      </c>
      <c r="BA720" s="236">
        <v>112349.64125</v>
      </c>
      <c r="BB720" s="236">
        <v>112349.64125</v>
      </c>
      <c r="BC720" s="236">
        <v>112349.64125</v>
      </c>
      <c r="BD720" s="236">
        <v>112349.64125</v>
      </c>
      <c r="BE720" s="236">
        <v>112349.64125</v>
      </c>
      <c r="BF720" s="236">
        <v>112349.64125</v>
      </c>
      <c r="BG720" s="236">
        <v>112349.64125</v>
      </c>
      <c r="BH720" s="236">
        <v>112349.64125</v>
      </c>
      <c r="BI720" s="236">
        <v>112349.64125</v>
      </c>
      <c r="BJ720" s="236">
        <v>112349.64125</v>
      </c>
      <c r="BK720" s="236">
        <v>112349.64125</v>
      </c>
    </row>
    <row r="721" spans="1:63">
      <c r="A721" s="169"/>
      <c r="B721" s="307" t="s">
        <v>29</v>
      </c>
      <c r="C721" s="313"/>
      <c r="D721" s="314"/>
      <c r="E721" s="314"/>
      <c r="F721" s="314"/>
      <c r="G721" s="314"/>
      <c r="H721" s="314"/>
      <c r="I721" s="314"/>
      <c r="J721" s="314"/>
      <c r="K721" s="314"/>
      <c r="L721" s="314"/>
      <c r="M721" s="314"/>
      <c r="N721" s="314"/>
      <c r="O721" s="314"/>
      <c r="P721" s="314"/>
      <c r="Q721" s="314"/>
      <c r="R721" s="314"/>
      <c r="S721" s="311"/>
      <c r="T721" s="311"/>
      <c r="U721" s="311"/>
      <c r="V721" s="311">
        <f>+V720+V719</f>
        <v>973413.17998251971</v>
      </c>
      <c r="W721" s="311">
        <f t="shared" ref="W721:BA724" si="136">+W720+W719</f>
        <v>19545422.393787339</v>
      </c>
      <c r="X721" s="311">
        <f t="shared" si="136"/>
        <v>11160266.12898159</v>
      </c>
      <c r="Y721" s="311">
        <f t="shared" si="136"/>
        <v>16544584.500492459</v>
      </c>
      <c r="Z721" s="311">
        <f t="shared" si="136"/>
        <v>22953622.745032698</v>
      </c>
      <c r="AA721" s="311">
        <f t="shared" si="136"/>
        <v>14572736.052724067</v>
      </c>
      <c r="AB721" s="311">
        <f t="shared" si="136"/>
        <v>22835409.280933604</v>
      </c>
      <c r="AC721" s="311">
        <f t="shared" si="136"/>
        <v>24026081.992540848</v>
      </c>
      <c r="AD721" s="311">
        <f t="shared" si="136"/>
        <v>12814296.893594397</v>
      </c>
      <c r="AE721" s="311">
        <f t="shared" si="136"/>
        <v>18796243.968288921</v>
      </c>
      <c r="AF721" s="311">
        <f t="shared" si="136"/>
        <v>15898834.817519709</v>
      </c>
      <c r="AG721" s="311">
        <f t="shared" si="136"/>
        <v>14340292.616343956</v>
      </c>
      <c r="AH721" s="311">
        <f t="shared" si="136"/>
        <v>9268238.0261748079</v>
      </c>
      <c r="AI721" s="311">
        <f t="shared" si="136"/>
        <v>10245546.409383502</v>
      </c>
      <c r="AJ721" s="311">
        <f t="shared" si="136"/>
        <v>8099816.4361554962</v>
      </c>
      <c r="AK721" s="311">
        <f t="shared" si="136"/>
        <v>8018734.82984538</v>
      </c>
      <c r="AL721" s="311">
        <f t="shared" si="136"/>
        <v>11223334.542070031</v>
      </c>
      <c r="AM721" s="311">
        <f t="shared" si="136"/>
        <v>11877441.172975503</v>
      </c>
      <c r="AN721" s="311">
        <f t="shared" si="136"/>
        <v>3998572.9237701241</v>
      </c>
      <c r="AO721" s="311">
        <f t="shared" si="136"/>
        <v>5083427.3067034855</v>
      </c>
      <c r="AP721" s="311">
        <f t="shared" si="136"/>
        <v>5257291.9848481687</v>
      </c>
      <c r="AQ721" s="311">
        <f t="shared" si="136"/>
        <v>11314687.251049001</v>
      </c>
      <c r="AR721" s="311">
        <f t="shared" si="136"/>
        <v>2007844.2599646405</v>
      </c>
      <c r="AS721" s="311">
        <f t="shared" si="136"/>
        <v>2005445.4113247711</v>
      </c>
      <c r="AT721" s="311">
        <f t="shared" si="136"/>
        <v>10774267.382271189</v>
      </c>
      <c r="AU721" s="311">
        <f t="shared" si="136"/>
        <v>17328910.576398302</v>
      </c>
      <c r="AV721" s="311">
        <f t="shared" si="136"/>
        <v>669652.20317278767</v>
      </c>
      <c r="AW721" s="311">
        <f t="shared" si="136"/>
        <v>668160.82994727767</v>
      </c>
      <c r="AX721" s="311">
        <f t="shared" si="136"/>
        <v>668239.82544036699</v>
      </c>
      <c r="AY721" s="311">
        <f t="shared" si="136"/>
        <v>6992998.7938962579</v>
      </c>
      <c r="AZ721" s="311">
        <f t="shared" si="136"/>
        <v>285973.12710504606</v>
      </c>
      <c r="BA721" s="311">
        <f t="shared" si="136"/>
        <v>5529509.6412500003</v>
      </c>
      <c r="BB721" s="311">
        <f t="shared" ref="BB721:BJ721" si="137">+BB720+BB719</f>
        <v>5529509.6412500003</v>
      </c>
      <c r="BC721" s="311">
        <f t="shared" si="137"/>
        <v>5529509.6412500003</v>
      </c>
      <c r="BD721" s="311">
        <f t="shared" si="137"/>
        <v>5529509.6412500003</v>
      </c>
      <c r="BE721" s="311">
        <f t="shared" si="137"/>
        <v>5529509.6412500003</v>
      </c>
      <c r="BF721" s="311">
        <f t="shared" si="137"/>
        <v>5529509.6412500003</v>
      </c>
      <c r="BG721" s="311">
        <f t="shared" si="137"/>
        <v>5529509.6412500003</v>
      </c>
      <c r="BH721" s="311">
        <f t="shared" si="137"/>
        <v>5529509.6412500003</v>
      </c>
      <c r="BI721" s="311">
        <f t="shared" si="137"/>
        <v>5529509.6412500003</v>
      </c>
      <c r="BJ721" s="311">
        <f t="shared" si="137"/>
        <v>5529509.6412500003</v>
      </c>
      <c r="BK721" s="311">
        <f>+BK720+BK719</f>
        <v>5529509.6412500003</v>
      </c>
    </row>
    <row r="722" spans="1:63">
      <c r="A722" s="167"/>
      <c r="B722" s="210" t="s">
        <v>28</v>
      </c>
      <c r="C722" s="211"/>
      <c r="D722" s="212"/>
      <c r="E722" s="212"/>
      <c r="F722" s="212"/>
      <c r="G722" s="212"/>
      <c r="H722" s="212"/>
      <c r="I722" s="212"/>
      <c r="J722" s="212"/>
      <c r="K722" s="212"/>
      <c r="L722" s="212"/>
      <c r="M722" s="212"/>
      <c r="N722" s="212"/>
      <c r="O722" s="212"/>
      <c r="P722" s="212"/>
      <c r="Q722" s="212"/>
      <c r="R722" s="212"/>
      <c r="S722" s="235"/>
      <c r="T722" s="235"/>
      <c r="U722" s="235"/>
      <c r="V722" s="235"/>
      <c r="W722" s="235">
        <v>10985265.746971514</v>
      </c>
      <c r="X722" s="235">
        <v>3394880.8467415185</v>
      </c>
      <c r="Y722" s="235">
        <v>8761360.0244534332</v>
      </c>
      <c r="Z722" s="235">
        <v>24602671.360518765</v>
      </c>
      <c r="AA722" s="235">
        <v>17027045.841624375</v>
      </c>
      <c r="AB722" s="235">
        <v>16120470.542177368</v>
      </c>
      <c r="AC722" s="235">
        <v>17755883.02702561</v>
      </c>
      <c r="AD722" s="235">
        <v>7547124.2746820226</v>
      </c>
      <c r="AE722" s="235">
        <v>13561354.636721723</v>
      </c>
      <c r="AF722" s="235">
        <v>11200067.073348664</v>
      </c>
      <c r="AG722" s="235">
        <v>10064667.152995948</v>
      </c>
      <c r="AH722" s="235">
        <v>5365879.9089315468</v>
      </c>
      <c r="AI722" s="235">
        <v>6463280.9527052213</v>
      </c>
      <c r="AJ722" s="235">
        <v>4560989.4872996723</v>
      </c>
      <c r="AK722" s="235">
        <v>4656855.9464678597</v>
      </c>
      <c r="AL722" s="235">
        <v>7731038.0073007233</v>
      </c>
      <c r="AM722" s="235">
        <v>8354703.6769115878</v>
      </c>
      <c r="AN722" s="235">
        <v>1362423.4436375147</v>
      </c>
      <c r="AO722" s="235">
        <v>2424752.2981970389</v>
      </c>
      <c r="AP722" s="235">
        <v>2952543.9349941025</v>
      </c>
      <c r="AQ722" s="235">
        <v>8683538.1721507404</v>
      </c>
      <c r="AR722" s="235">
        <v>102288.17215074063</v>
      </c>
      <c r="AS722" s="235">
        <v>101664.08484109404</v>
      </c>
      <c r="AT722" s="235">
        <v>8677288.8998215236</v>
      </c>
      <c r="AU722" s="235">
        <v>15537650.386308011</v>
      </c>
      <c r="AV722" s="235">
        <v>91400.386308009154</v>
      </c>
      <c r="AW722" s="235">
        <v>91400.386308009154</v>
      </c>
      <c r="AX722" s="235">
        <v>91400.386308009154</v>
      </c>
      <c r="AY722" s="235">
        <v>6269900.3863080088</v>
      </c>
      <c r="AZ722" s="235">
        <v>57380.099092734163</v>
      </c>
      <c r="BA722" s="235">
        <v>5148750</v>
      </c>
      <c r="BB722" s="235">
        <v>5148750</v>
      </c>
      <c r="BC722" s="235">
        <v>5148750</v>
      </c>
      <c r="BD722" s="235">
        <v>5148750</v>
      </c>
      <c r="BE722" s="235">
        <v>5148750</v>
      </c>
      <c r="BF722" s="235">
        <v>5148750</v>
      </c>
      <c r="BG722" s="235">
        <v>5148750</v>
      </c>
      <c r="BH722" s="235">
        <v>5148750</v>
      </c>
      <c r="BI722" s="235">
        <v>5148750</v>
      </c>
      <c r="BJ722" s="235">
        <v>5148750</v>
      </c>
      <c r="BK722" s="235">
        <v>5148750</v>
      </c>
    </row>
    <row r="723" spans="1:63">
      <c r="A723" s="168">
        <v>44196</v>
      </c>
      <c r="B723" s="213" t="s">
        <v>385</v>
      </c>
      <c r="C723" s="214"/>
      <c r="D723" s="215"/>
      <c r="E723" s="215"/>
      <c r="F723" s="215"/>
      <c r="G723" s="215"/>
      <c r="H723" s="215"/>
      <c r="I723" s="215"/>
      <c r="J723" s="215"/>
      <c r="K723" s="215"/>
      <c r="L723" s="215"/>
      <c r="M723" s="215"/>
      <c r="N723" s="215"/>
      <c r="O723" s="215"/>
      <c r="P723" s="215"/>
      <c r="Q723" s="215"/>
      <c r="R723" s="216"/>
      <c r="S723" s="236"/>
      <c r="T723" s="236"/>
      <c r="U723" s="236"/>
      <c r="V723" s="236"/>
      <c r="W723" s="236">
        <v>7976474.3724295469</v>
      </c>
      <c r="X723" s="236">
        <v>7491227.7982288357</v>
      </c>
      <c r="Y723" s="236">
        <v>7336117.6634677183</v>
      </c>
      <c r="Z723" s="236">
        <v>6843799.8804396391</v>
      </c>
      <c r="AA723" s="236">
        <v>6346819.1291424287</v>
      </c>
      <c r="AB723" s="236">
        <v>5986474.9242972489</v>
      </c>
      <c r="AC723" s="236">
        <v>5378903.9843513481</v>
      </c>
      <c r="AD723" s="236">
        <v>4825768.211053676</v>
      </c>
      <c r="AE723" s="236">
        <v>4487477.3677962357</v>
      </c>
      <c r="AF723" s="236">
        <v>4096451.2651612526</v>
      </c>
      <c r="AG723" s="236">
        <v>3825346.7737138309</v>
      </c>
      <c r="AH723" s="236">
        <v>3625884.83150983</v>
      </c>
      <c r="AI723" s="236">
        <v>3453405.5643281629</v>
      </c>
      <c r="AJ723" s="236">
        <v>3320449.9750912706</v>
      </c>
      <c r="AK723" s="236">
        <v>3206109.4701204905</v>
      </c>
      <c r="AL723" s="236">
        <v>3151329.2241690201</v>
      </c>
      <c r="AM723" s="236">
        <v>3011503.8189479448</v>
      </c>
      <c r="AN723" s="236">
        <v>2513030.8657050394</v>
      </c>
      <c r="AO723" s="236">
        <v>2480991.7097639544</v>
      </c>
      <c r="AP723" s="236">
        <v>2382222.5866977754</v>
      </c>
      <c r="AQ723" s="236">
        <v>2073285.8819661026</v>
      </c>
      <c r="AR723" s="236">
        <v>1808788.2469805921</v>
      </c>
      <c r="AS723" s="236">
        <v>1807091.0949936621</v>
      </c>
      <c r="AT723" s="236">
        <v>1565557.264358992</v>
      </c>
      <c r="AU723" s="236">
        <v>935032.15785406507</v>
      </c>
      <c r="AV723" s="236">
        <v>547422.40213425853</v>
      </c>
      <c r="AW723" s="236">
        <v>545968.89641445188</v>
      </c>
      <c r="AX723" s="236">
        <v>546008.20862405864</v>
      </c>
      <c r="AY723" s="236">
        <v>378851.08497483865</v>
      </c>
      <c r="AZ723" s="236">
        <v>215781.05806515994</v>
      </c>
      <c r="BA723" s="236">
        <v>106782.9296875</v>
      </c>
      <c r="BB723" s="236">
        <v>106782.9296875</v>
      </c>
      <c r="BC723" s="236">
        <v>106782.9296875</v>
      </c>
      <c r="BD723" s="236">
        <v>106782.9296875</v>
      </c>
      <c r="BE723" s="236">
        <v>106782.9296875</v>
      </c>
      <c r="BF723" s="236">
        <v>106782.9296875</v>
      </c>
      <c r="BG723" s="236">
        <v>106782.9296875</v>
      </c>
      <c r="BH723" s="236">
        <v>106782.9296875</v>
      </c>
      <c r="BI723" s="236">
        <v>106782.9296875</v>
      </c>
      <c r="BJ723" s="236">
        <v>106782.9296875</v>
      </c>
      <c r="BK723" s="236">
        <v>106782.9296875</v>
      </c>
    </row>
    <row r="724" spans="1:63">
      <c r="A724" s="169"/>
      <c r="B724" s="307" t="s">
        <v>29</v>
      </c>
      <c r="C724" s="313"/>
      <c r="D724" s="314"/>
      <c r="E724" s="314"/>
      <c r="F724" s="314"/>
      <c r="G724" s="314"/>
      <c r="H724" s="314"/>
      <c r="I724" s="314"/>
      <c r="J724" s="314"/>
      <c r="K724" s="314"/>
      <c r="L724" s="314"/>
      <c r="M724" s="314"/>
      <c r="N724" s="314"/>
      <c r="O724" s="314"/>
      <c r="P724" s="314"/>
      <c r="Q724" s="314"/>
      <c r="R724" s="314"/>
      <c r="S724" s="311"/>
      <c r="T724" s="311"/>
      <c r="U724" s="311"/>
      <c r="V724" s="311"/>
      <c r="W724" s="311">
        <f t="shared" si="136"/>
        <v>18961740.11940106</v>
      </c>
      <c r="X724" s="311">
        <f t="shared" si="136"/>
        <v>10886108.644970354</v>
      </c>
      <c r="Y724" s="311">
        <f t="shared" si="136"/>
        <v>16097477.687921152</v>
      </c>
      <c r="Z724" s="311">
        <f t="shared" si="136"/>
        <v>31446471.240958404</v>
      </c>
      <c r="AA724" s="311">
        <f t="shared" si="136"/>
        <v>23373864.970766805</v>
      </c>
      <c r="AB724" s="311">
        <f t="shared" si="136"/>
        <v>22106945.466474615</v>
      </c>
      <c r="AC724" s="311">
        <f t="shared" si="136"/>
        <v>23134787.011376958</v>
      </c>
      <c r="AD724" s="311">
        <f t="shared" si="136"/>
        <v>12372892.4857357</v>
      </c>
      <c r="AE724" s="311">
        <f t="shared" si="136"/>
        <v>18048832.004517958</v>
      </c>
      <c r="AF724" s="311">
        <f t="shared" si="136"/>
        <v>15296518.338509917</v>
      </c>
      <c r="AG724" s="311">
        <f t="shared" si="136"/>
        <v>13890013.926709779</v>
      </c>
      <c r="AH724" s="311">
        <f t="shared" si="136"/>
        <v>8991764.7404413763</v>
      </c>
      <c r="AI724" s="311">
        <f t="shared" si="136"/>
        <v>9916686.5170333833</v>
      </c>
      <c r="AJ724" s="311">
        <f t="shared" si="136"/>
        <v>7881439.4623909425</v>
      </c>
      <c r="AK724" s="311">
        <f t="shared" si="136"/>
        <v>7862965.4165883502</v>
      </c>
      <c r="AL724" s="311">
        <f t="shared" si="136"/>
        <v>10882367.231469743</v>
      </c>
      <c r="AM724" s="311">
        <f t="shared" si="136"/>
        <v>11366207.495859534</v>
      </c>
      <c r="AN724" s="311">
        <f t="shared" si="136"/>
        <v>3875454.3093425538</v>
      </c>
      <c r="AO724" s="311">
        <f t="shared" si="136"/>
        <v>4905744.0079609938</v>
      </c>
      <c r="AP724" s="311">
        <f t="shared" si="136"/>
        <v>5334766.5216918774</v>
      </c>
      <c r="AQ724" s="311">
        <f t="shared" si="136"/>
        <v>10756824.054116843</v>
      </c>
      <c r="AR724" s="311">
        <f t="shared" si="136"/>
        <v>1911076.4191313328</v>
      </c>
      <c r="AS724" s="311">
        <f t="shared" si="136"/>
        <v>1908755.1798347561</v>
      </c>
      <c r="AT724" s="311">
        <f t="shared" si="136"/>
        <v>10242846.164180515</v>
      </c>
      <c r="AU724" s="311">
        <f t="shared" si="136"/>
        <v>16472682.544162076</v>
      </c>
      <c r="AV724" s="311">
        <f t="shared" si="136"/>
        <v>638822.78844226769</v>
      </c>
      <c r="AW724" s="311">
        <f t="shared" si="136"/>
        <v>637369.28272246104</v>
      </c>
      <c r="AX724" s="311">
        <f t="shared" si="136"/>
        <v>637408.59493206779</v>
      </c>
      <c r="AY724" s="311">
        <f t="shared" si="136"/>
        <v>6648751.4712828472</v>
      </c>
      <c r="AZ724" s="311">
        <f t="shared" si="136"/>
        <v>273161.15715789411</v>
      </c>
      <c r="BA724" s="311">
        <f t="shared" si="136"/>
        <v>5255532.9296875</v>
      </c>
      <c r="BB724" s="311">
        <f t="shared" ref="BB724:BJ724" si="138">+BB723+BB722</f>
        <v>5255532.9296875</v>
      </c>
      <c r="BC724" s="311">
        <f t="shared" si="138"/>
        <v>5255532.9296875</v>
      </c>
      <c r="BD724" s="311">
        <f t="shared" si="138"/>
        <v>5255532.9296875</v>
      </c>
      <c r="BE724" s="311">
        <f t="shared" si="138"/>
        <v>5255532.9296875</v>
      </c>
      <c r="BF724" s="311">
        <f t="shared" si="138"/>
        <v>5255532.9296875</v>
      </c>
      <c r="BG724" s="311">
        <f t="shared" si="138"/>
        <v>5255532.9296875</v>
      </c>
      <c r="BH724" s="311">
        <f t="shared" si="138"/>
        <v>5255532.9296875</v>
      </c>
      <c r="BI724" s="311">
        <f t="shared" si="138"/>
        <v>5255532.9296875</v>
      </c>
      <c r="BJ724" s="311">
        <f t="shared" si="138"/>
        <v>5255532.9296875</v>
      </c>
      <c r="BK724" s="311">
        <f>+BK723+BK722</f>
        <v>5255532.9296875</v>
      </c>
    </row>
    <row r="725" spans="1:63">
      <c r="A725" s="167"/>
      <c r="B725" s="210" t="s">
        <v>28</v>
      </c>
      <c r="C725" s="211"/>
      <c r="D725" s="212"/>
      <c r="E725" s="212"/>
      <c r="F725" s="212"/>
      <c r="G725" s="212"/>
      <c r="H725" s="212"/>
      <c r="I725" s="212"/>
      <c r="J725" s="212"/>
      <c r="K725" s="212"/>
      <c r="L725" s="212"/>
      <c r="M725" s="212"/>
      <c r="N725" s="212"/>
      <c r="O725" s="212"/>
      <c r="P725" s="212"/>
      <c r="Q725" s="212"/>
      <c r="R725" s="212"/>
      <c r="S725" s="235"/>
      <c r="T725" s="235"/>
      <c r="U725" s="235"/>
      <c r="V725" s="235"/>
      <c r="W725" s="235">
        <v>10511511.962257402</v>
      </c>
      <c r="X725" s="235">
        <v>3489321.1795241591</v>
      </c>
      <c r="Y725" s="235">
        <v>9014617.0145587958</v>
      </c>
      <c r="Z725" s="235">
        <v>23619329.686719213</v>
      </c>
      <c r="AA725" s="235">
        <v>17679970.840809464</v>
      </c>
      <c r="AB725" s="235">
        <v>16704747.718102245</v>
      </c>
      <c r="AC725" s="235">
        <v>16541228.173168588</v>
      </c>
      <c r="AD725" s="235">
        <v>7817678.1931577362</v>
      </c>
      <c r="AE725" s="235">
        <v>14058055.402342536</v>
      </c>
      <c r="AF725" s="235">
        <v>11624011.880895302</v>
      </c>
      <c r="AG725" s="235">
        <v>15913490.407162532</v>
      </c>
      <c r="AH725" s="235">
        <v>5560112.7399397036</v>
      </c>
      <c r="AI725" s="235">
        <v>6700135.5127777532</v>
      </c>
      <c r="AJ725" s="235">
        <v>4727482.8166517699</v>
      </c>
      <c r="AK725" s="235">
        <v>4825251.0011728648</v>
      </c>
      <c r="AL725" s="235">
        <v>8013569.1250030715</v>
      </c>
      <c r="AM725" s="235">
        <v>8663614.7328568455</v>
      </c>
      <c r="AN725" s="235">
        <v>1412725.802442136</v>
      </c>
      <c r="AO725" s="235">
        <v>2514347.6712405174</v>
      </c>
      <c r="AP725" s="235">
        <v>3061661.0636698473</v>
      </c>
      <c r="AQ725" s="235">
        <v>9004667.2238853071</v>
      </c>
      <c r="AR725" s="235">
        <v>106017.22388530757</v>
      </c>
      <c r="AS725" s="235">
        <v>105370.0530724322</v>
      </c>
      <c r="AT725" s="235">
        <v>8998186.805856185</v>
      </c>
      <c r="AU725" s="235">
        <v>16112296.724775108</v>
      </c>
      <c r="AV725" s="235">
        <v>94726.724775105395</v>
      </c>
      <c r="AW725" s="235">
        <v>94726.724775105395</v>
      </c>
      <c r="AX725" s="235">
        <v>94726.724775105395</v>
      </c>
      <c r="AY725" s="235">
        <v>6501754.7247751048</v>
      </c>
      <c r="AZ725" s="235">
        <v>59469.091978143202</v>
      </c>
      <c r="BA725" s="235">
        <v>5339190</v>
      </c>
      <c r="BB725" s="235">
        <v>0</v>
      </c>
      <c r="BC725" s="235">
        <v>0</v>
      </c>
      <c r="BD725" s="235">
        <v>0</v>
      </c>
      <c r="BE725" s="235">
        <v>0</v>
      </c>
      <c r="BF725" s="235">
        <v>0</v>
      </c>
      <c r="BG725" s="235">
        <v>0</v>
      </c>
      <c r="BH725" s="235">
        <v>0</v>
      </c>
      <c r="BI725" s="235">
        <v>0</v>
      </c>
      <c r="BJ725" s="235">
        <v>0</v>
      </c>
      <c r="BK725" s="235">
        <v>4627298</v>
      </c>
    </row>
    <row r="726" spans="1:63">
      <c r="A726" s="168">
        <v>44227</v>
      </c>
      <c r="B726" s="213" t="s">
        <v>385</v>
      </c>
      <c r="C726" s="214"/>
      <c r="D726" s="215"/>
      <c r="E726" s="215"/>
      <c r="F726" s="215"/>
      <c r="G726" s="215"/>
      <c r="H726" s="215"/>
      <c r="I726" s="215"/>
      <c r="J726" s="215"/>
      <c r="K726" s="215"/>
      <c r="L726" s="215"/>
      <c r="M726" s="215"/>
      <c r="N726" s="215"/>
      <c r="O726" s="215"/>
      <c r="P726" s="215"/>
      <c r="Q726" s="215"/>
      <c r="R726" s="216"/>
      <c r="S726" s="236"/>
      <c r="T726" s="236"/>
      <c r="U726" s="236"/>
      <c r="V726" s="236"/>
      <c r="W726" s="236">
        <v>7165302.4614063846</v>
      </c>
      <c r="X726" s="236">
        <v>7685696.5046964558</v>
      </c>
      <c r="Y726" s="236">
        <v>7534977.8274307251</v>
      </c>
      <c r="Z726" s="236">
        <v>7081266.0513767917</v>
      </c>
      <c r="AA726" s="236">
        <v>6624081.5436108867</v>
      </c>
      <c r="AB726" s="236">
        <v>6264617.950968991</v>
      </c>
      <c r="AC726" s="236">
        <v>5693297.1285876604</v>
      </c>
      <c r="AD726" s="236">
        <v>5175777.1889666086</v>
      </c>
      <c r="AE726" s="236">
        <v>4834502.6727003679</v>
      </c>
      <c r="AF726" s="236">
        <v>4444271.795634889</v>
      </c>
      <c r="AG726" s="236">
        <v>4088085.8350756885</v>
      </c>
      <c r="AH726" s="236">
        <v>3804322.8579269298</v>
      </c>
      <c r="AI726" s="236">
        <v>3631508.1444523018</v>
      </c>
      <c r="AJ726" s="236">
        <v>3498293.3156222492</v>
      </c>
      <c r="AK726" s="236">
        <v>3384614.5109200897</v>
      </c>
      <c r="AL726" s="236">
        <v>3329273.9634226016</v>
      </c>
      <c r="AM726" s="236">
        <v>3188434.7567492086</v>
      </c>
      <c r="AN726" s="236">
        <v>2689466.99507936</v>
      </c>
      <c r="AO726" s="236">
        <v>2657081.2208424439</v>
      </c>
      <c r="AP726" s="236">
        <v>2557889.2831487949</v>
      </c>
      <c r="AQ726" s="236">
        <v>2248595.4664340992</v>
      </c>
      <c r="AR726" s="236">
        <v>1984097.2954511121</v>
      </c>
      <c r="AS726" s="236">
        <v>1982399.5860093024</v>
      </c>
      <c r="AT726" s="236">
        <v>1740865.5183932867</v>
      </c>
      <c r="AU726" s="236">
        <v>1110341.28825043</v>
      </c>
      <c r="AV726" s="236">
        <v>722732.3932954662</v>
      </c>
      <c r="AW726" s="236">
        <v>721279.74834050215</v>
      </c>
      <c r="AX726" s="236">
        <v>721319.91515076335</v>
      </c>
      <c r="AY726" s="236">
        <v>554163.65843057446</v>
      </c>
      <c r="AZ726" s="236">
        <v>391094.54169686051</v>
      </c>
      <c r="BA726" s="236">
        <v>282096.67534722219</v>
      </c>
      <c r="BB726" s="236">
        <v>175313.74565972222</v>
      </c>
      <c r="BC726" s="236">
        <v>175313.74565972222</v>
      </c>
      <c r="BD726" s="236">
        <v>175313.74565972222</v>
      </c>
      <c r="BE726" s="236">
        <v>175313.74565972222</v>
      </c>
      <c r="BF726" s="236">
        <v>175313.74565972222</v>
      </c>
      <c r="BG726" s="236">
        <v>175313.74565972222</v>
      </c>
      <c r="BH726" s="236">
        <v>175313.74565972222</v>
      </c>
      <c r="BI726" s="236">
        <v>175313.74565972222</v>
      </c>
      <c r="BJ726" s="236">
        <v>175313.74565972222</v>
      </c>
      <c r="BK726" s="236">
        <v>88377.340277777766</v>
      </c>
    </row>
    <row r="727" spans="1:63">
      <c r="A727" s="169"/>
      <c r="B727" s="307" t="s">
        <v>29</v>
      </c>
      <c r="C727" s="313"/>
      <c r="D727" s="314"/>
      <c r="E727" s="314"/>
      <c r="F727" s="314"/>
      <c r="G727" s="314"/>
      <c r="H727" s="314"/>
      <c r="I727" s="314"/>
      <c r="J727" s="314"/>
      <c r="K727" s="314"/>
      <c r="L727" s="314"/>
      <c r="M727" s="314"/>
      <c r="N727" s="314"/>
      <c r="O727" s="314"/>
      <c r="P727" s="314"/>
      <c r="Q727" s="314"/>
      <c r="R727" s="314"/>
      <c r="S727" s="311"/>
      <c r="T727" s="311"/>
      <c r="U727" s="311"/>
      <c r="V727" s="311"/>
      <c r="W727" s="311">
        <f t="shared" ref="W727:BA727" si="139">+W726+W725</f>
        <v>17676814.423663788</v>
      </c>
      <c r="X727" s="311">
        <f t="shared" si="139"/>
        <v>11175017.684220616</v>
      </c>
      <c r="Y727" s="311">
        <f t="shared" si="139"/>
        <v>16549594.841989521</v>
      </c>
      <c r="Z727" s="311">
        <f t="shared" si="139"/>
        <v>30700595.738096006</v>
      </c>
      <c r="AA727" s="311">
        <f t="shared" si="139"/>
        <v>24304052.38442035</v>
      </c>
      <c r="AB727" s="311">
        <f t="shared" si="139"/>
        <v>22969365.669071235</v>
      </c>
      <c r="AC727" s="311">
        <f t="shared" si="139"/>
        <v>22234525.301756248</v>
      </c>
      <c r="AD727" s="311">
        <f t="shared" si="139"/>
        <v>12993455.382124346</v>
      </c>
      <c r="AE727" s="311">
        <f t="shared" si="139"/>
        <v>18892558.075042903</v>
      </c>
      <c r="AF727" s="311">
        <f t="shared" si="139"/>
        <v>16068283.67653019</v>
      </c>
      <c r="AG727" s="311">
        <f t="shared" si="139"/>
        <v>20001576.24223822</v>
      </c>
      <c r="AH727" s="311">
        <f t="shared" si="139"/>
        <v>9364435.5978666339</v>
      </c>
      <c r="AI727" s="311">
        <f t="shared" si="139"/>
        <v>10331643.657230055</v>
      </c>
      <c r="AJ727" s="311">
        <f t="shared" si="139"/>
        <v>8225776.1322740186</v>
      </c>
      <c r="AK727" s="311">
        <f t="shared" si="139"/>
        <v>8209865.5120929545</v>
      </c>
      <c r="AL727" s="311">
        <f t="shared" si="139"/>
        <v>11342843.088425674</v>
      </c>
      <c r="AM727" s="311">
        <f t="shared" si="139"/>
        <v>11852049.489606054</v>
      </c>
      <c r="AN727" s="311">
        <f t="shared" si="139"/>
        <v>4102192.7975214962</v>
      </c>
      <c r="AO727" s="311">
        <f t="shared" si="139"/>
        <v>5171428.8920829613</v>
      </c>
      <c r="AP727" s="311">
        <f t="shared" si="139"/>
        <v>5619550.3468186427</v>
      </c>
      <c r="AQ727" s="311">
        <f t="shared" si="139"/>
        <v>11253262.690319406</v>
      </c>
      <c r="AR727" s="311">
        <f t="shared" si="139"/>
        <v>2090114.5193364196</v>
      </c>
      <c r="AS727" s="311">
        <f t="shared" si="139"/>
        <v>2087769.6390817347</v>
      </c>
      <c r="AT727" s="311">
        <f t="shared" si="139"/>
        <v>10739052.324249472</v>
      </c>
      <c r="AU727" s="311">
        <f t="shared" si="139"/>
        <v>17222638.013025537</v>
      </c>
      <c r="AV727" s="311">
        <f t="shared" si="139"/>
        <v>817459.11807057157</v>
      </c>
      <c r="AW727" s="311">
        <f t="shared" si="139"/>
        <v>816006.47311560751</v>
      </c>
      <c r="AX727" s="311">
        <f t="shared" si="139"/>
        <v>816046.63992586872</v>
      </c>
      <c r="AY727" s="311">
        <f t="shared" si="139"/>
        <v>7055918.3832056792</v>
      </c>
      <c r="AZ727" s="311">
        <f t="shared" si="139"/>
        <v>450563.63367500372</v>
      </c>
      <c r="BA727" s="311">
        <f t="shared" si="139"/>
        <v>5621286.675347222</v>
      </c>
      <c r="BB727" s="311">
        <f t="shared" ref="BB727:BJ727" si="140">+BB726+BB725</f>
        <v>175313.74565972222</v>
      </c>
      <c r="BC727" s="311">
        <f t="shared" si="140"/>
        <v>175313.74565972222</v>
      </c>
      <c r="BD727" s="311">
        <f t="shared" si="140"/>
        <v>175313.74565972222</v>
      </c>
      <c r="BE727" s="311">
        <f t="shared" si="140"/>
        <v>175313.74565972222</v>
      </c>
      <c r="BF727" s="311">
        <f t="shared" si="140"/>
        <v>175313.74565972222</v>
      </c>
      <c r="BG727" s="311">
        <f t="shared" si="140"/>
        <v>175313.74565972222</v>
      </c>
      <c r="BH727" s="311">
        <f t="shared" si="140"/>
        <v>175313.74565972222</v>
      </c>
      <c r="BI727" s="311">
        <f t="shared" si="140"/>
        <v>175313.74565972222</v>
      </c>
      <c r="BJ727" s="311">
        <f t="shared" si="140"/>
        <v>175313.74565972222</v>
      </c>
      <c r="BK727" s="311">
        <f>+BK726+BK725</f>
        <v>4715675.340277778</v>
      </c>
    </row>
    <row r="728" spans="1:63">
      <c r="A728" s="167"/>
      <c r="B728" s="210" t="s">
        <v>28</v>
      </c>
      <c r="C728" s="211"/>
      <c r="D728" s="212"/>
      <c r="E728" s="212"/>
      <c r="F728" s="212"/>
      <c r="G728" s="212"/>
      <c r="H728" s="212"/>
      <c r="I728" s="212"/>
      <c r="J728" s="212"/>
      <c r="K728" s="212"/>
      <c r="L728" s="212"/>
      <c r="M728" s="212"/>
      <c r="N728" s="212"/>
      <c r="O728" s="212"/>
      <c r="P728" s="212"/>
      <c r="Q728" s="212"/>
      <c r="R728" s="212"/>
      <c r="S728" s="235"/>
      <c r="T728" s="235"/>
      <c r="U728" s="235"/>
      <c r="V728" s="235"/>
      <c r="W728" s="235">
        <v>10279271.247001041</v>
      </c>
      <c r="X728" s="235">
        <v>3530602.9577850676</v>
      </c>
      <c r="Y728" s="235">
        <v>9096922.9523148667</v>
      </c>
      <c r="Z728" s="235">
        <v>23747377.705220677</v>
      </c>
      <c r="AA728" s="235">
        <v>17749206.777470484</v>
      </c>
      <c r="AB728" s="235">
        <v>16896190.666571058</v>
      </c>
      <c r="AC728" s="235">
        <v>16667295.415188354</v>
      </c>
      <c r="AD728" s="235">
        <v>7888777.7210166268</v>
      </c>
      <c r="AE728" s="235">
        <v>14177777.944488775</v>
      </c>
      <c r="AF728" s="235">
        <v>11723651.297115879</v>
      </c>
      <c r="AG728" s="235">
        <v>16047391.77435079</v>
      </c>
      <c r="AH728" s="235">
        <v>5609480.0520534404</v>
      </c>
      <c r="AI728" s="235">
        <v>6758902.7474601706</v>
      </c>
      <c r="AJ728" s="235">
        <v>4770305.7176303295</v>
      </c>
      <c r="AK728" s="235">
        <v>4891792.9915563483</v>
      </c>
      <c r="AL728" s="235">
        <v>8126284.2454306316</v>
      </c>
      <c r="AM728" s="235">
        <v>8735387.8516607229</v>
      </c>
      <c r="AN728" s="235">
        <v>1425405.6701385747</v>
      </c>
      <c r="AO728" s="235">
        <v>2535931.6033639554</v>
      </c>
      <c r="AP728" s="235">
        <v>3087668.7584708245</v>
      </c>
      <c r="AQ728" s="235">
        <v>9078206.9977111928</v>
      </c>
      <c r="AR728" s="235">
        <v>107631.9977111928</v>
      </c>
      <c r="AS728" s="235">
        <v>106979.5960193958</v>
      </c>
      <c r="AT728" s="235">
        <v>9071674.2004934605</v>
      </c>
      <c r="AU728" s="235">
        <v>16243285.241033999</v>
      </c>
      <c r="AV728" s="235">
        <v>96250.241033999991</v>
      </c>
      <c r="AW728" s="235">
        <v>96250.241033999991</v>
      </c>
      <c r="AX728" s="235">
        <v>96250.241033999991</v>
      </c>
      <c r="AY728" s="235">
        <v>6555064.2410340002</v>
      </c>
      <c r="AZ728" s="235">
        <v>60415.104634000003</v>
      </c>
      <c r="BA728" s="235">
        <v>5382345</v>
      </c>
      <c r="BB728" s="235">
        <v>0</v>
      </c>
      <c r="BC728" s="235">
        <v>0</v>
      </c>
      <c r="BD728" s="235">
        <v>0</v>
      </c>
      <c r="BE728" s="235">
        <v>0</v>
      </c>
      <c r="BF728" s="235">
        <v>0</v>
      </c>
      <c r="BG728" s="235">
        <v>0</v>
      </c>
      <c r="BH728" s="235">
        <v>0</v>
      </c>
      <c r="BI728" s="235">
        <v>0</v>
      </c>
      <c r="BJ728" s="235">
        <v>0</v>
      </c>
      <c r="BK728" s="235">
        <v>4664699</v>
      </c>
    </row>
    <row r="729" spans="1:63">
      <c r="A729" s="168">
        <v>44255</v>
      </c>
      <c r="B729" s="213" t="s">
        <v>385</v>
      </c>
      <c r="C729" s="214"/>
      <c r="D729" s="215"/>
      <c r="E729" s="215"/>
      <c r="F729" s="215"/>
      <c r="G729" s="215"/>
      <c r="H729" s="215"/>
      <c r="I729" s="215"/>
      <c r="J729" s="215"/>
      <c r="K729" s="215"/>
      <c r="L729" s="215"/>
      <c r="M729" s="215"/>
      <c r="N729" s="215"/>
      <c r="O729" s="215"/>
      <c r="P729" s="215"/>
      <c r="Q729" s="215"/>
      <c r="R729" s="216"/>
      <c r="S729" s="236"/>
      <c r="T729" s="236"/>
      <c r="U729" s="236"/>
      <c r="V729" s="236"/>
      <c r="W729" s="236">
        <v>6965078.6614172664</v>
      </c>
      <c r="X729" s="236">
        <v>8055753.4071017131</v>
      </c>
      <c r="Y729" s="236">
        <v>7902364.0334934713</v>
      </c>
      <c r="Z729" s="236">
        <v>7429180.5963925449</v>
      </c>
      <c r="AA729" s="236">
        <v>6952036.9744587792</v>
      </c>
      <c r="AB729" s="236">
        <v>6577797.1034253687</v>
      </c>
      <c r="AC729" s="236">
        <v>5979644.2052515717</v>
      </c>
      <c r="AD729" s="236">
        <v>5435571.5183662353</v>
      </c>
      <c r="AE729" s="236">
        <v>5073804.9790738709</v>
      </c>
      <c r="AF729" s="236">
        <v>4663690.4336231994</v>
      </c>
      <c r="AG729" s="236">
        <v>4287100.9931538682</v>
      </c>
      <c r="AH729" s="236">
        <v>3987766.8172102091</v>
      </c>
      <c r="AI729" s="236">
        <v>3804519.1085751629</v>
      </c>
      <c r="AJ729" s="236">
        <v>3663093.4648810062</v>
      </c>
      <c r="AK729" s="236">
        <v>3542209.1431876142</v>
      </c>
      <c r="AL729" s="236">
        <v>3484337.5089438786</v>
      </c>
      <c r="AM729" s="236">
        <v>3334919.7587966602</v>
      </c>
      <c r="AN729" s="236">
        <v>2813087.6744130929</v>
      </c>
      <c r="AO729" s="236">
        <v>2779052.6964189401</v>
      </c>
      <c r="AP729" s="236">
        <v>2675202.277060546</v>
      </c>
      <c r="AQ729" s="236">
        <v>2350732.7118666023</v>
      </c>
      <c r="AR729" s="236">
        <v>2074220.6864482744</v>
      </c>
      <c r="AS729" s="236">
        <v>2072432.2049071176</v>
      </c>
      <c r="AT729" s="236">
        <v>1820428.8271232247</v>
      </c>
      <c r="AU729" s="236">
        <v>1160783.399891848</v>
      </c>
      <c r="AV729" s="236">
        <v>755576.52649194433</v>
      </c>
      <c r="AW729" s="236">
        <v>754045.52809204068</v>
      </c>
      <c r="AX729" s="236">
        <v>754577.26139082259</v>
      </c>
      <c r="AY729" s="236">
        <v>579322.60809223307</v>
      </c>
      <c r="AZ729" s="236">
        <v>408842.00291409832</v>
      </c>
      <c r="BA729" s="236">
        <v>294895.19399305555</v>
      </c>
      <c r="BB729" s="236">
        <v>183769.70435416666</v>
      </c>
      <c r="BC729" s="236">
        <v>183267.60133680556</v>
      </c>
      <c r="BD729" s="236">
        <v>183267.60133680556</v>
      </c>
      <c r="BE729" s="236">
        <v>183267.60133680556</v>
      </c>
      <c r="BF729" s="236">
        <v>183769.70435416666</v>
      </c>
      <c r="BG729" s="236">
        <v>183267.60133680556</v>
      </c>
      <c r="BH729" s="236">
        <v>183267.60133680556</v>
      </c>
      <c r="BI729" s="236">
        <v>183267.60133680556</v>
      </c>
      <c r="BJ729" s="236">
        <v>183769.70435416666</v>
      </c>
      <c r="BK729" s="236">
        <v>92386.955194444439</v>
      </c>
    </row>
    <row r="730" spans="1:63">
      <c r="A730" s="169"/>
      <c r="B730" s="307" t="s">
        <v>29</v>
      </c>
      <c r="C730" s="313"/>
      <c r="D730" s="314"/>
      <c r="E730" s="314"/>
      <c r="F730" s="314"/>
      <c r="G730" s="314"/>
      <c r="H730" s="314"/>
      <c r="I730" s="314"/>
      <c r="J730" s="314"/>
      <c r="K730" s="314"/>
      <c r="L730" s="314"/>
      <c r="M730" s="314"/>
      <c r="N730" s="314"/>
      <c r="O730" s="314"/>
      <c r="P730" s="314"/>
      <c r="Q730" s="314"/>
      <c r="R730" s="314"/>
      <c r="S730" s="311"/>
      <c r="T730" s="311"/>
      <c r="U730" s="311"/>
      <c r="V730" s="311"/>
      <c r="W730" s="311">
        <f t="shared" ref="W730:BJ730" si="141">+W729+W728</f>
        <v>17244349.908418305</v>
      </c>
      <c r="X730" s="311">
        <f t="shared" si="141"/>
        <v>11586356.364886781</v>
      </c>
      <c r="Y730" s="311">
        <f t="shared" si="141"/>
        <v>16999286.985808339</v>
      </c>
      <c r="Z730" s="311">
        <f t="shared" si="141"/>
        <v>31176558.301613223</v>
      </c>
      <c r="AA730" s="311">
        <f t="shared" si="141"/>
        <v>24701243.751929265</v>
      </c>
      <c r="AB730" s="311">
        <f t="shared" si="141"/>
        <v>23473987.769996427</v>
      </c>
      <c r="AC730" s="311">
        <f t="shared" si="141"/>
        <v>22646939.620439924</v>
      </c>
      <c r="AD730" s="311">
        <f t="shared" si="141"/>
        <v>13324349.239382863</v>
      </c>
      <c r="AE730" s="311">
        <f t="shared" si="141"/>
        <v>19251582.923562646</v>
      </c>
      <c r="AF730" s="311">
        <f t="shared" si="141"/>
        <v>16387341.730739079</v>
      </c>
      <c r="AG730" s="311">
        <f t="shared" si="141"/>
        <v>20334492.767504659</v>
      </c>
      <c r="AH730" s="311">
        <f t="shared" si="141"/>
        <v>9597246.869263649</v>
      </c>
      <c r="AI730" s="311">
        <f t="shared" si="141"/>
        <v>10563421.856035333</v>
      </c>
      <c r="AJ730" s="311">
        <f t="shared" si="141"/>
        <v>8433399.1825113352</v>
      </c>
      <c r="AK730" s="311">
        <f t="shared" si="141"/>
        <v>8434002.1347439624</v>
      </c>
      <c r="AL730" s="311">
        <f t="shared" si="141"/>
        <v>11610621.75437451</v>
      </c>
      <c r="AM730" s="311">
        <f t="shared" si="141"/>
        <v>12070307.610457383</v>
      </c>
      <c r="AN730" s="311">
        <f t="shared" si="141"/>
        <v>4238493.3445516676</v>
      </c>
      <c r="AO730" s="311">
        <f t="shared" si="141"/>
        <v>5314984.2997828955</v>
      </c>
      <c r="AP730" s="311">
        <f t="shared" si="141"/>
        <v>5762871.03553137</v>
      </c>
      <c r="AQ730" s="311">
        <f t="shared" si="141"/>
        <v>11428939.709577795</v>
      </c>
      <c r="AR730" s="311">
        <f t="shared" si="141"/>
        <v>2181852.684159467</v>
      </c>
      <c r="AS730" s="311">
        <f t="shared" si="141"/>
        <v>2179411.8009265135</v>
      </c>
      <c r="AT730" s="311">
        <f t="shared" si="141"/>
        <v>10892103.027616685</v>
      </c>
      <c r="AU730" s="311">
        <f t="shared" si="141"/>
        <v>17404068.640925847</v>
      </c>
      <c r="AV730" s="311">
        <f t="shared" si="141"/>
        <v>851826.76752594428</v>
      </c>
      <c r="AW730" s="311">
        <f t="shared" si="141"/>
        <v>850295.76912604063</v>
      </c>
      <c r="AX730" s="311">
        <f t="shared" si="141"/>
        <v>850827.50242482254</v>
      </c>
      <c r="AY730" s="311">
        <f t="shared" si="141"/>
        <v>7134386.8491262328</v>
      </c>
      <c r="AZ730" s="311">
        <f t="shared" si="141"/>
        <v>469257.10754809831</v>
      </c>
      <c r="BA730" s="311">
        <f t="shared" si="141"/>
        <v>5677240.1939930553</v>
      </c>
      <c r="BB730" s="311">
        <f t="shared" si="141"/>
        <v>183769.70435416666</v>
      </c>
      <c r="BC730" s="311">
        <f t="shared" si="141"/>
        <v>183267.60133680556</v>
      </c>
      <c r="BD730" s="311">
        <f t="shared" si="141"/>
        <v>183267.60133680556</v>
      </c>
      <c r="BE730" s="311">
        <f t="shared" si="141"/>
        <v>183267.60133680556</v>
      </c>
      <c r="BF730" s="311">
        <f t="shared" si="141"/>
        <v>183769.70435416666</v>
      </c>
      <c r="BG730" s="311">
        <f t="shared" si="141"/>
        <v>183267.60133680556</v>
      </c>
      <c r="BH730" s="311">
        <f t="shared" si="141"/>
        <v>183267.60133680556</v>
      </c>
      <c r="BI730" s="311">
        <f t="shared" si="141"/>
        <v>183267.60133680556</v>
      </c>
      <c r="BJ730" s="311">
        <f t="shared" si="141"/>
        <v>183769.70435416666</v>
      </c>
      <c r="BK730" s="311">
        <f>+BK729+BK728</f>
        <v>4757085.9551944444</v>
      </c>
    </row>
    <row r="731" spans="1:63">
      <c r="A731" s="167"/>
      <c r="B731" s="210" t="s">
        <v>28</v>
      </c>
      <c r="C731" s="211"/>
      <c r="D731" s="212"/>
      <c r="E731" s="212"/>
      <c r="F731" s="212"/>
      <c r="G731" s="212"/>
      <c r="H731" s="212"/>
      <c r="I731" s="212"/>
      <c r="J731" s="212"/>
      <c r="K731" s="212"/>
      <c r="L731" s="212"/>
      <c r="M731" s="212"/>
      <c r="N731" s="212"/>
      <c r="O731" s="212"/>
      <c r="P731" s="212"/>
      <c r="Q731" s="212"/>
      <c r="R731" s="212"/>
      <c r="S731" s="235"/>
      <c r="T731" s="235"/>
      <c r="U731" s="235"/>
      <c r="V731" s="235"/>
      <c r="W731" s="235">
        <v>5534825.768255149</v>
      </c>
      <c r="X731" s="235">
        <v>3639059.4266250976</v>
      </c>
      <c r="Y731" s="235">
        <v>9387727.6693529952</v>
      </c>
      <c r="Z731" s="235">
        <v>24530362.718042694</v>
      </c>
      <c r="AA731" s="235">
        <v>18427381.775188182</v>
      </c>
      <c r="AB731" s="235">
        <v>17410290.111193489</v>
      </c>
      <c r="AC731" s="235">
        <v>17515260.477262449</v>
      </c>
      <c r="AD731" s="235">
        <v>8452687.3607879244</v>
      </c>
      <c r="AE731" s="235">
        <v>15016688.106649337</v>
      </c>
      <c r="AF731" s="235">
        <v>12464144.236831121</v>
      </c>
      <c r="AG731" s="235">
        <v>16970311.608106449</v>
      </c>
      <c r="AH731" s="235">
        <v>5818068.3118213788</v>
      </c>
      <c r="AI731" s="235">
        <v>7018672.8466081293</v>
      </c>
      <c r="AJ731" s="235">
        <v>4947677.3622701652</v>
      </c>
      <c r="AK731" s="235">
        <v>4892563.169275688</v>
      </c>
      <c r="AL731" s="235">
        <v>8082374.4227126306</v>
      </c>
      <c r="AM731" s="235">
        <v>9083452.2051279265</v>
      </c>
      <c r="AN731" s="235">
        <v>1474453.8822684695</v>
      </c>
      <c r="AO731" s="235">
        <v>2630994.9805618506</v>
      </c>
      <c r="AP731" s="235">
        <v>3205593.6245424231</v>
      </c>
      <c r="AQ731" s="235">
        <v>9448348.8023932613</v>
      </c>
      <c r="AR731" s="235">
        <v>106073.8023932646</v>
      </c>
      <c r="AS731" s="235">
        <v>105394.36813010614</v>
      </c>
      <c r="AT731" s="235">
        <v>9441545.3156460579</v>
      </c>
      <c r="AU731" s="235">
        <v>16910315.437267683</v>
      </c>
      <c r="AV731" s="235">
        <v>94220.43726768218</v>
      </c>
      <c r="AW731" s="235">
        <v>94220.43726768218</v>
      </c>
      <c r="AX731" s="235">
        <v>94220.43726768218</v>
      </c>
      <c r="AY731" s="235">
        <v>6820658.4372676825</v>
      </c>
      <c r="AZ731" s="235">
        <v>59224.055194757646</v>
      </c>
      <c r="BA731" s="235">
        <v>5605365</v>
      </c>
      <c r="BB731" s="235">
        <v>0</v>
      </c>
      <c r="BC731" s="235">
        <v>0</v>
      </c>
      <c r="BD731" s="235">
        <v>0</v>
      </c>
      <c r="BE731" s="235">
        <v>0</v>
      </c>
      <c r="BF731" s="235">
        <v>0</v>
      </c>
      <c r="BG731" s="235">
        <v>0</v>
      </c>
      <c r="BH731" s="235">
        <v>0</v>
      </c>
      <c r="BI731" s="235">
        <v>0</v>
      </c>
      <c r="BJ731" s="235">
        <v>0</v>
      </c>
      <c r="BK731" s="235">
        <v>4857983</v>
      </c>
    </row>
    <row r="732" spans="1:63">
      <c r="A732" s="168">
        <v>44286</v>
      </c>
      <c r="B732" s="213" t="s">
        <v>385</v>
      </c>
      <c r="C732" s="214"/>
      <c r="D732" s="215"/>
      <c r="E732" s="215"/>
      <c r="F732" s="215"/>
      <c r="G732" s="215"/>
      <c r="H732" s="215"/>
      <c r="I732" s="215"/>
      <c r="J732" s="215"/>
      <c r="K732" s="215"/>
      <c r="L732" s="215"/>
      <c r="M732" s="215"/>
      <c r="N732" s="215"/>
      <c r="O732" s="215"/>
      <c r="P732" s="215"/>
      <c r="Q732" s="215"/>
      <c r="R732" s="216"/>
      <c r="S732" s="236"/>
      <c r="T732" s="236"/>
      <c r="U732" s="236"/>
      <c r="V732" s="236"/>
      <c r="W732" s="236">
        <v>6286862.6975361053</v>
      </c>
      <c r="X732" s="236">
        <v>8370101.9687828077</v>
      </c>
      <c r="Y732" s="236">
        <v>8215820.7599665169</v>
      </c>
      <c r="Z732" s="236">
        <v>7727695.0410149014</v>
      </c>
      <c r="AA732" s="236">
        <v>7240046.1462039603</v>
      </c>
      <c r="AB732" s="236">
        <v>6858534.6801478956</v>
      </c>
      <c r="AC732" s="236">
        <v>6260637.7325777924</v>
      </c>
      <c r="AD732" s="236">
        <v>5692971.0759686623</v>
      </c>
      <c r="AE732" s="236">
        <v>5300951.7126685595</v>
      </c>
      <c r="AF732" s="236">
        <v>4865826.7964820871</v>
      </c>
      <c r="AG732" s="236">
        <v>4462013.7140184585</v>
      </c>
      <c r="AH732" s="236">
        <v>4141447.2102103224</v>
      </c>
      <c r="AI732" s="236">
        <v>3950651.0578861744</v>
      </c>
      <c r="AJ732" s="236">
        <v>3803420.9037678642</v>
      </c>
      <c r="AK732" s="236">
        <v>3678900.3443863173</v>
      </c>
      <c r="AL732" s="236">
        <v>3620958.6686441279</v>
      </c>
      <c r="AM732" s="236">
        <v>3472261.7212933283</v>
      </c>
      <c r="AN732" s="236">
        <v>2929020.8466800097</v>
      </c>
      <c r="AO732" s="236">
        <v>2893789.3308697846</v>
      </c>
      <c r="AP732" s="236">
        <v>2785385.7024717401</v>
      </c>
      <c r="AQ732" s="236">
        <v>2447214.8384238314</v>
      </c>
      <c r="AR732" s="236">
        <v>2159342.8985032565</v>
      </c>
      <c r="AS732" s="236">
        <v>2157577.7623533052</v>
      </c>
      <c r="AT732" s="236">
        <v>1895228.5260214994</v>
      </c>
      <c r="AU732" s="236">
        <v>1208351.0162219866</v>
      </c>
      <c r="AV732" s="236">
        <v>786453.0504683886</v>
      </c>
      <c r="AW732" s="236">
        <v>784957.45971479046</v>
      </c>
      <c r="AX732" s="236">
        <v>785609.36305872595</v>
      </c>
      <c r="AY732" s="236">
        <v>603192.5038075943</v>
      </c>
      <c r="AZ732" s="236">
        <v>425752.47383783676</v>
      </c>
      <c r="BA732" s="236">
        <v>307114.31524305552</v>
      </c>
      <c r="BB732" s="236">
        <v>191384.28860416665</v>
      </c>
      <c r="BC732" s="236">
        <v>190861.38071180554</v>
      </c>
      <c r="BD732" s="236">
        <v>190861.38071180554</v>
      </c>
      <c r="BE732" s="236">
        <v>190861.38071180554</v>
      </c>
      <c r="BF732" s="236">
        <v>191384.28860416665</v>
      </c>
      <c r="BG732" s="236">
        <v>190861.38071180554</v>
      </c>
      <c r="BH732" s="236">
        <v>190861.38071180554</v>
      </c>
      <c r="BI732" s="236">
        <v>190861.38071180554</v>
      </c>
      <c r="BJ732" s="236">
        <v>191384.28860416665</v>
      </c>
      <c r="BK732" s="236">
        <v>96215.052194444434</v>
      </c>
    </row>
    <row r="733" spans="1:63">
      <c r="A733" s="169"/>
      <c r="B733" s="307" t="s">
        <v>29</v>
      </c>
      <c r="C733" s="313"/>
      <c r="D733" s="314"/>
      <c r="E733" s="314"/>
      <c r="F733" s="314"/>
      <c r="G733" s="314"/>
      <c r="H733" s="314"/>
      <c r="I733" s="314"/>
      <c r="J733" s="314"/>
      <c r="K733" s="314"/>
      <c r="L733" s="314"/>
      <c r="M733" s="314"/>
      <c r="N733" s="314"/>
      <c r="O733" s="314"/>
      <c r="P733" s="314"/>
      <c r="Q733" s="314"/>
      <c r="R733" s="314"/>
      <c r="S733" s="311"/>
      <c r="T733" s="311"/>
      <c r="U733" s="311"/>
      <c r="V733" s="311"/>
      <c r="W733" s="311">
        <f>+W732+W731</f>
        <v>11821688.465791255</v>
      </c>
      <c r="X733" s="311">
        <f t="shared" ref="X733:BJ733" si="142">+X732+X731</f>
        <v>12009161.395407906</v>
      </c>
      <c r="Y733" s="311">
        <f t="shared" si="142"/>
        <v>17603548.429319512</v>
      </c>
      <c r="Z733" s="311">
        <f t="shared" si="142"/>
        <v>32258057.759057596</v>
      </c>
      <c r="AA733" s="311">
        <f t="shared" si="142"/>
        <v>25667427.921392143</v>
      </c>
      <c r="AB733" s="311">
        <f t="shared" si="142"/>
        <v>24268824.791341387</v>
      </c>
      <c r="AC733" s="311">
        <f t="shared" si="142"/>
        <v>23775898.209840242</v>
      </c>
      <c r="AD733" s="311">
        <f t="shared" si="142"/>
        <v>14145658.436756587</v>
      </c>
      <c r="AE733" s="311">
        <f t="shared" si="142"/>
        <v>20317639.819317896</v>
      </c>
      <c r="AF733" s="311">
        <f t="shared" si="142"/>
        <v>17329971.033313207</v>
      </c>
      <c r="AG733" s="311">
        <f t="shared" si="142"/>
        <v>21432325.322124906</v>
      </c>
      <c r="AH733" s="311">
        <f t="shared" si="142"/>
        <v>9959515.5220317021</v>
      </c>
      <c r="AI733" s="311">
        <f t="shared" si="142"/>
        <v>10969323.904494304</v>
      </c>
      <c r="AJ733" s="311">
        <f t="shared" si="142"/>
        <v>8751098.2660380304</v>
      </c>
      <c r="AK733" s="311">
        <f t="shared" si="142"/>
        <v>8571463.5136620048</v>
      </c>
      <c r="AL733" s="311">
        <f t="shared" si="142"/>
        <v>11703333.091356758</v>
      </c>
      <c r="AM733" s="311">
        <f t="shared" si="142"/>
        <v>12555713.926421255</v>
      </c>
      <c r="AN733" s="311">
        <f t="shared" si="142"/>
        <v>4403474.7289484795</v>
      </c>
      <c r="AO733" s="311">
        <f t="shared" si="142"/>
        <v>5524784.3114316352</v>
      </c>
      <c r="AP733" s="311">
        <f t="shared" si="142"/>
        <v>5990979.3270141631</v>
      </c>
      <c r="AQ733" s="311">
        <f t="shared" si="142"/>
        <v>11895563.640817093</v>
      </c>
      <c r="AR733" s="311">
        <f t="shared" si="142"/>
        <v>2265416.7008965211</v>
      </c>
      <c r="AS733" s="311">
        <f t="shared" si="142"/>
        <v>2262972.1304834113</v>
      </c>
      <c r="AT733" s="311">
        <f t="shared" si="142"/>
        <v>11336773.841667557</v>
      </c>
      <c r="AU733" s="311">
        <f t="shared" si="142"/>
        <v>18118666.453489669</v>
      </c>
      <c r="AV733" s="311">
        <f t="shared" si="142"/>
        <v>880673.48773607076</v>
      </c>
      <c r="AW733" s="311">
        <f t="shared" si="142"/>
        <v>879177.89698247262</v>
      </c>
      <c r="AX733" s="311">
        <f t="shared" si="142"/>
        <v>879829.80032640812</v>
      </c>
      <c r="AY733" s="311">
        <f t="shared" si="142"/>
        <v>7423850.9410752766</v>
      </c>
      <c r="AZ733" s="311">
        <f t="shared" si="142"/>
        <v>484976.52903259441</v>
      </c>
      <c r="BA733" s="311">
        <f t="shared" si="142"/>
        <v>5912479.3152430551</v>
      </c>
      <c r="BB733" s="311">
        <f t="shared" si="142"/>
        <v>191384.28860416665</v>
      </c>
      <c r="BC733" s="311">
        <f t="shared" si="142"/>
        <v>190861.38071180554</v>
      </c>
      <c r="BD733" s="311">
        <f t="shared" si="142"/>
        <v>190861.38071180554</v>
      </c>
      <c r="BE733" s="311">
        <f t="shared" si="142"/>
        <v>190861.38071180554</v>
      </c>
      <c r="BF733" s="311">
        <f t="shared" si="142"/>
        <v>191384.28860416665</v>
      </c>
      <c r="BG733" s="311">
        <f t="shared" si="142"/>
        <v>190861.38071180554</v>
      </c>
      <c r="BH733" s="311">
        <f t="shared" si="142"/>
        <v>190861.38071180554</v>
      </c>
      <c r="BI733" s="311">
        <f t="shared" si="142"/>
        <v>190861.38071180554</v>
      </c>
      <c r="BJ733" s="311">
        <f t="shared" si="142"/>
        <v>191384.28860416665</v>
      </c>
      <c r="BK733" s="311">
        <f>+BK732+BK731</f>
        <v>4954198.0521944445</v>
      </c>
    </row>
    <row r="734" spans="1:63">
      <c r="A734" s="167"/>
      <c r="B734" s="210" t="s">
        <v>28</v>
      </c>
      <c r="C734" s="211"/>
      <c r="D734" s="212"/>
      <c r="E734" s="212"/>
      <c r="F734" s="212"/>
      <c r="G734" s="212"/>
      <c r="H734" s="212"/>
      <c r="I734" s="212"/>
      <c r="J734" s="212"/>
      <c r="K734" s="212"/>
      <c r="L734" s="212"/>
      <c r="M734" s="212"/>
      <c r="N734" s="212"/>
      <c r="O734" s="212"/>
      <c r="P734" s="212"/>
      <c r="Q734" s="212"/>
      <c r="R734" s="212"/>
      <c r="S734" s="235"/>
      <c r="T734" s="235"/>
      <c r="U734" s="235"/>
      <c r="V734" s="235"/>
      <c r="W734" s="236">
        <v>2787952.3345558434</v>
      </c>
      <c r="X734" s="236">
        <v>3644225.4473401257</v>
      </c>
      <c r="Y734" s="236">
        <v>9367911.9803643469</v>
      </c>
      <c r="Z734" s="236">
        <v>24539880.884235796</v>
      </c>
      <c r="AA734" s="236">
        <v>18476128.732937258</v>
      </c>
      <c r="AB734" s="236">
        <v>17649181.567682769</v>
      </c>
      <c r="AC734" s="236">
        <v>17454669.131409653</v>
      </c>
      <c r="AD734" s="236">
        <v>8436833.6911806911</v>
      </c>
      <c r="AE734" s="236">
        <v>14948223.594796952</v>
      </c>
      <c r="AF734" s="236">
        <v>12409446.210481919</v>
      </c>
      <c r="AG734" s="236">
        <v>16884008.291110139</v>
      </c>
      <c r="AH734" s="236">
        <v>13224902.688500395</v>
      </c>
      <c r="AI734" s="236">
        <v>6989307.8931141822</v>
      </c>
      <c r="AJ734" s="236">
        <v>4931587.5382778561</v>
      </c>
      <c r="AK734" s="236">
        <v>5023791.0343031064</v>
      </c>
      <c r="AL734" s="236">
        <v>8337065.2879532557</v>
      </c>
      <c r="AM734" s="236">
        <v>9036279.5716354307</v>
      </c>
      <c r="AN734" s="236">
        <v>1473060.3979686843</v>
      </c>
      <c r="AO734" s="236">
        <v>2622167.5154648274</v>
      </c>
      <c r="AP734" s="236">
        <v>3193072.7712106248</v>
      </c>
      <c r="AQ734" s="236">
        <v>9392474.5194688924</v>
      </c>
      <c r="AR734" s="236">
        <v>3823139.5194688942</v>
      </c>
      <c r="AS734" s="236">
        <v>109574.45245327496</v>
      </c>
      <c r="AT734" s="236">
        <v>9385714.7639733572</v>
      </c>
      <c r="AU734" s="236">
        <v>16806477.34505444</v>
      </c>
      <c r="AV734" s="236">
        <v>98472.345054438687</v>
      </c>
      <c r="AW734" s="236">
        <v>98472.345054438687</v>
      </c>
      <c r="AX734" s="236">
        <v>98472.345054438687</v>
      </c>
      <c r="AY734" s="236">
        <v>6781674.3450544383</v>
      </c>
      <c r="AZ734" s="236">
        <v>61825.279187197048</v>
      </c>
      <c r="BA734" s="236">
        <v>5569335</v>
      </c>
      <c r="BB734" s="236">
        <v>0</v>
      </c>
      <c r="BC734" s="236">
        <v>0</v>
      </c>
      <c r="BD734" s="236">
        <v>0</v>
      </c>
      <c r="BE734" s="236">
        <v>0</v>
      </c>
      <c r="BF734" s="236">
        <v>0</v>
      </c>
      <c r="BG734" s="236">
        <v>0</v>
      </c>
      <c r="BH734" s="236">
        <v>0</v>
      </c>
      <c r="BI734" s="236">
        <v>0</v>
      </c>
      <c r="BJ734" s="236">
        <v>0</v>
      </c>
      <c r="BK734" s="236">
        <v>4826757</v>
      </c>
    </row>
    <row r="735" spans="1:63">
      <c r="A735" s="168">
        <v>44316</v>
      </c>
      <c r="B735" s="213" t="s">
        <v>385</v>
      </c>
      <c r="C735" s="214"/>
      <c r="D735" s="215"/>
      <c r="E735" s="215"/>
      <c r="F735" s="215"/>
      <c r="G735" s="215"/>
      <c r="H735" s="215"/>
      <c r="I735" s="215"/>
      <c r="J735" s="215"/>
      <c r="K735" s="215"/>
      <c r="L735" s="215"/>
      <c r="M735" s="215"/>
      <c r="N735" s="215"/>
      <c r="O735" s="215"/>
      <c r="P735" s="215"/>
      <c r="Q735" s="215"/>
      <c r="R735" s="216"/>
      <c r="S735" s="236"/>
      <c r="T735" s="236"/>
      <c r="U735" s="236"/>
      <c r="V735" s="236"/>
      <c r="W735" s="236">
        <v>5696518.7269847998</v>
      </c>
      <c r="X735" s="236">
        <v>8775188.4375496674</v>
      </c>
      <c r="Y735" s="236">
        <v>8619409.0102638528</v>
      </c>
      <c r="Z735" s="236">
        <v>8130842.849094009</v>
      </c>
      <c r="AA735" s="236">
        <v>7635210.3243179796</v>
      </c>
      <c r="AB735" s="236">
        <v>7240036.2363380445</v>
      </c>
      <c r="AC735" s="236">
        <v>6615654.6440705862</v>
      </c>
      <c r="AD735" s="236">
        <v>6053142.169620337</v>
      </c>
      <c r="AE735" s="236">
        <v>5669149.7875506151</v>
      </c>
      <c r="AF735" s="236">
        <v>5236536.9077227591</v>
      </c>
      <c r="AG735" s="236">
        <v>4838795.9907390559</v>
      </c>
      <c r="AH735" s="236">
        <v>4402097.4461586168</v>
      </c>
      <c r="AI735" s="236">
        <v>4088683.9233667473</v>
      </c>
      <c r="AJ735" s="236">
        <v>3941731.6235129135</v>
      </c>
      <c r="AK735" s="236">
        <v>3816319.121326183</v>
      </c>
      <c r="AL735" s="236">
        <v>3758238.5076015331</v>
      </c>
      <c r="AM735" s="236">
        <v>3606392.3406661167</v>
      </c>
      <c r="AN735" s="236">
        <v>3066345.7313785292</v>
      </c>
      <c r="AO735" s="236">
        <v>3031073.9454187262</v>
      </c>
      <c r="AP735" s="236">
        <v>2923820.5099517996</v>
      </c>
      <c r="AQ735" s="236">
        <v>2587513.4485370079</v>
      </c>
      <c r="AR735" s="236">
        <v>2224409.0431292783</v>
      </c>
      <c r="AS735" s="236">
        <v>2144296.1318792636</v>
      </c>
      <c r="AT735" s="236">
        <v>1883555.4553028727</v>
      </c>
      <c r="AU735" s="236">
        <v>1201011.8057891133</v>
      </c>
      <c r="AV735" s="236">
        <v>781745.91833506455</v>
      </c>
      <c r="AW735" s="236">
        <v>780180.1558810157</v>
      </c>
      <c r="AX735" s="236">
        <v>780748.65528899129</v>
      </c>
      <c r="AY735" s="236">
        <v>599423.97337291844</v>
      </c>
      <c r="AZ735" s="236">
        <v>423040.12222707091</v>
      </c>
      <c r="BA735" s="236">
        <v>305140.25489583332</v>
      </c>
      <c r="BB735" s="236">
        <v>190154.11431249999</v>
      </c>
      <c r="BC735" s="236">
        <v>189634.56755208332</v>
      </c>
      <c r="BD735" s="236">
        <v>189634.56755208332</v>
      </c>
      <c r="BE735" s="236">
        <v>189634.56755208332</v>
      </c>
      <c r="BF735" s="236">
        <v>190154.11431249999</v>
      </c>
      <c r="BG735" s="236">
        <v>189634.56755208332</v>
      </c>
      <c r="BH735" s="236">
        <v>189634.56755208332</v>
      </c>
      <c r="BI735" s="236">
        <v>189634.56755208332</v>
      </c>
      <c r="BJ735" s="236">
        <v>190154.11431249999</v>
      </c>
      <c r="BK735" s="236">
        <v>95596.60391666666</v>
      </c>
    </row>
    <row r="736" spans="1:63">
      <c r="A736" s="169"/>
      <c r="B736" s="307" t="s">
        <v>29</v>
      </c>
      <c r="C736" s="313"/>
      <c r="D736" s="314"/>
      <c r="E736" s="314"/>
      <c r="F736" s="314"/>
      <c r="G736" s="314"/>
      <c r="H736" s="314"/>
      <c r="I736" s="314"/>
      <c r="J736" s="314"/>
      <c r="K736" s="314"/>
      <c r="L736" s="314"/>
      <c r="M736" s="314"/>
      <c r="N736" s="314"/>
      <c r="O736" s="314"/>
      <c r="P736" s="314"/>
      <c r="Q736" s="314"/>
      <c r="R736" s="314"/>
      <c r="S736" s="311"/>
      <c r="T736" s="311"/>
      <c r="U736" s="311"/>
      <c r="V736" s="311"/>
      <c r="W736" s="311">
        <f t="shared" ref="W736:BJ736" si="143">+W735+W734</f>
        <v>8484471.0615406428</v>
      </c>
      <c r="X736" s="311">
        <f t="shared" si="143"/>
        <v>12419413.884889793</v>
      </c>
      <c r="Y736" s="311">
        <f t="shared" si="143"/>
        <v>17987320.990628198</v>
      </c>
      <c r="Z736" s="311">
        <f t="shared" si="143"/>
        <v>32670723.733329803</v>
      </c>
      <c r="AA736" s="311">
        <f t="shared" si="143"/>
        <v>26111339.057255238</v>
      </c>
      <c r="AB736" s="311">
        <f t="shared" si="143"/>
        <v>24889217.804020815</v>
      </c>
      <c r="AC736" s="311">
        <f t="shared" si="143"/>
        <v>24070323.775480241</v>
      </c>
      <c r="AD736" s="311">
        <f t="shared" si="143"/>
        <v>14489975.860801028</v>
      </c>
      <c r="AE736" s="311">
        <f t="shared" si="143"/>
        <v>20617373.382347569</v>
      </c>
      <c r="AF736" s="311">
        <f t="shared" si="143"/>
        <v>17645983.118204679</v>
      </c>
      <c r="AG736" s="311">
        <f t="shared" si="143"/>
        <v>21722804.281849194</v>
      </c>
      <c r="AH736" s="311">
        <f t="shared" si="143"/>
        <v>17627000.134659011</v>
      </c>
      <c r="AI736" s="311">
        <f t="shared" si="143"/>
        <v>11077991.816480929</v>
      </c>
      <c r="AJ736" s="311">
        <f t="shared" si="143"/>
        <v>8873319.1617907695</v>
      </c>
      <c r="AK736" s="311">
        <f t="shared" si="143"/>
        <v>8840110.1556292884</v>
      </c>
      <c r="AL736" s="311">
        <f t="shared" si="143"/>
        <v>12095303.795554789</v>
      </c>
      <c r="AM736" s="311">
        <f t="shared" si="143"/>
        <v>12642671.912301548</v>
      </c>
      <c r="AN736" s="311">
        <f t="shared" si="143"/>
        <v>4539406.1293472135</v>
      </c>
      <c r="AO736" s="311">
        <f t="shared" si="143"/>
        <v>5653241.4608835541</v>
      </c>
      <c r="AP736" s="311">
        <f t="shared" si="143"/>
        <v>6116893.281162424</v>
      </c>
      <c r="AQ736" s="311">
        <f t="shared" si="143"/>
        <v>11979987.968005899</v>
      </c>
      <c r="AR736" s="311">
        <f t="shared" si="143"/>
        <v>6047548.5625981726</v>
      </c>
      <c r="AS736" s="311">
        <f t="shared" si="143"/>
        <v>2253870.5843325383</v>
      </c>
      <c r="AT736" s="311">
        <f t="shared" si="143"/>
        <v>11269270.219276231</v>
      </c>
      <c r="AU736" s="311">
        <f t="shared" si="143"/>
        <v>18007489.150843553</v>
      </c>
      <c r="AV736" s="311">
        <f t="shared" si="143"/>
        <v>880218.26338950323</v>
      </c>
      <c r="AW736" s="311">
        <f t="shared" si="143"/>
        <v>878652.50093545439</v>
      </c>
      <c r="AX736" s="311">
        <f t="shared" si="143"/>
        <v>879221.00034342997</v>
      </c>
      <c r="AY736" s="311">
        <f t="shared" si="143"/>
        <v>7381098.3184273569</v>
      </c>
      <c r="AZ736" s="311">
        <f t="shared" si="143"/>
        <v>484865.40141426795</v>
      </c>
      <c r="BA736" s="311">
        <f t="shared" si="143"/>
        <v>5874475.2548958333</v>
      </c>
      <c r="BB736" s="311">
        <f t="shared" si="143"/>
        <v>190154.11431249999</v>
      </c>
      <c r="BC736" s="311">
        <f t="shared" si="143"/>
        <v>189634.56755208332</v>
      </c>
      <c r="BD736" s="311">
        <f t="shared" si="143"/>
        <v>189634.56755208332</v>
      </c>
      <c r="BE736" s="311">
        <f t="shared" si="143"/>
        <v>189634.56755208332</v>
      </c>
      <c r="BF736" s="311">
        <f t="shared" si="143"/>
        <v>190154.11431249999</v>
      </c>
      <c r="BG736" s="311">
        <f t="shared" si="143"/>
        <v>189634.56755208332</v>
      </c>
      <c r="BH736" s="311">
        <f t="shared" si="143"/>
        <v>189634.56755208332</v>
      </c>
      <c r="BI736" s="311">
        <f t="shared" si="143"/>
        <v>189634.56755208332</v>
      </c>
      <c r="BJ736" s="311">
        <f t="shared" si="143"/>
        <v>190154.11431249999</v>
      </c>
      <c r="BK736" s="311">
        <f>+BK735+BK734</f>
        <v>4922353.6039166665</v>
      </c>
    </row>
    <row r="737" spans="1:63">
      <c r="A737" s="167"/>
      <c r="B737" s="210" t="s">
        <v>28</v>
      </c>
      <c r="C737" s="211"/>
      <c r="D737" s="212"/>
      <c r="E737" s="212"/>
      <c r="F737" s="212"/>
      <c r="G737" s="212"/>
      <c r="H737" s="212"/>
      <c r="I737" s="212"/>
      <c r="J737" s="212"/>
      <c r="K737" s="212"/>
      <c r="L737" s="212"/>
      <c r="M737" s="212"/>
      <c r="N737" s="212"/>
      <c r="O737" s="212"/>
      <c r="P737" s="212"/>
      <c r="Q737" s="212"/>
      <c r="R737" s="212"/>
      <c r="S737" s="235"/>
      <c r="T737" s="235"/>
      <c r="U737" s="235"/>
      <c r="V737" s="235"/>
      <c r="W737" s="236">
        <v>2146202.7082887935</v>
      </c>
      <c r="X737" s="236">
        <v>3646792.8538834751</v>
      </c>
      <c r="Y737" s="236">
        <v>9345142.1301910877</v>
      </c>
      <c r="Z737" s="236">
        <v>24648076.966848191</v>
      </c>
      <c r="AA737" s="236">
        <v>18580458.28586847</v>
      </c>
      <c r="AB737" s="236">
        <v>17702828.441033266</v>
      </c>
      <c r="AC737" s="236">
        <v>17468377.113812346</v>
      </c>
      <c r="AD737" s="236">
        <v>8449626.7956065871</v>
      </c>
      <c r="AE737" s="236">
        <v>14973650.757809019</v>
      </c>
      <c r="AF737" s="236">
        <v>12435559.023480037</v>
      </c>
      <c r="AG737" s="236">
        <v>16900742.08046598</v>
      </c>
      <c r="AH737" s="236">
        <v>13238255.377422933</v>
      </c>
      <c r="AI737" s="236">
        <v>7017404.2422312023</v>
      </c>
      <c r="AJ737" s="236">
        <v>4948910.1433700975</v>
      </c>
      <c r="AK737" s="236">
        <v>5049288.2452946929</v>
      </c>
      <c r="AL737" s="236">
        <v>8383828.8057892118</v>
      </c>
      <c r="AM737" s="236">
        <v>9046950.4128741454</v>
      </c>
      <c r="AN737" s="236">
        <v>1476391.848812012</v>
      </c>
      <c r="AO737" s="236">
        <v>2626238.6504923929</v>
      </c>
      <c r="AP737" s="236">
        <v>3196125.823790662</v>
      </c>
      <c r="AQ737" s="236">
        <v>9399119.9669001475</v>
      </c>
      <c r="AR737" s="236">
        <v>3826199.9669001494</v>
      </c>
      <c r="AS737" s="236">
        <v>110244.46534158102</v>
      </c>
      <c r="AT737" s="236">
        <v>9392355.8601268642</v>
      </c>
      <c r="AU737" s="236">
        <v>16817895.211478215</v>
      </c>
      <c r="AV737" s="236">
        <v>99135.211478216253</v>
      </c>
      <c r="AW737" s="236">
        <v>99135.211478216253</v>
      </c>
      <c r="AX737" s="236">
        <v>99135.211478216253</v>
      </c>
      <c r="AY737" s="236">
        <v>6786639.2114782166</v>
      </c>
      <c r="AZ737" s="236">
        <v>62233.07970363646</v>
      </c>
      <c r="BA737" s="236">
        <v>5572920</v>
      </c>
      <c r="BB737" s="236">
        <v>0</v>
      </c>
      <c r="BC737" s="236">
        <v>0</v>
      </c>
      <c r="BD737" s="236">
        <v>0</v>
      </c>
      <c r="BE737" s="236">
        <v>0</v>
      </c>
      <c r="BF737" s="236">
        <v>0</v>
      </c>
      <c r="BG737" s="236">
        <v>0</v>
      </c>
      <c r="BH737" s="236">
        <v>0</v>
      </c>
      <c r="BI737" s="236">
        <v>0</v>
      </c>
      <c r="BJ737" s="236">
        <v>0</v>
      </c>
      <c r="BK737" s="236">
        <v>4829864</v>
      </c>
    </row>
    <row r="738" spans="1:63">
      <c r="A738" s="168">
        <v>44347</v>
      </c>
      <c r="B738" s="213" t="s">
        <v>385</v>
      </c>
      <c r="C738" s="214"/>
      <c r="D738" s="215"/>
      <c r="E738" s="215"/>
      <c r="F738" s="215"/>
      <c r="G738" s="215"/>
      <c r="H738" s="215"/>
      <c r="I738" s="215"/>
      <c r="J738" s="215"/>
      <c r="K738" s="215"/>
      <c r="L738" s="215"/>
      <c r="M738" s="215"/>
      <c r="N738" s="215"/>
      <c r="O738" s="215"/>
      <c r="P738" s="215"/>
      <c r="Q738" s="215"/>
      <c r="R738" s="216"/>
      <c r="S738" s="236"/>
      <c r="T738" s="236"/>
      <c r="U738" s="236"/>
      <c r="V738" s="236"/>
      <c r="W738" s="236">
        <v>5039877.883690631</v>
      </c>
      <c r="X738" s="236">
        <v>8784521.2730223946</v>
      </c>
      <c r="Y738" s="236">
        <v>8629373.3993589003</v>
      </c>
      <c r="Z738" s="236">
        <v>8139083.927081503</v>
      </c>
      <c r="AA738" s="236">
        <v>7643532.3181599267</v>
      </c>
      <c r="AB738" s="236">
        <v>7246109.4604811501</v>
      </c>
      <c r="AC738" s="236">
        <v>6620955.0809910446</v>
      </c>
      <c r="AD738" s="236">
        <v>6059907.0491562886</v>
      </c>
      <c r="AE738" s="236">
        <v>5674847.3511677627</v>
      </c>
      <c r="AF738" s="236">
        <v>5241975.3889125185</v>
      </c>
      <c r="AG738" s="236">
        <v>4844460.2672913056</v>
      </c>
      <c r="AH738" s="236">
        <v>4407427.0014399774</v>
      </c>
      <c r="AI738" s="236">
        <v>4093661.9535948271</v>
      </c>
      <c r="AJ738" s="236">
        <v>3946071.9280292122</v>
      </c>
      <c r="AK738" s="236">
        <v>3820056.7495990158</v>
      </c>
      <c r="AL738" s="236">
        <v>3761726.8926995127</v>
      </c>
      <c r="AM738" s="236">
        <v>3608986.9406771208</v>
      </c>
      <c r="AN738" s="236">
        <v>3068499.550244539</v>
      </c>
      <c r="AO738" s="236">
        <v>3033150.5746706566</v>
      </c>
      <c r="AP738" s="236">
        <v>2925794.4465279682</v>
      </c>
      <c r="AQ738" s="236">
        <v>2589259.3828745005</v>
      </c>
      <c r="AR738" s="236">
        <v>2225915.0902737086</v>
      </c>
      <c r="AS738" s="236">
        <v>2145744.4360873783</v>
      </c>
      <c r="AT738" s="236">
        <v>1884829.8520960491</v>
      </c>
      <c r="AU738" s="236">
        <v>1201837.6960582321</v>
      </c>
      <c r="AV738" s="236">
        <v>782292.07926775957</v>
      </c>
      <c r="AW738" s="236">
        <v>780715.46247728716</v>
      </c>
      <c r="AX738" s="236">
        <v>781274.55189380515</v>
      </c>
      <c r="AY738" s="236">
        <v>599823.23369634256</v>
      </c>
      <c r="AZ738" s="236">
        <v>423315.43198903167</v>
      </c>
      <c r="BA738" s="236">
        <v>305336.6747222222</v>
      </c>
      <c r="BB738" s="236">
        <v>190276.51716666666</v>
      </c>
      <c r="BC738" s="236">
        <v>189756.63597222223</v>
      </c>
      <c r="BD738" s="236">
        <v>189756.63597222223</v>
      </c>
      <c r="BE738" s="236">
        <v>189756.63597222223</v>
      </c>
      <c r="BF738" s="236">
        <v>190276.51716666666</v>
      </c>
      <c r="BG738" s="236">
        <v>189756.63597222223</v>
      </c>
      <c r="BH738" s="236">
        <v>189756.63597222223</v>
      </c>
      <c r="BI738" s="236">
        <v>189756.63597222223</v>
      </c>
      <c r="BJ738" s="236">
        <v>190276.51716666666</v>
      </c>
      <c r="BK738" s="236">
        <v>95658.139777777775</v>
      </c>
    </row>
    <row r="739" spans="1:63">
      <c r="A739" s="169"/>
      <c r="B739" s="307" t="s">
        <v>29</v>
      </c>
      <c r="C739" s="313"/>
      <c r="D739" s="314"/>
      <c r="E739" s="314"/>
      <c r="F739" s="314"/>
      <c r="G739" s="314"/>
      <c r="H739" s="314"/>
      <c r="I739" s="314"/>
      <c r="J739" s="314"/>
      <c r="K739" s="314"/>
      <c r="L739" s="314"/>
      <c r="M739" s="314"/>
      <c r="N739" s="314"/>
      <c r="O739" s="314"/>
      <c r="P739" s="314"/>
      <c r="Q739" s="314"/>
      <c r="R739" s="314"/>
      <c r="S739" s="311"/>
      <c r="T739" s="311"/>
      <c r="U739" s="311"/>
      <c r="V739" s="311"/>
      <c r="W739" s="311">
        <f t="shared" ref="W739:BJ739" si="144">+W738+W737</f>
        <v>7186080.5919794245</v>
      </c>
      <c r="X739" s="311">
        <f t="shared" si="144"/>
        <v>12431314.12690587</v>
      </c>
      <c r="Y739" s="311">
        <f t="shared" si="144"/>
        <v>17974515.529549986</v>
      </c>
      <c r="Z739" s="311">
        <f t="shared" si="144"/>
        <v>32787160.893929694</v>
      </c>
      <c r="AA739" s="311">
        <f t="shared" si="144"/>
        <v>26223990.604028396</v>
      </c>
      <c r="AB739" s="311">
        <f t="shared" si="144"/>
        <v>24948937.901514418</v>
      </c>
      <c r="AC739" s="311">
        <f t="shared" si="144"/>
        <v>24089332.194803391</v>
      </c>
      <c r="AD739" s="311">
        <f t="shared" si="144"/>
        <v>14509533.844762877</v>
      </c>
      <c r="AE739" s="311">
        <f t="shared" si="144"/>
        <v>20648498.108976781</v>
      </c>
      <c r="AF739" s="311">
        <f t="shared" si="144"/>
        <v>17677534.412392557</v>
      </c>
      <c r="AG739" s="311">
        <f t="shared" si="144"/>
        <v>21745202.347757287</v>
      </c>
      <c r="AH739" s="311">
        <f t="shared" si="144"/>
        <v>17645682.37886291</v>
      </c>
      <c r="AI739" s="311">
        <f t="shared" si="144"/>
        <v>11111066.195826029</v>
      </c>
      <c r="AJ739" s="311">
        <f t="shared" si="144"/>
        <v>8894982.0713993087</v>
      </c>
      <c r="AK739" s="311">
        <f t="shared" si="144"/>
        <v>8869344.9948937092</v>
      </c>
      <c r="AL739" s="311">
        <f t="shared" si="144"/>
        <v>12145555.698488723</v>
      </c>
      <c r="AM739" s="311">
        <f t="shared" si="144"/>
        <v>12655937.353551267</v>
      </c>
      <c r="AN739" s="311">
        <f t="shared" si="144"/>
        <v>4544891.399056551</v>
      </c>
      <c r="AO739" s="311">
        <f t="shared" si="144"/>
        <v>5659389.22516305</v>
      </c>
      <c r="AP739" s="311">
        <f t="shared" si="144"/>
        <v>6121920.2703186302</v>
      </c>
      <c r="AQ739" s="311">
        <f t="shared" si="144"/>
        <v>11988379.349774648</v>
      </c>
      <c r="AR739" s="311">
        <f t="shared" si="144"/>
        <v>6052115.0571738575</v>
      </c>
      <c r="AS739" s="311">
        <f t="shared" si="144"/>
        <v>2255988.9014289593</v>
      </c>
      <c r="AT739" s="311">
        <f t="shared" si="144"/>
        <v>11277185.712222913</v>
      </c>
      <c r="AU739" s="311">
        <f t="shared" si="144"/>
        <v>18019732.907536447</v>
      </c>
      <c r="AV739" s="311">
        <f t="shared" si="144"/>
        <v>881427.2907459758</v>
      </c>
      <c r="AW739" s="311">
        <f t="shared" si="144"/>
        <v>879850.67395550339</v>
      </c>
      <c r="AX739" s="311">
        <f t="shared" si="144"/>
        <v>880409.76337202138</v>
      </c>
      <c r="AY739" s="311">
        <f t="shared" si="144"/>
        <v>7386462.445174559</v>
      </c>
      <c r="AZ739" s="311">
        <f t="shared" si="144"/>
        <v>485548.51169266814</v>
      </c>
      <c r="BA739" s="311">
        <f t="shared" si="144"/>
        <v>5878256.6747222226</v>
      </c>
      <c r="BB739" s="311">
        <f t="shared" si="144"/>
        <v>190276.51716666666</v>
      </c>
      <c r="BC739" s="311">
        <f t="shared" si="144"/>
        <v>189756.63597222223</v>
      </c>
      <c r="BD739" s="311">
        <f t="shared" si="144"/>
        <v>189756.63597222223</v>
      </c>
      <c r="BE739" s="311">
        <f t="shared" si="144"/>
        <v>189756.63597222223</v>
      </c>
      <c r="BF739" s="311">
        <f t="shared" si="144"/>
        <v>190276.51716666666</v>
      </c>
      <c r="BG739" s="311">
        <f t="shared" si="144"/>
        <v>189756.63597222223</v>
      </c>
      <c r="BH739" s="311">
        <f t="shared" si="144"/>
        <v>189756.63597222223</v>
      </c>
      <c r="BI739" s="311">
        <f t="shared" si="144"/>
        <v>189756.63597222223</v>
      </c>
      <c r="BJ739" s="311">
        <f t="shared" si="144"/>
        <v>190276.51716666666</v>
      </c>
      <c r="BK739" s="311">
        <f>+BK738+BK737</f>
        <v>4925522.1397777777</v>
      </c>
    </row>
    <row r="740" spans="1:63">
      <c r="A740" s="167"/>
      <c r="B740" s="210" t="s">
        <v>28</v>
      </c>
      <c r="C740" s="211"/>
      <c r="D740" s="212"/>
      <c r="E740" s="212"/>
      <c r="F740" s="212"/>
      <c r="G740" s="212"/>
      <c r="H740" s="212"/>
      <c r="I740" s="212"/>
      <c r="J740" s="212"/>
      <c r="K740" s="212"/>
      <c r="L740" s="212"/>
      <c r="M740" s="212"/>
      <c r="N740" s="212"/>
      <c r="O740" s="212"/>
      <c r="P740" s="212"/>
      <c r="Q740" s="212"/>
      <c r="R740" s="212"/>
      <c r="S740" s="235"/>
      <c r="T740" s="235"/>
      <c r="U740" s="235"/>
      <c r="V740" s="235"/>
      <c r="W740" s="236">
        <v>1869145.0284523601</v>
      </c>
      <c r="X740" s="236">
        <v>3682912.96581575</v>
      </c>
      <c r="Y740" s="236">
        <v>9430087.4113286417</v>
      </c>
      <c r="Z740" s="236">
        <v>24755216.794839956</v>
      </c>
      <c r="AA740" s="236">
        <v>18790926.78341553</v>
      </c>
      <c r="AB740" s="236">
        <v>17874156.144174576</v>
      </c>
      <c r="AC740" s="236">
        <v>17800659.781303637</v>
      </c>
      <c r="AD740" s="236">
        <v>8698394.6156017445</v>
      </c>
      <c r="AE740" s="236">
        <v>15297046.506543811</v>
      </c>
      <c r="AF740" s="236">
        <v>12732247.661527075</v>
      </c>
      <c r="AG740" s="236">
        <v>17248743.445805244</v>
      </c>
      <c r="AH740" s="236">
        <v>13547444.042305293</v>
      </c>
      <c r="AI740" s="236">
        <v>7256745.9407357592</v>
      </c>
      <c r="AJ740" s="236">
        <v>5170804.8921617409</v>
      </c>
      <c r="AK740" s="236">
        <v>5179247.1173420642</v>
      </c>
      <c r="AL740" s="236">
        <v>8465427.3757194318</v>
      </c>
      <c r="AM740" s="236">
        <v>9311805.3384386022</v>
      </c>
      <c r="AN740" s="236">
        <v>1658795.7695316358</v>
      </c>
      <c r="AO740" s="236">
        <v>2821452.4157248265</v>
      </c>
      <c r="AP740" s="236">
        <v>3397688.4052907294</v>
      </c>
      <c r="AQ740" s="236">
        <v>9586324.3707437254</v>
      </c>
      <c r="AR740" s="236">
        <v>3865940.5071073622</v>
      </c>
      <c r="AS740" s="236">
        <v>108587.48013765164</v>
      </c>
      <c r="AT740" s="236">
        <v>9494106.0449424665</v>
      </c>
      <c r="AU740" s="236">
        <v>17002369.463861383</v>
      </c>
      <c r="AV740" s="236">
        <v>97354.463861385375</v>
      </c>
      <c r="AW740" s="236">
        <v>97354.463861385375</v>
      </c>
      <c r="AX740" s="236">
        <v>97354.463861385375</v>
      </c>
      <c r="AY740" s="236">
        <v>6859360.4638613863</v>
      </c>
      <c r="AZ740" s="236">
        <v>61155.267543217116</v>
      </c>
      <c r="BA740" s="236">
        <v>5635005</v>
      </c>
      <c r="BB740" s="236">
        <v>0</v>
      </c>
      <c r="BC740" s="236">
        <v>0</v>
      </c>
      <c r="BD740" s="236">
        <v>0</v>
      </c>
      <c r="BE740" s="236">
        <v>0</v>
      </c>
      <c r="BF740" s="236">
        <v>0</v>
      </c>
      <c r="BG740" s="236">
        <v>0</v>
      </c>
      <c r="BH740" s="236">
        <v>0</v>
      </c>
      <c r="BI740" s="236">
        <v>0</v>
      </c>
      <c r="BJ740" s="236">
        <v>0</v>
      </c>
      <c r="BK740" s="236">
        <v>4883671</v>
      </c>
    </row>
    <row r="741" spans="1:63">
      <c r="A741" s="168">
        <v>44377</v>
      </c>
      <c r="B741" s="213" t="s">
        <v>385</v>
      </c>
      <c r="C741" s="214"/>
      <c r="D741" s="215"/>
      <c r="E741" s="215"/>
      <c r="F741" s="215"/>
      <c r="G741" s="215"/>
      <c r="H741" s="215"/>
      <c r="I741" s="215"/>
      <c r="J741" s="215"/>
      <c r="K741" s="215"/>
      <c r="L741" s="215"/>
      <c r="M741" s="215"/>
      <c r="N741" s="215"/>
      <c r="O741" s="215"/>
      <c r="P741" s="215"/>
      <c r="Q741" s="215"/>
      <c r="R741" s="216"/>
      <c r="S741" s="236"/>
      <c r="T741" s="236"/>
      <c r="U741" s="236"/>
      <c r="V741" s="236"/>
      <c r="W741" s="236">
        <v>4220450.4744321937</v>
      </c>
      <c r="X741" s="236">
        <v>8889379.4404995479</v>
      </c>
      <c r="Y741" s="236">
        <v>8741142.0153556373</v>
      </c>
      <c r="Z741" s="236">
        <v>8254976.6133702155</v>
      </c>
      <c r="AA741" s="236">
        <v>7761875.8152538463</v>
      </c>
      <c r="AB741" s="236">
        <v>7364549.1031335453</v>
      </c>
      <c r="AC741" s="236">
        <v>6750157.7829850735</v>
      </c>
      <c r="AD741" s="236">
        <v>6186414.606184667</v>
      </c>
      <c r="AE741" s="236">
        <v>5782576.7170221638</v>
      </c>
      <c r="AF741" s="236">
        <v>5344156.5756545644</v>
      </c>
      <c r="AG741" s="236">
        <v>4940829.1800218513</v>
      </c>
      <c r="AH741" s="236">
        <v>4491207.1971828686</v>
      </c>
      <c r="AI741" s="236">
        <v>4171006.6410896108</v>
      </c>
      <c r="AJ741" s="236">
        <v>4018667.9513693955</v>
      </c>
      <c r="AK741" s="236">
        <v>3888529.8832471753</v>
      </c>
      <c r="AL741" s="236">
        <v>3825495.6784486705</v>
      </c>
      <c r="AM741" s="236">
        <v>3666552.7585397298</v>
      </c>
      <c r="AN741" s="236">
        <v>3116081.7885395489</v>
      </c>
      <c r="AO741" s="236">
        <v>3076220.9641912086</v>
      </c>
      <c r="AP741" s="236">
        <v>2963435.9917194364</v>
      </c>
      <c r="AQ741" s="236">
        <v>2618771.8258930026</v>
      </c>
      <c r="AR741" s="236">
        <v>2250314.5589400521</v>
      </c>
      <c r="AS741" s="236">
        <v>2169299.2843990428</v>
      </c>
      <c r="AT741" s="236">
        <v>1905525.42267892</v>
      </c>
      <c r="AU741" s="236">
        <v>1214972.6541222516</v>
      </c>
      <c r="AV741" s="236">
        <v>790800.48684086313</v>
      </c>
      <c r="AW741" s="236">
        <v>789253.69455947459</v>
      </c>
      <c r="AX741" s="236">
        <v>789866.06191104697</v>
      </c>
      <c r="AY741" s="236">
        <v>606441.01719669777</v>
      </c>
      <c r="AZ741" s="236">
        <v>428016.94304386561</v>
      </c>
      <c r="BA741" s="236">
        <v>308738.2716319444</v>
      </c>
      <c r="BB741" s="236">
        <v>192396.28877083331</v>
      </c>
      <c r="BC741" s="236">
        <v>191870.61585069445</v>
      </c>
      <c r="BD741" s="236">
        <v>191870.61585069445</v>
      </c>
      <c r="BE741" s="236">
        <v>191870.61585069445</v>
      </c>
      <c r="BF741" s="236">
        <v>192396.28877083331</v>
      </c>
      <c r="BG741" s="236">
        <v>191870.61585069445</v>
      </c>
      <c r="BH741" s="236">
        <v>191870.61585069445</v>
      </c>
      <c r="BI741" s="236">
        <v>191870.61585069445</v>
      </c>
      <c r="BJ741" s="236">
        <v>192396.28877083331</v>
      </c>
      <c r="BK741" s="236">
        <v>96723.817305555553</v>
      </c>
    </row>
    <row r="742" spans="1:63">
      <c r="A742" s="169"/>
      <c r="B742" s="307" t="s">
        <v>29</v>
      </c>
      <c r="C742" s="313"/>
      <c r="D742" s="314"/>
      <c r="E742" s="314"/>
      <c r="F742" s="314"/>
      <c r="G742" s="314"/>
      <c r="H742" s="314"/>
      <c r="I742" s="314"/>
      <c r="J742" s="314"/>
      <c r="K742" s="314"/>
      <c r="L742" s="314"/>
      <c r="M742" s="314"/>
      <c r="N742" s="314"/>
      <c r="O742" s="314"/>
      <c r="P742" s="314"/>
      <c r="Q742" s="314"/>
      <c r="R742" s="314"/>
      <c r="S742" s="311"/>
      <c r="T742" s="311"/>
      <c r="U742" s="311"/>
      <c r="V742" s="311"/>
      <c r="W742" s="311">
        <f t="shared" ref="W742:BJ742" si="145">+W741+W740</f>
        <v>6089595.5028845537</v>
      </c>
      <c r="X742" s="311">
        <f t="shared" si="145"/>
        <v>12572292.406315297</v>
      </c>
      <c r="Y742" s="311">
        <f t="shared" si="145"/>
        <v>18171229.426684279</v>
      </c>
      <c r="Z742" s="311">
        <f t="shared" si="145"/>
        <v>33010193.408210173</v>
      </c>
      <c r="AA742" s="311">
        <f t="shared" si="145"/>
        <v>26552802.598669376</v>
      </c>
      <c r="AB742" s="311">
        <f t="shared" si="145"/>
        <v>25238705.24730812</v>
      </c>
      <c r="AC742" s="311">
        <f t="shared" si="145"/>
        <v>24550817.564288709</v>
      </c>
      <c r="AD742" s="311">
        <f t="shared" si="145"/>
        <v>14884809.221786411</v>
      </c>
      <c r="AE742" s="311">
        <f t="shared" si="145"/>
        <v>21079623.223565973</v>
      </c>
      <c r="AF742" s="311">
        <f t="shared" si="145"/>
        <v>18076404.237181641</v>
      </c>
      <c r="AG742" s="311">
        <f t="shared" si="145"/>
        <v>22189572.625827096</v>
      </c>
      <c r="AH742" s="311">
        <f t="shared" si="145"/>
        <v>18038651.239488162</v>
      </c>
      <c r="AI742" s="311">
        <f t="shared" si="145"/>
        <v>11427752.58182537</v>
      </c>
      <c r="AJ742" s="311">
        <f t="shared" si="145"/>
        <v>9189472.8435311355</v>
      </c>
      <c r="AK742" s="311">
        <f t="shared" si="145"/>
        <v>9067777.0005892403</v>
      </c>
      <c r="AL742" s="311">
        <f t="shared" si="145"/>
        <v>12290923.054168101</v>
      </c>
      <c r="AM742" s="311">
        <f t="shared" si="145"/>
        <v>12978358.096978333</v>
      </c>
      <c r="AN742" s="311">
        <f t="shared" si="145"/>
        <v>4774877.5580711849</v>
      </c>
      <c r="AO742" s="311">
        <f t="shared" si="145"/>
        <v>5897673.3799160346</v>
      </c>
      <c r="AP742" s="311">
        <f t="shared" si="145"/>
        <v>6361124.3970101662</v>
      </c>
      <c r="AQ742" s="311">
        <f t="shared" si="145"/>
        <v>12205096.196636729</v>
      </c>
      <c r="AR742" s="311">
        <f t="shared" si="145"/>
        <v>6116255.0660474142</v>
      </c>
      <c r="AS742" s="311">
        <f t="shared" si="145"/>
        <v>2277886.7645366946</v>
      </c>
      <c r="AT742" s="311">
        <f t="shared" si="145"/>
        <v>11399631.467621386</v>
      </c>
      <c r="AU742" s="311">
        <f t="shared" si="145"/>
        <v>18217342.117983636</v>
      </c>
      <c r="AV742" s="311">
        <f t="shared" si="145"/>
        <v>888154.95070224849</v>
      </c>
      <c r="AW742" s="311">
        <f t="shared" si="145"/>
        <v>886608.15842085995</v>
      </c>
      <c r="AX742" s="311">
        <f t="shared" si="145"/>
        <v>887220.52577243233</v>
      </c>
      <c r="AY742" s="311">
        <f t="shared" si="145"/>
        <v>7465801.4810580844</v>
      </c>
      <c r="AZ742" s="311">
        <f t="shared" si="145"/>
        <v>489172.21058708272</v>
      </c>
      <c r="BA742" s="311">
        <f t="shared" si="145"/>
        <v>5943743.271631944</v>
      </c>
      <c r="BB742" s="311">
        <f t="shared" si="145"/>
        <v>192396.28877083331</v>
      </c>
      <c r="BC742" s="311">
        <f t="shared" si="145"/>
        <v>191870.61585069445</v>
      </c>
      <c r="BD742" s="311">
        <f t="shared" si="145"/>
        <v>191870.61585069445</v>
      </c>
      <c r="BE742" s="311">
        <f t="shared" si="145"/>
        <v>191870.61585069445</v>
      </c>
      <c r="BF742" s="311">
        <f t="shared" si="145"/>
        <v>192396.28877083331</v>
      </c>
      <c r="BG742" s="311">
        <f t="shared" si="145"/>
        <v>191870.61585069445</v>
      </c>
      <c r="BH742" s="311">
        <f t="shared" si="145"/>
        <v>191870.61585069445</v>
      </c>
      <c r="BI742" s="311">
        <f t="shared" si="145"/>
        <v>191870.61585069445</v>
      </c>
      <c r="BJ742" s="311">
        <f t="shared" si="145"/>
        <v>192396.28877083331</v>
      </c>
      <c r="BK742" s="311">
        <f>+BK741+BK740</f>
        <v>4980394.8173055556</v>
      </c>
    </row>
    <row r="743" spans="1:63">
      <c r="A743" s="167"/>
      <c r="B743" s="210" t="s">
        <v>28</v>
      </c>
      <c r="C743" s="211"/>
      <c r="D743" s="212"/>
      <c r="E743" s="212"/>
      <c r="F743" s="212"/>
      <c r="G743" s="212"/>
      <c r="H743" s="212"/>
      <c r="I743" s="212"/>
      <c r="J743" s="212"/>
      <c r="K743" s="212"/>
      <c r="L743" s="212"/>
      <c r="M743" s="212"/>
      <c r="N743" s="212"/>
      <c r="O743" s="212"/>
      <c r="P743" s="212"/>
      <c r="Q743" s="212"/>
      <c r="R743" s="212"/>
      <c r="S743" s="235"/>
      <c r="T743" s="235"/>
      <c r="U743" s="235"/>
      <c r="V743" s="235"/>
      <c r="W743" s="236">
        <v>1822190.5512463022</v>
      </c>
      <c r="X743" s="236">
        <v>3747570.0246153632</v>
      </c>
      <c r="Y743" s="236">
        <v>9594483.1971528977</v>
      </c>
      <c r="Z743" s="236">
        <v>25287266.9653791</v>
      </c>
      <c r="AA743" s="236">
        <v>19209809.073816076</v>
      </c>
      <c r="AB743" s="236">
        <v>18346363.117246326</v>
      </c>
      <c r="AC743" s="236">
        <v>18141149.513833884</v>
      </c>
      <c r="AD743" s="236">
        <v>8929370.7405414786</v>
      </c>
      <c r="AE743" s="236">
        <v>15629011.376492197</v>
      </c>
      <c r="AF743" s="236">
        <v>13008735.12009923</v>
      </c>
      <c r="AG743" s="236">
        <v>17622761.637296643</v>
      </c>
      <c r="AH743" s="236">
        <v>13840351.793053532</v>
      </c>
      <c r="AI743" s="236">
        <v>7416748.1580292908</v>
      </c>
      <c r="AJ743" s="236">
        <v>5303412.1983180344</v>
      </c>
      <c r="AK743" s="236">
        <v>5335098.9079622459</v>
      </c>
      <c r="AL743" s="236">
        <v>8725595.9933433887</v>
      </c>
      <c r="AM743" s="236">
        <v>9515194.5373096783</v>
      </c>
      <c r="AN743" s="236">
        <v>1696427.0792537043</v>
      </c>
      <c r="AO743" s="236">
        <v>2883929.6862463234</v>
      </c>
      <c r="AP743" s="236">
        <v>3472479.8330957652</v>
      </c>
      <c r="AQ743" s="236">
        <v>9792551.0958790462</v>
      </c>
      <c r="AR743" s="236">
        <v>3949783.825740519</v>
      </c>
      <c r="AS743" s="236">
        <v>112136.20249135724</v>
      </c>
      <c r="AT743" s="236">
        <v>9698223.2043381594</v>
      </c>
      <c r="AU743" s="236">
        <v>17366938.136770591</v>
      </c>
      <c r="AV743" s="236">
        <v>100663.13677059393</v>
      </c>
      <c r="AW743" s="236">
        <v>100663.13677059393</v>
      </c>
      <c r="AX743" s="236">
        <v>100663.13677059393</v>
      </c>
      <c r="AY743" s="236">
        <v>7007173.1367705939</v>
      </c>
      <c r="AZ743" s="236">
        <v>63216.117556772711</v>
      </c>
      <c r="BA743" s="236">
        <v>5755425</v>
      </c>
      <c r="BB743" s="236">
        <v>0</v>
      </c>
      <c r="BC743" s="236">
        <v>0</v>
      </c>
      <c r="BD743" s="236">
        <v>0</v>
      </c>
      <c r="BE743" s="236">
        <v>0</v>
      </c>
      <c r="BF743" s="236">
        <v>0</v>
      </c>
      <c r="BG743" s="236">
        <v>0</v>
      </c>
      <c r="BH743" s="236">
        <v>0</v>
      </c>
      <c r="BI743" s="236">
        <v>0</v>
      </c>
      <c r="BJ743" s="236">
        <v>0</v>
      </c>
      <c r="BK743" s="236">
        <v>4988035</v>
      </c>
    </row>
    <row r="744" spans="1:63">
      <c r="A744" s="168">
        <v>44408</v>
      </c>
      <c r="B744" s="213" t="s">
        <v>385</v>
      </c>
      <c r="C744" s="214"/>
      <c r="D744" s="215"/>
      <c r="E744" s="215"/>
      <c r="F744" s="215"/>
      <c r="G744" s="215"/>
      <c r="H744" s="215"/>
      <c r="I744" s="215"/>
      <c r="J744" s="215"/>
      <c r="K744" s="215"/>
      <c r="L744" s="215"/>
      <c r="M744" s="215"/>
      <c r="N744" s="215"/>
      <c r="O744" s="215"/>
      <c r="P744" s="215"/>
      <c r="Q744" s="215"/>
      <c r="R744" s="216"/>
      <c r="S744" s="236"/>
      <c r="T744" s="236"/>
      <c r="U744" s="236"/>
      <c r="V744" s="236"/>
      <c r="W744" s="236">
        <v>3391081.4769415925</v>
      </c>
      <c r="X744" s="236">
        <v>9080213.2075245678</v>
      </c>
      <c r="Y744" s="236">
        <v>8926982.6314020678</v>
      </c>
      <c r="Z744" s="236">
        <v>8424021.6823173203</v>
      </c>
      <c r="AA744" s="236">
        <v>7922846.3402942931</v>
      </c>
      <c r="AB744" s="236">
        <v>7513706.5291311461</v>
      </c>
      <c r="AC744" s="236">
        <v>6879374.5322465347</v>
      </c>
      <c r="AD744" s="236">
        <v>6310542.2427971298</v>
      </c>
      <c r="AE744" s="236">
        <v>5901358.8654129356</v>
      </c>
      <c r="AF744" s="236">
        <v>5454043.3043122189</v>
      </c>
      <c r="AG744" s="236">
        <v>5044502.6196565228</v>
      </c>
      <c r="AH744" s="236">
        <v>4586728.8598912917</v>
      </c>
      <c r="AI744" s="236">
        <v>4260081.3236584971</v>
      </c>
      <c r="AJ744" s="236">
        <v>4104907.9386846176</v>
      </c>
      <c r="AK744" s="236">
        <v>3971640.4422728093</v>
      </c>
      <c r="AL744" s="236">
        <v>3907668.2358313948</v>
      </c>
      <c r="AM744" s="236">
        <v>3743984.3961205799</v>
      </c>
      <c r="AN744" s="236">
        <v>3182027.6639704462</v>
      </c>
      <c r="AO744" s="236">
        <v>3141584.401599484</v>
      </c>
      <c r="AP744" s="236">
        <v>3026647.9179876787</v>
      </c>
      <c r="AQ744" s="236">
        <v>2674854.987836136</v>
      </c>
      <c r="AR744" s="236">
        <v>2298571.5595321632</v>
      </c>
      <c r="AS744" s="236">
        <v>2215805.3363568988</v>
      </c>
      <c r="AT744" s="236">
        <v>1946375.1863286612</v>
      </c>
      <c r="AU744" s="236">
        <v>1241044.7731971834</v>
      </c>
      <c r="AV744" s="236">
        <v>807787.87764754368</v>
      </c>
      <c r="AW744" s="236">
        <v>806187.85709790385</v>
      </c>
      <c r="AX744" s="236">
        <v>806793.28186792345</v>
      </c>
      <c r="AY744" s="236">
        <v>619428.12799862446</v>
      </c>
      <c r="AZ744" s="236">
        <v>437169.80182364566</v>
      </c>
      <c r="BA744" s="236">
        <v>315336.00538194441</v>
      </c>
      <c r="BB744" s="236">
        <v>196507.79552083332</v>
      </c>
      <c r="BC744" s="236">
        <v>195970.88897569443</v>
      </c>
      <c r="BD744" s="236">
        <v>195970.88897569443</v>
      </c>
      <c r="BE744" s="236">
        <v>195970.88897569443</v>
      </c>
      <c r="BF744" s="236">
        <v>196507.79552083332</v>
      </c>
      <c r="BG744" s="236">
        <v>195970.88897569443</v>
      </c>
      <c r="BH744" s="236">
        <v>195970.88897569443</v>
      </c>
      <c r="BI744" s="236">
        <v>195970.88897569443</v>
      </c>
      <c r="BJ744" s="236">
        <v>196507.79552083332</v>
      </c>
      <c r="BK744" s="236">
        <v>98790.804305555546</v>
      </c>
    </row>
    <row r="745" spans="1:63">
      <c r="A745" s="169"/>
      <c r="B745" s="307" t="s">
        <v>29</v>
      </c>
      <c r="C745" s="313"/>
      <c r="D745" s="314"/>
      <c r="E745" s="314"/>
      <c r="F745" s="314"/>
      <c r="G745" s="314"/>
      <c r="H745" s="314"/>
      <c r="I745" s="314"/>
      <c r="J745" s="314"/>
      <c r="K745" s="314"/>
      <c r="L745" s="314"/>
      <c r="M745" s="314"/>
      <c r="N745" s="314"/>
      <c r="O745" s="314"/>
      <c r="P745" s="314"/>
      <c r="Q745" s="314"/>
      <c r="R745" s="314"/>
      <c r="S745" s="311"/>
      <c r="T745" s="311"/>
      <c r="U745" s="311"/>
      <c r="V745" s="311"/>
      <c r="W745" s="311">
        <f>(+W744+W743)</f>
        <v>5213272.0281878952</v>
      </c>
      <c r="X745" s="311">
        <f t="shared" ref="X745:BK745" si="146">(+X744+X743)</f>
        <v>12827783.23213993</v>
      </c>
      <c r="Y745" s="311">
        <f t="shared" si="146"/>
        <v>18521465.828554966</v>
      </c>
      <c r="Z745" s="311">
        <f>(+Z744+Z743)</f>
        <v>33711288.647696421</v>
      </c>
      <c r="AA745" s="311">
        <f t="shared" si="146"/>
        <v>27132655.41411037</v>
      </c>
      <c r="AB745" s="311">
        <f t="shared" si="146"/>
        <v>25860069.646377474</v>
      </c>
      <c r="AC745" s="311">
        <f t="shared" si="146"/>
        <v>25020524.046080418</v>
      </c>
      <c r="AD745" s="311">
        <f t="shared" si="146"/>
        <v>15239912.983338609</v>
      </c>
      <c r="AE745" s="311">
        <f t="shared" si="146"/>
        <v>21530370.24190513</v>
      </c>
      <c r="AF745" s="311">
        <f t="shared" si="146"/>
        <v>18462778.42441145</v>
      </c>
      <c r="AG745" s="311">
        <f t="shared" si="146"/>
        <v>22667264.256953165</v>
      </c>
      <c r="AH745" s="311">
        <f t="shared" si="146"/>
        <v>18427080.652944826</v>
      </c>
      <c r="AI745" s="311">
        <f t="shared" si="146"/>
        <v>11676829.481687788</v>
      </c>
      <c r="AJ745" s="311">
        <f t="shared" si="146"/>
        <v>9408320.1370026525</v>
      </c>
      <c r="AK745" s="311">
        <f t="shared" si="146"/>
        <v>9306739.3502350561</v>
      </c>
      <c r="AL745" s="311">
        <f t="shared" si="146"/>
        <v>12633264.229174783</v>
      </c>
      <c r="AM745" s="311">
        <f t="shared" si="146"/>
        <v>13259178.933430258</v>
      </c>
      <c r="AN745" s="311">
        <f t="shared" si="146"/>
        <v>4878454.7432241505</v>
      </c>
      <c r="AO745" s="311">
        <f t="shared" si="146"/>
        <v>6025514.0878458079</v>
      </c>
      <c r="AP745" s="311">
        <f t="shared" si="146"/>
        <v>6499127.7510834439</v>
      </c>
      <c r="AQ745" s="311">
        <f t="shared" si="146"/>
        <v>12467406.083715182</v>
      </c>
      <c r="AR745" s="311">
        <f t="shared" si="146"/>
        <v>6248355.3852726817</v>
      </c>
      <c r="AS745" s="311">
        <f t="shared" si="146"/>
        <v>2327941.5388482562</v>
      </c>
      <c r="AT745" s="311">
        <f t="shared" si="146"/>
        <v>11644598.39066682</v>
      </c>
      <c r="AU745" s="311">
        <f t="shared" si="146"/>
        <v>18607982.909967773</v>
      </c>
      <c r="AV745" s="311">
        <f t="shared" si="146"/>
        <v>908451.01441813761</v>
      </c>
      <c r="AW745" s="311">
        <f t="shared" si="146"/>
        <v>906850.99386849778</v>
      </c>
      <c r="AX745" s="311">
        <f t="shared" si="146"/>
        <v>907456.41863851738</v>
      </c>
      <c r="AY745" s="311">
        <f t="shared" si="146"/>
        <v>7626601.2647692189</v>
      </c>
      <c r="AZ745" s="311">
        <f t="shared" si="146"/>
        <v>500385.91938041837</v>
      </c>
      <c r="BA745" s="311">
        <f t="shared" si="146"/>
        <v>6070761.0053819446</v>
      </c>
      <c r="BB745" s="311">
        <f t="shared" si="146"/>
        <v>196507.79552083332</v>
      </c>
      <c r="BC745" s="311">
        <f t="shared" si="146"/>
        <v>195970.88897569443</v>
      </c>
      <c r="BD745" s="311">
        <f t="shared" si="146"/>
        <v>195970.88897569443</v>
      </c>
      <c r="BE745" s="311">
        <f t="shared" si="146"/>
        <v>195970.88897569443</v>
      </c>
      <c r="BF745" s="311">
        <f t="shared" si="146"/>
        <v>196507.79552083332</v>
      </c>
      <c r="BG745" s="311">
        <f t="shared" si="146"/>
        <v>195970.88897569443</v>
      </c>
      <c r="BH745" s="311">
        <f t="shared" si="146"/>
        <v>195970.88897569443</v>
      </c>
      <c r="BI745" s="311">
        <f t="shared" si="146"/>
        <v>195970.88897569443</v>
      </c>
      <c r="BJ745" s="311">
        <f t="shared" si="146"/>
        <v>196507.79552083332</v>
      </c>
      <c r="BK745" s="311">
        <f t="shared" si="146"/>
        <v>5086825.8043055553</v>
      </c>
    </row>
    <row r="746" spans="1:63">
      <c r="A746" s="167"/>
      <c r="B746" s="210" t="s">
        <v>28</v>
      </c>
      <c r="C746" s="211"/>
      <c r="D746" s="212"/>
      <c r="E746" s="212"/>
      <c r="F746" s="212"/>
      <c r="G746" s="212"/>
      <c r="H746" s="212"/>
      <c r="I746" s="212"/>
      <c r="J746" s="212"/>
      <c r="K746" s="212"/>
      <c r="L746" s="212"/>
      <c r="M746" s="212"/>
      <c r="N746" s="212"/>
      <c r="O746" s="212"/>
      <c r="P746" s="212"/>
      <c r="Q746" s="212"/>
      <c r="R746" s="212"/>
      <c r="S746" s="235"/>
      <c r="T746" s="235"/>
      <c r="U746" s="235"/>
      <c r="V746" s="235"/>
      <c r="W746" s="236">
        <v>1480346.1402770618</v>
      </c>
      <c r="X746" s="236">
        <v>3714122.457687418</v>
      </c>
      <c r="Y746" s="236">
        <v>9525196.1966684069</v>
      </c>
      <c r="Z746" s="236">
        <v>25052527.935631901</v>
      </c>
      <c r="AA746" s="236">
        <v>19010024.962908383</v>
      </c>
      <c r="AB746" s="236">
        <v>18031190.472193006</v>
      </c>
      <c r="AC746" s="236">
        <v>17995452.472801004</v>
      </c>
      <c r="AD746" s="236">
        <v>8840828.5893246569</v>
      </c>
      <c r="AE746" s="236">
        <v>15493660.209588582</v>
      </c>
      <c r="AF746" s="236">
        <v>12895225.311645348</v>
      </c>
      <c r="AG746" s="236">
        <v>17474380.565116186</v>
      </c>
      <c r="AH746" s="236">
        <v>13723782.531750532</v>
      </c>
      <c r="AI746" s="236">
        <v>7352770.5268790713</v>
      </c>
      <c r="AJ746" s="236">
        <v>5256002.1913650883</v>
      </c>
      <c r="AK746" s="236">
        <v>5215297.3155294023</v>
      </c>
      <c r="AL746" s="236">
        <v>8506245.2219437994</v>
      </c>
      <c r="AM746" s="236">
        <v>9435039.5368057229</v>
      </c>
      <c r="AN746" s="236">
        <v>1679158.477971202</v>
      </c>
      <c r="AO746" s="236">
        <v>2857351.5869462979</v>
      </c>
      <c r="AP746" s="236">
        <v>3441287.7595669292</v>
      </c>
      <c r="AQ746" s="236">
        <v>9713396.6745612845</v>
      </c>
      <c r="AR746" s="236">
        <v>3916434.1293959175</v>
      </c>
      <c r="AS746" s="236">
        <v>108871.97520612158</v>
      </c>
      <c r="AT746" s="236">
        <v>9619808.2721921504</v>
      </c>
      <c r="AU746" s="236">
        <v>17228403.853273232</v>
      </c>
      <c r="AV746" s="236">
        <v>97488.853273231623</v>
      </c>
      <c r="AW746" s="236">
        <v>97488.853273231623</v>
      </c>
      <c r="AX746" s="236">
        <v>97488.853273231623</v>
      </c>
      <c r="AY746" s="236">
        <v>6949854.8532732306</v>
      </c>
      <c r="AZ746" s="236">
        <v>61256.368295993656</v>
      </c>
      <c r="BA746" s="236">
        <v>5710305</v>
      </c>
      <c r="BB746" s="236">
        <v>0</v>
      </c>
      <c r="BC746" s="236">
        <v>0</v>
      </c>
      <c r="BD746" s="236">
        <v>0</v>
      </c>
      <c r="BE746" s="236">
        <v>0</v>
      </c>
      <c r="BF746" s="236">
        <v>0</v>
      </c>
      <c r="BG746" s="236">
        <v>0</v>
      </c>
      <c r="BH746" s="236">
        <v>0</v>
      </c>
      <c r="BI746" s="236">
        <v>0</v>
      </c>
      <c r="BJ746" s="236">
        <v>0</v>
      </c>
      <c r="BK746" s="236">
        <v>4948931</v>
      </c>
    </row>
    <row r="747" spans="1:63">
      <c r="A747" s="168">
        <v>44439</v>
      </c>
      <c r="B747" s="213" t="s">
        <v>385</v>
      </c>
      <c r="C747" s="214"/>
      <c r="D747" s="215"/>
      <c r="E747" s="215"/>
      <c r="F747" s="215"/>
      <c r="G747" s="215"/>
      <c r="H747" s="215"/>
      <c r="I747" s="215"/>
      <c r="J747" s="215"/>
      <c r="K747" s="215"/>
      <c r="L747" s="215"/>
      <c r="M747" s="215"/>
      <c r="N747" s="215"/>
      <c r="O747" s="215"/>
      <c r="P747" s="215"/>
      <c r="Q747" s="215"/>
      <c r="R747" s="216"/>
      <c r="S747" s="236"/>
      <c r="T747" s="236"/>
      <c r="U747" s="236"/>
      <c r="V747" s="236"/>
      <c r="W747" s="236">
        <v>2632503.8128069965</v>
      </c>
      <c r="X747" s="236">
        <v>8998925.4401321635</v>
      </c>
      <c r="Y747" s="236">
        <v>8847812.7431972511</v>
      </c>
      <c r="Z747" s="236">
        <v>8354083.1352648819</v>
      </c>
      <c r="AA747" s="236">
        <v>7854898.7947132187</v>
      </c>
      <c r="AB747" s="236">
        <v>7449026.2507155631</v>
      </c>
      <c r="AC747" s="236">
        <v>6827265.5300716739</v>
      </c>
      <c r="AD747" s="236">
        <v>6263377.7553545544</v>
      </c>
      <c r="AE747" s="236">
        <v>5853818.8236687733</v>
      </c>
      <c r="AF747" s="236">
        <v>5409854.8610245567</v>
      </c>
      <c r="AG747" s="236">
        <v>5003616.7919811485</v>
      </c>
      <c r="AH747" s="236">
        <v>4547971.0626015905</v>
      </c>
      <c r="AI747" s="236">
        <v>4223680.9754449734</v>
      </c>
      <c r="AJ747" s="236">
        <v>4069511.3683806919</v>
      </c>
      <c r="AK747" s="236">
        <v>3937612.3850250249</v>
      </c>
      <c r="AL747" s="236">
        <v>3874976.3658452155</v>
      </c>
      <c r="AM747" s="236">
        <v>3714687.5294961152</v>
      </c>
      <c r="AN747" s="236">
        <v>3157028.6205690145</v>
      </c>
      <c r="AO747" s="236">
        <v>3116780.0440225806</v>
      </c>
      <c r="AP747" s="236">
        <v>3002642.9113814449</v>
      </c>
      <c r="AQ747" s="236">
        <v>2653537.4543486466</v>
      </c>
      <c r="AR747" s="236">
        <v>2280224.3153421571</v>
      </c>
      <c r="AS747" s="236">
        <v>2198146.0081179901</v>
      </c>
      <c r="AT747" s="236">
        <v>1930866.5223883537</v>
      </c>
      <c r="AU747" s="236">
        <v>1231105.4750103476</v>
      </c>
      <c r="AV747" s="236">
        <v>801284.29865829519</v>
      </c>
      <c r="AW747" s="236">
        <v>799735.99730624282</v>
      </c>
      <c r="AX747" s="236">
        <v>800375.57100387837</v>
      </c>
      <c r="AY747" s="236">
        <v>614518.73380213848</v>
      </c>
      <c r="AZ747" s="236">
        <v>433730.65729739144</v>
      </c>
      <c r="BA747" s="236">
        <v>312863.90982638887</v>
      </c>
      <c r="BB747" s="236">
        <v>194967.26085416664</v>
      </c>
      <c r="BC747" s="236">
        <v>194434.56342013887</v>
      </c>
      <c r="BD747" s="236">
        <v>194434.56342013887</v>
      </c>
      <c r="BE747" s="236">
        <v>194434.56342013887</v>
      </c>
      <c r="BF747" s="236">
        <v>194967.26085416664</v>
      </c>
      <c r="BG747" s="236">
        <v>194434.56342013887</v>
      </c>
      <c r="BH747" s="236">
        <v>194434.56342013887</v>
      </c>
      <c r="BI747" s="236">
        <v>194434.56342013887</v>
      </c>
      <c r="BJ747" s="236">
        <v>194967.26085416664</v>
      </c>
      <c r="BK747" s="236">
        <v>98016.327861111102</v>
      </c>
    </row>
    <row r="748" spans="1:63">
      <c r="A748" s="169"/>
      <c r="B748" s="307" t="s">
        <v>29</v>
      </c>
      <c r="C748" s="313"/>
      <c r="D748" s="314"/>
      <c r="E748" s="314"/>
      <c r="F748" s="314"/>
      <c r="G748" s="314"/>
      <c r="H748" s="314"/>
      <c r="I748" s="314"/>
      <c r="J748" s="314"/>
      <c r="K748" s="314"/>
      <c r="L748" s="314"/>
      <c r="M748" s="314"/>
      <c r="N748" s="314"/>
      <c r="O748" s="314"/>
      <c r="P748" s="314"/>
      <c r="Q748" s="314"/>
      <c r="R748" s="314"/>
      <c r="S748" s="311"/>
      <c r="T748" s="311"/>
      <c r="U748" s="311"/>
      <c r="V748" s="311"/>
      <c r="W748" s="311">
        <f>(+W747+W746)</f>
        <v>4112849.9530840581</v>
      </c>
      <c r="X748" s="311">
        <f>(+X747+X746)</f>
        <v>12713047.897819582</v>
      </c>
      <c r="Y748" s="311">
        <f>(+Y747+Y746)</f>
        <v>18373008.939865656</v>
      </c>
      <c r="Z748" s="311">
        <f>(+Z747+Z746)</f>
        <v>33406611.070896782</v>
      </c>
      <c r="AA748" s="311">
        <f t="shared" ref="AA748:BK748" si="147">(+AA747+AA746)</f>
        <v>26864923.757621601</v>
      </c>
      <c r="AB748" s="311">
        <f t="shared" si="147"/>
        <v>25480216.722908571</v>
      </c>
      <c r="AC748" s="311">
        <f t="shared" si="147"/>
        <v>24822718.002872676</v>
      </c>
      <c r="AD748" s="311">
        <f t="shared" si="147"/>
        <v>15104206.34467921</v>
      </c>
      <c r="AE748" s="311">
        <f t="shared" si="147"/>
        <v>21347479.033257354</v>
      </c>
      <c r="AF748" s="311">
        <f t="shared" si="147"/>
        <v>18305080.172669902</v>
      </c>
      <c r="AG748" s="311">
        <f t="shared" si="147"/>
        <v>22477997.357097335</v>
      </c>
      <c r="AH748" s="311">
        <f t="shared" si="147"/>
        <v>18271753.594352122</v>
      </c>
      <c r="AI748" s="311">
        <f t="shared" si="147"/>
        <v>11576451.502324045</v>
      </c>
      <c r="AJ748" s="311">
        <f t="shared" si="147"/>
        <v>9325513.5597457811</v>
      </c>
      <c r="AK748" s="311">
        <f t="shared" si="147"/>
        <v>9152909.7005544268</v>
      </c>
      <c r="AL748" s="311">
        <f t="shared" si="147"/>
        <v>12381221.587789014</v>
      </c>
      <c r="AM748" s="311">
        <f t="shared" si="147"/>
        <v>13149727.066301838</v>
      </c>
      <c r="AN748" s="311">
        <f t="shared" si="147"/>
        <v>4836187.0985402167</v>
      </c>
      <c r="AO748" s="311">
        <f t="shared" si="147"/>
        <v>5974131.630968878</v>
      </c>
      <c r="AP748" s="311">
        <f t="shared" si="147"/>
        <v>6443930.6709483741</v>
      </c>
      <c r="AQ748" s="311">
        <f t="shared" si="147"/>
        <v>12366934.128909931</v>
      </c>
      <c r="AR748" s="311">
        <f t="shared" si="147"/>
        <v>6196658.4447380751</v>
      </c>
      <c r="AS748" s="311">
        <f t="shared" si="147"/>
        <v>2307017.9833241119</v>
      </c>
      <c r="AT748" s="311">
        <f t="shared" si="147"/>
        <v>11550674.794580504</v>
      </c>
      <c r="AU748" s="311">
        <f t="shared" si="147"/>
        <v>18459509.328283578</v>
      </c>
      <c r="AV748" s="311">
        <f t="shared" si="147"/>
        <v>898773.15193152684</v>
      </c>
      <c r="AW748" s="311">
        <f t="shared" si="147"/>
        <v>897224.85057947447</v>
      </c>
      <c r="AX748" s="311">
        <f t="shared" si="147"/>
        <v>897864.42427711003</v>
      </c>
      <c r="AY748" s="311">
        <f t="shared" si="147"/>
        <v>7564373.5870753694</v>
      </c>
      <c r="AZ748" s="311">
        <f t="shared" si="147"/>
        <v>494987.0255933851</v>
      </c>
      <c r="BA748" s="311">
        <f t="shared" si="147"/>
        <v>6023168.9098263886</v>
      </c>
      <c r="BB748" s="311">
        <f t="shared" si="147"/>
        <v>194967.26085416664</v>
      </c>
      <c r="BC748" s="311">
        <f t="shared" si="147"/>
        <v>194434.56342013887</v>
      </c>
      <c r="BD748" s="311">
        <f t="shared" si="147"/>
        <v>194434.56342013887</v>
      </c>
      <c r="BE748" s="311">
        <f t="shared" si="147"/>
        <v>194434.56342013887</v>
      </c>
      <c r="BF748" s="311">
        <f t="shared" si="147"/>
        <v>194967.26085416664</v>
      </c>
      <c r="BG748" s="311">
        <f t="shared" si="147"/>
        <v>194434.56342013887</v>
      </c>
      <c r="BH748" s="311">
        <f t="shared" si="147"/>
        <v>194434.56342013887</v>
      </c>
      <c r="BI748" s="311">
        <f t="shared" si="147"/>
        <v>194434.56342013887</v>
      </c>
      <c r="BJ748" s="311">
        <f t="shared" si="147"/>
        <v>194967.26085416664</v>
      </c>
      <c r="BK748" s="311">
        <f t="shared" si="147"/>
        <v>5046947.3278611107</v>
      </c>
    </row>
    <row r="749" spans="1:63">
      <c r="A749" s="167"/>
      <c r="B749" s="210" t="s">
        <v>28</v>
      </c>
      <c r="C749" s="211"/>
      <c r="D749" s="212"/>
      <c r="E749" s="212"/>
      <c r="F749" s="212"/>
      <c r="G749" s="212"/>
      <c r="H749" s="212"/>
      <c r="I749" s="212"/>
      <c r="J749" s="212"/>
      <c r="K749" s="212"/>
      <c r="L749" s="212"/>
      <c r="M749" s="212"/>
      <c r="N749" s="212"/>
      <c r="O749" s="212"/>
      <c r="P749" s="212"/>
      <c r="Q749" s="212"/>
      <c r="R749" s="212"/>
      <c r="S749" s="235"/>
      <c r="T749" s="235"/>
      <c r="U749" s="235"/>
      <c r="V749" s="235"/>
      <c r="W749" s="236">
        <v>1281686.3593047974</v>
      </c>
      <c r="X749" s="236">
        <v>3731487.0996965566</v>
      </c>
      <c r="Y749" s="236">
        <v>9576359.9868198726</v>
      </c>
      <c r="Z749" s="236">
        <v>25171425.315291543</v>
      </c>
      <c r="AA749" s="236">
        <v>19143555.555681583</v>
      </c>
      <c r="AB749" s="236">
        <v>18164189.9938544</v>
      </c>
      <c r="AC749" s="236">
        <v>18217148.497081757</v>
      </c>
      <c r="AD749" s="236">
        <v>9009663.4803050943</v>
      </c>
      <c r="AE749" s="236">
        <v>15713840.618569266</v>
      </c>
      <c r="AF749" s="236">
        <v>13097534.118752446</v>
      </c>
      <c r="AG749" s="236">
        <v>17715736.478786264</v>
      </c>
      <c r="AH749" s="236">
        <v>13817036.141220361</v>
      </c>
      <c r="AI749" s="236">
        <v>7400553.9598588888</v>
      </c>
      <c r="AJ749" s="236">
        <v>5288939.3058091765</v>
      </c>
      <c r="AK749" s="236">
        <v>5572910.0158592733</v>
      </c>
      <c r="AL749" s="236">
        <v>8467463.3168750871</v>
      </c>
      <c r="AM749" s="236">
        <v>9501038.2191585712</v>
      </c>
      <c r="AN749" s="236">
        <v>1689569.6654342664</v>
      </c>
      <c r="AO749" s="236">
        <v>2876369.7271975051</v>
      </c>
      <c r="AP749" s="236">
        <v>3463750.0983283757</v>
      </c>
      <c r="AQ749" s="236">
        <v>9782745.9182499275</v>
      </c>
      <c r="AR749" s="236">
        <v>3943435.3211728712</v>
      </c>
      <c r="AS749" s="236">
        <v>108058.11064860165</v>
      </c>
      <c r="AT749" s="236">
        <v>9688473.8325740639</v>
      </c>
      <c r="AU749" s="236">
        <v>17352651.832574062</v>
      </c>
      <c r="AV749" s="236">
        <v>96591.832574064174</v>
      </c>
      <c r="AW749" s="236">
        <v>96591.832574064174</v>
      </c>
      <c r="AX749" s="236">
        <v>96591.832574064174</v>
      </c>
      <c r="AY749" s="236">
        <v>6999015.832574063</v>
      </c>
      <c r="AZ749" s="236">
        <v>60716.018527003056</v>
      </c>
      <c r="BA749" s="236">
        <v>5752020</v>
      </c>
      <c r="BB749" s="236">
        <v>0</v>
      </c>
      <c r="BC749" s="236">
        <v>0</v>
      </c>
      <c r="BD749" s="236">
        <v>0</v>
      </c>
      <c r="BE749" s="236">
        <v>0</v>
      </c>
      <c r="BF749" s="236">
        <v>0</v>
      </c>
      <c r="BG749" s="236">
        <v>0</v>
      </c>
      <c r="BH749" s="236">
        <v>0</v>
      </c>
      <c r="BI749" s="236">
        <v>0</v>
      </c>
      <c r="BJ749" s="236">
        <v>0</v>
      </c>
      <c r="BK749" s="236">
        <v>4985084</v>
      </c>
    </row>
    <row r="750" spans="1:63">
      <c r="A750" s="168">
        <v>44469</v>
      </c>
      <c r="B750" s="213" t="s">
        <v>385</v>
      </c>
      <c r="C750" s="214"/>
      <c r="D750" s="215"/>
      <c r="E750" s="215"/>
      <c r="F750" s="215"/>
      <c r="G750" s="215"/>
      <c r="H750" s="215"/>
      <c r="I750" s="215"/>
      <c r="J750" s="215"/>
      <c r="K750" s="215"/>
      <c r="L750" s="215"/>
      <c r="M750" s="215"/>
      <c r="N750" s="215"/>
      <c r="O750" s="215"/>
      <c r="P750" s="215"/>
      <c r="Q750" s="215"/>
      <c r="R750" s="216"/>
      <c r="S750" s="236"/>
      <c r="T750" s="236"/>
      <c r="U750" s="236"/>
      <c r="V750" s="236"/>
      <c r="W750" s="236">
        <v>2075856.8204447827</v>
      </c>
      <c r="X750" s="236">
        <v>9104530.5743602701</v>
      </c>
      <c r="Y750" s="236">
        <v>8950197.3115505613</v>
      </c>
      <c r="Z750" s="236">
        <v>8462271.9370553792</v>
      </c>
      <c r="AA750" s="236">
        <v>7955108.3728093905</v>
      </c>
      <c r="AB750" s="236">
        <v>7545492.5730818165</v>
      </c>
      <c r="AC750" s="236">
        <v>6925333.3640363673</v>
      </c>
      <c r="AD750" s="236">
        <v>6358233.8492909139</v>
      </c>
      <c r="AE750" s="236">
        <v>5933815.3514486374</v>
      </c>
      <c r="AF750" s="236">
        <v>5482392.3431924433</v>
      </c>
      <c r="AG750" s="236">
        <v>5069143.1642338363</v>
      </c>
      <c r="AH750" s="236">
        <v>4596170.0763736228</v>
      </c>
      <c r="AI750" s="236">
        <v>4266124.7748669302</v>
      </c>
      <c r="AJ750" s="236">
        <v>4110070.1744202618</v>
      </c>
      <c r="AK750" s="236">
        <v>3972311.8683260665</v>
      </c>
      <c r="AL750" s="236">
        <v>3902772.1872532596</v>
      </c>
      <c r="AM750" s="236">
        <v>3742855.6941181859</v>
      </c>
      <c r="AN750" s="236">
        <v>3180677.9318663836</v>
      </c>
      <c r="AO750" s="236">
        <v>3139871.8698149216</v>
      </c>
      <c r="AP750" s="236">
        <v>3024625.9014083352</v>
      </c>
      <c r="AQ750" s="236">
        <v>2672751.1901238165</v>
      </c>
      <c r="AR750" s="236">
        <v>2296661.8461536719</v>
      </c>
      <c r="AS750" s="236">
        <v>2214009.7812547279</v>
      </c>
      <c r="AT750" s="236">
        <v>1944803.2869621019</v>
      </c>
      <c r="AU750" s="236">
        <v>1239957.2453951808</v>
      </c>
      <c r="AV750" s="236">
        <v>807022.5644415688</v>
      </c>
      <c r="AW750" s="236">
        <v>805489.38348795695</v>
      </c>
      <c r="AX750" s="236">
        <v>806159.87119884824</v>
      </c>
      <c r="AY750" s="236">
        <v>618971.93038073333</v>
      </c>
      <c r="AZ750" s="236">
        <v>436891.10660293297</v>
      </c>
      <c r="BA750" s="236">
        <v>315149.44763888884</v>
      </c>
      <c r="BB750" s="236">
        <v>196391.53841666665</v>
      </c>
      <c r="BC750" s="236">
        <v>195854.94951388889</v>
      </c>
      <c r="BD750" s="236">
        <v>195854.94951388889</v>
      </c>
      <c r="BE750" s="236">
        <v>195854.94951388889</v>
      </c>
      <c r="BF750" s="236">
        <v>196391.53841666665</v>
      </c>
      <c r="BG750" s="236">
        <v>195854.94951388889</v>
      </c>
      <c r="BH750" s="236">
        <v>195854.94951388889</v>
      </c>
      <c r="BI750" s="236">
        <v>195854.94951388889</v>
      </c>
      <c r="BJ750" s="236">
        <v>196391.53841666665</v>
      </c>
      <c r="BK750" s="236">
        <v>98732.358111111098</v>
      </c>
    </row>
    <row r="751" spans="1:63">
      <c r="A751" s="169"/>
      <c r="B751" s="307" t="s">
        <v>29</v>
      </c>
      <c r="C751" s="313"/>
      <c r="D751" s="314"/>
      <c r="E751" s="314"/>
      <c r="F751" s="314"/>
      <c r="G751" s="314"/>
      <c r="H751" s="314"/>
      <c r="I751" s="314"/>
      <c r="J751" s="314"/>
      <c r="K751" s="314"/>
      <c r="L751" s="314"/>
      <c r="M751" s="314"/>
      <c r="N751" s="314"/>
      <c r="O751" s="314"/>
      <c r="P751" s="314"/>
      <c r="Q751" s="314"/>
      <c r="R751" s="314"/>
      <c r="S751" s="311"/>
      <c r="T751" s="311"/>
      <c r="U751" s="311"/>
      <c r="V751" s="311"/>
      <c r="W751" s="311">
        <f>(+W750+W749)</f>
        <v>3357543.1797495801</v>
      </c>
      <c r="X751" s="311">
        <f>(+X750+X749)</f>
        <v>12836017.674056826</v>
      </c>
      <c r="Y751" s="311">
        <f>(+Y750+Y749)</f>
        <v>18526557.298370436</v>
      </c>
      <c r="Z751" s="311">
        <f>(+Z750+Z749)</f>
        <v>33633697.252346918</v>
      </c>
      <c r="AA751" s="311">
        <f t="shared" ref="AA751:BK751" si="148">(+AA750+AA749)</f>
        <v>27098663.928490974</v>
      </c>
      <c r="AB751" s="311">
        <f t="shared" si="148"/>
        <v>25709682.566936217</v>
      </c>
      <c r="AC751" s="311">
        <f t="shared" si="148"/>
        <v>25142481.861118123</v>
      </c>
      <c r="AD751" s="311">
        <f t="shared" si="148"/>
        <v>15367897.329596009</v>
      </c>
      <c r="AE751" s="311">
        <f t="shared" si="148"/>
        <v>21647655.970017903</v>
      </c>
      <c r="AF751" s="311">
        <f t="shared" si="148"/>
        <v>18579926.461944889</v>
      </c>
      <c r="AG751" s="311">
        <f t="shared" si="148"/>
        <v>22784879.643020101</v>
      </c>
      <c r="AH751" s="311">
        <f t="shared" si="148"/>
        <v>18413206.217593983</v>
      </c>
      <c r="AI751" s="311">
        <f t="shared" si="148"/>
        <v>11666678.734725818</v>
      </c>
      <c r="AJ751" s="311">
        <f t="shared" si="148"/>
        <v>9399009.4802294374</v>
      </c>
      <c r="AK751" s="311">
        <f t="shared" si="148"/>
        <v>9545221.8841853403</v>
      </c>
      <c r="AL751" s="311">
        <f t="shared" si="148"/>
        <v>12370235.504128346</v>
      </c>
      <c r="AM751" s="311">
        <f t="shared" si="148"/>
        <v>13243893.913276758</v>
      </c>
      <c r="AN751" s="311">
        <f t="shared" si="148"/>
        <v>4870247.5973006506</v>
      </c>
      <c r="AO751" s="311">
        <f t="shared" si="148"/>
        <v>6016241.5970124267</v>
      </c>
      <c r="AP751" s="311">
        <f t="shared" si="148"/>
        <v>6488375.9997367114</v>
      </c>
      <c r="AQ751" s="311">
        <f t="shared" si="148"/>
        <v>12455497.108373744</v>
      </c>
      <c r="AR751" s="311">
        <f t="shared" si="148"/>
        <v>6240097.1673265435</v>
      </c>
      <c r="AS751" s="311">
        <f t="shared" si="148"/>
        <v>2322067.8919033296</v>
      </c>
      <c r="AT751" s="311">
        <f t="shared" si="148"/>
        <v>11633277.119536165</v>
      </c>
      <c r="AU751" s="311">
        <f t="shared" si="148"/>
        <v>18592609.077969242</v>
      </c>
      <c r="AV751" s="311">
        <f t="shared" si="148"/>
        <v>903614.39701563295</v>
      </c>
      <c r="AW751" s="311">
        <f t="shared" si="148"/>
        <v>902081.21606202109</v>
      </c>
      <c r="AX751" s="311">
        <f t="shared" si="148"/>
        <v>902751.70377291238</v>
      </c>
      <c r="AY751" s="311">
        <f t="shared" si="148"/>
        <v>7617987.7629547967</v>
      </c>
      <c r="AZ751" s="311">
        <f t="shared" si="148"/>
        <v>497607.12512993603</v>
      </c>
      <c r="BA751" s="311">
        <f t="shared" si="148"/>
        <v>6067169.4476388888</v>
      </c>
      <c r="BB751" s="311">
        <f t="shared" si="148"/>
        <v>196391.53841666665</v>
      </c>
      <c r="BC751" s="311">
        <f t="shared" si="148"/>
        <v>195854.94951388889</v>
      </c>
      <c r="BD751" s="311">
        <f t="shared" si="148"/>
        <v>195854.94951388889</v>
      </c>
      <c r="BE751" s="311">
        <f t="shared" si="148"/>
        <v>195854.94951388889</v>
      </c>
      <c r="BF751" s="311">
        <f t="shared" si="148"/>
        <v>196391.53841666665</v>
      </c>
      <c r="BG751" s="311">
        <f t="shared" si="148"/>
        <v>195854.94951388889</v>
      </c>
      <c r="BH751" s="311">
        <f t="shared" si="148"/>
        <v>195854.94951388889</v>
      </c>
      <c r="BI751" s="311">
        <f t="shared" si="148"/>
        <v>195854.94951388889</v>
      </c>
      <c r="BJ751" s="311">
        <f t="shared" si="148"/>
        <v>196391.53841666665</v>
      </c>
      <c r="BK751" s="311">
        <f t="shared" si="148"/>
        <v>5083816.3581111114</v>
      </c>
    </row>
    <row r="752" spans="1:63">
      <c r="A752" s="167"/>
      <c r="B752" s="210" t="s">
        <v>28</v>
      </c>
      <c r="C752" s="211"/>
      <c r="D752" s="212"/>
      <c r="E752" s="212"/>
      <c r="F752" s="212"/>
      <c r="G752" s="212"/>
      <c r="H752" s="212"/>
      <c r="I752" s="212"/>
      <c r="J752" s="212"/>
      <c r="K752" s="212"/>
      <c r="L752" s="212"/>
      <c r="M752" s="212"/>
      <c r="N752" s="212"/>
      <c r="O752" s="212"/>
      <c r="P752" s="212"/>
      <c r="Q752" s="212"/>
      <c r="R752" s="212"/>
      <c r="S752" s="235"/>
      <c r="T752" s="235"/>
      <c r="U752" s="235"/>
      <c r="V752" s="235"/>
      <c r="W752" s="236">
        <v>1258764.4856357761</v>
      </c>
      <c r="X752" s="236">
        <v>3664752.617211137</v>
      </c>
      <c r="Y752" s="236">
        <v>9405094.9091872927</v>
      </c>
      <c r="Z752" s="236">
        <v>24721255.718839508</v>
      </c>
      <c r="AA752" s="236">
        <v>18801189.298260197</v>
      </c>
      <c r="AB752" s="236">
        <v>17839338.859006502</v>
      </c>
      <c r="AC752" s="236">
        <v>17891350.244312327</v>
      </c>
      <c r="AD752" s="236">
        <v>8848533.289134169</v>
      </c>
      <c r="AE752" s="236">
        <v>15432811.904407594</v>
      </c>
      <c r="AF752" s="236">
        <v>12863295.82771798</v>
      </c>
      <c r="AG752" s="236">
        <v>17398905.554767791</v>
      </c>
      <c r="AH752" s="236">
        <v>13569930.166650152</v>
      </c>
      <c r="AI752" s="236">
        <v>7268201.3279398968</v>
      </c>
      <c r="AJ752" s="236">
        <v>5194351.1113333944</v>
      </c>
      <c r="AK752" s="236">
        <v>5473243.2460407671</v>
      </c>
      <c r="AL752" s="236">
        <v>8316029.9158425918</v>
      </c>
      <c r="AM752" s="236">
        <v>9331120.2074679229</v>
      </c>
      <c r="AN752" s="236">
        <v>1659353.1447192442</v>
      </c>
      <c r="AO752" s="236">
        <v>2824928.2937816256</v>
      </c>
      <c r="AP752" s="236">
        <v>3401803.865072052</v>
      </c>
      <c r="AQ752" s="236">
        <v>9607789.8032485247</v>
      </c>
      <c r="AR752" s="236">
        <v>3872910.3244779618</v>
      </c>
      <c r="AS752" s="236">
        <v>106125.58297268578</v>
      </c>
      <c r="AT752" s="236">
        <v>9515203.6938824579</v>
      </c>
      <c r="AU752" s="236">
        <v>17042314.369558133</v>
      </c>
      <c r="AV752" s="236">
        <v>94864.369558133432</v>
      </c>
      <c r="AW752" s="236">
        <v>94864.369558133432</v>
      </c>
      <c r="AX752" s="236">
        <v>94864.369558133432</v>
      </c>
      <c r="AY752" s="236">
        <v>6873844.3695581323</v>
      </c>
      <c r="AZ752" s="236">
        <v>59630.164022694516</v>
      </c>
      <c r="BA752" s="236">
        <v>5649150</v>
      </c>
      <c r="BB752" s="236">
        <v>0</v>
      </c>
      <c r="BC752" s="236">
        <v>0</v>
      </c>
      <c r="BD752" s="236">
        <v>0</v>
      </c>
      <c r="BE752" s="236">
        <v>0</v>
      </c>
      <c r="BF752" s="236">
        <v>0</v>
      </c>
      <c r="BG752" s="236">
        <v>0</v>
      </c>
      <c r="BH752" s="236">
        <v>0</v>
      </c>
      <c r="BI752" s="236">
        <v>0</v>
      </c>
      <c r="BJ752" s="236">
        <v>0</v>
      </c>
      <c r="BK752" s="236">
        <v>4895930</v>
      </c>
    </row>
    <row r="753" spans="1:63">
      <c r="A753" s="168">
        <v>44500</v>
      </c>
      <c r="B753" s="213" t="s">
        <v>385</v>
      </c>
      <c r="C753" s="214"/>
      <c r="D753" s="215"/>
      <c r="E753" s="215"/>
      <c r="F753" s="215"/>
      <c r="G753" s="215"/>
      <c r="H753" s="215"/>
      <c r="I753" s="215"/>
      <c r="J753" s="215"/>
      <c r="K753" s="215"/>
      <c r="L753" s="215"/>
      <c r="M753" s="215"/>
      <c r="N753" s="215"/>
      <c r="O753" s="215"/>
      <c r="P753" s="215"/>
      <c r="Q753" s="215"/>
      <c r="R753" s="216"/>
      <c r="S753" s="236"/>
      <c r="T753" s="236"/>
      <c r="U753" s="236"/>
      <c r="V753" s="236"/>
      <c r="W753" s="236">
        <v>2038731.8815330344</v>
      </c>
      <c r="X753" s="236">
        <v>8941703.7656592503</v>
      </c>
      <c r="Y753" s="236">
        <v>8790130.6223806348</v>
      </c>
      <c r="Z753" s="236">
        <v>8310931.3794486802</v>
      </c>
      <c r="AA753" s="236">
        <v>7812838.005475671</v>
      </c>
      <c r="AB753" s="236">
        <v>7410547.8369729491</v>
      </c>
      <c r="AC753" s="236">
        <v>6801479.6494876659</v>
      </c>
      <c r="AD753" s="236">
        <v>6244522.2286643246</v>
      </c>
      <c r="AE753" s="236">
        <v>5827694.0957500273</v>
      </c>
      <c r="AF753" s="236">
        <v>5384344.4051908012</v>
      </c>
      <c r="AG753" s="236">
        <v>4978485.8373634955</v>
      </c>
      <c r="AH753" s="236">
        <v>4513971.4720995501</v>
      </c>
      <c r="AI753" s="236">
        <v>4189828.7509326325</v>
      </c>
      <c r="AJ753" s="236">
        <v>4036565.0546810026</v>
      </c>
      <c r="AK753" s="236">
        <v>3901270.4390725689</v>
      </c>
      <c r="AL753" s="236">
        <v>3832974.4162262562</v>
      </c>
      <c r="AM753" s="236">
        <v>3675917.8939620773</v>
      </c>
      <c r="AN753" s="236">
        <v>3123794.2042626729</v>
      </c>
      <c r="AO753" s="236">
        <v>3083717.9240275528</v>
      </c>
      <c r="AP753" s="236">
        <v>2970533.0320375971</v>
      </c>
      <c r="AQ753" s="236">
        <v>2624951.3015754395</v>
      </c>
      <c r="AR753" s="236">
        <v>2255587.9965992845</v>
      </c>
      <c r="AS753" s="236">
        <v>2174414.0937922932</v>
      </c>
      <c r="AT753" s="236">
        <v>1910022.1293635902</v>
      </c>
      <c r="AU753" s="236">
        <v>1217781.6615422382</v>
      </c>
      <c r="AV753" s="236">
        <v>792589.65022984764</v>
      </c>
      <c r="AW753" s="236">
        <v>791083.8889174572</v>
      </c>
      <c r="AX753" s="236">
        <v>791742.38552421122</v>
      </c>
      <c r="AY753" s="236">
        <v>607902.14229267638</v>
      </c>
      <c r="AZ753" s="236">
        <v>429077.67964401358</v>
      </c>
      <c r="BA753" s="236">
        <v>309513.26701388886</v>
      </c>
      <c r="BB753" s="236">
        <v>192879.24229166665</v>
      </c>
      <c r="BC753" s="236">
        <v>192352.2498263889</v>
      </c>
      <c r="BD753" s="236">
        <v>192352.2498263889</v>
      </c>
      <c r="BE753" s="236">
        <v>192352.2498263889</v>
      </c>
      <c r="BF753" s="236">
        <v>192879.24229166665</v>
      </c>
      <c r="BG753" s="236">
        <v>192352.2498263889</v>
      </c>
      <c r="BH753" s="236">
        <v>192352.2498263889</v>
      </c>
      <c r="BI753" s="236">
        <v>192352.2498263889</v>
      </c>
      <c r="BJ753" s="236">
        <v>192879.24229166665</v>
      </c>
      <c r="BK753" s="236">
        <v>96966.613611111097</v>
      </c>
    </row>
    <row r="754" spans="1:63">
      <c r="A754" s="169"/>
      <c r="B754" s="307" t="s">
        <v>29</v>
      </c>
      <c r="C754" s="313"/>
      <c r="D754" s="314"/>
      <c r="E754" s="314"/>
      <c r="F754" s="314"/>
      <c r="G754" s="314"/>
      <c r="H754" s="314"/>
      <c r="I754" s="314"/>
      <c r="J754" s="314"/>
      <c r="K754" s="314"/>
      <c r="L754" s="314"/>
      <c r="M754" s="314"/>
      <c r="N754" s="314"/>
      <c r="O754" s="314"/>
      <c r="P754" s="314"/>
      <c r="Q754" s="314"/>
      <c r="R754" s="314"/>
      <c r="S754" s="311"/>
      <c r="T754" s="311"/>
      <c r="U754" s="311"/>
      <c r="V754" s="311"/>
      <c r="W754" s="311">
        <f>+W752+W753</f>
        <v>3297496.3671688102</v>
      </c>
      <c r="X754" s="311">
        <f t="shared" ref="X754:BK754" si="149">+X752+X753</f>
        <v>12606456.382870387</v>
      </c>
      <c r="Y754" s="311">
        <f t="shared" si="149"/>
        <v>18195225.531567927</v>
      </c>
      <c r="Z754" s="311">
        <f t="shared" si="149"/>
        <v>33032187.098288186</v>
      </c>
      <c r="AA754" s="311">
        <f t="shared" si="149"/>
        <v>26614027.303735867</v>
      </c>
      <c r="AB754" s="311">
        <f t="shared" si="149"/>
        <v>25249886.69597945</v>
      </c>
      <c r="AC754" s="311">
        <f t="shared" si="149"/>
        <v>24692829.893799994</v>
      </c>
      <c r="AD754" s="311">
        <f t="shared" si="149"/>
        <v>15093055.517798495</v>
      </c>
      <c r="AE754" s="311">
        <f t="shared" si="149"/>
        <v>21260506.000157621</v>
      </c>
      <c r="AF754" s="311">
        <f t="shared" si="149"/>
        <v>18247640.232908782</v>
      </c>
      <c r="AG754" s="311">
        <f t="shared" si="149"/>
        <v>22377391.392131288</v>
      </c>
      <c r="AH754" s="311">
        <f t="shared" si="149"/>
        <v>18083901.638749704</v>
      </c>
      <c r="AI754" s="311">
        <f t="shared" si="149"/>
        <v>11458030.07887253</v>
      </c>
      <c r="AJ754" s="311">
        <f t="shared" si="149"/>
        <v>9230916.1660143975</v>
      </c>
      <c r="AK754" s="311">
        <f t="shared" si="149"/>
        <v>9374513.6851133369</v>
      </c>
      <c r="AL754" s="311">
        <f t="shared" si="149"/>
        <v>12149004.332068847</v>
      </c>
      <c r="AM754" s="311">
        <f t="shared" si="149"/>
        <v>13007038.101430001</v>
      </c>
      <c r="AN754" s="311">
        <f t="shared" si="149"/>
        <v>4783147.3489819169</v>
      </c>
      <c r="AO754" s="311">
        <f t="shared" si="149"/>
        <v>5908646.2178091779</v>
      </c>
      <c r="AP754" s="311">
        <f t="shared" si="149"/>
        <v>6372336.8971096491</v>
      </c>
      <c r="AQ754" s="311">
        <f t="shared" si="149"/>
        <v>12232741.104823964</v>
      </c>
      <c r="AR754" s="311">
        <f t="shared" si="149"/>
        <v>6128498.3210772462</v>
      </c>
      <c r="AS754" s="311">
        <f t="shared" si="149"/>
        <v>2280539.676764979</v>
      </c>
      <c r="AT754" s="311">
        <f t="shared" si="149"/>
        <v>11425225.823246049</v>
      </c>
      <c r="AU754" s="311">
        <f t="shared" si="149"/>
        <v>18260096.03110037</v>
      </c>
      <c r="AV754" s="311">
        <f t="shared" si="149"/>
        <v>887454.01978798106</v>
      </c>
      <c r="AW754" s="311">
        <f t="shared" si="149"/>
        <v>885948.25847559061</v>
      </c>
      <c r="AX754" s="311">
        <f t="shared" si="149"/>
        <v>886606.75508234464</v>
      </c>
      <c r="AY754" s="311">
        <f t="shared" si="149"/>
        <v>7481746.5118508087</v>
      </c>
      <c r="AZ754" s="311">
        <f t="shared" si="149"/>
        <v>488707.8436667081</v>
      </c>
      <c r="BA754" s="311">
        <f t="shared" si="149"/>
        <v>5958663.2670138888</v>
      </c>
      <c r="BB754" s="311">
        <f t="shared" si="149"/>
        <v>192879.24229166665</v>
      </c>
      <c r="BC754" s="311">
        <f t="shared" si="149"/>
        <v>192352.2498263889</v>
      </c>
      <c r="BD754" s="311">
        <f t="shared" si="149"/>
        <v>192352.2498263889</v>
      </c>
      <c r="BE754" s="311">
        <f t="shared" si="149"/>
        <v>192352.2498263889</v>
      </c>
      <c r="BF754" s="311">
        <f t="shared" si="149"/>
        <v>192879.24229166665</v>
      </c>
      <c r="BG754" s="311">
        <f t="shared" si="149"/>
        <v>192352.2498263889</v>
      </c>
      <c r="BH754" s="311">
        <f t="shared" si="149"/>
        <v>192352.2498263889</v>
      </c>
      <c r="BI754" s="311">
        <f t="shared" si="149"/>
        <v>192352.2498263889</v>
      </c>
      <c r="BJ754" s="311">
        <f t="shared" si="149"/>
        <v>192879.24229166665</v>
      </c>
      <c r="BK754" s="311">
        <f t="shared" si="149"/>
        <v>4992896.6136111114</v>
      </c>
    </row>
    <row r="755" spans="1:63">
      <c r="A755" s="167"/>
      <c r="B755" s="210" t="s">
        <v>28</v>
      </c>
      <c r="C755" s="211"/>
      <c r="D755" s="212"/>
      <c r="E755" s="212"/>
      <c r="F755" s="212"/>
      <c r="G755" s="212"/>
      <c r="H755" s="212"/>
      <c r="I755" s="212"/>
      <c r="J755" s="212"/>
      <c r="K755" s="212"/>
      <c r="L755" s="212"/>
      <c r="M755" s="212"/>
      <c r="N755" s="212"/>
      <c r="O755" s="212"/>
      <c r="P755" s="212"/>
      <c r="Q755" s="212"/>
      <c r="R755" s="212"/>
      <c r="S755" s="235"/>
      <c r="T755" s="235"/>
      <c r="U755" s="235"/>
      <c r="V755" s="235"/>
      <c r="W755" s="236">
        <v>316039.12430026568</v>
      </c>
      <c r="X755" s="236">
        <v>3895724.693220465</v>
      </c>
      <c r="Y755" s="236">
        <v>9991122.1128734611</v>
      </c>
      <c r="Z755" s="236">
        <v>26256419.279045623</v>
      </c>
      <c r="AA755" s="236">
        <v>20011059.190406054</v>
      </c>
      <c r="AB755" s="236">
        <v>18986718.144450791</v>
      </c>
      <c r="AC755" s="236">
        <v>19228111.39208176</v>
      </c>
      <c r="AD755" s="236">
        <v>9940353.8069754783</v>
      </c>
      <c r="AE755" s="236">
        <v>16957188.473021813</v>
      </c>
      <c r="AF755" s="236">
        <v>14218554.268783763</v>
      </c>
      <c r="AG755" s="236">
        <v>19137679.893098783</v>
      </c>
      <c r="AH755" s="236">
        <v>14969785.842887457</v>
      </c>
      <c r="AI755" s="236">
        <v>8281647.397175923</v>
      </c>
      <c r="AJ755" s="236">
        <v>5787242.3723689187</v>
      </c>
      <c r="AK755" s="236">
        <v>5986212.4809627291</v>
      </c>
      <c r="AL755" s="236">
        <v>8962505.1220320594</v>
      </c>
      <c r="AM755" s="236">
        <v>10157166.483882053</v>
      </c>
      <c r="AN755" s="236">
        <v>1989876.6626722987</v>
      </c>
      <c r="AO755" s="236">
        <v>3231240.0389464898</v>
      </c>
      <c r="AP755" s="236">
        <v>3829850.0413866369</v>
      </c>
      <c r="AQ755" s="236">
        <v>10352674.656190449</v>
      </c>
      <c r="AR755" s="236">
        <v>4123231.8626848217</v>
      </c>
      <c r="AS755" s="236">
        <v>111522.59779967545</v>
      </c>
      <c r="AT755" s="236">
        <v>10132052.433533203</v>
      </c>
      <c r="AU755" s="236">
        <v>18148592.190289959</v>
      </c>
      <c r="AV755" s="236">
        <v>99182.190289960461</v>
      </c>
      <c r="AW755" s="236">
        <v>99182.190289960461</v>
      </c>
      <c r="AX755" s="236">
        <v>99182.190289960461</v>
      </c>
      <c r="AY755" s="236">
        <v>11329926.190289961</v>
      </c>
      <c r="AZ755" s="236">
        <v>62371.497987706964</v>
      </c>
      <c r="BA755" s="236">
        <v>6016470</v>
      </c>
      <c r="BB755" s="236">
        <v>0</v>
      </c>
      <c r="BC755" s="236">
        <v>0</v>
      </c>
      <c r="BD755" s="236">
        <v>0</v>
      </c>
      <c r="BE755" s="236">
        <v>0</v>
      </c>
      <c r="BF755" s="236">
        <v>0</v>
      </c>
      <c r="BG755" s="236">
        <v>0</v>
      </c>
      <c r="BH755" s="236">
        <v>0</v>
      </c>
      <c r="BI755" s="236">
        <v>0</v>
      </c>
      <c r="BJ755" s="236">
        <v>0</v>
      </c>
      <c r="BK755" s="236">
        <v>5214274</v>
      </c>
    </row>
    <row r="756" spans="1:63">
      <c r="A756" s="168">
        <v>44530</v>
      </c>
      <c r="B756" s="213" t="s">
        <v>385</v>
      </c>
      <c r="C756" s="214"/>
      <c r="D756" s="215"/>
      <c r="E756" s="215"/>
      <c r="F756" s="215"/>
      <c r="G756" s="215"/>
      <c r="H756" s="215"/>
      <c r="I756" s="215"/>
      <c r="J756" s="215"/>
      <c r="K756" s="215"/>
      <c r="L756" s="215"/>
      <c r="M756" s="215"/>
      <c r="N756" s="215"/>
      <c r="O756" s="215"/>
      <c r="P756" s="215"/>
      <c r="Q756" s="215"/>
      <c r="R756" s="216"/>
      <c r="S756" s="236"/>
      <c r="T756" s="236"/>
      <c r="U756" s="236"/>
      <c r="V756" s="236"/>
      <c r="W756" s="236">
        <v>724106.12226300826</v>
      </c>
      <c r="X756" s="236">
        <v>9813079.0841858014</v>
      </c>
      <c r="Y756" s="236">
        <v>9676617.0914131179</v>
      </c>
      <c r="Z756" s="236">
        <v>9242951.4628470074</v>
      </c>
      <c r="AA756" s="236">
        <v>8687153.5971606988</v>
      </c>
      <c r="AB756" s="236">
        <v>8254665.6802981943</v>
      </c>
      <c r="AC756" s="236">
        <v>7586849.4682988953</v>
      </c>
      <c r="AD756" s="236">
        <v>6992215.2342971731</v>
      </c>
      <c r="AE756" s="236">
        <v>6536046.8481350662</v>
      </c>
      <c r="AF756" s="236">
        <v>6044826.5458283443</v>
      </c>
      <c r="AG756" s="236">
        <v>5598304.4948060121</v>
      </c>
      <c r="AH756" s="236">
        <v>5086873.356467789</v>
      </c>
      <c r="AI756" s="236">
        <v>4723985.0108272582</v>
      </c>
      <c r="AJ756" s="236">
        <v>4546900.9348664507</v>
      </c>
      <c r="AK756" s="236">
        <v>4397252.6322321529</v>
      </c>
      <c r="AL756" s="236">
        <v>4320670.2930348832</v>
      </c>
      <c r="AM756" s="236">
        <v>4149873.8109315163</v>
      </c>
      <c r="AN756" s="236">
        <v>3555746.3537034974</v>
      </c>
      <c r="AO756" s="236">
        <v>3507417.5247119842</v>
      </c>
      <c r="AP756" s="236">
        <v>3381521.7396400864</v>
      </c>
      <c r="AQ756" s="236">
        <v>3009067.9084684234</v>
      </c>
      <c r="AR756" s="236">
        <v>2613481.0993294497</v>
      </c>
      <c r="AS756" s="236">
        <v>2527050.2444205303</v>
      </c>
      <c r="AT756" s="236">
        <v>2246069.1471992475</v>
      </c>
      <c r="AU756" s="236">
        <v>1508269.2818551583</v>
      </c>
      <c r="AV756" s="236">
        <v>1055460.7565859654</v>
      </c>
      <c r="AW756" s="236">
        <v>1053887.4813167728</v>
      </c>
      <c r="AX756" s="236">
        <v>1055198.3348343552</v>
      </c>
      <c r="AY756" s="236">
        <v>752252.71246727684</v>
      </c>
      <c r="AZ756" s="236">
        <v>456967.98980397731</v>
      </c>
      <c r="BA756" s="236">
        <v>329638.49173611111</v>
      </c>
      <c r="BB756" s="236">
        <v>205420.66945833332</v>
      </c>
      <c r="BC756" s="236">
        <v>204859.41079861112</v>
      </c>
      <c r="BD756" s="236">
        <v>204859.41079861112</v>
      </c>
      <c r="BE756" s="236">
        <v>204859.41079861112</v>
      </c>
      <c r="BF756" s="236">
        <v>205420.66945833332</v>
      </c>
      <c r="BG756" s="236">
        <v>204859.41079861112</v>
      </c>
      <c r="BH756" s="236">
        <v>204859.41079861112</v>
      </c>
      <c r="BI756" s="236">
        <v>204859.41079861112</v>
      </c>
      <c r="BJ756" s="236">
        <v>205420.66945833332</v>
      </c>
      <c r="BK756" s="236">
        <v>103271.59338888888</v>
      </c>
    </row>
    <row r="757" spans="1:63">
      <c r="A757" s="169"/>
      <c r="B757" s="307" t="s">
        <v>29</v>
      </c>
      <c r="C757" s="313"/>
      <c r="D757" s="314"/>
      <c r="E757" s="314"/>
      <c r="F757" s="314"/>
      <c r="G757" s="314"/>
      <c r="H757" s="314"/>
      <c r="I757" s="314"/>
      <c r="J757" s="314"/>
      <c r="K757" s="314"/>
      <c r="L757" s="314"/>
      <c r="M757" s="314"/>
      <c r="N757" s="314"/>
      <c r="O757" s="314"/>
      <c r="P757" s="314"/>
      <c r="Q757" s="314"/>
      <c r="R757" s="314"/>
      <c r="S757" s="311"/>
      <c r="T757" s="311"/>
      <c r="U757" s="311"/>
      <c r="V757" s="311"/>
      <c r="W757" s="311">
        <f>+W755+W756</f>
        <v>1040145.2465632739</v>
      </c>
      <c r="X757" s="311">
        <f t="shared" ref="X757:BK757" si="150">+X755+X756</f>
        <v>13708803.777406266</v>
      </c>
      <c r="Y757" s="311">
        <f t="shared" si="150"/>
        <v>19667739.204286579</v>
      </c>
      <c r="Z757" s="311">
        <f t="shared" si="150"/>
        <v>35499370.741892628</v>
      </c>
      <c r="AA757" s="311">
        <f t="shared" si="150"/>
        <v>28698212.787566751</v>
      </c>
      <c r="AB757" s="311">
        <f t="shared" si="150"/>
        <v>27241383.824748985</v>
      </c>
      <c r="AC757" s="311">
        <f t="shared" si="150"/>
        <v>26814960.860380657</v>
      </c>
      <c r="AD757" s="311">
        <f t="shared" si="150"/>
        <v>16932569.041272651</v>
      </c>
      <c r="AE757" s="311">
        <f t="shared" si="150"/>
        <v>23493235.321156878</v>
      </c>
      <c r="AF757" s="311">
        <f t="shared" si="150"/>
        <v>20263380.814612105</v>
      </c>
      <c r="AG757" s="311">
        <f t="shared" si="150"/>
        <v>24735984.387904793</v>
      </c>
      <c r="AH757" s="311">
        <f t="shared" si="150"/>
        <v>20056659.199355245</v>
      </c>
      <c r="AI757" s="311">
        <f t="shared" si="150"/>
        <v>13005632.408003181</v>
      </c>
      <c r="AJ757" s="311">
        <f t="shared" si="150"/>
        <v>10334143.307235369</v>
      </c>
      <c r="AK757" s="311">
        <f t="shared" si="150"/>
        <v>10383465.113194883</v>
      </c>
      <c r="AL757" s="311">
        <f t="shared" si="150"/>
        <v>13283175.415066943</v>
      </c>
      <c r="AM757" s="311">
        <f t="shared" si="150"/>
        <v>14307040.29481357</v>
      </c>
      <c r="AN757" s="311">
        <f t="shared" si="150"/>
        <v>5545623.0163757959</v>
      </c>
      <c r="AO757" s="311">
        <f t="shared" si="150"/>
        <v>6738657.563658474</v>
      </c>
      <c r="AP757" s="311">
        <f t="shared" si="150"/>
        <v>7211371.7810267229</v>
      </c>
      <c r="AQ757" s="311">
        <f t="shared" si="150"/>
        <v>13361742.564658873</v>
      </c>
      <c r="AR757" s="311">
        <f t="shared" si="150"/>
        <v>6736712.9620142709</v>
      </c>
      <c r="AS757" s="311">
        <f t="shared" si="150"/>
        <v>2638572.8422202058</v>
      </c>
      <c r="AT757" s="311">
        <f t="shared" si="150"/>
        <v>12378121.58073245</v>
      </c>
      <c r="AU757" s="311">
        <f t="shared" si="150"/>
        <v>19656861.472145118</v>
      </c>
      <c r="AV757" s="311">
        <f t="shared" si="150"/>
        <v>1154642.9468759259</v>
      </c>
      <c r="AW757" s="311">
        <f t="shared" si="150"/>
        <v>1153069.6716067332</v>
      </c>
      <c r="AX757" s="311">
        <f t="shared" si="150"/>
        <v>1154380.5251243156</v>
      </c>
      <c r="AY757" s="311">
        <f t="shared" si="150"/>
        <v>12082178.902757239</v>
      </c>
      <c r="AZ757" s="311">
        <f t="shared" si="150"/>
        <v>519339.48779168428</v>
      </c>
      <c r="BA757" s="311">
        <f t="shared" si="150"/>
        <v>6346108.4917361112</v>
      </c>
      <c r="BB757" s="311">
        <f t="shared" si="150"/>
        <v>205420.66945833332</v>
      </c>
      <c r="BC757" s="311">
        <f t="shared" si="150"/>
        <v>204859.41079861112</v>
      </c>
      <c r="BD757" s="311">
        <f t="shared" si="150"/>
        <v>204859.41079861112</v>
      </c>
      <c r="BE757" s="311">
        <f t="shared" si="150"/>
        <v>204859.41079861112</v>
      </c>
      <c r="BF757" s="311">
        <f t="shared" si="150"/>
        <v>205420.66945833332</v>
      </c>
      <c r="BG757" s="311">
        <f t="shared" si="150"/>
        <v>204859.41079861112</v>
      </c>
      <c r="BH757" s="311">
        <f t="shared" si="150"/>
        <v>204859.41079861112</v>
      </c>
      <c r="BI757" s="311">
        <f t="shared" si="150"/>
        <v>204859.41079861112</v>
      </c>
      <c r="BJ757" s="311">
        <f t="shared" si="150"/>
        <v>205420.66945833332</v>
      </c>
      <c r="BK757" s="311">
        <f t="shared" si="150"/>
        <v>5317545.593388889</v>
      </c>
    </row>
    <row r="758" spans="1:63">
      <c r="A758" s="167"/>
      <c r="B758" s="210" t="s">
        <v>28</v>
      </c>
      <c r="C758" s="211"/>
      <c r="D758" s="212"/>
      <c r="E758" s="212"/>
      <c r="F758" s="212"/>
      <c r="G758" s="212"/>
      <c r="H758" s="212"/>
      <c r="I758" s="212"/>
      <c r="J758" s="212"/>
      <c r="K758" s="212"/>
      <c r="L758" s="212"/>
      <c r="M758" s="212"/>
      <c r="N758" s="212"/>
      <c r="O758" s="212"/>
      <c r="P758" s="212"/>
      <c r="Q758" s="212"/>
      <c r="R758" s="212"/>
      <c r="S758" s="235"/>
      <c r="T758" s="235"/>
      <c r="U758" s="235"/>
      <c r="V758" s="235"/>
      <c r="W758" s="236"/>
      <c r="X758" s="236">
        <v>3874086.7078679516</v>
      </c>
      <c r="Y758" s="236">
        <v>9935892.6115151234</v>
      </c>
      <c r="Z758" s="236">
        <v>26130559.193746492</v>
      </c>
      <c r="AA758" s="236">
        <v>19994548.326354578</v>
      </c>
      <c r="AB758" s="236">
        <v>19242792.654645011</v>
      </c>
      <c r="AC758" s="236">
        <v>19311095.710669007</v>
      </c>
      <c r="AD758" s="236">
        <v>10367133.381411731</v>
      </c>
      <c r="AE758" s="236">
        <v>17271998.566894621</v>
      </c>
      <c r="AF758" s="236">
        <v>14579523.168716568</v>
      </c>
      <c r="AG758" s="236">
        <v>19465970.793172657</v>
      </c>
      <c r="AH758" s="236">
        <v>15299291.138588808</v>
      </c>
      <c r="AI758" s="236">
        <v>8663889.9882851671</v>
      </c>
      <c r="AJ758" s="236">
        <v>6189775.8149753418</v>
      </c>
      <c r="AK758" s="236">
        <v>6467678.6973956916</v>
      </c>
      <c r="AL758" s="236">
        <v>9510885.7390856445</v>
      </c>
      <c r="AM758" s="236">
        <v>10448580.143382467</v>
      </c>
      <c r="AN758" s="236">
        <v>2340080.8237033295</v>
      </c>
      <c r="AO758" s="236">
        <v>3572155.0541795194</v>
      </c>
      <c r="AP758" s="236">
        <v>4162996.1395395654</v>
      </c>
      <c r="AQ758" s="236">
        <v>10421028.447268676</v>
      </c>
      <c r="AR758" s="236">
        <v>4117161.1221639127</v>
      </c>
      <c r="AS758" s="236">
        <v>135277.27906568025</v>
      </c>
      <c r="AT758" s="236">
        <v>10081227.580982339</v>
      </c>
      <c r="AU758" s="236">
        <v>18038086.652621318</v>
      </c>
      <c r="AV758" s="236">
        <v>122866.65262131885</v>
      </c>
      <c r="AW758" s="236">
        <v>101346.86883753509</v>
      </c>
      <c r="AX758" s="236">
        <v>101346.86883753509</v>
      </c>
      <c r="AY758" s="236">
        <v>11248594.868837535</v>
      </c>
      <c r="AZ758" s="236">
        <v>63689.281988617593</v>
      </c>
      <c r="BA758" s="236">
        <v>5971740</v>
      </c>
      <c r="BB758" s="236">
        <v>0</v>
      </c>
      <c r="BC758" s="236">
        <v>0</v>
      </c>
      <c r="BD758" s="236">
        <v>0</v>
      </c>
      <c r="BE758" s="236">
        <v>0</v>
      </c>
      <c r="BF758" s="236">
        <v>0</v>
      </c>
      <c r="BG758" s="236">
        <v>0</v>
      </c>
      <c r="BH758" s="236">
        <v>0</v>
      </c>
      <c r="BI758" s="236">
        <v>0</v>
      </c>
      <c r="BJ758" s="236">
        <v>0</v>
      </c>
      <c r="BK758" s="236">
        <v>5175508</v>
      </c>
    </row>
    <row r="759" spans="1:63">
      <c r="A759" s="168">
        <v>44561</v>
      </c>
      <c r="B759" s="213" t="s">
        <v>385</v>
      </c>
      <c r="C759" s="214"/>
      <c r="D759" s="215"/>
      <c r="E759" s="215"/>
      <c r="F759" s="215"/>
      <c r="G759" s="215"/>
      <c r="H759" s="215"/>
      <c r="I759" s="215"/>
      <c r="J759" s="215"/>
      <c r="K759" s="215"/>
      <c r="L759" s="215"/>
      <c r="M759" s="215"/>
      <c r="N759" s="215"/>
      <c r="O759" s="215"/>
      <c r="P759" s="215"/>
      <c r="Q759" s="215"/>
      <c r="R759" s="216"/>
      <c r="S759" s="236"/>
      <c r="T759" s="236"/>
      <c r="U759" s="236"/>
      <c r="V759" s="236"/>
      <c r="W759" s="236"/>
      <c r="X759" s="236">
        <v>9827895.6138248798</v>
      </c>
      <c r="Y759" s="236">
        <v>9753756.1518861093</v>
      </c>
      <c r="Z759" s="236">
        <v>9338736.695594823</v>
      </c>
      <c r="AA759" s="236">
        <v>8791636.5142322425</v>
      </c>
      <c r="AB759" s="236">
        <v>8356611.9659745302</v>
      </c>
      <c r="AC759" s="236">
        <v>7694088.3960327664</v>
      </c>
      <c r="AD759" s="236">
        <v>7105807.898708838</v>
      </c>
      <c r="AE759" s="236">
        <v>6630220.9954471225</v>
      </c>
      <c r="AF759" s="236">
        <v>6127473.0893737106</v>
      </c>
      <c r="AG759" s="236">
        <v>5674796.7073708987</v>
      </c>
      <c r="AH759" s="236">
        <v>5156915.8242855566</v>
      </c>
      <c r="AI759" s="236">
        <v>4785674.6993133174</v>
      </c>
      <c r="AJ759" s="236">
        <v>4599568.0426396355</v>
      </c>
      <c r="AK759" s="236">
        <v>4439434.1406769203</v>
      </c>
      <c r="AL759" s="236">
        <v>4351660.0127553325</v>
      </c>
      <c r="AM759" s="236">
        <v>4165613.2253986532</v>
      </c>
      <c r="AN759" s="236">
        <v>3565051.5363991074</v>
      </c>
      <c r="AO759" s="236">
        <v>3507067.349827447</v>
      </c>
      <c r="AP759" s="236">
        <v>3371523.9589366307</v>
      </c>
      <c r="AQ759" s="236">
        <v>2992720.5104212002</v>
      </c>
      <c r="AR759" s="236">
        <v>2597015.3963626898</v>
      </c>
      <c r="AS759" s="236">
        <v>2510636.280293101</v>
      </c>
      <c r="AT759" s="236">
        <v>2231158.6397933355</v>
      </c>
      <c r="AU759" s="236">
        <v>1498251.8780742572</v>
      </c>
      <c r="AV759" s="236">
        <v>1048224.1385730327</v>
      </c>
      <c r="AW759" s="236">
        <v>1046212.5031888022</v>
      </c>
      <c r="AX759" s="236">
        <v>1047466.286100282</v>
      </c>
      <c r="AY759" s="236">
        <v>746724.93319776491</v>
      </c>
      <c r="AZ759" s="236">
        <v>453585.12946352828</v>
      </c>
      <c r="BA759" s="236">
        <v>327187.76402777777</v>
      </c>
      <c r="BB759" s="236">
        <v>203893.45058333332</v>
      </c>
      <c r="BC759" s="236">
        <v>203336.36465277776</v>
      </c>
      <c r="BD759" s="236">
        <v>203336.36465277776</v>
      </c>
      <c r="BE759" s="236">
        <v>203336.36465277776</v>
      </c>
      <c r="BF759" s="236">
        <v>203893.45058333332</v>
      </c>
      <c r="BG759" s="236">
        <v>203336.36465277776</v>
      </c>
      <c r="BH759" s="236">
        <v>203336.36465277776</v>
      </c>
      <c r="BI759" s="236">
        <v>203336.36465277776</v>
      </c>
      <c r="BJ759" s="236">
        <v>203893.45058333332</v>
      </c>
      <c r="BK759" s="236">
        <v>102503.81122222221</v>
      </c>
    </row>
    <row r="760" spans="1:63">
      <c r="A760" s="169"/>
      <c r="B760" s="307" t="s">
        <v>29</v>
      </c>
      <c r="C760" s="313"/>
      <c r="D760" s="314"/>
      <c r="E760" s="314"/>
      <c r="F760" s="314"/>
      <c r="G760" s="314"/>
      <c r="H760" s="314"/>
      <c r="I760" s="314"/>
      <c r="J760" s="314"/>
      <c r="K760" s="314"/>
      <c r="L760" s="314"/>
      <c r="M760" s="314"/>
      <c r="N760" s="314"/>
      <c r="O760" s="314"/>
      <c r="P760" s="314"/>
      <c r="Q760" s="314"/>
      <c r="R760" s="314"/>
      <c r="S760" s="311"/>
      <c r="T760" s="311"/>
      <c r="U760" s="311"/>
      <c r="V760" s="311"/>
      <c r="W760" s="311">
        <f>+W758+W759</f>
        <v>0</v>
      </c>
      <c r="X760" s="311">
        <f t="shared" ref="X760:BK760" si="151">+X758+X759</f>
        <v>13701982.321692832</v>
      </c>
      <c r="Y760" s="311">
        <f t="shared" si="151"/>
        <v>19689648.763401233</v>
      </c>
      <c r="Z760" s="311">
        <f t="shared" si="151"/>
        <v>35469295.889341317</v>
      </c>
      <c r="AA760" s="311">
        <f t="shared" si="151"/>
        <v>28786184.840586819</v>
      </c>
      <c r="AB760" s="311">
        <f t="shared" si="151"/>
        <v>27599404.620619543</v>
      </c>
      <c r="AC760" s="311">
        <f t="shared" si="151"/>
        <v>27005184.106701773</v>
      </c>
      <c r="AD760" s="311">
        <f t="shared" si="151"/>
        <v>17472941.28012057</v>
      </c>
      <c r="AE760" s="311">
        <f t="shared" si="151"/>
        <v>23902219.562341742</v>
      </c>
      <c r="AF760" s="311">
        <f t="shared" si="151"/>
        <v>20706996.25809028</v>
      </c>
      <c r="AG760" s="311">
        <f t="shared" si="151"/>
        <v>25140767.500543557</v>
      </c>
      <c r="AH760" s="311">
        <f t="shared" si="151"/>
        <v>20456206.962874364</v>
      </c>
      <c r="AI760" s="311">
        <f t="shared" si="151"/>
        <v>13449564.687598485</v>
      </c>
      <c r="AJ760" s="311">
        <f t="shared" si="151"/>
        <v>10789343.857614977</v>
      </c>
      <c r="AK760" s="311">
        <f t="shared" si="151"/>
        <v>10907112.838072613</v>
      </c>
      <c r="AL760" s="311">
        <f t="shared" si="151"/>
        <v>13862545.751840977</v>
      </c>
      <c r="AM760" s="311">
        <f t="shared" si="151"/>
        <v>14614193.36878112</v>
      </c>
      <c r="AN760" s="311">
        <f t="shared" si="151"/>
        <v>5905132.3601024374</v>
      </c>
      <c r="AO760" s="311">
        <f t="shared" si="151"/>
        <v>7079222.4040069664</v>
      </c>
      <c r="AP760" s="311">
        <f t="shared" si="151"/>
        <v>7534520.0984761957</v>
      </c>
      <c r="AQ760" s="311">
        <f t="shared" si="151"/>
        <v>13413748.957689876</v>
      </c>
      <c r="AR760" s="311">
        <f t="shared" si="151"/>
        <v>6714176.5185266025</v>
      </c>
      <c r="AS760" s="311">
        <f t="shared" si="151"/>
        <v>2645913.5593587812</v>
      </c>
      <c r="AT760" s="311">
        <f t="shared" si="151"/>
        <v>12312386.220775675</v>
      </c>
      <c r="AU760" s="311">
        <f t="shared" si="151"/>
        <v>19536338.530695576</v>
      </c>
      <c r="AV760" s="311">
        <f t="shared" si="151"/>
        <v>1171090.7911943516</v>
      </c>
      <c r="AW760" s="311">
        <f t="shared" si="151"/>
        <v>1147559.3720263373</v>
      </c>
      <c r="AX760" s="311">
        <f t="shared" si="151"/>
        <v>1148813.154937817</v>
      </c>
      <c r="AY760" s="311">
        <f t="shared" si="151"/>
        <v>11995319.8020353</v>
      </c>
      <c r="AZ760" s="311">
        <f t="shared" si="151"/>
        <v>517274.4114521459</v>
      </c>
      <c r="BA760" s="311">
        <f t="shared" si="151"/>
        <v>6298927.7640277781</v>
      </c>
      <c r="BB760" s="311">
        <f t="shared" si="151"/>
        <v>203893.45058333332</v>
      </c>
      <c r="BC760" s="311">
        <f t="shared" si="151"/>
        <v>203336.36465277776</v>
      </c>
      <c r="BD760" s="311">
        <f t="shared" si="151"/>
        <v>203336.36465277776</v>
      </c>
      <c r="BE760" s="311">
        <f t="shared" si="151"/>
        <v>203336.36465277776</v>
      </c>
      <c r="BF760" s="311">
        <f t="shared" si="151"/>
        <v>203893.45058333332</v>
      </c>
      <c r="BG760" s="311">
        <f t="shared" si="151"/>
        <v>203336.36465277776</v>
      </c>
      <c r="BH760" s="311">
        <f t="shared" si="151"/>
        <v>203336.36465277776</v>
      </c>
      <c r="BI760" s="311">
        <f t="shared" si="151"/>
        <v>203336.36465277776</v>
      </c>
      <c r="BJ760" s="311">
        <f t="shared" si="151"/>
        <v>203893.45058333332</v>
      </c>
      <c r="BK760" s="311">
        <f t="shared" si="151"/>
        <v>5278011.8112222226</v>
      </c>
    </row>
    <row r="761" spans="1:63">
      <c r="A761" s="167"/>
      <c r="B761" s="210" t="s">
        <v>28</v>
      </c>
      <c r="C761" s="211"/>
      <c r="D761" s="212"/>
      <c r="E761" s="212"/>
      <c r="F761" s="212"/>
      <c r="G761" s="212"/>
      <c r="H761" s="212"/>
      <c r="I761" s="212"/>
      <c r="J761" s="212"/>
      <c r="K761" s="212"/>
      <c r="L761" s="212"/>
      <c r="M761" s="212"/>
      <c r="N761" s="212"/>
      <c r="O761" s="212"/>
      <c r="P761" s="212"/>
      <c r="Q761" s="212"/>
      <c r="R761" s="212"/>
      <c r="S761" s="235"/>
      <c r="T761" s="235"/>
      <c r="U761" s="235"/>
      <c r="V761" s="235"/>
      <c r="W761" s="236"/>
      <c r="X761" s="236">
        <v>3754947.6555803916</v>
      </c>
      <c r="Y761" s="236">
        <v>9890062.8718018644</v>
      </c>
      <c r="Z761" s="236">
        <v>26087049.995389275</v>
      </c>
      <c r="AA761" s="236">
        <v>19958289.285086907</v>
      </c>
      <c r="AB761" s="236">
        <v>18926540.589955591</v>
      </c>
      <c r="AC761" s="236">
        <v>19270484.572781406</v>
      </c>
      <c r="AD761" s="236">
        <v>10324030.263129141</v>
      </c>
      <c r="AE761" s="236">
        <v>17241737.764362365</v>
      </c>
      <c r="AF761" s="236">
        <v>14550635.998357629</v>
      </c>
      <c r="AG761" s="236">
        <v>19441150.673270293</v>
      </c>
      <c r="AH761" s="236">
        <v>15282294.257933199</v>
      </c>
      <c r="AI761" s="236">
        <v>8646855.9003122486</v>
      </c>
      <c r="AJ761" s="236">
        <v>6171858.7972400989</v>
      </c>
      <c r="AK761" s="236">
        <v>6319213.4332261113</v>
      </c>
      <c r="AL761" s="236">
        <v>9237983.6651798505</v>
      </c>
      <c r="AM761" s="236">
        <v>10442390.74778704</v>
      </c>
      <c r="AN761" s="236">
        <v>2333740.8338159593</v>
      </c>
      <c r="AO761" s="236">
        <v>3566260.7100064349</v>
      </c>
      <c r="AP761" s="236">
        <v>4157315.5047283052</v>
      </c>
      <c r="AQ761" s="236">
        <v>10420479.596163852</v>
      </c>
      <c r="AR761" s="236">
        <v>4114332.1394019499</v>
      </c>
      <c r="AS761" s="236">
        <v>131008.03448704467</v>
      </c>
      <c r="AT761" s="236">
        <v>10080555.822672719</v>
      </c>
      <c r="AU761" s="236">
        <v>18040292.919074118</v>
      </c>
      <c r="AV761" s="236">
        <v>118592.91907412143</v>
      </c>
      <c r="AW761" s="236">
        <v>97065.351506553852</v>
      </c>
      <c r="AX761" s="236">
        <v>97065.351506553852</v>
      </c>
      <c r="AY761" s="236">
        <v>11248345.351506554</v>
      </c>
      <c r="AZ761" s="236">
        <v>61061.513932892194</v>
      </c>
      <c r="BA761" s="236">
        <v>5973900</v>
      </c>
      <c r="BB761" s="236">
        <v>0</v>
      </c>
      <c r="BC761" s="236">
        <v>0</v>
      </c>
      <c r="BD761" s="236">
        <v>0</v>
      </c>
      <c r="BE761" s="236">
        <v>0</v>
      </c>
      <c r="BF761" s="236">
        <v>0</v>
      </c>
      <c r="BG761" s="236">
        <v>0</v>
      </c>
      <c r="BH761" s="236">
        <v>0</v>
      </c>
      <c r="BI761" s="236">
        <v>0</v>
      </c>
      <c r="BJ761" s="236">
        <v>0</v>
      </c>
      <c r="BK761" s="236">
        <v>5177380</v>
      </c>
    </row>
    <row r="762" spans="1:63">
      <c r="A762" s="168">
        <v>44592</v>
      </c>
      <c r="B762" s="213" t="s">
        <v>385</v>
      </c>
      <c r="C762" s="214"/>
      <c r="D762" s="215"/>
      <c r="E762" s="215"/>
      <c r="F762" s="215"/>
      <c r="G762" s="215"/>
      <c r="H762" s="215"/>
      <c r="I762" s="215"/>
      <c r="J762" s="215"/>
      <c r="K762" s="215"/>
      <c r="L762" s="215"/>
      <c r="M762" s="215"/>
      <c r="N762" s="215"/>
      <c r="O762" s="215"/>
      <c r="P762" s="215"/>
      <c r="Q762" s="215"/>
      <c r="R762" s="216"/>
      <c r="S762" s="236"/>
      <c r="T762" s="236"/>
      <c r="U762" s="236"/>
      <c r="V762" s="236"/>
      <c r="W762" s="236"/>
      <c r="X762" s="236">
        <v>9683444.2334689554</v>
      </c>
      <c r="Y762" s="236">
        <v>10715719.80347532</v>
      </c>
      <c r="Z762" s="236">
        <v>10261902.029605754</v>
      </c>
      <c r="AA762" s="236">
        <v>9670172.1335508581</v>
      </c>
      <c r="AB762" s="236">
        <v>9176905.3726281282</v>
      </c>
      <c r="AC762" s="236">
        <v>8492979.3154328968</v>
      </c>
      <c r="AD762" s="236">
        <v>7851874.3366551157</v>
      </c>
      <c r="AE762" s="236">
        <v>7338947.2055037646</v>
      </c>
      <c r="AF762" s="236">
        <v>6777404.3139855973</v>
      </c>
      <c r="AG762" s="236">
        <v>6272262.4673152529</v>
      </c>
      <c r="AH762" s="236">
        <v>5699000.0744436765</v>
      </c>
      <c r="AI762" s="236">
        <v>5284459.8435046151</v>
      </c>
      <c r="AJ762" s="236">
        <v>5076608.1551080765</v>
      </c>
      <c r="AK762" s="236">
        <v>4902780.6988742165</v>
      </c>
      <c r="AL762" s="236">
        <v>4809756.3874328407</v>
      </c>
      <c r="AM762" s="236">
        <v>4630642.7897270638</v>
      </c>
      <c r="AN762" s="236">
        <v>3962016.4055585018</v>
      </c>
      <c r="AO762" s="236">
        <v>3896190.2922362499</v>
      </c>
      <c r="AP762" s="236">
        <v>3744243.0009271172</v>
      </c>
      <c r="AQ762" s="236">
        <v>3322308.8742251708</v>
      </c>
      <c r="AR762" s="236">
        <v>2882449.5749820108</v>
      </c>
      <c r="AS762" s="236">
        <v>2786864.0529635088</v>
      </c>
      <c r="AT762" s="236">
        <v>2476700.9386574333</v>
      </c>
      <c r="AU762" s="236">
        <v>1662704.2700578643</v>
      </c>
      <c r="AV762" s="236">
        <v>1163035.2432853</v>
      </c>
      <c r="AW762" s="236">
        <v>1161201.149637504</v>
      </c>
      <c r="AX762" s="236">
        <v>1162992.7113582413</v>
      </c>
      <c r="AY762" s="236">
        <v>829213.40353021363</v>
      </c>
      <c r="AZ762" s="236">
        <v>503901.08653831651</v>
      </c>
      <c r="BA762" s="236">
        <v>363570.63312500005</v>
      </c>
      <c r="BB762" s="236">
        <v>226566.14662499999</v>
      </c>
      <c r="BC762" s="236">
        <v>225947.1134375</v>
      </c>
      <c r="BD762" s="236">
        <v>225947.1134375</v>
      </c>
      <c r="BE762" s="236">
        <v>225947.1134375</v>
      </c>
      <c r="BF762" s="236">
        <v>226566.14662499999</v>
      </c>
      <c r="BG762" s="236">
        <v>225947.1134375</v>
      </c>
      <c r="BH762" s="236">
        <v>225947.1134375</v>
      </c>
      <c r="BI762" s="236">
        <v>225947.1134375</v>
      </c>
      <c r="BJ762" s="236">
        <v>226566.14662499999</v>
      </c>
      <c r="BK762" s="236">
        <v>113902.10649999998</v>
      </c>
    </row>
    <row r="763" spans="1:63">
      <c r="A763" s="169"/>
      <c r="B763" s="307" t="s">
        <v>29</v>
      </c>
      <c r="C763" s="313"/>
      <c r="D763" s="314"/>
      <c r="E763" s="314"/>
      <c r="F763" s="314"/>
      <c r="G763" s="314"/>
      <c r="H763" s="314"/>
      <c r="I763" s="314"/>
      <c r="J763" s="314"/>
      <c r="K763" s="314"/>
      <c r="L763" s="314"/>
      <c r="M763" s="314"/>
      <c r="N763" s="314"/>
      <c r="O763" s="314"/>
      <c r="P763" s="314"/>
      <c r="Q763" s="314"/>
      <c r="R763" s="314"/>
      <c r="S763" s="311"/>
      <c r="T763" s="311"/>
      <c r="U763" s="311"/>
      <c r="V763" s="311"/>
      <c r="W763" s="311">
        <f>+W761+W762</f>
        <v>0</v>
      </c>
      <c r="X763" s="311">
        <f t="shared" ref="X763:BK763" si="152">+X761+X762</f>
        <v>13438391.889049347</v>
      </c>
      <c r="Y763" s="311">
        <f t="shared" si="152"/>
        <v>20605782.675277185</v>
      </c>
      <c r="Z763" s="311">
        <f t="shared" si="152"/>
        <v>36348952.024995029</v>
      </c>
      <c r="AA763" s="311">
        <f t="shared" si="152"/>
        <v>29628461.418637767</v>
      </c>
      <c r="AB763" s="311">
        <f t="shared" si="152"/>
        <v>28103445.962583721</v>
      </c>
      <c r="AC763" s="311">
        <f t="shared" si="152"/>
        <v>27763463.888214305</v>
      </c>
      <c r="AD763" s="311">
        <f t="shared" si="152"/>
        <v>18175904.599784255</v>
      </c>
      <c r="AE763" s="311">
        <f t="shared" si="152"/>
        <v>24580684.969866131</v>
      </c>
      <c r="AF763" s="311">
        <f t="shared" si="152"/>
        <v>21328040.312343225</v>
      </c>
      <c r="AG763" s="311">
        <f t="shared" si="152"/>
        <v>25713413.140585545</v>
      </c>
      <c r="AH763" s="311">
        <f t="shared" si="152"/>
        <v>20981294.332376875</v>
      </c>
      <c r="AI763" s="311">
        <f t="shared" si="152"/>
        <v>13931315.743816864</v>
      </c>
      <c r="AJ763" s="311">
        <f t="shared" si="152"/>
        <v>11248466.952348176</v>
      </c>
      <c r="AK763" s="311">
        <f t="shared" si="152"/>
        <v>11221994.132100329</v>
      </c>
      <c r="AL763" s="311">
        <f t="shared" si="152"/>
        <v>14047740.052612692</v>
      </c>
      <c r="AM763" s="311">
        <f t="shared" si="152"/>
        <v>15073033.537514104</v>
      </c>
      <c r="AN763" s="311">
        <f t="shared" si="152"/>
        <v>6295757.2393744607</v>
      </c>
      <c r="AO763" s="311">
        <f t="shared" si="152"/>
        <v>7462451.0022426844</v>
      </c>
      <c r="AP763" s="311">
        <f t="shared" si="152"/>
        <v>7901558.5056554228</v>
      </c>
      <c r="AQ763" s="311">
        <f t="shared" si="152"/>
        <v>13742788.470389023</v>
      </c>
      <c r="AR763" s="311">
        <f t="shared" si="152"/>
        <v>6996781.7143839607</v>
      </c>
      <c r="AS763" s="311">
        <f t="shared" si="152"/>
        <v>2917872.0874505537</v>
      </c>
      <c r="AT763" s="311">
        <f t="shared" si="152"/>
        <v>12557256.761330152</v>
      </c>
      <c r="AU763" s="311">
        <f t="shared" si="152"/>
        <v>19702997.189131983</v>
      </c>
      <c r="AV763" s="311">
        <f t="shared" si="152"/>
        <v>1281628.1623594214</v>
      </c>
      <c r="AW763" s="311">
        <f t="shared" si="152"/>
        <v>1258266.5011440578</v>
      </c>
      <c r="AX763" s="311">
        <f t="shared" si="152"/>
        <v>1260058.0628647951</v>
      </c>
      <c r="AY763" s="311">
        <f t="shared" si="152"/>
        <v>12077558.755036768</v>
      </c>
      <c r="AZ763" s="311">
        <f t="shared" si="152"/>
        <v>564962.60047120869</v>
      </c>
      <c r="BA763" s="311">
        <f t="shared" si="152"/>
        <v>6337470.6331249997</v>
      </c>
      <c r="BB763" s="311">
        <f t="shared" si="152"/>
        <v>226566.14662499999</v>
      </c>
      <c r="BC763" s="311">
        <f t="shared" si="152"/>
        <v>225947.1134375</v>
      </c>
      <c r="BD763" s="311">
        <f t="shared" si="152"/>
        <v>225947.1134375</v>
      </c>
      <c r="BE763" s="311">
        <f t="shared" si="152"/>
        <v>225947.1134375</v>
      </c>
      <c r="BF763" s="311">
        <f t="shared" si="152"/>
        <v>226566.14662499999</v>
      </c>
      <c r="BG763" s="311">
        <f t="shared" si="152"/>
        <v>225947.1134375</v>
      </c>
      <c r="BH763" s="311">
        <f t="shared" si="152"/>
        <v>225947.1134375</v>
      </c>
      <c r="BI763" s="311">
        <f t="shared" si="152"/>
        <v>225947.1134375</v>
      </c>
      <c r="BJ763" s="311">
        <f t="shared" si="152"/>
        <v>226566.14662499999</v>
      </c>
      <c r="BK763" s="311">
        <f t="shared" si="152"/>
        <v>5291282.1064999998</v>
      </c>
    </row>
    <row r="764" spans="1:63">
      <c r="A764" s="167"/>
      <c r="B764" s="210" t="s">
        <v>28</v>
      </c>
      <c r="C764" s="211"/>
      <c r="D764" s="212"/>
      <c r="E764" s="212"/>
      <c r="F764" s="212"/>
      <c r="G764" s="212"/>
      <c r="H764" s="212"/>
      <c r="I764" s="212"/>
      <c r="J764" s="212"/>
      <c r="K764" s="212"/>
      <c r="L764" s="212"/>
      <c r="M764" s="212"/>
      <c r="N764" s="212"/>
      <c r="O764" s="212"/>
      <c r="P764" s="212"/>
      <c r="Q764" s="212"/>
      <c r="R764" s="212"/>
      <c r="S764" s="235"/>
      <c r="T764" s="235"/>
      <c r="U764" s="235"/>
      <c r="V764" s="235"/>
      <c r="W764" s="236"/>
      <c r="X764" s="236">
        <v>3388144.1497715432</v>
      </c>
      <c r="Y764" s="236">
        <v>9753063.5916839894</v>
      </c>
      <c r="Z764" s="236">
        <v>25637071.328512605</v>
      </c>
      <c r="AA764" s="236">
        <v>19661225.611085072</v>
      </c>
      <c r="AB764" s="236">
        <v>18736046.699939024</v>
      </c>
      <c r="AC764" s="236">
        <v>19021524.406242777</v>
      </c>
      <c r="AD764" s="236">
        <v>10202230.056733539</v>
      </c>
      <c r="AE764" s="236">
        <v>16991688.655817281</v>
      </c>
      <c r="AF764" s="236">
        <v>14348476.062700951</v>
      </c>
      <c r="AG764" s="236">
        <v>19152434.090917461</v>
      </c>
      <c r="AH764" s="236">
        <v>15067486.547419311</v>
      </c>
      <c r="AI764" s="236">
        <v>8551331.187808916</v>
      </c>
      <c r="AJ764" s="236">
        <v>6120171.5906276926</v>
      </c>
      <c r="AK764" s="236">
        <v>6306014.4517222811</v>
      </c>
      <c r="AL764" s="236">
        <v>9210797.6067542043</v>
      </c>
      <c r="AM764" s="236">
        <v>10283173.610128064</v>
      </c>
      <c r="AN764" s="236">
        <v>2293734.2364153555</v>
      </c>
      <c r="AO764" s="236">
        <v>3503984.2059391649</v>
      </c>
      <c r="AP764" s="236">
        <v>4083430.6919410061</v>
      </c>
      <c r="AQ764" s="236">
        <v>10232525.705379743</v>
      </c>
      <c r="AR764" s="236">
        <v>4040023.5409606951</v>
      </c>
      <c r="AS764" s="236">
        <v>128672.51960670036</v>
      </c>
      <c r="AT764" s="236">
        <v>9898445.9245156609</v>
      </c>
      <c r="AU764" s="236">
        <v>17714361.727928299</v>
      </c>
      <c r="AV764" s="236">
        <v>116183.58731761143</v>
      </c>
      <c r="AW764" s="236">
        <v>95044.99272301684</v>
      </c>
      <c r="AX764" s="236">
        <v>95044.99272301684</v>
      </c>
      <c r="AY764" s="236">
        <v>11044836.992723016</v>
      </c>
      <c r="AZ764" s="236">
        <v>59794.606502531125</v>
      </c>
      <c r="BA764" s="236">
        <v>5865960</v>
      </c>
      <c r="BB764" s="236">
        <v>0</v>
      </c>
      <c r="BC764" s="236">
        <v>0</v>
      </c>
      <c r="BD764" s="236">
        <v>0</v>
      </c>
      <c r="BE764" s="236">
        <v>0</v>
      </c>
      <c r="BF764" s="236">
        <v>0</v>
      </c>
      <c r="BG764" s="236">
        <v>0</v>
      </c>
      <c r="BH764" s="236">
        <v>0</v>
      </c>
      <c r="BI764" s="236">
        <v>0</v>
      </c>
      <c r="BJ764" s="236">
        <v>0</v>
      </c>
      <c r="BK764" s="236">
        <v>5083832</v>
      </c>
    </row>
    <row r="765" spans="1:63">
      <c r="A765" s="168">
        <v>44620</v>
      </c>
      <c r="B765" s="213" t="s">
        <v>385</v>
      </c>
      <c r="C765" s="214"/>
      <c r="D765" s="215"/>
      <c r="E765" s="215"/>
      <c r="F765" s="215"/>
      <c r="G765" s="215"/>
      <c r="H765" s="215"/>
      <c r="I765" s="215"/>
      <c r="J765" s="215"/>
      <c r="K765" s="215"/>
      <c r="L765" s="215"/>
      <c r="M765" s="215"/>
      <c r="N765" s="215"/>
      <c r="O765" s="215"/>
      <c r="P765" s="215"/>
      <c r="Q765" s="215"/>
      <c r="R765" s="216"/>
      <c r="S765" s="236"/>
      <c r="T765" s="236"/>
      <c r="U765" s="236"/>
      <c r="V765" s="236"/>
      <c r="W765" s="236"/>
      <c r="X765" s="236">
        <v>7969385.188314232</v>
      </c>
      <c r="Y765" s="236">
        <v>9684638.2393357791</v>
      </c>
      <c r="Z765" s="236">
        <v>9269065.7050944958</v>
      </c>
      <c r="AA765" s="236">
        <v>8733739.9862331823</v>
      </c>
      <c r="AB765" s="236">
        <v>8269826.0570680751</v>
      </c>
      <c r="AC765" s="236">
        <v>7615588.0675285542</v>
      </c>
      <c r="AD765" s="236">
        <v>7020233.2555020275</v>
      </c>
      <c r="AE765" s="236">
        <v>6562444.0536647784</v>
      </c>
      <c r="AF765" s="236">
        <v>6054361.2388416892</v>
      </c>
      <c r="AG765" s="236">
        <v>5601605.5282690953</v>
      </c>
      <c r="AH765" s="236">
        <v>5088426.3358918205</v>
      </c>
      <c r="AI765" s="236">
        <v>4714321.9191493029</v>
      </c>
      <c r="AJ765" s="236">
        <v>4527306.5862464821</v>
      </c>
      <c r="AK765" s="236">
        <v>4367011.3121709088</v>
      </c>
      <c r="AL765" s="236">
        <v>4278386.1402629204</v>
      </c>
      <c r="AM765" s="236">
        <v>4098829.9392819968</v>
      </c>
      <c r="AN765" s="236">
        <v>3506108.2477336721</v>
      </c>
      <c r="AO765" s="236">
        <v>3447491.1833634879</v>
      </c>
      <c r="AP765" s="236">
        <v>3312836.0834251032</v>
      </c>
      <c r="AQ765" s="236">
        <v>2939505.8648761464</v>
      </c>
      <c r="AR765" s="236">
        <v>2550432.5899068089</v>
      </c>
      <c r="AS765" s="236">
        <v>2465646.5061046826</v>
      </c>
      <c r="AT765" s="236">
        <v>2191181.3834056309</v>
      </c>
      <c r="AU765" s="236">
        <v>1471322.823770711</v>
      </c>
      <c r="AV765" s="236">
        <v>1029333.6223740291</v>
      </c>
      <c r="AW765" s="236">
        <v>1027431.6420966816</v>
      </c>
      <c r="AX765" s="236">
        <v>1028736.7082616255</v>
      </c>
      <c r="AY765" s="236">
        <v>733397.06857697875</v>
      </c>
      <c r="AZ765" s="236">
        <v>445528.04760335799</v>
      </c>
      <c r="BA765" s="236">
        <v>321392.14638888882</v>
      </c>
      <c r="BB765" s="236">
        <v>200281.79816666665</v>
      </c>
      <c r="BC765" s="236">
        <v>199734.58013888888</v>
      </c>
      <c r="BD765" s="236">
        <v>199734.58013888888</v>
      </c>
      <c r="BE765" s="236">
        <v>199734.58013888888</v>
      </c>
      <c r="BF765" s="236">
        <v>200281.79816666665</v>
      </c>
      <c r="BG765" s="236">
        <v>199734.58013888888</v>
      </c>
      <c r="BH765" s="236">
        <v>199734.58013888888</v>
      </c>
      <c r="BI765" s="236">
        <v>199734.58013888888</v>
      </c>
      <c r="BJ765" s="236">
        <v>200281.79816666665</v>
      </c>
      <c r="BK765" s="236">
        <v>100688.1171111111</v>
      </c>
    </row>
    <row r="766" spans="1:63">
      <c r="A766" s="169"/>
      <c r="B766" s="307" t="s">
        <v>29</v>
      </c>
      <c r="C766" s="313"/>
      <c r="D766" s="314"/>
      <c r="E766" s="314"/>
      <c r="F766" s="314"/>
      <c r="G766" s="314"/>
      <c r="H766" s="314"/>
      <c r="I766" s="314"/>
      <c r="J766" s="314"/>
      <c r="K766" s="314"/>
      <c r="L766" s="314"/>
      <c r="M766" s="314"/>
      <c r="N766" s="314"/>
      <c r="O766" s="314"/>
      <c r="P766" s="314"/>
      <c r="Q766" s="314"/>
      <c r="R766" s="314"/>
      <c r="S766" s="311"/>
      <c r="T766" s="311"/>
      <c r="U766" s="311"/>
      <c r="V766" s="311"/>
      <c r="W766" s="311"/>
      <c r="X766" s="311">
        <f>SUM(X764:X765)</f>
        <v>11357529.338085774</v>
      </c>
      <c r="Y766" s="311">
        <f t="shared" ref="Y766:BK766" si="153">SUM(Y764:Y765)</f>
        <v>19437701.831019767</v>
      </c>
      <c r="Z766" s="311">
        <f t="shared" si="153"/>
        <v>34906137.033607103</v>
      </c>
      <c r="AA766" s="311">
        <f t="shared" si="153"/>
        <v>28394965.597318254</v>
      </c>
      <c r="AB766" s="311">
        <f t="shared" si="153"/>
        <v>27005872.7570071</v>
      </c>
      <c r="AC766" s="311">
        <f t="shared" si="153"/>
        <v>26637112.47377133</v>
      </c>
      <c r="AD766" s="311">
        <f t="shared" si="153"/>
        <v>17222463.312235568</v>
      </c>
      <c r="AE766" s="311">
        <f t="shared" si="153"/>
        <v>23554132.709482059</v>
      </c>
      <c r="AF766" s="311">
        <f t="shared" si="153"/>
        <v>20402837.30154264</v>
      </c>
      <c r="AG766" s="311">
        <f t="shared" si="153"/>
        <v>24754039.619186558</v>
      </c>
      <c r="AH766" s="311">
        <f t="shared" si="153"/>
        <v>20155912.88331113</v>
      </c>
      <c r="AI766" s="311">
        <f t="shared" si="153"/>
        <v>13265653.106958218</v>
      </c>
      <c r="AJ766" s="311">
        <f t="shared" si="153"/>
        <v>10647478.176874176</v>
      </c>
      <c r="AK766" s="311">
        <f t="shared" si="153"/>
        <v>10673025.763893191</v>
      </c>
      <c r="AL766" s="311">
        <f t="shared" si="153"/>
        <v>13489183.747017125</v>
      </c>
      <c r="AM766" s="311">
        <f t="shared" si="153"/>
        <v>14382003.54941006</v>
      </c>
      <c r="AN766" s="311">
        <f t="shared" si="153"/>
        <v>5799842.4841490276</v>
      </c>
      <c r="AO766" s="311">
        <f t="shared" si="153"/>
        <v>6951475.3893026523</v>
      </c>
      <c r="AP766" s="311">
        <f t="shared" si="153"/>
        <v>7396266.7753661089</v>
      </c>
      <c r="AQ766" s="311">
        <f t="shared" si="153"/>
        <v>13172031.57025589</v>
      </c>
      <c r="AR766" s="311">
        <f t="shared" si="153"/>
        <v>6590456.1308675036</v>
      </c>
      <c r="AS766" s="311">
        <f t="shared" si="153"/>
        <v>2594319.0257113827</v>
      </c>
      <c r="AT766" s="311">
        <f t="shared" si="153"/>
        <v>12089627.307921292</v>
      </c>
      <c r="AU766" s="311">
        <f t="shared" si="153"/>
        <v>19185684.551699009</v>
      </c>
      <c r="AV766" s="311">
        <f t="shared" si="153"/>
        <v>1145517.2096916405</v>
      </c>
      <c r="AW766" s="311">
        <f t="shared" si="153"/>
        <v>1122476.6348196985</v>
      </c>
      <c r="AX766" s="311">
        <f t="shared" si="153"/>
        <v>1123781.7009846424</v>
      </c>
      <c r="AY766" s="311">
        <f t="shared" si="153"/>
        <v>11778234.061299995</v>
      </c>
      <c r="AZ766" s="311">
        <f t="shared" si="153"/>
        <v>505322.65410588915</v>
      </c>
      <c r="BA766" s="311">
        <f t="shared" si="153"/>
        <v>6187352.1463888884</v>
      </c>
      <c r="BB766" s="311">
        <f t="shared" si="153"/>
        <v>200281.79816666665</v>
      </c>
      <c r="BC766" s="311">
        <f t="shared" si="153"/>
        <v>199734.58013888888</v>
      </c>
      <c r="BD766" s="311">
        <f t="shared" si="153"/>
        <v>199734.58013888888</v>
      </c>
      <c r="BE766" s="311">
        <f t="shared" si="153"/>
        <v>199734.58013888888</v>
      </c>
      <c r="BF766" s="311">
        <f t="shared" si="153"/>
        <v>200281.79816666665</v>
      </c>
      <c r="BG766" s="311">
        <f t="shared" si="153"/>
        <v>199734.58013888888</v>
      </c>
      <c r="BH766" s="311">
        <f t="shared" si="153"/>
        <v>199734.58013888888</v>
      </c>
      <c r="BI766" s="311">
        <f t="shared" si="153"/>
        <v>199734.58013888888</v>
      </c>
      <c r="BJ766" s="311">
        <f t="shared" si="153"/>
        <v>200281.79816666665</v>
      </c>
      <c r="BK766" s="311">
        <f t="shared" si="153"/>
        <v>5184520.1171111111</v>
      </c>
    </row>
    <row r="767" spans="1:63">
      <c r="A767" s="167"/>
      <c r="B767" s="210" t="s">
        <v>28</v>
      </c>
      <c r="C767" s="211"/>
      <c r="D767" s="212"/>
      <c r="E767" s="212"/>
      <c r="F767" s="212"/>
      <c r="G767" s="212"/>
      <c r="H767" s="212"/>
      <c r="I767" s="212"/>
      <c r="J767" s="212"/>
      <c r="K767" s="212"/>
      <c r="L767" s="212"/>
      <c r="M767" s="212"/>
      <c r="N767" s="212"/>
      <c r="O767" s="212"/>
      <c r="P767" s="212"/>
      <c r="Q767" s="212"/>
      <c r="R767" s="212"/>
      <c r="S767" s="235"/>
      <c r="T767" s="235"/>
      <c r="U767" s="235"/>
      <c r="V767" s="235"/>
      <c r="W767" s="236"/>
      <c r="X767" s="236">
        <v>3005660.353460229</v>
      </c>
      <c r="Y767" s="236">
        <v>9398456.3818124197</v>
      </c>
      <c r="Z767" s="236">
        <v>24463705.769204538</v>
      </c>
      <c r="AA767" s="236">
        <v>18734853.13994221</v>
      </c>
      <c r="AB767" s="236">
        <v>17891937.549081191</v>
      </c>
      <c r="AC767" s="236">
        <v>18315127.928767581</v>
      </c>
      <c r="AD767" s="236">
        <v>9782172.762128653</v>
      </c>
      <c r="AE767" s="236">
        <v>16292115.505316822</v>
      </c>
      <c r="AF767" s="236">
        <v>13759320.672680564</v>
      </c>
      <c r="AG767" s="236">
        <v>18369763.699667726</v>
      </c>
      <c r="AH767" s="236">
        <v>14447669.110986523</v>
      </c>
      <c r="AI767" s="236">
        <v>8198854.9154493595</v>
      </c>
      <c r="AJ767" s="236">
        <v>5863210.5331511758</v>
      </c>
      <c r="AK767" s="236">
        <v>6008576.5608783104</v>
      </c>
      <c r="AL767" s="236">
        <v>8760383.6781035326</v>
      </c>
      <c r="AM767" s="236">
        <v>9855512.2698192578</v>
      </c>
      <c r="AN767" s="236">
        <v>2198933.9193237256</v>
      </c>
      <c r="AO767" s="236">
        <v>3358897.1026570587</v>
      </c>
      <c r="AP767" s="236">
        <v>3913888.65628199</v>
      </c>
      <c r="AQ767" s="236">
        <v>9823506.2556597907</v>
      </c>
      <c r="AR767" s="236">
        <v>3872627.8583461405</v>
      </c>
      <c r="AS767" s="236">
        <v>123796.38045812777</v>
      </c>
      <c r="AT767" s="236">
        <v>9487628.4354694616</v>
      </c>
      <c r="AU767" s="236">
        <v>16978787.125239186</v>
      </c>
      <c r="AV767" s="236">
        <v>111826.37259257412</v>
      </c>
      <c r="AW767" s="236">
        <v>91566.10232230385</v>
      </c>
      <c r="AX767" s="236">
        <v>91566.10232230385</v>
      </c>
      <c r="AY767" s="236">
        <v>10586386.102322305</v>
      </c>
      <c r="AZ767" s="236">
        <v>57598.799759143425</v>
      </c>
      <c r="BA767" s="236">
        <v>5622225</v>
      </c>
      <c r="BB767" s="236">
        <v>0</v>
      </c>
      <c r="BC767" s="236">
        <v>0</v>
      </c>
      <c r="BD767" s="236">
        <v>0</v>
      </c>
      <c r="BE767" s="236">
        <v>0</v>
      </c>
      <c r="BF767" s="236">
        <v>0</v>
      </c>
      <c r="BG767" s="236">
        <v>0</v>
      </c>
      <c r="BH767" s="236">
        <v>0</v>
      </c>
      <c r="BI767" s="236">
        <v>0</v>
      </c>
      <c r="BJ767" s="236">
        <v>0</v>
      </c>
      <c r="BK767" s="236">
        <v>4872595</v>
      </c>
    </row>
    <row r="768" spans="1:63">
      <c r="A768" s="168">
        <v>44651</v>
      </c>
      <c r="B768" s="213" t="s">
        <v>385</v>
      </c>
      <c r="C768" s="214"/>
      <c r="D768" s="215"/>
      <c r="E768" s="215"/>
      <c r="F768" s="215"/>
      <c r="G768" s="215"/>
      <c r="H768" s="215"/>
      <c r="I768" s="215"/>
      <c r="J768" s="215"/>
      <c r="K768" s="215"/>
      <c r="L768" s="215"/>
      <c r="M768" s="215"/>
      <c r="N768" s="215"/>
      <c r="O768" s="215"/>
      <c r="P768" s="215"/>
      <c r="Q768" s="215"/>
      <c r="R768" s="216"/>
      <c r="S768" s="236"/>
      <c r="T768" s="236"/>
      <c r="U768" s="236"/>
      <c r="V768" s="236"/>
      <c r="W768" s="236"/>
      <c r="X768" s="236">
        <v>6913449.5955947572</v>
      </c>
      <c r="Y768" s="236">
        <v>9614440.0150233693</v>
      </c>
      <c r="Z768" s="236">
        <v>9223737.9678630028</v>
      </c>
      <c r="AA768" s="236">
        <v>8677741.6598137803</v>
      </c>
      <c r="AB768" s="236">
        <v>8164045.1374394251</v>
      </c>
      <c r="AC768" s="236">
        <v>7479088.7394405324</v>
      </c>
      <c r="AD768" s="236">
        <v>6827354.5577285942</v>
      </c>
      <c r="AE768" s="236">
        <v>6387721.9698194377</v>
      </c>
      <c r="AF768" s="236">
        <v>5905040.5295418352</v>
      </c>
      <c r="AG768" s="236">
        <v>5447069.1624905309</v>
      </c>
      <c r="AH768" s="236">
        <v>4945464.2370312773</v>
      </c>
      <c r="AI768" s="236">
        <v>4579171.1458862545</v>
      </c>
      <c r="AJ768" s="236">
        <v>4384541.6835575104</v>
      </c>
      <c r="AK768" s="236">
        <v>4220640.9365609745</v>
      </c>
      <c r="AL768" s="236">
        <v>4126073.9104084661</v>
      </c>
      <c r="AM768" s="236">
        <v>3951749.7366085844</v>
      </c>
      <c r="AN768" s="236">
        <v>3379907.6670530871</v>
      </c>
      <c r="AO768" s="236">
        <v>3315827.055985224</v>
      </c>
      <c r="AP768" s="236">
        <v>3179578.9865415893</v>
      </c>
      <c r="AQ768" s="236">
        <v>2818630.5837030313</v>
      </c>
      <c r="AR768" s="236">
        <v>2444534.8810266694</v>
      </c>
      <c r="AS768" s="236">
        <v>2363259.4534790581</v>
      </c>
      <c r="AT768" s="236">
        <v>2100187.3351638708</v>
      </c>
      <c r="AU768" s="236">
        <v>1410230.4250939635</v>
      </c>
      <c r="AV768" s="236">
        <v>986597.73854720057</v>
      </c>
      <c r="AW768" s="236">
        <v>984767.06229175371</v>
      </c>
      <c r="AX768" s="236">
        <v>986010.23263275938</v>
      </c>
      <c r="AY768" s="236">
        <v>702934.39460360061</v>
      </c>
      <c r="AZ768" s="236">
        <v>427018.37741629424</v>
      </c>
      <c r="BA768" s="236">
        <v>308038.06371527776</v>
      </c>
      <c r="BB768" s="236">
        <v>191959.94052083333</v>
      </c>
      <c r="BC768" s="236">
        <v>191435.45980902779</v>
      </c>
      <c r="BD768" s="236">
        <v>191435.45980902779</v>
      </c>
      <c r="BE768" s="236">
        <v>191435.45980902779</v>
      </c>
      <c r="BF768" s="236">
        <v>191959.94052083333</v>
      </c>
      <c r="BG768" s="236">
        <v>191435.45980902779</v>
      </c>
      <c r="BH768" s="236">
        <v>191435.45980902779</v>
      </c>
      <c r="BI768" s="236">
        <v>191435.45980902779</v>
      </c>
      <c r="BJ768" s="236">
        <v>191959.94052083333</v>
      </c>
      <c r="BK768" s="236">
        <v>96504.450972222214</v>
      </c>
    </row>
    <row r="769" spans="1:63">
      <c r="A769" s="169"/>
      <c r="B769" s="307" t="s">
        <v>29</v>
      </c>
      <c r="C769" s="313"/>
      <c r="D769" s="314"/>
      <c r="E769" s="314"/>
      <c r="F769" s="314"/>
      <c r="G769" s="314"/>
      <c r="H769" s="314"/>
      <c r="I769" s="314"/>
      <c r="J769" s="314"/>
      <c r="K769" s="314"/>
      <c r="L769" s="314"/>
      <c r="M769" s="314"/>
      <c r="N769" s="314"/>
      <c r="O769" s="314"/>
      <c r="P769" s="314"/>
      <c r="Q769" s="314"/>
      <c r="R769" s="314"/>
      <c r="S769" s="311"/>
      <c r="T769" s="311"/>
      <c r="U769" s="311"/>
      <c r="V769" s="311"/>
      <c r="W769" s="311"/>
      <c r="X769" s="311">
        <f>SUM(X767:X768)</f>
        <v>9919109.9490549862</v>
      </c>
      <c r="Y769" s="311">
        <f>SUM(Y767:Y768)</f>
        <v>19012896.396835789</v>
      </c>
      <c r="Z769" s="311">
        <f t="shared" ref="Z769:BK769" si="154">SUM(Z767:Z768)</f>
        <v>33687443.737067543</v>
      </c>
      <c r="AA769" s="311">
        <f t="shared" si="154"/>
        <v>27412594.799755991</v>
      </c>
      <c r="AB769" s="311">
        <f t="shared" si="154"/>
        <v>26055982.686520617</v>
      </c>
      <c r="AC769" s="311">
        <f t="shared" si="154"/>
        <v>25794216.668208115</v>
      </c>
      <c r="AD769" s="311">
        <f t="shared" si="154"/>
        <v>16609527.319857247</v>
      </c>
      <c r="AE769" s="311">
        <f t="shared" si="154"/>
        <v>22679837.475136258</v>
      </c>
      <c r="AF769" s="311">
        <f t="shared" si="154"/>
        <v>19664361.202222399</v>
      </c>
      <c r="AG769" s="311">
        <f t="shared" si="154"/>
        <v>23816832.862158258</v>
      </c>
      <c r="AH769" s="311">
        <f t="shared" si="154"/>
        <v>19393133.348017801</v>
      </c>
      <c r="AI769" s="311">
        <f t="shared" si="154"/>
        <v>12778026.061335614</v>
      </c>
      <c r="AJ769" s="311">
        <f t="shared" si="154"/>
        <v>10247752.216708686</v>
      </c>
      <c r="AK769" s="311">
        <f t="shared" si="154"/>
        <v>10229217.497439284</v>
      </c>
      <c r="AL769" s="311">
        <f t="shared" si="154"/>
        <v>12886457.588512</v>
      </c>
      <c r="AM769" s="311">
        <f t="shared" si="154"/>
        <v>13807262.006427843</v>
      </c>
      <c r="AN769" s="311">
        <f t="shared" si="154"/>
        <v>5578841.5863768123</v>
      </c>
      <c r="AO769" s="311">
        <f t="shared" si="154"/>
        <v>6674724.1586422827</v>
      </c>
      <c r="AP769" s="311">
        <f t="shared" si="154"/>
        <v>7093467.6428235788</v>
      </c>
      <c r="AQ769" s="311">
        <f t="shared" si="154"/>
        <v>12642136.839362822</v>
      </c>
      <c r="AR769" s="311">
        <f t="shared" si="154"/>
        <v>6317162.7393728103</v>
      </c>
      <c r="AS769" s="311">
        <f t="shared" si="154"/>
        <v>2487055.8339371858</v>
      </c>
      <c r="AT769" s="311">
        <f t="shared" si="154"/>
        <v>11587815.770633332</v>
      </c>
      <c r="AU769" s="311">
        <f t="shared" si="154"/>
        <v>18389017.55033315</v>
      </c>
      <c r="AV769" s="311">
        <f t="shared" si="154"/>
        <v>1098424.1111397748</v>
      </c>
      <c r="AW769" s="311">
        <f t="shared" si="154"/>
        <v>1076333.1646140576</v>
      </c>
      <c r="AX769" s="311">
        <f t="shared" si="154"/>
        <v>1077576.3349550632</v>
      </c>
      <c r="AY769" s="311">
        <f t="shared" si="154"/>
        <v>11289320.496925905</v>
      </c>
      <c r="AZ769" s="311">
        <f t="shared" si="154"/>
        <v>484617.17717543768</v>
      </c>
      <c r="BA769" s="311">
        <f t="shared" si="154"/>
        <v>5930263.0637152782</v>
      </c>
      <c r="BB769" s="311">
        <f t="shared" si="154"/>
        <v>191959.94052083333</v>
      </c>
      <c r="BC769" s="311">
        <f t="shared" si="154"/>
        <v>191435.45980902779</v>
      </c>
      <c r="BD769" s="311">
        <f t="shared" si="154"/>
        <v>191435.45980902779</v>
      </c>
      <c r="BE769" s="311">
        <f t="shared" si="154"/>
        <v>191435.45980902779</v>
      </c>
      <c r="BF769" s="311">
        <f t="shared" si="154"/>
        <v>191959.94052083333</v>
      </c>
      <c r="BG769" s="311">
        <f t="shared" si="154"/>
        <v>191435.45980902779</v>
      </c>
      <c r="BH769" s="311">
        <f t="shared" si="154"/>
        <v>191435.45980902779</v>
      </c>
      <c r="BI769" s="311">
        <f t="shared" si="154"/>
        <v>191435.45980902779</v>
      </c>
      <c r="BJ769" s="311">
        <f t="shared" si="154"/>
        <v>191959.94052083333</v>
      </c>
      <c r="BK769" s="311">
        <f t="shared" si="154"/>
        <v>4969099.4509722218</v>
      </c>
    </row>
    <row r="770" spans="1:63">
      <c r="A770" s="167"/>
      <c r="B770" s="210" t="s">
        <v>28</v>
      </c>
      <c r="C770" s="211"/>
      <c r="D770" s="212"/>
      <c r="E770" s="212"/>
      <c r="F770" s="212"/>
      <c r="G770" s="212"/>
      <c r="H770" s="212"/>
      <c r="I770" s="212"/>
      <c r="J770" s="212"/>
      <c r="K770" s="212"/>
      <c r="L770" s="212"/>
      <c r="M770" s="212"/>
      <c r="N770" s="212"/>
      <c r="O770" s="212"/>
      <c r="P770" s="212"/>
      <c r="Q770" s="212"/>
      <c r="R770" s="212"/>
      <c r="S770" s="235"/>
      <c r="T770" s="235"/>
      <c r="U770" s="235"/>
      <c r="V770" s="235"/>
      <c r="W770" s="236"/>
      <c r="X770" s="236">
        <v>2839562.4976817355</v>
      </c>
      <c r="Y770" s="236">
        <v>9830702.8983159717</v>
      </c>
      <c r="Z770" s="236">
        <v>25540920.486921165</v>
      </c>
      <c r="AA770" s="236">
        <v>19470724.183444854</v>
      </c>
      <c r="AB770" s="236">
        <v>18550995.494323391</v>
      </c>
      <c r="AC770" s="236">
        <v>19192671.242253385</v>
      </c>
      <c r="AD770" s="236">
        <v>10275560.390088394</v>
      </c>
      <c r="AE770" s="236">
        <v>17175778.5673525</v>
      </c>
      <c r="AF770" s="236">
        <v>14498185.070323214</v>
      </c>
      <c r="AG770" s="236">
        <v>19371815.86796524</v>
      </c>
      <c r="AH770" s="236">
        <v>15239539.12027524</v>
      </c>
      <c r="AI770" s="236">
        <v>8636151.330664916</v>
      </c>
      <c r="AJ770" s="236">
        <v>6203815.7395599419</v>
      </c>
      <c r="AK770" s="236">
        <v>6186482.9284396069</v>
      </c>
      <c r="AL770" s="236">
        <v>8957462.5517764818</v>
      </c>
      <c r="AM770" s="236">
        <v>10411473.82657969</v>
      </c>
      <c r="AN770" s="236">
        <v>2315358.2720198832</v>
      </c>
      <c r="AO770" s="236">
        <v>3542824.402019883</v>
      </c>
      <c r="AP770" s="236">
        <v>4132140.8766424586</v>
      </c>
      <c r="AQ770" s="236">
        <v>10391343.226723662</v>
      </c>
      <c r="AR770" s="236">
        <v>4093870.7036737292</v>
      </c>
      <c r="AS770" s="236">
        <v>126879.56783230293</v>
      </c>
      <c r="AT770" s="236">
        <v>10035080.88088176</v>
      </c>
      <c r="AU770" s="236">
        <v>17962078.215525977</v>
      </c>
      <c r="AV770" s="236">
        <v>113560.83377773731</v>
      </c>
      <c r="AW770" s="236">
        <v>92121.536480440016</v>
      </c>
      <c r="AX770" s="236">
        <v>92121.536480440016</v>
      </c>
      <c r="AY770" s="236">
        <v>11197677.53648044</v>
      </c>
      <c r="AZ770" s="236">
        <v>58020.595027999239</v>
      </c>
      <c r="BA770" s="236">
        <v>5949405</v>
      </c>
      <c r="BB770" s="236">
        <v>0</v>
      </c>
      <c r="BC770" s="236">
        <v>0</v>
      </c>
      <c r="BD770" s="236">
        <v>0</v>
      </c>
      <c r="BE770" s="236">
        <v>0</v>
      </c>
      <c r="BF770" s="236">
        <v>0</v>
      </c>
      <c r="BG770" s="236">
        <v>0</v>
      </c>
      <c r="BH770" s="236">
        <v>0</v>
      </c>
      <c r="BI770" s="236">
        <v>0</v>
      </c>
      <c r="BJ770" s="236">
        <v>0</v>
      </c>
      <c r="BK770" s="236">
        <v>5156151</v>
      </c>
    </row>
    <row r="771" spans="1:63">
      <c r="A771" s="168">
        <v>44681</v>
      </c>
      <c r="B771" s="213" t="s">
        <v>385</v>
      </c>
      <c r="C771" s="214"/>
      <c r="D771" s="215"/>
      <c r="E771" s="215"/>
      <c r="F771" s="215"/>
      <c r="G771" s="215"/>
      <c r="H771" s="215"/>
      <c r="I771" s="215"/>
      <c r="J771" s="215"/>
      <c r="K771" s="215"/>
      <c r="L771" s="215"/>
      <c r="M771" s="215"/>
      <c r="N771" s="215"/>
      <c r="O771" s="215"/>
      <c r="P771" s="215"/>
      <c r="Q771" s="215"/>
      <c r="R771" s="216"/>
      <c r="S771" s="236"/>
      <c r="T771" s="236"/>
      <c r="U771" s="236"/>
      <c r="V771" s="236"/>
      <c r="W771" s="236"/>
      <c r="X771" s="236">
        <v>5696484.8333227374</v>
      </c>
      <c r="Y771" s="236">
        <v>10199600.004031191</v>
      </c>
      <c r="Z771" s="236">
        <v>9876813.3504070006</v>
      </c>
      <c r="AA771" s="236">
        <v>9258930.0316570457</v>
      </c>
      <c r="AB771" s="236">
        <v>8683801.419933835</v>
      </c>
      <c r="AC771" s="236">
        <v>8004121.6665508319</v>
      </c>
      <c r="AD771" s="236">
        <v>7369646.0942541407</v>
      </c>
      <c r="AE771" s="236">
        <v>6896209.3355887625</v>
      </c>
      <c r="AF771" s="236">
        <v>6359754.0134137589</v>
      </c>
      <c r="AG771" s="236">
        <v>5872513.4481571373</v>
      </c>
      <c r="AH771" s="236">
        <v>5331369.0970267477</v>
      </c>
      <c r="AI771" s="236">
        <v>4932143.9594253739</v>
      </c>
      <c r="AJ771" s="236">
        <v>4719605.905507951</v>
      </c>
      <c r="AK771" s="236">
        <v>4537225.1854353463</v>
      </c>
      <c r="AL771" s="236">
        <v>4426914.8540211879</v>
      </c>
      <c r="AM771" s="236">
        <v>4232864.7470136695</v>
      </c>
      <c r="AN771" s="236">
        <v>3610032.6627219617</v>
      </c>
      <c r="AO771" s="236">
        <v>3534350.4637444532</v>
      </c>
      <c r="AP771" s="236">
        <v>3382324.3302279362</v>
      </c>
      <c r="AQ771" s="236">
        <v>2991814.7458009236</v>
      </c>
      <c r="AR771" s="236">
        <v>2588269.9705192377</v>
      </c>
      <c r="AS771" s="236">
        <v>2500272.4783888729</v>
      </c>
      <c r="AT771" s="236">
        <v>2221908.3226176854</v>
      </c>
      <c r="AU771" s="236">
        <v>1491898.3742235226</v>
      </c>
      <c r="AV771" s="236">
        <v>1043686.3931228926</v>
      </c>
      <c r="AW771" s="236">
        <v>1041824.4820114775</v>
      </c>
      <c r="AX771" s="236">
        <v>1043204.347666639</v>
      </c>
      <c r="AY771" s="236">
        <v>743741.43130309915</v>
      </c>
      <c r="AZ771" s="236">
        <v>451849.04805499408</v>
      </c>
      <c r="BA771" s="236">
        <v>325964.04385416664</v>
      </c>
      <c r="BB771" s="236">
        <v>203130.86543749998</v>
      </c>
      <c r="BC771" s="236">
        <v>202575.86307291666</v>
      </c>
      <c r="BD771" s="236">
        <v>202575.86307291666</v>
      </c>
      <c r="BE771" s="236">
        <v>202575.86307291666</v>
      </c>
      <c r="BF771" s="236">
        <v>203130.86543749998</v>
      </c>
      <c r="BG771" s="236">
        <v>202575.86307291666</v>
      </c>
      <c r="BH771" s="236">
        <v>202575.86307291666</v>
      </c>
      <c r="BI771" s="236">
        <v>202575.86307291666</v>
      </c>
      <c r="BJ771" s="236">
        <v>203130.86543749998</v>
      </c>
      <c r="BK771" s="236">
        <v>102120.43508333333</v>
      </c>
    </row>
    <row r="772" spans="1:63">
      <c r="A772" s="169"/>
      <c r="B772" s="307" t="s">
        <v>29</v>
      </c>
      <c r="C772" s="313"/>
      <c r="D772" s="314"/>
      <c r="E772" s="314"/>
      <c r="F772" s="314"/>
      <c r="G772" s="314"/>
      <c r="H772" s="314"/>
      <c r="I772" s="314"/>
      <c r="J772" s="314"/>
      <c r="K772" s="314"/>
      <c r="L772" s="314"/>
      <c r="M772" s="314"/>
      <c r="N772" s="314"/>
      <c r="O772" s="314"/>
      <c r="P772" s="314"/>
      <c r="Q772" s="314"/>
      <c r="R772" s="314"/>
      <c r="S772" s="311"/>
      <c r="T772" s="311"/>
      <c r="U772" s="311"/>
      <c r="V772" s="311"/>
      <c r="W772" s="311"/>
      <c r="X772" s="311">
        <f>SUM(X770:X771)</f>
        <v>8536047.3310044724</v>
      </c>
      <c r="Y772" s="311">
        <f t="shared" ref="Y772:BK772" si="155">SUM(Y770:Y771)</f>
        <v>20030302.902347162</v>
      </c>
      <c r="Z772" s="311">
        <f t="shared" si="155"/>
        <v>35417733.837328166</v>
      </c>
      <c r="AA772" s="311">
        <f t="shared" si="155"/>
        <v>28729654.215101898</v>
      </c>
      <c r="AB772" s="311">
        <f t="shared" si="155"/>
        <v>27234796.914257228</v>
      </c>
      <c r="AC772" s="311">
        <f t="shared" si="155"/>
        <v>27196792.908804215</v>
      </c>
      <c r="AD772" s="311">
        <f t="shared" si="155"/>
        <v>17645206.484342534</v>
      </c>
      <c r="AE772" s="311">
        <f t="shared" si="155"/>
        <v>24071987.902941264</v>
      </c>
      <c r="AF772" s="311">
        <f t="shared" si="155"/>
        <v>20857939.083736971</v>
      </c>
      <c r="AG772" s="311">
        <f t="shared" si="155"/>
        <v>25244329.316122375</v>
      </c>
      <c r="AH772" s="311">
        <f t="shared" si="155"/>
        <v>20570908.217301987</v>
      </c>
      <c r="AI772" s="311">
        <f t="shared" si="155"/>
        <v>13568295.290090289</v>
      </c>
      <c r="AJ772" s="311">
        <f t="shared" si="155"/>
        <v>10923421.645067893</v>
      </c>
      <c r="AK772" s="311">
        <f t="shared" si="155"/>
        <v>10723708.113874953</v>
      </c>
      <c r="AL772" s="311">
        <f t="shared" si="155"/>
        <v>13384377.40579767</v>
      </c>
      <c r="AM772" s="311">
        <f t="shared" si="155"/>
        <v>14644338.573593359</v>
      </c>
      <c r="AN772" s="311">
        <f t="shared" si="155"/>
        <v>5925390.9347418454</v>
      </c>
      <c r="AO772" s="311">
        <f t="shared" si="155"/>
        <v>7077174.8657643367</v>
      </c>
      <c r="AP772" s="311">
        <f t="shared" si="155"/>
        <v>7514465.2068703948</v>
      </c>
      <c r="AQ772" s="311">
        <f t="shared" si="155"/>
        <v>13383157.972524585</v>
      </c>
      <c r="AR772" s="311">
        <f t="shared" si="155"/>
        <v>6682140.6741929669</v>
      </c>
      <c r="AS772" s="311">
        <f t="shared" si="155"/>
        <v>2627152.0462211757</v>
      </c>
      <c r="AT772" s="311">
        <f t="shared" si="155"/>
        <v>12256989.203499446</v>
      </c>
      <c r="AU772" s="311">
        <f t="shared" si="155"/>
        <v>19453976.5897495</v>
      </c>
      <c r="AV772" s="311">
        <f t="shared" si="155"/>
        <v>1157247.2269006299</v>
      </c>
      <c r="AW772" s="311">
        <f t="shared" si="155"/>
        <v>1133946.0184919175</v>
      </c>
      <c r="AX772" s="311">
        <f t="shared" si="155"/>
        <v>1135325.884147079</v>
      </c>
      <c r="AY772" s="311">
        <f t="shared" si="155"/>
        <v>11941418.967783539</v>
      </c>
      <c r="AZ772" s="311">
        <f t="shared" si="155"/>
        <v>509869.64308299334</v>
      </c>
      <c r="BA772" s="311">
        <f t="shared" si="155"/>
        <v>6275369.0438541668</v>
      </c>
      <c r="BB772" s="311">
        <f t="shared" si="155"/>
        <v>203130.86543749998</v>
      </c>
      <c r="BC772" s="311">
        <f t="shared" si="155"/>
        <v>202575.86307291666</v>
      </c>
      <c r="BD772" s="311">
        <f t="shared" si="155"/>
        <v>202575.86307291666</v>
      </c>
      <c r="BE772" s="311">
        <f t="shared" si="155"/>
        <v>202575.86307291666</v>
      </c>
      <c r="BF772" s="311">
        <f t="shared" si="155"/>
        <v>203130.86543749998</v>
      </c>
      <c r="BG772" s="311">
        <f t="shared" si="155"/>
        <v>202575.86307291666</v>
      </c>
      <c r="BH772" s="311">
        <f t="shared" si="155"/>
        <v>202575.86307291666</v>
      </c>
      <c r="BI772" s="311">
        <f t="shared" si="155"/>
        <v>202575.86307291666</v>
      </c>
      <c r="BJ772" s="311">
        <f t="shared" si="155"/>
        <v>203130.86543749998</v>
      </c>
      <c r="BK772" s="311">
        <f t="shared" si="155"/>
        <v>5258271.4350833334</v>
      </c>
    </row>
    <row r="773" spans="1:63">
      <c r="A773" s="167"/>
      <c r="B773" s="210" t="s">
        <v>28</v>
      </c>
      <c r="C773" s="211"/>
      <c r="D773" s="212"/>
      <c r="E773" s="212"/>
      <c r="F773" s="212"/>
      <c r="G773" s="212"/>
      <c r="H773" s="212"/>
      <c r="I773" s="212"/>
      <c r="J773" s="212"/>
      <c r="K773" s="212"/>
      <c r="L773" s="212"/>
      <c r="M773" s="212"/>
      <c r="N773" s="212"/>
      <c r="O773" s="212"/>
      <c r="P773" s="212"/>
      <c r="Q773" s="212"/>
      <c r="R773" s="212"/>
      <c r="S773" s="235"/>
      <c r="T773" s="235"/>
      <c r="U773" s="235"/>
      <c r="V773" s="235"/>
      <c r="W773" s="236"/>
      <c r="X773" s="236">
        <v>2167242.5282849427</v>
      </c>
      <c r="Y773" s="236">
        <v>9693431.7260537799</v>
      </c>
      <c r="Z773" s="236">
        <v>25247181.959702406</v>
      </c>
      <c r="AA773" s="236">
        <v>19262154.635282107</v>
      </c>
      <c r="AB773" s="236">
        <v>18581092.58055827</v>
      </c>
      <c r="AC773" s="236">
        <v>19149129.508623216</v>
      </c>
      <c r="AD773" s="236">
        <v>10336817.7348841</v>
      </c>
      <c r="AE773" s="236">
        <v>17139645.403503742</v>
      </c>
      <c r="AF773" s="236">
        <v>14500654.10067779</v>
      </c>
      <c r="AG773" s="236">
        <v>19305875.920311235</v>
      </c>
      <c r="AH773" s="236">
        <v>15225411.739883985</v>
      </c>
      <c r="AI773" s="236">
        <v>8715307.3572142031</v>
      </c>
      <c r="AJ773" s="236">
        <v>6311362.7530923132</v>
      </c>
      <c r="AK773" s="236">
        <v>6332623.7444603145</v>
      </c>
      <c r="AL773" s="236">
        <v>9111249.0854800586</v>
      </c>
      <c r="AM773" s="236">
        <v>10458811.724241089</v>
      </c>
      <c r="AN773" s="236">
        <v>2469417.0931443647</v>
      </c>
      <c r="AO773" s="236">
        <v>3680193.1721919831</v>
      </c>
      <c r="AP773" s="236">
        <v>4256753.8298900351</v>
      </c>
      <c r="AQ773" s="236">
        <v>10429264.99532254</v>
      </c>
      <c r="AR773" s="236">
        <v>4128805.7003904167</v>
      </c>
      <c r="AS773" s="236">
        <v>126553.01794699096</v>
      </c>
      <c r="AT773" s="236">
        <v>9900030.95189902</v>
      </c>
      <c r="AU773" s="236">
        <v>17719243.651040021</v>
      </c>
      <c r="AV773" s="236">
        <v>113415.38082419314</v>
      </c>
      <c r="AW773" s="236">
        <v>92267.597040409368</v>
      </c>
      <c r="AX773" s="236">
        <v>92267.597040409368</v>
      </c>
      <c r="AY773" s="236">
        <v>11046819.597040409</v>
      </c>
      <c r="AZ773" s="236">
        <v>58090.272285955638</v>
      </c>
      <c r="BA773" s="236">
        <v>5868510</v>
      </c>
      <c r="BB773" s="236">
        <v>0</v>
      </c>
      <c r="BC773" s="236">
        <v>0</v>
      </c>
      <c r="BD773" s="236">
        <v>0</v>
      </c>
      <c r="BE773" s="236">
        <v>0</v>
      </c>
      <c r="BF773" s="236">
        <v>0</v>
      </c>
      <c r="BG773" s="236">
        <v>0</v>
      </c>
      <c r="BH773" s="236">
        <v>0</v>
      </c>
      <c r="BI773" s="236">
        <v>0</v>
      </c>
      <c r="BJ773" s="236">
        <v>0</v>
      </c>
      <c r="BK773" s="236">
        <v>5086042</v>
      </c>
    </row>
    <row r="774" spans="1:63">
      <c r="A774" s="168">
        <v>44712</v>
      </c>
      <c r="B774" s="213" t="s">
        <v>385</v>
      </c>
      <c r="C774" s="214"/>
      <c r="D774" s="215"/>
      <c r="E774" s="215"/>
      <c r="F774" s="215"/>
      <c r="G774" s="215"/>
      <c r="H774" s="215"/>
      <c r="I774" s="215"/>
      <c r="J774" s="215"/>
      <c r="K774" s="215"/>
      <c r="L774" s="215"/>
      <c r="M774" s="215"/>
      <c r="N774" s="215"/>
      <c r="O774" s="215"/>
      <c r="P774" s="215"/>
      <c r="Q774" s="215"/>
      <c r="R774" s="216"/>
      <c r="S774" s="236"/>
      <c r="T774" s="236"/>
      <c r="U774" s="236"/>
      <c r="V774" s="236"/>
      <c r="W774" s="236"/>
      <c r="X774" s="236">
        <v>5619028.8287993204</v>
      </c>
      <c r="Y774" s="236">
        <v>10060914.430881253</v>
      </c>
      <c r="Z774" s="236">
        <v>9742516.7583980225</v>
      </c>
      <c r="AA774" s="236">
        <v>9133034.896780381</v>
      </c>
      <c r="AB774" s="236">
        <v>8565726.3996812981</v>
      </c>
      <c r="AC774" s="236">
        <v>7895288.3593183225</v>
      </c>
      <c r="AD774" s="236">
        <v>7269439.85164758</v>
      </c>
      <c r="AE774" s="236">
        <v>6802440.4874094147</v>
      </c>
      <c r="AF774" s="236">
        <v>6273279.4330288116</v>
      </c>
      <c r="AG774" s="236">
        <v>5792663.9547391115</v>
      </c>
      <c r="AH774" s="236">
        <v>5258877.6288708597</v>
      </c>
      <c r="AI774" s="236">
        <v>4865080.8185570491</v>
      </c>
      <c r="AJ774" s="236">
        <v>4655432.678147221</v>
      </c>
      <c r="AK774" s="236">
        <v>4475531.817548004</v>
      </c>
      <c r="AL774" s="236">
        <v>4366721.3931429917</v>
      </c>
      <c r="AM774" s="236">
        <v>4175309.8161071888</v>
      </c>
      <c r="AN774" s="236">
        <v>3560946.4780949457</v>
      </c>
      <c r="AO774" s="236">
        <v>3486293.3419373808</v>
      </c>
      <c r="AP774" s="236">
        <v>3336334.3317837575</v>
      </c>
      <c r="AQ774" s="236">
        <v>2951134.5678904327</v>
      </c>
      <c r="AR774" s="236">
        <v>2553076.8546925033</v>
      </c>
      <c r="AS774" s="236">
        <v>2466275.87836933</v>
      </c>
      <c r="AT774" s="236">
        <v>2191696.6840154794</v>
      </c>
      <c r="AU774" s="236">
        <v>1471612.79625685</v>
      </c>
      <c r="AV774" s="236">
        <v>1029495.2242964846</v>
      </c>
      <c r="AW774" s="236">
        <v>1027658.6298846988</v>
      </c>
      <c r="AX774" s="236">
        <v>1029019.7332884797</v>
      </c>
      <c r="AY774" s="236">
        <v>733628.66152439627</v>
      </c>
      <c r="AZ774" s="236">
        <v>445705.18514056673</v>
      </c>
      <c r="BA774" s="236">
        <v>321531.85923611111</v>
      </c>
      <c r="BB774" s="236">
        <v>200368.86295833334</v>
      </c>
      <c r="BC774" s="236">
        <v>199821.40704861112</v>
      </c>
      <c r="BD774" s="236">
        <v>199821.40704861112</v>
      </c>
      <c r="BE774" s="236">
        <v>199821.40704861112</v>
      </c>
      <c r="BF774" s="236">
        <v>200368.86295833334</v>
      </c>
      <c r="BG774" s="236">
        <v>199821.40704861112</v>
      </c>
      <c r="BH774" s="236">
        <v>199821.40704861112</v>
      </c>
      <c r="BI774" s="236">
        <v>199821.40704861112</v>
      </c>
      <c r="BJ774" s="236">
        <v>200368.86295833334</v>
      </c>
      <c r="BK774" s="236">
        <v>100731.88738888888</v>
      </c>
    </row>
    <row r="775" spans="1:63">
      <c r="A775" s="169"/>
      <c r="B775" s="307" t="s">
        <v>29</v>
      </c>
      <c r="C775" s="313"/>
      <c r="D775" s="314"/>
      <c r="E775" s="314"/>
      <c r="F775" s="314"/>
      <c r="G775" s="314"/>
      <c r="H775" s="314"/>
      <c r="I775" s="314"/>
      <c r="J775" s="314"/>
      <c r="K775" s="314"/>
      <c r="L775" s="314"/>
      <c r="M775" s="314"/>
      <c r="N775" s="314"/>
      <c r="O775" s="314"/>
      <c r="P775" s="314"/>
      <c r="Q775" s="314"/>
      <c r="R775" s="314"/>
      <c r="S775" s="311"/>
      <c r="T775" s="311"/>
      <c r="U775" s="311"/>
      <c r="V775" s="311"/>
      <c r="W775" s="311"/>
      <c r="X775" s="311">
        <f>SUM(X773:X774)</f>
        <v>7786271.3570842631</v>
      </c>
      <c r="Y775" s="311">
        <f t="shared" ref="Y775:BK775" si="156">SUM(Y773:Y774)</f>
        <v>19754346.156935032</v>
      </c>
      <c r="Z775" s="311">
        <f t="shared" si="156"/>
        <v>34989698.718100429</v>
      </c>
      <c r="AA775" s="311">
        <f t="shared" si="156"/>
        <v>28395189.532062486</v>
      </c>
      <c r="AB775" s="311">
        <f t="shared" si="156"/>
        <v>27146818.98023957</v>
      </c>
      <c r="AC775" s="311">
        <f t="shared" si="156"/>
        <v>27044417.86794154</v>
      </c>
      <c r="AD775" s="311">
        <f t="shared" si="156"/>
        <v>17606257.58653168</v>
      </c>
      <c r="AE775" s="311">
        <f t="shared" si="156"/>
        <v>23942085.890913159</v>
      </c>
      <c r="AF775" s="311">
        <f t="shared" si="156"/>
        <v>20773933.533706602</v>
      </c>
      <c r="AG775" s="311">
        <f t="shared" si="156"/>
        <v>25098539.875050347</v>
      </c>
      <c r="AH775" s="311">
        <f t="shared" si="156"/>
        <v>20484289.368754845</v>
      </c>
      <c r="AI775" s="311">
        <f t="shared" si="156"/>
        <v>13580388.175771251</v>
      </c>
      <c r="AJ775" s="311">
        <f t="shared" si="156"/>
        <v>10966795.431239534</v>
      </c>
      <c r="AK775" s="311">
        <f t="shared" si="156"/>
        <v>10808155.562008318</v>
      </c>
      <c r="AL775" s="311">
        <f t="shared" si="156"/>
        <v>13477970.478623051</v>
      </c>
      <c r="AM775" s="311">
        <f t="shared" si="156"/>
        <v>14634121.540348278</v>
      </c>
      <c r="AN775" s="311">
        <f t="shared" si="156"/>
        <v>6030363.5712393103</v>
      </c>
      <c r="AO775" s="311">
        <f t="shared" si="156"/>
        <v>7166486.5141293639</v>
      </c>
      <c r="AP775" s="311">
        <f t="shared" si="156"/>
        <v>7593088.1616737926</v>
      </c>
      <c r="AQ775" s="311">
        <f t="shared" si="156"/>
        <v>13380399.563212972</v>
      </c>
      <c r="AR775" s="311">
        <f t="shared" si="156"/>
        <v>6681882.55508292</v>
      </c>
      <c r="AS775" s="311">
        <f t="shared" si="156"/>
        <v>2592828.8963163211</v>
      </c>
      <c r="AT775" s="311">
        <f t="shared" si="156"/>
        <v>12091727.635914499</v>
      </c>
      <c r="AU775" s="311">
        <f t="shared" si="156"/>
        <v>19190856.447296873</v>
      </c>
      <c r="AV775" s="311">
        <f t="shared" si="156"/>
        <v>1142910.6051206777</v>
      </c>
      <c r="AW775" s="311">
        <f t="shared" si="156"/>
        <v>1119926.2269251081</v>
      </c>
      <c r="AX775" s="311">
        <f t="shared" si="156"/>
        <v>1121287.3303288892</v>
      </c>
      <c r="AY775" s="311">
        <f t="shared" si="156"/>
        <v>11780448.258564806</v>
      </c>
      <c r="AZ775" s="311">
        <f t="shared" si="156"/>
        <v>503795.45742652239</v>
      </c>
      <c r="BA775" s="311">
        <f t="shared" si="156"/>
        <v>6190041.8592361109</v>
      </c>
      <c r="BB775" s="311">
        <f t="shared" si="156"/>
        <v>200368.86295833334</v>
      </c>
      <c r="BC775" s="311">
        <f t="shared" si="156"/>
        <v>199821.40704861112</v>
      </c>
      <c r="BD775" s="311">
        <f t="shared" si="156"/>
        <v>199821.40704861112</v>
      </c>
      <c r="BE775" s="311">
        <f t="shared" si="156"/>
        <v>199821.40704861112</v>
      </c>
      <c r="BF775" s="311">
        <f t="shared" si="156"/>
        <v>200368.86295833334</v>
      </c>
      <c r="BG775" s="311">
        <f t="shared" si="156"/>
        <v>199821.40704861112</v>
      </c>
      <c r="BH775" s="311">
        <f t="shared" si="156"/>
        <v>199821.40704861112</v>
      </c>
      <c r="BI775" s="311">
        <f t="shared" si="156"/>
        <v>199821.40704861112</v>
      </c>
      <c r="BJ775" s="311">
        <f t="shared" si="156"/>
        <v>200368.86295833334</v>
      </c>
      <c r="BK775" s="311">
        <f t="shared" si="156"/>
        <v>5186773.8873888887</v>
      </c>
    </row>
    <row r="776" spans="1:63">
      <c r="A776" s="167"/>
      <c r="B776" s="210" t="s">
        <v>28</v>
      </c>
      <c r="C776" s="211"/>
      <c r="D776" s="212"/>
      <c r="E776" s="212"/>
      <c r="F776" s="212"/>
      <c r="G776" s="212"/>
      <c r="H776" s="212"/>
      <c r="I776" s="212"/>
      <c r="J776" s="212"/>
      <c r="K776" s="212"/>
      <c r="L776" s="212"/>
      <c r="M776" s="212"/>
      <c r="N776" s="212"/>
      <c r="O776" s="212"/>
      <c r="P776" s="212"/>
      <c r="Q776" s="212"/>
      <c r="R776" s="212"/>
      <c r="S776" s="235"/>
      <c r="T776" s="235"/>
      <c r="U776" s="235"/>
      <c r="V776" s="235"/>
      <c r="W776" s="236"/>
      <c r="X776" s="236">
        <v>1957730.3477744421</v>
      </c>
      <c r="Y776" s="236">
        <v>10144682.994172655</v>
      </c>
      <c r="Z776" s="236">
        <v>26436153.07131486</v>
      </c>
      <c r="AA776" s="236">
        <v>20117180.049898069</v>
      </c>
      <c r="AB776" s="236">
        <v>19425330.67268274</v>
      </c>
      <c r="AC776" s="236">
        <v>20063103.280149218</v>
      </c>
      <c r="AD776" s="236">
        <v>11052345.960609442</v>
      </c>
      <c r="AE776" s="236">
        <v>18234533.647585031</v>
      </c>
      <c r="AF776" s="236">
        <v>15462373.564306283</v>
      </c>
      <c r="AG776" s="236">
        <v>20515430.217489328</v>
      </c>
      <c r="AH776" s="236">
        <v>16222136.086424762</v>
      </c>
      <c r="AI776" s="236">
        <v>9359501.6524971966</v>
      </c>
      <c r="AJ776" s="236">
        <v>6738512.0228239149</v>
      </c>
      <c r="AK776" s="236">
        <v>6638450.8657156536</v>
      </c>
      <c r="AL776" s="236">
        <v>9467074.103671303</v>
      </c>
      <c r="AM776" s="236">
        <v>11023518.949452847</v>
      </c>
      <c r="AN776" s="236">
        <v>2597352.780776232</v>
      </c>
      <c r="AO776" s="236">
        <v>3874706.4726809938</v>
      </c>
      <c r="AP776" s="236">
        <v>4484973.3057783451</v>
      </c>
      <c r="AQ776" s="236">
        <v>11000569.892649792</v>
      </c>
      <c r="AR776" s="236">
        <v>4353663.7633119784</v>
      </c>
      <c r="AS776" s="236">
        <v>131337.00254865945</v>
      </c>
      <c r="AT776" s="236">
        <v>10442234.564634005</v>
      </c>
      <c r="AU776" s="236">
        <v>18691406.63028359</v>
      </c>
      <c r="AV776" s="236">
        <v>117476.95891870034</v>
      </c>
      <c r="AW776" s="236">
        <v>95166.310270051676</v>
      </c>
      <c r="AX776" s="236">
        <v>95166.310270051676</v>
      </c>
      <c r="AY776" s="236">
        <v>11652082.310270052</v>
      </c>
      <c r="AZ776" s="236">
        <v>59949.431890895081</v>
      </c>
      <c r="BA776" s="236">
        <v>6191205</v>
      </c>
      <c r="BB776" s="236">
        <v>0</v>
      </c>
      <c r="BC776" s="236">
        <v>0</v>
      </c>
      <c r="BD776" s="236">
        <v>0</v>
      </c>
      <c r="BE776" s="236">
        <v>0</v>
      </c>
      <c r="BF776" s="236">
        <v>0</v>
      </c>
      <c r="BG776" s="236">
        <v>0</v>
      </c>
      <c r="BH776" s="236">
        <v>0</v>
      </c>
      <c r="BI776" s="236">
        <v>0</v>
      </c>
      <c r="BJ776" s="236">
        <v>0</v>
      </c>
      <c r="BK776" s="236">
        <v>5365711</v>
      </c>
    </row>
    <row r="777" spans="1:63">
      <c r="A777" s="168">
        <v>44742</v>
      </c>
      <c r="B777" s="213" t="s">
        <v>385</v>
      </c>
      <c r="C777" s="214"/>
      <c r="D777" s="215"/>
      <c r="E777" s="215"/>
      <c r="F777" s="215"/>
      <c r="G777" s="215"/>
      <c r="H777" s="215"/>
      <c r="I777" s="215"/>
      <c r="J777" s="215"/>
      <c r="K777" s="215"/>
      <c r="L777" s="215"/>
      <c r="M777" s="215"/>
      <c r="N777" s="215"/>
      <c r="O777" s="215"/>
      <c r="P777" s="215"/>
      <c r="Q777" s="215"/>
      <c r="R777" s="216"/>
      <c r="S777" s="236"/>
      <c r="T777" s="236"/>
      <c r="U777" s="236"/>
      <c r="V777" s="236"/>
      <c r="W777" s="236"/>
      <c r="X777" s="236">
        <v>5103976.9777655462</v>
      </c>
      <c r="Y777" s="236">
        <v>11019443.781630261</v>
      </c>
      <c r="Z777" s="236">
        <v>10528411.313930631</v>
      </c>
      <c r="AA777" s="236">
        <v>9659985.6925537642</v>
      </c>
      <c r="AB777" s="236">
        <v>9136213.7400441915</v>
      </c>
      <c r="AC777" s="236">
        <v>8399281.3534120806</v>
      </c>
      <c r="AD777" s="236">
        <v>7735023.3644946674</v>
      </c>
      <c r="AE777" s="236">
        <v>7227027.3665350908</v>
      </c>
      <c r="AF777" s="236">
        <v>6684930.7954590507</v>
      </c>
      <c r="AG777" s="236">
        <v>6163582.2663226156</v>
      </c>
      <c r="AH777" s="236">
        <v>5592887.3500508182</v>
      </c>
      <c r="AI777" s="236">
        <v>5179308.4602674814</v>
      </c>
      <c r="AJ777" s="236">
        <v>4949458.8331961967</v>
      </c>
      <c r="AK777" s="236">
        <v>4751416.5260505304</v>
      </c>
      <c r="AL777" s="236">
        <v>4627765.7618808309</v>
      </c>
      <c r="AM777" s="236">
        <v>4424814.1569210403</v>
      </c>
      <c r="AN777" s="236">
        <v>3778411.5007649045</v>
      </c>
      <c r="AO777" s="236">
        <v>3693148.3020970859</v>
      </c>
      <c r="AP777" s="236">
        <v>3528738.6637033932</v>
      </c>
      <c r="AQ777" s="236">
        <v>3116338.761107652</v>
      </c>
      <c r="AR777" s="236">
        <v>2693270.3218474081</v>
      </c>
      <c r="AS777" s="236">
        <v>2601635.7435561507</v>
      </c>
      <c r="AT777" s="236">
        <v>2311989.8419802412</v>
      </c>
      <c r="AU777" s="236">
        <v>1552344.6776223395</v>
      </c>
      <c r="AV777" s="236">
        <v>1085950.8958492493</v>
      </c>
      <c r="AW777" s="236">
        <v>1084048.5442748526</v>
      </c>
      <c r="AX777" s="236">
        <v>1085519.7240915967</v>
      </c>
      <c r="AY777" s="236">
        <v>773921.05301600927</v>
      </c>
      <c r="AZ777" s="236">
        <v>470202.60811081127</v>
      </c>
      <c r="BA777" s="236">
        <v>339212.10913194442</v>
      </c>
      <c r="BB777" s="236">
        <v>211386.65627083334</v>
      </c>
      <c r="BC777" s="236">
        <v>210809.09710069446</v>
      </c>
      <c r="BD777" s="236">
        <v>210809.09710069446</v>
      </c>
      <c r="BE777" s="236">
        <v>210809.09710069446</v>
      </c>
      <c r="BF777" s="236">
        <v>211386.65627083334</v>
      </c>
      <c r="BG777" s="236">
        <v>210809.09710069446</v>
      </c>
      <c r="BH777" s="236">
        <v>210809.09710069446</v>
      </c>
      <c r="BI777" s="236">
        <v>210809.09710069446</v>
      </c>
      <c r="BJ777" s="236">
        <v>211386.65627083334</v>
      </c>
      <c r="BK777" s="236">
        <v>106270.88730555556</v>
      </c>
    </row>
    <row r="778" spans="1:63">
      <c r="A778" s="169"/>
      <c r="B778" s="307" t="s">
        <v>29</v>
      </c>
      <c r="C778" s="313"/>
      <c r="D778" s="314"/>
      <c r="E778" s="314"/>
      <c r="F778" s="314"/>
      <c r="G778" s="314"/>
      <c r="H778" s="314"/>
      <c r="I778" s="314"/>
      <c r="J778" s="314"/>
      <c r="K778" s="314"/>
      <c r="L778" s="314"/>
      <c r="M778" s="314"/>
      <c r="N778" s="314"/>
      <c r="O778" s="314"/>
      <c r="P778" s="314"/>
      <c r="Q778" s="314"/>
      <c r="R778" s="314"/>
      <c r="S778" s="311"/>
      <c r="T778" s="311"/>
      <c r="U778" s="311"/>
      <c r="V778" s="311"/>
      <c r="W778" s="311"/>
      <c r="X778" s="311">
        <f>SUM(X776:X777)</f>
        <v>7061707.3255399885</v>
      </c>
      <c r="Y778" s="311">
        <f t="shared" ref="Y778:BK778" si="157">SUM(Y776:Y777)</f>
        <v>21164126.775802918</v>
      </c>
      <c r="Z778" s="311">
        <f t="shared" si="157"/>
        <v>36964564.385245487</v>
      </c>
      <c r="AA778" s="311">
        <f t="shared" si="157"/>
        <v>29777165.742451832</v>
      </c>
      <c r="AB778" s="311">
        <f t="shared" si="157"/>
        <v>28561544.412726931</v>
      </c>
      <c r="AC778" s="311">
        <f t="shared" si="157"/>
        <v>28462384.633561298</v>
      </c>
      <c r="AD778" s="311">
        <f t="shared" si="157"/>
        <v>18787369.32510411</v>
      </c>
      <c r="AE778" s="311">
        <f t="shared" si="157"/>
        <v>25461561.014120121</v>
      </c>
      <c r="AF778" s="311">
        <f t="shared" si="157"/>
        <v>22147304.359765336</v>
      </c>
      <c r="AG778" s="311">
        <f t="shared" si="157"/>
        <v>26679012.483811945</v>
      </c>
      <c r="AH778" s="311">
        <f t="shared" si="157"/>
        <v>21815023.436475582</v>
      </c>
      <c r="AI778" s="311">
        <f t="shared" si="157"/>
        <v>14538810.112764679</v>
      </c>
      <c r="AJ778" s="311">
        <f t="shared" si="157"/>
        <v>11687970.856020112</v>
      </c>
      <c r="AK778" s="311">
        <f t="shared" si="157"/>
        <v>11389867.391766183</v>
      </c>
      <c r="AL778" s="311">
        <f t="shared" si="157"/>
        <v>14094839.865552135</v>
      </c>
      <c r="AM778" s="311">
        <f t="shared" si="157"/>
        <v>15448333.106373888</v>
      </c>
      <c r="AN778" s="311">
        <f t="shared" si="157"/>
        <v>6375764.281541137</v>
      </c>
      <c r="AO778" s="311">
        <f t="shared" si="157"/>
        <v>7567854.7747780792</v>
      </c>
      <c r="AP778" s="311">
        <f t="shared" si="157"/>
        <v>8013711.9694817383</v>
      </c>
      <c r="AQ778" s="311">
        <f t="shared" si="157"/>
        <v>14116908.653757444</v>
      </c>
      <c r="AR778" s="311">
        <f t="shared" si="157"/>
        <v>7046934.0851593865</v>
      </c>
      <c r="AS778" s="311">
        <f t="shared" si="157"/>
        <v>2732972.7461048104</v>
      </c>
      <c r="AT778" s="311">
        <f t="shared" si="157"/>
        <v>12754224.406614246</v>
      </c>
      <c r="AU778" s="311">
        <f t="shared" si="157"/>
        <v>20243751.307905931</v>
      </c>
      <c r="AV778" s="311">
        <f t="shared" si="157"/>
        <v>1203427.8547679498</v>
      </c>
      <c r="AW778" s="311">
        <f t="shared" si="157"/>
        <v>1179214.8545449043</v>
      </c>
      <c r="AX778" s="311">
        <f t="shared" si="157"/>
        <v>1180686.0343616484</v>
      </c>
      <c r="AY778" s="311">
        <f t="shared" si="157"/>
        <v>12426003.363286061</v>
      </c>
      <c r="AZ778" s="311">
        <f t="shared" si="157"/>
        <v>530152.04000170634</v>
      </c>
      <c r="BA778" s="311">
        <f t="shared" si="157"/>
        <v>6530417.1091319444</v>
      </c>
      <c r="BB778" s="311">
        <f t="shared" si="157"/>
        <v>211386.65627083334</v>
      </c>
      <c r="BC778" s="311">
        <f t="shared" si="157"/>
        <v>210809.09710069446</v>
      </c>
      <c r="BD778" s="311">
        <f t="shared" si="157"/>
        <v>210809.09710069446</v>
      </c>
      <c r="BE778" s="311">
        <f t="shared" si="157"/>
        <v>210809.09710069446</v>
      </c>
      <c r="BF778" s="311">
        <f t="shared" si="157"/>
        <v>211386.65627083334</v>
      </c>
      <c r="BG778" s="311">
        <f t="shared" si="157"/>
        <v>210809.09710069446</v>
      </c>
      <c r="BH778" s="311">
        <f t="shared" si="157"/>
        <v>210809.09710069446</v>
      </c>
      <c r="BI778" s="311">
        <f t="shared" si="157"/>
        <v>210809.09710069446</v>
      </c>
      <c r="BJ778" s="311">
        <f t="shared" si="157"/>
        <v>211386.65627083334</v>
      </c>
      <c r="BK778" s="311">
        <f t="shared" si="157"/>
        <v>5471981.8873055559</v>
      </c>
    </row>
    <row r="779" spans="1:63">
      <c r="A779" s="167"/>
      <c r="B779" s="210" t="s">
        <v>28</v>
      </c>
      <c r="C779" s="211"/>
      <c r="D779" s="212"/>
      <c r="E779" s="212"/>
      <c r="F779" s="212"/>
      <c r="G779" s="212"/>
      <c r="H779" s="212"/>
      <c r="I779" s="212"/>
      <c r="J779" s="212"/>
      <c r="K779" s="212"/>
      <c r="L779" s="212"/>
      <c r="M779" s="212"/>
      <c r="N779" s="212"/>
      <c r="O779" s="212"/>
      <c r="P779" s="212"/>
      <c r="Q779" s="212"/>
      <c r="R779" s="212"/>
      <c r="S779" s="235"/>
      <c r="T779" s="235"/>
      <c r="U779" s="235"/>
      <c r="V779" s="235"/>
      <c r="W779" s="236"/>
      <c r="X779" s="236">
        <v>1937762.1386353688</v>
      </c>
      <c r="Y779" s="236">
        <v>10499933.359256182</v>
      </c>
      <c r="Z779" s="236">
        <v>27475586.471398957</v>
      </c>
      <c r="AA779" s="236">
        <v>20887313.052022569</v>
      </c>
      <c r="AB779" s="236">
        <v>20030629.075527307</v>
      </c>
      <c r="AC779" s="236">
        <v>20780795.107984144</v>
      </c>
      <c r="AD779" s="236">
        <v>11573324.404978221</v>
      </c>
      <c r="AE779" s="236">
        <v>19161709.120686907</v>
      </c>
      <c r="AF779" s="236">
        <v>16275032.256276861</v>
      </c>
      <c r="AG779" s="236">
        <v>21535541.403539959</v>
      </c>
      <c r="AH779" s="236">
        <v>17073220.186241083</v>
      </c>
      <c r="AI779" s="236">
        <v>9956336.6944885626</v>
      </c>
      <c r="AJ779" s="236">
        <v>7204345.0597886164</v>
      </c>
      <c r="AK779" s="236">
        <v>7105503.5680929758</v>
      </c>
      <c r="AL779" s="236">
        <v>9693537.8068476468</v>
      </c>
      <c r="AM779" s="236">
        <v>11476018.779717883</v>
      </c>
      <c r="AN779" s="236">
        <v>2699838.5315429056</v>
      </c>
      <c r="AO779" s="236">
        <v>4030678.9934476675</v>
      </c>
      <c r="AP779" s="236">
        <v>4667611.3555375217</v>
      </c>
      <c r="AQ779" s="236">
        <v>11459345.705765771</v>
      </c>
      <c r="AR779" s="236">
        <v>4534112.9535007272</v>
      </c>
      <c r="AS779" s="236">
        <v>134984.24528225316</v>
      </c>
      <c r="AT779" s="236">
        <v>10877631.141864326</v>
      </c>
      <c r="AU779" s="236">
        <v>19472221.686171837</v>
      </c>
      <c r="AV779" s="236">
        <v>119800.36976065743</v>
      </c>
      <c r="AW779" s="236">
        <v>96555.504895792561</v>
      </c>
      <c r="AX779" s="236">
        <v>96555.504895792561</v>
      </c>
      <c r="AY779" s="236">
        <v>12137395.504895791</v>
      </c>
      <c r="AZ779" s="236">
        <v>60866.265603503765</v>
      </c>
      <c r="BA779" s="236">
        <v>6450450</v>
      </c>
      <c r="BB779" s="236">
        <v>0</v>
      </c>
      <c r="BC779" s="236">
        <v>0</v>
      </c>
      <c r="BD779" s="236">
        <v>0</v>
      </c>
      <c r="BE779" s="236">
        <v>0</v>
      </c>
      <c r="BF779" s="236">
        <v>0</v>
      </c>
      <c r="BG779" s="236">
        <v>0</v>
      </c>
      <c r="BH779" s="236">
        <v>0</v>
      </c>
      <c r="BI779" s="236">
        <v>0</v>
      </c>
      <c r="BJ779" s="236">
        <v>0</v>
      </c>
      <c r="BK779" s="236">
        <v>5590390</v>
      </c>
    </row>
    <row r="780" spans="1:63">
      <c r="A780" s="168">
        <v>44773</v>
      </c>
      <c r="B780" s="213" t="s">
        <v>385</v>
      </c>
      <c r="C780" s="214"/>
      <c r="D780" s="215"/>
      <c r="E780" s="215"/>
      <c r="F780" s="215"/>
      <c r="G780" s="215"/>
      <c r="H780" s="215"/>
      <c r="I780" s="215"/>
      <c r="J780" s="215"/>
      <c r="K780" s="215"/>
      <c r="L780" s="215"/>
      <c r="M780" s="215"/>
      <c r="N780" s="215"/>
      <c r="O780" s="215"/>
      <c r="P780" s="215"/>
      <c r="Q780" s="215"/>
      <c r="R780" s="216"/>
      <c r="S780" s="236"/>
      <c r="T780" s="236"/>
      <c r="U780" s="236"/>
      <c r="V780" s="236"/>
      <c r="W780" s="236"/>
      <c r="X780" s="236">
        <v>4330479.2289860547</v>
      </c>
      <c r="Y780" s="236">
        <v>11951322.2331779</v>
      </c>
      <c r="Z780" s="236">
        <v>11207455.449438537</v>
      </c>
      <c r="AA780" s="236">
        <v>10101694.510893879</v>
      </c>
      <c r="AB780" s="236">
        <v>9463873.1820058413</v>
      </c>
      <c r="AC780" s="236">
        <v>8697843.6980741788</v>
      </c>
      <c r="AD780" s="236">
        <v>8003195.961889429</v>
      </c>
      <c r="AE780" s="236">
        <v>7473127.6523959711</v>
      </c>
      <c r="AF780" s="236">
        <v>6938477.957151874</v>
      </c>
      <c r="AG780" s="236">
        <v>6393700.1154671498</v>
      </c>
      <c r="AH780" s="236">
        <v>5797674.3232504241</v>
      </c>
      <c r="AI780" s="236">
        <v>5358758.1140655931</v>
      </c>
      <c r="AJ780" s="236">
        <v>5109902.5821733205</v>
      </c>
      <c r="AK780" s="236">
        <v>4899606.4706579046</v>
      </c>
      <c r="AL780" s="236">
        <v>4775393.9154931325</v>
      </c>
      <c r="AM780" s="236">
        <v>4574860.3268787926</v>
      </c>
      <c r="AN780" s="236">
        <v>3908151.8391202027</v>
      </c>
      <c r="AO780" s="236">
        <v>3826737.3294420051</v>
      </c>
      <c r="AP780" s="236">
        <v>3663293.8270931887</v>
      </c>
      <c r="AQ780" s="236">
        <v>3240833.6741082673</v>
      </c>
      <c r="AR780" s="236">
        <v>2805097.493927863</v>
      </c>
      <c r="AS780" s="236">
        <v>2710342.3241318199</v>
      </c>
      <c r="AT780" s="236">
        <v>2408584.7679537204</v>
      </c>
      <c r="AU780" s="236">
        <v>1617143.2162487723</v>
      </c>
      <c r="AV780" s="236">
        <v>1131239.5324462815</v>
      </c>
      <c r="AW780" s="236">
        <v>1129299.5740746076</v>
      </c>
      <c r="AX780" s="236">
        <v>1130874.4073407466</v>
      </c>
      <c r="AY780" s="236">
        <v>806270.18181486684</v>
      </c>
      <c r="AZ780" s="236">
        <v>489878.54620866908</v>
      </c>
      <c r="BA780" s="236">
        <v>353415.97465277778</v>
      </c>
      <c r="BB780" s="236">
        <v>220238.07270833332</v>
      </c>
      <c r="BC780" s="236">
        <v>219636.32934027779</v>
      </c>
      <c r="BD780" s="236">
        <v>219636.32934027779</v>
      </c>
      <c r="BE780" s="236">
        <v>219636.32934027779</v>
      </c>
      <c r="BF780" s="236">
        <v>220238.07270833332</v>
      </c>
      <c r="BG780" s="236">
        <v>219636.32934027779</v>
      </c>
      <c r="BH780" s="236">
        <v>219636.32934027779</v>
      </c>
      <c r="BI780" s="236">
        <v>219636.32934027779</v>
      </c>
      <c r="BJ780" s="236">
        <v>220238.07270833332</v>
      </c>
      <c r="BK780" s="236">
        <v>110720.77972222221</v>
      </c>
    </row>
    <row r="781" spans="1:63">
      <c r="A781" s="169"/>
      <c r="B781" s="307" t="s">
        <v>29</v>
      </c>
      <c r="C781" s="313"/>
      <c r="D781" s="314"/>
      <c r="E781" s="314"/>
      <c r="F781" s="314"/>
      <c r="G781" s="314"/>
      <c r="H781" s="314"/>
      <c r="I781" s="314"/>
      <c r="J781" s="314"/>
      <c r="K781" s="314"/>
      <c r="L781" s="314"/>
      <c r="M781" s="314"/>
      <c r="N781" s="314"/>
      <c r="O781" s="314"/>
      <c r="P781" s="314"/>
      <c r="Q781" s="314"/>
      <c r="R781" s="314"/>
      <c r="S781" s="311"/>
      <c r="T781" s="311"/>
      <c r="U781" s="311"/>
      <c r="V781" s="311"/>
      <c r="W781" s="311"/>
      <c r="X781" s="311">
        <f t="shared" ref="X781:BK781" si="158">X779+X780</f>
        <v>6268241.3676214237</v>
      </c>
      <c r="Y781" s="311">
        <f t="shared" si="158"/>
        <v>22451255.592434082</v>
      </c>
      <c r="Z781" s="311">
        <f t="shared" si="158"/>
        <v>38683041.920837492</v>
      </c>
      <c r="AA781" s="311">
        <f t="shared" si="158"/>
        <v>30989007.56291645</v>
      </c>
      <c r="AB781" s="311">
        <f t="shared" si="158"/>
        <v>29494502.257533148</v>
      </c>
      <c r="AC781" s="311">
        <f t="shared" si="158"/>
        <v>29478638.806058325</v>
      </c>
      <c r="AD781" s="311">
        <f t="shared" si="158"/>
        <v>19576520.36686765</v>
      </c>
      <c r="AE781" s="311">
        <f t="shared" si="158"/>
        <v>26634836.773082878</v>
      </c>
      <c r="AF781" s="311">
        <f t="shared" si="158"/>
        <v>23213510.213428736</v>
      </c>
      <c r="AG781" s="311">
        <f t="shared" si="158"/>
        <v>27929241.519007109</v>
      </c>
      <c r="AH781" s="311">
        <f t="shared" si="158"/>
        <v>22870894.509491507</v>
      </c>
      <c r="AI781" s="311">
        <f t="shared" si="158"/>
        <v>15315094.808554156</v>
      </c>
      <c r="AJ781" s="311">
        <f t="shared" si="158"/>
        <v>12314247.641961936</v>
      </c>
      <c r="AK781" s="311">
        <f t="shared" si="158"/>
        <v>12005110.038750879</v>
      </c>
      <c r="AL781" s="311">
        <f t="shared" si="158"/>
        <v>14468931.722340779</v>
      </c>
      <c r="AM781" s="311">
        <f t="shared" si="158"/>
        <v>16050879.106596675</v>
      </c>
      <c r="AN781" s="311">
        <f t="shared" si="158"/>
        <v>6607990.3706631083</v>
      </c>
      <c r="AO781" s="311">
        <f t="shared" si="158"/>
        <v>7857416.3228896726</v>
      </c>
      <c r="AP781" s="311">
        <f t="shared" si="158"/>
        <v>8330905.1826307103</v>
      </c>
      <c r="AQ781" s="311">
        <f t="shared" si="158"/>
        <v>14700179.379874038</v>
      </c>
      <c r="AR781" s="311">
        <f t="shared" si="158"/>
        <v>7339210.4474285897</v>
      </c>
      <c r="AS781" s="311">
        <f t="shared" si="158"/>
        <v>2845326.5694140731</v>
      </c>
      <c r="AT781" s="311">
        <f t="shared" si="158"/>
        <v>13286215.909818046</v>
      </c>
      <c r="AU781" s="311">
        <f t="shared" si="158"/>
        <v>21089364.90242061</v>
      </c>
      <c r="AV781" s="311">
        <f t="shared" si="158"/>
        <v>1251039.9022069389</v>
      </c>
      <c r="AW781" s="311">
        <f t="shared" si="158"/>
        <v>1225855.0789704002</v>
      </c>
      <c r="AX781" s="311">
        <f t="shared" si="158"/>
        <v>1227429.9122365392</v>
      </c>
      <c r="AY781" s="311">
        <f t="shared" si="158"/>
        <v>12943665.686710658</v>
      </c>
      <c r="AZ781" s="311">
        <f t="shared" si="158"/>
        <v>550744.81181217288</v>
      </c>
      <c r="BA781" s="311">
        <f t="shared" si="158"/>
        <v>6803865.9746527774</v>
      </c>
      <c r="BB781" s="311">
        <f t="shared" si="158"/>
        <v>220238.07270833332</v>
      </c>
      <c r="BC781" s="311">
        <f t="shared" si="158"/>
        <v>219636.32934027779</v>
      </c>
      <c r="BD781" s="311">
        <f t="shared" si="158"/>
        <v>219636.32934027779</v>
      </c>
      <c r="BE781" s="311">
        <f t="shared" si="158"/>
        <v>219636.32934027779</v>
      </c>
      <c r="BF781" s="311">
        <f t="shared" si="158"/>
        <v>220238.07270833332</v>
      </c>
      <c r="BG781" s="311">
        <f t="shared" si="158"/>
        <v>219636.32934027779</v>
      </c>
      <c r="BH781" s="311">
        <f t="shared" si="158"/>
        <v>219636.32934027779</v>
      </c>
      <c r="BI781" s="311">
        <f t="shared" si="158"/>
        <v>219636.32934027779</v>
      </c>
      <c r="BJ781" s="311">
        <f t="shared" si="158"/>
        <v>220238.07270833332</v>
      </c>
      <c r="BK781" s="311">
        <f t="shared" si="158"/>
        <v>5701110.7797222221</v>
      </c>
    </row>
    <row r="782" spans="1:63">
      <c r="A782" s="167"/>
      <c r="B782" s="210" t="s">
        <v>28</v>
      </c>
      <c r="C782" s="211"/>
      <c r="D782" s="212"/>
      <c r="E782" s="212"/>
      <c r="F782" s="212"/>
      <c r="G782" s="212"/>
      <c r="H782" s="212"/>
      <c r="I782" s="212"/>
      <c r="J782" s="212"/>
      <c r="K782" s="212"/>
      <c r="L782" s="212"/>
      <c r="M782" s="212"/>
      <c r="N782" s="212"/>
      <c r="O782" s="212"/>
      <c r="P782" s="212"/>
      <c r="Q782" s="212"/>
      <c r="R782" s="212"/>
      <c r="S782" s="235"/>
      <c r="T782" s="235"/>
      <c r="U782" s="235"/>
      <c r="V782" s="235"/>
      <c r="W782" s="236"/>
      <c r="X782" s="236">
        <v>1613429.0047596719</v>
      </c>
      <c r="Y782" s="236">
        <v>10458267.929708865</v>
      </c>
      <c r="Z782" s="236">
        <v>27276913.048658259</v>
      </c>
      <c r="AA782" s="236">
        <v>20686314.40944989</v>
      </c>
      <c r="AB782" s="236">
        <v>19924016.495954506</v>
      </c>
      <c r="AC782" s="236">
        <v>20713955.347734574</v>
      </c>
      <c r="AD782" s="236">
        <v>11634553.186329037</v>
      </c>
      <c r="AE782" s="236">
        <v>19308753.711758748</v>
      </c>
      <c r="AF782" s="236">
        <v>16423155.492873525</v>
      </c>
      <c r="AG782" s="236">
        <v>21681070.464109965</v>
      </c>
      <c r="AH782" s="236">
        <v>17224682.70740816</v>
      </c>
      <c r="AI782" s="236">
        <v>10111519.321123259</v>
      </c>
      <c r="AJ782" s="236">
        <v>7363582.8032197412</v>
      </c>
      <c r="AK782" s="236">
        <v>7225210.8742359597</v>
      </c>
      <c r="AL782" s="236">
        <v>9774760.2007473614</v>
      </c>
      <c r="AM782" s="236">
        <v>11637909.754105901</v>
      </c>
      <c r="AN782" s="236">
        <v>2861802.5258102678</v>
      </c>
      <c r="AO782" s="236">
        <v>4192642.9877150292</v>
      </c>
      <c r="AP782" s="236">
        <v>4830434.5684696604</v>
      </c>
      <c r="AQ782" s="236">
        <v>11541194.677759608</v>
      </c>
      <c r="AR782" s="236">
        <v>4533134.8395714862</v>
      </c>
      <c r="AS782" s="236">
        <v>134006.13135301246</v>
      </c>
      <c r="AT782" s="236">
        <v>10876491.247447317</v>
      </c>
      <c r="AU782" s="236">
        <v>19470920.011267059</v>
      </c>
      <c r="AV782" s="236">
        <v>118498.69499922243</v>
      </c>
      <c r="AW782" s="236">
        <v>95253.830134357588</v>
      </c>
      <c r="AX782" s="236">
        <v>95253.830134357588</v>
      </c>
      <c r="AY782" s="236">
        <v>12136093.83013436</v>
      </c>
      <c r="AZ782" s="236">
        <v>60067.204498698833</v>
      </c>
      <c r="BA782" s="236">
        <v>6450450</v>
      </c>
      <c r="BB782" s="236">
        <v>0</v>
      </c>
      <c r="BC782" s="236">
        <v>0</v>
      </c>
      <c r="BD782" s="236">
        <v>0</v>
      </c>
      <c r="BE782" s="236">
        <v>0</v>
      </c>
      <c r="BF782" s="236">
        <v>0</v>
      </c>
      <c r="BG782" s="236">
        <v>0</v>
      </c>
      <c r="BH782" s="236">
        <v>0</v>
      </c>
      <c r="BI782" s="236">
        <v>0</v>
      </c>
      <c r="BJ782" s="236">
        <v>0</v>
      </c>
      <c r="BK782" s="236">
        <v>5590390</v>
      </c>
    </row>
    <row r="783" spans="1:63">
      <c r="A783" s="168">
        <v>44804</v>
      </c>
      <c r="B783" s="213" t="s">
        <v>385</v>
      </c>
      <c r="C783" s="214"/>
      <c r="D783" s="215"/>
      <c r="E783" s="215"/>
      <c r="F783" s="215"/>
      <c r="G783" s="215"/>
      <c r="H783" s="215"/>
      <c r="I783" s="215"/>
      <c r="J783" s="215"/>
      <c r="K783" s="215"/>
      <c r="L783" s="215"/>
      <c r="M783" s="215"/>
      <c r="N783" s="215"/>
      <c r="O783" s="215"/>
      <c r="P783" s="215"/>
      <c r="Q783" s="215"/>
      <c r="R783" s="216"/>
      <c r="S783" s="236"/>
      <c r="T783" s="236"/>
      <c r="U783" s="236"/>
      <c r="V783" s="236"/>
      <c r="W783" s="236"/>
      <c r="X783" s="236">
        <v>3398530.7992696716</v>
      </c>
      <c r="Y783" s="236">
        <v>11697585.965700319</v>
      </c>
      <c r="Z783" s="236">
        <v>11077524.759911135</v>
      </c>
      <c r="AA783" s="236">
        <v>10204467.86050632</v>
      </c>
      <c r="AB783" s="236">
        <v>9604497.9475443866</v>
      </c>
      <c r="AC783" s="236">
        <v>8847121.7392838262</v>
      </c>
      <c r="AD783" s="236">
        <v>8148240.3056911752</v>
      </c>
      <c r="AE783" s="236">
        <v>7600024.9074553205</v>
      </c>
      <c r="AF783" s="236">
        <v>7030716.2421207391</v>
      </c>
      <c r="AG783" s="236">
        <v>6472349.6850157771</v>
      </c>
      <c r="AH783" s="236">
        <v>5863571.2759581367</v>
      </c>
      <c r="AI783" s="236">
        <v>5413753.6817808775</v>
      </c>
      <c r="AJ783" s="236">
        <v>5154993.8569459645</v>
      </c>
      <c r="AK783" s="236">
        <v>4934603.834984527</v>
      </c>
      <c r="AL783" s="236">
        <v>4803152.8759413855</v>
      </c>
      <c r="AM783" s="236">
        <v>4597535.2554175239</v>
      </c>
      <c r="AN783" s="236">
        <v>3926432.160380946</v>
      </c>
      <c r="AO783" s="236">
        <v>3839291.151181642</v>
      </c>
      <c r="AP783" s="236">
        <v>3670210.5494288662</v>
      </c>
      <c r="AQ783" s="236">
        <v>3242007.4244756717</v>
      </c>
      <c r="AR783" s="236">
        <v>2804973.9019477181</v>
      </c>
      <c r="AS783" s="236">
        <v>2710214.1889077132</v>
      </c>
      <c r="AT783" s="236">
        <v>2408459.173594771</v>
      </c>
      <c r="AU783" s="236">
        <v>1617032.4287878321</v>
      </c>
      <c r="AV783" s="236">
        <v>1131147.5109146119</v>
      </c>
      <c r="AW783" s="236">
        <v>1129228.6396740763</v>
      </c>
      <c r="AX783" s="236">
        <v>1130824.5600713536</v>
      </c>
      <c r="AY783" s="236">
        <v>806241.42167661223</v>
      </c>
      <c r="AZ783" s="236">
        <v>489872.07381371863</v>
      </c>
      <c r="BA783" s="236">
        <v>353415.97465277778</v>
      </c>
      <c r="BB783" s="236">
        <v>220238.07270833332</v>
      </c>
      <c r="BC783" s="236">
        <v>219636.32934027779</v>
      </c>
      <c r="BD783" s="236">
        <v>219636.32934027779</v>
      </c>
      <c r="BE783" s="236">
        <v>219636.32934027779</v>
      </c>
      <c r="BF783" s="236">
        <v>220238.07270833332</v>
      </c>
      <c r="BG783" s="236">
        <v>219636.32934027779</v>
      </c>
      <c r="BH783" s="236">
        <v>219636.32934027779</v>
      </c>
      <c r="BI783" s="236">
        <v>219636.32934027779</v>
      </c>
      <c r="BJ783" s="236">
        <v>220238.07270833332</v>
      </c>
      <c r="BK783" s="236">
        <v>110720.77972222221</v>
      </c>
    </row>
    <row r="784" spans="1:63">
      <c r="A784" s="169"/>
      <c r="B784" s="307" t="s">
        <v>29</v>
      </c>
      <c r="C784" s="313"/>
      <c r="D784" s="314"/>
      <c r="E784" s="314"/>
      <c r="F784" s="314"/>
      <c r="G784" s="314"/>
      <c r="H784" s="314"/>
      <c r="I784" s="314"/>
      <c r="J784" s="314"/>
      <c r="K784" s="314"/>
      <c r="L784" s="314"/>
      <c r="M784" s="314"/>
      <c r="N784" s="314"/>
      <c r="O784" s="314"/>
      <c r="P784" s="314"/>
      <c r="Q784" s="314"/>
      <c r="R784" s="314"/>
      <c r="S784" s="311"/>
      <c r="T784" s="311"/>
      <c r="U784" s="311"/>
      <c r="V784" s="311"/>
      <c r="W784" s="311"/>
      <c r="X784" s="311">
        <f t="shared" ref="X784:BK784" si="159">X782+X783</f>
        <v>5011959.8040293436</v>
      </c>
      <c r="Y784" s="311">
        <f t="shared" si="159"/>
        <v>22155853.895409182</v>
      </c>
      <c r="Z784" s="311">
        <f t="shared" si="159"/>
        <v>38354437.808569394</v>
      </c>
      <c r="AA784" s="311">
        <f t="shared" si="159"/>
        <v>30890782.269956209</v>
      </c>
      <c r="AB784" s="311">
        <f t="shared" si="159"/>
        <v>29528514.443498895</v>
      </c>
      <c r="AC784" s="311">
        <f t="shared" si="159"/>
        <v>29561077.0870184</v>
      </c>
      <c r="AD784" s="311">
        <f t="shared" si="159"/>
        <v>19782793.492020212</v>
      </c>
      <c r="AE784" s="311">
        <f t="shared" si="159"/>
        <v>26908778.619214069</v>
      </c>
      <c r="AF784" s="311">
        <f t="shared" si="159"/>
        <v>23453871.734994262</v>
      </c>
      <c r="AG784" s="311">
        <f t="shared" si="159"/>
        <v>28153420.14912574</v>
      </c>
      <c r="AH784" s="311">
        <f t="shared" si="159"/>
        <v>23088253.983366296</v>
      </c>
      <c r="AI784" s="311">
        <f t="shared" si="159"/>
        <v>15525273.002904136</v>
      </c>
      <c r="AJ784" s="311">
        <f t="shared" si="159"/>
        <v>12518576.660165705</v>
      </c>
      <c r="AK784" s="311">
        <f t="shared" si="159"/>
        <v>12159814.709220488</v>
      </c>
      <c r="AL784" s="311">
        <f t="shared" si="159"/>
        <v>14577913.076688748</v>
      </c>
      <c r="AM784" s="311">
        <f t="shared" si="159"/>
        <v>16235445.009523425</v>
      </c>
      <c r="AN784" s="311">
        <f t="shared" si="159"/>
        <v>6788234.6861912142</v>
      </c>
      <c r="AO784" s="311">
        <f t="shared" si="159"/>
        <v>8031934.1388966711</v>
      </c>
      <c r="AP784" s="311">
        <f t="shared" si="159"/>
        <v>8500645.1178985275</v>
      </c>
      <c r="AQ784" s="311">
        <f t="shared" si="159"/>
        <v>14783202.10223528</v>
      </c>
      <c r="AR784" s="311">
        <f t="shared" si="159"/>
        <v>7338108.7415192043</v>
      </c>
      <c r="AS784" s="311">
        <f t="shared" si="159"/>
        <v>2844220.3202607254</v>
      </c>
      <c r="AT784" s="311">
        <f t="shared" si="159"/>
        <v>13284950.421042088</v>
      </c>
      <c r="AU784" s="311">
        <f t="shared" si="159"/>
        <v>21087952.44005489</v>
      </c>
      <c r="AV784" s="311">
        <f t="shared" si="159"/>
        <v>1249646.2059138343</v>
      </c>
      <c r="AW784" s="311">
        <f t="shared" si="159"/>
        <v>1224482.4698084339</v>
      </c>
      <c r="AX784" s="311">
        <f t="shared" si="159"/>
        <v>1226078.3902057111</v>
      </c>
      <c r="AY784" s="311">
        <f t="shared" si="159"/>
        <v>12942335.251810972</v>
      </c>
      <c r="AZ784" s="311">
        <f t="shared" si="159"/>
        <v>549939.27831241745</v>
      </c>
      <c r="BA784" s="311">
        <f t="shared" si="159"/>
        <v>6803865.9746527774</v>
      </c>
      <c r="BB784" s="311">
        <f t="shared" si="159"/>
        <v>220238.07270833332</v>
      </c>
      <c r="BC784" s="311">
        <f t="shared" si="159"/>
        <v>219636.32934027779</v>
      </c>
      <c r="BD784" s="311">
        <f t="shared" si="159"/>
        <v>219636.32934027779</v>
      </c>
      <c r="BE784" s="311">
        <f t="shared" si="159"/>
        <v>219636.32934027779</v>
      </c>
      <c r="BF784" s="311">
        <f t="shared" si="159"/>
        <v>220238.07270833332</v>
      </c>
      <c r="BG784" s="311">
        <f t="shared" si="159"/>
        <v>219636.32934027779</v>
      </c>
      <c r="BH784" s="311">
        <f t="shared" si="159"/>
        <v>219636.32934027779</v>
      </c>
      <c r="BI784" s="311">
        <f t="shared" si="159"/>
        <v>219636.32934027779</v>
      </c>
      <c r="BJ784" s="311">
        <f t="shared" si="159"/>
        <v>220238.07270833332</v>
      </c>
      <c r="BK784" s="311">
        <f t="shared" si="159"/>
        <v>5701110.7797222221</v>
      </c>
    </row>
    <row r="785" spans="1:63">
      <c r="A785" s="167"/>
      <c r="B785" s="210" t="s">
        <v>28</v>
      </c>
      <c r="C785" s="211"/>
      <c r="D785" s="212"/>
      <c r="E785" s="212"/>
      <c r="F785" s="212"/>
      <c r="G785" s="212"/>
      <c r="H785" s="212"/>
      <c r="I785" s="212"/>
      <c r="J785" s="212"/>
      <c r="K785" s="212"/>
      <c r="L785" s="212"/>
      <c r="M785" s="212"/>
      <c r="N785" s="212"/>
      <c r="O785" s="212"/>
      <c r="P785" s="212"/>
      <c r="Q785" s="212"/>
      <c r="R785" s="212"/>
      <c r="S785" s="235"/>
      <c r="T785" s="235"/>
      <c r="U785" s="235"/>
      <c r="V785" s="235"/>
      <c r="W785" s="236"/>
      <c r="X785" s="236">
        <v>1403238.8845122873</v>
      </c>
      <c r="Y785" s="236">
        <v>10966361.252508702</v>
      </c>
      <c r="Z785" s="236">
        <v>28534797.722194497</v>
      </c>
      <c r="AA785" s="236">
        <v>21621974.648819886</v>
      </c>
      <c r="AB785" s="236">
        <v>20878738.968182031</v>
      </c>
      <c r="AC785" s="236">
        <v>21808656.51381373</v>
      </c>
      <c r="AD785" s="236">
        <v>12297751.279284939</v>
      </c>
      <c r="AE785" s="236">
        <v>20391329.411934528</v>
      </c>
      <c r="AF785" s="236">
        <v>17351516.934698522</v>
      </c>
      <c r="AG785" s="236">
        <v>22899426.871589214</v>
      </c>
      <c r="AH785" s="236">
        <v>18203214.324244812</v>
      </c>
      <c r="AI785" s="236">
        <v>10710347.628951589</v>
      </c>
      <c r="AJ785" s="236">
        <v>7842159.712653636</v>
      </c>
      <c r="AK785" s="236">
        <v>7600169.072375942</v>
      </c>
      <c r="AL785" s="236">
        <v>10216144.579899138</v>
      </c>
      <c r="AM785" s="236">
        <v>12328890.082227686</v>
      </c>
      <c r="AN785" s="236">
        <v>3011243.9648654507</v>
      </c>
      <c r="AO785" s="236">
        <v>4413811.723436879</v>
      </c>
      <c r="AP785" s="236">
        <v>5086178.1170497639</v>
      </c>
      <c r="AQ785" s="236">
        <v>12161356.861026395</v>
      </c>
      <c r="AR785" s="236">
        <v>4775167.3006000966</v>
      </c>
      <c r="AS785" s="236">
        <v>138942.09662463097</v>
      </c>
      <c r="AT785" s="236">
        <v>11460345.573308896</v>
      </c>
      <c r="AU785" s="236">
        <v>20517920.537458461</v>
      </c>
      <c r="AV785" s="236">
        <v>122476.48127215871</v>
      </c>
      <c r="AW785" s="236">
        <v>97978.805596483042</v>
      </c>
      <c r="AX785" s="236">
        <v>97978.805596483042</v>
      </c>
      <c r="AY785" s="236">
        <v>12787774.805596482</v>
      </c>
      <c r="AZ785" s="236">
        <v>61825.877815714593</v>
      </c>
      <c r="BA785" s="236">
        <v>6798105</v>
      </c>
      <c r="BB785" s="236">
        <v>0</v>
      </c>
      <c r="BC785" s="236">
        <v>0</v>
      </c>
      <c r="BD785" s="236">
        <v>0</v>
      </c>
      <c r="BE785" s="236">
        <v>0</v>
      </c>
      <c r="BF785" s="236">
        <v>0</v>
      </c>
      <c r="BG785" s="236">
        <v>0</v>
      </c>
      <c r="BH785" s="236">
        <v>0</v>
      </c>
      <c r="BI785" s="236">
        <v>0</v>
      </c>
      <c r="BJ785" s="236">
        <v>0</v>
      </c>
      <c r="BK785" s="236">
        <v>5891691</v>
      </c>
    </row>
    <row r="786" spans="1:63">
      <c r="A786" s="168">
        <v>44834</v>
      </c>
      <c r="B786" s="213" t="s">
        <v>385</v>
      </c>
      <c r="C786" s="214"/>
      <c r="D786" s="215"/>
      <c r="E786" s="215"/>
      <c r="F786" s="215"/>
      <c r="G786" s="215"/>
      <c r="H786" s="215"/>
      <c r="I786" s="215"/>
      <c r="J786" s="215"/>
      <c r="K786" s="215"/>
      <c r="L786" s="215"/>
      <c r="M786" s="215"/>
      <c r="N786" s="215"/>
      <c r="O786" s="215"/>
      <c r="P786" s="215"/>
      <c r="Q786" s="215"/>
      <c r="R786" s="216"/>
      <c r="S786" s="236"/>
      <c r="T786" s="236"/>
      <c r="U786" s="236"/>
      <c r="V786" s="236"/>
      <c r="W786" s="236"/>
      <c r="X786" s="236">
        <v>2884288.6380873704</v>
      </c>
      <c r="Y786" s="236">
        <v>12948793.168684453</v>
      </c>
      <c r="Z786" s="236">
        <v>12288892.964208547</v>
      </c>
      <c r="AA786" s="236">
        <v>11123523.334973935</v>
      </c>
      <c r="AB786" s="236">
        <v>10303894.543335464</v>
      </c>
      <c r="AC786" s="236">
        <v>9502801.5290269237</v>
      </c>
      <c r="AD786" s="236">
        <v>8761835.0895416234</v>
      </c>
      <c r="AE786" s="236">
        <v>8163202.8309824793</v>
      </c>
      <c r="AF786" s="236">
        <v>7542021.6445623161</v>
      </c>
      <c r="AG786" s="236">
        <v>6936234.5727978107</v>
      </c>
      <c r="AH786" s="236">
        <v>6277555.3985805595</v>
      </c>
      <c r="AI786" s="236">
        <v>5788481.6448828764</v>
      </c>
      <c r="AJ786" s="236">
        <v>5502006.4888095018</v>
      </c>
      <c r="AK786" s="236">
        <v>5255204.9383082679</v>
      </c>
      <c r="AL786" s="236">
        <v>5104381.8355602063</v>
      </c>
      <c r="AM786" s="236">
        <v>4879464.8726665052</v>
      </c>
      <c r="AN786" s="236">
        <v>4164590.6082429416</v>
      </c>
      <c r="AO786" s="236">
        <v>4064830.3592481944</v>
      </c>
      <c r="AP786" s="236">
        <v>3878762.3876043949</v>
      </c>
      <c r="AQ786" s="236">
        <v>3420368.4922405784</v>
      </c>
      <c r="AR786" s="236">
        <v>2956232.0692370022</v>
      </c>
      <c r="AS786" s="236">
        <v>2856025.2326755235</v>
      </c>
      <c r="AT786" s="236">
        <v>2538027.3333586557</v>
      </c>
      <c r="AU786" s="236">
        <v>1703978.0400510922</v>
      </c>
      <c r="AV786" s="236">
        <v>1191941.8155896603</v>
      </c>
      <c r="AW786" s="236">
        <v>1189958.5477391006</v>
      </c>
      <c r="AX786" s="236">
        <v>1191679.5055793033</v>
      </c>
      <c r="AY786" s="236">
        <v>849641.57985799934</v>
      </c>
      <c r="AZ786" s="236">
        <v>516262.3589165071</v>
      </c>
      <c r="BA786" s="236">
        <v>372463.76677083329</v>
      </c>
      <c r="BB786" s="236">
        <v>232108.07668749997</v>
      </c>
      <c r="BC786" s="236">
        <v>231473.90161458333</v>
      </c>
      <c r="BD786" s="236">
        <v>231473.90161458333</v>
      </c>
      <c r="BE786" s="236">
        <v>231473.90161458333</v>
      </c>
      <c r="BF786" s="236">
        <v>232108.07668749997</v>
      </c>
      <c r="BG786" s="236">
        <v>231473.90161458333</v>
      </c>
      <c r="BH786" s="236">
        <v>231473.90161458333</v>
      </c>
      <c r="BI786" s="236">
        <v>231473.90161458333</v>
      </c>
      <c r="BJ786" s="236">
        <v>232108.07668749997</v>
      </c>
      <c r="BK786" s="236">
        <v>116688.21341666665</v>
      </c>
    </row>
    <row r="787" spans="1:63">
      <c r="A787" s="169"/>
      <c r="B787" s="307" t="s">
        <v>29</v>
      </c>
      <c r="C787" s="313"/>
      <c r="D787" s="314"/>
      <c r="E787" s="314"/>
      <c r="F787" s="314"/>
      <c r="G787" s="314"/>
      <c r="H787" s="314"/>
      <c r="I787" s="314"/>
      <c r="J787" s="314"/>
      <c r="K787" s="314"/>
      <c r="L787" s="314"/>
      <c r="M787" s="314"/>
      <c r="N787" s="314"/>
      <c r="O787" s="314"/>
      <c r="P787" s="314"/>
      <c r="Q787" s="314"/>
      <c r="R787" s="314"/>
      <c r="S787" s="311"/>
      <c r="T787" s="311"/>
      <c r="U787" s="311"/>
      <c r="V787" s="311"/>
      <c r="W787" s="311"/>
      <c r="X787" s="311">
        <f t="shared" ref="X787:BK787" si="160">X785+X786</f>
        <v>4287527.522599658</v>
      </c>
      <c r="Y787" s="311">
        <f t="shared" si="160"/>
        <v>23915154.421193153</v>
      </c>
      <c r="Z787" s="311">
        <f t="shared" si="160"/>
        <v>40823690.686403044</v>
      </c>
      <c r="AA787" s="311">
        <f t="shared" si="160"/>
        <v>32745497.983793821</v>
      </c>
      <c r="AB787" s="311">
        <f t="shared" si="160"/>
        <v>31182633.511517495</v>
      </c>
      <c r="AC787" s="311">
        <f t="shared" si="160"/>
        <v>31311458.042840652</v>
      </c>
      <c r="AD787" s="311">
        <f t="shared" si="160"/>
        <v>21059586.368826561</v>
      </c>
      <c r="AE787" s="311">
        <f t="shared" si="160"/>
        <v>28554532.242917009</v>
      </c>
      <c r="AF787" s="311">
        <f t="shared" si="160"/>
        <v>24893538.579260837</v>
      </c>
      <c r="AG787" s="311">
        <f t="shared" si="160"/>
        <v>29835661.444387026</v>
      </c>
      <c r="AH787" s="311">
        <f t="shared" si="160"/>
        <v>24480769.722825371</v>
      </c>
      <c r="AI787" s="311">
        <f t="shared" si="160"/>
        <v>16498829.273834465</v>
      </c>
      <c r="AJ787" s="311">
        <f t="shared" si="160"/>
        <v>13344166.201463137</v>
      </c>
      <c r="AK787" s="311">
        <f t="shared" si="160"/>
        <v>12855374.010684211</v>
      </c>
      <c r="AL787" s="311">
        <f t="shared" si="160"/>
        <v>15320526.415459344</v>
      </c>
      <c r="AM787" s="311">
        <f t="shared" si="160"/>
        <v>17208354.954894193</v>
      </c>
      <c r="AN787" s="311">
        <f t="shared" si="160"/>
        <v>7175834.5731083918</v>
      </c>
      <c r="AO787" s="311">
        <f t="shared" si="160"/>
        <v>8478642.0826850738</v>
      </c>
      <c r="AP787" s="311">
        <f t="shared" si="160"/>
        <v>8964940.5046541579</v>
      </c>
      <c r="AQ787" s="311">
        <f t="shared" si="160"/>
        <v>15581725.353266973</v>
      </c>
      <c r="AR787" s="311">
        <f t="shared" si="160"/>
        <v>7731399.3698370988</v>
      </c>
      <c r="AS787" s="311">
        <f t="shared" si="160"/>
        <v>2994967.3293001545</v>
      </c>
      <c r="AT787" s="311">
        <f t="shared" si="160"/>
        <v>13998372.906667553</v>
      </c>
      <c r="AU787" s="311">
        <f t="shared" si="160"/>
        <v>22221898.577509552</v>
      </c>
      <c r="AV787" s="311">
        <f t="shared" si="160"/>
        <v>1314418.296861819</v>
      </c>
      <c r="AW787" s="311">
        <f t="shared" si="160"/>
        <v>1287937.3533355836</v>
      </c>
      <c r="AX787" s="311">
        <f t="shared" si="160"/>
        <v>1289658.3111757862</v>
      </c>
      <c r="AY787" s="311">
        <f t="shared" si="160"/>
        <v>13637416.385454481</v>
      </c>
      <c r="AZ787" s="311">
        <f t="shared" si="160"/>
        <v>578088.23673222167</v>
      </c>
      <c r="BA787" s="311">
        <f t="shared" si="160"/>
        <v>7170568.7667708332</v>
      </c>
      <c r="BB787" s="311">
        <f t="shared" si="160"/>
        <v>232108.07668749997</v>
      </c>
      <c r="BC787" s="311">
        <f t="shared" si="160"/>
        <v>231473.90161458333</v>
      </c>
      <c r="BD787" s="311">
        <f t="shared" si="160"/>
        <v>231473.90161458333</v>
      </c>
      <c r="BE787" s="311">
        <f t="shared" si="160"/>
        <v>231473.90161458333</v>
      </c>
      <c r="BF787" s="311">
        <f t="shared" si="160"/>
        <v>232108.07668749997</v>
      </c>
      <c r="BG787" s="311">
        <f t="shared" si="160"/>
        <v>231473.90161458333</v>
      </c>
      <c r="BH787" s="311">
        <f t="shared" si="160"/>
        <v>231473.90161458333</v>
      </c>
      <c r="BI787" s="311">
        <f t="shared" si="160"/>
        <v>231473.90161458333</v>
      </c>
      <c r="BJ787" s="311">
        <f t="shared" si="160"/>
        <v>232108.07668749997</v>
      </c>
      <c r="BK787" s="311">
        <f t="shared" si="160"/>
        <v>6008379.2134166667</v>
      </c>
    </row>
    <row r="788" spans="1:63">
      <c r="A788" s="167"/>
      <c r="B788" s="210" t="s">
        <v>28</v>
      </c>
      <c r="C788" s="211"/>
      <c r="D788" s="212"/>
      <c r="E788" s="212"/>
      <c r="F788" s="212"/>
      <c r="G788" s="212"/>
      <c r="H788" s="212"/>
      <c r="I788" s="212"/>
      <c r="J788" s="212"/>
      <c r="K788" s="212"/>
      <c r="L788" s="212"/>
      <c r="M788" s="212"/>
      <c r="N788" s="212"/>
      <c r="O788" s="212"/>
      <c r="P788" s="212"/>
      <c r="Q788" s="212"/>
      <c r="R788" s="212"/>
      <c r="S788" s="235"/>
      <c r="T788" s="235"/>
      <c r="U788" s="235"/>
      <c r="V788" s="235"/>
      <c r="W788" s="236"/>
      <c r="X788" s="236">
        <v>1132364.7181653234</v>
      </c>
      <c r="Y788" s="236">
        <v>11583663.874711312</v>
      </c>
      <c r="Z788" s="236">
        <v>30364264.057739507</v>
      </c>
      <c r="AA788" s="236">
        <v>23012027.187420275</v>
      </c>
      <c r="AB788" s="236">
        <v>22241351.562821694</v>
      </c>
      <c r="AC788" s="236">
        <v>23056145.039153401</v>
      </c>
      <c r="AD788" s="236">
        <v>13064868.353305981</v>
      </c>
      <c r="AE788" s="236">
        <v>21669662.382447958</v>
      </c>
      <c r="AF788" s="236">
        <v>18436672.771145668</v>
      </c>
      <c r="AG788" s="236">
        <v>24327501.468999408</v>
      </c>
      <c r="AH788" s="236">
        <v>19340171.118634343</v>
      </c>
      <c r="AI788" s="236">
        <v>11376651.701007765</v>
      </c>
      <c r="AJ788" s="236">
        <v>8338071.6448549582</v>
      </c>
      <c r="AK788" s="236">
        <v>8104983.7464708183</v>
      </c>
      <c r="AL788" s="236">
        <v>10911246.139161678</v>
      </c>
      <c r="AM788" s="236">
        <v>13108644.504436141</v>
      </c>
      <c r="AN788" s="236">
        <v>3199362.0182241248</v>
      </c>
      <c r="AO788" s="236">
        <v>4690857.7601288874</v>
      </c>
      <c r="AP788" s="236">
        <v>5408255.1338909436</v>
      </c>
      <c r="AQ788" s="236">
        <v>12933887.066987814</v>
      </c>
      <c r="AR788" s="236">
        <v>5079385.77038169</v>
      </c>
      <c r="AS788" s="236">
        <v>149206.74125256843</v>
      </c>
      <c r="AT788" s="236">
        <v>12188107.776249811</v>
      </c>
      <c r="AU788" s="236">
        <v>21819645.198178809</v>
      </c>
      <c r="AV788" s="236">
        <v>131054.55565444048</v>
      </c>
      <c r="AW788" s="236">
        <v>105003.63673552158</v>
      </c>
      <c r="AX788" s="236">
        <v>105003.63673552158</v>
      </c>
      <c r="AY788" s="236">
        <v>13599379.636735523</v>
      </c>
      <c r="AZ788" s="236">
        <v>66244.706821760992</v>
      </c>
      <c r="BA788" s="236">
        <v>7229130</v>
      </c>
      <c r="BB788" s="236">
        <v>0</v>
      </c>
      <c r="BC788" s="236">
        <v>0</v>
      </c>
      <c r="BD788" s="236">
        <v>0</v>
      </c>
      <c r="BE788" s="236">
        <v>0</v>
      </c>
      <c r="BF788" s="236">
        <v>0</v>
      </c>
      <c r="BG788" s="236">
        <v>0</v>
      </c>
      <c r="BH788" s="236">
        <v>0</v>
      </c>
      <c r="BI788" s="236">
        <v>0</v>
      </c>
      <c r="BJ788" s="236">
        <v>0</v>
      </c>
      <c r="BK788" s="236">
        <v>6265246</v>
      </c>
    </row>
    <row r="789" spans="1:63">
      <c r="A789" s="168">
        <v>44865</v>
      </c>
      <c r="B789" s="213" t="s">
        <v>385</v>
      </c>
      <c r="C789" s="214"/>
      <c r="D789" s="215"/>
      <c r="E789" s="215"/>
      <c r="F789" s="215"/>
      <c r="G789" s="215"/>
      <c r="H789" s="215"/>
      <c r="I789" s="215"/>
      <c r="J789" s="215"/>
      <c r="K789" s="215"/>
      <c r="L789" s="215"/>
      <c r="M789" s="215"/>
      <c r="N789" s="215"/>
      <c r="O789" s="215"/>
      <c r="P789" s="215"/>
      <c r="Q789" s="215"/>
      <c r="R789" s="216"/>
      <c r="S789" s="236"/>
      <c r="T789" s="236"/>
      <c r="U789" s="236"/>
      <c r="V789" s="236"/>
      <c r="W789" s="236"/>
      <c r="X789" s="236">
        <v>1919124.8197978681</v>
      </c>
      <c r="Y789" s="236">
        <v>14011801.018551961</v>
      </c>
      <c r="Z789" s="236">
        <v>13270229.333875442</v>
      </c>
      <c r="AA789" s="236">
        <v>11852978.242564427</v>
      </c>
      <c r="AB789" s="236">
        <v>10946316.914508143</v>
      </c>
      <c r="AC789" s="236">
        <v>10087241.884680411</v>
      </c>
      <c r="AD789" s="236">
        <v>9311829.7588874642</v>
      </c>
      <c r="AE789" s="236">
        <v>8671629.8287456427</v>
      </c>
      <c r="AF789" s="236">
        <v>8025649.850798171</v>
      </c>
      <c r="AG789" s="236">
        <v>7382859.8225653265</v>
      </c>
      <c r="AH789" s="236">
        <v>6682810.3745119944</v>
      </c>
      <c r="AI789" s="236">
        <v>6163931.9358929647</v>
      </c>
      <c r="AJ789" s="236">
        <v>5858564.4856930329</v>
      </c>
      <c r="AK789" s="236">
        <v>5596925.1765426304</v>
      </c>
      <c r="AL789" s="236">
        <v>5436544.2031469857</v>
      </c>
      <c r="AM789" s="236">
        <v>5195335.1249591615</v>
      </c>
      <c r="AN789" s="236">
        <v>4432899.1038885973</v>
      </c>
      <c r="AO789" s="236">
        <v>4325731.9597157286</v>
      </c>
      <c r="AP789" s="236">
        <v>4126724.7082204693</v>
      </c>
      <c r="AQ789" s="236">
        <v>3638020.5505783237</v>
      </c>
      <c r="AR789" s="236">
        <v>3143928.1114196447</v>
      </c>
      <c r="AS789" s="236">
        <v>3037261.3702829974</v>
      </c>
      <c r="AT789" s="236">
        <v>2699046.5695533417</v>
      </c>
      <c r="AU789" s="236">
        <v>1812090.0327380386</v>
      </c>
      <c r="AV789" s="236">
        <v>1267572.7825429351</v>
      </c>
      <c r="AW789" s="236">
        <v>1265450.6038531903</v>
      </c>
      <c r="AX789" s="236">
        <v>1267267.5124631939</v>
      </c>
      <c r="AY789" s="236">
        <v>903529.95289110986</v>
      </c>
      <c r="AZ789" s="236">
        <v>548999.34248546371</v>
      </c>
      <c r="BA789" s="236">
        <v>396079.34715277777</v>
      </c>
      <c r="BB789" s="236">
        <v>246824.58720833331</v>
      </c>
      <c r="BC789" s="236">
        <v>246150.20309027779</v>
      </c>
      <c r="BD789" s="236">
        <v>246150.20309027779</v>
      </c>
      <c r="BE789" s="236">
        <v>246150.20309027779</v>
      </c>
      <c r="BF789" s="236">
        <v>246824.58720833331</v>
      </c>
      <c r="BG789" s="236">
        <v>246150.20309027779</v>
      </c>
      <c r="BH789" s="236">
        <v>246150.20309027779</v>
      </c>
      <c r="BI789" s="236">
        <v>246150.20309027779</v>
      </c>
      <c r="BJ789" s="236">
        <v>246824.58720833331</v>
      </c>
      <c r="BK789" s="236">
        <v>124086.67772222222</v>
      </c>
    </row>
    <row r="790" spans="1:63">
      <c r="A790" s="169"/>
      <c r="B790" s="307" t="s">
        <v>29</v>
      </c>
      <c r="C790" s="313"/>
      <c r="D790" s="314"/>
      <c r="E790" s="314"/>
      <c r="F790" s="314"/>
      <c r="G790" s="314"/>
      <c r="H790" s="314"/>
      <c r="I790" s="314"/>
      <c r="J790" s="314"/>
      <c r="K790" s="314"/>
      <c r="L790" s="314"/>
      <c r="M790" s="314"/>
      <c r="N790" s="314"/>
      <c r="O790" s="314"/>
      <c r="P790" s="314"/>
      <c r="Q790" s="314"/>
      <c r="R790" s="314"/>
      <c r="S790" s="311"/>
      <c r="T790" s="311"/>
      <c r="U790" s="311"/>
      <c r="V790" s="311"/>
      <c r="W790" s="311"/>
      <c r="X790" s="311">
        <f t="shared" ref="X790:BK790" si="161">X788+X789</f>
        <v>3051489.5379631915</v>
      </c>
      <c r="Y790" s="311">
        <f t="shared" si="161"/>
        <v>25595464.893263273</v>
      </c>
      <c r="Z790" s="311">
        <f t="shared" si="161"/>
        <v>43634493.391614951</v>
      </c>
      <c r="AA790" s="311">
        <f t="shared" si="161"/>
        <v>34865005.429984704</v>
      </c>
      <c r="AB790" s="311">
        <f t="shared" si="161"/>
        <v>33187668.477329835</v>
      </c>
      <c r="AC790" s="311">
        <f t="shared" si="161"/>
        <v>33143386.92383381</v>
      </c>
      <c r="AD790" s="311">
        <f t="shared" si="161"/>
        <v>22376698.112193443</v>
      </c>
      <c r="AE790" s="311">
        <f t="shared" si="161"/>
        <v>30341292.211193599</v>
      </c>
      <c r="AF790" s="311">
        <f t="shared" si="161"/>
        <v>26462322.621943839</v>
      </c>
      <c r="AG790" s="311">
        <f t="shared" si="161"/>
        <v>31710361.291564733</v>
      </c>
      <c r="AH790" s="311">
        <f t="shared" si="161"/>
        <v>26022981.493146338</v>
      </c>
      <c r="AI790" s="311">
        <f t="shared" si="161"/>
        <v>17540583.63690073</v>
      </c>
      <c r="AJ790" s="311">
        <f t="shared" si="161"/>
        <v>14196636.130547991</v>
      </c>
      <c r="AK790" s="311">
        <f t="shared" si="161"/>
        <v>13701908.923013449</v>
      </c>
      <c r="AL790" s="311">
        <f t="shared" si="161"/>
        <v>16347790.342308663</v>
      </c>
      <c r="AM790" s="311">
        <f t="shared" si="161"/>
        <v>18303979.629395302</v>
      </c>
      <c r="AN790" s="311">
        <f t="shared" si="161"/>
        <v>7632261.1221127221</v>
      </c>
      <c r="AO790" s="311">
        <f t="shared" si="161"/>
        <v>9016589.7198446169</v>
      </c>
      <c r="AP790" s="311">
        <f t="shared" si="161"/>
        <v>9534979.8421114124</v>
      </c>
      <c r="AQ790" s="311">
        <f t="shared" si="161"/>
        <v>16571907.617566139</v>
      </c>
      <c r="AR790" s="311">
        <f t="shared" si="161"/>
        <v>8223313.8818013351</v>
      </c>
      <c r="AS790" s="311">
        <f t="shared" si="161"/>
        <v>3186468.1115355659</v>
      </c>
      <c r="AT790" s="311">
        <f t="shared" si="161"/>
        <v>14887154.345803153</v>
      </c>
      <c r="AU790" s="311">
        <f t="shared" si="161"/>
        <v>23631735.230916847</v>
      </c>
      <c r="AV790" s="311">
        <f t="shared" si="161"/>
        <v>1398627.3381973756</v>
      </c>
      <c r="AW790" s="311">
        <f t="shared" si="161"/>
        <v>1370454.2405887118</v>
      </c>
      <c r="AX790" s="311">
        <f t="shared" si="161"/>
        <v>1372271.1491987153</v>
      </c>
      <c r="AY790" s="311">
        <f t="shared" si="161"/>
        <v>14502909.589626633</v>
      </c>
      <c r="AZ790" s="311">
        <f t="shared" si="161"/>
        <v>615244.04930722469</v>
      </c>
      <c r="BA790" s="311">
        <f t="shared" si="161"/>
        <v>7625209.3471527779</v>
      </c>
      <c r="BB790" s="311">
        <f t="shared" si="161"/>
        <v>246824.58720833331</v>
      </c>
      <c r="BC790" s="311">
        <f t="shared" si="161"/>
        <v>246150.20309027779</v>
      </c>
      <c r="BD790" s="311">
        <f t="shared" si="161"/>
        <v>246150.20309027779</v>
      </c>
      <c r="BE790" s="311">
        <f t="shared" si="161"/>
        <v>246150.20309027779</v>
      </c>
      <c r="BF790" s="311">
        <f t="shared" si="161"/>
        <v>246824.58720833331</v>
      </c>
      <c r="BG790" s="311">
        <f t="shared" si="161"/>
        <v>246150.20309027779</v>
      </c>
      <c r="BH790" s="311">
        <f t="shared" si="161"/>
        <v>246150.20309027779</v>
      </c>
      <c r="BI790" s="311">
        <f t="shared" si="161"/>
        <v>246150.20309027779</v>
      </c>
      <c r="BJ790" s="311">
        <f t="shared" si="161"/>
        <v>246824.58720833331</v>
      </c>
      <c r="BK790" s="311">
        <f t="shared" si="161"/>
        <v>6389332.6777222222</v>
      </c>
    </row>
    <row r="791" spans="1:63">
      <c r="A791" s="167"/>
      <c r="B791" s="210" t="s">
        <v>28</v>
      </c>
      <c r="C791" s="211"/>
      <c r="D791" s="212"/>
      <c r="E791" s="212"/>
      <c r="F791" s="212"/>
      <c r="G791" s="212"/>
      <c r="H791" s="212"/>
      <c r="I791" s="212"/>
      <c r="J791" s="212"/>
      <c r="K791" s="212"/>
      <c r="L791" s="212"/>
      <c r="M791" s="212"/>
      <c r="N791" s="212"/>
      <c r="O791" s="212"/>
      <c r="P791" s="212"/>
      <c r="Q791" s="212"/>
      <c r="R791" s="212"/>
      <c r="S791" s="235"/>
      <c r="T791" s="235"/>
      <c r="U791" s="235"/>
      <c r="V791" s="235"/>
      <c r="W791" s="236"/>
      <c r="X791" s="236">
        <v>364062.01578422316</v>
      </c>
      <c r="Y791" s="236">
        <v>11628982.995285904</v>
      </c>
      <c r="Z791" s="236">
        <v>30630056.946885847</v>
      </c>
      <c r="AA791" s="236">
        <v>23344658.782523979</v>
      </c>
      <c r="AB791" s="236">
        <v>22660829.541228171</v>
      </c>
      <c r="AC791" s="236">
        <v>23157031.753280211</v>
      </c>
      <c r="AD791" s="236">
        <v>13182287.97666264</v>
      </c>
      <c r="AE791" s="236">
        <v>21757390.943103865</v>
      </c>
      <c r="AF791" s="236">
        <v>18532863.567013189</v>
      </c>
      <c r="AG791" s="236">
        <v>24404593.338050876</v>
      </c>
      <c r="AH791" s="236">
        <v>19416380.521663461</v>
      </c>
      <c r="AI791" s="236">
        <v>11466260.427852787</v>
      </c>
      <c r="AJ791" s="236">
        <v>8436541.4637465235</v>
      </c>
      <c r="AK791" s="236">
        <v>8352470.211622796</v>
      </c>
      <c r="AL791" s="236">
        <v>11304375.922017273</v>
      </c>
      <c r="AM791" s="236">
        <v>13186916.223365471</v>
      </c>
      <c r="AN791" s="236">
        <v>3291724.3867378347</v>
      </c>
      <c r="AO791" s="236">
        <v>4780153.2195949778</v>
      </c>
      <c r="AP791" s="236">
        <v>5555310.8047207696</v>
      </c>
      <c r="AQ791" s="236">
        <v>12999744.780598886</v>
      </c>
      <c r="AR791" s="236">
        <v>5073948.7761328407</v>
      </c>
      <c r="AS791" s="236">
        <v>153907.49681151062</v>
      </c>
      <c r="AT791" s="236">
        <v>12168053.372628435</v>
      </c>
      <c r="AU791" s="236">
        <v>21779785.810586058</v>
      </c>
      <c r="AV791" s="236">
        <v>135792.63689972617</v>
      </c>
      <c r="AW791" s="236">
        <v>109795.28554837484</v>
      </c>
      <c r="AX791" s="236">
        <v>109795.28554837484</v>
      </c>
      <c r="AY791" s="236">
        <v>13576423.285548376</v>
      </c>
      <c r="AZ791" s="236">
        <v>69182.491302689756</v>
      </c>
      <c r="BA791" s="236">
        <v>7214265</v>
      </c>
      <c r="BB791" s="236">
        <v>0</v>
      </c>
      <c r="BC791" s="236">
        <v>0</v>
      </c>
      <c r="BD791" s="236">
        <v>0</v>
      </c>
      <c r="BE791" s="236">
        <v>0</v>
      </c>
      <c r="BF791" s="236">
        <v>0</v>
      </c>
      <c r="BG791" s="236">
        <v>0</v>
      </c>
      <c r="BH791" s="236">
        <v>0</v>
      </c>
      <c r="BI791" s="236">
        <v>0</v>
      </c>
      <c r="BJ791" s="236">
        <v>0</v>
      </c>
      <c r="BK791" s="236">
        <v>6252363</v>
      </c>
    </row>
    <row r="792" spans="1:63">
      <c r="A792" s="168">
        <v>44895</v>
      </c>
      <c r="B792" s="213" t="s">
        <v>385</v>
      </c>
      <c r="C792" s="214"/>
      <c r="D792" s="215"/>
      <c r="E792" s="215"/>
      <c r="F792" s="215"/>
      <c r="G792" s="215"/>
      <c r="H792" s="215"/>
      <c r="I792" s="215"/>
      <c r="J792" s="215"/>
      <c r="K792" s="215"/>
      <c r="L792" s="215"/>
      <c r="M792" s="215"/>
      <c r="N792" s="215"/>
      <c r="O792" s="215"/>
      <c r="P792" s="215"/>
      <c r="Q792" s="215"/>
      <c r="R792" s="216"/>
      <c r="S792" s="236"/>
      <c r="T792" s="236"/>
      <c r="U792" s="236"/>
      <c r="V792" s="236"/>
      <c r="W792" s="236"/>
      <c r="X792" s="236">
        <v>904008.31028811191</v>
      </c>
      <c r="Y792" s="236">
        <v>14366653.589244079</v>
      </c>
      <c r="Z792" s="236">
        <v>13653689.482299546</v>
      </c>
      <c r="AA792" s="236">
        <v>12053042.43960396</v>
      </c>
      <c r="AB792" s="236">
        <v>11089197.372810921</v>
      </c>
      <c r="AC792" s="236">
        <v>10206829.339802997</v>
      </c>
      <c r="AD792" s="236">
        <v>9423456.1051256806</v>
      </c>
      <c r="AE792" s="236">
        <v>8765164.7156625073</v>
      </c>
      <c r="AF792" s="236">
        <v>8135536.2960292567</v>
      </c>
      <c r="AG792" s="236">
        <v>7493470.879516446</v>
      </c>
      <c r="AH792" s="236">
        <v>6786527.5948468866</v>
      </c>
      <c r="AI792" s="236">
        <v>6264672.0362514304</v>
      </c>
      <c r="AJ792" s="236">
        <v>5952917.1740488671</v>
      </c>
      <c r="AK792" s="236">
        <v>5675834.4061862277</v>
      </c>
      <c r="AL792" s="236">
        <v>5499878.7121354202</v>
      </c>
      <c r="AM792" s="236">
        <v>5242263.3977440437</v>
      </c>
      <c r="AN792" s="236">
        <v>4470307.177207578</v>
      </c>
      <c r="AO792" s="236">
        <v>4352022.7153278282</v>
      </c>
      <c r="AP792" s="236">
        <v>4140019.1243997323</v>
      </c>
      <c r="AQ792" s="236">
        <v>3639275.9238355453</v>
      </c>
      <c r="AR792" s="236">
        <v>3138556.1913035358</v>
      </c>
      <c r="AS792" s="236">
        <v>3031599.4145551505</v>
      </c>
      <c r="AT792" s="236">
        <v>2694003.8953232057</v>
      </c>
      <c r="AU792" s="236">
        <v>1808795.1378279035</v>
      </c>
      <c r="AV792" s="236">
        <v>1265320.3265540465</v>
      </c>
      <c r="AW792" s="236">
        <v>1263121.3890869792</v>
      </c>
      <c r="AX792" s="236">
        <v>1264853.4391161276</v>
      </c>
      <c r="AY792" s="236">
        <v>901782.69746776496</v>
      </c>
      <c r="AZ792" s="236">
        <v>547895.35429286445</v>
      </c>
      <c r="BA792" s="236">
        <v>395264.9034375</v>
      </c>
      <c r="BB792" s="236">
        <v>246317.05068749998</v>
      </c>
      <c r="BC792" s="236">
        <v>245644.05328125</v>
      </c>
      <c r="BD792" s="236">
        <v>245644.05328125</v>
      </c>
      <c r="BE792" s="236">
        <v>245644.05328125</v>
      </c>
      <c r="BF792" s="236">
        <v>246317.05068749998</v>
      </c>
      <c r="BG792" s="236">
        <v>245644.05328125</v>
      </c>
      <c r="BH792" s="236">
        <v>245644.05328125</v>
      </c>
      <c r="BI792" s="236">
        <v>245644.05328125</v>
      </c>
      <c r="BJ792" s="236">
        <v>246317.05068749998</v>
      </c>
      <c r="BK792" s="236">
        <v>123831.52274999999</v>
      </c>
    </row>
    <row r="793" spans="1:63">
      <c r="A793" s="169"/>
      <c r="B793" s="307" t="s">
        <v>29</v>
      </c>
      <c r="C793" s="313"/>
      <c r="D793" s="314"/>
      <c r="E793" s="314"/>
      <c r="F793" s="314"/>
      <c r="G793" s="314"/>
      <c r="H793" s="314"/>
      <c r="I793" s="314"/>
      <c r="J793" s="314"/>
      <c r="K793" s="314"/>
      <c r="L793" s="314"/>
      <c r="M793" s="314"/>
      <c r="N793" s="314"/>
      <c r="O793" s="314"/>
      <c r="P793" s="314"/>
      <c r="Q793" s="314"/>
      <c r="R793" s="314"/>
      <c r="S793" s="311"/>
      <c r="T793" s="311"/>
      <c r="U793" s="311"/>
      <c r="V793" s="311"/>
      <c r="W793" s="311"/>
      <c r="X793" s="311">
        <f t="shared" ref="X793:BK793" si="162">X791+X792</f>
        <v>1268070.326072335</v>
      </c>
      <c r="Y793" s="311">
        <f t="shared" si="162"/>
        <v>25995636.584529981</v>
      </c>
      <c r="Z793" s="311">
        <f t="shared" si="162"/>
        <v>44283746.42918539</v>
      </c>
      <c r="AA793" s="311">
        <f t="shared" si="162"/>
        <v>35397701.222127937</v>
      </c>
      <c r="AB793" s="311">
        <f t="shared" si="162"/>
        <v>33750026.91403909</v>
      </c>
      <c r="AC793" s="311">
        <f t="shared" si="162"/>
        <v>33363861.09308321</v>
      </c>
      <c r="AD793" s="311">
        <f t="shared" si="162"/>
        <v>22605744.08178832</v>
      </c>
      <c r="AE793" s="311">
        <f t="shared" si="162"/>
        <v>30522555.658766374</v>
      </c>
      <c r="AF793" s="311">
        <f t="shared" si="162"/>
        <v>26668399.863042444</v>
      </c>
      <c r="AG793" s="311">
        <f t="shared" si="162"/>
        <v>31898064.217567321</v>
      </c>
      <c r="AH793" s="311">
        <f t="shared" si="162"/>
        <v>26202908.116510347</v>
      </c>
      <c r="AI793" s="311">
        <f t="shared" si="162"/>
        <v>17730932.464104217</v>
      </c>
      <c r="AJ793" s="311">
        <f t="shared" si="162"/>
        <v>14389458.637795391</v>
      </c>
      <c r="AK793" s="311">
        <f t="shared" si="162"/>
        <v>14028304.617809024</v>
      </c>
      <c r="AL793" s="311">
        <f t="shared" si="162"/>
        <v>16804254.634152692</v>
      </c>
      <c r="AM793" s="311">
        <f t="shared" si="162"/>
        <v>18429179.621109515</v>
      </c>
      <c r="AN793" s="311">
        <f t="shared" si="162"/>
        <v>7762031.5639454126</v>
      </c>
      <c r="AO793" s="311">
        <f t="shared" si="162"/>
        <v>9132175.9349228069</v>
      </c>
      <c r="AP793" s="311">
        <f t="shared" si="162"/>
        <v>9695329.9291205015</v>
      </c>
      <c r="AQ793" s="311">
        <f t="shared" si="162"/>
        <v>16639020.704434432</v>
      </c>
      <c r="AR793" s="311">
        <f t="shared" si="162"/>
        <v>8212504.967436377</v>
      </c>
      <c r="AS793" s="311">
        <f t="shared" si="162"/>
        <v>3185506.9113666611</v>
      </c>
      <c r="AT793" s="311">
        <f t="shared" si="162"/>
        <v>14862057.267951641</v>
      </c>
      <c r="AU793" s="311">
        <f t="shared" si="162"/>
        <v>23588580.948413961</v>
      </c>
      <c r="AV793" s="311">
        <f t="shared" si="162"/>
        <v>1401112.9634537727</v>
      </c>
      <c r="AW793" s="311">
        <f t="shared" si="162"/>
        <v>1372916.674635354</v>
      </c>
      <c r="AX793" s="311">
        <f t="shared" si="162"/>
        <v>1374648.7246645023</v>
      </c>
      <c r="AY793" s="311">
        <f t="shared" si="162"/>
        <v>14478205.983016141</v>
      </c>
      <c r="AZ793" s="311">
        <f t="shared" si="162"/>
        <v>617077.84559555422</v>
      </c>
      <c r="BA793" s="311">
        <f t="shared" si="162"/>
        <v>7609529.9034374999</v>
      </c>
      <c r="BB793" s="311">
        <f t="shared" si="162"/>
        <v>246317.05068749998</v>
      </c>
      <c r="BC793" s="311">
        <f t="shared" si="162"/>
        <v>245644.05328125</v>
      </c>
      <c r="BD793" s="311">
        <f t="shared" si="162"/>
        <v>245644.05328125</v>
      </c>
      <c r="BE793" s="311">
        <f t="shared" si="162"/>
        <v>245644.05328125</v>
      </c>
      <c r="BF793" s="311">
        <f t="shared" si="162"/>
        <v>246317.05068749998</v>
      </c>
      <c r="BG793" s="311">
        <f t="shared" si="162"/>
        <v>245644.05328125</v>
      </c>
      <c r="BH793" s="311">
        <f t="shared" si="162"/>
        <v>245644.05328125</v>
      </c>
      <c r="BI793" s="311">
        <f t="shared" si="162"/>
        <v>245644.05328125</v>
      </c>
      <c r="BJ793" s="311">
        <f t="shared" si="162"/>
        <v>246317.05068749998</v>
      </c>
      <c r="BK793" s="311">
        <f t="shared" si="162"/>
        <v>6376194.5227499995</v>
      </c>
    </row>
    <row r="794" spans="1:63">
      <c r="A794" s="167"/>
      <c r="B794" s="210" t="s">
        <v>28</v>
      </c>
      <c r="C794" s="211"/>
      <c r="D794" s="212"/>
      <c r="E794" s="212"/>
      <c r="F794" s="212"/>
      <c r="G794" s="212"/>
      <c r="H794" s="212"/>
      <c r="I794" s="212"/>
      <c r="J794" s="212"/>
      <c r="K794" s="212"/>
      <c r="L794" s="212"/>
      <c r="M794" s="212"/>
      <c r="N794" s="212"/>
      <c r="O794" s="212"/>
      <c r="P794" s="212"/>
      <c r="Q794" s="212"/>
      <c r="R794" s="212"/>
      <c r="S794" s="235"/>
      <c r="T794" s="235"/>
      <c r="U794" s="235"/>
      <c r="V794" s="235"/>
      <c r="W794" s="236"/>
      <c r="X794" s="236"/>
      <c r="Y794" s="236">
        <v>10115332.020098608</v>
      </c>
      <c r="Z794" s="236">
        <v>27922323.477529392</v>
      </c>
      <c r="AA794" s="236">
        <v>23603221.414234396</v>
      </c>
      <c r="AB794" s="236">
        <v>23117833.430544104</v>
      </c>
      <c r="AC794" s="236">
        <v>23566433.135475658</v>
      </c>
      <c r="AD794" s="236">
        <v>13592956.314807311</v>
      </c>
      <c r="AE794" s="236">
        <v>22165678.159233745</v>
      </c>
      <c r="AF794" s="236">
        <v>18970492.984783493</v>
      </c>
      <c r="AG794" s="236">
        <v>24908937.535254553</v>
      </c>
      <c r="AH794" s="236">
        <v>19814577.926066302</v>
      </c>
      <c r="AI794" s="236">
        <v>19683577.814758923</v>
      </c>
      <c r="AJ794" s="236">
        <v>8830673.0194788147</v>
      </c>
      <c r="AK794" s="236">
        <v>8859999.3799019232</v>
      </c>
      <c r="AL794" s="236">
        <v>11884958.33170159</v>
      </c>
      <c r="AM794" s="236">
        <v>13580533.265809236</v>
      </c>
      <c r="AN794" s="236">
        <v>3599831.8673754218</v>
      </c>
      <c r="AO794" s="236">
        <v>5088474.238803993</v>
      </c>
      <c r="AP794" s="236">
        <v>5858665.4858496189</v>
      </c>
      <c r="AQ794" s="236">
        <v>13302166.099268284</v>
      </c>
      <c r="AR794" s="236">
        <v>5375136.8104670104</v>
      </c>
      <c r="AS794" s="236">
        <v>162862.40096458612</v>
      </c>
      <c r="AT794" s="236">
        <v>12177804.358494196</v>
      </c>
      <c r="AU794" s="236">
        <v>21789988.214098491</v>
      </c>
      <c r="AV794" s="236">
        <v>142352.96764422065</v>
      </c>
      <c r="AW794" s="236">
        <v>116351.88656313959</v>
      </c>
      <c r="AX794" s="236">
        <v>116351.88656313959</v>
      </c>
      <c r="AY794" s="236">
        <v>13583152.057294846</v>
      </c>
      <c r="AZ794" s="236">
        <v>71047.039589934226</v>
      </c>
      <c r="BA794" s="236">
        <v>7215300</v>
      </c>
      <c r="BB794" s="236">
        <v>0</v>
      </c>
      <c r="BC794" s="236">
        <v>0</v>
      </c>
      <c r="BD794" s="236">
        <v>0</v>
      </c>
      <c r="BE794" s="236">
        <v>0</v>
      </c>
      <c r="BF794" s="236">
        <v>0</v>
      </c>
      <c r="BG794" s="236">
        <v>0</v>
      </c>
      <c r="BH794" s="236">
        <v>0</v>
      </c>
      <c r="BI794" s="236">
        <v>0</v>
      </c>
      <c r="BJ794" s="236">
        <v>0</v>
      </c>
      <c r="BK794" s="236">
        <v>6253260</v>
      </c>
    </row>
    <row r="795" spans="1:63">
      <c r="A795" s="168">
        <v>44926</v>
      </c>
      <c r="B795" s="213" t="s">
        <v>385</v>
      </c>
      <c r="C795" s="214"/>
      <c r="D795" s="215"/>
      <c r="E795" s="215"/>
      <c r="F795" s="215"/>
      <c r="G795" s="215"/>
      <c r="H795" s="215"/>
      <c r="I795" s="215"/>
      <c r="J795" s="215"/>
      <c r="K795" s="215"/>
      <c r="L795" s="215"/>
      <c r="M795" s="215"/>
      <c r="N795" s="215"/>
      <c r="O795" s="215"/>
      <c r="P795" s="215"/>
      <c r="Q795" s="215"/>
      <c r="R795" s="216"/>
      <c r="S795" s="236"/>
      <c r="T795" s="236"/>
      <c r="U795" s="236"/>
      <c r="V795" s="236"/>
      <c r="W795" s="236"/>
      <c r="X795" s="236"/>
      <c r="Y795" s="236">
        <v>15182081.48211919</v>
      </c>
      <c r="Z795" s="236">
        <v>14694802.998737669</v>
      </c>
      <c r="AA795" s="236">
        <v>13223266.456521053</v>
      </c>
      <c r="AB795" s="236">
        <v>12171137.619390298</v>
      </c>
      <c r="AC795" s="236">
        <v>11274589.719525181</v>
      </c>
      <c r="AD795" s="236">
        <v>10474393.772869304</v>
      </c>
      <c r="AE795" s="236">
        <v>9789346.9342300333</v>
      </c>
      <c r="AF795" s="236">
        <v>9109993.0906597953</v>
      </c>
      <c r="AG795" s="236">
        <v>8440141.277231643</v>
      </c>
      <c r="AH795" s="236">
        <v>7701773.0594763719</v>
      </c>
      <c r="AI795" s="236">
        <v>6826676.6094501512</v>
      </c>
      <c r="AJ795" s="236">
        <v>6170929.2638222044</v>
      </c>
      <c r="AK795" s="236">
        <v>5862985.1468274919</v>
      </c>
      <c r="AL795" s="236">
        <v>5655073.8538922844</v>
      </c>
      <c r="AM795" s="236">
        <v>5367255.8141618948</v>
      </c>
      <c r="AN795" s="236">
        <v>4569234.5818861425</v>
      </c>
      <c r="AO795" s="236">
        <v>4428870.6781966593</v>
      </c>
      <c r="AP795" s="236">
        <v>4194786.7044558087</v>
      </c>
      <c r="AQ795" s="236">
        <v>3672424.2158594835</v>
      </c>
      <c r="AR795" s="236">
        <v>3153071.8005328313</v>
      </c>
      <c r="AS795" s="236">
        <v>3033947.1375844735</v>
      </c>
      <c r="AT795" s="236">
        <v>2695899.7461691485</v>
      </c>
      <c r="AU795" s="236">
        <v>1810242.8096331628</v>
      </c>
      <c r="AV795" s="236">
        <v>1266407.0004468225</v>
      </c>
      <c r="AW795" s="236">
        <v>1263945.8808068756</v>
      </c>
      <c r="AX795" s="236">
        <v>1265417.1936422726</v>
      </c>
      <c r="AY795" s="236">
        <v>902031.61464631546</v>
      </c>
      <c r="AZ795" s="236">
        <v>547988.98096147424</v>
      </c>
      <c r="BA795" s="236">
        <v>395321.6104166666</v>
      </c>
      <c r="BB795" s="236">
        <v>246352.38874999998</v>
      </c>
      <c r="BC795" s="236">
        <v>245679.29479166667</v>
      </c>
      <c r="BD795" s="236">
        <v>245679.29479166667</v>
      </c>
      <c r="BE795" s="236">
        <v>245679.29479166667</v>
      </c>
      <c r="BF795" s="236">
        <v>246352.38874999998</v>
      </c>
      <c r="BG795" s="236">
        <v>245679.29479166667</v>
      </c>
      <c r="BH795" s="236">
        <v>245679.29479166667</v>
      </c>
      <c r="BI795" s="236">
        <v>245679.29479166667</v>
      </c>
      <c r="BJ795" s="236">
        <v>246352.38874999998</v>
      </c>
      <c r="BK795" s="236">
        <v>123849.28833333332</v>
      </c>
    </row>
    <row r="796" spans="1:63">
      <c r="A796" s="169"/>
      <c r="B796" s="307" t="s">
        <v>29</v>
      </c>
      <c r="C796" s="313"/>
      <c r="D796" s="314"/>
      <c r="E796" s="314"/>
      <c r="F796" s="314"/>
      <c r="G796" s="314"/>
      <c r="H796" s="314"/>
      <c r="I796" s="314"/>
      <c r="J796" s="314"/>
      <c r="K796" s="314"/>
      <c r="L796" s="314"/>
      <c r="M796" s="314"/>
      <c r="N796" s="314"/>
      <c r="O796" s="314"/>
      <c r="P796" s="314"/>
      <c r="Q796" s="314"/>
      <c r="R796" s="314"/>
      <c r="S796" s="311"/>
      <c r="T796" s="311"/>
      <c r="U796" s="311"/>
      <c r="V796" s="311"/>
      <c r="W796" s="311"/>
      <c r="X796" s="311"/>
      <c r="Y796" s="311">
        <f t="shared" ref="Y796:BK796" si="163">Y794+Y795</f>
        <v>25297413.502217799</v>
      </c>
      <c r="Z796" s="311">
        <f t="shared" si="163"/>
        <v>42617126.476267062</v>
      </c>
      <c r="AA796" s="311">
        <f t="shared" si="163"/>
        <v>36826487.870755449</v>
      </c>
      <c r="AB796" s="311">
        <f t="shared" si="163"/>
        <v>35288971.049934402</v>
      </c>
      <c r="AC796" s="311">
        <f t="shared" si="163"/>
        <v>34841022.855000839</v>
      </c>
      <c r="AD796" s="311">
        <f t="shared" si="163"/>
        <v>24067350.087676615</v>
      </c>
      <c r="AE796" s="311">
        <f t="shared" si="163"/>
        <v>31955025.093463778</v>
      </c>
      <c r="AF796" s="311">
        <f t="shared" si="163"/>
        <v>28080486.07544329</v>
      </c>
      <c r="AG796" s="311">
        <f t="shared" si="163"/>
        <v>33349078.812486194</v>
      </c>
      <c r="AH796" s="311">
        <f t="shared" si="163"/>
        <v>27516350.985542674</v>
      </c>
      <c r="AI796" s="311">
        <f t="shared" si="163"/>
        <v>26510254.424209073</v>
      </c>
      <c r="AJ796" s="311">
        <f t="shared" si="163"/>
        <v>15001602.283301018</v>
      </c>
      <c r="AK796" s="311">
        <f t="shared" si="163"/>
        <v>14722984.526729416</v>
      </c>
      <c r="AL796" s="311">
        <f t="shared" si="163"/>
        <v>17540032.185593873</v>
      </c>
      <c r="AM796" s="311">
        <f t="shared" si="163"/>
        <v>18947789.079971131</v>
      </c>
      <c r="AN796" s="311">
        <f t="shared" si="163"/>
        <v>8169066.4492615648</v>
      </c>
      <c r="AO796" s="311">
        <f t="shared" si="163"/>
        <v>9517344.9170006514</v>
      </c>
      <c r="AP796" s="311">
        <f t="shared" si="163"/>
        <v>10053452.190305427</v>
      </c>
      <c r="AQ796" s="311">
        <f t="shared" si="163"/>
        <v>16974590.315127768</v>
      </c>
      <c r="AR796" s="311">
        <f t="shared" si="163"/>
        <v>8528208.6109998412</v>
      </c>
      <c r="AS796" s="311">
        <f t="shared" si="163"/>
        <v>3196809.5385490595</v>
      </c>
      <c r="AT796" s="311">
        <f t="shared" si="163"/>
        <v>14873704.104663344</v>
      </c>
      <c r="AU796" s="311">
        <f t="shared" si="163"/>
        <v>23600231.023731653</v>
      </c>
      <c r="AV796" s="311">
        <f t="shared" si="163"/>
        <v>1408759.9680910432</v>
      </c>
      <c r="AW796" s="311">
        <f t="shared" si="163"/>
        <v>1380297.7673700151</v>
      </c>
      <c r="AX796" s="311">
        <f t="shared" si="163"/>
        <v>1381769.0802054121</v>
      </c>
      <c r="AY796" s="311">
        <f t="shared" si="163"/>
        <v>14485183.671941161</v>
      </c>
      <c r="AZ796" s="311">
        <f t="shared" si="163"/>
        <v>619036.02055140841</v>
      </c>
      <c r="BA796" s="311">
        <f t="shared" si="163"/>
        <v>7610621.6104166666</v>
      </c>
      <c r="BB796" s="311">
        <f t="shared" si="163"/>
        <v>246352.38874999998</v>
      </c>
      <c r="BC796" s="311">
        <f t="shared" si="163"/>
        <v>245679.29479166667</v>
      </c>
      <c r="BD796" s="311">
        <f t="shared" si="163"/>
        <v>245679.29479166667</v>
      </c>
      <c r="BE796" s="311">
        <f t="shared" si="163"/>
        <v>245679.29479166667</v>
      </c>
      <c r="BF796" s="311">
        <f t="shared" si="163"/>
        <v>246352.38874999998</v>
      </c>
      <c r="BG796" s="311">
        <f t="shared" si="163"/>
        <v>245679.29479166667</v>
      </c>
      <c r="BH796" s="311">
        <f t="shared" si="163"/>
        <v>245679.29479166667</v>
      </c>
      <c r="BI796" s="311">
        <f t="shared" si="163"/>
        <v>245679.29479166667</v>
      </c>
      <c r="BJ796" s="311">
        <f t="shared" si="163"/>
        <v>246352.38874999998</v>
      </c>
      <c r="BK796" s="311">
        <f t="shared" si="163"/>
        <v>6377109.2883333331</v>
      </c>
    </row>
    <row r="797" spans="1:63">
      <c r="A797" s="167"/>
      <c r="B797" s="210" t="s">
        <v>28</v>
      </c>
      <c r="C797" s="211"/>
      <c r="D797" s="212"/>
      <c r="E797" s="212"/>
      <c r="F797" s="212"/>
      <c r="G797" s="212"/>
      <c r="H797" s="212"/>
      <c r="I797" s="212"/>
      <c r="J797" s="212"/>
      <c r="K797" s="212"/>
      <c r="L797" s="212"/>
      <c r="M797" s="212"/>
      <c r="N797" s="212"/>
      <c r="O797" s="212"/>
      <c r="P797" s="212"/>
      <c r="Q797" s="212"/>
      <c r="R797" s="212"/>
      <c r="S797" s="235"/>
      <c r="T797" s="235"/>
      <c r="U797" s="235"/>
      <c r="V797" s="235"/>
      <c r="W797" s="236"/>
      <c r="X797" s="236"/>
      <c r="Y797" s="236">
        <v>9743937.5611225925</v>
      </c>
      <c r="Z797" s="236">
        <v>27069602.890135795</v>
      </c>
      <c r="AA797" s="236">
        <v>22915994.168423202</v>
      </c>
      <c r="AB797" s="236">
        <v>22416558.931684311</v>
      </c>
      <c r="AC797" s="236">
        <v>22801112.000930481</v>
      </c>
      <c r="AD797" s="236">
        <v>13125464.507698024</v>
      </c>
      <c r="AE797" s="236">
        <v>21376534.513146926</v>
      </c>
      <c r="AF797" s="236">
        <v>18298583.041439377</v>
      </c>
      <c r="AG797" s="236">
        <v>24030115.294763409</v>
      </c>
      <c r="AH797" s="236">
        <v>19106407.372518141</v>
      </c>
      <c r="AI797" s="236">
        <v>18976361.458762646</v>
      </c>
      <c r="AJ797" s="236">
        <v>8518375.7365677524</v>
      </c>
      <c r="AK797" s="236">
        <v>8603459.1682257093</v>
      </c>
      <c r="AL797" s="236">
        <v>11570342.859633105</v>
      </c>
      <c r="AM797" s="236">
        <v>13088817.058655402</v>
      </c>
      <c r="AN797" s="236">
        <v>3472679.3575434536</v>
      </c>
      <c r="AO797" s="236">
        <v>4906234.9670672631</v>
      </c>
      <c r="AP797" s="236">
        <v>5646339.2334651574</v>
      </c>
      <c r="AQ797" s="236">
        <v>12811768.674021401</v>
      </c>
      <c r="AR797" s="236">
        <v>5178076.7128586099</v>
      </c>
      <c r="AS797" s="236">
        <v>158680.94559381242</v>
      </c>
      <c r="AT797" s="236">
        <v>11729013.600300198</v>
      </c>
      <c r="AU797" s="236">
        <v>20985501.491849456</v>
      </c>
      <c r="AV797" s="236">
        <v>138930.45766678298</v>
      </c>
      <c r="AW797" s="236">
        <v>113891.53874786406</v>
      </c>
      <c r="AX797" s="236">
        <v>113891.53874786406</v>
      </c>
      <c r="AY797" s="236">
        <v>13082356.831430791</v>
      </c>
      <c r="AZ797" s="236">
        <v>69550.692555770525</v>
      </c>
      <c r="BA797" s="236">
        <v>6948300</v>
      </c>
      <c r="BB797" s="236">
        <v>0</v>
      </c>
      <c r="BC797" s="236">
        <v>0</v>
      </c>
      <c r="BD797" s="236">
        <v>0</v>
      </c>
      <c r="BE797" s="236">
        <v>0</v>
      </c>
      <c r="BF797" s="236">
        <v>0</v>
      </c>
      <c r="BG797" s="236">
        <v>0</v>
      </c>
      <c r="BH797" s="236">
        <v>0</v>
      </c>
      <c r="BI797" s="236">
        <v>0</v>
      </c>
      <c r="BJ797" s="236">
        <v>0</v>
      </c>
      <c r="BK797" s="236">
        <v>6021860</v>
      </c>
    </row>
    <row r="798" spans="1:63">
      <c r="A798" s="168">
        <v>44957</v>
      </c>
      <c r="B798" s="213" t="s">
        <v>385</v>
      </c>
      <c r="C798" s="214"/>
      <c r="D798" s="215"/>
      <c r="E798" s="215"/>
      <c r="F798" s="215"/>
      <c r="G798" s="215"/>
      <c r="H798" s="215"/>
      <c r="I798" s="215"/>
      <c r="J798" s="215"/>
      <c r="K798" s="215"/>
      <c r="L798" s="215"/>
      <c r="M798" s="215"/>
      <c r="N798" s="215"/>
      <c r="O798" s="215"/>
      <c r="P798" s="215"/>
      <c r="Q798" s="215"/>
      <c r="R798" s="216"/>
      <c r="S798" s="236"/>
      <c r="T798" s="236"/>
      <c r="U798" s="236"/>
      <c r="V798" s="236"/>
      <c r="W798" s="236"/>
      <c r="X798" s="236"/>
      <c r="Y798" s="236">
        <v>13071803.041416448</v>
      </c>
      <c r="Z798" s="236">
        <v>14279115.963385962</v>
      </c>
      <c r="AA798" s="236">
        <v>12774792.467568187</v>
      </c>
      <c r="AB798" s="236">
        <v>11670685.201443382</v>
      </c>
      <c r="AC798" s="236">
        <v>10822512.974309992</v>
      </c>
      <c r="AD798" s="236">
        <v>10046139.983644713</v>
      </c>
      <c r="AE798" s="236">
        <v>9391878.5279383752</v>
      </c>
      <c r="AF798" s="236">
        <v>8737546.3606582321</v>
      </c>
      <c r="AG798" s="236">
        <v>8107959.8201815095</v>
      </c>
      <c r="AH798" s="236">
        <v>7401327.4177109916</v>
      </c>
      <c r="AI798" s="236">
        <v>6560767.6613486726</v>
      </c>
      <c r="AJ798" s="236">
        <v>5935317.5695861708</v>
      </c>
      <c r="AK798" s="236">
        <v>5640805.6877136948</v>
      </c>
      <c r="AL798" s="236">
        <v>5441747.0965700429</v>
      </c>
      <c r="AM798" s="236">
        <v>5164297.7925062645</v>
      </c>
      <c r="AN798" s="236">
        <v>4396709.3422608711</v>
      </c>
      <c r="AO798" s="236">
        <v>4263052.5762095777</v>
      </c>
      <c r="AP798" s="236">
        <v>4038679.4674349781</v>
      </c>
      <c r="AQ798" s="236">
        <v>3536566.2402037606</v>
      </c>
      <c r="AR798" s="236">
        <v>3036611.5693992185</v>
      </c>
      <c r="AS798" s="236">
        <v>2921875.1448851842</v>
      </c>
      <c r="AT798" s="236">
        <v>2596317.3979649539</v>
      </c>
      <c r="AU798" s="236">
        <v>1743410.9832216522</v>
      </c>
      <c r="AV798" s="236">
        <v>1219674.438569722</v>
      </c>
      <c r="AW798" s="236">
        <v>1217274.4994589763</v>
      </c>
      <c r="AX798" s="236">
        <v>1218661.4743093834</v>
      </c>
      <c r="AY798" s="236">
        <v>868692.97641694604</v>
      </c>
      <c r="AZ798" s="236">
        <v>527719.9891128313</v>
      </c>
      <c r="BA798" s="236">
        <v>380692.85347222217</v>
      </c>
      <c r="BB798" s="236">
        <v>237236.19291666665</v>
      </c>
      <c r="BC798" s="236">
        <v>236588.00659722221</v>
      </c>
      <c r="BD798" s="236">
        <v>236588.00659722221</v>
      </c>
      <c r="BE798" s="236">
        <v>236588.00659722221</v>
      </c>
      <c r="BF798" s="236">
        <v>237236.19291666665</v>
      </c>
      <c r="BG798" s="236">
        <v>236588.00659722221</v>
      </c>
      <c r="BH798" s="236">
        <v>236588.00659722221</v>
      </c>
      <c r="BI798" s="236">
        <v>236588.00659722221</v>
      </c>
      <c r="BJ798" s="236">
        <v>237236.19291666665</v>
      </c>
      <c r="BK798" s="236">
        <v>119266.28277777776</v>
      </c>
    </row>
    <row r="799" spans="1:63">
      <c r="A799" s="169"/>
      <c r="B799" s="307" t="s">
        <v>29</v>
      </c>
      <c r="C799" s="313"/>
      <c r="D799" s="314"/>
      <c r="E799" s="314"/>
      <c r="F799" s="314"/>
      <c r="G799" s="314"/>
      <c r="H799" s="314"/>
      <c r="I799" s="314"/>
      <c r="J799" s="314"/>
      <c r="K799" s="314"/>
      <c r="L799" s="314"/>
      <c r="M799" s="314"/>
      <c r="N799" s="314"/>
      <c r="O799" s="314"/>
      <c r="P799" s="314"/>
      <c r="Q799" s="314"/>
      <c r="R799" s="314"/>
      <c r="S799" s="311"/>
      <c r="T799" s="311"/>
      <c r="U799" s="311"/>
      <c r="V799" s="311"/>
      <c r="W799" s="311"/>
      <c r="X799" s="311"/>
      <c r="Y799" s="311">
        <f t="shared" ref="Y799:BK799" si="164">Y797+Y798</f>
        <v>22815740.60253904</v>
      </c>
      <c r="Z799" s="311">
        <f t="shared" si="164"/>
        <v>41348718.853521757</v>
      </c>
      <c r="AA799" s="311">
        <f t="shared" si="164"/>
        <v>35690786.635991387</v>
      </c>
      <c r="AB799" s="311">
        <f t="shared" si="164"/>
        <v>34087244.133127689</v>
      </c>
      <c r="AC799" s="311">
        <f t="shared" si="164"/>
        <v>33623624.975240469</v>
      </c>
      <c r="AD799" s="311">
        <f t="shared" si="164"/>
        <v>23171604.491342738</v>
      </c>
      <c r="AE799" s="311">
        <f t="shared" si="164"/>
        <v>30768413.041085303</v>
      </c>
      <c r="AF799" s="311">
        <f t="shared" si="164"/>
        <v>27036129.402097609</v>
      </c>
      <c r="AG799" s="311">
        <f t="shared" si="164"/>
        <v>32138075.11494492</v>
      </c>
      <c r="AH799" s="311">
        <f t="shared" si="164"/>
        <v>26507734.790229134</v>
      </c>
      <c r="AI799" s="311">
        <f t="shared" si="164"/>
        <v>25537129.120111316</v>
      </c>
      <c r="AJ799" s="311">
        <f t="shared" si="164"/>
        <v>14453693.306153923</v>
      </c>
      <c r="AK799" s="311">
        <f t="shared" si="164"/>
        <v>14244264.855939403</v>
      </c>
      <c r="AL799" s="311">
        <f t="shared" si="164"/>
        <v>17012089.956203148</v>
      </c>
      <c r="AM799" s="311">
        <f t="shared" si="164"/>
        <v>18253114.851161666</v>
      </c>
      <c r="AN799" s="311">
        <f t="shared" si="164"/>
        <v>7869388.6998043247</v>
      </c>
      <c r="AO799" s="311">
        <f t="shared" si="164"/>
        <v>9169287.5432768408</v>
      </c>
      <c r="AP799" s="311">
        <f t="shared" si="164"/>
        <v>9685018.7009001356</v>
      </c>
      <c r="AQ799" s="311">
        <f t="shared" si="164"/>
        <v>16348334.914225161</v>
      </c>
      <c r="AR799" s="311">
        <f t="shared" si="164"/>
        <v>8214688.2822578289</v>
      </c>
      <c r="AS799" s="311">
        <f t="shared" si="164"/>
        <v>3080556.0904789967</v>
      </c>
      <c r="AT799" s="311">
        <f t="shared" si="164"/>
        <v>14325330.998265153</v>
      </c>
      <c r="AU799" s="311">
        <f t="shared" si="164"/>
        <v>22728912.47507111</v>
      </c>
      <c r="AV799" s="311">
        <f t="shared" si="164"/>
        <v>1358604.8962365049</v>
      </c>
      <c r="AW799" s="311">
        <f t="shared" si="164"/>
        <v>1331166.0382068404</v>
      </c>
      <c r="AX799" s="311">
        <f t="shared" si="164"/>
        <v>1332553.0130572475</v>
      </c>
      <c r="AY799" s="311">
        <f t="shared" si="164"/>
        <v>13951049.807847736</v>
      </c>
      <c r="AZ799" s="311">
        <f t="shared" si="164"/>
        <v>597270.68166860181</v>
      </c>
      <c r="BA799" s="311">
        <f t="shared" si="164"/>
        <v>7328992.8534722226</v>
      </c>
      <c r="BB799" s="311">
        <f t="shared" si="164"/>
        <v>237236.19291666665</v>
      </c>
      <c r="BC799" s="311">
        <f t="shared" si="164"/>
        <v>236588.00659722221</v>
      </c>
      <c r="BD799" s="311">
        <f t="shared" si="164"/>
        <v>236588.00659722221</v>
      </c>
      <c r="BE799" s="311">
        <f t="shared" si="164"/>
        <v>236588.00659722221</v>
      </c>
      <c r="BF799" s="311">
        <f t="shared" si="164"/>
        <v>237236.19291666665</v>
      </c>
      <c r="BG799" s="311">
        <f t="shared" si="164"/>
        <v>236588.00659722221</v>
      </c>
      <c r="BH799" s="311">
        <f t="shared" si="164"/>
        <v>236588.00659722221</v>
      </c>
      <c r="BI799" s="311">
        <f t="shared" si="164"/>
        <v>236588.00659722221</v>
      </c>
      <c r="BJ799" s="311">
        <f t="shared" si="164"/>
        <v>237236.19291666665</v>
      </c>
      <c r="BK799" s="311">
        <f t="shared" si="164"/>
        <v>6141126.2827777779</v>
      </c>
    </row>
    <row r="800" spans="1:63">
      <c r="A800" s="167"/>
      <c r="B800" s="210" t="s">
        <v>28</v>
      </c>
      <c r="C800" s="211"/>
      <c r="D800" s="212"/>
      <c r="E800" s="212"/>
      <c r="F800" s="212"/>
      <c r="G800" s="212"/>
      <c r="H800" s="212"/>
      <c r="I800" s="212"/>
      <c r="J800" s="212"/>
      <c r="K800" s="212"/>
      <c r="L800" s="212"/>
      <c r="M800" s="212"/>
      <c r="N800" s="212"/>
      <c r="O800" s="212"/>
      <c r="P800" s="212"/>
      <c r="Q800" s="212"/>
      <c r="R800" s="212"/>
      <c r="S800" s="235"/>
      <c r="T800" s="235"/>
      <c r="U800" s="235"/>
      <c r="V800" s="235"/>
      <c r="W800" s="236"/>
      <c r="X800" s="236"/>
      <c r="Y800" s="236">
        <v>9599629.6502712686</v>
      </c>
      <c r="Z800" s="236">
        <v>25397302.285267804</v>
      </c>
      <c r="AA800" s="236">
        <v>23563384.192185555</v>
      </c>
      <c r="AB800" s="236">
        <v>23031421.873185001</v>
      </c>
      <c r="AC800" s="236">
        <v>23544049.454384983</v>
      </c>
      <c r="AD800" s="236">
        <v>13574030.493571483</v>
      </c>
      <c r="AE800" s="236">
        <v>22263300.109799128</v>
      </c>
      <c r="AF800" s="236">
        <v>19069885.311669413</v>
      </c>
      <c r="AG800" s="236">
        <v>25015672.071827345</v>
      </c>
      <c r="AH800" s="236">
        <v>19916305.47167778</v>
      </c>
      <c r="AI800" s="236">
        <v>19787374.157676421</v>
      </c>
      <c r="AJ800" s="236">
        <v>19516996.068732452</v>
      </c>
      <c r="AK800" s="236">
        <v>8938321.6197520103</v>
      </c>
      <c r="AL800" s="236">
        <v>11932683.974589836</v>
      </c>
      <c r="AM800" s="236">
        <v>13689266.745510513</v>
      </c>
      <c r="AN800" s="236">
        <v>3715484.6040266189</v>
      </c>
      <c r="AO800" s="236">
        <v>5146491.1655626856</v>
      </c>
      <c r="AP800" s="236">
        <v>5858421.3258773414</v>
      </c>
      <c r="AQ800" s="236">
        <v>13299860.507303201</v>
      </c>
      <c r="AR800" s="236">
        <v>5375774.3475248823</v>
      </c>
      <c r="AS800" s="236">
        <v>165732.12905060145</v>
      </c>
      <c r="AT800" s="236">
        <v>12174946.943395305</v>
      </c>
      <c r="AU800" s="236">
        <v>21783014.317617849</v>
      </c>
      <c r="AV800" s="236">
        <v>144649.81429435546</v>
      </c>
      <c r="AW800" s="236">
        <v>118659.86834840951</v>
      </c>
      <c r="AX800" s="236">
        <v>118659.86834840951</v>
      </c>
      <c r="AY800" s="236">
        <v>13578015.80732402</v>
      </c>
      <c r="AZ800" s="236">
        <v>70405.098585583677</v>
      </c>
      <c r="BA800" s="236">
        <v>7212210.0000000009</v>
      </c>
      <c r="BB800" s="236">
        <v>0</v>
      </c>
      <c r="BC800" s="236">
        <v>0</v>
      </c>
      <c r="BD800" s="236">
        <v>0</v>
      </c>
      <c r="BE800" s="236">
        <v>0</v>
      </c>
      <c r="BF800" s="236">
        <v>0</v>
      </c>
      <c r="BG800" s="236">
        <v>0</v>
      </c>
      <c r="BH800" s="236">
        <v>0</v>
      </c>
      <c r="BI800" s="236">
        <v>0</v>
      </c>
      <c r="BJ800" s="236">
        <v>0</v>
      </c>
      <c r="BK800" s="236">
        <v>6250582</v>
      </c>
    </row>
    <row r="801" spans="1:63">
      <c r="A801" s="168">
        <v>44985</v>
      </c>
      <c r="B801" s="213" t="s">
        <v>385</v>
      </c>
      <c r="C801" s="214"/>
      <c r="D801" s="215"/>
      <c r="E801" s="215"/>
      <c r="F801" s="215"/>
      <c r="G801" s="215"/>
      <c r="H801" s="215"/>
      <c r="I801" s="215"/>
      <c r="J801" s="215"/>
      <c r="K801" s="215"/>
      <c r="L801" s="215"/>
      <c r="M801" s="215"/>
      <c r="N801" s="215"/>
      <c r="O801" s="215"/>
      <c r="P801" s="215"/>
      <c r="Q801" s="215"/>
      <c r="R801" s="216"/>
      <c r="S801" s="236"/>
      <c r="T801" s="236"/>
      <c r="U801" s="236"/>
      <c r="V801" s="236"/>
      <c r="W801" s="236"/>
      <c r="X801" s="236"/>
      <c r="Y801" s="236">
        <v>13015054.544218365</v>
      </c>
      <c r="Z801" s="236">
        <v>15798326.008708863</v>
      </c>
      <c r="AA801" s="236">
        <v>14357152.408729395</v>
      </c>
      <c r="AB801" s="236">
        <v>13134462.963554932</v>
      </c>
      <c r="AC801" s="236">
        <v>12230239.727995271</v>
      </c>
      <c r="AD801" s="236">
        <v>11397177.49284008</v>
      </c>
      <c r="AE801" s="236">
        <v>10678338.976203771</v>
      </c>
      <c r="AF801" s="236">
        <v>9981094.4999571331</v>
      </c>
      <c r="AG801" s="236">
        <v>9330923.583227871</v>
      </c>
      <c r="AH801" s="236">
        <v>8581324.4446572326</v>
      </c>
      <c r="AI801" s="236">
        <v>7694957.9780527204</v>
      </c>
      <c r="AJ801" s="236">
        <v>6638378.370950276</v>
      </c>
      <c r="AK801" s="236">
        <v>5913111.5183504298</v>
      </c>
      <c r="AL801" s="236">
        <v>5693187.3114637192</v>
      </c>
      <c r="AM801" s="236">
        <v>5396329.913287567</v>
      </c>
      <c r="AN801" s="236">
        <v>4589559.6179549657</v>
      </c>
      <c r="AO801" s="236">
        <v>4440848.113385546</v>
      </c>
      <c r="AP801" s="236">
        <v>4201258.2774085123</v>
      </c>
      <c r="AQ801" s="236">
        <v>3675571.3585529914</v>
      </c>
      <c r="AR801" s="236">
        <v>3153972.7717146161</v>
      </c>
      <c r="AS801" s="236">
        <v>3033940.3934275494</v>
      </c>
      <c r="AT801" s="236">
        <v>2695803.1855261647</v>
      </c>
      <c r="AU801" s="236">
        <v>1810317.3477680236</v>
      </c>
      <c r="AV801" s="236">
        <v>1266511.0805726261</v>
      </c>
      <c r="AW801" s="236">
        <v>1263846.4431119503</v>
      </c>
      <c r="AX801" s="236">
        <v>1265113.4681382508</v>
      </c>
      <c r="AY801" s="236">
        <v>901678.02358729078</v>
      </c>
      <c r="AZ801" s="236">
        <v>547749.3477833732</v>
      </c>
      <c r="BA801" s="236">
        <v>395152.31131944444</v>
      </c>
      <c r="BB801" s="236">
        <v>246246.88670833333</v>
      </c>
      <c r="BC801" s="236">
        <v>245574.08100694447</v>
      </c>
      <c r="BD801" s="236">
        <v>245574.08100694447</v>
      </c>
      <c r="BE801" s="236">
        <v>245574.08100694447</v>
      </c>
      <c r="BF801" s="236">
        <v>246246.88670833333</v>
      </c>
      <c r="BG801" s="236">
        <v>245574.08100694447</v>
      </c>
      <c r="BH801" s="236">
        <v>245574.08100694447</v>
      </c>
      <c r="BI801" s="236">
        <v>245574.08100694447</v>
      </c>
      <c r="BJ801" s="236">
        <v>246246.88670833333</v>
      </c>
      <c r="BK801" s="236">
        <v>123796.24905555556</v>
      </c>
    </row>
    <row r="802" spans="1:63">
      <c r="A802" s="169"/>
      <c r="B802" s="307" t="s">
        <v>29</v>
      </c>
      <c r="C802" s="313"/>
      <c r="D802" s="314"/>
      <c r="E802" s="314"/>
      <c r="F802" s="314"/>
      <c r="G802" s="314"/>
      <c r="H802" s="314"/>
      <c r="I802" s="314"/>
      <c r="J802" s="314"/>
      <c r="K802" s="314"/>
      <c r="L802" s="314"/>
      <c r="M802" s="314"/>
      <c r="N802" s="314"/>
      <c r="O802" s="314"/>
      <c r="P802" s="314"/>
      <c r="Q802" s="314"/>
      <c r="R802" s="314"/>
      <c r="S802" s="311"/>
      <c r="T802" s="311"/>
      <c r="U802" s="311"/>
      <c r="V802" s="311"/>
      <c r="W802" s="311"/>
      <c r="X802" s="311"/>
      <c r="Y802" s="311">
        <f t="shared" ref="Y802:BK802" si="165">Y800+Y801</f>
        <v>22614684.194489636</v>
      </c>
      <c r="Z802" s="311">
        <f t="shared" si="165"/>
        <v>41195628.293976665</v>
      </c>
      <c r="AA802" s="311">
        <f t="shared" si="165"/>
        <v>37920536.600914948</v>
      </c>
      <c r="AB802" s="311">
        <f t="shared" si="165"/>
        <v>36165884.836739935</v>
      </c>
      <c r="AC802" s="311">
        <f t="shared" si="165"/>
        <v>35774289.182380252</v>
      </c>
      <c r="AD802" s="311">
        <f t="shared" si="165"/>
        <v>24971207.986411564</v>
      </c>
      <c r="AE802" s="311">
        <f t="shared" si="165"/>
        <v>32941639.086002901</v>
      </c>
      <c r="AF802" s="311">
        <f t="shared" si="165"/>
        <v>29050979.811626546</v>
      </c>
      <c r="AG802" s="311">
        <f t="shared" si="165"/>
        <v>34346595.655055217</v>
      </c>
      <c r="AH802" s="311">
        <f t="shared" si="165"/>
        <v>28497629.916335013</v>
      </c>
      <c r="AI802" s="311">
        <f t="shared" si="165"/>
        <v>27482332.135729142</v>
      </c>
      <c r="AJ802" s="311">
        <f t="shared" si="165"/>
        <v>26155374.43968273</v>
      </c>
      <c r="AK802" s="311">
        <f t="shared" si="165"/>
        <v>14851433.13810244</v>
      </c>
      <c r="AL802" s="311">
        <f t="shared" si="165"/>
        <v>17625871.286053553</v>
      </c>
      <c r="AM802" s="311">
        <f t="shared" si="165"/>
        <v>19085596.65879808</v>
      </c>
      <c r="AN802" s="311">
        <f t="shared" si="165"/>
        <v>8305044.221981585</v>
      </c>
      <c r="AO802" s="311">
        <f t="shared" si="165"/>
        <v>9587339.2789482325</v>
      </c>
      <c r="AP802" s="311">
        <f t="shared" si="165"/>
        <v>10059679.603285853</v>
      </c>
      <c r="AQ802" s="311">
        <f t="shared" si="165"/>
        <v>16975431.865856193</v>
      </c>
      <c r="AR802" s="311">
        <f t="shared" si="165"/>
        <v>8529747.1192394979</v>
      </c>
      <c r="AS802" s="311">
        <f t="shared" si="165"/>
        <v>3199672.5224781507</v>
      </c>
      <c r="AT802" s="311">
        <f t="shared" si="165"/>
        <v>14870750.12892147</v>
      </c>
      <c r="AU802" s="311">
        <f t="shared" si="165"/>
        <v>23593331.665385872</v>
      </c>
      <c r="AV802" s="311">
        <f t="shared" si="165"/>
        <v>1411160.8948669815</v>
      </c>
      <c r="AW802" s="311">
        <f t="shared" si="165"/>
        <v>1382506.3114603597</v>
      </c>
      <c r="AX802" s="311">
        <f t="shared" si="165"/>
        <v>1383773.3364866602</v>
      </c>
      <c r="AY802" s="311">
        <f t="shared" si="165"/>
        <v>14479693.83091131</v>
      </c>
      <c r="AZ802" s="311">
        <f t="shared" si="165"/>
        <v>618154.44636895694</v>
      </c>
      <c r="BA802" s="311">
        <f t="shared" si="165"/>
        <v>7607362.3113194453</v>
      </c>
      <c r="BB802" s="311">
        <f t="shared" si="165"/>
        <v>246246.88670833333</v>
      </c>
      <c r="BC802" s="311">
        <f t="shared" si="165"/>
        <v>245574.08100694447</v>
      </c>
      <c r="BD802" s="311">
        <f t="shared" si="165"/>
        <v>245574.08100694447</v>
      </c>
      <c r="BE802" s="311">
        <f t="shared" si="165"/>
        <v>245574.08100694447</v>
      </c>
      <c r="BF802" s="311">
        <f t="shared" si="165"/>
        <v>246246.88670833333</v>
      </c>
      <c r="BG802" s="311">
        <f t="shared" si="165"/>
        <v>245574.08100694447</v>
      </c>
      <c r="BH802" s="311">
        <f t="shared" si="165"/>
        <v>245574.08100694447</v>
      </c>
      <c r="BI802" s="311">
        <f t="shared" si="165"/>
        <v>245574.08100694447</v>
      </c>
      <c r="BJ802" s="311">
        <f t="shared" si="165"/>
        <v>246246.88670833333</v>
      </c>
      <c r="BK802" s="311">
        <f t="shared" si="165"/>
        <v>6374378.2490555551</v>
      </c>
    </row>
    <row r="803" spans="1:63">
      <c r="A803" s="167"/>
      <c r="B803" s="210" t="s">
        <v>28</v>
      </c>
      <c r="C803" s="211"/>
      <c r="D803" s="212"/>
      <c r="E803" s="212"/>
      <c r="F803" s="212"/>
      <c r="G803" s="212"/>
      <c r="H803" s="212"/>
      <c r="I803" s="212"/>
      <c r="J803" s="212"/>
      <c r="K803" s="212"/>
      <c r="L803" s="212"/>
      <c r="M803" s="212"/>
      <c r="N803" s="212"/>
      <c r="O803" s="212"/>
      <c r="P803" s="212"/>
      <c r="Q803" s="212"/>
      <c r="R803" s="212"/>
      <c r="S803" s="235"/>
      <c r="T803" s="235"/>
      <c r="U803" s="235"/>
      <c r="V803" s="235"/>
      <c r="W803" s="236"/>
      <c r="X803" s="236"/>
      <c r="Y803" s="236">
        <v>4523699.3237424977</v>
      </c>
      <c r="Z803" s="236">
        <v>24617809.544999853</v>
      </c>
      <c r="AA803" s="236">
        <v>22860629.240110729</v>
      </c>
      <c r="AB803" s="236">
        <v>22374625.804623537</v>
      </c>
      <c r="AC803" s="236">
        <v>22775822.746232878</v>
      </c>
      <c r="AD803" s="236">
        <v>13108427.245593367</v>
      </c>
      <c r="AE803" s="236">
        <v>21464676.403508492</v>
      </c>
      <c r="AF803" s="236">
        <v>18390977.328319836</v>
      </c>
      <c r="AG803" s="236">
        <v>24115701.279412057</v>
      </c>
      <c r="AH803" s="236">
        <v>19197605.636172649</v>
      </c>
      <c r="AI803" s="236">
        <v>19069193.912070945</v>
      </c>
      <c r="AJ803" s="236">
        <v>18801796.061500419</v>
      </c>
      <c r="AK803" s="236">
        <v>8699788.5954806469</v>
      </c>
      <c r="AL803" s="236">
        <v>11656590.524489919</v>
      </c>
      <c r="AM803" s="236">
        <v>13187953.030844841</v>
      </c>
      <c r="AN803" s="236">
        <v>3582837.5140708624</v>
      </c>
      <c r="AO803" s="236">
        <v>4960013.2477223352</v>
      </c>
      <c r="AP803" s="236">
        <v>5643738.2088755453</v>
      </c>
      <c r="AQ803" s="236">
        <v>12802119.470219886</v>
      </c>
      <c r="AR803" s="236">
        <v>5176117.2813157747</v>
      </c>
      <c r="AS803" s="236">
        <v>162063.60228823245</v>
      </c>
      <c r="AT803" s="236">
        <v>11719522.294001209</v>
      </c>
      <c r="AU803" s="236">
        <v>20966158.606321301</v>
      </c>
      <c r="AV803" s="236">
        <v>141774.35060210555</v>
      </c>
      <c r="AW803" s="236">
        <v>116762.08033183528</v>
      </c>
      <c r="AX803" s="236">
        <v>116762.08033183528</v>
      </c>
      <c r="AY803" s="236">
        <v>13069811.275185496</v>
      </c>
      <c r="AZ803" s="236">
        <v>69331.767440772659</v>
      </c>
      <c r="BA803" s="236">
        <v>6940905.0000000009</v>
      </c>
      <c r="BB803" s="236">
        <v>0</v>
      </c>
      <c r="BC803" s="236">
        <v>0</v>
      </c>
      <c r="BD803" s="236">
        <v>0</v>
      </c>
      <c r="BE803" s="236">
        <v>0</v>
      </c>
      <c r="BF803" s="236">
        <v>0</v>
      </c>
      <c r="BG803" s="236">
        <v>0</v>
      </c>
      <c r="BH803" s="236">
        <v>0</v>
      </c>
      <c r="BI803" s="236">
        <v>0</v>
      </c>
      <c r="BJ803" s="236">
        <v>0</v>
      </c>
      <c r="BK803" s="236">
        <v>6015451.0000000009</v>
      </c>
    </row>
    <row r="804" spans="1:63">
      <c r="A804" s="168">
        <v>45016</v>
      </c>
      <c r="B804" s="213" t="s">
        <v>385</v>
      </c>
      <c r="C804" s="214"/>
      <c r="D804" s="215"/>
      <c r="E804" s="215"/>
      <c r="F804" s="215"/>
      <c r="G804" s="215"/>
      <c r="H804" s="215"/>
      <c r="I804" s="215"/>
      <c r="J804" s="215"/>
      <c r="K804" s="215"/>
      <c r="L804" s="215"/>
      <c r="M804" s="215"/>
      <c r="N804" s="215"/>
      <c r="O804" s="215"/>
      <c r="P804" s="215"/>
      <c r="Q804" s="215"/>
      <c r="R804" s="216"/>
      <c r="S804" s="236"/>
      <c r="T804" s="236"/>
      <c r="U804" s="236"/>
      <c r="V804" s="236"/>
      <c r="W804" s="236"/>
      <c r="X804" s="236"/>
      <c r="Y804" s="236">
        <v>11306014.159744117</v>
      </c>
      <c r="Z804" s="236">
        <v>15262860.951965926</v>
      </c>
      <c r="AA804" s="236">
        <v>13796443.813211966</v>
      </c>
      <c r="AB804" s="236">
        <v>12588654.3652524</v>
      </c>
      <c r="AC804" s="236">
        <v>11781726.269515118</v>
      </c>
      <c r="AD804" s="236">
        <v>10991754.525504868</v>
      </c>
      <c r="AE804" s="236">
        <v>10321679.522862844</v>
      </c>
      <c r="AF804" s="236">
        <v>9637876.0826835874</v>
      </c>
      <c r="AG804" s="236">
        <v>9010513.9213973675</v>
      </c>
      <c r="AH804" s="236">
        <v>8292086.7376422165</v>
      </c>
      <c r="AI804" s="236">
        <v>7435075.2772288416</v>
      </c>
      <c r="AJ804" s="236">
        <v>6417098.6507095555</v>
      </c>
      <c r="AK804" s="236">
        <v>5716197.8570973361</v>
      </c>
      <c r="AL804" s="236">
        <v>5500737.271175798</v>
      </c>
      <c r="AM804" s="236">
        <v>5210047.3528792132</v>
      </c>
      <c r="AN804" s="236">
        <v>4429109.5485868715</v>
      </c>
      <c r="AO804" s="236">
        <v>4282478.1250617402</v>
      </c>
      <c r="AP804" s="236">
        <v>4049219.9850297435</v>
      </c>
      <c r="AQ804" s="236">
        <v>3540628.5004076175</v>
      </c>
      <c r="AR804" s="236">
        <v>3036547.8688881788</v>
      </c>
      <c r="AS804" s="236">
        <v>2920227.5832778416</v>
      </c>
      <c r="AT804" s="236">
        <v>2594748.201768579</v>
      </c>
      <c r="AU804" s="236">
        <v>1742516.0104679384</v>
      </c>
      <c r="AV804" s="236">
        <v>1219109.750045968</v>
      </c>
      <c r="AW804" s="236">
        <v>1216485.2468381822</v>
      </c>
      <c r="AX804" s="236">
        <v>1217644.5844948557</v>
      </c>
      <c r="AY804" s="236">
        <v>867820.47666301893</v>
      </c>
      <c r="AZ804" s="236">
        <v>527157.16876216396</v>
      </c>
      <c r="BA804" s="236">
        <v>380287.68621527776</v>
      </c>
      <c r="BB804" s="236">
        <v>236983.70502083335</v>
      </c>
      <c r="BC804" s="236">
        <v>236336.20855902781</v>
      </c>
      <c r="BD804" s="236">
        <v>236336.20855902781</v>
      </c>
      <c r="BE804" s="236">
        <v>236336.20855902781</v>
      </c>
      <c r="BF804" s="236">
        <v>236983.70502083335</v>
      </c>
      <c r="BG804" s="236">
        <v>236336.20855902781</v>
      </c>
      <c r="BH804" s="236">
        <v>236336.20855902781</v>
      </c>
      <c r="BI804" s="236">
        <v>236336.20855902781</v>
      </c>
      <c r="BJ804" s="236">
        <v>236983.70502083335</v>
      </c>
      <c r="BK804" s="236">
        <v>119139.34897222223</v>
      </c>
    </row>
    <row r="805" spans="1:63">
      <c r="A805" s="169"/>
      <c r="B805" s="307" t="s">
        <v>29</v>
      </c>
      <c r="C805" s="313"/>
      <c r="D805" s="314"/>
      <c r="E805" s="314"/>
      <c r="F805" s="314"/>
      <c r="G805" s="314"/>
      <c r="H805" s="314"/>
      <c r="I805" s="314"/>
      <c r="J805" s="314"/>
      <c r="K805" s="314"/>
      <c r="L805" s="314"/>
      <c r="M805" s="314"/>
      <c r="N805" s="314"/>
      <c r="O805" s="314"/>
      <c r="P805" s="314"/>
      <c r="Q805" s="314"/>
      <c r="R805" s="314"/>
      <c r="S805" s="311"/>
      <c r="T805" s="311"/>
      <c r="U805" s="311"/>
      <c r="V805" s="311"/>
      <c r="W805" s="311"/>
      <c r="X805" s="311"/>
      <c r="Y805" s="311">
        <f t="shared" ref="Y805:BK805" si="166">Y803+Y804</f>
        <v>15829713.483486615</v>
      </c>
      <c r="Z805" s="311">
        <f t="shared" si="166"/>
        <v>39880670.496965781</v>
      </c>
      <c r="AA805" s="311">
        <f t="shared" si="166"/>
        <v>36657073.053322695</v>
      </c>
      <c r="AB805" s="311">
        <f t="shared" si="166"/>
        <v>34963280.169875935</v>
      </c>
      <c r="AC805" s="311">
        <f t="shared" si="166"/>
        <v>34557549.015747994</v>
      </c>
      <c r="AD805" s="311">
        <f t="shared" si="166"/>
        <v>24100181.771098234</v>
      </c>
      <c r="AE805" s="311">
        <f t="shared" si="166"/>
        <v>31786355.926371336</v>
      </c>
      <c r="AF805" s="311">
        <f t="shared" si="166"/>
        <v>28028853.411003426</v>
      </c>
      <c r="AG805" s="311">
        <f t="shared" si="166"/>
        <v>33126215.200809427</v>
      </c>
      <c r="AH805" s="311">
        <f t="shared" si="166"/>
        <v>27489692.373814866</v>
      </c>
      <c r="AI805" s="311">
        <f t="shared" si="166"/>
        <v>26504269.189299785</v>
      </c>
      <c r="AJ805" s="311">
        <f t="shared" si="166"/>
        <v>25218894.712209973</v>
      </c>
      <c r="AK805" s="311">
        <f t="shared" si="166"/>
        <v>14415986.452577982</v>
      </c>
      <c r="AL805" s="311">
        <f t="shared" si="166"/>
        <v>17157327.795665719</v>
      </c>
      <c r="AM805" s="311">
        <f t="shared" si="166"/>
        <v>18398000.383724056</v>
      </c>
      <c r="AN805" s="311">
        <f t="shared" si="166"/>
        <v>8011947.0626577344</v>
      </c>
      <c r="AO805" s="311">
        <f t="shared" si="166"/>
        <v>9242491.3727840744</v>
      </c>
      <c r="AP805" s="311">
        <f t="shared" si="166"/>
        <v>9692958.1939052884</v>
      </c>
      <c r="AQ805" s="311">
        <f t="shared" si="166"/>
        <v>16342747.970627503</v>
      </c>
      <c r="AR805" s="311">
        <f t="shared" si="166"/>
        <v>8212665.1502039535</v>
      </c>
      <c r="AS805" s="311">
        <f t="shared" si="166"/>
        <v>3082291.1855660742</v>
      </c>
      <c r="AT805" s="311">
        <f t="shared" si="166"/>
        <v>14314270.495769788</v>
      </c>
      <c r="AU805" s="311">
        <f t="shared" si="166"/>
        <v>22708674.61678924</v>
      </c>
      <c r="AV805" s="311">
        <f t="shared" si="166"/>
        <v>1360884.1006480735</v>
      </c>
      <c r="AW805" s="311">
        <f t="shared" si="166"/>
        <v>1333247.3271700174</v>
      </c>
      <c r="AX805" s="311">
        <f t="shared" si="166"/>
        <v>1334406.6648266909</v>
      </c>
      <c r="AY805" s="311">
        <f t="shared" si="166"/>
        <v>13937631.751848515</v>
      </c>
      <c r="AZ805" s="311">
        <f t="shared" si="166"/>
        <v>596488.93620293657</v>
      </c>
      <c r="BA805" s="311">
        <f t="shared" si="166"/>
        <v>7321192.6862152787</v>
      </c>
      <c r="BB805" s="311">
        <f t="shared" si="166"/>
        <v>236983.70502083335</v>
      </c>
      <c r="BC805" s="311">
        <f t="shared" si="166"/>
        <v>236336.20855902781</v>
      </c>
      <c r="BD805" s="311">
        <f t="shared" si="166"/>
        <v>236336.20855902781</v>
      </c>
      <c r="BE805" s="311">
        <f t="shared" si="166"/>
        <v>236336.20855902781</v>
      </c>
      <c r="BF805" s="311">
        <f t="shared" si="166"/>
        <v>236983.70502083335</v>
      </c>
      <c r="BG805" s="311">
        <f t="shared" si="166"/>
        <v>236336.20855902781</v>
      </c>
      <c r="BH805" s="311">
        <f t="shared" si="166"/>
        <v>236336.20855902781</v>
      </c>
      <c r="BI805" s="311">
        <f t="shared" si="166"/>
        <v>236336.20855902781</v>
      </c>
      <c r="BJ805" s="311">
        <f t="shared" si="166"/>
        <v>236983.70502083335</v>
      </c>
      <c r="BK805" s="311">
        <f t="shared" si="166"/>
        <v>6134590.3489722228</v>
      </c>
    </row>
    <row r="806" spans="1:63">
      <c r="A806" s="167"/>
      <c r="B806" s="210" t="s">
        <v>28</v>
      </c>
      <c r="C806" s="211"/>
      <c r="D806" s="212"/>
      <c r="E806" s="212"/>
      <c r="F806" s="212"/>
      <c r="G806" s="212"/>
      <c r="H806" s="212"/>
      <c r="I806" s="212"/>
      <c r="J806" s="212"/>
      <c r="K806" s="212"/>
      <c r="L806" s="212"/>
      <c r="M806" s="212"/>
      <c r="N806" s="212"/>
      <c r="O806" s="212"/>
      <c r="P806" s="212"/>
      <c r="Q806" s="212"/>
      <c r="R806" s="212"/>
      <c r="S806" s="235"/>
      <c r="T806" s="235"/>
      <c r="U806" s="235"/>
      <c r="V806" s="235"/>
      <c r="W806" s="236"/>
      <c r="X806" s="236"/>
      <c r="Y806" s="236">
        <v>3777827.5682255421</v>
      </c>
      <c r="Z806" s="236">
        <v>24864476.998011179</v>
      </c>
      <c r="AA806" s="236">
        <v>23094338.579996571</v>
      </c>
      <c r="AB806" s="236">
        <v>22678992.184126299</v>
      </c>
      <c r="AC806" s="236">
        <v>22976940.515644766</v>
      </c>
      <c r="AD806" s="236">
        <v>13239365.561979719</v>
      </c>
      <c r="AE806" s="236">
        <v>21667625.810053896</v>
      </c>
      <c r="AF806" s="236">
        <v>18565447.581714962</v>
      </c>
      <c r="AG806" s="236">
        <v>24339844.570037201</v>
      </c>
      <c r="AH806" s="236">
        <v>19375581.024808176</v>
      </c>
      <c r="AI806" s="236">
        <v>19249917.088503268</v>
      </c>
      <c r="AJ806" s="236">
        <v>18977769.367618907</v>
      </c>
      <c r="AK806" s="236">
        <v>8826690.8918068409</v>
      </c>
      <c r="AL806" s="236">
        <v>11851822.135848934</v>
      </c>
      <c r="AM806" s="236">
        <v>13311495.601876495</v>
      </c>
      <c r="AN806" s="236">
        <v>3616791.2087746835</v>
      </c>
      <c r="AO806" s="236">
        <v>5006386.6938919835</v>
      </c>
      <c r="AP806" s="236">
        <v>5696619.1076963078</v>
      </c>
      <c r="AQ806" s="236">
        <v>12918969.864829365</v>
      </c>
      <c r="AR806" s="236">
        <v>5224194.2800907828</v>
      </c>
      <c r="AS806" s="236">
        <v>164922.47892477515</v>
      </c>
      <c r="AT806" s="236">
        <v>11826609.528006854</v>
      </c>
      <c r="AU806" s="236">
        <v>21156634.562686596</v>
      </c>
      <c r="AV806" s="236">
        <v>144450.25315788217</v>
      </c>
      <c r="AW806" s="236">
        <v>119212.41532004433</v>
      </c>
      <c r="AX806" s="236">
        <v>119212.41532004433</v>
      </c>
      <c r="AY806" s="236">
        <v>13189075.788490776</v>
      </c>
      <c r="AZ806" s="236">
        <v>70814.809152433896</v>
      </c>
      <c r="BA806" s="236">
        <v>7003500</v>
      </c>
      <c r="BB806" s="236">
        <v>0</v>
      </c>
      <c r="BC806" s="236">
        <v>0</v>
      </c>
      <c r="BD806" s="236">
        <v>0</v>
      </c>
      <c r="BE806" s="236">
        <v>0</v>
      </c>
      <c r="BF806" s="236">
        <v>0</v>
      </c>
      <c r="BG806" s="236">
        <v>0</v>
      </c>
      <c r="BH806" s="236">
        <v>0</v>
      </c>
      <c r="BI806" s="236">
        <v>0</v>
      </c>
      <c r="BJ806" s="236">
        <v>0</v>
      </c>
      <c r="BK806" s="236">
        <v>6069700</v>
      </c>
    </row>
    <row r="807" spans="1:63">
      <c r="A807" s="168">
        <v>45046</v>
      </c>
      <c r="B807" s="213" t="s">
        <v>385</v>
      </c>
      <c r="C807" s="214"/>
      <c r="D807" s="215"/>
      <c r="E807" s="215"/>
      <c r="F807" s="215"/>
      <c r="G807" s="215"/>
      <c r="H807" s="215"/>
      <c r="I807" s="215"/>
      <c r="J807" s="215"/>
      <c r="K807" s="215"/>
      <c r="L807" s="215"/>
      <c r="M807" s="215"/>
      <c r="N807" s="215"/>
      <c r="O807" s="215"/>
      <c r="P807" s="215"/>
      <c r="Q807" s="215"/>
      <c r="R807" s="216"/>
      <c r="S807" s="236"/>
      <c r="T807" s="236"/>
      <c r="U807" s="236"/>
      <c r="V807" s="236"/>
      <c r="W807" s="236"/>
      <c r="X807" s="236"/>
      <c r="Y807" s="236">
        <v>9959867.0718823448</v>
      </c>
      <c r="Z807" s="236">
        <v>15529573.303308239</v>
      </c>
      <c r="AA807" s="236">
        <v>13963376.004966101</v>
      </c>
      <c r="AB807" s="236">
        <v>12666490.583785873</v>
      </c>
      <c r="AC807" s="236">
        <v>11875369.761895219</v>
      </c>
      <c r="AD807" s="236">
        <v>11081946.656891972</v>
      </c>
      <c r="AE807" s="236">
        <v>10413613.135171579</v>
      </c>
      <c r="AF807" s="236">
        <v>9719284.989208702</v>
      </c>
      <c r="AG807" s="236">
        <v>9089503.3163837921</v>
      </c>
      <c r="AH807" s="236">
        <v>8366241.893256993</v>
      </c>
      <c r="AI807" s="236">
        <v>7501139.0326955067</v>
      </c>
      <c r="AJ807" s="236">
        <v>6474504.7943546157</v>
      </c>
      <c r="AK807" s="236">
        <v>5767507.2468396313</v>
      </c>
      <c r="AL807" s="236">
        <v>5550246.8696341123</v>
      </c>
      <c r="AM807" s="236">
        <v>5255887.3866124367</v>
      </c>
      <c r="AN807" s="236">
        <v>4468068.1344835982</v>
      </c>
      <c r="AO807" s="236">
        <v>4320419.65107489</v>
      </c>
      <c r="AP807" s="236">
        <v>4085521.9152771146</v>
      </c>
      <c r="AQ807" s="236">
        <v>3572646.2321099956</v>
      </c>
      <c r="AR807" s="236">
        <v>3064079.8904334884</v>
      </c>
      <c r="AS807" s="236">
        <v>2946719.5511151436</v>
      </c>
      <c r="AT807" s="236">
        <v>2618285.9370491253</v>
      </c>
      <c r="AU807" s="236">
        <v>1758347.9722437756</v>
      </c>
      <c r="AV807" s="236">
        <v>1230200.5510865015</v>
      </c>
      <c r="AW807" s="236">
        <v>1227530.4364700301</v>
      </c>
      <c r="AX807" s="236">
        <v>1228678.2830461115</v>
      </c>
      <c r="AY807" s="236">
        <v>875677.42368653649</v>
      </c>
      <c r="AZ807" s="236">
        <v>531918.16592302732</v>
      </c>
      <c r="BA807" s="236">
        <v>383717.22569444444</v>
      </c>
      <c r="BB807" s="236">
        <v>239120.88958333331</v>
      </c>
      <c r="BC807" s="236">
        <v>238467.55381944444</v>
      </c>
      <c r="BD807" s="236">
        <v>238467.55381944444</v>
      </c>
      <c r="BE807" s="236">
        <v>238467.55381944444</v>
      </c>
      <c r="BF807" s="236">
        <v>239120.88958333331</v>
      </c>
      <c r="BG807" s="236">
        <v>238467.55381944444</v>
      </c>
      <c r="BH807" s="236">
        <v>238467.55381944444</v>
      </c>
      <c r="BI807" s="236">
        <v>238467.55381944444</v>
      </c>
      <c r="BJ807" s="236">
        <v>239120.88958333331</v>
      </c>
      <c r="BK807" s="236">
        <v>120213.78055555554</v>
      </c>
    </row>
    <row r="808" spans="1:63">
      <c r="A808" s="169"/>
      <c r="B808" s="307" t="s">
        <v>29</v>
      </c>
      <c r="C808" s="313"/>
      <c r="D808" s="314"/>
      <c r="E808" s="314"/>
      <c r="F808" s="314"/>
      <c r="G808" s="314"/>
      <c r="H808" s="314"/>
      <c r="I808" s="314"/>
      <c r="J808" s="314"/>
      <c r="K808" s="314"/>
      <c r="L808" s="314"/>
      <c r="M808" s="314"/>
      <c r="N808" s="314"/>
      <c r="O808" s="314"/>
      <c r="P808" s="314"/>
      <c r="Q808" s="314"/>
      <c r="R808" s="314"/>
      <c r="S808" s="311"/>
      <c r="T808" s="311"/>
      <c r="U808" s="311"/>
      <c r="V808" s="311"/>
      <c r="W808" s="311"/>
      <c r="X808" s="311"/>
      <c r="Y808" s="311">
        <f t="shared" ref="Y808:BK808" si="167">Y806+Y807</f>
        <v>13737694.640107887</v>
      </c>
      <c r="Z808" s="311">
        <f t="shared" si="167"/>
        <v>40394050.30131942</v>
      </c>
      <c r="AA808" s="311">
        <f t="shared" si="167"/>
        <v>37057714.584962673</v>
      </c>
      <c r="AB808" s="311">
        <f t="shared" si="167"/>
        <v>35345482.767912172</v>
      </c>
      <c r="AC808" s="311">
        <f t="shared" si="167"/>
        <v>34852310.277539983</v>
      </c>
      <c r="AD808" s="311">
        <f t="shared" si="167"/>
        <v>24321312.21887169</v>
      </c>
      <c r="AE808" s="311">
        <f t="shared" si="167"/>
        <v>32081238.945225477</v>
      </c>
      <c r="AF808" s="311">
        <f t="shared" si="167"/>
        <v>28284732.570923664</v>
      </c>
      <c r="AG808" s="311">
        <f t="shared" si="167"/>
        <v>33429347.886420995</v>
      </c>
      <c r="AH808" s="311">
        <f t="shared" si="167"/>
        <v>27741822.918065168</v>
      </c>
      <c r="AI808" s="311">
        <f t="shared" si="167"/>
        <v>26751056.121198773</v>
      </c>
      <c r="AJ808" s="311">
        <f t="shared" si="167"/>
        <v>25452274.161973521</v>
      </c>
      <c r="AK808" s="311">
        <f t="shared" si="167"/>
        <v>14594198.138646472</v>
      </c>
      <c r="AL808" s="311">
        <f t="shared" si="167"/>
        <v>17402069.005483046</v>
      </c>
      <c r="AM808" s="311">
        <f t="shared" si="167"/>
        <v>18567382.988488931</v>
      </c>
      <c r="AN808" s="311">
        <f t="shared" si="167"/>
        <v>8084859.3432582822</v>
      </c>
      <c r="AO808" s="311">
        <f t="shared" si="167"/>
        <v>9326806.3449668735</v>
      </c>
      <c r="AP808" s="311">
        <f t="shared" si="167"/>
        <v>9782141.022973422</v>
      </c>
      <c r="AQ808" s="311">
        <f t="shared" si="167"/>
        <v>16491616.096939361</v>
      </c>
      <c r="AR808" s="311">
        <f t="shared" si="167"/>
        <v>8288274.1705242712</v>
      </c>
      <c r="AS808" s="311">
        <f t="shared" si="167"/>
        <v>3111642.0300399186</v>
      </c>
      <c r="AT808" s="311">
        <f t="shared" si="167"/>
        <v>14444895.46505598</v>
      </c>
      <c r="AU808" s="311">
        <f t="shared" si="167"/>
        <v>22914982.534930371</v>
      </c>
      <c r="AV808" s="311">
        <f t="shared" si="167"/>
        <v>1374650.8042443837</v>
      </c>
      <c r="AW808" s="311">
        <f t="shared" si="167"/>
        <v>1346742.8517900745</v>
      </c>
      <c r="AX808" s="311">
        <f t="shared" si="167"/>
        <v>1347890.6983661558</v>
      </c>
      <c r="AY808" s="311">
        <f t="shared" si="167"/>
        <v>14064753.212177312</v>
      </c>
      <c r="AZ808" s="311">
        <f t="shared" si="167"/>
        <v>602732.9750754612</v>
      </c>
      <c r="BA808" s="311">
        <f t="shared" si="167"/>
        <v>7387217.225694444</v>
      </c>
      <c r="BB808" s="311">
        <f t="shared" si="167"/>
        <v>239120.88958333331</v>
      </c>
      <c r="BC808" s="311">
        <f t="shared" si="167"/>
        <v>238467.55381944444</v>
      </c>
      <c r="BD808" s="311">
        <f t="shared" si="167"/>
        <v>238467.55381944444</v>
      </c>
      <c r="BE808" s="311">
        <f t="shared" si="167"/>
        <v>238467.55381944444</v>
      </c>
      <c r="BF808" s="311">
        <f t="shared" si="167"/>
        <v>239120.88958333331</v>
      </c>
      <c r="BG808" s="311">
        <f t="shared" si="167"/>
        <v>238467.55381944444</v>
      </c>
      <c r="BH808" s="311">
        <f t="shared" si="167"/>
        <v>238467.55381944444</v>
      </c>
      <c r="BI808" s="311">
        <f t="shared" si="167"/>
        <v>238467.55381944444</v>
      </c>
      <c r="BJ808" s="311">
        <f t="shared" si="167"/>
        <v>239120.88958333331</v>
      </c>
      <c r="BK808" s="311">
        <f t="shared" si="167"/>
        <v>6189913.7805555556</v>
      </c>
    </row>
    <row r="809" spans="1:63">
      <c r="A809" s="167"/>
      <c r="B809" s="210" t="s">
        <v>28</v>
      </c>
      <c r="C809" s="211"/>
      <c r="D809" s="212"/>
      <c r="E809" s="212"/>
      <c r="F809" s="212"/>
      <c r="G809" s="212"/>
      <c r="H809" s="212"/>
      <c r="I809" s="212"/>
      <c r="J809" s="212"/>
      <c r="K809" s="212"/>
      <c r="L809" s="212"/>
      <c r="M809" s="212"/>
      <c r="N809" s="212"/>
      <c r="O809" s="212"/>
      <c r="P809" s="212"/>
      <c r="Q809" s="212"/>
      <c r="R809" s="212"/>
      <c r="S809" s="235"/>
      <c r="T809" s="235"/>
      <c r="U809" s="235"/>
      <c r="V809" s="235"/>
      <c r="W809" s="236"/>
      <c r="X809" s="236"/>
      <c r="Y809" s="236">
        <v>2618947.7440732345</v>
      </c>
      <c r="Z809" s="236">
        <v>23307418.055715308</v>
      </c>
      <c r="AA809" s="236">
        <v>21631695.582908958</v>
      </c>
      <c r="AB809" s="236">
        <v>21222974.679312814</v>
      </c>
      <c r="AC809" s="236">
        <v>21789054.739647094</v>
      </c>
      <c r="AD809" s="236">
        <v>12487212.138982883</v>
      </c>
      <c r="AE809" s="236">
        <v>20452134.805693433</v>
      </c>
      <c r="AF809" s="236">
        <v>17535195.043420918</v>
      </c>
      <c r="AG809" s="236">
        <v>22985831.706396449</v>
      </c>
      <c r="AH809" s="236">
        <v>18297078.037143357</v>
      </c>
      <c r="AI809" s="236">
        <v>18175702.755019654</v>
      </c>
      <c r="AJ809" s="236">
        <v>17911381.024772394</v>
      </c>
      <c r="AK809" s="236">
        <v>8241377.0360189024</v>
      </c>
      <c r="AL809" s="236">
        <v>11014513.082562709</v>
      </c>
      <c r="AM809" s="236">
        <v>12564398.71511123</v>
      </c>
      <c r="AN809" s="236">
        <v>3415275.9307040698</v>
      </c>
      <c r="AO809" s="236">
        <v>4727437.1818618737</v>
      </c>
      <c r="AP809" s="236">
        <v>5376639.9110030411</v>
      </c>
      <c r="AQ809" s="236">
        <v>12195990.404416719</v>
      </c>
      <c r="AR809" s="236">
        <v>4930151.9586763596</v>
      </c>
      <c r="AS809" s="236">
        <v>152992.26147984577</v>
      </c>
      <c r="AT809" s="236">
        <v>11164389.743493188</v>
      </c>
      <c r="AU809" s="236">
        <v>19974141.961039856</v>
      </c>
      <c r="AV809" s="236">
        <v>133626.57097694193</v>
      </c>
      <c r="AW809" s="236">
        <v>109796.0304364014</v>
      </c>
      <c r="AX809" s="236">
        <v>109796.0304364014</v>
      </c>
      <c r="AY809" s="236">
        <v>12450865.458607132</v>
      </c>
      <c r="AZ809" s="236">
        <v>65166.306634886023</v>
      </c>
      <c r="BA809" s="236">
        <v>6612974.9999999991</v>
      </c>
      <c r="BB809" s="236">
        <v>0</v>
      </c>
      <c r="BC809" s="236">
        <v>0</v>
      </c>
      <c r="BD809" s="236">
        <v>0</v>
      </c>
      <c r="BE809" s="236">
        <v>0</v>
      </c>
      <c r="BF809" s="236">
        <v>0</v>
      </c>
      <c r="BG809" s="236">
        <v>0</v>
      </c>
      <c r="BH809" s="236">
        <v>0</v>
      </c>
      <c r="BI809" s="236">
        <v>0</v>
      </c>
      <c r="BJ809" s="236">
        <v>0</v>
      </c>
      <c r="BK809" s="236">
        <v>5731244.9999999991</v>
      </c>
    </row>
    <row r="810" spans="1:63">
      <c r="A810" s="168">
        <v>45077</v>
      </c>
      <c r="B810" s="213" t="s">
        <v>385</v>
      </c>
      <c r="C810" s="214"/>
      <c r="D810" s="215"/>
      <c r="E810" s="215"/>
      <c r="F810" s="215"/>
      <c r="G810" s="215"/>
      <c r="H810" s="215"/>
      <c r="I810" s="215"/>
      <c r="J810" s="215"/>
      <c r="K810" s="215"/>
      <c r="L810" s="215"/>
      <c r="M810" s="215"/>
      <c r="N810" s="215"/>
      <c r="O810" s="215"/>
      <c r="P810" s="215"/>
      <c r="Q810" s="215"/>
      <c r="R810" s="216"/>
      <c r="S810" s="236"/>
      <c r="T810" s="236"/>
      <c r="U810" s="236"/>
      <c r="V810" s="236"/>
      <c r="W810" s="236"/>
      <c r="X810" s="236"/>
      <c r="Y810" s="236">
        <v>8502917.9617039617</v>
      </c>
      <c r="Z810" s="236">
        <v>14759917.336079171</v>
      </c>
      <c r="AA810" s="236">
        <v>13303917.65357499</v>
      </c>
      <c r="AB810" s="236">
        <v>12036534.771508997</v>
      </c>
      <c r="AC810" s="236">
        <v>11301025.590616183</v>
      </c>
      <c r="AD810" s="236">
        <v>10534333.5439342</v>
      </c>
      <c r="AE810" s="236">
        <v>9896995.9048054051</v>
      </c>
      <c r="AF810" s="236">
        <v>9230287.3457132448</v>
      </c>
      <c r="AG810" s="236">
        <v>8633670.0281911884</v>
      </c>
      <c r="AH810" s="236">
        <v>7942996.0893103387</v>
      </c>
      <c r="AI810" s="236">
        <v>7119044.1831005542</v>
      </c>
      <c r="AJ810" s="236">
        <v>6144678.4787013819</v>
      </c>
      <c r="AK810" s="236">
        <v>5471476.4315755833</v>
      </c>
      <c r="AL810" s="236">
        <v>5261478.2896456094</v>
      </c>
      <c r="AM810" s="236">
        <v>4982048.4811654473</v>
      </c>
      <c r="AN810" s="236">
        <v>4233843.4572933912</v>
      </c>
      <c r="AO810" s="236">
        <v>4090157.8171585407</v>
      </c>
      <c r="AP810" s="236">
        <v>3863985.6699555959</v>
      </c>
      <c r="AQ810" s="236">
        <v>3375995.6955456897</v>
      </c>
      <c r="AR810" s="236">
        <v>2893662.8596004164</v>
      </c>
      <c r="AS810" s="236">
        <v>2782203.0435721674</v>
      </c>
      <c r="AT810" s="236">
        <v>2472095.1612645895</v>
      </c>
      <c r="AU810" s="236">
        <v>1660131.1646206146</v>
      </c>
      <c r="AV810" s="236">
        <v>1161460.2657325966</v>
      </c>
      <c r="AW810" s="236">
        <v>1158967.5245489464</v>
      </c>
      <c r="AX810" s="236">
        <v>1160079.919280231</v>
      </c>
      <c r="AY810" s="236">
        <v>826791.29982142698</v>
      </c>
      <c r="AZ810" s="236">
        <v>502243.89350883535</v>
      </c>
      <c r="BA810" s="236">
        <v>362320.61406249995</v>
      </c>
      <c r="BB810" s="236">
        <v>225787.17281249998</v>
      </c>
      <c r="BC810" s="236">
        <v>225170.26796874998</v>
      </c>
      <c r="BD810" s="236">
        <v>225170.26796874998</v>
      </c>
      <c r="BE810" s="236">
        <v>225170.26796874998</v>
      </c>
      <c r="BF810" s="236">
        <v>225787.17281249998</v>
      </c>
      <c r="BG810" s="236">
        <v>225170.26796874998</v>
      </c>
      <c r="BH810" s="236">
        <v>225170.26796874998</v>
      </c>
      <c r="BI810" s="236">
        <v>225170.26796874998</v>
      </c>
      <c r="BJ810" s="236">
        <v>225787.17281249998</v>
      </c>
      <c r="BK810" s="236">
        <v>113510.49124999998</v>
      </c>
    </row>
    <row r="811" spans="1:63">
      <c r="A811" s="169"/>
      <c r="B811" s="307" t="s">
        <v>29</v>
      </c>
      <c r="C811" s="313"/>
      <c r="D811" s="314"/>
      <c r="E811" s="314"/>
      <c r="F811" s="314"/>
      <c r="G811" s="314"/>
      <c r="H811" s="314"/>
      <c r="I811" s="314"/>
      <c r="J811" s="314"/>
      <c r="K811" s="314"/>
      <c r="L811" s="314"/>
      <c r="M811" s="314"/>
      <c r="N811" s="314"/>
      <c r="O811" s="314"/>
      <c r="P811" s="314"/>
      <c r="Q811" s="314"/>
      <c r="R811" s="314"/>
      <c r="S811" s="311"/>
      <c r="T811" s="311"/>
      <c r="U811" s="311"/>
      <c r="V811" s="311"/>
      <c r="W811" s="311"/>
      <c r="X811" s="311"/>
      <c r="Y811" s="311">
        <f t="shared" ref="Y811:BK811" si="168">Y809+Y810</f>
        <v>11121865.705777196</v>
      </c>
      <c r="Z811" s="311">
        <f t="shared" si="168"/>
        <v>38067335.39179448</v>
      </c>
      <c r="AA811" s="311">
        <f t="shared" si="168"/>
        <v>34935613.236483946</v>
      </c>
      <c r="AB811" s="311">
        <f t="shared" si="168"/>
        <v>33259509.450821809</v>
      </c>
      <c r="AC811" s="311">
        <f t="shared" si="168"/>
        <v>33090080.330263279</v>
      </c>
      <c r="AD811" s="311">
        <f t="shared" si="168"/>
        <v>23021545.682917081</v>
      </c>
      <c r="AE811" s="311">
        <f t="shared" si="168"/>
        <v>30349130.71049884</v>
      </c>
      <c r="AF811" s="311">
        <f t="shared" si="168"/>
        <v>26765482.389134161</v>
      </c>
      <c r="AG811" s="311">
        <f t="shared" si="168"/>
        <v>31619501.73458764</v>
      </c>
      <c r="AH811" s="311">
        <f t="shared" si="168"/>
        <v>26240074.126453698</v>
      </c>
      <c r="AI811" s="311">
        <f t="shared" si="168"/>
        <v>25294746.938120209</v>
      </c>
      <c r="AJ811" s="311">
        <f t="shared" si="168"/>
        <v>24056059.503473777</v>
      </c>
      <c r="AK811" s="311">
        <f t="shared" si="168"/>
        <v>13712853.467594486</v>
      </c>
      <c r="AL811" s="311">
        <f t="shared" si="168"/>
        <v>16275991.37220832</v>
      </c>
      <c r="AM811" s="311">
        <f t="shared" si="168"/>
        <v>17546447.196276676</v>
      </c>
      <c r="AN811" s="311">
        <f t="shared" si="168"/>
        <v>7649119.3879974615</v>
      </c>
      <c r="AO811" s="311">
        <f t="shared" si="168"/>
        <v>8817594.9990204144</v>
      </c>
      <c r="AP811" s="311">
        <f t="shared" si="168"/>
        <v>9240625.5809586365</v>
      </c>
      <c r="AQ811" s="311">
        <f t="shared" si="168"/>
        <v>15571986.09996241</v>
      </c>
      <c r="AR811" s="311">
        <f t="shared" si="168"/>
        <v>7823814.818276776</v>
      </c>
      <c r="AS811" s="311">
        <f t="shared" si="168"/>
        <v>2935195.3050520131</v>
      </c>
      <c r="AT811" s="311">
        <f t="shared" si="168"/>
        <v>13636484.904757777</v>
      </c>
      <c r="AU811" s="311">
        <f t="shared" si="168"/>
        <v>21634273.125660472</v>
      </c>
      <c r="AV811" s="311">
        <f t="shared" si="168"/>
        <v>1295086.8367095385</v>
      </c>
      <c r="AW811" s="311">
        <f t="shared" si="168"/>
        <v>1268763.5549853479</v>
      </c>
      <c r="AX811" s="311">
        <f t="shared" si="168"/>
        <v>1269875.9497166325</v>
      </c>
      <c r="AY811" s="311">
        <f t="shared" si="168"/>
        <v>13277656.758428559</v>
      </c>
      <c r="AZ811" s="311">
        <f t="shared" si="168"/>
        <v>567410.20014372142</v>
      </c>
      <c r="BA811" s="311">
        <f t="shared" si="168"/>
        <v>6975295.6140624993</v>
      </c>
      <c r="BB811" s="311">
        <f t="shared" si="168"/>
        <v>225787.17281249998</v>
      </c>
      <c r="BC811" s="311">
        <f t="shared" si="168"/>
        <v>225170.26796874998</v>
      </c>
      <c r="BD811" s="311">
        <f t="shared" si="168"/>
        <v>225170.26796874998</v>
      </c>
      <c r="BE811" s="311">
        <f t="shared" si="168"/>
        <v>225170.26796874998</v>
      </c>
      <c r="BF811" s="311">
        <f t="shared" si="168"/>
        <v>225787.17281249998</v>
      </c>
      <c r="BG811" s="311">
        <f t="shared" si="168"/>
        <v>225170.26796874998</v>
      </c>
      <c r="BH811" s="311">
        <f t="shared" si="168"/>
        <v>225170.26796874998</v>
      </c>
      <c r="BI811" s="311">
        <f t="shared" si="168"/>
        <v>225170.26796874998</v>
      </c>
      <c r="BJ811" s="311">
        <f t="shared" si="168"/>
        <v>225787.17281249998</v>
      </c>
      <c r="BK811" s="311">
        <f t="shared" si="168"/>
        <v>5844755.491249999</v>
      </c>
    </row>
    <row r="812" spans="1:63">
      <c r="A812" s="167"/>
      <c r="B812" s="210" t="s">
        <v>28</v>
      </c>
      <c r="C812" s="211"/>
      <c r="D812" s="212"/>
      <c r="E812" s="212"/>
      <c r="F812" s="212"/>
      <c r="G812" s="212"/>
      <c r="H812" s="212"/>
      <c r="I812" s="212"/>
      <c r="J812" s="212"/>
      <c r="K812" s="212"/>
      <c r="L812" s="212"/>
      <c r="M812" s="212"/>
      <c r="N812" s="212"/>
      <c r="O812" s="212"/>
      <c r="P812" s="212"/>
      <c r="Q812" s="212"/>
      <c r="R812" s="212"/>
      <c r="S812" s="235"/>
      <c r="T812" s="235"/>
      <c r="U812" s="235"/>
      <c r="V812" s="235"/>
      <c r="W812" s="236"/>
      <c r="X812" s="236"/>
      <c r="Y812" s="236">
        <v>2183320.1921699792</v>
      </c>
      <c r="Z812" s="236">
        <v>22206881.650387235</v>
      </c>
      <c r="AA812" s="236">
        <v>20619384.712938998</v>
      </c>
      <c r="AB812" s="236">
        <v>20317830.628817189</v>
      </c>
      <c r="AC812" s="236">
        <v>20847758.436077826</v>
      </c>
      <c r="AD812" s="236">
        <v>11901564.808665283</v>
      </c>
      <c r="AE812" s="236">
        <v>19476735.545551833</v>
      </c>
      <c r="AF812" s="236">
        <v>16702737.639468445</v>
      </c>
      <c r="AG812" s="236">
        <v>21890280.152718242</v>
      </c>
      <c r="AH812" s="236">
        <v>17422694.271651682</v>
      </c>
      <c r="AI812" s="236">
        <v>17302633.652922396</v>
      </c>
      <c r="AJ812" s="236">
        <v>17042431.395095974</v>
      </c>
      <c r="AK812" s="236">
        <v>7929471.2651503962</v>
      </c>
      <c r="AL812" s="236">
        <v>10582442.252779031</v>
      </c>
      <c r="AM812" s="236">
        <v>11955725.083558297</v>
      </c>
      <c r="AN812" s="236">
        <v>3253384.5384435277</v>
      </c>
      <c r="AO812" s="236">
        <v>4500849.229165785</v>
      </c>
      <c r="AP812" s="236">
        <v>5116176.0948491096</v>
      </c>
      <c r="AQ812" s="236">
        <v>11596355.667574352</v>
      </c>
      <c r="AR812" s="236">
        <v>4688761.8778966358</v>
      </c>
      <c r="AS812" s="236">
        <v>147141.67768437124</v>
      </c>
      <c r="AT812" s="236">
        <v>10615580.328433659</v>
      </c>
      <c r="AU812" s="236">
        <v>18990926.589436915</v>
      </c>
      <c r="AV812" s="236">
        <v>128654.6141014043</v>
      </c>
      <c r="AW812" s="236">
        <v>105999.04653383674</v>
      </c>
      <c r="AX812" s="236">
        <v>105999.04653383674</v>
      </c>
      <c r="AY812" s="236">
        <v>11838587.814728959</v>
      </c>
      <c r="AZ812" s="236">
        <v>62945.611771787451</v>
      </c>
      <c r="BA812" s="236">
        <v>6286920</v>
      </c>
      <c r="BB812" s="236">
        <v>0</v>
      </c>
      <c r="BC812" s="236">
        <v>0</v>
      </c>
      <c r="BD812" s="236">
        <v>0</v>
      </c>
      <c r="BE812" s="236">
        <v>0</v>
      </c>
      <c r="BF812" s="236">
        <v>0</v>
      </c>
      <c r="BG812" s="236">
        <v>0</v>
      </c>
      <c r="BH812" s="236">
        <v>0</v>
      </c>
      <c r="BI812" s="236">
        <v>0</v>
      </c>
      <c r="BJ812" s="236">
        <v>0</v>
      </c>
      <c r="BK812" s="236">
        <v>5448664</v>
      </c>
    </row>
    <row r="813" spans="1:63">
      <c r="A813" s="168">
        <v>45107</v>
      </c>
      <c r="B813" s="213" t="s">
        <v>385</v>
      </c>
      <c r="C813" s="214"/>
      <c r="D813" s="215"/>
      <c r="E813" s="215"/>
      <c r="F813" s="215"/>
      <c r="G813" s="215"/>
      <c r="H813" s="215"/>
      <c r="I813" s="215"/>
      <c r="J813" s="215"/>
      <c r="K813" s="215"/>
      <c r="L813" s="215"/>
      <c r="M813" s="215"/>
      <c r="N813" s="215"/>
      <c r="O813" s="215"/>
      <c r="P813" s="215"/>
      <c r="Q813" s="215"/>
      <c r="R813" s="216"/>
      <c r="S813" s="236"/>
      <c r="T813" s="236"/>
      <c r="U813" s="236"/>
      <c r="V813" s="236"/>
      <c r="W813" s="236"/>
      <c r="X813" s="236"/>
      <c r="Y813" s="236">
        <v>7136615.7643142799</v>
      </c>
      <c r="Z813" s="236">
        <v>12527008.056967387</v>
      </c>
      <c r="AA813" s="236">
        <v>12826805.021891695</v>
      </c>
      <c r="AB813" s="236">
        <v>11772581.529409518</v>
      </c>
      <c r="AC813" s="236">
        <v>10892432.259858299</v>
      </c>
      <c r="AD813" s="236">
        <v>10148483.131254258</v>
      </c>
      <c r="AE813" s="236">
        <v>9547508.7019998841</v>
      </c>
      <c r="AF813" s="236">
        <v>8883834.74633798</v>
      </c>
      <c r="AG813" s="236">
        <v>8267879.4443281656</v>
      </c>
      <c r="AH813" s="236">
        <v>7594093.4419329222</v>
      </c>
      <c r="AI813" s="236">
        <v>6801952.3892765371</v>
      </c>
      <c r="AJ813" s="236">
        <v>5882118.9879457131</v>
      </c>
      <c r="AK813" s="236">
        <v>5236079.4253231268</v>
      </c>
      <c r="AL813" s="236">
        <v>5026417.9812993454</v>
      </c>
      <c r="AM813" s="236">
        <v>4753905.7883539936</v>
      </c>
      <c r="AN813" s="236">
        <v>4037118.8917877078</v>
      </c>
      <c r="AO813" s="236">
        <v>3896728.9878522549</v>
      </c>
      <c r="AP813" s="236">
        <v>3677189.7294352716</v>
      </c>
      <c r="AQ813" s="236">
        <v>3210012.3322501867</v>
      </c>
      <c r="AR813" s="236">
        <v>2751343.6773837521</v>
      </c>
      <c r="AS813" s="236">
        <v>2645310.6480983566</v>
      </c>
      <c r="AT813" s="236">
        <v>2350425.1350885229</v>
      </c>
      <c r="AU813" s="236">
        <v>1578438.0105314662</v>
      </c>
      <c r="AV813" s="236">
        <v>1104308.3505773158</v>
      </c>
      <c r="AW813" s="236">
        <v>1101912.326456873</v>
      </c>
      <c r="AX813" s="236">
        <v>1102943.6862022029</v>
      </c>
      <c r="AY813" s="236">
        <v>786061.78848029766</v>
      </c>
      <c r="AZ813" s="236">
        <v>477488.62417030113</v>
      </c>
      <c r="BA813" s="236">
        <v>344456.27194444439</v>
      </c>
      <c r="BB813" s="236">
        <v>214654.65883333332</v>
      </c>
      <c r="BC813" s="236">
        <v>214068.17069444444</v>
      </c>
      <c r="BD813" s="236">
        <v>214068.17069444444</v>
      </c>
      <c r="BE813" s="236">
        <v>214068.17069444444</v>
      </c>
      <c r="BF813" s="236">
        <v>214654.65883333332</v>
      </c>
      <c r="BG813" s="236">
        <v>214068.17069444444</v>
      </c>
      <c r="BH813" s="236">
        <v>214068.17069444444</v>
      </c>
      <c r="BI813" s="236">
        <v>214068.17069444444</v>
      </c>
      <c r="BJ813" s="236">
        <v>214654.65883333332</v>
      </c>
      <c r="BK813" s="236">
        <v>107913.81755555554</v>
      </c>
    </row>
    <row r="814" spans="1:63">
      <c r="A814" s="169"/>
      <c r="B814" s="307" t="s">
        <v>29</v>
      </c>
      <c r="C814" s="313"/>
      <c r="D814" s="314"/>
      <c r="E814" s="314"/>
      <c r="F814" s="314"/>
      <c r="G814" s="314"/>
      <c r="H814" s="314"/>
      <c r="I814" s="314"/>
      <c r="J814" s="314"/>
      <c r="K814" s="314"/>
      <c r="L814" s="314"/>
      <c r="M814" s="314"/>
      <c r="N814" s="314"/>
      <c r="O814" s="314"/>
      <c r="P814" s="314"/>
      <c r="Q814" s="314"/>
      <c r="R814" s="314"/>
      <c r="S814" s="311"/>
      <c r="T814" s="311"/>
      <c r="U814" s="311"/>
      <c r="V814" s="311"/>
      <c r="W814" s="311"/>
      <c r="X814" s="311"/>
      <c r="Y814" s="311">
        <f t="shared" ref="Y814:BK814" si="169">Y812+Y813</f>
        <v>9319935.9564842582</v>
      </c>
      <c r="Z814" s="311">
        <f t="shared" si="169"/>
        <v>34733889.70735462</v>
      </c>
      <c r="AA814" s="311">
        <f t="shared" si="169"/>
        <v>33446189.734830692</v>
      </c>
      <c r="AB814" s="311">
        <f t="shared" si="169"/>
        <v>32090412.158226706</v>
      </c>
      <c r="AC814" s="311">
        <f t="shared" si="169"/>
        <v>31740190.695936125</v>
      </c>
      <c r="AD814" s="311">
        <f t="shared" si="169"/>
        <v>22050047.939919539</v>
      </c>
      <c r="AE814" s="311">
        <f t="shared" si="169"/>
        <v>29024244.247551717</v>
      </c>
      <c r="AF814" s="311">
        <f t="shared" si="169"/>
        <v>25586572.385806426</v>
      </c>
      <c r="AG814" s="311">
        <f t="shared" si="169"/>
        <v>30158159.597046409</v>
      </c>
      <c r="AH814" s="311">
        <f t="shared" si="169"/>
        <v>25016787.713584602</v>
      </c>
      <c r="AI814" s="311">
        <f t="shared" si="169"/>
        <v>24104586.042198934</v>
      </c>
      <c r="AJ814" s="311">
        <f t="shared" si="169"/>
        <v>22924550.383041687</v>
      </c>
      <c r="AK814" s="311">
        <f t="shared" si="169"/>
        <v>13165550.690473523</v>
      </c>
      <c r="AL814" s="311">
        <f t="shared" si="169"/>
        <v>15608860.234078377</v>
      </c>
      <c r="AM814" s="311">
        <f t="shared" si="169"/>
        <v>16709630.871912289</v>
      </c>
      <c r="AN814" s="311">
        <f t="shared" si="169"/>
        <v>7290503.4302312359</v>
      </c>
      <c r="AO814" s="311">
        <f t="shared" si="169"/>
        <v>8397578.2170180399</v>
      </c>
      <c r="AP814" s="311">
        <f t="shared" si="169"/>
        <v>8793365.8242843822</v>
      </c>
      <c r="AQ814" s="311">
        <f t="shared" si="169"/>
        <v>14806367.999824539</v>
      </c>
      <c r="AR814" s="311">
        <f t="shared" si="169"/>
        <v>7440105.5552803874</v>
      </c>
      <c r="AS814" s="311">
        <f t="shared" si="169"/>
        <v>2792452.3257827279</v>
      </c>
      <c r="AT814" s="311">
        <f t="shared" si="169"/>
        <v>12966005.463522181</v>
      </c>
      <c r="AU814" s="311">
        <f t="shared" si="169"/>
        <v>20569364.599968381</v>
      </c>
      <c r="AV814" s="311">
        <f t="shared" si="169"/>
        <v>1232962.9646787201</v>
      </c>
      <c r="AW814" s="311">
        <f t="shared" si="169"/>
        <v>1207911.3729907097</v>
      </c>
      <c r="AX814" s="311">
        <f t="shared" si="169"/>
        <v>1208942.7327360397</v>
      </c>
      <c r="AY814" s="311">
        <f t="shared" si="169"/>
        <v>12624649.603209257</v>
      </c>
      <c r="AZ814" s="311">
        <f t="shared" si="169"/>
        <v>540434.23594208853</v>
      </c>
      <c r="BA814" s="311">
        <f t="shared" si="169"/>
        <v>6631376.2719444446</v>
      </c>
      <c r="BB814" s="311">
        <f t="shared" si="169"/>
        <v>214654.65883333332</v>
      </c>
      <c r="BC814" s="311">
        <f t="shared" si="169"/>
        <v>214068.17069444444</v>
      </c>
      <c r="BD814" s="311">
        <f t="shared" si="169"/>
        <v>214068.17069444444</v>
      </c>
      <c r="BE814" s="311">
        <f t="shared" si="169"/>
        <v>214068.17069444444</v>
      </c>
      <c r="BF814" s="311">
        <f t="shared" si="169"/>
        <v>214654.65883333332</v>
      </c>
      <c r="BG814" s="311">
        <f t="shared" si="169"/>
        <v>214068.17069444444</v>
      </c>
      <c r="BH814" s="311">
        <f t="shared" si="169"/>
        <v>214068.17069444444</v>
      </c>
      <c r="BI814" s="311">
        <f t="shared" si="169"/>
        <v>214068.17069444444</v>
      </c>
      <c r="BJ814" s="311">
        <f t="shared" si="169"/>
        <v>214654.65883333332</v>
      </c>
      <c r="BK814" s="311">
        <f t="shared" si="169"/>
        <v>5556577.8175555551</v>
      </c>
    </row>
    <row r="815" spans="1:63">
      <c r="A815" s="167"/>
      <c r="B815" s="210" t="s">
        <v>28</v>
      </c>
      <c r="C815" s="211"/>
      <c r="D815" s="212"/>
      <c r="E815" s="212"/>
      <c r="F815" s="212"/>
      <c r="G815" s="212"/>
      <c r="H815" s="212"/>
      <c r="I815" s="212"/>
      <c r="J815" s="212"/>
      <c r="K815" s="212"/>
      <c r="L815" s="212"/>
      <c r="M815" s="212"/>
      <c r="N815" s="212"/>
      <c r="O815" s="212"/>
      <c r="P815" s="212"/>
      <c r="Q815" s="212"/>
      <c r="R815" s="212"/>
      <c r="S815" s="235"/>
      <c r="T815" s="235"/>
      <c r="U815" s="235"/>
      <c r="V815" s="235"/>
      <c r="W815" s="236"/>
      <c r="X815" s="236"/>
      <c r="Y815" s="236">
        <v>2008610.8383348677</v>
      </c>
      <c r="Z815" s="236">
        <v>20912278.921647619</v>
      </c>
      <c r="AA815" s="236">
        <v>19431630.604193218</v>
      </c>
      <c r="AB815" s="236">
        <v>19141198.61360294</v>
      </c>
      <c r="AC815" s="236">
        <v>19676630.27722742</v>
      </c>
      <c r="AD815" s="236">
        <v>11179183.339848012</v>
      </c>
      <c r="AE815" s="236">
        <v>18267249.441098053</v>
      </c>
      <c r="AF815" s="236">
        <v>15669782.478335643</v>
      </c>
      <c r="AG815" s="236">
        <v>20533637.956234574</v>
      </c>
      <c r="AH815" s="236">
        <v>16340208.340879584</v>
      </c>
      <c r="AI815" s="236">
        <v>16225553.136505889</v>
      </c>
      <c r="AJ815" s="236">
        <v>15967051.680816889</v>
      </c>
      <c r="AK815" s="236">
        <v>7479284.9937378597</v>
      </c>
      <c r="AL815" s="236">
        <v>10002113.800071739</v>
      </c>
      <c r="AM815" s="236">
        <v>11207194.040197738</v>
      </c>
      <c r="AN815" s="236">
        <v>3057195.1259990754</v>
      </c>
      <c r="AO815" s="236">
        <v>4224956.5829768647</v>
      </c>
      <c r="AP815" s="236">
        <v>4794002.5637080139</v>
      </c>
      <c r="AQ815" s="236">
        <v>10856868.02088196</v>
      </c>
      <c r="AR815" s="236">
        <v>4390615.4302980285</v>
      </c>
      <c r="AS815" s="236">
        <v>139169.22786563981</v>
      </c>
      <c r="AT815" s="236">
        <v>9938756.5524605922</v>
      </c>
      <c r="AU815" s="236">
        <v>17778983.714946434</v>
      </c>
      <c r="AV815" s="236">
        <v>121732.85413852068</v>
      </c>
      <c r="AW815" s="236">
        <v>100524.80008446664</v>
      </c>
      <c r="AX815" s="236">
        <v>100524.80008446664</v>
      </c>
      <c r="AY815" s="236">
        <v>11083492.940157637</v>
      </c>
      <c r="AZ815" s="236">
        <v>59720.846564472246</v>
      </c>
      <c r="BA815" s="236">
        <v>5885235</v>
      </c>
      <c r="BB815" s="236">
        <v>0</v>
      </c>
      <c r="BC815" s="236">
        <v>0</v>
      </c>
      <c r="BD815" s="236">
        <v>0</v>
      </c>
      <c r="BE815" s="236">
        <v>0</v>
      </c>
      <c r="BF815" s="236">
        <v>0</v>
      </c>
      <c r="BG815" s="236">
        <v>0</v>
      </c>
      <c r="BH815" s="236">
        <v>0</v>
      </c>
      <c r="BI815" s="236">
        <v>0</v>
      </c>
      <c r="BJ815" s="236">
        <v>0</v>
      </c>
      <c r="BK815" s="236">
        <v>5100537</v>
      </c>
    </row>
    <row r="816" spans="1:63">
      <c r="A816" s="168">
        <v>45138</v>
      </c>
      <c r="B816" s="213" t="s">
        <v>385</v>
      </c>
      <c r="C816" s="214"/>
      <c r="D816" s="215"/>
      <c r="E816" s="215"/>
      <c r="F816" s="215"/>
      <c r="G816" s="215"/>
      <c r="H816" s="215"/>
      <c r="I816" s="215"/>
      <c r="J816" s="215"/>
      <c r="K816" s="215"/>
      <c r="L816" s="215"/>
      <c r="M816" s="215"/>
      <c r="N816" s="215"/>
      <c r="O816" s="215"/>
      <c r="P816" s="215"/>
      <c r="Q816" s="215"/>
      <c r="R816" s="216"/>
      <c r="S816" s="236"/>
      <c r="T816" s="236"/>
      <c r="U816" s="236"/>
      <c r="V816" s="236"/>
      <c r="W816" s="236"/>
      <c r="X816" s="236"/>
      <c r="Y816" s="236">
        <v>5050981.6270824093</v>
      </c>
      <c r="Z816" s="236">
        <v>12989329.256938236</v>
      </c>
      <c r="AA816" s="236">
        <v>12102564.869594017</v>
      </c>
      <c r="AB816" s="236">
        <v>11092368.990175674</v>
      </c>
      <c r="AC816" s="236">
        <v>10297153.852967074</v>
      </c>
      <c r="AD816" s="236">
        <v>9592002.5406767074</v>
      </c>
      <c r="AE816" s="236">
        <v>9018086.1536537744</v>
      </c>
      <c r="AF816" s="236">
        <v>8394089.7364126462</v>
      </c>
      <c r="AG816" s="236">
        <v>7812304.5208969563</v>
      </c>
      <c r="AH816" s="236">
        <v>7176154.539039528</v>
      </c>
      <c r="AI816" s="236">
        <v>6427125.8820983106</v>
      </c>
      <c r="AJ816" s="236">
        <v>5552440.5511572603</v>
      </c>
      <c r="AK816" s="236">
        <v>4941150.3673760118</v>
      </c>
      <c r="AL816" s="236">
        <v>4738031.3934392566</v>
      </c>
      <c r="AM816" s="236">
        <v>4475830.8246584432</v>
      </c>
      <c r="AN816" s="236">
        <v>3799107.6843110952</v>
      </c>
      <c r="AO816" s="236">
        <v>3660800.5264461474</v>
      </c>
      <c r="AP816" s="236">
        <v>3450200.147549008</v>
      </c>
      <c r="AQ816" s="236">
        <v>3008479.2766226544</v>
      </c>
      <c r="AR816" s="236">
        <v>2576460.1864314056</v>
      </c>
      <c r="AS816" s="236">
        <v>2476583.9470916293</v>
      </c>
      <c r="AT816" s="236">
        <v>2200482.0381304701</v>
      </c>
      <c r="AU816" s="236">
        <v>1477769.5628584321</v>
      </c>
      <c r="AV816" s="236">
        <v>1033888.9513547051</v>
      </c>
      <c r="AW816" s="236">
        <v>1031610.9794435876</v>
      </c>
      <c r="AX816" s="236">
        <v>1032541.4658282781</v>
      </c>
      <c r="AY816" s="236">
        <v>735870.74654006981</v>
      </c>
      <c r="AZ816" s="236">
        <v>446987.29232328705</v>
      </c>
      <c r="BA816" s="236">
        <v>322448.21114583331</v>
      </c>
      <c r="BB816" s="236">
        <v>200939.90556249997</v>
      </c>
      <c r="BC816" s="236">
        <v>200390.88942708331</v>
      </c>
      <c r="BD816" s="236">
        <v>200390.88942708331</v>
      </c>
      <c r="BE816" s="236">
        <v>200390.88942708331</v>
      </c>
      <c r="BF816" s="236">
        <v>200939.90556249997</v>
      </c>
      <c r="BG816" s="236">
        <v>200390.88942708331</v>
      </c>
      <c r="BH816" s="236">
        <v>200390.88942708331</v>
      </c>
      <c r="BI816" s="236">
        <v>200390.88942708331</v>
      </c>
      <c r="BJ816" s="236">
        <v>200939.90556249997</v>
      </c>
      <c r="BK816" s="236">
        <v>101018.96891666665</v>
      </c>
    </row>
    <row r="817" spans="1:63">
      <c r="A817" s="169"/>
      <c r="B817" s="307" t="s">
        <v>29</v>
      </c>
      <c r="C817" s="313"/>
      <c r="D817" s="314"/>
      <c r="E817" s="314"/>
      <c r="F817" s="314"/>
      <c r="G817" s="314"/>
      <c r="H817" s="314"/>
      <c r="I817" s="314"/>
      <c r="J817" s="314"/>
      <c r="K817" s="314"/>
      <c r="L817" s="314"/>
      <c r="M817" s="314"/>
      <c r="N817" s="314"/>
      <c r="O817" s="314"/>
      <c r="P817" s="314"/>
      <c r="Q817" s="314"/>
      <c r="R817" s="314"/>
      <c r="S817" s="311"/>
      <c r="T817" s="311"/>
      <c r="U817" s="311"/>
      <c r="V817" s="311"/>
      <c r="W817" s="311"/>
      <c r="X817" s="311"/>
      <c r="Y817" s="311">
        <f t="shared" ref="Y817:BK817" si="170">Y815+Y816</f>
        <v>7059592.4654172771</v>
      </c>
      <c r="Z817" s="311">
        <f t="shared" si="170"/>
        <v>33901608.178585857</v>
      </c>
      <c r="AA817" s="311">
        <f t="shared" si="170"/>
        <v>31534195.473787233</v>
      </c>
      <c r="AB817" s="311">
        <f t="shared" si="170"/>
        <v>30233567.603778616</v>
      </c>
      <c r="AC817" s="311">
        <f t="shared" si="170"/>
        <v>29973784.130194493</v>
      </c>
      <c r="AD817" s="311">
        <f t="shared" si="170"/>
        <v>20771185.880524717</v>
      </c>
      <c r="AE817" s="311">
        <f t="shared" si="170"/>
        <v>27285335.594751827</v>
      </c>
      <c r="AF817" s="311">
        <f t="shared" si="170"/>
        <v>24063872.214748289</v>
      </c>
      <c r="AG817" s="311">
        <f t="shared" si="170"/>
        <v>28345942.477131531</v>
      </c>
      <c r="AH817" s="311">
        <f t="shared" si="170"/>
        <v>23516362.879919112</v>
      </c>
      <c r="AI817" s="311">
        <f t="shared" si="170"/>
        <v>22652679.0186042</v>
      </c>
      <c r="AJ817" s="311">
        <f t="shared" si="170"/>
        <v>21519492.231974147</v>
      </c>
      <c r="AK817" s="311">
        <f t="shared" si="170"/>
        <v>12420435.361113872</v>
      </c>
      <c r="AL817" s="311">
        <f t="shared" si="170"/>
        <v>14740145.193510994</v>
      </c>
      <c r="AM817" s="311">
        <f t="shared" si="170"/>
        <v>15683024.86485618</v>
      </c>
      <c r="AN817" s="311">
        <f t="shared" si="170"/>
        <v>6856302.8103101701</v>
      </c>
      <c r="AO817" s="311">
        <f t="shared" si="170"/>
        <v>7885757.1094230115</v>
      </c>
      <c r="AP817" s="311">
        <f t="shared" si="170"/>
        <v>8244202.7112570219</v>
      </c>
      <c r="AQ817" s="311">
        <f t="shared" si="170"/>
        <v>13865347.297504615</v>
      </c>
      <c r="AR817" s="311">
        <f t="shared" si="170"/>
        <v>6967075.6167294346</v>
      </c>
      <c r="AS817" s="311">
        <f t="shared" si="170"/>
        <v>2615753.1749572689</v>
      </c>
      <c r="AT817" s="311">
        <f t="shared" si="170"/>
        <v>12139238.590591062</v>
      </c>
      <c r="AU817" s="311">
        <f t="shared" si="170"/>
        <v>19256753.277804866</v>
      </c>
      <c r="AV817" s="311">
        <f t="shared" si="170"/>
        <v>1155621.8054932258</v>
      </c>
      <c r="AW817" s="311">
        <f t="shared" si="170"/>
        <v>1132135.7795280542</v>
      </c>
      <c r="AX817" s="311">
        <f t="shared" si="170"/>
        <v>1133066.2659127447</v>
      </c>
      <c r="AY817" s="311">
        <f t="shared" si="170"/>
        <v>11819363.686697707</v>
      </c>
      <c r="AZ817" s="311">
        <f t="shared" si="170"/>
        <v>506708.1388877593</v>
      </c>
      <c r="BA817" s="311">
        <f t="shared" si="170"/>
        <v>6207683.2111458331</v>
      </c>
      <c r="BB817" s="311">
        <f t="shared" si="170"/>
        <v>200939.90556249997</v>
      </c>
      <c r="BC817" s="311">
        <f t="shared" si="170"/>
        <v>200390.88942708331</v>
      </c>
      <c r="BD817" s="311">
        <f t="shared" si="170"/>
        <v>200390.88942708331</v>
      </c>
      <c r="BE817" s="311">
        <f t="shared" si="170"/>
        <v>200390.88942708331</v>
      </c>
      <c r="BF817" s="311">
        <f t="shared" si="170"/>
        <v>200939.90556249997</v>
      </c>
      <c r="BG817" s="311">
        <f t="shared" si="170"/>
        <v>200390.88942708331</v>
      </c>
      <c r="BH817" s="311">
        <f t="shared" si="170"/>
        <v>200390.88942708331</v>
      </c>
      <c r="BI817" s="311">
        <f t="shared" si="170"/>
        <v>200390.88942708331</v>
      </c>
      <c r="BJ817" s="311">
        <f t="shared" si="170"/>
        <v>200939.90556249997</v>
      </c>
      <c r="BK817" s="311">
        <f t="shared" si="170"/>
        <v>5201555.9689166667</v>
      </c>
    </row>
    <row r="818" spans="1:63">
      <c r="A818" s="167"/>
      <c r="B818" s="210" t="s">
        <v>28</v>
      </c>
      <c r="C818" s="211"/>
      <c r="D818" s="212"/>
      <c r="E818" s="212"/>
      <c r="F818" s="212"/>
      <c r="G818" s="212"/>
      <c r="H818" s="212"/>
      <c r="I818" s="212"/>
      <c r="J818" s="212"/>
      <c r="K818" s="212"/>
      <c r="L818" s="212"/>
      <c r="M818" s="212"/>
      <c r="N818" s="212"/>
      <c r="O818" s="212"/>
      <c r="P818" s="212"/>
      <c r="Q818" s="212"/>
      <c r="R818" s="212"/>
      <c r="S818" s="235"/>
      <c r="T818" s="235"/>
      <c r="U818" s="235"/>
      <c r="V818" s="235"/>
      <c r="W818" s="236"/>
      <c r="X818" s="236"/>
      <c r="Y818" s="236">
        <v>1610082.0748009344</v>
      </c>
      <c r="Z818" s="236">
        <v>21650811.252896</v>
      </c>
      <c r="AA818" s="236">
        <v>20104441.002201311</v>
      </c>
      <c r="AB818" s="236">
        <v>19813168.507826783</v>
      </c>
      <c r="AC818" s="236">
        <v>20376831.86084811</v>
      </c>
      <c r="AD818" s="236">
        <v>11608883.424027657</v>
      </c>
      <c r="AE818" s="236">
        <v>18992521.615392618</v>
      </c>
      <c r="AF818" s="236">
        <v>16300220.366978584</v>
      </c>
      <c r="AG818" s="236">
        <v>21348435.639442131</v>
      </c>
      <c r="AH818" s="236">
        <v>16990438.248845533</v>
      </c>
      <c r="AI818" s="236">
        <v>16877767.647875257</v>
      </c>
      <c r="AJ818" s="236">
        <v>16622972.914935455</v>
      </c>
      <c r="AK818" s="236">
        <v>7734057.6711369902</v>
      </c>
      <c r="AL818" s="236">
        <v>10323756.289762503</v>
      </c>
      <c r="AM818" s="236">
        <v>11661255.504037941</v>
      </c>
      <c r="AN818" s="236">
        <v>3178645.4511448122</v>
      </c>
      <c r="AO818" s="236">
        <v>4394575.8888508016</v>
      </c>
      <c r="AP818" s="236">
        <v>4988656.1283468604</v>
      </c>
      <c r="AQ818" s="236">
        <v>11304056.865856223</v>
      </c>
      <c r="AR818" s="236">
        <v>4571000.0706456406</v>
      </c>
      <c r="AS818" s="236">
        <v>144186.00607988104</v>
      </c>
      <c r="AT818" s="236">
        <v>10347691.019346913</v>
      </c>
      <c r="AU818" s="236">
        <v>18511014.242659289</v>
      </c>
      <c r="AV818" s="236">
        <v>125419.61665427871</v>
      </c>
      <c r="AW818" s="236">
        <v>103336.75178941386</v>
      </c>
      <c r="AX818" s="236">
        <v>103336.75178941386</v>
      </c>
      <c r="AY818" s="236">
        <v>11539341.23547234</v>
      </c>
      <c r="AZ818" s="236">
        <v>61365.001406490672</v>
      </c>
      <c r="BA818" s="236">
        <v>6127995</v>
      </c>
      <c r="BB818" s="236">
        <v>0</v>
      </c>
      <c r="BC818" s="236">
        <v>0</v>
      </c>
      <c r="BD818" s="236">
        <v>0</v>
      </c>
      <c r="BE818" s="236">
        <v>0</v>
      </c>
      <c r="BF818" s="236">
        <v>0</v>
      </c>
      <c r="BG818" s="236">
        <v>0</v>
      </c>
      <c r="BH818" s="236">
        <v>0</v>
      </c>
      <c r="BI818" s="236">
        <v>0</v>
      </c>
      <c r="BJ818" s="236">
        <v>0</v>
      </c>
      <c r="BK818" s="236">
        <v>5310929</v>
      </c>
    </row>
    <row r="819" spans="1:63">
      <c r="A819" s="168">
        <v>45169</v>
      </c>
      <c r="B819" s="213" t="s">
        <v>385</v>
      </c>
      <c r="C819" s="214"/>
      <c r="D819" s="215"/>
      <c r="E819" s="215"/>
      <c r="F819" s="215"/>
      <c r="G819" s="215"/>
      <c r="H819" s="215"/>
      <c r="I819" s="215"/>
      <c r="J819" s="215"/>
      <c r="K819" s="215"/>
      <c r="L819" s="215"/>
      <c r="M819" s="215"/>
      <c r="N819" s="215"/>
      <c r="O819" s="215"/>
      <c r="P819" s="215"/>
      <c r="Q819" s="215"/>
      <c r="R819" s="216"/>
      <c r="S819" s="236"/>
      <c r="T819" s="236"/>
      <c r="U819" s="236"/>
      <c r="V819" s="236"/>
      <c r="W819" s="236"/>
      <c r="X819" s="236"/>
      <c r="Y819" s="236">
        <v>5247778.8653593296</v>
      </c>
      <c r="Z819" s="236">
        <v>13481317.078852547</v>
      </c>
      <c r="AA819" s="236">
        <v>12567918.453981372</v>
      </c>
      <c r="AB819" s="236">
        <v>11523030.653079338</v>
      </c>
      <c r="AC819" s="236">
        <v>10699779.384875564</v>
      </c>
      <c r="AD819" s="236">
        <v>9974732.3470367491</v>
      </c>
      <c r="AE819" s="236">
        <v>9378547.2893237378</v>
      </c>
      <c r="AF819" s="236">
        <v>8730150.9839091636</v>
      </c>
      <c r="AG819" s="236">
        <v>8125659.1724758139</v>
      </c>
      <c r="AH819" s="236">
        <v>7464983.9094858821</v>
      </c>
      <c r="AI819" s="236">
        <v>6686329.6536331866</v>
      </c>
      <c r="AJ819" s="236">
        <v>5776375.727511459</v>
      </c>
      <c r="AK819" s="236">
        <v>5140669.7348177731</v>
      </c>
      <c r="AL819" s="236">
        <v>4930322.7778921416</v>
      </c>
      <c r="AM819" s="236">
        <v>4659164.9519589189</v>
      </c>
      <c r="AN819" s="236">
        <v>3954922.7976609194</v>
      </c>
      <c r="AO819" s="236">
        <v>3811207.2182592633</v>
      </c>
      <c r="AP819" s="236">
        <v>3592216.3745382056</v>
      </c>
      <c r="AQ819" s="236">
        <v>3132373.5574122602</v>
      </c>
      <c r="AR819" s="236">
        <v>2682555.7365004863</v>
      </c>
      <c r="AS819" s="236">
        <v>2578581.3235925664</v>
      </c>
      <c r="AT819" s="236">
        <v>2291112.1101692072</v>
      </c>
      <c r="AU819" s="236">
        <v>1538610.0956257163</v>
      </c>
      <c r="AV819" s="236">
        <v>1076441.4776267805</v>
      </c>
      <c r="AW819" s="236">
        <v>1074091.1621102963</v>
      </c>
      <c r="AX819" s="236">
        <v>1075081.6505539634</v>
      </c>
      <c r="AY819" s="236">
        <v>766195.18415088323</v>
      </c>
      <c r="AZ819" s="236">
        <v>465418.43061498838</v>
      </c>
      <c r="BA819" s="236">
        <v>335748.87420138885</v>
      </c>
      <c r="BB819" s="236">
        <v>209228.47372916664</v>
      </c>
      <c r="BC819" s="236">
        <v>208656.81123263889</v>
      </c>
      <c r="BD819" s="236">
        <v>208656.81123263889</v>
      </c>
      <c r="BE819" s="236">
        <v>208656.81123263889</v>
      </c>
      <c r="BF819" s="236">
        <v>209228.47372916664</v>
      </c>
      <c r="BG819" s="236">
        <v>208656.81123263889</v>
      </c>
      <c r="BH819" s="236">
        <v>208656.81123263889</v>
      </c>
      <c r="BI819" s="236">
        <v>208656.81123263889</v>
      </c>
      <c r="BJ819" s="236">
        <v>209228.47372916664</v>
      </c>
      <c r="BK819" s="236">
        <v>105185.89936111111</v>
      </c>
    </row>
    <row r="820" spans="1:63">
      <c r="A820" s="169"/>
      <c r="B820" s="307" t="s">
        <v>29</v>
      </c>
      <c r="C820" s="313"/>
      <c r="D820" s="314"/>
      <c r="E820" s="314"/>
      <c r="F820" s="314"/>
      <c r="G820" s="314"/>
      <c r="H820" s="314"/>
      <c r="I820" s="314"/>
      <c r="J820" s="314"/>
      <c r="K820" s="314"/>
      <c r="L820" s="314"/>
      <c r="M820" s="314"/>
      <c r="N820" s="314"/>
      <c r="O820" s="314"/>
      <c r="P820" s="314"/>
      <c r="Q820" s="314"/>
      <c r="R820" s="314"/>
      <c r="S820" s="311"/>
      <c r="T820" s="311"/>
      <c r="U820" s="311"/>
      <c r="V820" s="311"/>
      <c r="W820" s="311"/>
      <c r="X820" s="311"/>
      <c r="Y820" s="311">
        <f t="shared" ref="Y820:BK820" si="171">Y818+Y819</f>
        <v>6857860.9401602643</v>
      </c>
      <c r="Z820" s="311">
        <f t="shared" si="171"/>
        <v>35132128.331748545</v>
      </c>
      <c r="AA820" s="311">
        <f t="shared" si="171"/>
        <v>32672359.456182681</v>
      </c>
      <c r="AB820" s="311">
        <f t="shared" si="171"/>
        <v>31336199.160906121</v>
      </c>
      <c r="AC820" s="311">
        <f t="shared" si="171"/>
        <v>31076611.245723672</v>
      </c>
      <c r="AD820" s="311">
        <f t="shared" si="171"/>
        <v>21583615.771064408</v>
      </c>
      <c r="AE820" s="311">
        <f t="shared" si="171"/>
        <v>28371068.904716358</v>
      </c>
      <c r="AF820" s="311">
        <f t="shared" si="171"/>
        <v>25030371.350887746</v>
      </c>
      <c r="AG820" s="311">
        <f t="shared" si="171"/>
        <v>29474094.811917946</v>
      </c>
      <c r="AH820" s="311">
        <f t="shared" si="171"/>
        <v>24455422.158331417</v>
      </c>
      <c r="AI820" s="311">
        <f t="shared" si="171"/>
        <v>23564097.301508442</v>
      </c>
      <c r="AJ820" s="311">
        <f t="shared" si="171"/>
        <v>22399348.642446913</v>
      </c>
      <c r="AK820" s="311">
        <f t="shared" si="171"/>
        <v>12874727.405954763</v>
      </c>
      <c r="AL820" s="311">
        <f t="shared" si="171"/>
        <v>15254079.067654643</v>
      </c>
      <c r="AM820" s="311">
        <f t="shared" si="171"/>
        <v>16320420.45599686</v>
      </c>
      <c r="AN820" s="311">
        <f t="shared" si="171"/>
        <v>7133568.2488057315</v>
      </c>
      <c r="AO820" s="311">
        <f t="shared" si="171"/>
        <v>8205783.1071100645</v>
      </c>
      <c r="AP820" s="311">
        <f t="shared" si="171"/>
        <v>8580872.502885066</v>
      </c>
      <c r="AQ820" s="311">
        <f t="shared" si="171"/>
        <v>14436430.423268482</v>
      </c>
      <c r="AR820" s="311">
        <f t="shared" si="171"/>
        <v>7253555.8071461264</v>
      </c>
      <c r="AS820" s="311">
        <f t="shared" si="171"/>
        <v>2722767.3296724474</v>
      </c>
      <c r="AT820" s="311">
        <f t="shared" si="171"/>
        <v>12638803.129516121</v>
      </c>
      <c r="AU820" s="311">
        <f t="shared" si="171"/>
        <v>20049624.338285007</v>
      </c>
      <c r="AV820" s="311">
        <f t="shared" si="171"/>
        <v>1201861.0942810592</v>
      </c>
      <c r="AW820" s="311">
        <f t="shared" si="171"/>
        <v>1177427.9138997102</v>
      </c>
      <c r="AX820" s="311">
        <f t="shared" si="171"/>
        <v>1178418.4023433772</v>
      </c>
      <c r="AY820" s="311">
        <f t="shared" si="171"/>
        <v>12305536.419623224</v>
      </c>
      <c r="AZ820" s="311">
        <f t="shared" si="171"/>
        <v>526783.43202147901</v>
      </c>
      <c r="BA820" s="311">
        <f t="shared" si="171"/>
        <v>6463743.874201389</v>
      </c>
      <c r="BB820" s="311">
        <f t="shared" si="171"/>
        <v>209228.47372916664</v>
      </c>
      <c r="BC820" s="311">
        <f t="shared" si="171"/>
        <v>208656.81123263889</v>
      </c>
      <c r="BD820" s="311">
        <f t="shared" si="171"/>
        <v>208656.81123263889</v>
      </c>
      <c r="BE820" s="311">
        <f t="shared" si="171"/>
        <v>208656.81123263889</v>
      </c>
      <c r="BF820" s="311">
        <f t="shared" si="171"/>
        <v>209228.47372916664</v>
      </c>
      <c r="BG820" s="311">
        <f t="shared" si="171"/>
        <v>208656.81123263889</v>
      </c>
      <c r="BH820" s="311">
        <f t="shared" si="171"/>
        <v>208656.81123263889</v>
      </c>
      <c r="BI820" s="311">
        <f t="shared" si="171"/>
        <v>208656.81123263889</v>
      </c>
      <c r="BJ820" s="311">
        <f t="shared" si="171"/>
        <v>209228.47372916664</v>
      </c>
      <c r="BK820" s="311">
        <f t="shared" si="171"/>
        <v>5416114.8993611112</v>
      </c>
    </row>
    <row r="821" spans="1:63">
      <c r="A821" s="167"/>
      <c r="B821" s="210" t="s">
        <v>28</v>
      </c>
      <c r="C821" s="211"/>
      <c r="D821" s="212"/>
      <c r="E821" s="212"/>
      <c r="F821" s="212"/>
      <c r="G821" s="212"/>
      <c r="H821" s="212"/>
      <c r="I821" s="212"/>
      <c r="J821" s="212"/>
      <c r="K821" s="212"/>
      <c r="L821" s="212"/>
      <c r="M821" s="212"/>
      <c r="N821" s="212"/>
      <c r="O821" s="212"/>
      <c r="P821" s="212"/>
      <c r="Q821" s="212"/>
      <c r="R821" s="212"/>
      <c r="S821" s="235"/>
      <c r="T821" s="235"/>
      <c r="U821" s="235"/>
      <c r="V821" s="235"/>
      <c r="W821" s="236"/>
      <c r="X821" s="236"/>
      <c r="Y821" s="236">
        <v>1325091.9485005671</v>
      </c>
      <c r="Z821" s="236">
        <v>20458381.072558146</v>
      </c>
      <c r="AA821" s="236">
        <v>18919229.196930185</v>
      </c>
      <c r="AB821" s="236">
        <v>18591815.717824105</v>
      </c>
      <c r="AC821" s="236">
        <v>19500237.938985605</v>
      </c>
      <c r="AD821" s="236">
        <v>11891333.972528478</v>
      </c>
      <c r="AE821" s="236">
        <v>18117473.151900623</v>
      </c>
      <c r="AF821" s="236">
        <v>15447249.77671569</v>
      </c>
      <c r="AG821" s="236">
        <v>20458750.404971112</v>
      </c>
      <c r="AH821" s="236">
        <v>16140581.660858596</v>
      </c>
      <c r="AI821" s="236">
        <v>16317914.687824944</v>
      </c>
      <c r="AJ821" s="236">
        <v>16061563.401987921</v>
      </c>
      <c r="AK821" s="236">
        <v>8277000.1805183049</v>
      </c>
      <c r="AL821" s="236">
        <v>12989118.645251732</v>
      </c>
      <c r="AM821" s="236">
        <v>11143216.652145192</v>
      </c>
      <c r="AN821" s="236">
        <v>8865508.5773215778</v>
      </c>
      <c r="AO821" s="236">
        <v>4541794.8079890534</v>
      </c>
      <c r="AP821" s="236">
        <v>5130829.4841512982</v>
      </c>
      <c r="AQ821" s="236">
        <v>11398689.469240848</v>
      </c>
      <c r="AR821" s="236">
        <v>4717663.3797565587</v>
      </c>
      <c r="AS821" s="236">
        <v>233240.5204910372</v>
      </c>
      <c r="AT821" s="236">
        <v>10265427.813300237</v>
      </c>
      <c r="AU821" s="236">
        <v>18365624.854776889</v>
      </c>
      <c r="AV821" s="236">
        <v>122107.66739813131</v>
      </c>
      <c r="AW821" s="236">
        <v>100195.45118191511</v>
      </c>
      <c r="AX821" s="236">
        <v>100195.45118191511</v>
      </c>
      <c r="AY821" s="236">
        <v>11447826.495864842</v>
      </c>
      <c r="AZ821" s="236">
        <v>59452.646357276688</v>
      </c>
      <c r="BA821" s="236">
        <v>6080640</v>
      </c>
      <c r="BB821" s="236">
        <v>0</v>
      </c>
      <c r="BC821" s="236">
        <v>0</v>
      </c>
      <c r="BD821" s="236">
        <v>0</v>
      </c>
      <c r="BE821" s="236">
        <v>0</v>
      </c>
      <c r="BF821" s="236">
        <v>0</v>
      </c>
      <c r="BG821" s="236">
        <v>0</v>
      </c>
      <c r="BH821" s="236">
        <v>0</v>
      </c>
      <c r="BI821" s="236">
        <v>0</v>
      </c>
      <c r="BJ821" s="236">
        <v>0</v>
      </c>
      <c r="BK821" s="236">
        <v>5269888</v>
      </c>
    </row>
    <row r="822" spans="1:63">
      <c r="A822" s="168">
        <v>45199</v>
      </c>
      <c r="B822" s="213" t="s">
        <v>385</v>
      </c>
      <c r="C822" s="214"/>
      <c r="D822" s="215"/>
      <c r="E822" s="215"/>
      <c r="F822" s="215"/>
      <c r="G822" s="215"/>
      <c r="H822" s="215"/>
      <c r="I822" s="215"/>
      <c r="J822" s="215"/>
      <c r="K822" s="215"/>
      <c r="L822" s="215"/>
      <c r="M822" s="215"/>
      <c r="N822" s="215"/>
      <c r="O822" s="215"/>
      <c r="P822" s="215"/>
      <c r="Q822" s="215"/>
      <c r="R822" s="216"/>
      <c r="S822" s="236"/>
      <c r="T822" s="236"/>
      <c r="U822" s="236"/>
      <c r="V822" s="236"/>
      <c r="W822" s="236"/>
      <c r="X822" s="236"/>
      <c r="Y822" s="236">
        <v>3253653.5833920953</v>
      </c>
      <c r="Z822" s="236">
        <v>14012916.18812101</v>
      </c>
      <c r="AA822" s="236">
        <v>12608987.612297876</v>
      </c>
      <c r="AB822" s="236">
        <v>11528915.92204074</v>
      </c>
      <c r="AC822" s="236">
        <v>10796012.275032591</v>
      </c>
      <c r="AD822" s="236">
        <v>10075302.647471456</v>
      </c>
      <c r="AE822" s="236">
        <v>9467731.7107891943</v>
      </c>
      <c r="AF822" s="236">
        <v>8813152.8109641224</v>
      </c>
      <c r="AG822" s="236">
        <v>8206416.3905932885</v>
      </c>
      <c r="AH822" s="236">
        <v>7540579.4799441304</v>
      </c>
      <c r="AI822" s="236">
        <v>6753524.7202347722</v>
      </c>
      <c r="AJ822" s="236">
        <v>5826568.9303691257</v>
      </c>
      <c r="AK822" s="236">
        <v>5184691.3356837863</v>
      </c>
      <c r="AL822" s="236">
        <v>4966429.3156047491</v>
      </c>
      <c r="AM822" s="236">
        <v>4689156.6376739796</v>
      </c>
      <c r="AN822" s="236">
        <v>3980210.3233205508</v>
      </c>
      <c r="AO822" s="236">
        <v>3827225.9573235135</v>
      </c>
      <c r="AP822" s="236">
        <v>3600501.7899974184</v>
      </c>
      <c r="AQ822" s="236">
        <v>3134766.8049333594</v>
      </c>
      <c r="AR822" s="236">
        <v>2678147.5629693111</v>
      </c>
      <c r="AS822" s="236">
        <v>2561723.0736691752</v>
      </c>
      <c r="AT822" s="236">
        <v>2273180.6289605317</v>
      </c>
      <c r="AU822" s="236">
        <v>1526519.3698954023</v>
      </c>
      <c r="AV822" s="236">
        <v>1067959.4550048716</v>
      </c>
      <c r="AW822" s="236">
        <v>1065664.6499896685</v>
      </c>
      <c r="AX822" s="236">
        <v>1066684.836201309</v>
      </c>
      <c r="AY822" s="236">
        <v>760222.68316507258</v>
      </c>
      <c r="AZ822" s="236">
        <v>461810.19092511717</v>
      </c>
      <c r="BA822" s="236">
        <v>333154.32444444444</v>
      </c>
      <c r="BB822" s="236">
        <v>207611.62933333335</v>
      </c>
      <c r="BC822" s="236">
        <v>207044.38444444447</v>
      </c>
      <c r="BD822" s="236">
        <v>207044.38444444447</v>
      </c>
      <c r="BE822" s="236">
        <v>207044.38444444447</v>
      </c>
      <c r="BF822" s="236">
        <v>207611.62933333335</v>
      </c>
      <c r="BG822" s="236">
        <v>207044.38444444447</v>
      </c>
      <c r="BH822" s="236">
        <v>207044.38444444447</v>
      </c>
      <c r="BI822" s="236">
        <v>207044.38444444447</v>
      </c>
      <c r="BJ822" s="236">
        <v>207611.62933333335</v>
      </c>
      <c r="BK822" s="236">
        <v>104373.05955555555</v>
      </c>
    </row>
    <row r="823" spans="1:63">
      <c r="A823" s="169"/>
      <c r="B823" s="307" t="s">
        <v>29</v>
      </c>
      <c r="C823" s="313"/>
      <c r="D823" s="314"/>
      <c r="E823" s="314"/>
      <c r="F823" s="314"/>
      <c r="G823" s="314"/>
      <c r="H823" s="314"/>
      <c r="I823" s="314"/>
      <c r="J823" s="314"/>
      <c r="K823" s="314"/>
      <c r="L823" s="314"/>
      <c r="M823" s="314"/>
      <c r="N823" s="314"/>
      <c r="O823" s="314"/>
      <c r="P823" s="314"/>
      <c r="Q823" s="314"/>
      <c r="R823" s="314"/>
      <c r="S823" s="311"/>
      <c r="T823" s="311"/>
      <c r="U823" s="311"/>
      <c r="V823" s="311"/>
      <c r="W823" s="311"/>
      <c r="X823" s="311"/>
      <c r="Y823" s="311">
        <f t="shared" ref="Y823:BK823" si="172">Y821+Y822</f>
        <v>4578745.5318926629</v>
      </c>
      <c r="Z823" s="311">
        <f t="shared" si="172"/>
        <v>34471297.260679156</v>
      </c>
      <c r="AA823" s="311">
        <f t="shared" si="172"/>
        <v>31528216.809228063</v>
      </c>
      <c r="AB823" s="311">
        <f t="shared" si="172"/>
        <v>30120731.639864847</v>
      </c>
      <c r="AC823" s="311">
        <f t="shared" si="172"/>
        <v>30296250.214018196</v>
      </c>
      <c r="AD823" s="311">
        <f t="shared" si="172"/>
        <v>21966636.619999934</v>
      </c>
      <c r="AE823" s="311">
        <f t="shared" si="172"/>
        <v>27585204.862689815</v>
      </c>
      <c r="AF823" s="311">
        <f t="shared" si="172"/>
        <v>24260402.587679811</v>
      </c>
      <c r="AG823" s="311">
        <f t="shared" si="172"/>
        <v>28665166.795564398</v>
      </c>
      <c r="AH823" s="311">
        <f t="shared" si="172"/>
        <v>23681161.140802726</v>
      </c>
      <c r="AI823" s="311">
        <f t="shared" si="172"/>
        <v>23071439.408059716</v>
      </c>
      <c r="AJ823" s="311">
        <f t="shared" si="172"/>
        <v>21888132.332357049</v>
      </c>
      <c r="AK823" s="311">
        <f t="shared" si="172"/>
        <v>13461691.516202092</v>
      </c>
      <c r="AL823" s="311">
        <f t="shared" si="172"/>
        <v>17955547.960856482</v>
      </c>
      <c r="AM823" s="311">
        <f t="shared" si="172"/>
        <v>15832373.289819172</v>
      </c>
      <c r="AN823" s="311">
        <f t="shared" si="172"/>
        <v>12845718.900642129</v>
      </c>
      <c r="AO823" s="311">
        <f t="shared" si="172"/>
        <v>8369020.7653125674</v>
      </c>
      <c r="AP823" s="311">
        <f t="shared" si="172"/>
        <v>8731331.2741487175</v>
      </c>
      <c r="AQ823" s="311">
        <f t="shared" si="172"/>
        <v>14533456.274174208</v>
      </c>
      <c r="AR823" s="311">
        <f t="shared" si="172"/>
        <v>7395810.9427258698</v>
      </c>
      <c r="AS823" s="311">
        <f t="shared" si="172"/>
        <v>2794963.5941602122</v>
      </c>
      <c r="AT823" s="311">
        <f t="shared" si="172"/>
        <v>12538608.442260768</v>
      </c>
      <c r="AU823" s="311">
        <f t="shared" si="172"/>
        <v>19892144.224672291</v>
      </c>
      <c r="AV823" s="311">
        <f t="shared" si="172"/>
        <v>1190067.1224030028</v>
      </c>
      <c r="AW823" s="311">
        <f t="shared" si="172"/>
        <v>1165860.1011715836</v>
      </c>
      <c r="AX823" s="311">
        <f t="shared" si="172"/>
        <v>1166880.2873832241</v>
      </c>
      <c r="AY823" s="311">
        <f t="shared" si="172"/>
        <v>12208049.179029915</v>
      </c>
      <c r="AZ823" s="311">
        <f t="shared" si="172"/>
        <v>521262.83728239388</v>
      </c>
      <c r="BA823" s="311">
        <f t="shared" si="172"/>
        <v>6413794.3244444449</v>
      </c>
      <c r="BB823" s="311">
        <f t="shared" si="172"/>
        <v>207611.62933333335</v>
      </c>
      <c r="BC823" s="311">
        <f t="shared" si="172"/>
        <v>207044.38444444447</v>
      </c>
      <c r="BD823" s="311">
        <f t="shared" si="172"/>
        <v>207044.38444444447</v>
      </c>
      <c r="BE823" s="311">
        <f t="shared" si="172"/>
        <v>207044.38444444447</v>
      </c>
      <c r="BF823" s="311">
        <f t="shared" si="172"/>
        <v>207611.62933333335</v>
      </c>
      <c r="BG823" s="311">
        <f t="shared" si="172"/>
        <v>207044.38444444447</v>
      </c>
      <c r="BH823" s="311">
        <f t="shared" si="172"/>
        <v>207044.38444444447</v>
      </c>
      <c r="BI823" s="311">
        <f t="shared" si="172"/>
        <v>207044.38444444447</v>
      </c>
      <c r="BJ823" s="311">
        <f t="shared" si="172"/>
        <v>207611.62933333335</v>
      </c>
      <c r="BK823" s="311">
        <f t="shared" si="172"/>
        <v>5374261.0595555557</v>
      </c>
    </row>
    <row r="824" spans="1:63">
      <c r="A824" s="167"/>
      <c r="B824" s="210" t="s">
        <v>28</v>
      </c>
      <c r="C824" s="211"/>
      <c r="D824" s="212"/>
      <c r="E824" s="212"/>
      <c r="F824" s="212"/>
      <c r="G824" s="212"/>
      <c r="H824" s="212"/>
      <c r="I824" s="212"/>
      <c r="J824" s="212"/>
      <c r="K824" s="212"/>
      <c r="L824" s="212"/>
      <c r="M824" s="212"/>
      <c r="N824" s="212"/>
      <c r="O824" s="212"/>
      <c r="P824" s="212"/>
      <c r="Q824" s="212"/>
      <c r="R824" s="212"/>
      <c r="S824" s="235"/>
      <c r="T824" s="235"/>
      <c r="U824" s="235"/>
      <c r="V824" s="235"/>
      <c r="W824" s="236"/>
      <c r="X824" s="236"/>
      <c r="Y824" s="236">
        <v>1022111.8995290152</v>
      </c>
      <c r="Z824" s="236">
        <v>17273042.667110078</v>
      </c>
      <c r="AA824" s="236">
        <v>18943036.810750552</v>
      </c>
      <c r="AB824" s="236">
        <v>18635311.625325419</v>
      </c>
      <c r="AC824" s="236">
        <v>19528260.163886797</v>
      </c>
      <c r="AD824" s="236">
        <v>11909439.954762952</v>
      </c>
      <c r="AE824" s="236">
        <v>18146063.9167112</v>
      </c>
      <c r="AF824" s="236">
        <v>15477207.161282238</v>
      </c>
      <c r="AG824" s="236">
        <v>20499082.514630485</v>
      </c>
      <c r="AH824" s="236">
        <v>16165175.098131528</v>
      </c>
      <c r="AI824" s="236">
        <v>16352444.060504977</v>
      </c>
      <c r="AJ824" s="236">
        <v>16093759.387453746</v>
      </c>
      <c r="AK824" s="236">
        <v>8336331.9686992345</v>
      </c>
      <c r="AL824" s="236">
        <v>13026405.439870324</v>
      </c>
      <c r="AM824" s="236">
        <v>11165054.621274071</v>
      </c>
      <c r="AN824" s="236">
        <v>8882871.1657639332</v>
      </c>
      <c r="AO824" s="236">
        <v>4551616.5809047949</v>
      </c>
      <c r="AP824" s="236">
        <v>5140206.6813554168</v>
      </c>
      <c r="AQ824" s="236">
        <v>11418922.090356801</v>
      </c>
      <c r="AR824" s="236">
        <v>4726243.8916078676</v>
      </c>
      <c r="AS824" s="236">
        <v>233999.9305463628</v>
      </c>
      <c r="AT824" s="236">
        <v>10283683.958277876</v>
      </c>
      <c r="AU824" s="236">
        <v>18398008.228076689</v>
      </c>
      <c r="AV824" s="236">
        <v>122673.25510757454</v>
      </c>
      <c r="AW824" s="236">
        <v>100722.82267514213</v>
      </c>
      <c r="AX824" s="236">
        <v>100722.82267514213</v>
      </c>
      <c r="AY824" s="236">
        <v>11468075.483650751</v>
      </c>
      <c r="AZ824" s="236">
        <v>59687.680602703906</v>
      </c>
      <c r="BA824" s="236">
        <v>6091245</v>
      </c>
      <c r="BB824" s="236">
        <v>0</v>
      </c>
      <c r="BC824" s="236">
        <v>0</v>
      </c>
      <c r="BD824" s="236">
        <v>0</v>
      </c>
      <c r="BE824" s="236">
        <v>0</v>
      </c>
      <c r="BF824" s="236">
        <v>0</v>
      </c>
      <c r="BG824" s="236">
        <v>0</v>
      </c>
      <c r="BH824" s="236">
        <v>0</v>
      </c>
      <c r="BI824" s="236">
        <v>0</v>
      </c>
      <c r="BJ824" s="236">
        <v>0</v>
      </c>
      <c r="BK824" s="236">
        <v>5279079</v>
      </c>
    </row>
    <row r="825" spans="1:63">
      <c r="A825" s="168">
        <v>45230</v>
      </c>
      <c r="B825" s="213" t="s">
        <v>385</v>
      </c>
      <c r="C825" s="214"/>
      <c r="D825" s="215"/>
      <c r="E825" s="215"/>
      <c r="F825" s="215"/>
      <c r="G825" s="215"/>
      <c r="H825" s="215"/>
      <c r="I825" s="215"/>
      <c r="J825" s="215"/>
      <c r="K825" s="215"/>
      <c r="L825" s="215"/>
      <c r="M825" s="215"/>
      <c r="N825" s="215"/>
      <c r="O825" s="215"/>
      <c r="P825" s="215"/>
      <c r="Q825" s="215"/>
      <c r="R825" s="216"/>
      <c r="S825" s="236"/>
      <c r="T825" s="236"/>
      <c r="U825" s="236"/>
      <c r="V825" s="236"/>
      <c r="W825" s="236"/>
      <c r="X825" s="236"/>
      <c r="Y825" s="236">
        <v>1794209.8545241086</v>
      </c>
      <c r="Z825" s="236">
        <v>13990481.246302845</v>
      </c>
      <c r="AA825" s="236">
        <v>12741098.289950468</v>
      </c>
      <c r="AB825" s="236">
        <v>11647607.839429012</v>
      </c>
      <c r="AC825" s="236">
        <v>10885674.429812813</v>
      </c>
      <c r="AD825" s="236">
        <v>10164382.109139675</v>
      </c>
      <c r="AE825" s="236">
        <v>9556237.201327052</v>
      </c>
      <c r="AF825" s="236">
        <v>8896889.2794094514</v>
      </c>
      <c r="AG825" s="236">
        <v>8277261.7359284107</v>
      </c>
      <c r="AH825" s="236">
        <v>7604915.8137850352</v>
      </c>
      <c r="AI825" s="236">
        <v>6810805.349757567</v>
      </c>
      <c r="AJ825" s="236">
        <v>5874617.9090399574</v>
      </c>
      <c r="AK825" s="236">
        <v>5226202.9948149789</v>
      </c>
      <c r="AL825" s="236">
        <v>5000616.7954957765</v>
      </c>
      <c r="AM825" s="236">
        <v>4717957.1763336901</v>
      </c>
      <c r="AN825" s="236">
        <v>4003175.4056751681</v>
      </c>
      <c r="AO825" s="236">
        <v>3845270.8875833056</v>
      </c>
      <c r="AP825" s="236">
        <v>3613982.4100697208</v>
      </c>
      <c r="AQ825" s="236">
        <v>3143377.3627811274</v>
      </c>
      <c r="AR825" s="236">
        <v>2682918.7466233806</v>
      </c>
      <c r="AS825" s="236">
        <v>2566277.893820635</v>
      </c>
      <c r="AT825" s="236">
        <v>2277219.0561575894</v>
      </c>
      <c r="AU825" s="236">
        <v>1529242.1158168984</v>
      </c>
      <c r="AV825" s="236">
        <v>1069869.1355319177</v>
      </c>
      <c r="AW825" s="236">
        <v>1067557.0193227152</v>
      </c>
      <c r="AX825" s="236">
        <v>1068565.7162859964</v>
      </c>
      <c r="AY825" s="236">
        <v>761555.72477963381</v>
      </c>
      <c r="AZ825" s="236">
        <v>462616.67942758545</v>
      </c>
      <c r="BA825" s="236">
        <v>333735.36552083329</v>
      </c>
      <c r="BB825" s="236">
        <v>207973.71643749997</v>
      </c>
      <c r="BC825" s="236">
        <v>207405.48223958333</v>
      </c>
      <c r="BD825" s="236">
        <v>207405.48223958333</v>
      </c>
      <c r="BE825" s="236">
        <v>207405.48223958333</v>
      </c>
      <c r="BF825" s="236">
        <v>207973.71643749997</v>
      </c>
      <c r="BG825" s="236">
        <v>207405.48223958333</v>
      </c>
      <c r="BH825" s="236">
        <v>207405.48223958333</v>
      </c>
      <c r="BI825" s="236">
        <v>207405.48223958333</v>
      </c>
      <c r="BJ825" s="236">
        <v>207973.71643749997</v>
      </c>
      <c r="BK825" s="236">
        <v>104555.09241666665</v>
      </c>
    </row>
    <row r="826" spans="1:63">
      <c r="A826" s="169"/>
      <c r="B826" s="307" t="s">
        <v>29</v>
      </c>
      <c r="C826" s="313"/>
      <c r="D826" s="314"/>
      <c r="E826" s="314"/>
      <c r="F826" s="314"/>
      <c r="G826" s="314"/>
      <c r="H826" s="314"/>
      <c r="I826" s="314"/>
      <c r="J826" s="314"/>
      <c r="K826" s="314"/>
      <c r="L826" s="314"/>
      <c r="M826" s="314"/>
      <c r="N826" s="314"/>
      <c r="O826" s="314"/>
      <c r="P826" s="314"/>
      <c r="Q826" s="314"/>
      <c r="R826" s="314"/>
      <c r="S826" s="311"/>
      <c r="T826" s="311"/>
      <c r="U826" s="311"/>
      <c r="V826" s="311"/>
      <c r="W826" s="311"/>
      <c r="X826" s="311"/>
      <c r="Y826" s="311">
        <f t="shared" ref="Y826:BK826" si="173">Y824+Y825</f>
        <v>2816321.7540531238</v>
      </c>
      <c r="Z826" s="311">
        <f t="shared" si="173"/>
        <v>31263523.913412921</v>
      </c>
      <c r="AA826" s="311">
        <f t="shared" si="173"/>
        <v>31684135.100701019</v>
      </c>
      <c r="AB826" s="311">
        <f t="shared" si="173"/>
        <v>30282919.464754432</v>
      </c>
      <c r="AC826" s="311">
        <f t="shared" si="173"/>
        <v>30413934.593699612</v>
      </c>
      <c r="AD826" s="311">
        <f t="shared" si="173"/>
        <v>22073822.063902628</v>
      </c>
      <c r="AE826" s="311">
        <f t="shared" si="173"/>
        <v>27702301.118038252</v>
      </c>
      <c r="AF826" s="311">
        <f t="shared" si="173"/>
        <v>24374096.440691687</v>
      </c>
      <c r="AG826" s="311">
        <f t="shared" si="173"/>
        <v>28776344.250558898</v>
      </c>
      <c r="AH826" s="311">
        <f t="shared" si="173"/>
        <v>23770090.911916561</v>
      </c>
      <c r="AI826" s="311">
        <f t="shared" si="173"/>
        <v>23163249.410262544</v>
      </c>
      <c r="AJ826" s="311">
        <f t="shared" si="173"/>
        <v>21968377.296493702</v>
      </c>
      <c r="AK826" s="311">
        <f t="shared" si="173"/>
        <v>13562534.963514213</v>
      </c>
      <c r="AL826" s="311">
        <f t="shared" si="173"/>
        <v>18027022.235366099</v>
      </c>
      <c r="AM826" s="311">
        <f t="shared" si="173"/>
        <v>15883011.797607761</v>
      </c>
      <c r="AN826" s="311">
        <f t="shared" si="173"/>
        <v>12886046.571439102</v>
      </c>
      <c r="AO826" s="311">
        <f t="shared" si="173"/>
        <v>8396887.4684881009</v>
      </c>
      <c r="AP826" s="311">
        <f t="shared" si="173"/>
        <v>8754189.0914251376</v>
      </c>
      <c r="AQ826" s="311">
        <f t="shared" si="173"/>
        <v>14562299.453137929</v>
      </c>
      <c r="AR826" s="311">
        <f t="shared" si="173"/>
        <v>7409162.6382312477</v>
      </c>
      <c r="AS826" s="311">
        <f t="shared" si="173"/>
        <v>2800277.8243669979</v>
      </c>
      <c r="AT826" s="311">
        <f t="shared" si="173"/>
        <v>12560903.014435465</v>
      </c>
      <c r="AU826" s="311">
        <f t="shared" si="173"/>
        <v>19927250.343893588</v>
      </c>
      <c r="AV826" s="311">
        <f t="shared" si="173"/>
        <v>1192542.3906394923</v>
      </c>
      <c r="AW826" s="311">
        <f t="shared" si="173"/>
        <v>1168279.8419978574</v>
      </c>
      <c r="AX826" s="311">
        <f t="shared" si="173"/>
        <v>1169288.5389611386</v>
      </c>
      <c r="AY826" s="311">
        <f t="shared" si="173"/>
        <v>12229631.208430385</v>
      </c>
      <c r="AZ826" s="311">
        <f t="shared" si="173"/>
        <v>522304.36003028933</v>
      </c>
      <c r="BA826" s="311">
        <f t="shared" si="173"/>
        <v>6424980.3655208331</v>
      </c>
      <c r="BB826" s="311">
        <f t="shared" si="173"/>
        <v>207973.71643749997</v>
      </c>
      <c r="BC826" s="311">
        <f t="shared" si="173"/>
        <v>207405.48223958333</v>
      </c>
      <c r="BD826" s="311">
        <f t="shared" si="173"/>
        <v>207405.48223958333</v>
      </c>
      <c r="BE826" s="311">
        <f t="shared" si="173"/>
        <v>207405.48223958333</v>
      </c>
      <c r="BF826" s="311">
        <f t="shared" si="173"/>
        <v>207973.71643749997</v>
      </c>
      <c r="BG826" s="311">
        <f t="shared" si="173"/>
        <v>207405.48223958333</v>
      </c>
      <c r="BH826" s="311">
        <f t="shared" si="173"/>
        <v>207405.48223958333</v>
      </c>
      <c r="BI826" s="311">
        <f t="shared" si="173"/>
        <v>207405.48223958333</v>
      </c>
      <c r="BJ826" s="311">
        <f t="shared" si="173"/>
        <v>207973.71643749997</v>
      </c>
      <c r="BK826" s="311">
        <f t="shared" si="173"/>
        <v>5383634.0924166664</v>
      </c>
    </row>
    <row r="827" spans="1:63">
      <c r="A827" s="167"/>
      <c r="B827" s="210" t="s">
        <v>28</v>
      </c>
      <c r="C827" s="211"/>
      <c r="D827" s="212"/>
      <c r="E827" s="212"/>
      <c r="F827" s="212"/>
      <c r="G827" s="212"/>
      <c r="H827" s="212"/>
      <c r="I827" s="212"/>
      <c r="J827" s="212"/>
      <c r="K827" s="212"/>
      <c r="L827" s="212"/>
      <c r="M827" s="212"/>
      <c r="N827" s="212"/>
      <c r="O827" s="212"/>
      <c r="P827" s="212"/>
      <c r="Q827" s="212"/>
      <c r="R827" s="212"/>
      <c r="S827" s="235"/>
      <c r="T827" s="235"/>
      <c r="U827" s="235"/>
      <c r="V827" s="235"/>
      <c r="W827" s="236"/>
      <c r="X827" s="236"/>
      <c r="Y827" s="236">
        <v>310120.36816146434</v>
      </c>
      <c r="Z827" s="236">
        <v>17105927.556839932</v>
      </c>
      <c r="AA827" s="236">
        <v>18749754.430268552</v>
      </c>
      <c r="AB827" s="236">
        <v>18476318.450831335</v>
      </c>
      <c r="AC827" s="236">
        <v>19221900.334380422</v>
      </c>
      <c r="AD827" s="236">
        <v>11715753.261796653</v>
      </c>
      <c r="AE827" s="236">
        <v>17896712.135357372</v>
      </c>
      <c r="AF827" s="236">
        <v>15352846.496281005</v>
      </c>
      <c r="AG827" s="236">
        <v>20277137.806640241</v>
      </c>
      <c r="AH827" s="236">
        <v>16019285.424532741</v>
      </c>
      <c r="AI827" s="236">
        <v>16227527.386118187</v>
      </c>
      <c r="AJ827" s="236">
        <v>15967069.987847734</v>
      </c>
      <c r="AK827" s="236">
        <v>13428013.397583144</v>
      </c>
      <c r="AL827" s="236">
        <v>13092727.615346527</v>
      </c>
      <c r="AM827" s="236">
        <v>11105893.659932032</v>
      </c>
      <c r="AN827" s="236">
        <v>8862304.9169714861</v>
      </c>
      <c r="AO827" s="236">
        <v>4616586.9057100844</v>
      </c>
      <c r="AP827" s="236">
        <v>5192695.6686094385</v>
      </c>
      <c r="AQ827" s="236">
        <v>11344984.342195418</v>
      </c>
      <c r="AR827" s="236">
        <v>4783709.3802736504</v>
      </c>
      <c r="AS827" s="236">
        <v>232709.22526953489</v>
      </c>
      <c r="AT827" s="236">
        <v>10083600.693715053</v>
      </c>
      <c r="AU827" s="236">
        <v>18037749.769411419</v>
      </c>
      <c r="AV827" s="236">
        <v>122869.24611883795</v>
      </c>
      <c r="AW827" s="236">
        <v>101352.11098370282</v>
      </c>
      <c r="AX827" s="236">
        <v>101352.11098370282</v>
      </c>
      <c r="AY827" s="236">
        <v>11244315.425617848</v>
      </c>
      <c r="AZ827" s="236">
        <v>60116.289044023535</v>
      </c>
      <c r="BA827" s="236">
        <v>5971005</v>
      </c>
      <c r="BB827" s="236">
        <v>0</v>
      </c>
      <c r="BC827" s="236">
        <v>4975837.5</v>
      </c>
      <c r="BD827" s="236">
        <v>0</v>
      </c>
      <c r="BE827" s="236">
        <v>0</v>
      </c>
      <c r="BF827" s="236">
        <v>0</v>
      </c>
      <c r="BG827" s="236">
        <v>0</v>
      </c>
      <c r="BH827" s="236">
        <v>0</v>
      </c>
      <c r="BI827" s="236">
        <v>0</v>
      </c>
      <c r="BJ827" s="236">
        <v>0</v>
      </c>
      <c r="BK827" s="236">
        <v>5174871</v>
      </c>
    </row>
    <row r="828" spans="1:63">
      <c r="A828" s="168">
        <v>45260</v>
      </c>
      <c r="B828" s="213" t="s">
        <v>385</v>
      </c>
      <c r="C828" s="214"/>
      <c r="D828" s="215"/>
      <c r="E828" s="215"/>
      <c r="F828" s="215"/>
      <c r="G828" s="215"/>
      <c r="H828" s="215"/>
      <c r="I828" s="215"/>
      <c r="J828" s="215"/>
      <c r="K828" s="215"/>
      <c r="L828" s="215"/>
      <c r="M828" s="215"/>
      <c r="N828" s="215"/>
      <c r="O828" s="215"/>
      <c r="P828" s="215"/>
      <c r="Q828" s="215"/>
      <c r="R828" s="216"/>
      <c r="S828" s="236"/>
      <c r="T828" s="236"/>
      <c r="U828" s="236"/>
      <c r="V828" s="236"/>
      <c r="W828" s="236"/>
      <c r="X828" s="236"/>
      <c r="Y828" s="236">
        <v>781882.19430967188</v>
      </c>
      <c r="Z828" s="236">
        <v>14714458.71892106</v>
      </c>
      <c r="AA828" s="236">
        <v>13491280.806266816</v>
      </c>
      <c r="AB828" s="236">
        <v>12392379.438560264</v>
      </c>
      <c r="AC828" s="236">
        <v>11642669.094560241</v>
      </c>
      <c r="AD828" s="236">
        <v>10938483.221638002</v>
      </c>
      <c r="AE828" s="236">
        <v>10338861.14368167</v>
      </c>
      <c r="AF828" s="236">
        <v>9686742.6745894197</v>
      </c>
      <c r="AG828" s="236">
        <v>9074231.6327030584</v>
      </c>
      <c r="AH828" s="236">
        <v>8411674.4142815284</v>
      </c>
      <c r="AI828" s="236">
        <v>7622816.2780681038</v>
      </c>
      <c r="AJ828" s="236">
        <v>6697251.8436716031</v>
      </c>
      <c r="AK828" s="236">
        <v>6051650.113936563</v>
      </c>
      <c r="AL828" s="236">
        <v>5413301.074316659</v>
      </c>
      <c r="AM828" s="236">
        <v>5122856.7162098819</v>
      </c>
      <c r="AN828" s="236">
        <v>4412651.0872499188</v>
      </c>
      <c r="AO828" s="236">
        <v>4248430.8901449786</v>
      </c>
      <c r="AP828" s="236">
        <v>4013117.4990405645</v>
      </c>
      <c r="AQ828" s="236">
        <v>3540575.8811455211</v>
      </c>
      <c r="AR828" s="236">
        <v>3079292.4488224601</v>
      </c>
      <c r="AS828" s="236">
        <v>2957439.6601703269</v>
      </c>
      <c r="AT828" s="236">
        <v>2675213.7265455564</v>
      </c>
      <c r="AU828" s="236">
        <v>1940730.1308000062</v>
      </c>
      <c r="AV828" s="236">
        <v>1490367.9771219133</v>
      </c>
      <c r="AW828" s="236">
        <v>1488059.0978333314</v>
      </c>
      <c r="AX828" s="236">
        <v>1490214.8840442183</v>
      </c>
      <c r="AY828" s="236">
        <v>1188013.4015396871</v>
      </c>
      <c r="AZ828" s="236">
        <v>894930.53683968226</v>
      </c>
      <c r="BA828" s="236">
        <v>768580.29984374996</v>
      </c>
      <c r="BB828" s="236">
        <v>646510.56637499994</v>
      </c>
      <c r="BC828" s="236">
        <v>644744.14406249998</v>
      </c>
      <c r="BD828" s="236">
        <v>203311.33807291667</v>
      </c>
      <c r="BE828" s="236">
        <v>203311.33807291667</v>
      </c>
      <c r="BF828" s="236">
        <v>203868.35543749999</v>
      </c>
      <c r="BG828" s="236">
        <v>203311.33807291667</v>
      </c>
      <c r="BH828" s="236">
        <v>203311.33807291667</v>
      </c>
      <c r="BI828" s="236">
        <v>203311.33807291667</v>
      </c>
      <c r="BJ828" s="236">
        <v>203868.35543749999</v>
      </c>
      <c r="BK828" s="236">
        <v>102491.19508333332</v>
      </c>
    </row>
    <row r="829" spans="1:63">
      <c r="A829" s="169"/>
      <c r="B829" s="307" t="s">
        <v>29</v>
      </c>
      <c r="C829" s="313"/>
      <c r="D829" s="314"/>
      <c r="E829" s="314"/>
      <c r="F829" s="314"/>
      <c r="G829" s="314"/>
      <c r="H829" s="314"/>
      <c r="I829" s="314"/>
      <c r="J829" s="314"/>
      <c r="K829" s="314"/>
      <c r="L829" s="314"/>
      <c r="M829" s="314"/>
      <c r="N829" s="314"/>
      <c r="O829" s="314"/>
      <c r="P829" s="314"/>
      <c r="Q829" s="314"/>
      <c r="R829" s="314"/>
      <c r="S829" s="311"/>
      <c r="T829" s="311"/>
      <c r="U829" s="311"/>
      <c r="V829" s="311"/>
      <c r="W829" s="311"/>
      <c r="X829" s="311"/>
      <c r="Y829" s="311">
        <f t="shared" ref="Y829:BK829" si="174">Y827+Y828</f>
        <v>1092002.5624711362</v>
      </c>
      <c r="Z829" s="311">
        <f t="shared" si="174"/>
        <v>31820386.275760993</v>
      </c>
      <c r="AA829" s="311">
        <f t="shared" si="174"/>
        <v>32241035.23653537</v>
      </c>
      <c r="AB829" s="311">
        <f t="shared" si="174"/>
        <v>30868697.889391601</v>
      </c>
      <c r="AC829" s="311">
        <f t="shared" si="174"/>
        <v>30864569.428940661</v>
      </c>
      <c r="AD829" s="311">
        <f t="shared" si="174"/>
        <v>22654236.483434655</v>
      </c>
      <c r="AE829" s="311">
        <f t="shared" si="174"/>
        <v>28235573.27903904</v>
      </c>
      <c r="AF829" s="311">
        <f t="shared" si="174"/>
        <v>25039589.170870423</v>
      </c>
      <c r="AG829" s="311">
        <f t="shared" si="174"/>
        <v>29351369.4393433</v>
      </c>
      <c r="AH829" s="311">
        <f t="shared" si="174"/>
        <v>24430959.83881427</v>
      </c>
      <c r="AI829" s="311">
        <f t="shared" si="174"/>
        <v>23850343.664186291</v>
      </c>
      <c r="AJ829" s="311">
        <f t="shared" si="174"/>
        <v>22664321.831519336</v>
      </c>
      <c r="AK829" s="311">
        <f t="shared" si="174"/>
        <v>19479663.511519708</v>
      </c>
      <c r="AL829" s="311">
        <f t="shared" si="174"/>
        <v>18506028.689663187</v>
      </c>
      <c r="AM829" s="311">
        <f t="shared" si="174"/>
        <v>16228750.376141913</v>
      </c>
      <c r="AN829" s="311">
        <f t="shared" si="174"/>
        <v>13274956.004221406</v>
      </c>
      <c r="AO829" s="311">
        <f t="shared" si="174"/>
        <v>8865017.7958550639</v>
      </c>
      <c r="AP829" s="311">
        <f t="shared" si="174"/>
        <v>9205813.167650003</v>
      </c>
      <c r="AQ829" s="311">
        <f t="shared" si="174"/>
        <v>14885560.22334094</v>
      </c>
      <c r="AR829" s="311">
        <f t="shared" si="174"/>
        <v>7863001.8290961105</v>
      </c>
      <c r="AS829" s="311">
        <f t="shared" si="174"/>
        <v>3190148.885439862</v>
      </c>
      <c r="AT829" s="311">
        <f t="shared" si="174"/>
        <v>12758814.420260608</v>
      </c>
      <c r="AU829" s="311">
        <f t="shared" si="174"/>
        <v>19978479.900211424</v>
      </c>
      <c r="AV829" s="311">
        <f t="shared" si="174"/>
        <v>1613237.2232407513</v>
      </c>
      <c r="AW829" s="311">
        <f t="shared" si="174"/>
        <v>1589411.2088170343</v>
      </c>
      <c r="AX829" s="311">
        <f t="shared" si="174"/>
        <v>1591566.9950279212</v>
      </c>
      <c r="AY829" s="311">
        <f t="shared" si="174"/>
        <v>12432328.827157535</v>
      </c>
      <c r="AZ829" s="311">
        <f t="shared" si="174"/>
        <v>955046.82588370575</v>
      </c>
      <c r="BA829" s="311">
        <f t="shared" si="174"/>
        <v>6739585.29984375</v>
      </c>
      <c r="BB829" s="311">
        <f t="shared" si="174"/>
        <v>646510.56637499994</v>
      </c>
      <c r="BC829" s="311">
        <f t="shared" si="174"/>
        <v>5620581.6440625004</v>
      </c>
      <c r="BD829" s="311">
        <f t="shared" si="174"/>
        <v>203311.33807291667</v>
      </c>
      <c r="BE829" s="311">
        <f t="shared" si="174"/>
        <v>203311.33807291667</v>
      </c>
      <c r="BF829" s="311">
        <f t="shared" si="174"/>
        <v>203868.35543749999</v>
      </c>
      <c r="BG829" s="311">
        <f t="shared" si="174"/>
        <v>203311.33807291667</v>
      </c>
      <c r="BH829" s="311">
        <f t="shared" si="174"/>
        <v>203311.33807291667</v>
      </c>
      <c r="BI829" s="311">
        <f t="shared" si="174"/>
        <v>203311.33807291667</v>
      </c>
      <c r="BJ829" s="311">
        <f t="shared" si="174"/>
        <v>203868.35543749999</v>
      </c>
      <c r="BK829" s="311">
        <f t="shared" si="174"/>
        <v>5277362.1950833332</v>
      </c>
    </row>
    <row r="830" spans="1:63">
      <c r="A830" s="167"/>
      <c r="B830" s="210" t="s">
        <v>28</v>
      </c>
      <c r="C830" s="211"/>
      <c r="D830" s="212"/>
      <c r="E830" s="212"/>
      <c r="F830" s="212"/>
      <c r="G830" s="212"/>
      <c r="H830" s="212"/>
      <c r="I830" s="212"/>
      <c r="J830" s="212"/>
      <c r="K830" s="212"/>
      <c r="L830" s="212"/>
      <c r="M830" s="212"/>
      <c r="N830" s="212"/>
      <c r="O830" s="212"/>
      <c r="P830" s="212"/>
      <c r="Q830" s="212"/>
      <c r="R830" s="212"/>
      <c r="S830" s="235"/>
      <c r="T830" s="235"/>
      <c r="U830" s="235"/>
      <c r="V830" s="235"/>
      <c r="W830" s="236"/>
      <c r="X830" s="236"/>
      <c r="Y830" s="236"/>
      <c r="Z830" s="236">
        <v>16527676.313685516</v>
      </c>
      <c r="AA830" s="236">
        <v>18109797.369006317</v>
      </c>
      <c r="AB830" s="236">
        <v>17829722.480354838</v>
      </c>
      <c r="AC830" s="236">
        <v>18561313.419217873</v>
      </c>
      <c r="AD830" s="236">
        <v>11281312.69649623</v>
      </c>
      <c r="AE830" s="236">
        <v>18240337.420335624</v>
      </c>
      <c r="AF830" s="236">
        <v>14917480.872357644</v>
      </c>
      <c r="AG830" s="236">
        <v>19679560.844068483</v>
      </c>
      <c r="AH830" s="236">
        <v>15546708.080415104</v>
      </c>
      <c r="AI830" s="236">
        <v>15743046.356039841</v>
      </c>
      <c r="AJ830" s="236">
        <v>15485928.791679934</v>
      </c>
      <c r="AK830" s="236">
        <v>13080431.503572127</v>
      </c>
      <c r="AL830" s="236">
        <v>12784308.565663824</v>
      </c>
      <c r="AM830" s="236">
        <v>10817235.688077413</v>
      </c>
      <c r="AN830" s="236">
        <v>8660399.6549016684</v>
      </c>
      <c r="AO830" s="236">
        <v>4583863.1620001206</v>
      </c>
      <c r="AP830" s="236">
        <v>5134498.7000374878</v>
      </c>
      <c r="AQ830" s="236">
        <v>11099822.061176369</v>
      </c>
      <c r="AR830" s="236">
        <v>4739664.136456972</v>
      </c>
      <c r="AS830" s="236">
        <v>228452.84102732592</v>
      </c>
      <c r="AT830" s="236">
        <v>9684965.056577675</v>
      </c>
      <c r="AU830" s="236">
        <v>17320315.442032352</v>
      </c>
      <c r="AV830" s="236">
        <v>119299.25529735946</v>
      </c>
      <c r="AW830" s="236">
        <v>98455.787726191367</v>
      </c>
      <c r="AX830" s="236">
        <v>98272.049884753025</v>
      </c>
      <c r="AY830" s="236">
        <v>10797215.427933535</v>
      </c>
      <c r="AZ830" s="236">
        <v>58309.242448665616</v>
      </c>
      <c r="BA830" s="236">
        <v>5733075</v>
      </c>
      <c r="BB830" s="236">
        <v>0</v>
      </c>
      <c r="BC830" s="236">
        <v>4777562.5</v>
      </c>
      <c r="BD830" s="236">
        <v>0</v>
      </c>
      <c r="BE830" s="236">
        <v>0</v>
      </c>
      <c r="BF830" s="236">
        <v>0</v>
      </c>
      <c r="BG830" s="236">
        <v>0</v>
      </c>
      <c r="BH830" s="236">
        <v>0</v>
      </c>
      <c r="BI830" s="236">
        <v>0</v>
      </c>
      <c r="BJ830" s="236">
        <v>0</v>
      </c>
      <c r="BK830" s="236">
        <v>4968665</v>
      </c>
    </row>
    <row r="831" spans="1:63">
      <c r="A831" s="168">
        <v>45291</v>
      </c>
      <c r="B831" s="213" t="s">
        <v>385</v>
      </c>
      <c r="C831" s="214"/>
      <c r="D831" s="215"/>
      <c r="E831" s="215"/>
      <c r="F831" s="215"/>
      <c r="G831" s="215"/>
      <c r="H831" s="215"/>
      <c r="I831" s="215"/>
      <c r="J831" s="215"/>
      <c r="K831" s="215"/>
      <c r="L831" s="215"/>
      <c r="M831" s="215"/>
      <c r="N831" s="215"/>
      <c r="O831" s="215"/>
      <c r="P831" s="215"/>
      <c r="Q831" s="215"/>
      <c r="R831" s="216"/>
      <c r="S831" s="236"/>
      <c r="T831" s="236"/>
      <c r="U831" s="236"/>
      <c r="V831" s="236"/>
      <c r="W831" s="236"/>
      <c r="X831" s="236"/>
      <c r="Y831" s="236"/>
      <c r="Z831" s="236">
        <v>14323870.577179637</v>
      </c>
      <c r="AA831" s="236">
        <v>13184176.489664014</v>
      </c>
      <c r="AB831" s="236">
        <v>12130942.576857686</v>
      </c>
      <c r="AC831" s="236">
        <v>11398262.967548408</v>
      </c>
      <c r="AD831" s="236">
        <v>10712515.847754084</v>
      </c>
      <c r="AE831" s="236">
        <v>10118487.15086738</v>
      </c>
      <c r="AF831" s="236">
        <v>9450085.3493253961</v>
      </c>
      <c r="AG831" s="236">
        <v>8848609.0910110921</v>
      </c>
      <c r="AH831" s="236">
        <v>8200306.0328269955</v>
      </c>
      <c r="AI831" s="236">
        <v>7431372.3819665536</v>
      </c>
      <c r="AJ831" s="236">
        <v>6531780.9709474836</v>
      </c>
      <c r="AK831" s="236">
        <v>5900963.7099589966</v>
      </c>
      <c r="AL831" s="236">
        <v>5276683.6977734333</v>
      </c>
      <c r="AM831" s="236">
        <v>4985732.1577611184</v>
      </c>
      <c r="AN831" s="236">
        <v>4292695.1682943078</v>
      </c>
      <c r="AO831" s="236">
        <v>4123965.0815841001</v>
      </c>
      <c r="AP831" s="236">
        <v>3886917.270426196</v>
      </c>
      <c r="AQ831" s="236">
        <v>3420078.3897579256</v>
      </c>
      <c r="AR831" s="236">
        <v>2964758.8784646341</v>
      </c>
      <c r="AS831" s="236">
        <v>2840206.398255012</v>
      </c>
      <c r="AT831" s="236">
        <v>2568886.7316277344</v>
      </c>
      <c r="AU831" s="236">
        <v>1863560.0861269669</v>
      </c>
      <c r="AV831" s="236">
        <v>1431096.6514607151</v>
      </c>
      <c r="AW831" s="236">
        <v>1428833.9150841925</v>
      </c>
      <c r="AX831" s="236">
        <v>1430876.7250014106</v>
      </c>
      <c r="AY831" s="236">
        <v>1140696.4412363959</v>
      </c>
      <c r="AZ831" s="236">
        <v>859274.50195164303</v>
      </c>
      <c r="BA831" s="236">
        <v>737954.24765625002</v>
      </c>
      <c r="BB831" s="236">
        <v>620748.69562500005</v>
      </c>
      <c r="BC831" s="236">
        <v>619052.66093750007</v>
      </c>
      <c r="BD831" s="236">
        <v>195209.87664930557</v>
      </c>
      <c r="BE831" s="236">
        <v>195209.87664930557</v>
      </c>
      <c r="BF831" s="236">
        <v>195744.69822916665</v>
      </c>
      <c r="BG831" s="236">
        <v>195209.87664930557</v>
      </c>
      <c r="BH831" s="236">
        <v>195209.87664930557</v>
      </c>
      <c r="BI831" s="236">
        <v>195209.87664930557</v>
      </c>
      <c r="BJ831" s="236">
        <v>195744.69822916665</v>
      </c>
      <c r="BK831" s="236">
        <v>98407.170694444445</v>
      </c>
    </row>
    <row r="832" spans="1:63">
      <c r="A832" s="169"/>
      <c r="B832" s="307" t="s">
        <v>29</v>
      </c>
      <c r="C832" s="313"/>
      <c r="D832" s="314"/>
      <c r="E832" s="314"/>
      <c r="F832" s="314"/>
      <c r="G832" s="314"/>
      <c r="H832" s="314"/>
      <c r="I832" s="314"/>
      <c r="J832" s="314"/>
      <c r="K832" s="314"/>
      <c r="L832" s="314"/>
      <c r="M832" s="314"/>
      <c r="N832" s="314"/>
      <c r="O832" s="314"/>
      <c r="P832" s="314"/>
      <c r="Q832" s="314"/>
      <c r="R832" s="314"/>
      <c r="S832" s="311"/>
      <c r="T832" s="311"/>
      <c r="U832" s="311"/>
      <c r="V832" s="311"/>
      <c r="W832" s="311"/>
      <c r="X832" s="311"/>
      <c r="Y832" s="311"/>
      <c r="Z832" s="311">
        <f t="shared" ref="Z832:BK832" si="175">Z830+Z831</f>
        <v>30851546.890865155</v>
      </c>
      <c r="AA832" s="311">
        <f t="shared" si="175"/>
        <v>31293973.858670332</v>
      </c>
      <c r="AB832" s="311">
        <f t="shared" si="175"/>
        <v>29960665.057212524</v>
      </c>
      <c r="AC832" s="311">
        <f t="shared" si="175"/>
        <v>29959576.386766281</v>
      </c>
      <c r="AD832" s="311">
        <f t="shared" si="175"/>
        <v>21993828.544250313</v>
      </c>
      <c r="AE832" s="311">
        <f t="shared" si="175"/>
        <v>28358824.571203005</v>
      </c>
      <c r="AF832" s="311">
        <f t="shared" si="175"/>
        <v>24367566.22168304</v>
      </c>
      <c r="AG832" s="311">
        <f t="shared" si="175"/>
        <v>28528169.935079575</v>
      </c>
      <c r="AH832" s="311">
        <f t="shared" si="175"/>
        <v>23747014.113242097</v>
      </c>
      <c r="AI832" s="311">
        <f t="shared" si="175"/>
        <v>23174418.738006394</v>
      </c>
      <c r="AJ832" s="311">
        <f t="shared" si="175"/>
        <v>22017709.762627415</v>
      </c>
      <c r="AK832" s="311">
        <f t="shared" si="175"/>
        <v>18981395.213531122</v>
      </c>
      <c r="AL832" s="311">
        <f t="shared" si="175"/>
        <v>18060992.263437256</v>
      </c>
      <c r="AM832" s="311">
        <f t="shared" si="175"/>
        <v>15802967.845838532</v>
      </c>
      <c r="AN832" s="311">
        <f t="shared" si="175"/>
        <v>12953094.823195975</v>
      </c>
      <c r="AO832" s="311">
        <f t="shared" si="175"/>
        <v>8707828.2435842212</v>
      </c>
      <c r="AP832" s="311">
        <f t="shared" si="175"/>
        <v>9021415.9704636838</v>
      </c>
      <c r="AQ832" s="311">
        <f t="shared" si="175"/>
        <v>14519900.450934295</v>
      </c>
      <c r="AR832" s="311">
        <f t="shared" si="175"/>
        <v>7704423.0149216056</v>
      </c>
      <c r="AS832" s="311">
        <f t="shared" si="175"/>
        <v>3068659.2392823379</v>
      </c>
      <c r="AT832" s="311">
        <f t="shared" si="175"/>
        <v>12253851.788205409</v>
      </c>
      <c r="AU832" s="311">
        <f t="shared" si="175"/>
        <v>19183875.52815932</v>
      </c>
      <c r="AV832" s="311">
        <f t="shared" si="175"/>
        <v>1550395.9067580746</v>
      </c>
      <c r="AW832" s="311">
        <f t="shared" si="175"/>
        <v>1527289.7028103839</v>
      </c>
      <c r="AX832" s="311">
        <f t="shared" si="175"/>
        <v>1529148.7748861637</v>
      </c>
      <c r="AY832" s="311">
        <f t="shared" si="175"/>
        <v>11937911.86916993</v>
      </c>
      <c r="AZ832" s="311">
        <f t="shared" si="175"/>
        <v>917583.7444003087</v>
      </c>
      <c r="BA832" s="311">
        <f t="shared" si="175"/>
        <v>6471029.2476562504</v>
      </c>
      <c r="BB832" s="311">
        <f t="shared" si="175"/>
        <v>620748.69562500005</v>
      </c>
      <c r="BC832" s="311">
        <f t="shared" si="175"/>
        <v>5396615.1609375002</v>
      </c>
      <c r="BD832" s="311">
        <f t="shared" si="175"/>
        <v>195209.87664930557</v>
      </c>
      <c r="BE832" s="311">
        <f t="shared" si="175"/>
        <v>195209.87664930557</v>
      </c>
      <c r="BF832" s="311">
        <f t="shared" si="175"/>
        <v>195744.69822916665</v>
      </c>
      <c r="BG832" s="311">
        <f t="shared" si="175"/>
        <v>195209.87664930557</v>
      </c>
      <c r="BH832" s="311">
        <f t="shared" si="175"/>
        <v>195209.87664930557</v>
      </c>
      <c r="BI832" s="311">
        <f t="shared" si="175"/>
        <v>195209.87664930557</v>
      </c>
      <c r="BJ832" s="311">
        <f t="shared" si="175"/>
        <v>195744.69822916665</v>
      </c>
      <c r="BK832" s="311">
        <f t="shared" si="175"/>
        <v>5067072.1706944443</v>
      </c>
    </row>
    <row r="833" spans="1:63">
      <c r="A833" s="167"/>
      <c r="B833" s="210" t="s">
        <v>28</v>
      </c>
      <c r="C833" s="211"/>
      <c r="D833" s="212"/>
      <c r="E833" s="212"/>
      <c r="F833" s="212"/>
      <c r="G833" s="212"/>
      <c r="H833" s="212"/>
      <c r="I833" s="212"/>
      <c r="J833" s="212"/>
      <c r="K833" s="212"/>
      <c r="L833" s="212"/>
      <c r="M833" s="212"/>
      <c r="N833" s="212"/>
      <c r="O833" s="212"/>
      <c r="P833" s="212"/>
      <c r="Q833" s="212"/>
      <c r="R833" s="212"/>
      <c r="S833" s="235"/>
      <c r="T833" s="235"/>
      <c r="U833" s="235"/>
      <c r="V833" s="235"/>
      <c r="W833" s="236"/>
      <c r="X833" s="236"/>
      <c r="Y833" s="236"/>
      <c r="Z833" s="236">
        <v>16548391.267319299</v>
      </c>
      <c r="AA833" s="236">
        <v>18489516.175876696</v>
      </c>
      <c r="AB833" s="236">
        <v>18209400.349435158</v>
      </c>
      <c r="AC833" s="236">
        <v>19006808.343722802</v>
      </c>
      <c r="AD833" s="236">
        <v>11572200.848676423</v>
      </c>
      <c r="AE833" s="236">
        <v>18747005.595438972</v>
      </c>
      <c r="AF833" s="236">
        <v>15334960.234635988</v>
      </c>
      <c r="AG833" s="236">
        <v>20223307.057400811</v>
      </c>
      <c r="AH833" s="236">
        <v>15987559.146111043</v>
      </c>
      <c r="AI833" s="236">
        <v>16225158.340483516</v>
      </c>
      <c r="AJ833" s="236">
        <v>15932982.657094436</v>
      </c>
      <c r="AK833" s="236">
        <v>13413292.30979646</v>
      </c>
      <c r="AL833" s="236">
        <v>13065994.472219072</v>
      </c>
      <c r="AM833" s="236">
        <v>11141002.032010252</v>
      </c>
      <c r="AN833" s="236">
        <v>8929677.4900676087</v>
      </c>
      <c r="AO833" s="236">
        <v>4742696.2469583424</v>
      </c>
      <c r="AP833" s="236">
        <v>5309275.7713286374</v>
      </c>
      <c r="AQ833" s="236">
        <v>11438264.347964332</v>
      </c>
      <c r="AR833" s="236">
        <v>4905791.9969279841</v>
      </c>
      <c r="AS833" s="236">
        <v>252731.39888802767</v>
      </c>
      <c r="AT833" s="236">
        <v>9945818.9189268667</v>
      </c>
      <c r="AU833" s="236">
        <v>17788032.252907556</v>
      </c>
      <c r="AV833" s="236">
        <v>120992.53792557131</v>
      </c>
      <c r="AW833" s="236">
        <v>99584.362653825156</v>
      </c>
      <c r="AX833" s="236">
        <v>99395.646841538459</v>
      </c>
      <c r="AY833" s="236">
        <v>11088203.256597636</v>
      </c>
      <c r="AZ833" s="236">
        <v>58944.335803147173</v>
      </c>
      <c r="BA833" s="236">
        <v>5888400</v>
      </c>
      <c r="BB833" s="236">
        <v>0</v>
      </c>
      <c r="BC833" s="236">
        <v>4907000</v>
      </c>
      <c r="BD833" s="236">
        <v>0</v>
      </c>
      <c r="BE833" s="236">
        <v>0</v>
      </c>
      <c r="BF833" s="236">
        <v>0</v>
      </c>
      <c r="BG833" s="236">
        <v>0</v>
      </c>
      <c r="BH833" s="236">
        <v>0</v>
      </c>
      <c r="BI833" s="236">
        <v>0</v>
      </c>
      <c r="BJ833" s="236">
        <v>0</v>
      </c>
      <c r="BK833" s="236">
        <v>5103280</v>
      </c>
    </row>
    <row r="834" spans="1:63">
      <c r="A834" s="168">
        <v>45322</v>
      </c>
      <c r="B834" s="213" t="s">
        <v>385</v>
      </c>
      <c r="C834" s="214"/>
      <c r="D834" s="215"/>
      <c r="E834" s="215"/>
      <c r="F834" s="215"/>
      <c r="G834" s="215"/>
      <c r="H834" s="215"/>
      <c r="I834" s="215"/>
      <c r="J834" s="215"/>
      <c r="K834" s="215"/>
      <c r="L834" s="215"/>
      <c r="M834" s="215"/>
      <c r="N834" s="215"/>
      <c r="O834" s="215"/>
      <c r="P834" s="215"/>
      <c r="Q834" s="215"/>
      <c r="R834" s="216"/>
      <c r="S834" s="236"/>
      <c r="T834" s="236"/>
      <c r="U834" s="236"/>
      <c r="V834" s="236"/>
      <c r="W834" s="236"/>
      <c r="X834" s="236"/>
      <c r="Y834" s="236"/>
      <c r="Z834" s="236">
        <v>13354823.247315008</v>
      </c>
      <c r="AA834" s="236">
        <v>13189343.30046081</v>
      </c>
      <c r="AB834" s="236">
        <v>12108734.255395675</v>
      </c>
      <c r="AC834" s="236">
        <v>11381242.114111993</v>
      </c>
      <c r="AD834" s="236">
        <v>10709494.819869906</v>
      </c>
      <c r="AE834" s="236">
        <v>10146747.564358963</v>
      </c>
      <c r="AF834" s="236">
        <v>9523246.0669385623</v>
      </c>
      <c r="AG834" s="236">
        <v>8925824.2690888103</v>
      </c>
      <c r="AH834" s="236">
        <v>8283518.1589558376</v>
      </c>
      <c r="AI834" s="236">
        <v>7521528.7770202551</v>
      </c>
      <c r="AJ834" s="236">
        <v>6622802.382667955</v>
      </c>
      <c r="AK834" s="236">
        <v>5994994.3383384375</v>
      </c>
      <c r="AL834" s="236">
        <v>5367892.4974923385</v>
      </c>
      <c r="AM834" s="236">
        <v>5083438.5894424822</v>
      </c>
      <c r="AN834" s="236">
        <v>4381803.3820192954</v>
      </c>
      <c r="AO834" s="236">
        <v>4218123.0449873675</v>
      </c>
      <c r="AP834" s="236">
        <v>3981486.200159756</v>
      </c>
      <c r="AQ834" s="236">
        <v>3507707.9282633988</v>
      </c>
      <c r="AR834" s="236">
        <v>3044184.8671170007</v>
      </c>
      <c r="AS834" s="236">
        <v>2916880.3754017688</v>
      </c>
      <c r="AT834" s="236">
        <v>2638292.1512358999</v>
      </c>
      <c r="AU834" s="236">
        <v>1913890.4500614232</v>
      </c>
      <c r="AV834" s="236">
        <v>1469742.3316515414</v>
      </c>
      <c r="AW834" s="236">
        <v>1467448.9593952312</v>
      </c>
      <c r="AX834" s="236">
        <v>1469577.4953984818</v>
      </c>
      <c r="AY834" s="236">
        <v>1171565.755347593</v>
      </c>
      <c r="AZ834" s="236">
        <v>882546.99423006468</v>
      </c>
      <c r="BA834" s="236">
        <v>757947.48749999993</v>
      </c>
      <c r="BB834" s="236">
        <v>637566.51</v>
      </c>
      <c r="BC834" s="236">
        <v>635824.52500000002</v>
      </c>
      <c r="BD834" s="236">
        <v>200498.65694444443</v>
      </c>
      <c r="BE834" s="236">
        <v>200498.65694444443</v>
      </c>
      <c r="BF834" s="236">
        <v>201047.96833333332</v>
      </c>
      <c r="BG834" s="236">
        <v>200498.65694444443</v>
      </c>
      <c r="BH834" s="236">
        <v>200498.65694444443</v>
      </c>
      <c r="BI834" s="236">
        <v>200498.65694444443</v>
      </c>
      <c r="BJ834" s="236">
        <v>201047.96833333332</v>
      </c>
      <c r="BK834" s="236">
        <v>101073.29555555554</v>
      </c>
    </row>
    <row r="835" spans="1:63">
      <c r="A835" s="169"/>
      <c r="B835" s="307" t="s">
        <v>29</v>
      </c>
      <c r="C835" s="313"/>
      <c r="D835" s="314"/>
      <c r="E835" s="314"/>
      <c r="F835" s="314"/>
      <c r="G835" s="314"/>
      <c r="H835" s="314"/>
      <c r="I835" s="314"/>
      <c r="J835" s="314"/>
      <c r="K835" s="314"/>
      <c r="L835" s="314"/>
      <c r="M835" s="314"/>
      <c r="N835" s="314"/>
      <c r="O835" s="314"/>
      <c r="P835" s="314"/>
      <c r="Q835" s="314"/>
      <c r="R835" s="314"/>
      <c r="S835" s="311"/>
      <c r="T835" s="311"/>
      <c r="U835" s="311"/>
      <c r="V835" s="311"/>
      <c r="W835" s="311"/>
      <c r="X835" s="311"/>
      <c r="Y835" s="311"/>
      <c r="Z835" s="311">
        <f t="shared" ref="Z835:BK835" si="176">Z833+Z834</f>
        <v>29903214.514634307</v>
      </c>
      <c r="AA835" s="311">
        <f t="shared" si="176"/>
        <v>31678859.476337507</v>
      </c>
      <c r="AB835" s="311">
        <f t="shared" si="176"/>
        <v>30318134.604830831</v>
      </c>
      <c r="AC835" s="311">
        <f t="shared" si="176"/>
        <v>30388050.457834795</v>
      </c>
      <c r="AD835" s="311">
        <f t="shared" si="176"/>
        <v>22281695.668546326</v>
      </c>
      <c r="AE835" s="311">
        <f t="shared" si="176"/>
        <v>28893753.159797937</v>
      </c>
      <c r="AF835" s="311">
        <f t="shared" si="176"/>
        <v>24858206.301574551</v>
      </c>
      <c r="AG835" s="311">
        <f t="shared" si="176"/>
        <v>29149131.32648962</v>
      </c>
      <c r="AH835" s="311">
        <f t="shared" si="176"/>
        <v>24271077.30506688</v>
      </c>
      <c r="AI835" s="311">
        <f t="shared" si="176"/>
        <v>23746687.11750377</v>
      </c>
      <c r="AJ835" s="311">
        <f t="shared" si="176"/>
        <v>22555785.039762393</v>
      </c>
      <c r="AK835" s="311">
        <f t="shared" si="176"/>
        <v>19408286.648134898</v>
      </c>
      <c r="AL835" s="311">
        <f t="shared" si="176"/>
        <v>18433886.969711412</v>
      </c>
      <c r="AM835" s="311">
        <f t="shared" si="176"/>
        <v>16224440.621452734</v>
      </c>
      <c r="AN835" s="311">
        <f t="shared" si="176"/>
        <v>13311480.872086905</v>
      </c>
      <c r="AO835" s="311">
        <f t="shared" si="176"/>
        <v>8960819.2919457108</v>
      </c>
      <c r="AP835" s="311">
        <f t="shared" si="176"/>
        <v>9290761.9714883938</v>
      </c>
      <c r="AQ835" s="311">
        <f t="shared" si="176"/>
        <v>14945972.276227731</v>
      </c>
      <c r="AR835" s="311">
        <f t="shared" si="176"/>
        <v>7949976.8640449848</v>
      </c>
      <c r="AS835" s="311">
        <f t="shared" si="176"/>
        <v>3169611.7742897966</v>
      </c>
      <c r="AT835" s="311">
        <f t="shared" si="176"/>
        <v>12584111.070162766</v>
      </c>
      <c r="AU835" s="311">
        <f t="shared" si="176"/>
        <v>19701922.702968977</v>
      </c>
      <c r="AV835" s="311">
        <f t="shared" si="176"/>
        <v>1590734.8695771126</v>
      </c>
      <c r="AW835" s="311">
        <f t="shared" si="176"/>
        <v>1567033.3220490564</v>
      </c>
      <c r="AX835" s="311">
        <f t="shared" si="176"/>
        <v>1568973.1422400202</v>
      </c>
      <c r="AY835" s="311">
        <f t="shared" si="176"/>
        <v>12259769.011945229</v>
      </c>
      <c r="AZ835" s="311">
        <f t="shared" si="176"/>
        <v>941491.33003321185</v>
      </c>
      <c r="BA835" s="311">
        <f t="shared" si="176"/>
        <v>6646347.4874999998</v>
      </c>
      <c r="BB835" s="311">
        <f t="shared" si="176"/>
        <v>637566.51</v>
      </c>
      <c r="BC835" s="311">
        <f t="shared" si="176"/>
        <v>5542824.5250000004</v>
      </c>
      <c r="BD835" s="311">
        <f t="shared" si="176"/>
        <v>200498.65694444443</v>
      </c>
      <c r="BE835" s="311">
        <f t="shared" si="176"/>
        <v>200498.65694444443</v>
      </c>
      <c r="BF835" s="311">
        <f t="shared" si="176"/>
        <v>201047.96833333332</v>
      </c>
      <c r="BG835" s="311">
        <f t="shared" si="176"/>
        <v>200498.65694444443</v>
      </c>
      <c r="BH835" s="311">
        <f t="shared" si="176"/>
        <v>200498.65694444443</v>
      </c>
      <c r="BI835" s="311">
        <f t="shared" si="176"/>
        <v>200498.65694444443</v>
      </c>
      <c r="BJ835" s="311">
        <f t="shared" si="176"/>
        <v>201047.96833333332</v>
      </c>
      <c r="BK835" s="311">
        <f t="shared" si="176"/>
        <v>5204353.2955555553</v>
      </c>
    </row>
    <row r="836" spans="1:63">
      <c r="A836" s="167"/>
      <c r="B836" s="210" t="s">
        <v>28</v>
      </c>
      <c r="C836" s="211"/>
      <c r="D836" s="212"/>
      <c r="E836" s="212"/>
      <c r="F836" s="212"/>
      <c r="G836" s="212"/>
      <c r="H836" s="212"/>
      <c r="I836" s="212"/>
      <c r="J836" s="212"/>
      <c r="K836" s="212"/>
      <c r="L836" s="212"/>
      <c r="M836" s="212"/>
      <c r="N836" s="212"/>
      <c r="O836" s="212"/>
      <c r="P836" s="212"/>
      <c r="Q836" s="212"/>
      <c r="R836" s="212"/>
      <c r="S836" s="235"/>
      <c r="T836" s="235"/>
      <c r="U836" s="235"/>
      <c r="V836" s="235"/>
      <c r="W836" s="236"/>
      <c r="X836" s="236"/>
      <c r="Y836" s="236"/>
      <c r="Z836" s="236">
        <v>16207461.736945715</v>
      </c>
      <c r="AA836" s="236">
        <v>18510857.37350734</v>
      </c>
      <c r="AB836" s="236">
        <v>18225080.723250538</v>
      </c>
      <c r="AC836" s="236">
        <v>19041983.150003932</v>
      </c>
      <c r="AD836" s="236">
        <v>11595320.512610009</v>
      </c>
      <c r="AE836" s="236">
        <v>18786580.524006639</v>
      </c>
      <c r="AF836" s="236">
        <v>15367778.29997758</v>
      </c>
      <c r="AG836" s="236">
        <v>20266457.975092687</v>
      </c>
      <c r="AH836" s="236">
        <v>16023782.85167438</v>
      </c>
      <c r="AI836" s="236">
        <v>16226825.487112982</v>
      </c>
      <c r="AJ836" s="236">
        <v>15975581.822799714</v>
      </c>
      <c r="AK836" s="236">
        <v>13429214.927268308</v>
      </c>
      <c r="AL836" s="236">
        <v>13071317.185839316</v>
      </c>
      <c r="AM836" s="236">
        <v>11163485.554461729</v>
      </c>
      <c r="AN836" s="236">
        <v>8948514.1735152267</v>
      </c>
      <c r="AO836" s="236">
        <v>4753042.9236056888</v>
      </c>
      <c r="AP836" s="236">
        <v>5320848.0793738002</v>
      </c>
      <c r="AQ836" s="236">
        <v>11462567.056838783</v>
      </c>
      <c r="AR836" s="236">
        <v>4915855.9546886226</v>
      </c>
      <c r="AS836" s="236">
        <v>253360.2735122283</v>
      </c>
      <c r="AT836" s="236">
        <v>9965735.7088382244</v>
      </c>
      <c r="AU836" s="236">
        <v>17823761.421325944</v>
      </c>
      <c r="AV836" s="236">
        <v>120897.97592536168</v>
      </c>
      <c r="AW836" s="236">
        <v>99446.390964609236</v>
      </c>
      <c r="AX836" s="236">
        <v>99257.292490343272</v>
      </c>
      <c r="AY836" s="236">
        <v>11110347.077856198</v>
      </c>
      <c r="AZ836" s="236">
        <v>58855.202933188972</v>
      </c>
      <c r="BA836" s="236">
        <v>5900340</v>
      </c>
      <c r="BB836" s="236">
        <v>0</v>
      </c>
      <c r="BC836" s="236">
        <v>4916950</v>
      </c>
      <c r="BD836" s="236">
        <v>0</v>
      </c>
      <c r="BE836" s="236">
        <v>0</v>
      </c>
      <c r="BF836" s="236">
        <v>0</v>
      </c>
      <c r="BG836" s="236">
        <v>0</v>
      </c>
      <c r="BH836" s="236">
        <v>0</v>
      </c>
      <c r="BI836" s="236">
        <v>0</v>
      </c>
      <c r="BJ836" s="236">
        <v>0</v>
      </c>
      <c r="BK836" s="236">
        <v>5113628</v>
      </c>
    </row>
    <row r="837" spans="1:63">
      <c r="A837" s="168">
        <v>45350</v>
      </c>
      <c r="B837" s="213" t="s">
        <v>385</v>
      </c>
      <c r="C837" s="214"/>
      <c r="D837" s="215"/>
      <c r="E837" s="215"/>
      <c r="F837" s="215"/>
      <c r="G837" s="215"/>
      <c r="H837" s="215"/>
      <c r="I837" s="215"/>
      <c r="J837" s="215"/>
      <c r="K837" s="215"/>
      <c r="L837" s="215"/>
      <c r="M837" s="215"/>
      <c r="N837" s="215"/>
      <c r="O837" s="215"/>
      <c r="P837" s="215"/>
      <c r="Q837" s="215"/>
      <c r="R837" s="216"/>
      <c r="S837" s="236"/>
      <c r="T837" s="236"/>
      <c r="U837" s="236"/>
      <c r="V837" s="236"/>
      <c r="W837" s="236"/>
      <c r="X837" s="236"/>
      <c r="Y837" s="236"/>
      <c r="Z837" s="236">
        <v>13381903.029526295</v>
      </c>
      <c r="AA837" s="236">
        <v>13216087.536417522</v>
      </c>
      <c r="AB837" s="236">
        <v>12133287.323633129</v>
      </c>
      <c r="AC837" s="236">
        <v>11404320.035252286</v>
      </c>
      <c r="AD837" s="236">
        <v>10731210.6286039</v>
      </c>
      <c r="AE837" s="236">
        <v>10167322.281755615</v>
      </c>
      <c r="AF837" s="236">
        <v>9542556.5006793495</v>
      </c>
      <c r="AG837" s="236">
        <v>8943923.3013850078</v>
      </c>
      <c r="AH837" s="236">
        <v>8300314.7771913409</v>
      </c>
      <c r="AI837" s="236">
        <v>7536780.2975687264</v>
      </c>
      <c r="AJ837" s="236">
        <v>6636231.541768739</v>
      </c>
      <c r="AK837" s="236">
        <v>6007150.4813314006</v>
      </c>
      <c r="AL837" s="236">
        <v>5378777.0563572356</v>
      </c>
      <c r="AM837" s="236">
        <v>5093746.3567065848</v>
      </c>
      <c r="AN837" s="236">
        <v>4390688.4326920267</v>
      </c>
      <c r="AO837" s="236">
        <v>4226676.1985022696</v>
      </c>
      <c r="AP837" s="236">
        <v>3989559.5214745286</v>
      </c>
      <c r="AQ837" s="236">
        <v>3514820.5620286772</v>
      </c>
      <c r="AR837" s="236">
        <v>3050357.6079826648</v>
      </c>
      <c r="AS837" s="236">
        <v>2922794.9789752858</v>
      </c>
      <c r="AT837" s="236">
        <v>2643641.8571468019</v>
      </c>
      <c r="AU837" s="236">
        <v>1917771.2754085013</v>
      </c>
      <c r="AV837" s="236">
        <v>1472722.5509708675</v>
      </c>
      <c r="AW837" s="236">
        <v>1470424.5284080664</v>
      </c>
      <c r="AX837" s="236">
        <v>1472557.3804767812</v>
      </c>
      <c r="AY837" s="236">
        <v>1173941.357398889</v>
      </c>
      <c r="AZ837" s="236">
        <v>884336.54845720739</v>
      </c>
      <c r="BA837" s="236">
        <v>759484.38937500003</v>
      </c>
      <c r="BB837" s="236">
        <v>638859.31349999993</v>
      </c>
      <c r="BC837" s="236">
        <v>637113.79625000001</v>
      </c>
      <c r="BD837" s="236">
        <v>200905.21118055555</v>
      </c>
      <c r="BE837" s="236">
        <v>200905.21118055555</v>
      </c>
      <c r="BF837" s="236">
        <v>201455.63641666665</v>
      </c>
      <c r="BG837" s="236">
        <v>200905.21118055555</v>
      </c>
      <c r="BH837" s="236">
        <v>200905.21118055555</v>
      </c>
      <c r="BI837" s="236">
        <v>200905.21118055555</v>
      </c>
      <c r="BJ837" s="236">
        <v>201455.63641666665</v>
      </c>
      <c r="BK837" s="236">
        <v>101278.24344444444</v>
      </c>
    </row>
    <row r="838" spans="1:63">
      <c r="A838" s="169"/>
      <c r="B838" s="307" t="s">
        <v>29</v>
      </c>
      <c r="C838" s="313"/>
      <c r="D838" s="314"/>
      <c r="E838" s="314"/>
      <c r="F838" s="314"/>
      <c r="G838" s="314"/>
      <c r="H838" s="314"/>
      <c r="I838" s="314"/>
      <c r="J838" s="314"/>
      <c r="K838" s="314"/>
      <c r="L838" s="314"/>
      <c r="M838" s="314"/>
      <c r="N838" s="314"/>
      <c r="O838" s="314"/>
      <c r="P838" s="314"/>
      <c r="Q838" s="314"/>
      <c r="R838" s="314"/>
      <c r="S838" s="311"/>
      <c r="T838" s="311"/>
      <c r="U838" s="311"/>
      <c r="V838" s="311"/>
      <c r="W838" s="311"/>
      <c r="X838" s="311"/>
      <c r="Y838" s="311"/>
      <c r="Z838" s="311">
        <f t="shared" ref="Z838:BK838" si="177">Z836+Z837</f>
        <v>29589364.766472012</v>
      </c>
      <c r="AA838" s="311">
        <f t="shared" si="177"/>
        <v>31726944.909924861</v>
      </c>
      <c r="AB838" s="311">
        <f t="shared" si="177"/>
        <v>30358368.046883665</v>
      </c>
      <c r="AC838" s="311">
        <f t="shared" si="177"/>
        <v>30446303.18525622</v>
      </c>
      <c r="AD838" s="311">
        <f t="shared" si="177"/>
        <v>22326531.141213909</v>
      </c>
      <c r="AE838" s="311">
        <f t="shared" si="177"/>
        <v>28953902.805762254</v>
      </c>
      <c r="AF838" s="311">
        <f t="shared" si="177"/>
        <v>24910334.80065693</v>
      </c>
      <c r="AG838" s="311">
        <f t="shared" si="177"/>
        <v>29210381.276477695</v>
      </c>
      <c r="AH838" s="311">
        <f t="shared" si="177"/>
        <v>24324097.628865719</v>
      </c>
      <c r="AI838" s="311">
        <f t="shared" si="177"/>
        <v>23763605.784681708</v>
      </c>
      <c r="AJ838" s="311">
        <f t="shared" si="177"/>
        <v>22611813.364568453</v>
      </c>
      <c r="AK838" s="311">
        <f t="shared" si="177"/>
        <v>19436365.408599708</v>
      </c>
      <c r="AL838" s="311">
        <f t="shared" si="177"/>
        <v>18450094.242196552</v>
      </c>
      <c r="AM838" s="311">
        <f t="shared" si="177"/>
        <v>16257231.911168315</v>
      </c>
      <c r="AN838" s="311">
        <f t="shared" si="177"/>
        <v>13339202.606207253</v>
      </c>
      <c r="AO838" s="311">
        <f t="shared" si="177"/>
        <v>8979719.1221079584</v>
      </c>
      <c r="AP838" s="311">
        <f t="shared" si="177"/>
        <v>9310407.6008483283</v>
      </c>
      <c r="AQ838" s="311">
        <f t="shared" si="177"/>
        <v>14977387.618867461</v>
      </c>
      <c r="AR838" s="311">
        <f t="shared" si="177"/>
        <v>7966213.562671287</v>
      </c>
      <c r="AS838" s="311">
        <f t="shared" si="177"/>
        <v>3176155.2524875142</v>
      </c>
      <c r="AT838" s="311">
        <f t="shared" si="177"/>
        <v>12609377.565985026</v>
      </c>
      <c r="AU838" s="311">
        <f t="shared" si="177"/>
        <v>19741532.696734447</v>
      </c>
      <c r="AV838" s="311">
        <f t="shared" si="177"/>
        <v>1593620.5268962292</v>
      </c>
      <c r="AW838" s="311">
        <f t="shared" si="177"/>
        <v>1569870.9193726757</v>
      </c>
      <c r="AX838" s="311">
        <f t="shared" si="177"/>
        <v>1571814.6729671245</v>
      </c>
      <c r="AY838" s="311">
        <f t="shared" si="177"/>
        <v>12284288.435255088</v>
      </c>
      <c r="AZ838" s="311">
        <f t="shared" si="177"/>
        <v>943191.75139039638</v>
      </c>
      <c r="BA838" s="311">
        <f t="shared" si="177"/>
        <v>6659824.3893750003</v>
      </c>
      <c r="BB838" s="311">
        <f t="shared" si="177"/>
        <v>638859.31349999993</v>
      </c>
      <c r="BC838" s="311">
        <f t="shared" si="177"/>
        <v>5554063.7962499997</v>
      </c>
      <c r="BD838" s="311">
        <f t="shared" si="177"/>
        <v>200905.21118055555</v>
      </c>
      <c r="BE838" s="311">
        <f t="shared" si="177"/>
        <v>200905.21118055555</v>
      </c>
      <c r="BF838" s="311">
        <f t="shared" si="177"/>
        <v>201455.63641666665</v>
      </c>
      <c r="BG838" s="311">
        <f t="shared" si="177"/>
        <v>200905.21118055555</v>
      </c>
      <c r="BH838" s="311">
        <f t="shared" si="177"/>
        <v>200905.21118055555</v>
      </c>
      <c r="BI838" s="311">
        <f t="shared" si="177"/>
        <v>200905.21118055555</v>
      </c>
      <c r="BJ838" s="311">
        <f t="shared" si="177"/>
        <v>201455.63641666665</v>
      </c>
      <c r="BK838" s="311">
        <f t="shared" si="177"/>
        <v>5214906.2434444446</v>
      </c>
    </row>
    <row r="839" spans="1:63">
      <c r="A839" s="167"/>
      <c r="B839" s="210" t="s">
        <v>28</v>
      </c>
      <c r="C839" s="211"/>
      <c r="D839" s="212"/>
      <c r="E839" s="212"/>
      <c r="F839" s="212"/>
      <c r="G839" s="212"/>
      <c r="H839" s="212"/>
      <c r="I839" s="212"/>
      <c r="J839" s="212"/>
      <c r="K839" s="212"/>
      <c r="L839" s="212"/>
      <c r="M839" s="212"/>
      <c r="N839" s="212"/>
      <c r="O839" s="212"/>
      <c r="P839" s="212"/>
      <c r="Q839" s="212"/>
      <c r="R839" s="212"/>
      <c r="S839" s="235"/>
      <c r="T839" s="235"/>
      <c r="U839" s="235"/>
      <c r="V839" s="235"/>
      <c r="W839" s="236"/>
      <c r="X839" s="236"/>
      <c r="Y839" s="236"/>
      <c r="Z839" s="236">
        <v>14364454.416417707</v>
      </c>
      <c r="AA839" s="236">
        <v>16870174.84019779</v>
      </c>
      <c r="AB839" s="236">
        <v>17797954.901939258</v>
      </c>
      <c r="AC839" s="236">
        <v>18900981.355111253</v>
      </c>
      <c r="AD839" s="236">
        <v>11582436.458091913</v>
      </c>
      <c r="AE839" s="236">
        <v>18607283.508867383</v>
      </c>
      <c r="AF839" s="236">
        <v>15268100.433772424</v>
      </c>
      <c r="AG839" s="236">
        <v>20056503.459207438</v>
      </c>
      <c r="AH839" s="236">
        <v>15907747.116988134</v>
      </c>
      <c r="AI839" s="236">
        <v>16106863.255514143</v>
      </c>
      <c r="AJ839" s="236">
        <v>15730293.451587964</v>
      </c>
      <c r="AK839" s="236">
        <v>13115216.347328443</v>
      </c>
      <c r="AL839" s="236">
        <v>12758236.651530391</v>
      </c>
      <c r="AM839" s="236">
        <v>10905708.966389051</v>
      </c>
      <c r="AN839" s="236">
        <v>8742363.9073042367</v>
      </c>
      <c r="AO839" s="236">
        <v>4644229.0921425456</v>
      </c>
      <c r="AP839" s="236">
        <v>5197982.5995020634</v>
      </c>
      <c r="AQ839" s="236">
        <v>11196451.475579096</v>
      </c>
      <c r="AR839" s="236">
        <v>4801626.4143644292</v>
      </c>
      <c r="AS839" s="236">
        <v>247302.30191055647</v>
      </c>
      <c r="AT839" s="236">
        <v>9734347.150636157</v>
      </c>
      <c r="AU839" s="236">
        <v>17410063.853849426</v>
      </c>
      <c r="AV839" s="236">
        <v>117913.17704198505</v>
      </c>
      <c r="AW839" s="236">
        <v>96959.276530819814</v>
      </c>
      <c r="AX839" s="236">
        <v>96774.565208843778</v>
      </c>
      <c r="AY839" s="236">
        <v>10852403.126184454</v>
      </c>
      <c r="AZ839" s="236">
        <v>57379.291812881333</v>
      </c>
      <c r="BA839" s="236">
        <v>5763450</v>
      </c>
      <c r="BB839" s="236">
        <v>0</v>
      </c>
      <c r="BC839" s="236">
        <v>4802875</v>
      </c>
      <c r="BD839" s="236">
        <v>0</v>
      </c>
      <c r="BE839" s="236">
        <v>0</v>
      </c>
      <c r="BF839" s="236">
        <v>0</v>
      </c>
      <c r="BG839" s="236">
        <v>0</v>
      </c>
      <c r="BH839" s="236">
        <v>0</v>
      </c>
      <c r="BI839" s="236">
        <v>0</v>
      </c>
      <c r="BJ839" s="236">
        <v>0</v>
      </c>
      <c r="BK839" s="236">
        <v>4994990</v>
      </c>
    </row>
    <row r="840" spans="1:63">
      <c r="A840" s="168">
        <v>45382</v>
      </c>
      <c r="B840" s="213" t="s">
        <v>385</v>
      </c>
      <c r="C840" s="214"/>
      <c r="D840" s="215"/>
      <c r="E840" s="215"/>
      <c r="F840" s="215"/>
      <c r="G840" s="215"/>
      <c r="H840" s="215"/>
      <c r="I840" s="215"/>
      <c r="J840" s="215"/>
      <c r="K840" s="215"/>
      <c r="L840" s="215"/>
      <c r="M840" s="215"/>
      <c r="N840" s="215"/>
      <c r="O840" s="215"/>
      <c r="P840" s="215"/>
      <c r="Q840" s="215"/>
      <c r="R840" s="216"/>
      <c r="S840" s="236"/>
      <c r="T840" s="236"/>
      <c r="U840" s="236"/>
      <c r="V840" s="236"/>
      <c r="W840" s="236"/>
      <c r="X840" s="236"/>
      <c r="Y840" s="236"/>
      <c r="Z840" s="236">
        <v>10454972.791647045</v>
      </c>
      <c r="AA840" s="236">
        <v>13287668.837546458</v>
      </c>
      <c r="AB840" s="236">
        <v>12234217.635904387</v>
      </c>
      <c r="AC840" s="236">
        <v>11472307.53449288</v>
      </c>
      <c r="AD840" s="236">
        <v>10790893.812927824</v>
      </c>
      <c r="AE840" s="236">
        <v>10183936.90812831</v>
      </c>
      <c r="AF840" s="236">
        <v>9504376.8765991777</v>
      </c>
      <c r="AG840" s="236">
        <v>8889149.7159052081</v>
      </c>
      <c r="AH840" s="236">
        <v>8238028.612710475</v>
      </c>
      <c r="AI840" s="236">
        <v>7460877.0047561442</v>
      </c>
      <c r="AJ840" s="236">
        <v>6552168.9961569058</v>
      </c>
      <c r="AK840" s="236">
        <v>5918876.1466005417</v>
      </c>
      <c r="AL840" s="236">
        <v>5294259.8776836805</v>
      </c>
      <c r="AM840" s="236">
        <v>5005436.6843454624</v>
      </c>
      <c r="AN840" s="236">
        <v>4310097.5699194418</v>
      </c>
      <c r="AO840" s="236">
        <v>4141638.5232555205</v>
      </c>
      <c r="AP840" s="236">
        <v>3904645.2518686815</v>
      </c>
      <c r="AQ840" s="236">
        <v>3436606.2703113137</v>
      </c>
      <c r="AR840" s="236">
        <v>2979726.3454214041</v>
      </c>
      <c r="AS840" s="236">
        <v>2854971.9601413584</v>
      </c>
      <c r="AT840" s="236">
        <v>2582266.0175083531</v>
      </c>
      <c r="AU840" s="236">
        <v>1873239.2391515174</v>
      </c>
      <c r="AV840" s="236">
        <v>1438522.5686683098</v>
      </c>
      <c r="AW840" s="236">
        <v>1436284.906958282</v>
      </c>
      <c r="AX840" s="236">
        <v>1438375.3840867507</v>
      </c>
      <c r="AY840" s="236">
        <v>1146694.4769044523</v>
      </c>
      <c r="AZ840" s="236">
        <v>863817.07845289749</v>
      </c>
      <c r="BA840" s="236">
        <v>741864.07968750002</v>
      </c>
      <c r="BB840" s="236">
        <v>624037.54874999996</v>
      </c>
      <c r="BC840" s="236">
        <v>622332.52812500007</v>
      </c>
      <c r="BD840" s="236">
        <v>196244.13836805557</v>
      </c>
      <c r="BE840" s="236">
        <v>196244.13836805557</v>
      </c>
      <c r="BF840" s="236">
        <v>196781.79354166667</v>
      </c>
      <c r="BG840" s="236">
        <v>196244.13836805557</v>
      </c>
      <c r="BH840" s="236">
        <v>196244.13836805557</v>
      </c>
      <c r="BI840" s="236">
        <v>196244.13836805557</v>
      </c>
      <c r="BJ840" s="236">
        <v>196781.79354166667</v>
      </c>
      <c r="BK840" s="236">
        <v>98928.551944444436</v>
      </c>
    </row>
    <row r="841" spans="1:63">
      <c r="A841" s="169"/>
      <c r="B841" s="307" t="s">
        <v>29</v>
      </c>
      <c r="C841" s="313"/>
      <c r="D841" s="314"/>
      <c r="E841" s="314"/>
      <c r="F841" s="314"/>
      <c r="G841" s="314"/>
      <c r="H841" s="314"/>
      <c r="I841" s="314"/>
      <c r="J841" s="314"/>
      <c r="K841" s="314"/>
      <c r="L841" s="314"/>
      <c r="M841" s="314"/>
      <c r="N841" s="314"/>
      <c r="O841" s="314"/>
      <c r="P841" s="314"/>
      <c r="Q841" s="314"/>
      <c r="R841" s="314"/>
      <c r="S841" s="311"/>
      <c r="T841" s="311"/>
      <c r="U841" s="311"/>
      <c r="V841" s="311"/>
      <c r="W841" s="311"/>
      <c r="X841" s="311"/>
      <c r="Y841" s="311"/>
      <c r="Z841" s="311">
        <f t="shared" ref="Z841:BK841" si="178">Z839+Z840</f>
        <v>24819427.20806475</v>
      </c>
      <c r="AA841" s="311">
        <f t="shared" si="178"/>
        <v>30157843.677744247</v>
      </c>
      <c r="AB841" s="311">
        <f t="shared" si="178"/>
        <v>30032172.537843645</v>
      </c>
      <c r="AC841" s="311">
        <f t="shared" si="178"/>
        <v>30373288.889604133</v>
      </c>
      <c r="AD841" s="311">
        <f t="shared" si="178"/>
        <v>22373330.271019734</v>
      </c>
      <c r="AE841" s="311">
        <f t="shared" si="178"/>
        <v>28791220.416995693</v>
      </c>
      <c r="AF841" s="311">
        <f t="shared" si="178"/>
        <v>24772477.3103716</v>
      </c>
      <c r="AG841" s="311">
        <f t="shared" si="178"/>
        <v>28945653.175112646</v>
      </c>
      <c r="AH841" s="311">
        <f t="shared" si="178"/>
        <v>24145775.72969861</v>
      </c>
      <c r="AI841" s="311">
        <f t="shared" si="178"/>
        <v>23567740.260270286</v>
      </c>
      <c r="AJ841" s="311">
        <f t="shared" si="178"/>
        <v>22282462.447744869</v>
      </c>
      <c r="AK841" s="311">
        <f t="shared" si="178"/>
        <v>19034092.493928984</v>
      </c>
      <c r="AL841" s="311">
        <f t="shared" si="178"/>
        <v>18052496.529214069</v>
      </c>
      <c r="AM841" s="311">
        <f t="shared" si="178"/>
        <v>15911145.650734514</v>
      </c>
      <c r="AN841" s="311">
        <f t="shared" si="178"/>
        <v>13052461.477223679</v>
      </c>
      <c r="AO841" s="311">
        <f t="shared" si="178"/>
        <v>8785867.6153980661</v>
      </c>
      <c r="AP841" s="311">
        <f t="shared" si="178"/>
        <v>9102627.8513707444</v>
      </c>
      <c r="AQ841" s="311">
        <f t="shared" si="178"/>
        <v>14633057.745890409</v>
      </c>
      <c r="AR841" s="311">
        <f t="shared" si="178"/>
        <v>7781352.7597858328</v>
      </c>
      <c r="AS841" s="311">
        <f t="shared" si="178"/>
        <v>3102274.2620519148</v>
      </c>
      <c r="AT841" s="311">
        <f t="shared" si="178"/>
        <v>12316613.168144509</v>
      </c>
      <c r="AU841" s="311">
        <f t="shared" si="178"/>
        <v>19283303.093000945</v>
      </c>
      <c r="AV841" s="311">
        <f t="shared" si="178"/>
        <v>1556435.7457102949</v>
      </c>
      <c r="AW841" s="311">
        <f t="shared" si="178"/>
        <v>1533244.1834891017</v>
      </c>
      <c r="AX841" s="311">
        <f t="shared" si="178"/>
        <v>1535149.9492955944</v>
      </c>
      <c r="AY841" s="311">
        <f t="shared" si="178"/>
        <v>11999097.603088906</v>
      </c>
      <c r="AZ841" s="311">
        <f t="shared" si="178"/>
        <v>921196.37026577885</v>
      </c>
      <c r="BA841" s="311">
        <f t="shared" si="178"/>
        <v>6505314.0796875004</v>
      </c>
      <c r="BB841" s="311">
        <f t="shared" si="178"/>
        <v>624037.54874999996</v>
      </c>
      <c r="BC841" s="311">
        <f t="shared" si="178"/>
        <v>5425207.5281250002</v>
      </c>
      <c r="BD841" s="311">
        <f t="shared" si="178"/>
        <v>196244.13836805557</v>
      </c>
      <c r="BE841" s="311">
        <f t="shared" si="178"/>
        <v>196244.13836805557</v>
      </c>
      <c r="BF841" s="311">
        <f t="shared" si="178"/>
        <v>196781.79354166667</v>
      </c>
      <c r="BG841" s="311">
        <f t="shared" si="178"/>
        <v>196244.13836805557</v>
      </c>
      <c r="BH841" s="311">
        <f t="shared" si="178"/>
        <v>196244.13836805557</v>
      </c>
      <c r="BI841" s="311">
        <f t="shared" si="178"/>
        <v>196244.13836805557</v>
      </c>
      <c r="BJ841" s="311">
        <f t="shared" si="178"/>
        <v>196781.79354166667</v>
      </c>
      <c r="BK841" s="311">
        <f t="shared" si="178"/>
        <v>5093918.5519444449</v>
      </c>
    </row>
    <row r="842" spans="1:63">
      <c r="A842" s="167"/>
      <c r="B842" s="210" t="s">
        <v>28</v>
      </c>
      <c r="C842" s="211"/>
      <c r="D842" s="212"/>
      <c r="E842" s="212"/>
      <c r="F842" s="212"/>
      <c r="G842" s="212"/>
      <c r="H842" s="212"/>
      <c r="I842" s="212"/>
      <c r="J842" s="212"/>
      <c r="K842" s="212"/>
      <c r="L842" s="212"/>
      <c r="M842" s="212"/>
      <c r="N842" s="212"/>
      <c r="O842" s="212"/>
      <c r="P842" s="212"/>
      <c r="Q842" s="212"/>
      <c r="R842" s="212"/>
      <c r="S842" s="235"/>
      <c r="T842" s="235"/>
      <c r="U842" s="235"/>
      <c r="V842" s="235"/>
      <c r="W842" s="236"/>
      <c r="X842" s="236"/>
      <c r="Y842" s="236"/>
      <c r="Z842" s="236">
        <v>14140401.148934528</v>
      </c>
      <c r="AA842" s="236">
        <v>16954318.861028522</v>
      </c>
      <c r="AB842" s="236">
        <v>17871340.623956297</v>
      </c>
      <c r="AC842" s="236">
        <v>19021200.478053652</v>
      </c>
      <c r="AD842" s="236">
        <v>11658944.057072239</v>
      </c>
      <c r="AE842" s="236">
        <v>18742816.975541506</v>
      </c>
      <c r="AF842" s="236">
        <v>15375921.095553096</v>
      </c>
      <c r="AG842" s="236">
        <v>20203245.078567773</v>
      </c>
      <c r="AH842" s="236">
        <v>16024472.927291747</v>
      </c>
      <c r="AI842" s="236">
        <v>16229862.433607996</v>
      </c>
      <c r="AJ842" s="236">
        <v>15849412.696451046</v>
      </c>
      <c r="AK842" s="236">
        <v>15727491.161035411</v>
      </c>
      <c r="AL842" s="236">
        <v>12802190.611967633</v>
      </c>
      <c r="AM842" s="236">
        <v>10989847.540943783</v>
      </c>
      <c r="AN842" s="236">
        <v>8811149.1798814461</v>
      </c>
      <c r="AO842" s="236">
        <v>4679800.9463201938</v>
      </c>
      <c r="AP842" s="236">
        <v>5238349.1977202324</v>
      </c>
      <c r="AQ842" s="236">
        <v>11286319.86879785</v>
      </c>
      <c r="AR842" s="236">
        <v>4839667.8140790649</v>
      </c>
      <c r="AS842" s="236">
        <v>248433.08656775588</v>
      </c>
      <c r="AT842" s="236">
        <v>9812365.8887618519</v>
      </c>
      <c r="AU842" s="236">
        <v>17550290.598591223</v>
      </c>
      <c r="AV842" s="236">
        <v>117995.32482918185</v>
      </c>
      <c r="AW842" s="236">
        <v>96871.602992916596</v>
      </c>
      <c r="AX842" s="236">
        <v>96685.394674166979</v>
      </c>
      <c r="AY842" s="236">
        <v>10939483.172356468</v>
      </c>
      <c r="AZ842" s="236">
        <v>57308.117719438909</v>
      </c>
      <c r="BA842" s="236">
        <v>5810160.0011105817</v>
      </c>
      <c r="BB842" s="236">
        <v>0</v>
      </c>
      <c r="BC842" s="236">
        <v>7359536.0014067367</v>
      </c>
      <c r="BD842" s="236">
        <v>0</v>
      </c>
      <c r="BE842" s="236">
        <v>0</v>
      </c>
      <c r="BF842" s="236">
        <v>0</v>
      </c>
      <c r="BG842" s="236">
        <v>0</v>
      </c>
      <c r="BH842" s="236">
        <v>0</v>
      </c>
      <c r="BI842" s="236">
        <v>0</v>
      </c>
      <c r="BJ842" s="236">
        <v>0</v>
      </c>
      <c r="BK842" s="236">
        <v>5035472.0009625042</v>
      </c>
    </row>
    <row r="843" spans="1:63">
      <c r="A843" s="168">
        <v>45412</v>
      </c>
      <c r="B843" s="213" t="s">
        <v>385</v>
      </c>
      <c r="C843" s="214"/>
      <c r="D843" s="215"/>
      <c r="E843" s="215"/>
      <c r="F843" s="215"/>
      <c r="G843" s="215"/>
      <c r="H843" s="215"/>
      <c r="I843" s="215"/>
      <c r="J843" s="215"/>
      <c r="K843" s="215"/>
      <c r="L843" s="215"/>
      <c r="M843" s="215"/>
      <c r="N843" s="215"/>
      <c r="O843" s="215"/>
      <c r="P843" s="215"/>
      <c r="Q843" s="215"/>
      <c r="R843" s="216"/>
      <c r="S843" s="236"/>
      <c r="T843" s="236"/>
      <c r="U843" s="236"/>
      <c r="V843" s="236"/>
      <c r="W843" s="236"/>
      <c r="X843" s="236"/>
      <c r="Y843" s="236"/>
      <c r="Z843" s="236">
        <v>9962538.8549297452</v>
      </c>
      <c r="AA843" s="236">
        <v>13786132.159398412</v>
      </c>
      <c r="AB843" s="236">
        <v>12766188.523523664</v>
      </c>
      <c r="AC843" s="236">
        <v>12005863.303107407</v>
      </c>
      <c r="AD843" s="236">
        <v>11319104.639803063</v>
      </c>
      <c r="AE843" s="236">
        <v>10706812.998745527</v>
      </c>
      <c r="AF843" s="236">
        <v>10015932.758225946</v>
      </c>
      <c r="AG843" s="236">
        <v>9393602.6816662271</v>
      </c>
      <c r="AH843" s="236">
        <v>8738765.3069769945</v>
      </c>
      <c r="AI843" s="236">
        <v>7952181.4505627481</v>
      </c>
      <c r="AJ843" s="236">
        <v>7033912.0625876635</v>
      </c>
      <c r="AK843" s="236">
        <v>6394766.0955542782</v>
      </c>
      <c r="AL843" s="236">
        <v>5560009.2627584161</v>
      </c>
      <c r="AM843" s="236">
        <v>5268856.6209298428</v>
      </c>
      <c r="AN843" s="236">
        <v>4567771.1831957148</v>
      </c>
      <c r="AO843" s="236">
        <v>4397831.9400334898</v>
      </c>
      <c r="AP843" s="236">
        <v>4159704.8349941364</v>
      </c>
      <c r="AQ843" s="236">
        <v>3687482.567075748</v>
      </c>
      <c r="AR843" s="236">
        <v>3227043.2629165836</v>
      </c>
      <c r="AS843" s="236">
        <v>3101357.5049549183</v>
      </c>
      <c r="AT843" s="236">
        <v>2827073.8342131954</v>
      </c>
      <c r="AU843" s="236">
        <v>2111703.9566289908</v>
      </c>
      <c r="AV843" s="236">
        <v>1673479.0373665316</v>
      </c>
      <c r="AW843" s="236">
        <v>1671238.019912971</v>
      </c>
      <c r="AX843" s="236">
        <v>1673972.1371238609</v>
      </c>
      <c r="AY843" s="236">
        <v>1379330.0892522514</v>
      </c>
      <c r="AZ843" s="236">
        <v>1094175.2074255149</v>
      </c>
      <c r="BA843" s="236">
        <v>971238.18129675812</v>
      </c>
      <c r="BB843" s="236">
        <v>853068.67249639274</v>
      </c>
      <c r="BC843" s="236">
        <v>850737.88377372501</v>
      </c>
      <c r="BD843" s="236">
        <v>197834.60309337062</v>
      </c>
      <c r="BE843" s="236">
        <v>197834.60309337062</v>
      </c>
      <c r="BF843" s="236">
        <v>198376.6157045853</v>
      </c>
      <c r="BG843" s="236">
        <v>197834.60309337062</v>
      </c>
      <c r="BH843" s="236">
        <v>197834.60309337062</v>
      </c>
      <c r="BI843" s="236">
        <v>197834.60309337062</v>
      </c>
      <c r="BJ843" s="236">
        <v>198376.6157045853</v>
      </c>
      <c r="BK843" s="236">
        <v>99730.320463507363</v>
      </c>
    </row>
    <row r="844" spans="1:63">
      <c r="A844" s="169"/>
      <c r="B844" s="307" t="s">
        <v>29</v>
      </c>
      <c r="C844" s="313"/>
      <c r="D844" s="314"/>
      <c r="E844" s="314"/>
      <c r="F844" s="314"/>
      <c r="G844" s="314"/>
      <c r="H844" s="314"/>
      <c r="I844" s="314"/>
      <c r="J844" s="314"/>
      <c r="K844" s="314"/>
      <c r="L844" s="314"/>
      <c r="M844" s="314"/>
      <c r="N844" s="314"/>
      <c r="O844" s="314"/>
      <c r="P844" s="314"/>
      <c r="Q844" s="314"/>
      <c r="R844" s="314"/>
      <c r="S844" s="311"/>
      <c r="T844" s="311"/>
      <c r="U844" s="311"/>
      <c r="V844" s="311"/>
      <c r="W844" s="311"/>
      <c r="X844" s="311"/>
      <c r="Y844" s="311"/>
      <c r="Z844" s="311">
        <f t="shared" ref="Z844:BK844" si="179">Z842+Z843</f>
        <v>24102940.003864273</v>
      </c>
      <c r="AA844" s="311">
        <f t="shared" si="179"/>
        <v>30740451.020426936</v>
      </c>
      <c r="AB844" s="311">
        <f t="shared" si="179"/>
        <v>30637529.147479959</v>
      </c>
      <c r="AC844" s="311">
        <f t="shared" si="179"/>
        <v>31027063.781161059</v>
      </c>
      <c r="AD844" s="311">
        <f t="shared" si="179"/>
        <v>22978048.696875304</v>
      </c>
      <c r="AE844" s="311">
        <f t="shared" si="179"/>
        <v>29449629.974287033</v>
      </c>
      <c r="AF844" s="311">
        <f t="shared" si="179"/>
        <v>25391853.85377904</v>
      </c>
      <c r="AG844" s="311">
        <f t="shared" si="179"/>
        <v>29596847.760233998</v>
      </c>
      <c r="AH844" s="311">
        <f t="shared" si="179"/>
        <v>24763238.23426874</v>
      </c>
      <c r="AI844" s="311">
        <f t="shared" si="179"/>
        <v>24182043.884170745</v>
      </c>
      <c r="AJ844" s="311">
        <f t="shared" si="179"/>
        <v>22883324.759038709</v>
      </c>
      <c r="AK844" s="311">
        <f t="shared" si="179"/>
        <v>22122257.256589688</v>
      </c>
      <c r="AL844" s="311">
        <f t="shared" si="179"/>
        <v>18362199.87472605</v>
      </c>
      <c r="AM844" s="311">
        <f t="shared" si="179"/>
        <v>16258704.161873626</v>
      </c>
      <c r="AN844" s="311">
        <f t="shared" si="179"/>
        <v>13378920.36307716</v>
      </c>
      <c r="AO844" s="311">
        <f t="shared" si="179"/>
        <v>9077632.8863536827</v>
      </c>
      <c r="AP844" s="311">
        <f t="shared" si="179"/>
        <v>9398054.0327143688</v>
      </c>
      <c r="AQ844" s="311">
        <f t="shared" si="179"/>
        <v>14973802.435873598</v>
      </c>
      <c r="AR844" s="311">
        <f t="shared" si="179"/>
        <v>8066711.0769956484</v>
      </c>
      <c r="AS844" s="311">
        <f t="shared" si="179"/>
        <v>3349790.5915226741</v>
      </c>
      <c r="AT844" s="311">
        <f t="shared" si="179"/>
        <v>12639439.722975047</v>
      </c>
      <c r="AU844" s="311">
        <f t="shared" si="179"/>
        <v>19661994.555220213</v>
      </c>
      <c r="AV844" s="311">
        <f t="shared" si="179"/>
        <v>1791474.3621957134</v>
      </c>
      <c r="AW844" s="311">
        <f t="shared" si="179"/>
        <v>1768109.6229058877</v>
      </c>
      <c r="AX844" s="311">
        <f t="shared" si="179"/>
        <v>1770657.5317980279</v>
      </c>
      <c r="AY844" s="311">
        <f t="shared" si="179"/>
        <v>12318813.26160872</v>
      </c>
      <c r="AZ844" s="311">
        <f t="shared" si="179"/>
        <v>1151483.3251449538</v>
      </c>
      <c r="BA844" s="311">
        <f t="shared" si="179"/>
        <v>6781398.18240734</v>
      </c>
      <c r="BB844" s="311">
        <f t="shared" si="179"/>
        <v>853068.67249639274</v>
      </c>
      <c r="BC844" s="311">
        <f t="shared" si="179"/>
        <v>8210273.8851804622</v>
      </c>
      <c r="BD844" s="311">
        <f t="shared" si="179"/>
        <v>197834.60309337062</v>
      </c>
      <c r="BE844" s="311">
        <f t="shared" si="179"/>
        <v>197834.60309337062</v>
      </c>
      <c r="BF844" s="311">
        <f t="shared" si="179"/>
        <v>198376.6157045853</v>
      </c>
      <c r="BG844" s="311">
        <f t="shared" si="179"/>
        <v>197834.60309337062</v>
      </c>
      <c r="BH844" s="311">
        <f t="shared" si="179"/>
        <v>197834.60309337062</v>
      </c>
      <c r="BI844" s="311">
        <f t="shared" si="179"/>
        <v>197834.60309337062</v>
      </c>
      <c r="BJ844" s="311">
        <f t="shared" si="179"/>
        <v>198376.6157045853</v>
      </c>
      <c r="BK844" s="311">
        <f t="shared" si="179"/>
        <v>5135202.3214260116</v>
      </c>
    </row>
    <row r="845" spans="1:63">
      <c r="A845" s="167"/>
      <c r="B845" s="210" t="s">
        <v>28</v>
      </c>
      <c r="C845" s="211"/>
      <c r="D845" s="212"/>
      <c r="E845" s="212"/>
      <c r="F845" s="212"/>
      <c r="G845" s="212"/>
      <c r="H845" s="212"/>
      <c r="I845" s="212"/>
      <c r="J845" s="212"/>
      <c r="K845" s="212"/>
      <c r="L845" s="212"/>
      <c r="M845" s="212"/>
      <c r="N845" s="212"/>
      <c r="O845" s="212"/>
      <c r="P845" s="212"/>
      <c r="Q845" s="212"/>
      <c r="R845" s="212"/>
      <c r="S845" s="235"/>
      <c r="T845" s="235"/>
      <c r="U845" s="235"/>
      <c r="V845" s="235"/>
      <c r="W845" s="236"/>
      <c r="X845" s="236"/>
      <c r="Y845" s="236"/>
      <c r="Z845" s="236">
        <v>9755897.2655201443</v>
      </c>
      <c r="AA845" s="236">
        <v>15807223.220811373</v>
      </c>
      <c r="AB845" s="236">
        <v>17977261.919592012</v>
      </c>
      <c r="AC845" s="236">
        <v>19045462.303817622</v>
      </c>
      <c r="AD845" s="236">
        <v>11719209.088881288</v>
      </c>
      <c r="AE845" s="236">
        <v>18838755.561628658</v>
      </c>
      <c r="AF845" s="236">
        <v>15470537.536572171</v>
      </c>
      <c r="AG845" s="236">
        <v>20298206.087497503</v>
      </c>
      <c r="AH845" s="236">
        <v>16115658.834450161</v>
      </c>
      <c r="AI845" s="236">
        <v>16320374.612750698</v>
      </c>
      <c r="AJ845" s="236">
        <v>15945381.249875732</v>
      </c>
      <c r="AK845" s="236">
        <v>15854057.455064308</v>
      </c>
      <c r="AL845" s="236">
        <v>12968553.722413559</v>
      </c>
      <c r="AM845" s="236">
        <v>11073311.003404176</v>
      </c>
      <c r="AN845" s="236">
        <v>8890623.7331281882</v>
      </c>
      <c r="AO845" s="236">
        <v>4758059.6010148628</v>
      </c>
      <c r="AP845" s="236">
        <v>5316251.8940791441</v>
      </c>
      <c r="AQ845" s="236">
        <v>11327467.996392591</v>
      </c>
      <c r="AR845" s="236">
        <v>4842098.2624762533</v>
      </c>
      <c r="AS845" s="236">
        <v>249820.46132493927</v>
      </c>
      <c r="AT845" s="236">
        <v>9815926.0747109745</v>
      </c>
      <c r="AU845" s="236">
        <v>17555608.748524372</v>
      </c>
      <c r="AV845" s="236">
        <v>119353.06568633487</v>
      </c>
      <c r="AW845" s="236">
        <v>98224.54479301114</v>
      </c>
      <c r="AX845" s="236">
        <v>98038.294169957706</v>
      </c>
      <c r="AY845" s="236">
        <v>10943299.425877277</v>
      </c>
      <c r="AZ845" s="236">
        <v>58138.159791959188</v>
      </c>
      <c r="BA845" s="236">
        <v>5811480</v>
      </c>
      <c r="BB845" s="236">
        <v>0</v>
      </c>
      <c r="BC845" s="236">
        <v>7361208</v>
      </c>
      <c r="BD845" s="236">
        <v>0</v>
      </c>
      <c r="BE845" s="236">
        <v>0</v>
      </c>
      <c r="BF845" s="236">
        <v>0</v>
      </c>
      <c r="BG845" s="236">
        <v>0</v>
      </c>
      <c r="BH845" s="236">
        <v>0</v>
      </c>
      <c r="BI845" s="236">
        <v>0</v>
      </c>
      <c r="BJ845" s="236">
        <v>0</v>
      </c>
      <c r="BK845" s="236">
        <v>5036616</v>
      </c>
    </row>
    <row r="846" spans="1:63">
      <c r="A846" s="168">
        <v>45443</v>
      </c>
      <c r="B846" s="213" t="s">
        <v>385</v>
      </c>
      <c r="C846" s="214"/>
      <c r="D846" s="215"/>
      <c r="E846" s="215"/>
      <c r="F846" s="215"/>
      <c r="G846" s="215"/>
      <c r="H846" s="215"/>
      <c r="I846" s="215"/>
      <c r="J846" s="215"/>
      <c r="K846" s="215"/>
      <c r="L846" s="215"/>
      <c r="M846" s="215"/>
      <c r="N846" s="215"/>
      <c r="O846" s="215"/>
      <c r="P846" s="215"/>
      <c r="Q846" s="215"/>
      <c r="R846" s="216"/>
      <c r="S846" s="236"/>
      <c r="T846" s="236"/>
      <c r="U846" s="236"/>
      <c r="V846" s="236"/>
      <c r="W846" s="236"/>
      <c r="X846" s="236"/>
      <c r="Y846" s="236"/>
      <c r="Z846" s="236">
        <v>8314831.4775322266</v>
      </c>
      <c r="AA846" s="236">
        <v>13749402.318337025</v>
      </c>
      <c r="AB846" s="236">
        <v>12677632.27698387</v>
      </c>
      <c r="AC846" s="236">
        <v>11955246.453759335</v>
      </c>
      <c r="AD846" s="236">
        <v>11278250.008806597</v>
      </c>
      <c r="AE846" s="236">
        <v>10666679.863767089</v>
      </c>
      <c r="AF846" s="236">
        <v>9979860.0290386658</v>
      </c>
      <c r="AG846" s="236">
        <v>9357454.3283828814</v>
      </c>
      <c r="AH846" s="236">
        <v>8706708.1409540121</v>
      </c>
      <c r="AI846" s="236">
        <v>7924230.8281986965</v>
      </c>
      <c r="AJ846" s="236">
        <v>7009552.7981090266</v>
      </c>
      <c r="AK846" s="236">
        <v>6373377.2196774324</v>
      </c>
      <c r="AL846" s="236">
        <v>5542032.1998540042</v>
      </c>
      <c r="AM846" s="236">
        <v>5253013.1752852639</v>
      </c>
      <c r="AN846" s="236">
        <v>4555363.1827408308</v>
      </c>
      <c r="AO846" s="236">
        <v>4389059.3261168478</v>
      </c>
      <c r="AP846" s="236">
        <v>4154501.2378826113</v>
      </c>
      <c r="AQ846" s="236">
        <v>3685825.5969728227</v>
      </c>
      <c r="AR846" s="236">
        <v>3228032.4032476414</v>
      </c>
      <c r="AS846" s="236">
        <v>3102230.9513578042</v>
      </c>
      <c r="AT846" s="236">
        <v>2827857.082678997</v>
      </c>
      <c r="AU846" s="236">
        <v>2112302.0987561415</v>
      </c>
      <c r="AV846" s="236">
        <v>1673955.2885666217</v>
      </c>
      <c r="AW846" s="236">
        <v>1671691.5709627424</v>
      </c>
      <c r="AX846" s="236">
        <v>1674404.1504605575</v>
      </c>
      <c r="AY846" s="236">
        <v>1379673.009541472</v>
      </c>
      <c r="AZ846" s="236">
        <v>1094430.4088323929</v>
      </c>
      <c r="BA846" s="236">
        <v>971458.83499999985</v>
      </c>
      <c r="BB846" s="236">
        <v>853262.4794999999</v>
      </c>
      <c r="BC846" s="236">
        <v>850931.16124999989</v>
      </c>
      <c r="BD846" s="236">
        <v>197879.54875000002</v>
      </c>
      <c r="BE846" s="236">
        <v>197879.54875000002</v>
      </c>
      <c r="BF846" s="236">
        <v>198421.6845</v>
      </c>
      <c r="BG846" s="236">
        <v>197879.54875000002</v>
      </c>
      <c r="BH846" s="236">
        <v>197879.54875000002</v>
      </c>
      <c r="BI846" s="236">
        <v>197879.54875000002</v>
      </c>
      <c r="BJ846" s="236">
        <v>198421.6845</v>
      </c>
      <c r="BK846" s="236">
        <v>99752.978000000003</v>
      </c>
    </row>
    <row r="847" spans="1:63">
      <c r="A847" s="169"/>
      <c r="B847" s="307" t="s">
        <v>29</v>
      </c>
      <c r="C847" s="313"/>
      <c r="D847" s="314"/>
      <c r="E847" s="314"/>
      <c r="F847" s="314"/>
      <c r="G847" s="314"/>
      <c r="H847" s="314"/>
      <c r="I847" s="314"/>
      <c r="J847" s="314"/>
      <c r="K847" s="314"/>
      <c r="L847" s="314"/>
      <c r="M847" s="314"/>
      <c r="N847" s="314"/>
      <c r="O847" s="314"/>
      <c r="P847" s="314"/>
      <c r="Q847" s="314"/>
      <c r="R847" s="314"/>
      <c r="S847" s="311"/>
      <c r="T847" s="311"/>
      <c r="U847" s="311"/>
      <c r="V847" s="311"/>
      <c r="W847" s="311"/>
      <c r="X847" s="311"/>
      <c r="Y847" s="311"/>
      <c r="Z847" s="311">
        <f t="shared" ref="Z847:BK847" si="180">Z845+Z846</f>
        <v>18070728.743052371</v>
      </c>
      <c r="AA847" s="311">
        <f t="shared" si="180"/>
        <v>29556625.539148398</v>
      </c>
      <c r="AB847" s="311">
        <f t="shared" si="180"/>
        <v>30654894.19657588</v>
      </c>
      <c r="AC847" s="311">
        <f t="shared" si="180"/>
        <v>31000708.757576957</v>
      </c>
      <c r="AD847" s="311">
        <f t="shared" si="180"/>
        <v>22997459.097687885</v>
      </c>
      <c r="AE847" s="311">
        <f t="shared" si="180"/>
        <v>29505435.42539575</v>
      </c>
      <c r="AF847" s="311">
        <f t="shared" si="180"/>
        <v>25450397.565610837</v>
      </c>
      <c r="AG847" s="311">
        <f t="shared" si="180"/>
        <v>29655660.415880382</v>
      </c>
      <c r="AH847" s="311">
        <f t="shared" si="180"/>
        <v>24822366.975404173</v>
      </c>
      <c r="AI847" s="311">
        <f t="shared" si="180"/>
        <v>24244605.440949395</v>
      </c>
      <c r="AJ847" s="311">
        <f t="shared" si="180"/>
        <v>22954934.047984757</v>
      </c>
      <c r="AK847" s="311">
        <f t="shared" si="180"/>
        <v>22227434.674741741</v>
      </c>
      <c r="AL847" s="311">
        <f t="shared" si="180"/>
        <v>18510585.922267564</v>
      </c>
      <c r="AM847" s="311">
        <f t="shared" si="180"/>
        <v>16326324.178689439</v>
      </c>
      <c r="AN847" s="311">
        <f t="shared" si="180"/>
        <v>13445986.91586902</v>
      </c>
      <c r="AO847" s="311">
        <f t="shared" si="180"/>
        <v>9147118.9271317106</v>
      </c>
      <c r="AP847" s="311">
        <f t="shared" si="180"/>
        <v>9470753.1319617555</v>
      </c>
      <c r="AQ847" s="311">
        <f t="shared" si="180"/>
        <v>15013293.593365414</v>
      </c>
      <c r="AR847" s="311">
        <f t="shared" si="180"/>
        <v>8070130.6657238947</v>
      </c>
      <c r="AS847" s="311">
        <f t="shared" si="180"/>
        <v>3352051.4126827437</v>
      </c>
      <c r="AT847" s="311">
        <f t="shared" si="180"/>
        <v>12643783.157389972</v>
      </c>
      <c r="AU847" s="311">
        <f t="shared" si="180"/>
        <v>19667910.847280513</v>
      </c>
      <c r="AV847" s="311">
        <f t="shared" si="180"/>
        <v>1793308.3542529566</v>
      </c>
      <c r="AW847" s="311">
        <f t="shared" si="180"/>
        <v>1769916.1157557536</v>
      </c>
      <c r="AX847" s="311">
        <f t="shared" si="180"/>
        <v>1772442.4446305153</v>
      </c>
      <c r="AY847" s="311">
        <f t="shared" si="180"/>
        <v>12322972.435418749</v>
      </c>
      <c r="AZ847" s="311">
        <f t="shared" si="180"/>
        <v>1152568.5686243521</v>
      </c>
      <c r="BA847" s="311">
        <f t="shared" si="180"/>
        <v>6782938.835</v>
      </c>
      <c r="BB847" s="311">
        <f t="shared" si="180"/>
        <v>853262.4794999999</v>
      </c>
      <c r="BC847" s="311">
        <f t="shared" si="180"/>
        <v>8212139.1612499999</v>
      </c>
      <c r="BD847" s="311">
        <f t="shared" si="180"/>
        <v>197879.54875000002</v>
      </c>
      <c r="BE847" s="311">
        <f t="shared" si="180"/>
        <v>197879.54875000002</v>
      </c>
      <c r="BF847" s="311">
        <f t="shared" si="180"/>
        <v>198421.6845</v>
      </c>
      <c r="BG847" s="311">
        <f t="shared" si="180"/>
        <v>197879.54875000002</v>
      </c>
      <c r="BH847" s="311">
        <f t="shared" si="180"/>
        <v>197879.54875000002</v>
      </c>
      <c r="BI847" s="311">
        <f t="shared" si="180"/>
        <v>197879.54875000002</v>
      </c>
      <c r="BJ847" s="311">
        <f t="shared" si="180"/>
        <v>198421.6845</v>
      </c>
      <c r="BK847" s="311">
        <f t="shared" si="180"/>
        <v>5136368.9780000001</v>
      </c>
    </row>
    <row r="848" spans="1:63">
      <c r="A848" s="167"/>
      <c r="B848" s="210" t="s">
        <v>28</v>
      </c>
      <c r="C848" s="211"/>
      <c r="D848" s="212"/>
      <c r="E848" s="212"/>
      <c r="F848" s="212"/>
      <c r="G848" s="212"/>
      <c r="H848" s="212"/>
      <c r="I848" s="212"/>
      <c r="J848" s="212"/>
      <c r="K848" s="212"/>
      <c r="L848" s="212"/>
      <c r="M848" s="212"/>
      <c r="N848" s="212"/>
      <c r="O848" s="212"/>
      <c r="P848" s="212"/>
      <c r="Q848" s="212"/>
      <c r="R848" s="212"/>
      <c r="S848" s="235"/>
      <c r="T848" s="235"/>
      <c r="U848" s="235"/>
      <c r="V848" s="235"/>
      <c r="W848" s="236"/>
      <c r="X848" s="236"/>
      <c r="Y848" s="236"/>
      <c r="Z848" s="236">
        <v>7497889.5519538205</v>
      </c>
      <c r="AA848" s="236">
        <v>19394115.128784455</v>
      </c>
      <c r="AB848" s="236">
        <v>19126547.894617252</v>
      </c>
      <c r="AC848" s="236">
        <v>20208113.487302013</v>
      </c>
      <c r="AD848" s="236">
        <v>12501010.542823145</v>
      </c>
      <c r="AE848" s="236">
        <v>20130347.43164425</v>
      </c>
      <c r="AF848" s="236">
        <v>16524821.325402897</v>
      </c>
      <c r="AG848" s="236">
        <v>21684862.507805094</v>
      </c>
      <c r="AH848" s="236">
        <v>17224372.46177417</v>
      </c>
      <c r="AI848" s="236">
        <v>17449649.582628325</v>
      </c>
      <c r="AJ848" s="236">
        <v>17062651.772446346</v>
      </c>
      <c r="AK848" s="236">
        <v>16923677.15426828</v>
      </c>
      <c r="AL848" s="236">
        <v>13804965.927915519</v>
      </c>
      <c r="AM848" s="236">
        <v>11850595.071100881</v>
      </c>
      <c r="AN848" s="236">
        <v>9517205.2860597391</v>
      </c>
      <c r="AO848" s="236">
        <v>5092676.2521942463</v>
      </c>
      <c r="AP848" s="236">
        <v>5731867.4058398847</v>
      </c>
      <c r="AQ848" s="236">
        <v>12132363.153198328</v>
      </c>
      <c r="AR848" s="236">
        <v>5188803.2327285875</v>
      </c>
      <c r="AS848" s="236">
        <v>272081.8441267942</v>
      </c>
      <c r="AT848" s="236">
        <v>10512682.817763181</v>
      </c>
      <c r="AU848" s="236">
        <v>18799052.791276325</v>
      </c>
      <c r="AV848" s="236">
        <v>130484.15841228039</v>
      </c>
      <c r="AW848" s="236">
        <v>107862.91137890617</v>
      </c>
      <c r="AX848" s="236">
        <v>107663.50218336975</v>
      </c>
      <c r="AY848" s="236">
        <v>11717187.73701264</v>
      </c>
      <c r="AZ848" s="236">
        <v>61505.030940401077</v>
      </c>
      <c r="BA848" s="236">
        <v>6222060</v>
      </c>
      <c r="BB848" s="236">
        <v>0</v>
      </c>
      <c r="BC848" s="236">
        <v>7881276</v>
      </c>
      <c r="BD848" s="236">
        <v>0</v>
      </c>
      <c r="BE848" s="236">
        <v>0</v>
      </c>
      <c r="BF848" s="236">
        <v>0</v>
      </c>
      <c r="BG848" s="236">
        <v>0</v>
      </c>
      <c r="BH848" s="236">
        <v>0</v>
      </c>
      <c r="BI848" s="236">
        <v>0</v>
      </c>
      <c r="BJ848" s="236">
        <v>0</v>
      </c>
      <c r="BK848" s="236">
        <v>5392452</v>
      </c>
    </row>
    <row r="849" spans="1:63">
      <c r="A849" s="168">
        <v>45473</v>
      </c>
      <c r="B849" s="213" t="s">
        <v>385</v>
      </c>
      <c r="C849" s="214"/>
      <c r="D849" s="215"/>
      <c r="E849" s="215"/>
      <c r="F849" s="215"/>
      <c r="G849" s="215"/>
      <c r="H849" s="215"/>
      <c r="I849" s="215"/>
      <c r="J849" s="215"/>
      <c r="K849" s="215"/>
      <c r="L849" s="215"/>
      <c r="M849" s="215"/>
      <c r="N849" s="215"/>
      <c r="O849" s="215"/>
      <c r="P849" s="215"/>
      <c r="Q849" s="215"/>
      <c r="R849" s="216"/>
      <c r="S849" s="236"/>
      <c r="T849" s="236"/>
      <c r="U849" s="236"/>
      <c r="V849" s="236"/>
      <c r="W849" s="236"/>
      <c r="X849" s="236"/>
      <c r="Y849" s="236"/>
      <c r="Z849" s="236">
        <v>7664602.409478738</v>
      </c>
      <c r="AA849" s="236">
        <v>14868815.187182849</v>
      </c>
      <c r="AB849" s="236">
        <v>13545850.727259569</v>
      </c>
      <c r="AC849" s="236">
        <v>12772526.069583507</v>
      </c>
      <c r="AD849" s="236">
        <v>12066232.956108177</v>
      </c>
      <c r="AE849" s="236">
        <v>11413574.175322676</v>
      </c>
      <c r="AF849" s="236">
        <v>10680085.970725002</v>
      </c>
      <c r="AG849" s="236">
        <v>10013868.66131846</v>
      </c>
      <c r="AH849" s="236">
        <v>9321217.3232611995</v>
      </c>
      <c r="AI849" s="236">
        <v>8485020.6323047951</v>
      </c>
      <c r="AJ849" s="236">
        <v>7506429.8076706352</v>
      </c>
      <c r="AK849" s="236">
        <v>6826015.5512213195</v>
      </c>
      <c r="AL849" s="236">
        <v>5937377.920246521</v>
      </c>
      <c r="AM849" s="236">
        <v>5629412.460325799</v>
      </c>
      <c r="AN849" s="236">
        <v>4882648.2167418422</v>
      </c>
      <c r="AO849" s="236">
        <v>4704663.4925158359</v>
      </c>
      <c r="AP849" s="236">
        <v>4452226.2582820207</v>
      </c>
      <c r="AQ849" s="236">
        <v>3948754.5967777632</v>
      </c>
      <c r="AR849" s="236">
        <v>3458232.9625839908</v>
      </c>
      <c r="AS849" s="236">
        <v>3323158.2234867117</v>
      </c>
      <c r="AT849" s="236">
        <v>3029039.3112586243</v>
      </c>
      <c r="AU849" s="236">
        <v>2262634.140681833</v>
      </c>
      <c r="AV849" s="236">
        <v>1793037.6519811468</v>
      </c>
      <c r="AW849" s="236">
        <v>1790355.5192291564</v>
      </c>
      <c r="AX849" s="236">
        <v>1793002.4111496289</v>
      </c>
      <c r="AY849" s="236">
        <v>1477188.9299694051</v>
      </c>
      <c r="AZ849" s="236">
        <v>1171745.7185266234</v>
      </c>
      <c r="BA849" s="236">
        <v>1040092.2241666665</v>
      </c>
      <c r="BB849" s="236">
        <v>913545.31774999981</v>
      </c>
      <c r="BC849" s="236">
        <v>911049.2922916665</v>
      </c>
      <c r="BD849" s="236">
        <v>211859.70270833332</v>
      </c>
      <c r="BE849" s="236">
        <v>211859.70270833332</v>
      </c>
      <c r="BF849" s="236">
        <v>212440.14025</v>
      </c>
      <c r="BG849" s="236">
        <v>211859.70270833332</v>
      </c>
      <c r="BH849" s="236">
        <v>211859.70270833332</v>
      </c>
      <c r="BI849" s="236">
        <v>211859.70270833332</v>
      </c>
      <c r="BJ849" s="236">
        <v>212440.14025</v>
      </c>
      <c r="BK849" s="236">
        <v>106800.50766666666</v>
      </c>
    </row>
    <row r="850" spans="1:63">
      <c r="A850" s="169"/>
      <c r="B850" s="307" t="s">
        <v>29</v>
      </c>
      <c r="C850" s="313"/>
      <c r="D850" s="314"/>
      <c r="E850" s="314"/>
      <c r="F850" s="314"/>
      <c r="G850" s="314"/>
      <c r="H850" s="314"/>
      <c r="I850" s="314"/>
      <c r="J850" s="314"/>
      <c r="K850" s="314"/>
      <c r="L850" s="314"/>
      <c r="M850" s="314"/>
      <c r="N850" s="314"/>
      <c r="O850" s="314"/>
      <c r="P850" s="314"/>
      <c r="Q850" s="314"/>
      <c r="R850" s="314"/>
      <c r="S850" s="311"/>
      <c r="T850" s="311"/>
      <c r="U850" s="311"/>
      <c r="V850" s="311"/>
      <c r="W850" s="311"/>
      <c r="X850" s="311"/>
      <c r="Y850" s="311"/>
      <c r="Z850" s="311">
        <f t="shared" ref="Z850:BK850" si="181">Z848+Z849</f>
        <v>15162491.961432558</v>
      </c>
      <c r="AA850" s="311">
        <f t="shared" si="181"/>
        <v>34262930.315967306</v>
      </c>
      <c r="AB850" s="311">
        <f t="shared" si="181"/>
        <v>32672398.621876821</v>
      </c>
      <c r="AC850" s="311">
        <f t="shared" si="181"/>
        <v>32980639.556885518</v>
      </c>
      <c r="AD850" s="311">
        <f t="shared" si="181"/>
        <v>24567243.498931322</v>
      </c>
      <c r="AE850" s="311">
        <f t="shared" si="181"/>
        <v>31543921.606966928</v>
      </c>
      <c r="AF850" s="311">
        <f t="shared" si="181"/>
        <v>27204907.2961279</v>
      </c>
      <c r="AG850" s="311">
        <f t="shared" si="181"/>
        <v>31698731.169123553</v>
      </c>
      <c r="AH850" s="311">
        <f t="shared" si="181"/>
        <v>26545589.785035372</v>
      </c>
      <c r="AI850" s="311">
        <f t="shared" si="181"/>
        <v>25934670.21493312</v>
      </c>
      <c r="AJ850" s="311">
        <f t="shared" si="181"/>
        <v>24569081.58011698</v>
      </c>
      <c r="AK850" s="311">
        <f t="shared" si="181"/>
        <v>23749692.705489598</v>
      </c>
      <c r="AL850" s="311">
        <f t="shared" si="181"/>
        <v>19742343.84816204</v>
      </c>
      <c r="AM850" s="311">
        <f t="shared" si="181"/>
        <v>17480007.531426679</v>
      </c>
      <c r="AN850" s="311">
        <f t="shared" si="181"/>
        <v>14399853.502801582</v>
      </c>
      <c r="AO850" s="311">
        <f t="shared" si="181"/>
        <v>9797339.7447100822</v>
      </c>
      <c r="AP850" s="311">
        <f t="shared" si="181"/>
        <v>10184093.664121905</v>
      </c>
      <c r="AQ850" s="311">
        <f t="shared" si="181"/>
        <v>16081117.749976091</v>
      </c>
      <c r="AR850" s="311">
        <f t="shared" si="181"/>
        <v>8647036.1953125782</v>
      </c>
      <c r="AS850" s="311">
        <f t="shared" si="181"/>
        <v>3595240.0676135058</v>
      </c>
      <c r="AT850" s="311">
        <f t="shared" si="181"/>
        <v>13541722.129021805</v>
      </c>
      <c r="AU850" s="311">
        <f t="shared" si="181"/>
        <v>21061686.931958158</v>
      </c>
      <c r="AV850" s="311">
        <f t="shared" si="181"/>
        <v>1923521.8103934273</v>
      </c>
      <c r="AW850" s="311">
        <f t="shared" si="181"/>
        <v>1898218.4306080625</v>
      </c>
      <c r="AX850" s="311">
        <f t="shared" si="181"/>
        <v>1900665.9133329988</v>
      </c>
      <c r="AY850" s="311">
        <f t="shared" si="181"/>
        <v>13194376.666982045</v>
      </c>
      <c r="AZ850" s="311">
        <f t="shared" si="181"/>
        <v>1233250.7494670246</v>
      </c>
      <c r="BA850" s="311">
        <f t="shared" si="181"/>
        <v>7262152.2241666662</v>
      </c>
      <c r="BB850" s="311">
        <f t="shared" si="181"/>
        <v>913545.31774999981</v>
      </c>
      <c r="BC850" s="311">
        <f t="shared" si="181"/>
        <v>8792325.2922916673</v>
      </c>
      <c r="BD850" s="311">
        <f t="shared" si="181"/>
        <v>211859.70270833332</v>
      </c>
      <c r="BE850" s="311">
        <f t="shared" si="181"/>
        <v>211859.70270833332</v>
      </c>
      <c r="BF850" s="311">
        <f t="shared" si="181"/>
        <v>212440.14025</v>
      </c>
      <c r="BG850" s="311">
        <f t="shared" si="181"/>
        <v>211859.70270833332</v>
      </c>
      <c r="BH850" s="311">
        <f t="shared" si="181"/>
        <v>211859.70270833332</v>
      </c>
      <c r="BI850" s="311">
        <f t="shared" si="181"/>
        <v>211859.70270833332</v>
      </c>
      <c r="BJ850" s="311">
        <f t="shared" si="181"/>
        <v>212440.14025</v>
      </c>
      <c r="BK850" s="311">
        <f t="shared" si="181"/>
        <v>5499252.507666667</v>
      </c>
    </row>
    <row r="851" spans="1:63">
      <c r="A851" s="167"/>
      <c r="B851" s="210" t="s">
        <v>28</v>
      </c>
      <c r="C851" s="211"/>
      <c r="D851" s="212"/>
      <c r="E851" s="212"/>
      <c r="F851" s="212"/>
      <c r="G851" s="212"/>
      <c r="H851" s="212"/>
      <c r="I851" s="212"/>
      <c r="J851" s="212"/>
      <c r="K851" s="212"/>
      <c r="L851" s="212"/>
      <c r="M851" s="212"/>
      <c r="N851" s="212"/>
      <c r="O851" s="212"/>
      <c r="P851" s="212"/>
      <c r="Q851" s="212"/>
      <c r="R851" s="212"/>
      <c r="S851" s="235"/>
      <c r="T851" s="235"/>
      <c r="U851" s="235"/>
      <c r="V851" s="235"/>
      <c r="W851" s="236"/>
      <c r="X851" s="236"/>
      <c r="Y851" s="236"/>
      <c r="Z851" s="236">
        <v>7129821.2883458827</v>
      </c>
      <c r="AA851" s="236">
        <v>19268931.259250306</v>
      </c>
      <c r="AB851" s="236">
        <v>18963208.240519635</v>
      </c>
      <c r="AC851" s="236">
        <v>20002385.797141079</v>
      </c>
      <c r="AD851" s="236">
        <v>12342459.387805026</v>
      </c>
      <c r="AE851" s="236">
        <v>19961721.810318485</v>
      </c>
      <c r="AF851" s="236">
        <v>16407057.894692706</v>
      </c>
      <c r="AG851" s="236">
        <v>21495118.155555729</v>
      </c>
      <c r="AH851" s="236">
        <v>17093110.204583995</v>
      </c>
      <c r="AI851" s="236">
        <v>17313576.743503451</v>
      </c>
      <c r="AJ851" s="236">
        <v>16928248.200722355</v>
      </c>
      <c r="AK851" s="236">
        <v>16818135.248140223</v>
      </c>
      <c r="AL851" s="236">
        <v>13769091.857155189</v>
      </c>
      <c r="AM851" s="236">
        <v>11787500.576601492</v>
      </c>
      <c r="AN851" s="236">
        <v>9485029.7651083972</v>
      </c>
      <c r="AO851" s="236">
        <v>5123422.7309481502</v>
      </c>
      <c r="AP851" s="236">
        <v>5752618.6591377435</v>
      </c>
      <c r="AQ851" s="236">
        <v>12060963.789985759</v>
      </c>
      <c r="AR851" s="236">
        <v>5216149.44403408</v>
      </c>
      <c r="AS851" s="236">
        <v>369349.60747839254</v>
      </c>
      <c r="AT851" s="236">
        <v>10464618.160992265</v>
      </c>
      <c r="AU851" s="236">
        <v>18633146.222479947</v>
      </c>
      <c r="AV851" s="236">
        <v>230066.55871213859</v>
      </c>
      <c r="AW851" s="236">
        <v>207767.01239645618</v>
      </c>
      <c r="AX851" s="236">
        <v>207570.4390537467</v>
      </c>
      <c r="AY851" s="236">
        <v>11651993.605761064</v>
      </c>
      <c r="AZ851" s="236">
        <v>161725.6568737117</v>
      </c>
      <c r="BA851" s="236">
        <v>6234125.409836066</v>
      </c>
      <c r="BB851" s="236">
        <v>100550.40983606558</v>
      </c>
      <c r="BC851" s="236">
        <v>7869745.409836066</v>
      </c>
      <c r="BD851" s="236">
        <v>100550.40983606558</v>
      </c>
      <c r="BE851" s="236">
        <v>100550.40983606558</v>
      </c>
      <c r="BF851" s="236">
        <v>100550.40983606558</v>
      </c>
      <c r="BG851" s="236">
        <v>100550.40983606558</v>
      </c>
      <c r="BH851" s="236">
        <v>100550.40983606558</v>
      </c>
      <c r="BI851" s="236">
        <v>50275.204918032789</v>
      </c>
      <c r="BJ851" s="236">
        <v>0</v>
      </c>
      <c r="BK851" s="236">
        <v>5315765</v>
      </c>
    </row>
    <row r="852" spans="1:63">
      <c r="A852" s="168">
        <v>45504</v>
      </c>
      <c r="B852" s="213" t="s">
        <v>385</v>
      </c>
      <c r="C852" s="214"/>
      <c r="D852" s="215"/>
      <c r="E852" s="215"/>
      <c r="F852" s="215"/>
      <c r="G852" s="215"/>
      <c r="H852" s="215"/>
      <c r="I852" s="215"/>
      <c r="J852" s="215"/>
      <c r="K852" s="215"/>
      <c r="L852" s="215"/>
      <c r="M852" s="215"/>
      <c r="N852" s="215"/>
      <c r="O852" s="215"/>
      <c r="P852" s="215"/>
      <c r="Q852" s="215"/>
      <c r="R852" s="216"/>
      <c r="S852" s="236"/>
      <c r="T852" s="236"/>
      <c r="U852" s="236"/>
      <c r="V852" s="236"/>
      <c r="W852" s="236"/>
      <c r="X852" s="236"/>
      <c r="Y852" s="236"/>
      <c r="Z852" s="236">
        <v>6406309.8059408991</v>
      </c>
      <c r="AA852" s="236">
        <v>14944072.068748357</v>
      </c>
      <c r="AB852" s="236">
        <v>13630554.891768616</v>
      </c>
      <c r="AC852" s="236">
        <v>12818439.098136287</v>
      </c>
      <c r="AD852" s="236">
        <v>12154314.928308114</v>
      </c>
      <c r="AE852" s="236">
        <v>11509119.366463153</v>
      </c>
      <c r="AF852" s="236">
        <v>10787065.377172103</v>
      </c>
      <c r="AG852" s="236">
        <v>10120060.071457375</v>
      </c>
      <c r="AH852" s="236">
        <v>9430608.8008932546</v>
      </c>
      <c r="AI852" s="236">
        <v>8595639.8998885658</v>
      </c>
      <c r="AJ852" s="236">
        <v>7620461.5984517429</v>
      </c>
      <c r="AK852" s="236">
        <v>6938579.6643372728</v>
      </c>
      <c r="AL852" s="236">
        <v>6051133.4168790691</v>
      </c>
      <c r="AM852" s="236">
        <v>5733753.5808413718</v>
      </c>
      <c r="AN852" s="236">
        <v>4985067.909405956</v>
      </c>
      <c r="AO852" s="236">
        <v>4797062.5135147972</v>
      </c>
      <c r="AP852" s="236">
        <v>4535790.9267760906</v>
      </c>
      <c r="AQ852" s="236">
        <v>4026180.6348939808</v>
      </c>
      <c r="AR852" s="236">
        <v>3533826.9411178706</v>
      </c>
      <c r="AS852" s="236">
        <v>3393328.7208267585</v>
      </c>
      <c r="AT852" s="236">
        <v>3096464.6444216305</v>
      </c>
      <c r="AU852" s="236">
        <v>2333413.0676248651</v>
      </c>
      <c r="AV852" s="236">
        <v>1863257.7453742297</v>
      </c>
      <c r="AW852" s="236">
        <v>1853376.7359145402</v>
      </c>
      <c r="AX852" s="236">
        <v>1848977.5704460631</v>
      </c>
      <c r="AY852" s="236">
        <v>1530189.2671958453</v>
      </c>
      <c r="AZ852" s="236">
        <v>1221854.1915949888</v>
      </c>
      <c r="BA852" s="236">
        <v>1084848.8361378857</v>
      </c>
      <c r="BB852" s="236">
        <v>953031.10541224666</v>
      </c>
      <c r="BC852" s="236">
        <v>943201.58837469574</v>
      </c>
      <c r="BD852" s="236">
        <v>246735.5207712898</v>
      </c>
      <c r="BE852" s="236">
        <v>638686.10168658907</v>
      </c>
      <c r="BF852" s="236">
        <v>438679.09357923496</v>
      </c>
      <c r="BG852" s="236">
        <v>239848.71147142531</v>
      </c>
      <c r="BH852" s="236">
        <v>40430.01636384333</v>
      </c>
      <c r="BI852" s="236">
        <v>158988.67874373862</v>
      </c>
      <c r="BJ852" s="236">
        <v>209418.99197916666</v>
      </c>
      <c r="BK852" s="236">
        <v>105281.67902777778</v>
      </c>
    </row>
    <row r="853" spans="1:63">
      <c r="A853" s="169"/>
      <c r="B853" s="307" t="s">
        <v>29</v>
      </c>
      <c r="C853" s="313"/>
      <c r="D853" s="314"/>
      <c r="E853" s="314"/>
      <c r="F853" s="314"/>
      <c r="G853" s="314"/>
      <c r="H853" s="314"/>
      <c r="I853" s="314"/>
      <c r="J853" s="314"/>
      <c r="K853" s="314"/>
      <c r="L853" s="314"/>
      <c r="M853" s="314"/>
      <c r="N853" s="314"/>
      <c r="O853" s="314"/>
      <c r="P853" s="314"/>
      <c r="Q853" s="314"/>
      <c r="R853" s="314"/>
      <c r="S853" s="311"/>
      <c r="T853" s="311"/>
      <c r="U853" s="311"/>
      <c r="V853" s="311"/>
      <c r="W853" s="311"/>
      <c r="X853" s="311"/>
      <c r="Y853" s="311"/>
      <c r="Z853" s="311">
        <f t="shared" ref="Z853:BK853" si="182">Z851+Z852</f>
        <v>13536131.094286781</v>
      </c>
      <c r="AA853" s="311">
        <f t="shared" si="182"/>
        <v>34213003.327998661</v>
      </c>
      <c r="AB853" s="311">
        <f t="shared" si="182"/>
        <v>32593763.132288251</v>
      </c>
      <c r="AC853" s="311">
        <f t="shared" si="182"/>
        <v>32820824.895277366</v>
      </c>
      <c r="AD853" s="311">
        <f t="shared" si="182"/>
        <v>24496774.31611314</v>
      </c>
      <c r="AE853" s="311">
        <f t="shared" si="182"/>
        <v>31470841.176781639</v>
      </c>
      <c r="AF853" s="311">
        <f t="shared" si="182"/>
        <v>27194123.271864809</v>
      </c>
      <c r="AG853" s="311">
        <f t="shared" si="182"/>
        <v>31615178.227013104</v>
      </c>
      <c r="AH853" s="311">
        <f t="shared" si="182"/>
        <v>26523719.00547725</v>
      </c>
      <c r="AI853" s="311">
        <f t="shared" si="182"/>
        <v>25909216.643392019</v>
      </c>
      <c r="AJ853" s="311">
        <f t="shared" si="182"/>
        <v>24548709.7991741</v>
      </c>
      <c r="AK853" s="311">
        <f t="shared" si="182"/>
        <v>23756714.912477497</v>
      </c>
      <c r="AL853" s="311">
        <f t="shared" si="182"/>
        <v>19820225.274034258</v>
      </c>
      <c r="AM853" s="311">
        <f t="shared" si="182"/>
        <v>17521254.157442864</v>
      </c>
      <c r="AN853" s="311">
        <f t="shared" si="182"/>
        <v>14470097.674514353</v>
      </c>
      <c r="AO853" s="311">
        <f t="shared" si="182"/>
        <v>9920485.2444629483</v>
      </c>
      <c r="AP853" s="311">
        <f t="shared" si="182"/>
        <v>10288409.585913833</v>
      </c>
      <c r="AQ853" s="311">
        <f t="shared" si="182"/>
        <v>16087144.424879741</v>
      </c>
      <c r="AR853" s="311">
        <f t="shared" si="182"/>
        <v>8749976.3851519506</v>
      </c>
      <c r="AS853" s="311">
        <f t="shared" si="182"/>
        <v>3762678.3283051513</v>
      </c>
      <c r="AT853" s="311">
        <f t="shared" si="182"/>
        <v>13561082.805413894</v>
      </c>
      <c r="AU853" s="311">
        <f t="shared" si="182"/>
        <v>20966559.290104814</v>
      </c>
      <c r="AV853" s="311">
        <f t="shared" si="182"/>
        <v>2093324.3040863683</v>
      </c>
      <c r="AW853" s="311">
        <f t="shared" si="182"/>
        <v>2061143.7483109965</v>
      </c>
      <c r="AX853" s="311">
        <f t="shared" si="182"/>
        <v>2056548.0094998097</v>
      </c>
      <c r="AY853" s="311">
        <f t="shared" si="182"/>
        <v>13182182.872956909</v>
      </c>
      <c r="AZ853" s="311">
        <f t="shared" si="182"/>
        <v>1383579.8484687004</v>
      </c>
      <c r="BA853" s="311">
        <f t="shared" si="182"/>
        <v>7318974.2459739521</v>
      </c>
      <c r="BB853" s="311">
        <f t="shared" si="182"/>
        <v>1053581.5152483121</v>
      </c>
      <c r="BC853" s="311">
        <f t="shared" si="182"/>
        <v>8812946.9982107617</v>
      </c>
      <c r="BD853" s="311">
        <f t="shared" si="182"/>
        <v>347285.93060735537</v>
      </c>
      <c r="BE853" s="311">
        <f t="shared" si="182"/>
        <v>739236.51152265468</v>
      </c>
      <c r="BF853" s="311">
        <f t="shared" si="182"/>
        <v>539229.50341530051</v>
      </c>
      <c r="BG853" s="311">
        <f t="shared" si="182"/>
        <v>340399.12130749086</v>
      </c>
      <c r="BH853" s="311">
        <f t="shared" si="182"/>
        <v>140980.42619990889</v>
      </c>
      <c r="BI853" s="311">
        <f t="shared" si="182"/>
        <v>209263.88366177143</v>
      </c>
      <c r="BJ853" s="311">
        <f t="shared" si="182"/>
        <v>209418.99197916666</v>
      </c>
      <c r="BK853" s="311">
        <f t="shared" si="182"/>
        <v>5421046.6790277781</v>
      </c>
    </row>
    <row r="854" spans="1:63">
      <c r="A854" s="167"/>
      <c r="B854" s="210" t="s">
        <v>28</v>
      </c>
      <c r="C854" s="211"/>
      <c r="D854" s="212"/>
      <c r="E854" s="212"/>
      <c r="F854" s="212"/>
      <c r="G854" s="212"/>
      <c r="H854" s="212"/>
      <c r="I854" s="212"/>
      <c r="J854" s="212"/>
      <c r="K854" s="212"/>
      <c r="L854" s="212"/>
      <c r="M854" s="212"/>
      <c r="N854" s="212"/>
      <c r="O854" s="212"/>
      <c r="P854" s="212"/>
      <c r="Q854" s="212"/>
      <c r="R854" s="212"/>
      <c r="S854" s="235"/>
      <c r="T854" s="235"/>
      <c r="U854" s="235"/>
      <c r="V854" s="235"/>
      <c r="W854" s="236"/>
      <c r="X854" s="236"/>
      <c r="Y854" s="236"/>
      <c r="Z854" s="236">
        <v>6078593.2628573319</v>
      </c>
      <c r="AA854" s="236">
        <v>18018635.472579896</v>
      </c>
      <c r="AB854" s="236">
        <v>19457312.978821531</v>
      </c>
      <c r="AC854" s="236">
        <v>20347901.781801831</v>
      </c>
      <c r="AD854" s="236">
        <v>12588000.517634923</v>
      </c>
      <c r="AE854" s="236">
        <v>20334832.693143729</v>
      </c>
      <c r="AF854" s="236">
        <v>16717046.546150479</v>
      </c>
      <c r="AG854" s="236">
        <v>21890296.272608873</v>
      </c>
      <c r="AH854" s="236">
        <v>17410531.6129403</v>
      </c>
      <c r="AI854" s="236">
        <v>17638079.530893661</v>
      </c>
      <c r="AJ854" s="236">
        <v>17236622.031742755</v>
      </c>
      <c r="AK854" s="236">
        <v>17185708.273183022</v>
      </c>
      <c r="AL854" s="236">
        <v>14149557.165027233</v>
      </c>
      <c r="AM854" s="236">
        <v>11998662.471258093</v>
      </c>
      <c r="AN854" s="236">
        <v>9650950.8394685742</v>
      </c>
      <c r="AO854" s="236">
        <v>5213333.9445300158</v>
      </c>
      <c r="AP854" s="236">
        <v>5854154.6772105619</v>
      </c>
      <c r="AQ854" s="236">
        <v>12271650.858615423</v>
      </c>
      <c r="AR854" s="236">
        <v>5307551.7243907154</v>
      </c>
      <c r="AS854" s="236">
        <v>376286.55814016622</v>
      </c>
      <c r="AT854" s="236">
        <v>10647299.413114555</v>
      </c>
      <c r="AU854" s="236">
        <v>18958180.664140701</v>
      </c>
      <c r="AV854" s="236">
        <v>234389.9656443907</v>
      </c>
      <c r="AW854" s="236">
        <v>211701.80442959597</v>
      </c>
      <c r="AX854" s="236">
        <v>211501.80537696337</v>
      </c>
      <c r="AY854" s="236">
        <v>11855367.286279403</v>
      </c>
      <c r="AZ854" s="236">
        <v>164736.82888968021</v>
      </c>
      <c r="BA854" s="236">
        <v>6342767.7049180334</v>
      </c>
      <c r="BB854" s="236">
        <v>102302.70491803279</v>
      </c>
      <c r="BC854" s="236">
        <v>8006891.7049180334</v>
      </c>
      <c r="BD854" s="236">
        <v>102302.70491803279</v>
      </c>
      <c r="BE854" s="236">
        <v>102302.70491803279</v>
      </c>
      <c r="BF854" s="236">
        <v>102302.70491803279</v>
      </c>
      <c r="BG854" s="236">
        <v>102302.70491803279</v>
      </c>
      <c r="BH854" s="236">
        <v>102302.70491803279</v>
      </c>
      <c r="BI854" s="236">
        <v>51151.352459016394</v>
      </c>
      <c r="BJ854" s="236">
        <v>0</v>
      </c>
      <c r="BK854" s="236">
        <v>5408403.0000000009</v>
      </c>
    </row>
    <row r="855" spans="1:63">
      <c r="A855" s="168">
        <v>45535</v>
      </c>
      <c r="B855" s="213" t="s">
        <v>385</v>
      </c>
      <c r="C855" s="214"/>
      <c r="D855" s="215"/>
      <c r="E855" s="215"/>
      <c r="F855" s="215"/>
      <c r="G855" s="215"/>
      <c r="H855" s="215"/>
      <c r="I855" s="215"/>
      <c r="J855" s="215"/>
      <c r="K855" s="215"/>
      <c r="L855" s="215"/>
      <c r="M855" s="215"/>
      <c r="N855" s="215"/>
      <c r="O855" s="215"/>
      <c r="P855" s="215"/>
      <c r="Q855" s="215"/>
      <c r="R855" s="216"/>
      <c r="S855" s="236"/>
      <c r="T855" s="236"/>
      <c r="U855" s="236"/>
      <c r="V855" s="236"/>
      <c r="W855" s="236"/>
      <c r="X855" s="236"/>
      <c r="Y855" s="236"/>
      <c r="Z855" s="236">
        <v>5298656.3483182937</v>
      </c>
      <c r="AA855" s="236">
        <v>15101106.003948433</v>
      </c>
      <c r="AB855" s="236">
        <v>13958053.189399345</v>
      </c>
      <c r="AC855" s="236">
        <v>13042810.742507026</v>
      </c>
      <c r="AD855" s="236">
        <v>12366044.570056275</v>
      </c>
      <c r="AE855" s="236">
        <v>11710881.771097844</v>
      </c>
      <c r="AF855" s="236">
        <v>10976280.881028222</v>
      </c>
      <c r="AG855" s="236">
        <v>10296667.114249881</v>
      </c>
      <c r="AH855" s="236">
        <v>9595899.3396838456</v>
      </c>
      <c r="AI855" s="236">
        <v>8747218.8756010346</v>
      </c>
      <c r="AJ855" s="236">
        <v>7754473.1678900309</v>
      </c>
      <c r="AK855" s="236">
        <v>7060454.0960869938</v>
      </c>
      <c r="AL855" s="236">
        <v>6157598.6517205313</v>
      </c>
      <c r="AM855" s="236">
        <v>5832698.8265824253</v>
      </c>
      <c r="AN855" s="236">
        <v>5071358.0369868241</v>
      </c>
      <c r="AO855" s="236">
        <v>4880573.909057525</v>
      </c>
      <c r="AP855" s="236">
        <v>4614930.3269406799</v>
      </c>
      <c r="AQ855" s="236">
        <v>4096427.3817617171</v>
      </c>
      <c r="AR855" s="236">
        <v>3595475.2251660866</v>
      </c>
      <c r="AS855" s="236">
        <v>3452511.0893474896</v>
      </c>
      <c r="AT855" s="236">
        <v>3150459.2037543887</v>
      </c>
      <c r="AU855" s="236">
        <v>2374104.8163990839</v>
      </c>
      <c r="AV855" s="236">
        <v>1895750.9956167906</v>
      </c>
      <c r="AW855" s="236">
        <v>1885692.7022145058</v>
      </c>
      <c r="AX855" s="236">
        <v>1881211.7850691613</v>
      </c>
      <c r="AY855" s="236">
        <v>1556862.8609779654</v>
      </c>
      <c r="AZ855" s="236">
        <v>1243149.043607102</v>
      </c>
      <c r="BA855" s="236">
        <v>1103754.5301409394</v>
      </c>
      <c r="BB855" s="236">
        <v>969639.60777139536</v>
      </c>
      <c r="BC855" s="236">
        <v>959638.79143838561</v>
      </c>
      <c r="BD855" s="236">
        <v>251035.38827356102</v>
      </c>
      <c r="BE855" s="236">
        <v>1074789.2814023227</v>
      </c>
      <c r="BF855" s="236">
        <v>872461.05399795063</v>
      </c>
      <c r="BG855" s="236">
        <v>669001.33973224042</v>
      </c>
      <c r="BH855" s="236">
        <v>466107.36889719934</v>
      </c>
      <c r="BI855" s="236">
        <v>263213.39806215832</v>
      </c>
      <c r="BJ855" s="236">
        <v>213068.54318750001</v>
      </c>
      <c r="BK855" s="236">
        <v>107116.42608333334</v>
      </c>
    </row>
    <row r="856" spans="1:63">
      <c r="A856" s="169"/>
      <c r="B856" s="307" t="s">
        <v>29</v>
      </c>
      <c r="C856" s="313"/>
      <c r="D856" s="314"/>
      <c r="E856" s="314"/>
      <c r="F856" s="314"/>
      <c r="G856" s="314"/>
      <c r="H856" s="314"/>
      <c r="I856" s="314"/>
      <c r="J856" s="314"/>
      <c r="K856" s="314"/>
      <c r="L856" s="314"/>
      <c r="M856" s="314"/>
      <c r="N856" s="314"/>
      <c r="O856" s="314"/>
      <c r="P856" s="314"/>
      <c r="Q856" s="314"/>
      <c r="R856" s="314"/>
      <c r="S856" s="311"/>
      <c r="T856" s="311"/>
      <c r="U856" s="311"/>
      <c r="V856" s="311"/>
      <c r="W856" s="311"/>
      <c r="X856" s="311"/>
      <c r="Y856" s="311"/>
      <c r="Z856" s="311">
        <f t="shared" ref="Z856:BK856" si="183">Z854+Z855</f>
        <v>11377249.611175627</v>
      </c>
      <c r="AA856" s="311">
        <f t="shared" si="183"/>
        <v>33119741.476528332</v>
      </c>
      <c r="AB856" s="311">
        <f t="shared" si="183"/>
        <v>33415366.168220878</v>
      </c>
      <c r="AC856" s="311">
        <f t="shared" si="183"/>
        <v>33390712.524308857</v>
      </c>
      <c r="AD856" s="311">
        <f t="shared" si="183"/>
        <v>24954045.087691195</v>
      </c>
      <c r="AE856" s="311">
        <f t="shared" si="183"/>
        <v>32045714.464241572</v>
      </c>
      <c r="AF856" s="311">
        <f t="shared" si="183"/>
        <v>27693327.427178703</v>
      </c>
      <c r="AG856" s="311">
        <f t="shared" si="183"/>
        <v>32186963.386858754</v>
      </c>
      <c r="AH856" s="311">
        <f t="shared" si="183"/>
        <v>27006430.952624146</v>
      </c>
      <c r="AI856" s="311">
        <f t="shared" si="183"/>
        <v>26385298.406494696</v>
      </c>
      <c r="AJ856" s="311">
        <f t="shared" si="183"/>
        <v>24991095.199632786</v>
      </c>
      <c r="AK856" s="311">
        <f t="shared" si="183"/>
        <v>24246162.369270016</v>
      </c>
      <c r="AL856" s="311">
        <f t="shared" si="183"/>
        <v>20307155.816747762</v>
      </c>
      <c r="AM856" s="311">
        <f t="shared" si="183"/>
        <v>17831361.297840517</v>
      </c>
      <c r="AN856" s="311">
        <f t="shared" si="183"/>
        <v>14722308.876455398</v>
      </c>
      <c r="AO856" s="311">
        <f t="shared" si="183"/>
        <v>10093907.853587542</v>
      </c>
      <c r="AP856" s="311">
        <f t="shared" si="183"/>
        <v>10469085.004151242</v>
      </c>
      <c r="AQ856" s="311">
        <f t="shared" si="183"/>
        <v>16368078.240377139</v>
      </c>
      <c r="AR856" s="311">
        <f t="shared" si="183"/>
        <v>8903026.9495568015</v>
      </c>
      <c r="AS856" s="311">
        <f t="shared" si="183"/>
        <v>3828797.6474876557</v>
      </c>
      <c r="AT856" s="311">
        <f t="shared" si="183"/>
        <v>13797758.616868943</v>
      </c>
      <c r="AU856" s="311">
        <f t="shared" si="183"/>
        <v>21332285.480539784</v>
      </c>
      <c r="AV856" s="311">
        <f t="shared" si="183"/>
        <v>2130140.9612611812</v>
      </c>
      <c r="AW856" s="311">
        <f t="shared" si="183"/>
        <v>2097394.5066441018</v>
      </c>
      <c r="AX856" s="311">
        <f t="shared" si="183"/>
        <v>2092713.5904461248</v>
      </c>
      <c r="AY856" s="311">
        <f t="shared" si="183"/>
        <v>13412230.147257369</v>
      </c>
      <c r="AZ856" s="311">
        <f t="shared" si="183"/>
        <v>1407885.8724967823</v>
      </c>
      <c r="BA856" s="311">
        <f t="shared" si="183"/>
        <v>7446522.2350589726</v>
      </c>
      <c r="BB856" s="311">
        <f t="shared" si="183"/>
        <v>1071942.3126894282</v>
      </c>
      <c r="BC856" s="311">
        <f t="shared" si="183"/>
        <v>8966530.4963564184</v>
      </c>
      <c r="BD856" s="311">
        <f t="shared" si="183"/>
        <v>353338.09319159383</v>
      </c>
      <c r="BE856" s="311">
        <f t="shared" si="183"/>
        <v>1177091.9863203554</v>
      </c>
      <c r="BF856" s="311">
        <f t="shared" si="183"/>
        <v>974763.75891598337</v>
      </c>
      <c r="BG856" s="311">
        <f t="shared" si="183"/>
        <v>771304.04465027316</v>
      </c>
      <c r="BH856" s="311">
        <f t="shared" si="183"/>
        <v>568410.07381523214</v>
      </c>
      <c r="BI856" s="311">
        <f t="shared" si="183"/>
        <v>314364.75052117469</v>
      </c>
      <c r="BJ856" s="311">
        <f t="shared" si="183"/>
        <v>213068.54318750001</v>
      </c>
      <c r="BK856" s="311">
        <f t="shared" si="183"/>
        <v>5515519.4260833347</v>
      </c>
    </row>
    <row r="857" spans="1:63">
      <c r="A857" s="167"/>
      <c r="B857" s="210" t="s">
        <v>28</v>
      </c>
      <c r="C857" s="211"/>
      <c r="D857" s="212"/>
      <c r="E857" s="212"/>
      <c r="F857" s="212"/>
      <c r="G857" s="212"/>
      <c r="H857" s="212"/>
      <c r="I857" s="212"/>
      <c r="J857" s="212"/>
      <c r="K857" s="212"/>
      <c r="L857" s="212"/>
      <c r="M857" s="212"/>
      <c r="N857" s="212"/>
      <c r="O857" s="212"/>
      <c r="P857" s="212"/>
      <c r="Q857" s="212"/>
      <c r="R857" s="212"/>
      <c r="S857" s="235"/>
      <c r="T857" s="235"/>
      <c r="U857" s="235"/>
      <c r="V857" s="235"/>
      <c r="W857" s="236"/>
      <c r="X857" s="236"/>
      <c r="Y857" s="236"/>
      <c r="Z857" s="236">
        <v>5849260.4165121485</v>
      </c>
      <c r="AA857" s="236">
        <v>18109267.944354232</v>
      </c>
      <c r="AB857" s="236">
        <v>19538316.793935396</v>
      </c>
      <c r="AC857" s="236">
        <v>20378481.494723216</v>
      </c>
      <c r="AD857" s="236">
        <v>12614373.472634064</v>
      </c>
      <c r="AE857" s="236">
        <v>20366533.22335957</v>
      </c>
      <c r="AF857" s="236">
        <v>16745156.315645194</v>
      </c>
      <c r="AG857" s="236">
        <v>21923053.06637346</v>
      </c>
      <c r="AH857" s="236">
        <v>17437644.602587972</v>
      </c>
      <c r="AI857" s="236">
        <v>17677356.20606241</v>
      </c>
      <c r="AJ857" s="236">
        <v>17262199.788780678</v>
      </c>
      <c r="AK857" s="236">
        <v>17285539.785025388</v>
      </c>
      <c r="AL857" s="236">
        <v>14221804.590341546</v>
      </c>
      <c r="AM857" s="236">
        <v>12018851.752702894</v>
      </c>
      <c r="AN857" s="236">
        <v>9666994.5784206744</v>
      </c>
      <c r="AO857" s="236">
        <v>5225217.7276398195</v>
      </c>
      <c r="AP857" s="236">
        <v>5864325.1351202186</v>
      </c>
      <c r="AQ857" s="236">
        <v>12287336.411732113</v>
      </c>
      <c r="AR857" s="236">
        <v>5316467.0002857419</v>
      </c>
      <c r="AS857" s="236">
        <v>380579.11742311838</v>
      </c>
      <c r="AT857" s="236">
        <v>10661056.28481492</v>
      </c>
      <c r="AU857" s="236">
        <v>18979564.361807853</v>
      </c>
      <c r="AV857" s="236">
        <v>237277.21190241</v>
      </c>
      <c r="AW857" s="236">
        <v>214567.7821213936</v>
      </c>
      <c r="AX857" s="236">
        <v>214367.59558362039</v>
      </c>
      <c r="AY857" s="236">
        <v>11869148.386973863</v>
      </c>
      <c r="AZ857" s="236">
        <v>166528.77405052976</v>
      </c>
      <c r="BA857" s="236">
        <v>6348713.6065573776</v>
      </c>
      <c r="BB857" s="236">
        <v>102398.60655737705</v>
      </c>
      <c r="BC857" s="236">
        <v>8014397.6065573776</v>
      </c>
      <c r="BD857" s="236">
        <v>102398.60655737705</v>
      </c>
      <c r="BE857" s="236">
        <v>102398.60655737705</v>
      </c>
      <c r="BF857" s="236">
        <v>102398.60655737705</v>
      </c>
      <c r="BG857" s="236">
        <v>102398.60655737705</v>
      </c>
      <c r="BH857" s="236">
        <v>102398.60655737705</v>
      </c>
      <c r="BI857" s="236">
        <v>51199.303278688523</v>
      </c>
      <c r="BJ857" s="236">
        <v>0</v>
      </c>
      <c r="BK857" s="236">
        <v>5413473</v>
      </c>
    </row>
    <row r="858" spans="1:63">
      <c r="A858" s="168">
        <v>45565</v>
      </c>
      <c r="B858" s="213" t="s">
        <v>385</v>
      </c>
      <c r="C858" s="214"/>
      <c r="D858" s="215"/>
      <c r="E858" s="215"/>
      <c r="F858" s="215"/>
      <c r="G858" s="215"/>
      <c r="H858" s="215"/>
      <c r="I858" s="215"/>
      <c r="J858" s="215"/>
      <c r="K858" s="215"/>
      <c r="L858" s="215"/>
      <c r="M858" s="215"/>
      <c r="N858" s="215"/>
      <c r="O858" s="215"/>
      <c r="P858" s="215"/>
      <c r="Q858" s="215"/>
      <c r="R858" s="216"/>
      <c r="S858" s="236"/>
      <c r="T858" s="236"/>
      <c r="U858" s="236"/>
      <c r="V858" s="236"/>
      <c r="W858" s="236"/>
      <c r="X858" s="236"/>
      <c r="Y858" s="236"/>
      <c r="Z858" s="236">
        <v>3761526.100432063</v>
      </c>
      <c r="AA858" s="236">
        <v>14863067.494793463</v>
      </c>
      <c r="AB858" s="236">
        <v>13726398.3444637</v>
      </c>
      <c r="AC858" s="236">
        <v>12882265.926942557</v>
      </c>
      <c r="AD858" s="236">
        <v>12192093.702065537</v>
      </c>
      <c r="AE858" s="236">
        <v>11558945.455737034</v>
      </c>
      <c r="AF858" s="236">
        <v>10844491.652459303</v>
      </c>
      <c r="AG858" s="236">
        <v>10181685.856729634</v>
      </c>
      <c r="AH858" s="236">
        <v>9484187.4944997635</v>
      </c>
      <c r="AI858" s="236">
        <v>8647680.6807407159</v>
      </c>
      <c r="AJ858" s="236">
        <v>7666368.2902256139</v>
      </c>
      <c r="AK858" s="236">
        <v>6984619.1350420276</v>
      </c>
      <c r="AL858" s="236">
        <v>6090739.0358459018</v>
      </c>
      <c r="AM858" s="236">
        <v>5775938.8694333695</v>
      </c>
      <c r="AN858" s="236">
        <v>5024673.2080684761</v>
      </c>
      <c r="AO858" s="236">
        <v>4844395.3354744548</v>
      </c>
      <c r="AP858" s="236">
        <v>4589110.2829475747</v>
      </c>
      <c r="AQ858" s="236">
        <v>4080614.6412087604</v>
      </c>
      <c r="AR858" s="236">
        <v>3586256.8127473006</v>
      </c>
      <c r="AS858" s="236">
        <v>3447052.7867507371</v>
      </c>
      <c r="AT858" s="236">
        <v>3145460.6296571055</v>
      </c>
      <c r="AU858" s="236">
        <v>2368896.4925683825</v>
      </c>
      <c r="AV858" s="236">
        <v>1890595.0013754114</v>
      </c>
      <c r="AW858" s="236">
        <v>1881062.2299120864</v>
      </c>
      <c r="AX858" s="236">
        <v>1877093.4486144909</v>
      </c>
      <c r="AY858" s="236">
        <v>1552990.5198000087</v>
      </c>
      <c r="AZ858" s="236">
        <v>1239474.4302319877</v>
      </c>
      <c r="BA858" s="236">
        <v>1100460.7911389701</v>
      </c>
      <c r="BB858" s="236">
        <v>966733.94392747176</v>
      </c>
      <c r="BC858" s="236">
        <v>957259.5216636277</v>
      </c>
      <c r="BD858" s="236">
        <v>248516.6649120982</v>
      </c>
      <c r="BE858" s="236">
        <v>1075796.8212725408</v>
      </c>
      <c r="BF858" s="236">
        <v>873278.92528893438</v>
      </c>
      <c r="BG858" s="236">
        <v>669628.48175409832</v>
      </c>
      <c r="BH858" s="236">
        <v>466544.311994877</v>
      </c>
      <c r="BI858" s="236">
        <v>263460.14223565569</v>
      </c>
      <c r="BJ858" s="236">
        <v>213268.28006249998</v>
      </c>
      <c r="BK858" s="236">
        <v>107216.84024999999</v>
      </c>
    </row>
    <row r="859" spans="1:63">
      <c r="A859" s="169"/>
      <c r="B859" s="307" t="s">
        <v>29</v>
      </c>
      <c r="C859" s="313"/>
      <c r="D859" s="314"/>
      <c r="E859" s="314"/>
      <c r="F859" s="314"/>
      <c r="G859" s="314"/>
      <c r="H859" s="314"/>
      <c r="I859" s="314"/>
      <c r="J859" s="314"/>
      <c r="K859" s="314"/>
      <c r="L859" s="314"/>
      <c r="M859" s="314"/>
      <c r="N859" s="314"/>
      <c r="O859" s="314"/>
      <c r="P859" s="314"/>
      <c r="Q859" s="314"/>
      <c r="R859" s="314"/>
      <c r="S859" s="311"/>
      <c r="T859" s="311"/>
      <c r="U859" s="311"/>
      <c r="V859" s="311"/>
      <c r="W859" s="311"/>
      <c r="X859" s="311"/>
      <c r="Y859" s="311"/>
      <c r="Z859" s="311">
        <f t="shared" ref="Z859:BK859" si="184">Z857+Z858</f>
        <v>9610786.516944211</v>
      </c>
      <c r="AA859" s="311">
        <f t="shared" si="184"/>
        <v>32972335.439147696</v>
      </c>
      <c r="AB859" s="311">
        <f t="shared" si="184"/>
        <v>33264715.138399094</v>
      </c>
      <c r="AC859" s="311">
        <f t="shared" si="184"/>
        <v>33260747.421665773</v>
      </c>
      <c r="AD859" s="311">
        <f t="shared" si="184"/>
        <v>24806467.174699601</v>
      </c>
      <c r="AE859" s="311">
        <f t="shared" si="184"/>
        <v>31925478.679096602</v>
      </c>
      <c r="AF859" s="311">
        <f t="shared" si="184"/>
        <v>27589647.968104497</v>
      </c>
      <c r="AG859" s="311">
        <f t="shared" si="184"/>
        <v>32104738.923103094</v>
      </c>
      <c r="AH859" s="311">
        <f t="shared" si="184"/>
        <v>26921832.097087733</v>
      </c>
      <c r="AI859" s="311">
        <f t="shared" si="184"/>
        <v>26325036.886803128</v>
      </c>
      <c r="AJ859" s="311">
        <f t="shared" si="184"/>
        <v>24928568.079006292</v>
      </c>
      <c r="AK859" s="311">
        <f t="shared" si="184"/>
        <v>24270158.920067415</v>
      </c>
      <c r="AL859" s="311">
        <f t="shared" si="184"/>
        <v>20312543.626187447</v>
      </c>
      <c r="AM859" s="311">
        <f t="shared" si="184"/>
        <v>17794790.622136265</v>
      </c>
      <c r="AN859" s="311">
        <f t="shared" si="184"/>
        <v>14691667.786489151</v>
      </c>
      <c r="AO859" s="311">
        <f t="shared" si="184"/>
        <v>10069613.063114274</v>
      </c>
      <c r="AP859" s="311">
        <f t="shared" si="184"/>
        <v>10453435.418067794</v>
      </c>
      <c r="AQ859" s="311">
        <f t="shared" si="184"/>
        <v>16367951.052940873</v>
      </c>
      <c r="AR859" s="311">
        <f t="shared" si="184"/>
        <v>8902723.8130330425</v>
      </c>
      <c r="AS859" s="311">
        <f t="shared" si="184"/>
        <v>3827631.9041738557</v>
      </c>
      <c r="AT859" s="311">
        <f t="shared" si="184"/>
        <v>13806516.914472025</v>
      </c>
      <c r="AU859" s="311">
        <f t="shared" si="184"/>
        <v>21348460.854376234</v>
      </c>
      <c r="AV859" s="311">
        <f t="shared" si="184"/>
        <v>2127872.2132778214</v>
      </c>
      <c r="AW859" s="311">
        <f t="shared" si="184"/>
        <v>2095630.01203348</v>
      </c>
      <c r="AX859" s="311">
        <f t="shared" si="184"/>
        <v>2091461.0441981114</v>
      </c>
      <c r="AY859" s="311">
        <f t="shared" si="184"/>
        <v>13422138.906773873</v>
      </c>
      <c r="AZ859" s="311">
        <f t="shared" si="184"/>
        <v>1406003.2042825175</v>
      </c>
      <c r="BA859" s="311">
        <f t="shared" si="184"/>
        <v>7449174.3976963479</v>
      </c>
      <c r="BB859" s="311">
        <f t="shared" si="184"/>
        <v>1069132.5504848489</v>
      </c>
      <c r="BC859" s="311">
        <f t="shared" si="184"/>
        <v>8971657.1282210052</v>
      </c>
      <c r="BD859" s="311">
        <f t="shared" si="184"/>
        <v>350915.27146947524</v>
      </c>
      <c r="BE859" s="311">
        <f t="shared" si="184"/>
        <v>1178195.427829918</v>
      </c>
      <c r="BF859" s="311">
        <f t="shared" si="184"/>
        <v>975677.53184631141</v>
      </c>
      <c r="BG859" s="311">
        <f t="shared" si="184"/>
        <v>772027.08831147535</v>
      </c>
      <c r="BH859" s="311">
        <f t="shared" si="184"/>
        <v>568942.91855225409</v>
      </c>
      <c r="BI859" s="311">
        <f t="shared" si="184"/>
        <v>314659.4455143442</v>
      </c>
      <c r="BJ859" s="311">
        <f t="shared" si="184"/>
        <v>213268.28006249998</v>
      </c>
      <c r="BK859" s="311">
        <f t="shared" si="184"/>
        <v>5520689.8402500004</v>
      </c>
    </row>
    <row r="860" spans="1:63">
      <c r="A860" s="167"/>
      <c r="B860" s="210" t="s">
        <v>28</v>
      </c>
      <c r="C860" s="211"/>
      <c r="D860" s="212"/>
      <c r="E860" s="212"/>
      <c r="F860" s="212"/>
      <c r="G860" s="212"/>
      <c r="H860" s="212"/>
      <c r="I860" s="212"/>
      <c r="J860" s="212"/>
      <c r="K860" s="212"/>
      <c r="L860" s="212"/>
      <c r="M860" s="212"/>
      <c r="N860" s="212"/>
      <c r="O860" s="212"/>
      <c r="P860" s="212"/>
      <c r="Q860" s="212"/>
      <c r="R860" s="212"/>
      <c r="S860" s="235"/>
      <c r="T860" s="235"/>
      <c r="U860" s="235"/>
      <c r="V860" s="235"/>
      <c r="W860" s="236"/>
      <c r="X860" s="236"/>
      <c r="Y860" s="236"/>
      <c r="Z860" s="236">
        <v>5774002.7353353947</v>
      </c>
      <c r="AA860" s="236">
        <v>18966407.291180607</v>
      </c>
      <c r="AB860" s="236">
        <v>20465256.027817763</v>
      </c>
      <c r="AC860" s="236">
        <v>21413688.621011198</v>
      </c>
      <c r="AD860" s="236">
        <v>13304430.665950395</v>
      </c>
      <c r="AE860" s="236">
        <v>21527373.1989756</v>
      </c>
      <c r="AF860" s="236">
        <v>17690521.097170632</v>
      </c>
      <c r="AG860" s="236">
        <v>23166401.33411685</v>
      </c>
      <c r="AH860" s="236">
        <v>18436622.270728815</v>
      </c>
      <c r="AI860" s="236">
        <v>18719287.757671122</v>
      </c>
      <c r="AJ860" s="236">
        <v>18289853.916525908</v>
      </c>
      <c r="AK860" s="236">
        <v>18209765.545523338</v>
      </c>
      <c r="AL860" s="236">
        <v>14884522.16980375</v>
      </c>
      <c r="AM860" s="236">
        <v>12726274.138547918</v>
      </c>
      <c r="AN860" s="236">
        <v>10240980.753812708</v>
      </c>
      <c r="AO860" s="236">
        <v>5533340.0584954051</v>
      </c>
      <c r="AP860" s="236">
        <v>6212713.7729810122</v>
      </c>
      <c r="AQ860" s="236">
        <v>13024320.746451527</v>
      </c>
      <c r="AR860" s="236">
        <v>5636207.9200950023</v>
      </c>
      <c r="AS860" s="236">
        <v>404881.03324234555</v>
      </c>
      <c r="AT860" s="236">
        <v>11298524.231946144</v>
      </c>
      <c r="AU860" s="236">
        <v>20112764.110041715</v>
      </c>
      <c r="AV860" s="236">
        <v>248651.91478219203</v>
      </c>
      <c r="AW860" s="236">
        <v>224583.20548046983</v>
      </c>
      <c r="AX860" s="236">
        <v>224371.03671928812</v>
      </c>
      <c r="AY860" s="236">
        <v>12576752.1201827</v>
      </c>
      <c r="AZ860" s="236">
        <v>174760.62295230888</v>
      </c>
      <c r="BA860" s="236">
        <v>6728717.7049180334</v>
      </c>
      <c r="BB860" s="236">
        <v>108527.70491803279</v>
      </c>
      <c r="BC860" s="236">
        <v>8494101.7049180325</v>
      </c>
      <c r="BD860" s="236">
        <v>108527.70491803279</v>
      </c>
      <c r="BE860" s="236">
        <v>108527.70491803279</v>
      </c>
      <c r="BF860" s="236">
        <v>108527.70491803279</v>
      </c>
      <c r="BG860" s="236">
        <v>108527.70491803279</v>
      </c>
      <c r="BH860" s="236">
        <v>108527.70491803279</v>
      </c>
      <c r="BI860" s="236">
        <v>54263.852459016394</v>
      </c>
      <c r="BJ860" s="236">
        <v>0</v>
      </c>
      <c r="BK860" s="236">
        <v>5737498</v>
      </c>
    </row>
    <row r="861" spans="1:63">
      <c r="A861" s="168">
        <v>45596</v>
      </c>
      <c r="B861" s="213" t="s">
        <v>385</v>
      </c>
      <c r="C861" s="214"/>
      <c r="D861" s="215"/>
      <c r="E861" s="215"/>
      <c r="F861" s="215"/>
      <c r="G861" s="215"/>
      <c r="H861" s="215"/>
      <c r="I861" s="215"/>
      <c r="J861" s="215"/>
      <c r="K861" s="215"/>
      <c r="L861" s="215"/>
      <c r="M861" s="215"/>
      <c r="N861" s="215"/>
      <c r="O861" s="215"/>
      <c r="P861" s="215"/>
      <c r="Q861" s="215"/>
      <c r="R861" s="216"/>
      <c r="S861" s="236"/>
      <c r="T861" s="236"/>
      <c r="U861" s="236"/>
      <c r="V861" s="236"/>
      <c r="W861" s="236"/>
      <c r="X861" s="236"/>
      <c r="Y861" s="236"/>
      <c r="Z861" s="236">
        <v>2863280.4696725574</v>
      </c>
      <c r="AA861" s="236">
        <v>15664234.824784962</v>
      </c>
      <c r="AB861" s="236">
        <v>14520924.070738632</v>
      </c>
      <c r="AC861" s="236">
        <v>13660569.185405158</v>
      </c>
      <c r="AD861" s="236">
        <v>12933393.102920773</v>
      </c>
      <c r="AE861" s="236">
        <v>12261826.943914512</v>
      </c>
      <c r="AF861" s="236">
        <v>11492616.486673266</v>
      </c>
      <c r="AG861" s="236">
        <v>10788141.808125751</v>
      </c>
      <c r="AH861" s="236">
        <v>10046772.638205884</v>
      </c>
      <c r="AI861" s="236">
        <v>9159488.3990432024</v>
      </c>
      <c r="AJ861" s="236">
        <v>8117038.3128094031</v>
      </c>
      <c r="AK861" s="236">
        <v>7393758.387034297</v>
      </c>
      <c r="AL861" s="236">
        <v>6449750.9969037101</v>
      </c>
      <c r="AM861" s="236">
        <v>6119463.3344978904</v>
      </c>
      <c r="AN861" s="236">
        <v>5323534.2658638833</v>
      </c>
      <c r="AO861" s="236">
        <v>5132680.7195665156</v>
      </c>
      <c r="AP861" s="236">
        <v>4862776.4032063559</v>
      </c>
      <c r="AQ861" s="236">
        <v>4324064.8293347089</v>
      </c>
      <c r="AR861" s="236">
        <v>3800268.6283040531</v>
      </c>
      <c r="AS861" s="236">
        <v>3652773.7218571939</v>
      </c>
      <c r="AT861" s="236">
        <v>3332967.0467222137</v>
      </c>
      <c r="AU861" s="236">
        <v>2509941.9773275368</v>
      </c>
      <c r="AV861" s="236">
        <v>2003095.7568619119</v>
      </c>
      <c r="AW861" s="236">
        <v>1993075.6218024888</v>
      </c>
      <c r="AX861" s="236">
        <v>1988951.3877641512</v>
      </c>
      <c r="AY861" s="236">
        <v>1645533.3973420765</v>
      </c>
      <c r="AZ861" s="236">
        <v>1313334.9899427383</v>
      </c>
      <c r="BA861" s="236">
        <v>1166048.6843350546</v>
      </c>
      <c r="BB861" s="236">
        <v>1024350.8808010926</v>
      </c>
      <c r="BC861" s="236">
        <v>1014344.0785051247</v>
      </c>
      <c r="BD861" s="236">
        <v>263213.22058602748</v>
      </c>
      <c r="BE861" s="236">
        <v>1140188.9527217667</v>
      </c>
      <c r="BF861" s="236">
        <v>925549.2892062841</v>
      </c>
      <c r="BG861" s="236">
        <v>709709.28917668492</v>
      </c>
      <c r="BH861" s="236">
        <v>494469.45740414382</v>
      </c>
      <c r="BI861" s="236">
        <v>279229.62563160289</v>
      </c>
      <c r="BJ861" s="236">
        <v>226033.51495833331</v>
      </c>
      <c r="BK861" s="236">
        <v>113634.33538888888</v>
      </c>
    </row>
    <row r="862" spans="1:63">
      <c r="A862" s="169"/>
      <c r="B862" s="307" t="s">
        <v>29</v>
      </c>
      <c r="C862" s="313"/>
      <c r="D862" s="314"/>
      <c r="E862" s="314"/>
      <c r="F862" s="314"/>
      <c r="G862" s="314"/>
      <c r="H862" s="314"/>
      <c r="I862" s="314"/>
      <c r="J862" s="314"/>
      <c r="K862" s="314"/>
      <c r="L862" s="314"/>
      <c r="M862" s="314"/>
      <c r="N862" s="314"/>
      <c r="O862" s="314"/>
      <c r="P862" s="314"/>
      <c r="Q862" s="314"/>
      <c r="R862" s="314"/>
      <c r="S862" s="311"/>
      <c r="T862" s="311"/>
      <c r="U862" s="311"/>
      <c r="V862" s="311"/>
      <c r="W862" s="311"/>
      <c r="X862" s="311"/>
      <c r="Y862" s="311"/>
      <c r="Z862" s="311">
        <f t="shared" ref="Z862:BK862" si="185">Z860+Z861</f>
        <v>8637283.2050079517</v>
      </c>
      <c r="AA862" s="311">
        <f t="shared" si="185"/>
        <v>34630642.115965568</v>
      </c>
      <c r="AB862" s="311">
        <f t="shared" si="185"/>
        <v>34986180.098556399</v>
      </c>
      <c r="AC862" s="311">
        <f t="shared" si="185"/>
        <v>35074257.806416355</v>
      </c>
      <c r="AD862" s="311">
        <f t="shared" si="185"/>
        <v>26237823.768871166</v>
      </c>
      <c r="AE862" s="311">
        <f t="shared" si="185"/>
        <v>33789200.142890111</v>
      </c>
      <c r="AF862" s="311">
        <f t="shared" si="185"/>
        <v>29183137.583843898</v>
      </c>
      <c r="AG862" s="311">
        <f t="shared" si="185"/>
        <v>33954543.142242603</v>
      </c>
      <c r="AH862" s="311">
        <f t="shared" si="185"/>
        <v>28483394.908934698</v>
      </c>
      <c r="AI862" s="311">
        <f t="shared" si="185"/>
        <v>27878776.156714324</v>
      </c>
      <c r="AJ862" s="311">
        <f t="shared" si="185"/>
        <v>26406892.229335312</v>
      </c>
      <c r="AK862" s="311">
        <f t="shared" si="185"/>
        <v>25603523.932557635</v>
      </c>
      <c r="AL862" s="311">
        <f t="shared" si="185"/>
        <v>21334273.16670746</v>
      </c>
      <c r="AM862" s="311">
        <f t="shared" si="185"/>
        <v>18845737.473045807</v>
      </c>
      <c r="AN862" s="311">
        <f t="shared" si="185"/>
        <v>15564515.019676592</v>
      </c>
      <c r="AO862" s="311">
        <f t="shared" si="185"/>
        <v>10666020.778061921</v>
      </c>
      <c r="AP862" s="311">
        <f t="shared" si="185"/>
        <v>11075490.176187368</v>
      </c>
      <c r="AQ862" s="311">
        <f t="shared" si="185"/>
        <v>17348385.575786237</v>
      </c>
      <c r="AR862" s="311">
        <f t="shared" si="185"/>
        <v>9436476.5483990554</v>
      </c>
      <c r="AS862" s="311">
        <f t="shared" si="185"/>
        <v>4057654.7550995396</v>
      </c>
      <c r="AT862" s="311">
        <f t="shared" si="185"/>
        <v>14631491.278668359</v>
      </c>
      <c r="AU862" s="311">
        <f t="shared" si="185"/>
        <v>22622706.087369252</v>
      </c>
      <c r="AV862" s="311">
        <f t="shared" si="185"/>
        <v>2251747.6716441037</v>
      </c>
      <c r="AW862" s="311">
        <f t="shared" si="185"/>
        <v>2217658.8272829587</v>
      </c>
      <c r="AX862" s="311">
        <f t="shared" si="185"/>
        <v>2213322.4244834394</v>
      </c>
      <c r="AY862" s="311">
        <f t="shared" si="185"/>
        <v>14222285.517524777</v>
      </c>
      <c r="AZ862" s="311">
        <f t="shared" si="185"/>
        <v>1488095.6128950473</v>
      </c>
      <c r="BA862" s="311">
        <f t="shared" si="185"/>
        <v>7894766.3892530883</v>
      </c>
      <c r="BB862" s="311">
        <f t="shared" si="185"/>
        <v>1132878.5857191253</v>
      </c>
      <c r="BC862" s="311">
        <f t="shared" si="185"/>
        <v>9508445.7834231574</v>
      </c>
      <c r="BD862" s="311">
        <f t="shared" si="185"/>
        <v>371740.92550406029</v>
      </c>
      <c r="BE862" s="311">
        <f t="shared" si="185"/>
        <v>1248716.6576397994</v>
      </c>
      <c r="BF862" s="311">
        <f t="shared" si="185"/>
        <v>1034076.9941243168</v>
      </c>
      <c r="BG862" s="311">
        <f t="shared" si="185"/>
        <v>818236.99409471767</v>
      </c>
      <c r="BH862" s="311">
        <f t="shared" si="185"/>
        <v>602997.16232217662</v>
      </c>
      <c r="BI862" s="311">
        <f t="shared" si="185"/>
        <v>333493.47809061926</v>
      </c>
      <c r="BJ862" s="311">
        <f t="shared" si="185"/>
        <v>226033.51495833331</v>
      </c>
      <c r="BK862" s="311">
        <f t="shared" si="185"/>
        <v>5851132.3353888886</v>
      </c>
    </row>
    <row r="863" spans="1:63">
      <c r="A863" s="167"/>
      <c r="B863" s="210" t="s">
        <v>28</v>
      </c>
      <c r="C863" s="211"/>
      <c r="D863" s="212"/>
      <c r="E863" s="212"/>
      <c r="F863" s="212"/>
      <c r="G863" s="212"/>
      <c r="H863" s="212"/>
      <c r="I863" s="212"/>
      <c r="J863" s="212"/>
      <c r="K863" s="212"/>
      <c r="L863" s="212"/>
      <c r="M863" s="212"/>
      <c r="N863" s="212"/>
      <c r="O863" s="212"/>
      <c r="P863" s="212"/>
      <c r="Q863" s="212"/>
      <c r="R863" s="212"/>
      <c r="S863" s="235"/>
      <c r="T863" s="235"/>
      <c r="U863" s="235"/>
      <c r="V863" s="235"/>
      <c r="W863" s="236"/>
      <c r="X863" s="236"/>
      <c r="Y863" s="236"/>
      <c r="Z863" s="236">
        <v>4878691.0090534575</v>
      </c>
      <c r="AA863" s="236">
        <v>18838613.338880796</v>
      </c>
      <c r="AB863" s="236">
        <v>18149528.985201679</v>
      </c>
      <c r="AC863" s="236">
        <v>20706431.891947452</v>
      </c>
      <c r="AD863" s="236">
        <v>13280491.618584329</v>
      </c>
      <c r="AE863" s="236">
        <v>21521438.830235135</v>
      </c>
      <c r="AF863" s="236">
        <v>17680751.511663802</v>
      </c>
      <c r="AG863" s="236">
        <v>23165548.787443813</v>
      </c>
      <c r="AH863" s="236">
        <v>18435458.115498602</v>
      </c>
      <c r="AI863" s="236">
        <v>18720166.378340591</v>
      </c>
      <c r="AJ863" s="236">
        <v>18299377.029962111</v>
      </c>
      <c r="AK863" s="236">
        <v>18179742.172668237</v>
      </c>
      <c r="AL863" s="236">
        <v>23562741.944516547</v>
      </c>
      <c r="AM863" s="236">
        <v>12732615.673703371</v>
      </c>
      <c r="AN863" s="236">
        <v>10250526.635556605</v>
      </c>
      <c r="AO863" s="236">
        <v>5536347.342980071</v>
      </c>
      <c r="AP863" s="236">
        <v>6216717.2470017327</v>
      </c>
      <c r="AQ863" s="236">
        <v>13039662.961522523</v>
      </c>
      <c r="AR863" s="236">
        <v>5641288.5418524593</v>
      </c>
      <c r="AS863" s="236">
        <v>402695.69273518369</v>
      </c>
      <c r="AT863" s="236">
        <v>11311469.431379994</v>
      </c>
      <c r="AU863" s="236">
        <v>20137951.697636493</v>
      </c>
      <c r="AV863" s="236">
        <v>246249.58250527116</v>
      </c>
      <c r="AW863" s="236">
        <v>222147.44338023127</v>
      </c>
      <c r="AX863" s="236">
        <v>221934.97993086703</v>
      </c>
      <c r="AY863" s="236">
        <v>12591472.692443062</v>
      </c>
      <c r="AZ863" s="236">
        <v>173316.62310559137</v>
      </c>
      <c r="BA863" s="236">
        <v>6738063.4426229512</v>
      </c>
      <c r="BB863" s="236">
        <v>108678.44262295082</v>
      </c>
      <c r="BC863" s="236">
        <v>8505899.4426229522</v>
      </c>
      <c r="BD863" s="236">
        <v>7356806.0426229518</v>
      </c>
      <c r="BE863" s="236">
        <v>108678.44262295082</v>
      </c>
      <c r="BF863" s="236">
        <v>108678.44262295082</v>
      </c>
      <c r="BG863" s="236">
        <v>108678.44262295082</v>
      </c>
      <c r="BH863" s="236">
        <v>108678.44262295082</v>
      </c>
      <c r="BI863" s="236">
        <v>54339.221311475412</v>
      </c>
      <c r="BJ863" s="236">
        <v>0</v>
      </c>
      <c r="BK863" s="236">
        <v>5745467</v>
      </c>
    </row>
    <row r="864" spans="1:63">
      <c r="A864" s="168">
        <v>45626</v>
      </c>
      <c r="B864" s="213" t="s">
        <v>385</v>
      </c>
      <c r="C864" s="214"/>
      <c r="D864" s="215"/>
      <c r="E864" s="215"/>
      <c r="F864" s="215"/>
      <c r="G864" s="215"/>
      <c r="H864" s="215"/>
      <c r="I864" s="215"/>
      <c r="J864" s="215"/>
      <c r="K864" s="215"/>
      <c r="L864" s="215"/>
      <c r="M864" s="215"/>
      <c r="N864" s="215"/>
      <c r="O864" s="215"/>
      <c r="P864" s="215"/>
      <c r="Q864" s="215"/>
      <c r="R864" s="216"/>
      <c r="S864" s="236"/>
      <c r="T864" s="236"/>
      <c r="U864" s="236"/>
      <c r="V864" s="236"/>
      <c r="W864" s="236"/>
      <c r="X864" s="236"/>
      <c r="Y864" s="236"/>
      <c r="Z864" s="236">
        <v>1154292.089074868</v>
      </c>
      <c r="AA864" s="236">
        <v>16739226.722193113</v>
      </c>
      <c r="AB864" s="236">
        <v>15708762.175806973</v>
      </c>
      <c r="AC864" s="236">
        <v>14912411.594762588</v>
      </c>
      <c r="AD864" s="236">
        <v>14200681.064578855</v>
      </c>
      <c r="AE864" s="236">
        <v>13530848.855582332</v>
      </c>
      <c r="AF864" s="236">
        <v>12763727.103389416</v>
      </c>
      <c r="AG864" s="236">
        <v>12064094.848853726</v>
      </c>
      <c r="AH864" s="236">
        <v>11332110.543648029</v>
      </c>
      <c r="AI864" s="236">
        <v>10445791.792035684</v>
      </c>
      <c r="AJ864" s="236">
        <v>9407244.3828694951</v>
      </c>
      <c r="AK864" s="236">
        <v>8689483.4570390992</v>
      </c>
      <c r="AL864" s="236">
        <v>7749800.6832687492</v>
      </c>
      <c r="AM864" s="236">
        <v>6728502.0845145229</v>
      </c>
      <c r="AN864" s="236">
        <v>5933572.9317973852</v>
      </c>
      <c r="AO864" s="236">
        <v>5743980.8882583613</v>
      </c>
      <c r="AP864" s="236">
        <v>5477043.8445762899</v>
      </c>
      <c r="AQ864" s="236">
        <v>4937389.4460054757</v>
      </c>
      <c r="AR864" s="236">
        <v>4413745.8252204424</v>
      </c>
      <c r="AS864" s="236">
        <v>4268188.0496327132</v>
      </c>
      <c r="AT864" s="236">
        <v>3950130.2892169291</v>
      </c>
      <c r="AU864" s="236">
        <v>3124649.770408331</v>
      </c>
      <c r="AV864" s="236">
        <v>2617450.5869320007</v>
      </c>
      <c r="AW864" s="236">
        <v>2607761.029663533</v>
      </c>
      <c r="AX864" s="236">
        <v>2605652.1229540608</v>
      </c>
      <c r="AY864" s="236">
        <v>2260423.1899775104</v>
      </c>
      <c r="AZ864" s="236">
        <v>1928089.2672875249</v>
      </c>
      <c r="BA864" s="236">
        <v>1780884.320458269</v>
      </c>
      <c r="BB864" s="236">
        <v>1640942.4695178079</v>
      </c>
      <c r="BC864" s="236">
        <v>1629513.5443108985</v>
      </c>
      <c r="BD864" s="236">
        <v>877611.66848990263</v>
      </c>
      <c r="BE864" s="236">
        <v>1141772.5987229049</v>
      </c>
      <c r="BF864" s="236">
        <v>926834.81510724034</v>
      </c>
      <c r="BG864" s="236">
        <v>710695.02779052826</v>
      </c>
      <c r="BH864" s="236">
        <v>495156.24232433963</v>
      </c>
      <c r="BI864" s="236">
        <v>279617.45685815118</v>
      </c>
      <c r="BJ864" s="236">
        <v>226347.46035416666</v>
      </c>
      <c r="BK864" s="236">
        <v>113792.16586111111</v>
      </c>
    </row>
    <row r="865" spans="1:63">
      <c r="A865" s="169"/>
      <c r="B865" s="307" t="s">
        <v>29</v>
      </c>
      <c r="C865" s="313"/>
      <c r="D865" s="314"/>
      <c r="E865" s="314"/>
      <c r="F865" s="314"/>
      <c r="G865" s="314"/>
      <c r="H865" s="314"/>
      <c r="I865" s="314"/>
      <c r="J865" s="314"/>
      <c r="K865" s="314"/>
      <c r="L865" s="314"/>
      <c r="M865" s="314"/>
      <c r="N865" s="314"/>
      <c r="O865" s="314"/>
      <c r="P865" s="314"/>
      <c r="Q865" s="314"/>
      <c r="R865" s="314"/>
      <c r="S865" s="311"/>
      <c r="T865" s="311"/>
      <c r="U865" s="311"/>
      <c r="V865" s="311"/>
      <c r="W865" s="311"/>
      <c r="X865" s="311"/>
      <c r="Y865" s="311"/>
      <c r="Z865" s="311">
        <f t="shared" ref="Z865:BK865" si="186">Z863+Z864</f>
        <v>6032983.0981283253</v>
      </c>
      <c r="AA865" s="311">
        <f t="shared" si="186"/>
        <v>35577840.061073907</v>
      </c>
      <c r="AB865" s="311">
        <f t="shared" si="186"/>
        <v>33858291.161008656</v>
      </c>
      <c r="AC865" s="311">
        <f t="shared" si="186"/>
        <v>35618843.486710042</v>
      </c>
      <c r="AD865" s="311">
        <f t="shared" si="186"/>
        <v>27481172.683163185</v>
      </c>
      <c r="AE865" s="311">
        <f t="shared" si="186"/>
        <v>35052287.685817465</v>
      </c>
      <c r="AF865" s="311">
        <f t="shared" si="186"/>
        <v>30444478.615053218</v>
      </c>
      <c r="AG865" s="311">
        <f t="shared" si="186"/>
        <v>35229643.636297539</v>
      </c>
      <c r="AH865" s="311">
        <f t="shared" si="186"/>
        <v>29767568.659146629</v>
      </c>
      <c r="AI865" s="311">
        <f t="shared" si="186"/>
        <v>29165958.170376275</v>
      </c>
      <c r="AJ865" s="311">
        <f t="shared" si="186"/>
        <v>27706621.412831604</v>
      </c>
      <c r="AK865" s="311">
        <f t="shared" si="186"/>
        <v>26869225.629707336</v>
      </c>
      <c r="AL865" s="311">
        <f t="shared" si="186"/>
        <v>31312542.627785295</v>
      </c>
      <c r="AM865" s="311">
        <f t="shared" si="186"/>
        <v>19461117.758217894</v>
      </c>
      <c r="AN865" s="311">
        <f t="shared" si="186"/>
        <v>16184099.56735399</v>
      </c>
      <c r="AO865" s="311">
        <f t="shared" si="186"/>
        <v>11280328.231238432</v>
      </c>
      <c r="AP865" s="311">
        <f t="shared" si="186"/>
        <v>11693761.091578022</v>
      </c>
      <c r="AQ865" s="311">
        <f t="shared" si="186"/>
        <v>17977052.407527998</v>
      </c>
      <c r="AR865" s="311">
        <f t="shared" si="186"/>
        <v>10055034.367072903</v>
      </c>
      <c r="AS865" s="311">
        <f t="shared" si="186"/>
        <v>4670883.7423678972</v>
      </c>
      <c r="AT865" s="311">
        <f t="shared" si="186"/>
        <v>15261599.720596924</v>
      </c>
      <c r="AU865" s="311">
        <f t="shared" si="186"/>
        <v>23262601.468044825</v>
      </c>
      <c r="AV865" s="311">
        <f t="shared" si="186"/>
        <v>2863700.169437272</v>
      </c>
      <c r="AW865" s="311">
        <f t="shared" si="186"/>
        <v>2829908.473043764</v>
      </c>
      <c r="AX865" s="311">
        <f t="shared" si="186"/>
        <v>2827587.1028849278</v>
      </c>
      <c r="AY865" s="311">
        <f t="shared" si="186"/>
        <v>14851895.882420572</v>
      </c>
      <c r="AZ865" s="311">
        <f t="shared" si="186"/>
        <v>2101405.890393116</v>
      </c>
      <c r="BA865" s="311">
        <f t="shared" si="186"/>
        <v>8518947.7630812209</v>
      </c>
      <c r="BB865" s="311">
        <f t="shared" si="186"/>
        <v>1749620.9121407587</v>
      </c>
      <c r="BC865" s="311">
        <f t="shared" si="186"/>
        <v>10135412.98693385</v>
      </c>
      <c r="BD865" s="311">
        <f t="shared" si="186"/>
        <v>8234417.7111128541</v>
      </c>
      <c r="BE865" s="311">
        <f t="shared" si="186"/>
        <v>1250451.0413458557</v>
      </c>
      <c r="BF865" s="311">
        <f t="shared" si="186"/>
        <v>1035513.2577301911</v>
      </c>
      <c r="BG865" s="311">
        <f t="shared" si="186"/>
        <v>819373.47041347902</v>
      </c>
      <c r="BH865" s="311">
        <f t="shared" si="186"/>
        <v>603834.68494729046</v>
      </c>
      <c r="BI865" s="311">
        <f t="shared" si="186"/>
        <v>333956.67816962663</v>
      </c>
      <c r="BJ865" s="311">
        <f t="shared" si="186"/>
        <v>226347.46035416666</v>
      </c>
      <c r="BK865" s="311">
        <f t="shared" si="186"/>
        <v>5859259.1658611111</v>
      </c>
    </row>
    <row r="866" spans="1:63">
      <c r="A866" s="167"/>
      <c r="B866" s="210" t="s">
        <v>28</v>
      </c>
      <c r="C866" s="211"/>
      <c r="D866" s="212"/>
      <c r="E866" s="212"/>
      <c r="F866" s="212"/>
      <c r="G866" s="212"/>
      <c r="H866" s="212"/>
      <c r="I866" s="212"/>
      <c r="J866" s="212"/>
      <c r="K866" s="212"/>
      <c r="L866" s="212"/>
      <c r="M866" s="212"/>
      <c r="N866" s="212"/>
      <c r="O866" s="212"/>
      <c r="P866" s="212"/>
      <c r="Q866" s="212"/>
      <c r="R866" s="212"/>
      <c r="S866" s="235"/>
      <c r="T866" s="235"/>
      <c r="U866" s="235"/>
      <c r="V866" s="235"/>
      <c r="W866" s="236"/>
      <c r="X866" s="236"/>
      <c r="Y866" s="236"/>
      <c r="Z866" s="236"/>
      <c r="AA866" s="236">
        <v>20501323.811367717</v>
      </c>
      <c r="AB866" s="236">
        <v>17960100.618875228</v>
      </c>
      <c r="AC866" s="236">
        <v>20634175.773470312</v>
      </c>
      <c r="AD866" s="236">
        <v>13217021.441621844</v>
      </c>
      <c r="AE866" s="236">
        <v>21447937.380099177</v>
      </c>
      <c r="AF866" s="236">
        <v>19187042.513885368</v>
      </c>
      <c r="AG866" s="236">
        <v>23124355.988430232</v>
      </c>
      <c r="AH866" s="236">
        <v>18375765.319380421</v>
      </c>
      <c r="AI866" s="236">
        <v>18666032.722301178</v>
      </c>
      <c r="AJ866" s="236">
        <v>18246026.1937957</v>
      </c>
      <c r="AK866" s="236">
        <v>18068194.484465666</v>
      </c>
      <c r="AL866" s="236">
        <v>23381649.875141442</v>
      </c>
      <c r="AM866" s="236">
        <v>12696322.321876287</v>
      </c>
      <c r="AN866" s="236">
        <v>10224728.437527904</v>
      </c>
      <c r="AO866" s="236">
        <v>5521685.0267445948</v>
      </c>
      <c r="AP866" s="236">
        <v>6199834.4831966907</v>
      </c>
      <c r="AQ866" s="236">
        <v>13067371.629007278</v>
      </c>
      <c r="AR866" s="236">
        <v>5626520.8833113685</v>
      </c>
      <c r="AS866" s="236">
        <v>400302.69097102969</v>
      </c>
      <c r="AT866" s="236">
        <v>11283132.394504581</v>
      </c>
      <c r="AU866" s="236">
        <v>20088586.785734978</v>
      </c>
      <c r="AV866" s="236">
        <v>243744.40145740288</v>
      </c>
      <c r="AW866" s="236">
        <v>219699.19664809489</v>
      </c>
      <c r="AX866" s="236">
        <v>219487.23508203006</v>
      </c>
      <c r="AY866" s="236">
        <v>12559805.50105764</v>
      </c>
      <c r="AZ866" s="236">
        <v>171726.43839116572</v>
      </c>
      <c r="BA866" s="236">
        <v>6722146.7213114752</v>
      </c>
      <c r="BB866" s="236">
        <v>108421.7213114754</v>
      </c>
      <c r="BC866" s="236">
        <v>8485806.7213114742</v>
      </c>
      <c r="BD866" s="236">
        <v>7339427.7213114752</v>
      </c>
      <c r="BE866" s="236">
        <v>108421.7213114754</v>
      </c>
      <c r="BF866" s="236">
        <v>108421.7213114754</v>
      </c>
      <c r="BG866" s="236">
        <v>108421.7213114754</v>
      </c>
      <c r="BH866" s="236">
        <v>108421.7213114754</v>
      </c>
      <c r="BI866" s="236">
        <v>54210.860655737699</v>
      </c>
      <c r="BJ866" s="236">
        <v>0</v>
      </c>
      <c r="BK866" s="236">
        <v>5731894.9999999991</v>
      </c>
    </row>
    <row r="867" spans="1:63">
      <c r="A867" s="168">
        <v>45657</v>
      </c>
      <c r="B867" s="213" t="s">
        <v>385</v>
      </c>
      <c r="C867" s="214"/>
      <c r="D867" s="215"/>
      <c r="E867" s="215"/>
      <c r="F867" s="215"/>
      <c r="G867" s="215"/>
      <c r="H867" s="215"/>
      <c r="I867" s="215"/>
      <c r="J867" s="215"/>
      <c r="K867" s="215"/>
      <c r="L867" s="215"/>
      <c r="M867" s="215"/>
      <c r="N867" s="215"/>
      <c r="O867" s="215"/>
      <c r="P867" s="215"/>
      <c r="Q867" s="215"/>
      <c r="R867" s="216"/>
      <c r="S867" s="236"/>
      <c r="T867" s="236"/>
      <c r="U867" s="236"/>
      <c r="V867" s="236"/>
      <c r="W867" s="236"/>
      <c r="X867" s="236"/>
      <c r="Y867" s="236"/>
      <c r="Z867" s="236"/>
      <c r="AA867" s="236">
        <v>16790091.583929114</v>
      </c>
      <c r="AB867" s="236">
        <v>15653194.822356625</v>
      </c>
      <c r="AC867" s="236">
        <v>14883834.971940974</v>
      </c>
      <c r="AD867" s="236">
        <v>14172000.828609528</v>
      </c>
      <c r="AE867" s="236">
        <v>13510027.331999365</v>
      </c>
      <c r="AF867" s="236">
        <v>12727605.138876844</v>
      </c>
      <c r="AG867" s="236">
        <v>11969083.166874317</v>
      </c>
      <c r="AH867" s="236">
        <v>11237820.397774464</v>
      </c>
      <c r="AI867" s="236">
        <v>10357123.196705304</v>
      </c>
      <c r="AJ867" s="236">
        <v>9325387.7604841162</v>
      </c>
      <c r="AK867" s="236">
        <v>8614698.1106843352</v>
      </c>
      <c r="AL867" s="236">
        <v>7684495.3835451053</v>
      </c>
      <c r="AM867" s="236">
        <v>6672983.1146452297</v>
      </c>
      <c r="AN867" s="236">
        <v>5887499.7301184814</v>
      </c>
      <c r="AO867" s="236">
        <v>5706135.6113937041</v>
      </c>
      <c r="AP867" s="236">
        <v>5447864.9658919154</v>
      </c>
      <c r="AQ867" s="236">
        <v>4915699.3904800303</v>
      </c>
      <c r="AR867" s="236">
        <v>4397408.9676321298</v>
      </c>
      <c r="AS867" s="236">
        <v>4253940.7927491385</v>
      </c>
      <c r="AT867" s="236">
        <v>3937022.2584771514</v>
      </c>
      <c r="AU867" s="236">
        <v>3113784.1734583471</v>
      </c>
      <c r="AV867" s="236">
        <v>2608063.4057268389</v>
      </c>
      <c r="AW867" s="236">
        <v>2598676.9822694184</v>
      </c>
      <c r="AX867" s="236">
        <v>2596845.2882925333</v>
      </c>
      <c r="AY867" s="236">
        <v>2252718.6393076852</v>
      </c>
      <c r="AZ867" s="236">
        <v>1921434.2106570581</v>
      </c>
      <c r="BA867" s="236">
        <v>1774812.6777075944</v>
      </c>
      <c r="BB867" s="236">
        <v>1635422.765975903</v>
      </c>
      <c r="BC867" s="236">
        <v>1624251.6507524122</v>
      </c>
      <c r="BD867" s="236">
        <v>874352.02819863474</v>
      </c>
      <c r="BE867" s="236">
        <v>1139075.4919933972</v>
      </c>
      <c r="BF867" s="236">
        <v>924645.43657445314</v>
      </c>
      <c r="BG867" s="236">
        <v>709016.21683970839</v>
      </c>
      <c r="BH867" s="236">
        <v>493986.57926286414</v>
      </c>
      <c r="BI867" s="236">
        <v>278956.94168601983</v>
      </c>
      <c r="BJ867" s="236">
        <v>225812.78010416662</v>
      </c>
      <c r="BK867" s="236">
        <v>113523.3648611111</v>
      </c>
    </row>
    <row r="868" spans="1:63">
      <c r="A868" s="169"/>
      <c r="B868" s="307" t="s">
        <v>29</v>
      </c>
      <c r="C868" s="313"/>
      <c r="D868" s="314"/>
      <c r="E868" s="314"/>
      <c r="F868" s="314"/>
      <c r="G868" s="314"/>
      <c r="H868" s="314"/>
      <c r="I868" s="314"/>
      <c r="J868" s="314"/>
      <c r="K868" s="314"/>
      <c r="L868" s="314"/>
      <c r="M868" s="314"/>
      <c r="N868" s="314"/>
      <c r="O868" s="314"/>
      <c r="P868" s="314"/>
      <c r="Q868" s="314"/>
      <c r="R868" s="314"/>
      <c r="S868" s="311"/>
      <c r="T868" s="311"/>
      <c r="U868" s="311"/>
      <c r="V868" s="311"/>
      <c r="W868" s="311"/>
      <c r="X868" s="311"/>
      <c r="Y868" s="311"/>
      <c r="Z868" s="311"/>
      <c r="AA868" s="311">
        <f t="shared" ref="AA868:BK868" si="187">AA866+AA867</f>
        <v>37291415.395296827</v>
      </c>
      <c r="AB868" s="311">
        <f t="shared" si="187"/>
        <v>33613295.441231854</v>
      </c>
      <c r="AC868" s="311">
        <f t="shared" si="187"/>
        <v>35518010.745411284</v>
      </c>
      <c r="AD868" s="311">
        <f t="shared" si="187"/>
        <v>27389022.270231374</v>
      </c>
      <c r="AE868" s="311">
        <f t="shared" si="187"/>
        <v>34957964.712098539</v>
      </c>
      <c r="AF868" s="311">
        <f t="shared" si="187"/>
        <v>31914647.652762212</v>
      </c>
      <c r="AG868" s="311">
        <f t="shared" si="187"/>
        <v>35093439.155304551</v>
      </c>
      <c r="AH868" s="311">
        <f t="shared" si="187"/>
        <v>29613585.717154883</v>
      </c>
      <c r="AI868" s="311">
        <f t="shared" si="187"/>
        <v>29023155.919006482</v>
      </c>
      <c r="AJ868" s="311">
        <f t="shared" si="187"/>
        <v>27571413.954279818</v>
      </c>
      <c r="AK868" s="311">
        <f t="shared" si="187"/>
        <v>26682892.595150001</v>
      </c>
      <c r="AL868" s="311">
        <f t="shared" si="187"/>
        <v>31066145.258686546</v>
      </c>
      <c r="AM868" s="311">
        <f t="shared" si="187"/>
        <v>19369305.436521515</v>
      </c>
      <c r="AN868" s="311">
        <f t="shared" si="187"/>
        <v>16112228.167646386</v>
      </c>
      <c r="AO868" s="311">
        <f t="shared" si="187"/>
        <v>11227820.638138298</v>
      </c>
      <c r="AP868" s="311">
        <f t="shared" si="187"/>
        <v>11647699.449088607</v>
      </c>
      <c r="AQ868" s="311">
        <f t="shared" si="187"/>
        <v>17983071.019487306</v>
      </c>
      <c r="AR868" s="311">
        <f t="shared" si="187"/>
        <v>10023929.850943498</v>
      </c>
      <c r="AS868" s="311">
        <f t="shared" si="187"/>
        <v>4654243.4837201685</v>
      </c>
      <c r="AT868" s="311">
        <f t="shared" si="187"/>
        <v>15220154.652981732</v>
      </c>
      <c r="AU868" s="311">
        <f t="shared" si="187"/>
        <v>23202370.959193327</v>
      </c>
      <c r="AV868" s="311">
        <f t="shared" si="187"/>
        <v>2851807.8071842417</v>
      </c>
      <c r="AW868" s="311">
        <f t="shared" si="187"/>
        <v>2818376.1789175132</v>
      </c>
      <c r="AX868" s="311">
        <f t="shared" si="187"/>
        <v>2816332.5233745631</v>
      </c>
      <c r="AY868" s="311">
        <f t="shared" si="187"/>
        <v>14812524.140365325</v>
      </c>
      <c r="AZ868" s="311">
        <f t="shared" si="187"/>
        <v>2093160.6490482239</v>
      </c>
      <c r="BA868" s="311">
        <f t="shared" si="187"/>
        <v>8496959.39901907</v>
      </c>
      <c r="BB868" s="311">
        <f t="shared" si="187"/>
        <v>1743844.4872873784</v>
      </c>
      <c r="BC868" s="311">
        <f t="shared" si="187"/>
        <v>10110058.372063886</v>
      </c>
      <c r="BD868" s="311">
        <f t="shared" si="187"/>
        <v>8213779.7495101094</v>
      </c>
      <c r="BE868" s="311">
        <f t="shared" si="187"/>
        <v>1247497.2133048726</v>
      </c>
      <c r="BF868" s="311">
        <f t="shared" si="187"/>
        <v>1033067.1578859285</v>
      </c>
      <c r="BG868" s="311">
        <f t="shared" si="187"/>
        <v>817437.93815118377</v>
      </c>
      <c r="BH868" s="311">
        <f t="shared" si="187"/>
        <v>602408.30057433958</v>
      </c>
      <c r="BI868" s="311">
        <f t="shared" si="187"/>
        <v>333167.80234175752</v>
      </c>
      <c r="BJ868" s="311">
        <f t="shared" si="187"/>
        <v>225812.78010416662</v>
      </c>
      <c r="BK868" s="311">
        <f t="shared" si="187"/>
        <v>5845418.3648611102</v>
      </c>
    </row>
    <row r="65509" spans="4:32">
      <c r="T65509" s="164"/>
      <c r="U65509" s="164"/>
      <c r="V65509" s="164"/>
      <c r="W65509" s="164"/>
      <c r="X65509" s="164"/>
      <c r="Y65509" s="164"/>
      <c r="Z65509" s="164"/>
      <c r="AA65509" s="162"/>
      <c r="AB65509" s="162"/>
      <c r="AC65509" s="162"/>
      <c r="AD65509" s="162"/>
      <c r="AE65509" s="162"/>
      <c r="AF65509" s="162"/>
    </row>
    <row r="65511" spans="4:32">
      <c r="D65511" s="163"/>
      <c r="E65511" s="163"/>
      <c r="F65511" s="163"/>
      <c r="G65511" s="163"/>
      <c r="H65511" s="163"/>
      <c r="I65511" s="163"/>
      <c r="J65511" s="163"/>
      <c r="K65511" s="163"/>
      <c r="L65511" s="163"/>
      <c r="M65511" s="163"/>
      <c r="N65511" s="163"/>
      <c r="O65511" s="164"/>
      <c r="P65511" s="164"/>
      <c r="Q65511" s="164"/>
      <c r="R65511" s="164"/>
      <c r="S65511" s="164"/>
    </row>
    <row r="65513" spans="4:32">
      <c r="T65513" s="238"/>
      <c r="U65513" s="238"/>
      <c r="V65513" s="238"/>
      <c r="W65513" s="238"/>
      <c r="X65513" s="238"/>
      <c r="Y65513" s="238"/>
      <c r="Z65513" s="238"/>
      <c r="AA65513" s="239"/>
      <c r="AB65513" s="239"/>
      <c r="AC65513" s="239"/>
      <c r="AD65513" s="239"/>
      <c r="AE65513" s="239"/>
      <c r="AF65513" s="239"/>
    </row>
    <row r="65515" spans="4:32">
      <c r="D65515" s="237"/>
      <c r="E65515" s="237"/>
      <c r="F65515" s="237"/>
      <c r="G65515" s="237"/>
      <c r="H65515" s="237"/>
      <c r="I65515" s="237"/>
      <c r="J65515" s="237"/>
      <c r="K65515" s="237"/>
      <c r="L65515" s="237"/>
      <c r="M65515" s="237"/>
      <c r="N65515" s="237"/>
      <c r="O65515" s="238"/>
      <c r="P65515" s="238"/>
      <c r="Q65515" s="238"/>
      <c r="R65515" s="238"/>
      <c r="S65515" s="238"/>
    </row>
  </sheetData>
  <phoneticPr fontId="15" type="noConversion"/>
  <pageMargins left="0.23622047244094491" right="0.23622047244094491" top="0.74803149606299213" bottom="0.74803149606299213" header="0.31496062992125984" footer="0.31496062992125984"/>
  <pageSetup scale="30" fitToHeight="99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Drop Down 1">
              <controlPr defaultSize="0" print="0" autoLine="0" autoPict="0">
                <anchor>
                  <from>
                    <xdr:col>1</xdr:col>
                    <xdr:colOff>495300</xdr:colOff>
                    <xdr:row>1</xdr:row>
                    <xdr:rowOff>219075</xdr:rowOff>
                  </from>
                  <to>
                    <xdr:col>1</xdr:col>
                    <xdr:colOff>5514975</xdr:colOff>
                    <xdr:row>2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32F7-D655-4502-88D8-7D0505C8D37A}">
  <sheetPr codeName="Hoja15">
    <tabColor rgb="FFB48C41"/>
    <pageSetUpPr fitToPage="1"/>
  </sheetPr>
  <dimension ref="A1:BK870"/>
  <sheetViews>
    <sheetView showGridLines="0" zoomScale="70" zoomScaleNormal="70" zoomScaleSheetLayoutView="115" workbookViewId="0">
      <pane xSplit="2" ySplit="21" topLeftCell="AJ841" activePane="bottomRight" state="frozen"/>
      <selection activeCell="A293" sqref="A293:IV294"/>
      <selection pane="topRight" activeCell="A293" sqref="A293:IV294"/>
      <selection pane="bottomLeft" activeCell="A293" sqref="A293:IV294"/>
      <selection pane="bottomRight" activeCell="AA870" sqref="AA870:BK870"/>
    </sheetView>
  </sheetViews>
  <sheetFormatPr baseColWidth="10" defaultColWidth="11.42578125" defaultRowHeight="12.75"/>
  <cols>
    <col min="1" max="1" width="14.7109375" style="172" customWidth="1"/>
    <col min="2" max="2" width="26.42578125" style="80" customWidth="1"/>
    <col min="3" max="3" width="18.42578125" style="91" customWidth="1"/>
    <col min="4" max="20" width="13.7109375" style="91" bestFit="1" customWidth="1"/>
    <col min="21" max="23" width="14.7109375" style="91" bestFit="1" customWidth="1"/>
    <col min="24" max="24" width="15.7109375" style="91" bestFit="1" customWidth="1"/>
    <col min="25" max="26" width="13.7109375" style="91" bestFit="1" customWidth="1"/>
    <col min="27" max="27" width="13.7109375" style="91" customWidth="1"/>
    <col min="28" max="29" width="13.7109375" style="91" bestFit="1" customWidth="1"/>
    <col min="30" max="30" width="14.7109375" style="91" customWidth="1"/>
    <col min="31" max="31" width="12.7109375" style="91" bestFit="1" customWidth="1"/>
    <col min="32" max="32" width="13.7109375" style="91" bestFit="1" customWidth="1"/>
    <col min="33" max="33" width="12.7109375" style="91" bestFit="1" customWidth="1"/>
    <col min="34" max="34" width="13.7109375" style="91" bestFit="1" customWidth="1"/>
    <col min="35" max="35" width="13.7109375" style="91" customWidth="1"/>
    <col min="36" max="36" width="12.7109375" style="91" bestFit="1" customWidth="1"/>
    <col min="37" max="37" width="13.7109375" style="91" bestFit="1" customWidth="1"/>
    <col min="38" max="46" width="12.7109375" style="80" bestFit="1" customWidth="1"/>
    <col min="47" max="47" width="13.7109375" style="80" bestFit="1" customWidth="1"/>
    <col min="48" max="50" width="11.42578125" style="80"/>
    <col min="51" max="51" width="12" style="80" bestFit="1" customWidth="1"/>
    <col min="52" max="52" width="13" style="80" customWidth="1"/>
    <col min="53" max="16384" width="11.42578125" style="80"/>
  </cols>
  <sheetData>
    <row r="1" spans="1:37" s="110" customFormat="1" ht="12.75" customHeight="1">
      <c r="A1" s="116"/>
    </row>
    <row r="2" spans="1:37" s="110" customFormat="1" ht="12.75" customHeight="1">
      <c r="A2" s="173"/>
    </row>
    <row r="3" spans="1:37" s="110" customFormat="1" ht="12.75" customHeight="1">
      <c r="A3" s="173"/>
    </row>
    <row r="4" spans="1:37" s="110" customFormat="1" ht="12.75" customHeight="1">
      <c r="A4" s="173"/>
    </row>
    <row r="5" spans="1:37" s="110" customFormat="1" ht="12.75" customHeight="1">
      <c r="A5" s="126"/>
    </row>
    <row r="6" spans="1:37" ht="12.75" customHeight="1">
      <c r="A6" s="12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</row>
    <row r="7" spans="1:37" ht="30" customHeight="1">
      <c r="A7" s="12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</row>
    <row r="8" spans="1:37" ht="12.75" customHeight="1">
      <c r="A8" s="127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</row>
    <row r="9" spans="1:37" ht="12.75" customHeight="1">
      <c r="A9" s="127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</row>
    <row r="10" spans="1:37" ht="12.75" customHeight="1">
      <c r="A10" s="127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</row>
    <row r="11" spans="1:37" ht="12.75" customHeight="1">
      <c r="A11" s="127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</row>
    <row r="12" spans="1:37" ht="12.75" customHeight="1">
      <c r="A12" s="127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</row>
    <row r="13" spans="1:37" ht="12.75" customHeight="1">
      <c r="A13" s="127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</row>
    <row r="14" spans="1:37" ht="12.75" customHeight="1">
      <c r="A14" s="127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</row>
    <row r="15" spans="1:37" ht="12.75" customHeight="1">
      <c r="A15" s="127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2.75" customHeight="1">
      <c r="A16" s="127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</row>
    <row r="17" spans="1:63" ht="12.75" customHeight="1">
      <c r="A17" s="127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</row>
    <row r="18" spans="1:63" ht="12.75" customHeight="1">
      <c r="A18" s="127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</row>
    <row r="19" spans="1:63" s="134" customFormat="1" ht="15">
      <c r="A19" s="316"/>
      <c r="B19" s="317"/>
      <c r="C19" s="290" t="str">
        <f>Servicio_totalSección_título_etiqueta</f>
        <v>Perfil de vencimientos - deuda total</v>
      </c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</row>
    <row r="20" spans="1:63" s="134" customFormat="1" ht="15">
      <c r="A20" s="316"/>
      <c r="B20" s="317"/>
      <c r="C20" s="290" t="str">
        <f>Servicio_totalSección_subtítulo_etiqueta</f>
        <v xml:space="preserve">(COP millones) </v>
      </c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</row>
    <row r="21" spans="1:63">
      <c r="A21" s="192" t="str">
        <f>Indice_PrincipalFecha_corte_etiqueta</f>
        <v>Fecha corte</v>
      </c>
      <c r="B21" s="208" t="str">
        <f>Servicio_internaFechas_etiqueta</f>
        <v>Período de servicio</v>
      </c>
      <c r="C21" s="192">
        <v>2001</v>
      </c>
      <c r="D21" s="192">
        <v>2002</v>
      </c>
      <c r="E21" s="192">
        <v>2003</v>
      </c>
      <c r="F21" s="209">
        <v>2004</v>
      </c>
      <c r="G21" s="209">
        <v>2005</v>
      </c>
      <c r="H21" s="209">
        <v>2006</v>
      </c>
      <c r="I21" s="209">
        <v>2007</v>
      </c>
      <c r="J21" s="209">
        <v>2008</v>
      </c>
      <c r="K21" s="209">
        <v>2009</v>
      </c>
      <c r="L21" s="209">
        <v>2010</v>
      </c>
      <c r="M21" s="209">
        <v>2011</v>
      </c>
      <c r="N21" s="209">
        <v>2012</v>
      </c>
      <c r="O21" s="209">
        <v>2013</v>
      </c>
      <c r="P21" s="209">
        <v>2014</v>
      </c>
      <c r="Q21" s="209">
        <v>2015</v>
      </c>
      <c r="R21" s="209">
        <v>2016</v>
      </c>
      <c r="S21" s="209">
        <v>2017</v>
      </c>
      <c r="T21" s="209">
        <v>2018</v>
      </c>
      <c r="U21" s="209">
        <v>2019</v>
      </c>
      <c r="V21" s="209">
        <v>2020</v>
      </c>
      <c r="W21" s="209">
        <v>2021</v>
      </c>
      <c r="X21" s="209">
        <v>2022</v>
      </c>
      <c r="Y21" s="209">
        <v>2023</v>
      </c>
      <c r="Z21" s="209">
        <v>2024</v>
      </c>
      <c r="AA21" s="209">
        <v>2025</v>
      </c>
      <c r="AB21" s="209">
        <v>2026</v>
      </c>
      <c r="AC21" s="209">
        <v>2027</v>
      </c>
      <c r="AD21" s="209">
        <v>2028</v>
      </c>
      <c r="AE21" s="209">
        <v>2029</v>
      </c>
      <c r="AF21" s="209">
        <v>2030</v>
      </c>
      <c r="AG21" s="209">
        <v>2031</v>
      </c>
      <c r="AH21" s="209">
        <v>2032</v>
      </c>
      <c r="AI21" s="209">
        <v>2033</v>
      </c>
      <c r="AJ21" s="209">
        <v>2034</v>
      </c>
      <c r="AK21" s="209">
        <v>2035</v>
      </c>
      <c r="AL21" s="209">
        <v>2036</v>
      </c>
      <c r="AM21" s="209">
        <v>2037</v>
      </c>
      <c r="AN21" s="209">
        <v>2038</v>
      </c>
      <c r="AO21" s="209">
        <v>2039</v>
      </c>
      <c r="AP21" s="209">
        <v>2040</v>
      </c>
      <c r="AQ21" s="209">
        <v>2041</v>
      </c>
      <c r="AR21" s="209">
        <v>2042</v>
      </c>
      <c r="AS21" s="209">
        <v>2043</v>
      </c>
      <c r="AT21" s="209">
        <v>2044</v>
      </c>
      <c r="AU21" s="209">
        <v>2045</v>
      </c>
      <c r="AV21" s="209">
        <v>2046</v>
      </c>
      <c r="AW21" s="209">
        <v>2047</v>
      </c>
      <c r="AX21" s="209">
        <v>2048</v>
      </c>
      <c r="AY21" s="209">
        <v>2049</v>
      </c>
      <c r="AZ21" s="209">
        <v>2050</v>
      </c>
      <c r="BA21" s="209">
        <v>2051</v>
      </c>
      <c r="BB21" s="209">
        <v>2052</v>
      </c>
      <c r="BC21" s="209">
        <v>2053</v>
      </c>
      <c r="BD21" s="209">
        <v>2054</v>
      </c>
      <c r="BE21" s="209">
        <v>2055</v>
      </c>
      <c r="BF21" s="209">
        <v>2056</v>
      </c>
      <c r="BG21" s="209">
        <v>2057</v>
      </c>
      <c r="BH21" s="209">
        <v>2058</v>
      </c>
      <c r="BI21" s="209">
        <v>2059</v>
      </c>
      <c r="BJ21" s="209">
        <v>2060</v>
      </c>
      <c r="BK21" s="209">
        <v>2061</v>
      </c>
    </row>
    <row r="22" spans="1:63">
      <c r="A22" s="167"/>
      <c r="B22" s="217" t="str">
        <f>Servicio_internaColumna_título_amortizaciones</f>
        <v>Amortizaciones</v>
      </c>
      <c r="C22" s="218">
        <f>'Perfil - interna'!C22</f>
        <v>2748174.736280588</v>
      </c>
      <c r="D22" s="219">
        <f>'Perfil - interna'!D22</f>
        <v>6197975.097804063</v>
      </c>
      <c r="E22" s="219">
        <f>'Perfil - interna'!E22</f>
        <v>2441504.2517832862</v>
      </c>
      <c r="F22" s="219">
        <f>'Perfil - interna'!F22</f>
        <v>3732266.9121997417</v>
      </c>
      <c r="G22" s="219">
        <f>'Perfil - interna'!G22</f>
        <v>2871763.2840647278</v>
      </c>
      <c r="H22" s="219">
        <f>'Perfil - interna'!H22</f>
        <v>3347844.1626535174</v>
      </c>
      <c r="I22" s="219">
        <f>'Perfil - interna'!I22</f>
        <v>3242427.196211461</v>
      </c>
      <c r="J22" s="219">
        <f>'Perfil - interna'!J22</f>
        <v>2647607.0979814911</v>
      </c>
      <c r="K22" s="219">
        <f>'Perfil - interna'!K22</f>
        <v>482446.98431647301</v>
      </c>
      <c r="L22" s="219">
        <f>'Perfil - interna'!L22</f>
        <v>607638.02948737866</v>
      </c>
      <c r="M22" s="219">
        <f>'Perfil - interna'!M22</f>
        <v>3793025.2664000001</v>
      </c>
      <c r="N22" s="219">
        <f>'Perfil - interna'!N22</f>
        <v>0</v>
      </c>
      <c r="O22" s="219">
        <f>'Perfil - interna'!O22</f>
        <v>2135938.3307213401</v>
      </c>
      <c r="P22" s="219">
        <f>'Perfil - interna'!P22</f>
        <v>0</v>
      </c>
      <c r="Q22" s="219">
        <f>'Perfil - interna'!Q22</f>
        <v>505948</v>
      </c>
      <c r="R22" s="219">
        <f>'Perfil - interna'!R22</f>
        <v>0</v>
      </c>
      <c r="S22" s="219">
        <f>'Perfil - interna'!S22</f>
        <v>0</v>
      </c>
      <c r="T22" s="219">
        <f>'Perfil - interna'!T22</f>
        <v>0</v>
      </c>
      <c r="U22" s="219">
        <f>'Perfil - interna'!U22</f>
        <v>0</v>
      </c>
      <c r="V22" s="219">
        <f>'Perfil - interna'!V22</f>
        <v>0</v>
      </c>
      <c r="W22" s="219">
        <f>'Perfil - interna'!W22</f>
        <v>0</v>
      </c>
      <c r="X22" s="219">
        <f>'Perfil - interna'!X22</f>
        <v>0</v>
      </c>
      <c r="Y22" s="219">
        <f>'Perfil - interna'!Y22</f>
        <v>0</v>
      </c>
      <c r="Z22" s="219">
        <f>'Perfil - interna'!Z22</f>
        <v>0</v>
      </c>
      <c r="AA22" s="219">
        <f>'Perfil - interna'!AA22</f>
        <v>0</v>
      </c>
      <c r="AB22" s="219">
        <f>'Perfil - interna'!AB22</f>
        <v>0</v>
      </c>
      <c r="AC22" s="219">
        <f>'Perfil - interna'!AC22</f>
        <v>0</v>
      </c>
      <c r="AD22" s="219">
        <f>'Perfil - interna'!AD22</f>
        <v>0</v>
      </c>
      <c r="AE22" s="219">
        <f>'Perfil - interna'!AE22</f>
        <v>0</v>
      </c>
      <c r="AF22" s="219">
        <f>'Perfil - interna'!AF22</f>
        <v>0</v>
      </c>
      <c r="AG22" s="219">
        <f>'Perfil - interna'!AG22</f>
        <v>0</v>
      </c>
      <c r="AH22" s="219">
        <f>'Perfil - interna'!AH22</f>
        <v>0</v>
      </c>
      <c r="AI22" s="219">
        <f>'Perfil - interna'!AI22</f>
        <v>0</v>
      </c>
      <c r="AJ22" s="219">
        <f>'Perfil - interna'!AJ22</f>
        <v>0</v>
      </c>
      <c r="AK22" s="219">
        <f>'Perfil - interna'!AK22</f>
        <v>0</v>
      </c>
      <c r="AL22" s="219">
        <f>'Perfil - interna'!AL22</f>
        <v>0</v>
      </c>
      <c r="AM22" s="219">
        <f>'Perfil - interna'!AM22</f>
        <v>0</v>
      </c>
      <c r="AN22" s="219">
        <f>'Perfil - interna'!AN22</f>
        <v>0</v>
      </c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</row>
    <row r="23" spans="1:63">
      <c r="A23" s="170">
        <v>37072</v>
      </c>
      <c r="B23" s="220" t="str">
        <f>Servicio_internaColumna_título_intereses</f>
        <v>Intereses</v>
      </c>
      <c r="C23" s="221">
        <f>'Perfil - interna'!C23</f>
        <v>0</v>
      </c>
      <c r="D23" s="222">
        <f>'Perfil - interna'!D23</f>
        <v>0</v>
      </c>
      <c r="E23" s="222">
        <f>'Perfil - interna'!E23</f>
        <v>0</v>
      </c>
      <c r="F23" s="222">
        <f>'Perfil - interna'!F23</f>
        <v>0</v>
      </c>
      <c r="G23" s="222">
        <f>'Perfil - interna'!G23</f>
        <v>0</v>
      </c>
      <c r="H23" s="222">
        <f>'Perfil - interna'!H23</f>
        <v>0</v>
      </c>
      <c r="I23" s="222">
        <f>'Perfil - interna'!I23</f>
        <v>0</v>
      </c>
      <c r="J23" s="222">
        <f>'Perfil - interna'!J23</f>
        <v>0</v>
      </c>
      <c r="K23" s="222">
        <f>'Perfil - interna'!K23</f>
        <v>0</v>
      </c>
      <c r="L23" s="222">
        <f>'Perfil - interna'!L23</f>
        <v>0</v>
      </c>
      <c r="M23" s="222">
        <f>'Perfil - interna'!M23</f>
        <v>0</v>
      </c>
      <c r="N23" s="222">
        <f>'Perfil - interna'!N23</f>
        <v>0</v>
      </c>
      <c r="O23" s="222">
        <f>'Perfil - interna'!O23</f>
        <v>0</v>
      </c>
      <c r="P23" s="222">
        <f>'Perfil - interna'!P23</f>
        <v>0</v>
      </c>
      <c r="Q23" s="222">
        <f>'Perfil - interna'!Q23</f>
        <v>0</v>
      </c>
      <c r="R23" s="222">
        <f>'Perfil - interna'!R23</f>
        <v>0</v>
      </c>
      <c r="S23" s="222">
        <f>'Perfil - interna'!S23</f>
        <v>0</v>
      </c>
      <c r="T23" s="222">
        <f>'Perfil - interna'!T23</f>
        <v>0</v>
      </c>
      <c r="U23" s="222">
        <f>'Perfil - interna'!U23</f>
        <v>0</v>
      </c>
      <c r="V23" s="222">
        <f>'Perfil - interna'!V23</f>
        <v>0</v>
      </c>
      <c r="W23" s="222">
        <f>'Perfil - interna'!W23</f>
        <v>0</v>
      </c>
      <c r="X23" s="222">
        <f>'Perfil - interna'!X23</f>
        <v>0</v>
      </c>
      <c r="Y23" s="222">
        <f>'Perfil - interna'!Y23</f>
        <v>0</v>
      </c>
      <c r="Z23" s="222">
        <f>'Perfil - interna'!Z23</f>
        <v>0</v>
      </c>
      <c r="AA23" s="222">
        <f>'Perfil - interna'!AA23</f>
        <v>0</v>
      </c>
      <c r="AB23" s="222">
        <f>'Perfil - interna'!AB23</f>
        <v>0</v>
      </c>
      <c r="AC23" s="222">
        <f>'Perfil - interna'!AC23</f>
        <v>0</v>
      </c>
      <c r="AD23" s="222">
        <f>'Perfil - interna'!AD23</f>
        <v>0</v>
      </c>
      <c r="AE23" s="222">
        <f>'Perfil - interna'!AE23</f>
        <v>0</v>
      </c>
      <c r="AF23" s="222">
        <f>'Perfil - interna'!AF23</f>
        <v>0</v>
      </c>
      <c r="AG23" s="222">
        <f>'Perfil - interna'!AG23</f>
        <v>0</v>
      </c>
      <c r="AH23" s="222">
        <f>'Perfil - interna'!AH23</f>
        <v>0</v>
      </c>
      <c r="AI23" s="222">
        <f>'Perfil - interna'!AI23</f>
        <v>0</v>
      </c>
      <c r="AJ23" s="222">
        <f>'Perfil - interna'!AJ23</f>
        <v>0</v>
      </c>
      <c r="AK23" s="222">
        <f>'Perfil - interna'!AK23</f>
        <v>0</v>
      </c>
      <c r="AL23" s="222">
        <f>'Perfil - interna'!AL23</f>
        <v>0</v>
      </c>
      <c r="AM23" s="222">
        <f>'Perfil - interna'!AM23</f>
        <v>0</v>
      </c>
      <c r="AN23" s="222">
        <f>'Perfil - interna'!AN23</f>
        <v>0</v>
      </c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</row>
    <row r="24" spans="1:63">
      <c r="A24" s="171"/>
      <c r="B24" s="318" t="str">
        <f>Servicio_internaColumna_título_total</f>
        <v>Total</v>
      </c>
      <c r="C24" s="319">
        <f>+C23+C22</f>
        <v>2748174.736280588</v>
      </c>
      <c r="D24" s="320">
        <f t="shared" ref="D24:AN24" si="0">+D23+D22</f>
        <v>6197975.097804063</v>
      </c>
      <c r="E24" s="320">
        <f t="shared" si="0"/>
        <v>2441504.2517832862</v>
      </c>
      <c r="F24" s="320">
        <f t="shared" si="0"/>
        <v>3732266.9121997417</v>
      </c>
      <c r="G24" s="320">
        <f t="shared" si="0"/>
        <v>2871763.2840647278</v>
      </c>
      <c r="H24" s="320">
        <f t="shared" si="0"/>
        <v>3347844.1626535174</v>
      </c>
      <c r="I24" s="320">
        <f t="shared" si="0"/>
        <v>3242427.196211461</v>
      </c>
      <c r="J24" s="320">
        <f t="shared" si="0"/>
        <v>2647607.0979814911</v>
      </c>
      <c r="K24" s="320">
        <f t="shared" si="0"/>
        <v>482446.98431647301</v>
      </c>
      <c r="L24" s="320">
        <f t="shared" si="0"/>
        <v>607638.02948737866</v>
      </c>
      <c r="M24" s="320">
        <f t="shared" si="0"/>
        <v>3793025.2664000001</v>
      </c>
      <c r="N24" s="320">
        <f t="shared" si="0"/>
        <v>0</v>
      </c>
      <c r="O24" s="320">
        <f t="shared" si="0"/>
        <v>2135938.3307213401</v>
      </c>
      <c r="P24" s="320">
        <f t="shared" si="0"/>
        <v>0</v>
      </c>
      <c r="Q24" s="320">
        <f t="shared" si="0"/>
        <v>505948</v>
      </c>
      <c r="R24" s="320">
        <f t="shared" si="0"/>
        <v>0</v>
      </c>
      <c r="S24" s="320">
        <f t="shared" si="0"/>
        <v>0</v>
      </c>
      <c r="T24" s="320">
        <f t="shared" si="0"/>
        <v>0</v>
      </c>
      <c r="U24" s="320">
        <f t="shared" si="0"/>
        <v>0</v>
      </c>
      <c r="V24" s="320">
        <f t="shared" si="0"/>
        <v>0</v>
      </c>
      <c r="W24" s="320">
        <f t="shared" si="0"/>
        <v>0</v>
      </c>
      <c r="X24" s="320">
        <f t="shared" si="0"/>
        <v>0</v>
      </c>
      <c r="Y24" s="320">
        <f t="shared" si="0"/>
        <v>0</v>
      </c>
      <c r="Z24" s="320">
        <f t="shared" si="0"/>
        <v>0</v>
      </c>
      <c r="AA24" s="320">
        <f t="shared" si="0"/>
        <v>0</v>
      </c>
      <c r="AB24" s="320">
        <f t="shared" si="0"/>
        <v>0</v>
      </c>
      <c r="AC24" s="320">
        <f t="shared" si="0"/>
        <v>0</v>
      </c>
      <c r="AD24" s="320">
        <f t="shared" si="0"/>
        <v>0</v>
      </c>
      <c r="AE24" s="320">
        <f t="shared" si="0"/>
        <v>0</v>
      </c>
      <c r="AF24" s="320">
        <f t="shared" si="0"/>
        <v>0</v>
      </c>
      <c r="AG24" s="320">
        <f t="shared" si="0"/>
        <v>0</v>
      </c>
      <c r="AH24" s="320">
        <f t="shared" si="0"/>
        <v>0</v>
      </c>
      <c r="AI24" s="320">
        <f t="shared" si="0"/>
        <v>0</v>
      </c>
      <c r="AJ24" s="320">
        <f t="shared" si="0"/>
        <v>0</v>
      </c>
      <c r="AK24" s="320">
        <f t="shared" si="0"/>
        <v>0</v>
      </c>
      <c r="AL24" s="320">
        <f t="shared" si="0"/>
        <v>0</v>
      </c>
      <c r="AM24" s="320">
        <f t="shared" si="0"/>
        <v>0</v>
      </c>
      <c r="AN24" s="320">
        <f t="shared" si="0"/>
        <v>0</v>
      </c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</row>
    <row r="25" spans="1:63">
      <c r="A25" s="167"/>
      <c r="B25" s="217" t="str">
        <f>Servicio_internaColumna_título_amortizaciones</f>
        <v>Amortizaciones</v>
      </c>
      <c r="C25" s="218">
        <f>'Perfil - interna'!C25</f>
        <v>1606380.0480400666</v>
      </c>
      <c r="D25" s="219">
        <f>'Perfil - interna'!D25</f>
        <v>6467161.600030832</v>
      </c>
      <c r="E25" s="219">
        <f>'Perfil - interna'!E25</f>
        <v>2696488.3350875275</v>
      </c>
      <c r="F25" s="219">
        <f>'Perfil - interna'!F25</f>
        <v>3734956.5703433412</v>
      </c>
      <c r="G25" s="219">
        <f>'Perfil - interna'!G25</f>
        <v>3173791.0923862252</v>
      </c>
      <c r="H25" s="219">
        <f>'Perfil - interna'!H25</f>
        <v>3974972.0137606976</v>
      </c>
      <c r="I25" s="219">
        <f>'Perfil - interna'!I25</f>
        <v>3248342.9807715351</v>
      </c>
      <c r="J25" s="219">
        <f>'Perfil - interna'!J25</f>
        <v>2679548.6147527699</v>
      </c>
      <c r="K25" s="219">
        <f>'Perfil - interna'!K25</f>
        <v>483177.07066117215</v>
      </c>
      <c r="L25" s="219">
        <f>'Perfil - interna'!L25</f>
        <v>608287.83461985015</v>
      </c>
      <c r="M25" s="219">
        <f>'Perfil - interna'!M25</f>
        <v>3828867.45</v>
      </c>
      <c r="N25" s="219">
        <f>'Perfil - interna'!N25</f>
        <v>0</v>
      </c>
      <c r="O25" s="219">
        <f>'Perfil - interna'!O25</f>
        <v>2135938.3307213401</v>
      </c>
      <c r="P25" s="219">
        <f>'Perfil - interna'!P25</f>
        <v>0</v>
      </c>
      <c r="Q25" s="219">
        <f>'Perfil - interna'!Q25</f>
        <v>521579</v>
      </c>
      <c r="R25" s="219">
        <f>'Perfil - interna'!R25</f>
        <v>0</v>
      </c>
      <c r="S25" s="219">
        <f>'Perfil - interna'!S25</f>
        <v>0</v>
      </c>
      <c r="T25" s="219">
        <f>'Perfil - interna'!T25</f>
        <v>0</v>
      </c>
      <c r="U25" s="219">
        <f>'Perfil - interna'!U25</f>
        <v>0</v>
      </c>
      <c r="V25" s="219">
        <f>'Perfil - interna'!V25</f>
        <v>0</v>
      </c>
      <c r="W25" s="219">
        <f>'Perfil - interna'!W25</f>
        <v>0</v>
      </c>
      <c r="X25" s="219">
        <f>'Perfil - interna'!X25</f>
        <v>0</v>
      </c>
      <c r="Y25" s="219">
        <f>'Perfil - interna'!Y25</f>
        <v>0</v>
      </c>
      <c r="Z25" s="219">
        <f>'Perfil - interna'!Z25</f>
        <v>0</v>
      </c>
      <c r="AA25" s="219">
        <f>'Perfil - interna'!AA25</f>
        <v>0</v>
      </c>
      <c r="AB25" s="219">
        <f>'Perfil - interna'!AB25</f>
        <v>0</v>
      </c>
      <c r="AC25" s="219">
        <f>'Perfil - interna'!AC25</f>
        <v>0</v>
      </c>
      <c r="AD25" s="219">
        <f>'Perfil - interna'!AD25</f>
        <v>0</v>
      </c>
      <c r="AE25" s="219">
        <f>'Perfil - interna'!AE25</f>
        <v>0</v>
      </c>
      <c r="AF25" s="219">
        <f>'Perfil - interna'!AF25</f>
        <v>0</v>
      </c>
      <c r="AG25" s="219">
        <f>'Perfil - interna'!AG25</f>
        <v>0</v>
      </c>
      <c r="AH25" s="219">
        <f>'Perfil - interna'!AH25</f>
        <v>0</v>
      </c>
      <c r="AI25" s="219">
        <f>'Perfil - interna'!AI25</f>
        <v>0</v>
      </c>
      <c r="AJ25" s="219">
        <f>'Perfil - interna'!AJ25</f>
        <v>0</v>
      </c>
      <c r="AK25" s="219">
        <f>'Perfil - interna'!AK25</f>
        <v>0</v>
      </c>
      <c r="AL25" s="219">
        <f>'Perfil - interna'!AL25</f>
        <v>0</v>
      </c>
      <c r="AM25" s="219">
        <f>'Perfil - interna'!AM25</f>
        <v>0</v>
      </c>
      <c r="AN25" s="219">
        <f>'Perfil - interna'!AN25</f>
        <v>0</v>
      </c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</row>
    <row r="26" spans="1:63">
      <c r="A26" s="170">
        <v>37103</v>
      </c>
      <c r="B26" s="220" t="str">
        <f>Servicio_internaColumna_título_intereses</f>
        <v>Intereses</v>
      </c>
      <c r="C26" s="221">
        <f>'Perfil - interna'!C26</f>
        <v>0</v>
      </c>
      <c r="D26" s="222">
        <f>'Perfil - interna'!D26</f>
        <v>0</v>
      </c>
      <c r="E26" s="222">
        <f>'Perfil - interna'!E26</f>
        <v>0</v>
      </c>
      <c r="F26" s="222">
        <f>'Perfil - interna'!F26</f>
        <v>0</v>
      </c>
      <c r="G26" s="222">
        <f>'Perfil - interna'!G26</f>
        <v>0</v>
      </c>
      <c r="H26" s="222">
        <f>'Perfil - interna'!H26</f>
        <v>0</v>
      </c>
      <c r="I26" s="222">
        <f>'Perfil - interna'!I26</f>
        <v>0</v>
      </c>
      <c r="J26" s="222">
        <f>'Perfil - interna'!J26</f>
        <v>0</v>
      </c>
      <c r="K26" s="222">
        <f>'Perfil - interna'!K26</f>
        <v>0</v>
      </c>
      <c r="L26" s="222">
        <f>'Perfil - interna'!L26</f>
        <v>0</v>
      </c>
      <c r="M26" s="222">
        <f>'Perfil - interna'!M26</f>
        <v>0</v>
      </c>
      <c r="N26" s="222">
        <f>'Perfil - interna'!N26</f>
        <v>0</v>
      </c>
      <c r="O26" s="222">
        <f>'Perfil - interna'!O26</f>
        <v>0</v>
      </c>
      <c r="P26" s="222">
        <f>'Perfil - interna'!P26</f>
        <v>0</v>
      </c>
      <c r="Q26" s="222">
        <f>'Perfil - interna'!Q26</f>
        <v>0</v>
      </c>
      <c r="R26" s="222">
        <f>'Perfil - interna'!R26</f>
        <v>0</v>
      </c>
      <c r="S26" s="222">
        <f>'Perfil - interna'!S26</f>
        <v>0</v>
      </c>
      <c r="T26" s="222">
        <f>'Perfil - interna'!T26</f>
        <v>0</v>
      </c>
      <c r="U26" s="222">
        <f>'Perfil - interna'!U26</f>
        <v>0</v>
      </c>
      <c r="V26" s="222">
        <f>'Perfil - interna'!V26</f>
        <v>0</v>
      </c>
      <c r="W26" s="222">
        <f>'Perfil - interna'!W26</f>
        <v>0</v>
      </c>
      <c r="X26" s="222">
        <f>'Perfil - interna'!X26</f>
        <v>0</v>
      </c>
      <c r="Y26" s="222">
        <f>'Perfil - interna'!Y26</f>
        <v>0</v>
      </c>
      <c r="Z26" s="222">
        <f>'Perfil - interna'!Z26</f>
        <v>0</v>
      </c>
      <c r="AA26" s="222">
        <f>'Perfil - interna'!AA26</f>
        <v>0</v>
      </c>
      <c r="AB26" s="222">
        <f>'Perfil - interna'!AB26</f>
        <v>0</v>
      </c>
      <c r="AC26" s="222">
        <f>'Perfil - interna'!AC26</f>
        <v>0</v>
      </c>
      <c r="AD26" s="222">
        <f>'Perfil - interna'!AD26</f>
        <v>0</v>
      </c>
      <c r="AE26" s="222">
        <f>'Perfil - interna'!AE26</f>
        <v>0</v>
      </c>
      <c r="AF26" s="222">
        <f>'Perfil - interna'!AF26</f>
        <v>0</v>
      </c>
      <c r="AG26" s="222">
        <f>'Perfil - interna'!AG26</f>
        <v>0</v>
      </c>
      <c r="AH26" s="222">
        <f>'Perfil - interna'!AH26</f>
        <v>0</v>
      </c>
      <c r="AI26" s="222">
        <f>'Perfil - interna'!AI26</f>
        <v>0</v>
      </c>
      <c r="AJ26" s="222">
        <f>'Perfil - interna'!AJ26</f>
        <v>0</v>
      </c>
      <c r="AK26" s="222">
        <f>'Perfil - interna'!AK26</f>
        <v>0</v>
      </c>
      <c r="AL26" s="222">
        <f>'Perfil - interna'!AL26</f>
        <v>0</v>
      </c>
      <c r="AM26" s="222">
        <f>'Perfil - interna'!AM26</f>
        <v>0</v>
      </c>
      <c r="AN26" s="222">
        <f>'Perfil - interna'!AN26</f>
        <v>0</v>
      </c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</row>
    <row r="27" spans="1:63">
      <c r="A27" s="171"/>
      <c r="B27" s="318" t="str">
        <f>Servicio_internaColumna_título_total</f>
        <v>Total</v>
      </c>
      <c r="C27" s="319">
        <f t="shared" ref="C27:AN27" si="1">+C26+C25</f>
        <v>1606380.0480400666</v>
      </c>
      <c r="D27" s="320">
        <f t="shared" si="1"/>
        <v>6467161.600030832</v>
      </c>
      <c r="E27" s="320">
        <f t="shared" si="1"/>
        <v>2696488.3350875275</v>
      </c>
      <c r="F27" s="320">
        <f t="shared" si="1"/>
        <v>3734956.5703433412</v>
      </c>
      <c r="G27" s="320">
        <f t="shared" si="1"/>
        <v>3173791.0923862252</v>
      </c>
      <c r="H27" s="320">
        <f t="shared" si="1"/>
        <v>3974972.0137606976</v>
      </c>
      <c r="I27" s="320">
        <f t="shared" si="1"/>
        <v>3248342.9807715351</v>
      </c>
      <c r="J27" s="320">
        <f t="shared" si="1"/>
        <v>2679548.6147527699</v>
      </c>
      <c r="K27" s="320">
        <f t="shared" si="1"/>
        <v>483177.07066117215</v>
      </c>
      <c r="L27" s="320">
        <f t="shared" si="1"/>
        <v>608287.83461985015</v>
      </c>
      <c r="M27" s="320">
        <f t="shared" si="1"/>
        <v>3828867.45</v>
      </c>
      <c r="N27" s="320">
        <f t="shared" si="1"/>
        <v>0</v>
      </c>
      <c r="O27" s="320">
        <f t="shared" si="1"/>
        <v>2135938.3307213401</v>
      </c>
      <c r="P27" s="320">
        <f t="shared" si="1"/>
        <v>0</v>
      </c>
      <c r="Q27" s="320">
        <f t="shared" si="1"/>
        <v>521579</v>
      </c>
      <c r="R27" s="320">
        <f t="shared" si="1"/>
        <v>0</v>
      </c>
      <c r="S27" s="320">
        <f t="shared" si="1"/>
        <v>0</v>
      </c>
      <c r="T27" s="320">
        <f t="shared" si="1"/>
        <v>0</v>
      </c>
      <c r="U27" s="320">
        <f t="shared" si="1"/>
        <v>0</v>
      </c>
      <c r="V27" s="320">
        <f t="shared" si="1"/>
        <v>0</v>
      </c>
      <c r="W27" s="320">
        <f t="shared" si="1"/>
        <v>0</v>
      </c>
      <c r="X27" s="320">
        <f t="shared" si="1"/>
        <v>0</v>
      </c>
      <c r="Y27" s="320">
        <f t="shared" si="1"/>
        <v>0</v>
      </c>
      <c r="Z27" s="320">
        <f t="shared" si="1"/>
        <v>0</v>
      </c>
      <c r="AA27" s="320">
        <f t="shared" si="1"/>
        <v>0</v>
      </c>
      <c r="AB27" s="320">
        <f t="shared" si="1"/>
        <v>0</v>
      </c>
      <c r="AC27" s="320">
        <f t="shared" si="1"/>
        <v>0</v>
      </c>
      <c r="AD27" s="320">
        <f t="shared" si="1"/>
        <v>0</v>
      </c>
      <c r="AE27" s="320">
        <f t="shared" si="1"/>
        <v>0</v>
      </c>
      <c r="AF27" s="320">
        <f t="shared" si="1"/>
        <v>0</v>
      </c>
      <c r="AG27" s="320">
        <f t="shared" si="1"/>
        <v>0</v>
      </c>
      <c r="AH27" s="320">
        <f t="shared" si="1"/>
        <v>0</v>
      </c>
      <c r="AI27" s="320">
        <f t="shared" si="1"/>
        <v>0</v>
      </c>
      <c r="AJ27" s="320">
        <f t="shared" si="1"/>
        <v>0</v>
      </c>
      <c r="AK27" s="320">
        <f t="shared" si="1"/>
        <v>0</v>
      </c>
      <c r="AL27" s="320">
        <f t="shared" si="1"/>
        <v>0</v>
      </c>
      <c r="AM27" s="320">
        <f t="shared" si="1"/>
        <v>0</v>
      </c>
      <c r="AN27" s="320">
        <f t="shared" si="1"/>
        <v>0</v>
      </c>
      <c r="AO27" s="320"/>
      <c r="AP27" s="320"/>
      <c r="AQ27" s="320"/>
      <c r="AR27" s="320"/>
      <c r="AS27" s="320"/>
      <c r="AT27" s="320"/>
      <c r="AU27" s="320"/>
      <c r="AV27" s="320"/>
      <c r="AW27" s="320"/>
      <c r="AX27" s="320"/>
      <c r="AY27" s="320"/>
      <c r="AZ27" s="320"/>
      <c r="BA27" s="320"/>
      <c r="BB27" s="320"/>
      <c r="BC27" s="320"/>
      <c r="BD27" s="320"/>
      <c r="BE27" s="320"/>
      <c r="BF27" s="320"/>
      <c r="BG27" s="320"/>
      <c r="BH27" s="320"/>
      <c r="BI27" s="320"/>
      <c r="BJ27" s="320"/>
      <c r="BK27" s="320"/>
    </row>
    <row r="28" spans="1:63">
      <c r="A28" s="167"/>
      <c r="B28" s="217" t="str">
        <f>Servicio_internaColumna_título_amortizaciones</f>
        <v>Amortizaciones</v>
      </c>
      <c r="C28" s="218">
        <f>'Perfil - interna'!C28</f>
        <v>1030630.0304838868</v>
      </c>
      <c r="D28" s="219">
        <f>'Perfil - interna'!D28</f>
        <v>6993654.220913806</v>
      </c>
      <c r="E28" s="219">
        <f>'Perfil - interna'!E28</f>
        <v>3119578.0948690651</v>
      </c>
      <c r="F28" s="219">
        <f>'Perfil - interna'!F28</f>
        <v>4147883.4304340137</v>
      </c>
      <c r="G28" s="219">
        <f>'Perfil - interna'!G28</f>
        <v>2874847.1001207661</v>
      </c>
      <c r="H28" s="219">
        <f>'Perfil - interna'!H28</f>
        <v>4148184.5524377697</v>
      </c>
      <c r="I28" s="219">
        <f>'Perfil - interna'!I28</f>
        <v>3250281.3282825854</v>
      </c>
      <c r="J28" s="219">
        <f>'Perfil - interna'!J28</f>
        <v>3273243.4807155351</v>
      </c>
      <c r="K28" s="219">
        <f>'Perfil - interna'!K28</f>
        <v>483417.22201896913</v>
      </c>
      <c r="L28" s="219">
        <f>'Perfil - interna'!L28</f>
        <v>608637.5713496469</v>
      </c>
      <c r="M28" s="219">
        <f>'Perfil - interna'!M28</f>
        <v>3864785.7305999999</v>
      </c>
      <c r="N28" s="219">
        <f>'Perfil - interna'!N28</f>
        <v>0</v>
      </c>
      <c r="O28" s="219">
        <f>'Perfil - interna'!O28</f>
        <v>2135938.3307213401</v>
      </c>
      <c r="P28" s="219">
        <f>'Perfil - interna'!P28</f>
        <v>0</v>
      </c>
      <c r="Q28" s="219">
        <f>'Perfil - interna'!Q28</f>
        <v>521579</v>
      </c>
      <c r="R28" s="219">
        <f>'Perfil - interna'!R28</f>
        <v>0</v>
      </c>
      <c r="S28" s="219">
        <f>'Perfil - interna'!S28</f>
        <v>0</v>
      </c>
      <c r="T28" s="219">
        <f>'Perfil - interna'!T28</f>
        <v>0</v>
      </c>
      <c r="U28" s="219">
        <f>'Perfil - interna'!U28</f>
        <v>0</v>
      </c>
      <c r="V28" s="219">
        <f>'Perfil - interna'!V28</f>
        <v>0</v>
      </c>
      <c r="W28" s="219">
        <f>'Perfil - interna'!W28</f>
        <v>0</v>
      </c>
      <c r="X28" s="219">
        <f>'Perfil - interna'!X28</f>
        <v>0</v>
      </c>
      <c r="Y28" s="219">
        <f>'Perfil - interna'!Y28</f>
        <v>0</v>
      </c>
      <c r="Z28" s="219">
        <f>'Perfil - interna'!Z28</f>
        <v>0</v>
      </c>
      <c r="AA28" s="219">
        <f>'Perfil - interna'!AA28</f>
        <v>0</v>
      </c>
      <c r="AB28" s="219">
        <f>'Perfil - interna'!AB28</f>
        <v>0</v>
      </c>
      <c r="AC28" s="219">
        <f>'Perfil - interna'!AC28</f>
        <v>0</v>
      </c>
      <c r="AD28" s="219">
        <f>'Perfil - interna'!AD28</f>
        <v>0</v>
      </c>
      <c r="AE28" s="219">
        <f>'Perfil - interna'!AE28</f>
        <v>0</v>
      </c>
      <c r="AF28" s="219">
        <f>'Perfil - interna'!AF28</f>
        <v>0</v>
      </c>
      <c r="AG28" s="219">
        <f>'Perfil - interna'!AG28</f>
        <v>0</v>
      </c>
      <c r="AH28" s="219">
        <f>'Perfil - interna'!AH28</f>
        <v>0</v>
      </c>
      <c r="AI28" s="219">
        <f>'Perfil - interna'!AI28</f>
        <v>0</v>
      </c>
      <c r="AJ28" s="219">
        <f>'Perfil - interna'!AJ28</f>
        <v>0</v>
      </c>
      <c r="AK28" s="219">
        <f>'Perfil - interna'!AK28</f>
        <v>0</v>
      </c>
      <c r="AL28" s="219">
        <f>'Perfil - interna'!AL28</f>
        <v>0</v>
      </c>
      <c r="AM28" s="219">
        <f>'Perfil - interna'!AM28</f>
        <v>0</v>
      </c>
      <c r="AN28" s="219">
        <f>'Perfil - interna'!AN28</f>
        <v>0</v>
      </c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</row>
    <row r="29" spans="1:63">
      <c r="A29" s="170">
        <v>37134</v>
      </c>
      <c r="B29" s="220" t="str">
        <f>Servicio_internaColumna_título_intereses</f>
        <v>Intereses</v>
      </c>
      <c r="C29" s="221">
        <f>'Perfil - interna'!C29</f>
        <v>0</v>
      </c>
      <c r="D29" s="222">
        <f>'Perfil - interna'!D29</f>
        <v>0</v>
      </c>
      <c r="E29" s="222">
        <f>'Perfil - interna'!E29</f>
        <v>0</v>
      </c>
      <c r="F29" s="222">
        <f>'Perfil - interna'!F29</f>
        <v>0</v>
      </c>
      <c r="G29" s="222">
        <f>'Perfil - interna'!G29</f>
        <v>0</v>
      </c>
      <c r="H29" s="222">
        <f>'Perfil - interna'!H29</f>
        <v>0</v>
      </c>
      <c r="I29" s="222">
        <f>'Perfil - interna'!I29</f>
        <v>0</v>
      </c>
      <c r="J29" s="222">
        <f>'Perfil - interna'!J29</f>
        <v>0</v>
      </c>
      <c r="K29" s="222">
        <f>'Perfil - interna'!K29</f>
        <v>0</v>
      </c>
      <c r="L29" s="222">
        <f>'Perfil - interna'!L29</f>
        <v>0</v>
      </c>
      <c r="M29" s="222">
        <f>'Perfil - interna'!M29</f>
        <v>0</v>
      </c>
      <c r="N29" s="222">
        <f>'Perfil - interna'!N29</f>
        <v>0</v>
      </c>
      <c r="O29" s="222">
        <f>'Perfil - interna'!O29</f>
        <v>0</v>
      </c>
      <c r="P29" s="222">
        <f>'Perfil - interna'!P29</f>
        <v>0</v>
      </c>
      <c r="Q29" s="222">
        <f>'Perfil - interna'!Q29</f>
        <v>0</v>
      </c>
      <c r="R29" s="222">
        <f>'Perfil - interna'!R29</f>
        <v>0</v>
      </c>
      <c r="S29" s="222">
        <f>'Perfil - interna'!S29</f>
        <v>0</v>
      </c>
      <c r="T29" s="222">
        <f>'Perfil - interna'!T29</f>
        <v>0</v>
      </c>
      <c r="U29" s="222">
        <f>'Perfil - interna'!U29</f>
        <v>0</v>
      </c>
      <c r="V29" s="222">
        <f>'Perfil - interna'!V29</f>
        <v>0</v>
      </c>
      <c r="W29" s="222">
        <f>'Perfil - interna'!W29</f>
        <v>0</v>
      </c>
      <c r="X29" s="222">
        <f>'Perfil - interna'!X29</f>
        <v>0</v>
      </c>
      <c r="Y29" s="222">
        <f>'Perfil - interna'!Y29</f>
        <v>0</v>
      </c>
      <c r="Z29" s="222">
        <f>'Perfil - interna'!Z29</f>
        <v>0</v>
      </c>
      <c r="AA29" s="222">
        <f>'Perfil - interna'!AA29</f>
        <v>0</v>
      </c>
      <c r="AB29" s="222">
        <f>'Perfil - interna'!AB29</f>
        <v>0</v>
      </c>
      <c r="AC29" s="222">
        <f>'Perfil - interna'!AC29</f>
        <v>0</v>
      </c>
      <c r="AD29" s="222">
        <f>'Perfil - interna'!AD29</f>
        <v>0</v>
      </c>
      <c r="AE29" s="222">
        <f>'Perfil - interna'!AE29</f>
        <v>0</v>
      </c>
      <c r="AF29" s="222">
        <f>'Perfil - interna'!AF29</f>
        <v>0</v>
      </c>
      <c r="AG29" s="222">
        <f>'Perfil - interna'!AG29</f>
        <v>0</v>
      </c>
      <c r="AH29" s="222">
        <f>'Perfil - interna'!AH29</f>
        <v>0</v>
      </c>
      <c r="AI29" s="222">
        <f>'Perfil - interna'!AI29</f>
        <v>0</v>
      </c>
      <c r="AJ29" s="222">
        <f>'Perfil - interna'!AJ29</f>
        <v>0</v>
      </c>
      <c r="AK29" s="222">
        <f>'Perfil - interna'!AK29</f>
        <v>0</v>
      </c>
      <c r="AL29" s="222">
        <f>'Perfil - interna'!AL29</f>
        <v>0</v>
      </c>
      <c r="AM29" s="222">
        <f>'Perfil - interna'!AM29</f>
        <v>0</v>
      </c>
      <c r="AN29" s="222">
        <f>'Perfil - interna'!AN29</f>
        <v>0</v>
      </c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</row>
    <row r="30" spans="1:63">
      <c r="A30" s="171"/>
      <c r="B30" s="318" t="str">
        <f>Servicio_internaColumna_título_total</f>
        <v>Total</v>
      </c>
      <c r="C30" s="319">
        <f t="shared" ref="C30:AN30" si="2">+C29+C28</f>
        <v>1030630.0304838868</v>
      </c>
      <c r="D30" s="320">
        <f t="shared" si="2"/>
        <v>6993654.220913806</v>
      </c>
      <c r="E30" s="320">
        <f t="shared" si="2"/>
        <v>3119578.0948690651</v>
      </c>
      <c r="F30" s="320">
        <f t="shared" si="2"/>
        <v>4147883.4304340137</v>
      </c>
      <c r="G30" s="320">
        <f t="shared" si="2"/>
        <v>2874847.1001207661</v>
      </c>
      <c r="H30" s="320">
        <f t="shared" si="2"/>
        <v>4148184.5524377697</v>
      </c>
      <c r="I30" s="320">
        <f t="shared" si="2"/>
        <v>3250281.3282825854</v>
      </c>
      <c r="J30" s="320">
        <f t="shared" si="2"/>
        <v>3273243.4807155351</v>
      </c>
      <c r="K30" s="320">
        <f t="shared" si="2"/>
        <v>483417.22201896913</v>
      </c>
      <c r="L30" s="320">
        <f t="shared" si="2"/>
        <v>608637.5713496469</v>
      </c>
      <c r="M30" s="320">
        <f t="shared" si="2"/>
        <v>3864785.7305999999</v>
      </c>
      <c r="N30" s="320">
        <f t="shared" si="2"/>
        <v>0</v>
      </c>
      <c r="O30" s="320">
        <f t="shared" si="2"/>
        <v>2135938.3307213401</v>
      </c>
      <c r="P30" s="320">
        <f t="shared" si="2"/>
        <v>0</v>
      </c>
      <c r="Q30" s="320">
        <f t="shared" si="2"/>
        <v>521579</v>
      </c>
      <c r="R30" s="320">
        <f t="shared" si="2"/>
        <v>0</v>
      </c>
      <c r="S30" s="320">
        <f t="shared" si="2"/>
        <v>0</v>
      </c>
      <c r="T30" s="320">
        <f t="shared" si="2"/>
        <v>0</v>
      </c>
      <c r="U30" s="320">
        <f t="shared" si="2"/>
        <v>0</v>
      </c>
      <c r="V30" s="320">
        <f t="shared" si="2"/>
        <v>0</v>
      </c>
      <c r="W30" s="320">
        <f t="shared" si="2"/>
        <v>0</v>
      </c>
      <c r="X30" s="320">
        <f t="shared" si="2"/>
        <v>0</v>
      </c>
      <c r="Y30" s="320">
        <f t="shared" si="2"/>
        <v>0</v>
      </c>
      <c r="Z30" s="320">
        <f t="shared" si="2"/>
        <v>0</v>
      </c>
      <c r="AA30" s="320">
        <f t="shared" si="2"/>
        <v>0</v>
      </c>
      <c r="AB30" s="320">
        <f t="shared" si="2"/>
        <v>0</v>
      </c>
      <c r="AC30" s="320">
        <f t="shared" si="2"/>
        <v>0</v>
      </c>
      <c r="AD30" s="320">
        <f t="shared" si="2"/>
        <v>0</v>
      </c>
      <c r="AE30" s="320">
        <f t="shared" si="2"/>
        <v>0</v>
      </c>
      <c r="AF30" s="320">
        <f t="shared" si="2"/>
        <v>0</v>
      </c>
      <c r="AG30" s="320">
        <f t="shared" si="2"/>
        <v>0</v>
      </c>
      <c r="AH30" s="320">
        <f t="shared" si="2"/>
        <v>0</v>
      </c>
      <c r="AI30" s="320">
        <f t="shared" si="2"/>
        <v>0</v>
      </c>
      <c r="AJ30" s="320">
        <f t="shared" si="2"/>
        <v>0</v>
      </c>
      <c r="AK30" s="320">
        <f t="shared" si="2"/>
        <v>0</v>
      </c>
      <c r="AL30" s="320">
        <f t="shared" si="2"/>
        <v>0</v>
      </c>
      <c r="AM30" s="320">
        <f t="shared" si="2"/>
        <v>0</v>
      </c>
      <c r="AN30" s="320">
        <f t="shared" si="2"/>
        <v>0</v>
      </c>
      <c r="AO30" s="320"/>
      <c r="AP30" s="320"/>
      <c r="AQ30" s="320"/>
      <c r="AR30" s="320"/>
      <c r="AS30" s="320"/>
      <c r="AT30" s="320"/>
      <c r="AU30" s="320"/>
      <c r="AV30" s="320"/>
      <c r="AW30" s="320"/>
      <c r="AX30" s="320"/>
      <c r="AY30" s="320"/>
      <c r="AZ30" s="320"/>
      <c r="BA30" s="320"/>
      <c r="BB30" s="320"/>
      <c r="BC30" s="320"/>
      <c r="BD30" s="320"/>
      <c r="BE30" s="320"/>
      <c r="BF30" s="320"/>
      <c r="BG30" s="320"/>
      <c r="BH30" s="320"/>
      <c r="BI30" s="320"/>
      <c r="BJ30" s="320"/>
      <c r="BK30" s="320"/>
    </row>
    <row r="31" spans="1:63">
      <c r="A31" s="167"/>
      <c r="B31" s="217" t="str">
        <f>Servicio_internaColumna_título_amortizaciones</f>
        <v>Amortizaciones</v>
      </c>
      <c r="C31" s="218">
        <f>'Perfil - interna'!C31</f>
        <v>903847.44694011845</v>
      </c>
      <c r="D31" s="219">
        <f>'Perfil - interna'!D31</f>
        <v>7083714.8145507202</v>
      </c>
      <c r="E31" s="219">
        <f>'Perfil - interna'!E31</f>
        <v>3196314.2825160101</v>
      </c>
      <c r="F31" s="219">
        <f>'Perfil - interna'!F31</f>
        <v>4213524.8705886407</v>
      </c>
      <c r="G31" s="219">
        <f>'Perfil - interna'!G31</f>
        <v>2876648.9208306689</v>
      </c>
      <c r="H31" s="219">
        <f>'Perfil - interna'!H31</f>
        <v>4461086.8901277697</v>
      </c>
      <c r="I31" s="219">
        <f>'Perfil - interna'!I31</f>
        <v>3254986.6214355836</v>
      </c>
      <c r="J31" s="219">
        <f>'Perfil - interna'!J31</f>
        <v>3300764.3870888059</v>
      </c>
      <c r="K31" s="219">
        <f>'Perfil - interna'!K31</f>
        <v>483988.27325164981</v>
      </c>
      <c r="L31" s="219">
        <f>'Perfil - interna'!L31</f>
        <v>609478.38588225213</v>
      </c>
      <c r="M31" s="219">
        <f>'Perfil - interna'!M31</f>
        <v>3900988.1668000002</v>
      </c>
      <c r="N31" s="219">
        <f>'Perfil - interna'!N31</f>
        <v>0</v>
      </c>
      <c r="O31" s="219">
        <f>'Perfil - interna'!O31</f>
        <v>2135938.3307213401</v>
      </c>
      <c r="P31" s="219">
        <f>'Perfil - interna'!P31</f>
        <v>0</v>
      </c>
      <c r="Q31" s="219">
        <f>'Perfil - interna'!Q31</f>
        <v>521579</v>
      </c>
      <c r="R31" s="219">
        <f>'Perfil - interna'!R31</f>
        <v>0</v>
      </c>
      <c r="S31" s="219">
        <f>'Perfil - interna'!S31</f>
        <v>0</v>
      </c>
      <c r="T31" s="219">
        <f>'Perfil - interna'!T31</f>
        <v>0</v>
      </c>
      <c r="U31" s="219">
        <f>'Perfil - interna'!U31</f>
        <v>0</v>
      </c>
      <c r="V31" s="219">
        <f>'Perfil - interna'!V31</f>
        <v>0</v>
      </c>
      <c r="W31" s="219">
        <f>'Perfil - interna'!W31</f>
        <v>0</v>
      </c>
      <c r="X31" s="219">
        <f>'Perfil - interna'!X31</f>
        <v>0</v>
      </c>
      <c r="Y31" s="219">
        <f>'Perfil - interna'!Y31</f>
        <v>0</v>
      </c>
      <c r="Z31" s="219">
        <f>'Perfil - interna'!Z31</f>
        <v>0</v>
      </c>
      <c r="AA31" s="219">
        <f>'Perfil - interna'!AA31</f>
        <v>0</v>
      </c>
      <c r="AB31" s="219">
        <f>'Perfil - interna'!AB31</f>
        <v>0</v>
      </c>
      <c r="AC31" s="219">
        <f>'Perfil - interna'!AC31</f>
        <v>0</v>
      </c>
      <c r="AD31" s="219">
        <f>'Perfil - interna'!AD31</f>
        <v>0</v>
      </c>
      <c r="AE31" s="219">
        <f>'Perfil - interna'!AE31</f>
        <v>0</v>
      </c>
      <c r="AF31" s="219">
        <f>'Perfil - interna'!AF31</f>
        <v>0</v>
      </c>
      <c r="AG31" s="219">
        <f>'Perfil - interna'!AG31</f>
        <v>0</v>
      </c>
      <c r="AH31" s="219">
        <f>'Perfil - interna'!AH31</f>
        <v>0</v>
      </c>
      <c r="AI31" s="219">
        <f>'Perfil - interna'!AI31</f>
        <v>0</v>
      </c>
      <c r="AJ31" s="219">
        <f>'Perfil - interna'!AJ31</f>
        <v>0</v>
      </c>
      <c r="AK31" s="219">
        <f>'Perfil - interna'!AK31</f>
        <v>0</v>
      </c>
      <c r="AL31" s="219">
        <f>'Perfil - interna'!AL31</f>
        <v>0</v>
      </c>
      <c r="AM31" s="219">
        <f>'Perfil - interna'!AM31</f>
        <v>0</v>
      </c>
      <c r="AN31" s="219">
        <f>'Perfil - interna'!AN31</f>
        <v>0</v>
      </c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</row>
    <row r="32" spans="1:63">
      <c r="A32" s="170">
        <v>37164</v>
      </c>
      <c r="B32" s="220" t="str">
        <f>Servicio_internaColumna_título_intereses</f>
        <v>Intereses</v>
      </c>
      <c r="C32" s="221">
        <f>'Perfil - interna'!C32</f>
        <v>0</v>
      </c>
      <c r="D32" s="222">
        <f>'Perfil - interna'!D32</f>
        <v>0</v>
      </c>
      <c r="E32" s="222">
        <f>'Perfil - interna'!E32</f>
        <v>0</v>
      </c>
      <c r="F32" s="222">
        <f>'Perfil - interna'!F32</f>
        <v>0</v>
      </c>
      <c r="G32" s="222">
        <f>'Perfil - interna'!G32</f>
        <v>0</v>
      </c>
      <c r="H32" s="222">
        <f>'Perfil - interna'!H32</f>
        <v>0</v>
      </c>
      <c r="I32" s="222">
        <f>'Perfil - interna'!I32</f>
        <v>0</v>
      </c>
      <c r="J32" s="222">
        <f>'Perfil - interna'!J32</f>
        <v>0</v>
      </c>
      <c r="K32" s="222">
        <f>'Perfil - interna'!K32</f>
        <v>0</v>
      </c>
      <c r="L32" s="222">
        <f>'Perfil - interna'!L32</f>
        <v>0</v>
      </c>
      <c r="M32" s="222">
        <f>'Perfil - interna'!M32</f>
        <v>0</v>
      </c>
      <c r="N32" s="222">
        <f>'Perfil - interna'!N32</f>
        <v>0</v>
      </c>
      <c r="O32" s="222">
        <f>'Perfil - interna'!O32</f>
        <v>0</v>
      </c>
      <c r="P32" s="222">
        <f>'Perfil - interna'!P32</f>
        <v>0</v>
      </c>
      <c r="Q32" s="222">
        <f>'Perfil - interna'!Q32</f>
        <v>0</v>
      </c>
      <c r="R32" s="222">
        <f>'Perfil - interna'!R32</f>
        <v>0</v>
      </c>
      <c r="S32" s="222">
        <f>'Perfil - interna'!S32</f>
        <v>0</v>
      </c>
      <c r="T32" s="222">
        <f>'Perfil - interna'!T32</f>
        <v>0</v>
      </c>
      <c r="U32" s="222">
        <f>'Perfil - interna'!U32</f>
        <v>0</v>
      </c>
      <c r="V32" s="222">
        <f>'Perfil - interna'!V32</f>
        <v>0</v>
      </c>
      <c r="W32" s="222">
        <f>'Perfil - interna'!W32</f>
        <v>0</v>
      </c>
      <c r="X32" s="222">
        <f>'Perfil - interna'!X32</f>
        <v>0</v>
      </c>
      <c r="Y32" s="222">
        <f>'Perfil - interna'!Y32</f>
        <v>0</v>
      </c>
      <c r="Z32" s="222">
        <f>'Perfil - interna'!Z32</f>
        <v>0</v>
      </c>
      <c r="AA32" s="222">
        <f>'Perfil - interna'!AA32</f>
        <v>0</v>
      </c>
      <c r="AB32" s="222">
        <f>'Perfil - interna'!AB32</f>
        <v>0</v>
      </c>
      <c r="AC32" s="222">
        <f>'Perfil - interna'!AC32</f>
        <v>0</v>
      </c>
      <c r="AD32" s="222">
        <f>'Perfil - interna'!AD32</f>
        <v>0</v>
      </c>
      <c r="AE32" s="222">
        <f>'Perfil - interna'!AE32</f>
        <v>0</v>
      </c>
      <c r="AF32" s="222">
        <f>'Perfil - interna'!AF32</f>
        <v>0</v>
      </c>
      <c r="AG32" s="222">
        <f>'Perfil - interna'!AG32</f>
        <v>0</v>
      </c>
      <c r="AH32" s="222">
        <f>'Perfil - interna'!AH32</f>
        <v>0</v>
      </c>
      <c r="AI32" s="222">
        <f>'Perfil - interna'!AI32</f>
        <v>0</v>
      </c>
      <c r="AJ32" s="222">
        <f>'Perfil - interna'!AJ32</f>
        <v>0</v>
      </c>
      <c r="AK32" s="222">
        <f>'Perfil - interna'!AK32</f>
        <v>0</v>
      </c>
      <c r="AL32" s="222">
        <f>'Perfil - interna'!AL32</f>
        <v>0</v>
      </c>
      <c r="AM32" s="222">
        <f>'Perfil - interna'!AM32</f>
        <v>0</v>
      </c>
      <c r="AN32" s="222">
        <f>'Perfil - interna'!AN32</f>
        <v>0</v>
      </c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</row>
    <row r="33" spans="1:63">
      <c r="A33" s="171"/>
      <c r="B33" s="318" t="str">
        <f>Servicio_internaColumna_título_total</f>
        <v>Total</v>
      </c>
      <c r="C33" s="319">
        <f t="shared" ref="C33:AN33" si="3">+C32+C31</f>
        <v>903847.44694011845</v>
      </c>
      <c r="D33" s="320">
        <f t="shared" si="3"/>
        <v>7083714.8145507202</v>
      </c>
      <c r="E33" s="320">
        <f t="shared" si="3"/>
        <v>3196314.2825160101</v>
      </c>
      <c r="F33" s="320">
        <f t="shared" si="3"/>
        <v>4213524.8705886407</v>
      </c>
      <c r="G33" s="320">
        <f t="shared" si="3"/>
        <v>2876648.9208306689</v>
      </c>
      <c r="H33" s="320">
        <f t="shared" si="3"/>
        <v>4461086.8901277697</v>
      </c>
      <c r="I33" s="320">
        <f t="shared" si="3"/>
        <v>3254986.6214355836</v>
      </c>
      <c r="J33" s="320">
        <f t="shared" si="3"/>
        <v>3300764.3870888059</v>
      </c>
      <c r="K33" s="320">
        <f t="shared" si="3"/>
        <v>483988.27325164981</v>
      </c>
      <c r="L33" s="320">
        <f t="shared" si="3"/>
        <v>609478.38588225213</v>
      </c>
      <c r="M33" s="320">
        <f t="shared" si="3"/>
        <v>3900988.1668000002</v>
      </c>
      <c r="N33" s="320">
        <f t="shared" si="3"/>
        <v>0</v>
      </c>
      <c r="O33" s="320">
        <f t="shared" si="3"/>
        <v>2135938.3307213401</v>
      </c>
      <c r="P33" s="320">
        <f t="shared" si="3"/>
        <v>0</v>
      </c>
      <c r="Q33" s="320">
        <f t="shared" si="3"/>
        <v>521579</v>
      </c>
      <c r="R33" s="320">
        <f t="shared" si="3"/>
        <v>0</v>
      </c>
      <c r="S33" s="320">
        <f t="shared" si="3"/>
        <v>0</v>
      </c>
      <c r="T33" s="320">
        <f t="shared" si="3"/>
        <v>0</v>
      </c>
      <c r="U33" s="320">
        <f t="shared" si="3"/>
        <v>0</v>
      </c>
      <c r="V33" s="320">
        <f t="shared" si="3"/>
        <v>0</v>
      </c>
      <c r="W33" s="320">
        <f t="shared" si="3"/>
        <v>0</v>
      </c>
      <c r="X33" s="320">
        <f t="shared" si="3"/>
        <v>0</v>
      </c>
      <c r="Y33" s="320">
        <f t="shared" si="3"/>
        <v>0</v>
      </c>
      <c r="Z33" s="320">
        <f t="shared" si="3"/>
        <v>0</v>
      </c>
      <c r="AA33" s="320">
        <f t="shared" si="3"/>
        <v>0</v>
      </c>
      <c r="AB33" s="320">
        <f t="shared" si="3"/>
        <v>0</v>
      </c>
      <c r="AC33" s="320">
        <f t="shared" si="3"/>
        <v>0</v>
      </c>
      <c r="AD33" s="320">
        <f t="shared" si="3"/>
        <v>0</v>
      </c>
      <c r="AE33" s="320">
        <f t="shared" si="3"/>
        <v>0</v>
      </c>
      <c r="AF33" s="320">
        <f t="shared" si="3"/>
        <v>0</v>
      </c>
      <c r="AG33" s="320">
        <f t="shared" si="3"/>
        <v>0</v>
      </c>
      <c r="AH33" s="320">
        <f t="shared" si="3"/>
        <v>0</v>
      </c>
      <c r="AI33" s="320">
        <f t="shared" si="3"/>
        <v>0</v>
      </c>
      <c r="AJ33" s="320">
        <f t="shared" si="3"/>
        <v>0</v>
      </c>
      <c r="AK33" s="320">
        <f t="shared" si="3"/>
        <v>0</v>
      </c>
      <c r="AL33" s="320">
        <f t="shared" si="3"/>
        <v>0</v>
      </c>
      <c r="AM33" s="320">
        <f t="shared" si="3"/>
        <v>0</v>
      </c>
      <c r="AN33" s="320">
        <f t="shared" si="3"/>
        <v>0</v>
      </c>
      <c r="AO33" s="320"/>
      <c r="AP33" s="320"/>
      <c r="AQ33" s="320"/>
      <c r="AR33" s="320"/>
      <c r="AS33" s="320"/>
      <c r="AT33" s="320"/>
      <c r="AU33" s="320"/>
      <c r="AV33" s="320"/>
      <c r="AW33" s="320"/>
      <c r="AX33" s="320"/>
      <c r="AY33" s="320"/>
      <c r="AZ33" s="320"/>
      <c r="BA33" s="320"/>
      <c r="BB33" s="320"/>
      <c r="BC33" s="320"/>
      <c r="BD33" s="320"/>
      <c r="BE33" s="320"/>
      <c r="BF33" s="320"/>
      <c r="BG33" s="320"/>
      <c r="BH33" s="320"/>
      <c r="BI33" s="320"/>
      <c r="BJ33" s="320"/>
      <c r="BK33" s="320"/>
    </row>
    <row r="34" spans="1:63">
      <c r="A34" s="167"/>
      <c r="B34" s="217" t="str">
        <f>Servicio_internaColumna_título_amortizaciones</f>
        <v>Amortizaciones</v>
      </c>
      <c r="C34" s="218">
        <f>'Perfil - interna'!C34</f>
        <v>688988.91362430307</v>
      </c>
      <c r="D34" s="219">
        <f>'Perfil - interna'!D34</f>
        <v>7358041.8313574055</v>
      </c>
      <c r="E34" s="219">
        <f>'Perfil - interna'!E34</f>
        <v>3330870.854652063</v>
      </c>
      <c r="F34" s="219">
        <f>'Perfil - interna'!F34</f>
        <v>4332175.0721088266</v>
      </c>
      <c r="G34" s="219">
        <f>'Perfil - interna'!G34</f>
        <v>2881842.0364389191</v>
      </c>
      <c r="H34" s="219">
        <f>'Perfil - interna'!H34</f>
        <v>4585694.536155385</v>
      </c>
      <c r="I34" s="219">
        <f>'Perfil - interna'!I34</f>
        <v>3265507.0022221841</v>
      </c>
      <c r="J34" s="219">
        <f>'Perfil - interna'!J34</f>
        <v>3396392.3221689388</v>
      </c>
      <c r="K34" s="219">
        <f>'Perfil - interna'!K34</f>
        <v>736294.268038471</v>
      </c>
      <c r="L34" s="219">
        <f>'Perfil - interna'!L34</f>
        <v>611386.95386332064</v>
      </c>
      <c r="M34" s="219">
        <f>'Perfil - interna'!M34</f>
        <v>4534049.2724000001</v>
      </c>
      <c r="N34" s="219">
        <f>'Perfil - interna'!N34</f>
        <v>0</v>
      </c>
      <c r="O34" s="219">
        <f>'Perfil - interna'!O34</f>
        <v>2135938.3307213401</v>
      </c>
      <c r="P34" s="219">
        <f>'Perfil - interna'!P34</f>
        <v>0</v>
      </c>
      <c r="Q34" s="219">
        <f>'Perfil - interna'!Q34</f>
        <v>521579</v>
      </c>
      <c r="R34" s="219">
        <f>'Perfil - interna'!R34</f>
        <v>0</v>
      </c>
      <c r="S34" s="219">
        <f>'Perfil - interna'!S34</f>
        <v>0</v>
      </c>
      <c r="T34" s="219">
        <f>'Perfil - interna'!T34</f>
        <v>0</v>
      </c>
      <c r="U34" s="219">
        <f>'Perfil - interna'!U34</f>
        <v>0</v>
      </c>
      <c r="V34" s="219">
        <f>'Perfil - interna'!V34</f>
        <v>0</v>
      </c>
      <c r="W34" s="219">
        <f>'Perfil - interna'!W34</f>
        <v>0</v>
      </c>
      <c r="X34" s="219">
        <f>'Perfil - interna'!X34</f>
        <v>0</v>
      </c>
      <c r="Y34" s="219">
        <f>'Perfil - interna'!Y34</f>
        <v>0</v>
      </c>
      <c r="Z34" s="219">
        <f>'Perfil - interna'!Z34</f>
        <v>0</v>
      </c>
      <c r="AA34" s="219">
        <f>'Perfil - interna'!AA34</f>
        <v>0</v>
      </c>
      <c r="AB34" s="219">
        <f>'Perfil - interna'!AB34</f>
        <v>0</v>
      </c>
      <c r="AC34" s="219">
        <f>'Perfil - interna'!AC34</f>
        <v>0</v>
      </c>
      <c r="AD34" s="219">
        <f>'Perfil - interna'!AD34</f>
        <v>0</v>
      </c>
      <c r="AE34" s="219">
        <f>'Perfil - interna'!AE34</f>
        <v>0</v>
      </c>
      <c r="AF34" s="219">
        <f>'Perfil - interna'!AF34</f>
        <v>0</v>
      </c>
      <c r="AG34" s="219">
        <f>'Perfil - interna'!AG34</f>
        <v>0</v>
      </c>
      <c r="AH34" s="219">
        <f>'Perfil - interna'!AH34</f>
        <v>0</v>
      </c>
      <c r="AI34" s="219">
        <f>'Perfil - interna'!AI34</f>
        <v>0</v>
      </c>
      <c r="AJ34" s="219">
        <f>'Perfil - interna'!AJ34</f>
        <v>0</v>
      </c>
      <c r="AK34" s="219">
        <f>'Perfil - interna'!AK34</f>
        <v>0</v>
      </c>
      <c r="AL34" s="219">
        <f>'Perfil - interna'!AL34</f>
        <v>0</v>
      </c>
      <c r="AM34" s="219">
        <f>'Perfil - interna'!AM34</f>
        <v>0</v>
      </c>
      <c r="AN34" s="219">
        <f>'Perfil - interna'!AN34</f>
        <v>0</v>
      </c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</row>
    <row r="35" spans="1:63">
      <c r="A35" s="170">
        <v>37195</v>
      </c>
      <c r="B35" s="220" t="str">
        <f>Servicio_internaColumna_título_intereses</f>
        <v>Intereses</v>
      </c>
      <c r="C35" s="221">
        <f>'Perfil - interna'!C35</f>
        <v>0</v>
      </c>
      <c r="D35" s="222">
        <f>'Perfil - interna'!D35</f>
        <v>0</v>
      </c>
      <c r="E35" s="222">
        <f>'Perfil - interna'!E35</f>
        <v>0</v>
      </c>
      <c r="F35" s="222">
        <f>'Perfil - interna'!F35</f>
        <v>0</v>
      </c>
      <c r="G35" s="222">
        <f>'Perfil - interna'!G35</f>
        <v>0</v>
      </c>
      <c r="H35" s="222">
        <f>'Perfil - interna'!H35</f>
        <v>0</v>
      </c>
      <c r="I35" s="222">
        <f>'Perfil - interna'!I35</f>
        <v>0</v>
      </c>
      <c r="J35" s="222">
        <f>'Perfil - interna'!J35</f>
        <v>0</v>
      </c>
      <c r="K35" s="222">
        <f>'Perfil - interna'!K35</f>
        <v>0</v>
      </c>
      <c r="L35" s="222">
        <f>'Perfil - interna'!L35</f>
        <v>0</v>
      </c>
      <c r="M35" s="222">
        <f>'Perfil - interna'!M35</f>
        <v>0</v>
      </c>
      <c r="N35" s="222">
        <f>'Perfil - interna'!N35</f>
        <v>0</v>
      </c>
      <c r="O35" s="222">
        <f>'Perfil - interna'!O35</f>
        <v>0</v>
      </c>
      <c r="P35" s="222">
        <f>'Perfil - interna'!P35</f>
        <v>0</v>
      </c>
      <c r="Q35" s="222">
        <f>'Perfil - interna'!Q35</f>
        <v>0</v>
      </c>
      <c r="R35" s="222">
        <f>'Perfil - interna'!R35</f>
        <v>0</v>
      </c>
      <c r="S35" s="222">
        <f>'Perfil - interna'!S35</f>
        <v>0</v>
      </c>
      <c r="T35" s="222">
        <f>'Perfil - interna'!T35</f>
        <v>0</v>
      </c>
      <c r="U35" s="222">
        <f>'Perfil - interna'!U35</f>
        <v>0</v>
      </c>
      <c r="V35" s="222">
        <f>'Perfil - interna'!V35</f>
        <v>0</v>
      </c>
      <c r="W35" s="222">
        <f>'Perfil - interna'!W35</f>
        <v>0</v>
      </c>
      <c r="X35" s="222">
        <f>'Perfil - interna'!X35</f>
        <v>0</v>
      </c>
      <c r="Y35" s="222">
        <f>'Perfil - interna'!Y35</f>
        <v>0</v>
      </c>
      <c r="Z35" s="222">
        <f>'Perfil - interna'!Z35</f>
        <v>0</v>
      </c>
      <c r="AA35" s="222">
        <f>'Perfil - interna'!AA35</f>
        <v>0</v>
      </c>
      <c r="AB35" s="222">
        <f>'Perfil - interna'!AB35</f>
        <v>0</v>
      </c>
      <c r="AC35" s="222">
        <f>'Perfil - interna'!AC35</f>
        <v>0</v>
      </c>
      <c r="AD35" s="222">
        <f>'Perfil - interna'!AD35</f>
        <v>0</v>
      </c>
      <c r="AE35" s="222">
        <f>'Perfil - interna'!AE35</f>
        <v>0</v>
      </c>
      <c r="AF35" s="222">
        <f>'Perfil - interna'!AF35</f>
        <v>0</v>
      </c>
      <c r="AG35" s="222">
        <f>'Perfil - interna'!AG35</f>
        <v>0</v>
      </c>
      <c r="AH35" s="222">
        <f>'Perfil - interna'!AH35</f>
        <v>0</v>
      </c>
      <c r="AI35" s="222">
        <f>'Perfil - interna'!AI35</f>
        <v>0</v>
      </c>
      <c r="AJ35" s="222">
        <f>'Perfil - interna'!AJ35</f>
        <v>0</v>
      </c>
      <c r="AK35" s="222">
        <f>'Perfil - interna'!AK35</f>
        <v>0</v>
      </c>
      <c r="AL35" s="222">
        <f>'Perfil - interna'!AL35</f>
        <v>0</v>
      </c>
      <c r="AM35" s="222">
        <f>'Perfil - interna'!AM35</f>
        <v>0</v>
      </c>
      <c r="AN35" s="222">
        <f>'Perfil - interna'!AN35</f>
        <v>0</v>
      </c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</row>
    <row r="36" spans="1:63">
      <c r="A36" s="171"/>
      <c r="B36" s="318" t="str">
        <f>Servicio_internaColumna_título_total</f>
        <v>Total</v>
      </c>
      <c r="C36" s="319">
        <f t="shared" ref="C36:AN36" si="4">+C35+C34</f>
        <v>688988.91362430307</v>
      </c>
      <c r="D36" s="320">
        <f t="shared" si="4"/>
        <v>7358041.8313574055</v>
      </c>
      <c r="E36" s="320">
        <f t="shared" si="4"/>
        <v>3330870.854652063</v>
      </c>
      <c r="F36" s="320">
        <f t="shared" si="4"/>
        <v>4332175.0721088266</v>
      </c>
      <c r="G36" s="320">
        <f t="shared" si="4"/>
        <v>2881842.0364389191</v>
      </c>
      <c r="H36" s="320">
        <f t="shared" si="4"/>
        <v>4585694.536155385</v>
      </c>
      <c r="I36" s="320">
        <f t="shared" si="4"/>
        <v>3265507.0022221841</v>
      </c>
      <c r="J36" s="320">
        <f t="shared" si="4"/>
        <v>3396392.3221689388</v>
      </c>
      <c r="K36" s="320">
        <f t="shared" si="4"/>
        <v>736294.268038471</v>
      </c>
      <c r="L36" s="320">
        <f t="shared" si="4"/>
        <v>611386.95386332064</v>
      </c>
      <c r="M36" s="320">
        <f t="shared" si="4"/>
        <v>4534049.2724000001</v>
      </c>
      <c r="N36" s="320">
        <f t="shared" si="4"/>
        <v>0</v>
      </c>
      <c r="O36" s="320">
        <f t="shared" si="4"/>
        <v>2135938.3307213401</v>
      </c>
      <c r="P36" s="320">
        <f t="shared" si="4"/>
        <v>0</v>
      </c>
      <c r="Q36" s="320">
        <f t="shared" si="4"/>
        <v>521579</v>
      </c>
      <c r="R36" s="320">
        <f t="shared" si="4"/>
        <v>0</v>
      </c>
      <c r="S36" s="320">
        <f t="shared" si="4"/>
        <v>0</v>
      </c>
      <c r="T36" s="320">
        <f t="shared" si="4"/>
        <v>0</v>
      </c>
      <c r="U36" s="320">
        <f t="shared" si="4"/>
        <v>0</v>
      </c>
      <c r="V36" s="320">
        <f t="shared" si="4"/>
        <v>0</v>
      </c>
      <c r="W36" s="320">
        <f t="shared" si="4"/>
        <v>0</v>
      </c>
      <c r="X36" s="320">
        <f t="shared" si="4"/>
        <v>0</v>
      </c>
      <c r="Y36" s="320">
        <f t="shared" si="4"/>
        <v>0</v>
      </c>
      <c r="Z36" s="320">
        <f t="shared" si="4"/>
        <v>0</v>
      </c>
      <c r="AA36" s="320">
        <f t="shared" si="4"/>
        <v>0</v>
      </c>
      <c r="AB36" s="320">
        <f t="shared" si="4"/>
        <v>0</v>
      </c>
      <c r="AC36" s="320">
        <f t="shared" si="4"/>
        <v>0</v>
      </c>
      <c r="AD36" s="320">
        <f t="shared" si="4"/>
        <v>0</v>
      </c>
      <c r="AE36" s="320">
        <f t="shared" si="4"/>
        <v>0</v>
      </c>
      <c r="AF36" s="320">
        <f t="shared" si="4"/>
        <v>0</v>
      </c>
      <c r="AG36" s="320">
        <f t="shared" si="4"/>
        <v>0</v>
      </c>
      <c r="AH36" s="320">
        <f t="shared" si="4"/>
        <v>0</v>
      </c>
      <c r="AI36" s="320">
        <f t="shared" si="4"/>
        <v>0</v>
      </c>
      <c r="AJ36" s="320">
        <f t="shared" si="4"/>
        <v>0</v>
      </c>
      <c r="AK36" s="320">
        <f t="shared" si="4"/>
        <v>0</v>
      </c>
      <c r="AL36" s="320">
        <f t="shared" si="4"/>
        <v>0</v>
      </c>
      <c r="AM36" s="320">
        <f t="shared" si="4"/>
        <v>0</v>
      </c>
      <c r="AN36" s="320">
        <f t="shared" si="4"/>
        <v>0</v>
      </c>
      <c r="AO36" s="320"/>
      <c r="AP36" s="320"/>
      <c r="AQ36" s="320"/>
      <c r="AR36" s="320"/>
      <c r="AS36" s="320"/>
      <c r="AT36" s="320"/>
      <c r="AU36" s="320"/>
      <c r="AV36" s="320"/>
      <c r="AW36" s="320"/>
      <c r="AX36" s="320"/>
      <c r="AY36" s="320"/>
      <c r="AZ36" s="320"/>
      <c r="BA36" s="320"/>
      <c r="BB36" s="320"/>
      <c r="BC36" s="320"/>
      <c r="BD36" s="320"/>
      <c r="BE36" s="320"/>
      <c r="BF36" s="320"/>
      <c r="BG36" s="320"/>
      <c r="BH36" s="320"/>
      <c r="BI36" s="320"/>
      <c r="BJ36" s="320"/>
      <c r="BK36" s="320"/>
    </row>
    <row r="37" spans="1:63">
      <c r="A37" s="167"/>
      <c r="B37" s="217" t="str">
        <f>Servicio_internaColumna_título_amortizaciones</f>
        <v>Amortizaciones</v>
      </c>
      <c r="C37" s="218">
        <f>'Perfil - interna'!C37</f>
        <v>460784.74618292868</v>
      </c>
      <c r="D37" s="219">
        <f>'Perfil - interna'!D37</f>
        <v>6950809.4630682552</v>
      </c>
      <c r="E37" s="219">
        <f>'Perfil - interna'!E37</f>
        <v>3442363.8518370097</v>
      </c>
      <c r="F37" s="219">
        <f>'Perfil - interna'!F37</f>
        <v>5101639.9757502945</v>
      </c>
      <c r="G37" s="219">
        <f>'Perfil - interna'!G37</f>
        <v>2882539.849900004</v>
      </c>
      <c r="H37" s="219">
        <f>'Perfil - interna'!H37</f>
        <v>4749140.3552590376</v>
      </c>
      <c r="I37" s="219">
        <f>'Perfil - interna'!I37</f>
        <v>3270342.6099394821</v>
      </c>
      <c r="J37" s="219">
        <f>'Perfil - interna'!J37</f>
        <v>3872883.2242093687</v>
      </c>
      <c r="K37" s="219">
        <f>'Perfil - interna'!K37</f>
        <v>831003.49944664375</v>
      </c>
      <c r="L37" s="219">
        <f>'Perfil - interna'!L37</f>
        <v>612222.69154519239</v>
      </c>
      <c r="M37" s="219">
        <f>'Perfil - interna'!M37</f>
        <v>4817072.6453800006</v>
      </c>
      <c r="N37" s="219">
        <f>'Perfil - interna'!N37</f>
        <v>0</v>
      </c>
      <c r="O37" s="219">
        <f>'Perfil - interna'!O37</f>
        <v>2135938.3307213401</v>
      </c>
      <c r="P37" s="219">
        <f>'Perfil - interna'!P37</f>
        <v>0</v>
      </c>
      <c r="Q37" s="219">
        <f>'Perfil - interna'!Q37</f>
        <v>521579</v>
      </c>
      <c r="R37" s="219">
        <f>'Perfil - interna'!R37</f>
        <v>0</v>
      </c>
      <c r="S37" s="219">
        <f>'Perfil - interna'!S37</f>
        <v>0</v>
      </c>
      <c r="T37" s="219">
        <f>'Perfil - interna'!T37</f>
        <v>0</v>
      </c>
      <c r="U37" s="219">
        <f>'Perfil - interna'!U37</f>
        <v>0</v>
      </c>
      <c r="V37" s="219">
        <f>'Perfil - interna'!V37</f>
        <v>0</v>
      </c>
      <c r="W37" s="219">
        <f>'Perfil - interna'!W37</f>
        <v>0</v>
      </c>
      <c r="X37" s="219">
        <f>'Perfil - interna'!X37</f>
        <v>0</v>
      </c>
      <c r="Y37" s="219">
        <f>'Perfil - interna'!Y37</f>
        <v>0</v>
      </c>
      <c r="Z37" s="219">
        <f>'Perfil - interna'!Z37</f>
        <v>0</v>
      </c>
      <c r="AA37" s="219">
        <f>'Perfil - interna'!AA37</f>
        <v>0</v>
      </c>
      <c r="AB37" s="219">
        <f>'Perfil - interna'!AB37</f>
        <v>0</v>
      </c>
      <c r="AC37" s="219">
        <f>'Perfil - interna'!AC37</f>
        <v>0</v>
      </c>
      <c r="AD37" s="219">
        <f>'Perfil - interna'!AD37</f>
        <v>0</v>
      </c>
      <c r="AE37" s="219">
        <f>'Perfil - interna'!AE37</f>
        <v>0</v>
      </c>
      <c r="AF37" s="219">
        <f>'Perfil - interna'!AF37</f>
        <v>0</v>
      </c>
      <c r="AG37" s="219">
        <f>'Perfil - interna'!AG37</f>
        <v>0</v>
      </c>
      <c r="AH37" s="219">
        <f>'Perfil - interna'!AH37</f>
        <v>0</v>
      </c>
      <c r="AI37" s="219">
        <f>'Perfil - interna'!AI37</f>
        <v>0</v>
      </c>
      <c r="AJ37" s="219">
        <f>'Perfil - interna'!AJ37</f>
        <v>0</v>
      </c>
      <c r="AK37" s="219">
        <f>'Perfil - interna'!AK37</f>
        <v>0</v>
      </c>
      <c r="AL37" s="219">
        <f>'Perfil - interna'!AL37</f>
        <v>0</v>
      </c>
      <c r="AM37" s="219">
        <f>'Perfil - interna'!AM37</f>
        <v>0</v>
      </c>
      <c r="AN37" s="219">
        <f>'Perfil - interna'!AN37</f>
        <v>0</v>
      </c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</row>
    <row r="38" spans="1:63">
      <c r="A38" s="170">
        <v>37196</v>
      </c>
      <c r="B38" s="220" t="str">
        <f>Servicio_internaColumna_título_intereses</f>
        <v>Intereses</v>
      </c>
      <c r="C38" s="221">
        <f>'Perfil - interna'!C38</f>
        <v>0</v>
      </c>
      <c r="D38" s="222">
        <f>'Perfil - interna'!D38</f>
        <v>0</v>
      </c>
      <c r="E38" s="222">
        <f>'Perfil - interna'!E38</f>
        <v>0</v>
      </c>
      <c r="F38" s="222">
        <f>'Perfil - interna'!F38</f>
        <v>0</v>
      </c>
      <c r="G38" s="222">
        <f>'Perfil - interna'!G38</f>
        <v>0</v>
      </c>
      <c r="H38" s="222">
        <f>'Perfil - interna'!H38</f>
        <v>0</v>
      </c>
      <c r="I38" s="222">
        <f>'Perfil - interna'!I38</f>
        <v>0</v>
      </c>
      <c r="J38" s="222">
        <f>'Perfil - interna'!J38</f>
        <v>0</v>
      </c>
      <c r="K38" s="222">
        <f>'Perfil - interna'!K38</f>
        <v>0</v>
      </c>
      <c r="L38" s="222">
        <f>'Perfil - interna'!L38</f>
        <v>0</v>
      </c>
      <c r="M38" s="222">
        <f>'Perfil - interna'!M38</f>
        <v>0</v>
      </c>
      <c r="N38" s="222">
        <f>'Perfil - interna'!N38</f>
        <v>0</v>
      </c>
      <c r="O38" s="222">
        <f>'Perfil - interna'!O38</f>
        <v>0</v>
      </c>
      <c r="P38" s="222">
        <f>'Perfil - interna'!P38</f>
        <v>0</v>
      </c>
      <c r="Q38" s="222">
        <f>'Perfil - interna'!Q38</f>
        <v>0</v>
      </c>
      <c r="R38" s="222">
        <f>'Perfil - interna'!R38</f>
        <v>0</v>
      </c>
      <c r="S38" s="222">
        <f>'Perfil - interna'!S38</f>
        <v>0</v>
      </c>
      <c r="T38" s="222">
        <f>'Perfil - interna'!T38</f>
        <v>0</v>
      </c>
      <c r="U38" s="222">
        <f>'Perfil - interna'!U38</f>
        <v>0</v>
      </c>
      <c r="V38" s="222">
        <f>'Perfil - interna'!V38</f>
        <v>0</v>
      </c>
      <c r="W38" s="222">
        <f>'Perfil - interna'!W38</f>
        <v>0</v>
      </c>
      <c r="X38" s="222">
        <f>'Perfil - interna'!X38</f>
        <v>0</v>
      </c>
      <c r="Y38" s="222">
        <f>'Perfil - interna'!Y38</f>
        <v>0</v>
      </c>
      <c r="Z38" s="222">
        <f>'Perfil - interna'!Z38</f>
        <v>0</v>
      </c>
      <c r="AA38" s="222">
        <f>'Perfil - interna'!AA38</f>
        <v>0</v>
      </c>
      <c r="AB38" s="222">
        <f>'Perfil - interna'!AB38</f>
        <v>0</v>
      </c>
      <c r="AC38" s="222">
        <f>'Perfil - interna'!AC38</f>
        <v>0</v>
      </c>
      <c r="AD38" s="222">
        <f>'Perfil - interna'!AD38</f>
        <v>0</v>
      </c>
      <c r="AE38" s="222">
        <f>'Perfil - interna'!AE38</f>
        <v>0</v>
      </c>
      <c r="AF38" s="222">
        <f>'Perfil - interna'!AF38</f>
        <v>0</v>
      </c>
      <c r="AG38" s="222">
        <f>'Perfil - interna'!AG38</f>
        <v>0</v>
      </c>
      <c r="AH38" s="222">
        <f>'Perfil - interna'!AH38</f>
        <v>0</v>
      </c>
      <c r="AI38" s="222">
        <f>'Perfil - interna'!AI38</f>
        <v>0</v>
      </c>
      <c r="AJ38" s="222">
        <f>'Perfil - interna'!AJ38</f>
        <v>0</v>
      </c>
      <c r="AK38" s="222">
        <f>'Perfil - interna'!AK38</f>
        <v>0</v>
      </c>
      <c r="AL38" s="222">
        <f>'Perfil - interna'!AL38</f>
        <v>0</v>
      </c>
      <c r="AM38" s="222">
        <f>'Perfil - interna'!AM38</f>
        <v>0</v>
      </c>
      <c r="AN38" s="222">
        <f>'Perfil - interna'!AN38</f>
        <v>0</v>
      </c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</row>
    <row r="39" spans="1:63">
      <c r="A39" s="171"/>
      <c r="B39" s="318" t="str">
        <f>Servicio_internaColumna_título_total</f>
        <v>Total</v>
      </c>
      <c r="C39" s="319">
        <f t="shared" ref="C39:AN39" si="5">+C38+C37</f>
        <v>460784.74618292868</v>
      </c>
      <c r="D39" s="320">
        <f t="shared" si="5"/>
        <v>6950809.4630682552</v>
      </c>
      <c r="E39" s="320">
        <f t="shared" si="5"/>
        <v>3442363.8518370097</v>
      </c>
      <c r="F39" s="320">
        <f t="shared" si="5"/>
        <v>5101639.9757502945</v>
      </c>
      <c r="G39" s="320">
        <f t="shared" si="5"/>
        <v>2882539.849900004</v>
      </c>
      <c r="H39" s="320">
        <f t="shared" si="5"/>
        <v>4749140.3552590376</v>
      </c>
      <c r="I39" s="320">
        <f t="shared" si="5"/>
        <v>3270342.6099394821</v>
      </c>
      <c r="J39" s="320">
        <f t="shared" si="5"/>
        <v>3872883.2242093687</v>
      </c>
      <c r="K39" s="320">
        <f t="shared" si="5"/>
        <v>831003.49944664375</v>
      </c>
      <c r="L39" s="320">
        <f t="shared" si="5"/>
        <v>612222.69154519239</v>
      </c>
      <c r="M39" s="320">
        <f t="shared" si="5"/>
        <v>4817072.6453800006</v>
      </c>
      <c r="N39" s="320">
        <f t="shared" si="5"/>
        <v>0</v>
      </c>
      <c r="O39" s="320">
        <f t="shared" si="5"/>
        <v>2135938.3307213401</v>
      </c>
      <c r="P39" s="320">
        <f t="shared" si="5"/>
        <v>0</v>
      </c>
      <c r="Q39" s="320">
        <f t="shared" si="5"/>
        <v>521579</v>
      </c>
      <c r="R39" s="320">
        <f t="shared" si="5"/>
        <v>0</v>
      </c>
      <c r="S39" s="320">
        <f t="shared" si="5"/>
        <v>0</v>
      </c>
      <c r="T39" s="320">
        <f t="shared" si="5"/>
        <v>0</v>
      </c>
      <c r="U39" s="320">
        <f t="shared" si="5"/>
        <v>0</v>
      </c>
      <c r="V39" s="320">
        <f t="shared" si="5"/>
        <v>0</v>
      </c>
      <c r="W39" s="320">
        <f t="shared" si="5"/>
        <v>0</v>
      </c>
      <c r="X39" s="320">
        <f t="shared" si="5"/>
        <v>0</v>
      </c>
      <c r="Y39" s="320">
        <f t="shared" si="5"/>
        <v>0</v>
      </c>
      <c r="Z39" s="320">
        <f t="shared" si="5"/>
        <v>0</v>
      </c>
      <c r="AA39" s="320">
        <f t="shared" si="5"/>
        <v>0</v>
      </c>
      <c r="AB39" s="320">
        <f t="shared" si="5"/>
        <v>0</v>
      </c>
      <c r="AC39" s="320">
        <f t="shared" si="5"/>
        <v>0</v>
      </c>
      <c r="AD39" s="320">
        <f t="shared" si="5"/>
        <v>0</v>
      </c>
      <c r="AE39" s="320">
        <f t="shared" si="5"/>
        <v>0</v>
      </c>
      <c r="AF39" s="320">
        <f t="shared" si="5"/>
        <v>0</v>
      </c>
      <c r="AG39" s="320">
        <f t="shared" si="5"/>
        <v>0</v>
      </c>
      <c r="AH39" s="320">
        <f t="shared" si="5"/>
        <v>0</v>
      </c>
      <c r="AI39" s="320">
        <f t="shared" si="5"/>
        <v>0</v>
      </c>
      <c r="AJ39" s="320">
        <f t="shared" si="5"/>
        <v>0</v>
      </c>
      <c r="AK39" s="320">
        <f t="shared" si="5"/>
        <v>0</v>
      </c>
      <c r="AL39" s="320">
        <f t="shared" si="5"/>
        <v>0</v>
      </c>
      <c r="AM39" s="320">
        <f t="shared" si="5"/>
        <v>0</v>
      </c>
      <c r="AN39" s="320">
        <f t="shared" si="5"/>
        <v>0</v>
      </c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0"/>
      <c r="AZ39" s="320"/>
      <c r="BA39" s="320"/>
      <c r="BB39" s="320"/>
      <c r="BC39" s="320"/>
      <c r="BD39" s="320"/>
      <c r="BE39" s="320"/>
      <c r="BF39" s="320"/>
      <c r="BG39" s="320"/>
      <c r="BH39" s="320"/>
      <c r="BI39" s="320"/>
      <c r="BJ39" s="320"/>
      <c r="BK39" s="320"/>
    </row>
    <row r="40" spans="1:63">
      <c r="A40" s="167"/>
      <c r="B40" s="217" t="str">
        <f>Servicio_internaColumna_título_amortizaciones</f>
        <v>Amortizaciones</v>
      </c>
      <c r="C40" s="218">
        <f>'Perfil - interna'!C40</f>
        <v>0</v>
      </c>
      <c r="D40" s="219">
        <f>'Perfil - interna'!D40</f>
        <v>7049068.0984627157</v>
      </c>
      <c r="E40" s="219">
        <f>'Perfil - interna'!E40</f>
        <v>4434494.925978167</v>
      </c>
      <c r="F40" s="219">
        <f>'Perfil - interna'!F40</f>
        <v>5189286.7185598658</v>
      </c>
      <c r="G40" s="219">
        <f>'Perfil - interna'!G40</f>
        <v>3814093.8219778324</v>
      </c>
      <c r="H40" s="219">
        <f>'Perfil - interna'!H40</f>
        <v>4861678.4332649149</v>
      </c>
      <c r="I40" s="219">
        <f>'Perfil - interna'!I40</f>
        <v>4204403.1596988309</v>
      </c>
      <c r="J40" s="219">
        <f>'Perfil - interna'!J40</f>
        <v>4234903.4224661365</v>
      </c>
      <c r="K40" s="219">
        <f>'Perfil - interna'!K40</f>
        <v>1776166.023939454</v>
      </c>
      <c r="L40" s="219">
        <f>'Perfil - interna'!L40</f>
        <v>842948.2699116997</v>
      </c>
      <c r="M40" s="219">
        <f>'Perfil - interna'!M40</f>
        <v>4862483.3769200006</v>
      </c>
      <c r="N40" s="219">
        <f>'Perfil - interna'!N40</f>
        <v>0</v>
      </c>
      <c r="O40" s="219">
        <f>'Perfil - interna'!O40</f>
        <v>2135938.3307213401</v>
      </c>
      <c r="P40" s="219">
        <f>'Perfil - interna'!P40</f>
        <v>0</v>
      </c>
      <c r="Q40" s="219">
        <f>'Perfil - interna'!Q40</f>
        <v>0</v>
      </c>
      <c r="R40" s="219">
        <f>'Perfil - interna'!R40</f>
        <v>0</v>
      </c>
      <c r="S40" s="219">
        <f>'Perfil - interna'!S40</f>
        <v>0</v>
      </c>
      <c r="T40" s="219">
        <f>'Perfil - interna'!T40</f>
        <v>0</v>
      </c>
      <c r="U40" s="219">
        <f>'Perfil - interna'!U40</f>
        <v>0</v>
      </c>
      <c r="V40" s="219">
        <f>'Perfil - interna'!V40</f>
        <v>0</v>
      </c>
      <c r="W40" s="219">
        <f>'Perfil - interna'!W40</f>
        <v>0</v>
      </c>
      <c r="X40" s="219">
        <f>'Perfil - interna'!X40</f>
        <v>0</v>
      </c>
      <c r="Y40" s="219">
        <f>'Perfil - interna'!Y40</f>
        <v>0</v>
      </c>
      <c r="Z40" s="219">
        <f>'Perfil - interna'!Z40</f>
        <v>0</v>
      </c>
      <c r="AA40" s="219">
        <f>'Perfil - interna'!AA40</f>
        <v>0</v>
      </c>
      <c r="AB40" s="219">
        <f>'Perfil - interna'!AB40</f>
        <v>0</v>
      </c>
      <c r="AC40" s="219">
        <f>'Perfil - interna'!AC40</f>
        <v>0</v>
      </c>
      <c r="AD40" s="219">
        <f>'Perfil - interna'!AD40</f>
        <v>0</v>
      </c>
      <c r="AE40" s="219">
        <f>'Perfil - interna'!AE40</f>
        <v>0</v>
      </c>
      <c r="AF40" s="219">
        <f>'Perfil - interna'!AF40</f>
        <v>0</v>
      </c>
      <c r="AG40" s="219">
        <f>'Perfil - interna'!AG40</f>
        <v>0</v>
      </c>
      <c r="AH40" s="219">
        <f>'Perfil - interna'!AH40</f>
        <v>0</v>
      </c>
      <c r="AI40" s="219">
        <f>'Perfil - interna'!AI40</f>
        <v>0</v>
      </c>
      <c r="AJ40" s="219">
        <f>'Perfil - interna'!AJ40</f>
        <v>0</v>
      </c>
      <c r="AK40" s="219">
        <f>'Perfil - interna'!AK40</f>
        <v>0</v>
      </c>
      <c r="AL40" s="219">
        <f>'Perfil - interna'!AL40</f>
        <v>0</v>
      </c>
      <c r="AM40" s="219">
        <f>'Perfil - interna'!AM40</f>
        <v>0</v>
      </c>
      <c r="AN40" s="219">
        <f>'Perfil - interna'!AN40</f>
        <v>0</v>
      </c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</row>
    <row r="41" spans="1:63">
      <c r="A41" s="170">
        <v>37256</v>
      </c>
      <c r="B41" s="220" t="str">
        <f>Servicio_internaColumna_título_intereses</f>
        <v>Intereses</v>
      </c>
      <c r="C41" s="221">
        <f>'Perfil - interna'!C41</f>
        <v>0</v>
      </c>
      <c r="D41" s="222">
        <f>'Perfil - interna'!D41</f>
        <v>0</v>
      </c>
      <c r="E41" s="222">
        <f>'Perfil - interna'!E41</f>
        <v>0</v>
      </c>
      <c r="F41" s="222">
        <f>'Perfil - interna'!F41</f>
        <v>0</v>
      </c>
      <c r="G41" s="222">
        <f>'Perfil - interna'!G41</f>
        <v>0</v>
      </c>
      <c r="H41" s="222">
        <f>'Perfil - interna'!H41</f>
        <v>0</v>
      </c>
      <c r="I41" s="222">
        <f>'Perfil - interna'!I41</f>
        <v>0</v>
      </c>
      <c r="J41" s="222">
        <f>'Perfil - interna'!J41</f>
        <v>0</v>
      </c>
      <c r="K41" s="222">
        <f>'Perfil - interna'!K41</f>
        <v>0</v>
      </c>
      <c r="L41" s="222">
        <f>'Perfil - interna'!L41</f>
        <v>0</v>
      </c>
      <c r="M41" s="222">
        <f>'Perfil - interna'!M41</f>
        <v>0</v>
      </c>
      <c r="N41" s="222">
        <f>'Perfil - interna'!N41</f>
        <v>0</v>
      </c>
      <c r="O41" s="222">
        <f>'Perfil - interna'!O41</f>
        <v>0</v>
      </c>
      <c r="P41" s="222">
        <f>'Perfil - interna'!P41</f>
        <v>0</v>
      </c>
      <c r="Q41" s="222">
        <f>'Perfil - interna'!Q41</f>
        <v>0</v>
      </c>
      <c r="R41" s="222">
        <f>'Perfil - interna'!R41</f>
        <v>0</v>
      </c>
      <c r="S41" s="222">
        <f>'Perfil - interna'!S41</f>
        <v>0</v>
      </c>
      <c r="T41" s="222">
        <f>'Perfil - interna'!T41</f>
        <v>0</v>
      </c>
      <c r="U41" s="222">
        <f>'Perfil - interna'!U41</f>
        <v>0</v>
      </c>
      <c r="V41" s="222">
        <f>'Perfil - interna'!V41</f>
        <v>0</v>
      </c>
      <c r="W41" s="222">
        <f>'Perfil - interna'!W41</f>
        <v>0</v>
      </c>
      <c r="X41" s="222">
        <f>'Perfil - interna'!X41</f>
        <v>0</v>
      </c>
      <c r="Y41" s="222">
        <f>'Perfil - interna'!Y41</f>
        <v>0</v>
      </c>
      <c r="Z41" s="222">
        <f>'Perfil - interna'!Z41</f>
        <v>0</v>
      </c>
      <c r="AA41" s="222">
        <f>'Perfil - interna'!AA41</f>
        <v>0</v>
      </c>
      <c r="AB41" s="222">
        <f>'Perfil - interna'!AB41</f>
        <v>0</v>
      </c>
      <c r="AC41" s="222">
        <f>'Perfil - interna'!AC41</f>
        <v>0</v>
      </c>
      <c r="AD41" s="222">
        <f>'Perfil - interna'!AD41</f>
        <v>0</v>
      </c>
      <c r="AE41" s="222">
        <f>'Perfil - interna'!AE41</f>
        <v>0</v>
      </c>
      <c r="AF41" s="222">
        <f>'Perfil - interna'!AF41</f>
        <v>0</v>
      </c>
      <c r="AG41" s="222">
        <f>'Perfil - interna'!AG41</f>
        <v>0</v>
      </c>
      <c r="AH41" s="222">
        <f>'Perfil - interna'!AH41</f>
        <v>0</v>
      </c>
      <c r="AI41" s="222">
        <f>'Perfil - interna'!AI41</f>
        <v>0</v>
      </c>
      <c r="AJ41" s="222">
        <f>'Perfil - interna'!AJ41</f>
        <v>0</v>
      </c>
      <c r="AK41" s="222">
        <f>'Perfil - interna'!AK41</f>
        <v>0</v>
      </c>
      <c r="AL41" s="222">
        <f>'Perfil - interna'!AL41</f>
        <v>0</v>
      </c>
      <c r="AM41" s="222">
        <f>'Perfil - interna'!AM41</f>
        <v>0</v>
      </c>
      <c r="AN41" s="222">
        <f>'Perfil - interna'!AN41</f>
        <v>0</v>
      </c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</row>
    <row r="42" spans="1:63">
      <c r="A42" s="171"/>
      <c r="B42" s="318" t="str">
        <f>Servicio_internaColumna_título_total</f>
        <v>Total</v>
      </c>
      <c r="C42" s="319">
        <f t="shared" ref="C42:AN42" si="6">+C41+C40</f>
        <v>0</v>
      </c>
      <c r="D42" s="320">
        <f t="shared" si="6"/>
        <v>7049068.0984627157</v>
      </c>
      <c r="E42" s="320">
        <f t="shared" si="6"/>
        <v>4434494.925978167</v>
      </c>
      <c r="F42" s="320">
        <f t="shared" si="6"/>
        <v>5189286.7185598658</v>
      </c>
      <c r="G42" s="320">
        <f t="shared" si="6"/>
        <v>3814093.8219778324</v>
      </c>
      <c r="H42" s="320">
        <f t="shared" si="6"/>
        <v>4861678.4332649149</v>
      </c>
      <c r="I42" s="320">
        <f t="shared" si="6"/>
        <v>4204403.1596988309</v>
      </c>
      <c r="J42" s="320">
        <f t="shared" si="6"/>
        <v>4234903.4224661365</v>
      </c>
      <c r="K42" s="320">
        <f t="shared" si="6"/>
        <v>1776166.023939454</v>
      </c>
      <c r="L42" s="320">
        <f t="shared" si="6"/>
        <v>842948.2699116997</v>
      </c>
      <c r="M42" s="320">
        <f t="shared" si="6"/>
        <v>4862483.3769200006</v>
      </c>
      <c r="N42" s="320">
        <f t="shared" si="6"/>
        <v>0</v>
      </c>
      <c r="O42" s="320">
        <f t="shared" si="6"/>
        <v>2135938.3307213401</v>
      </c>
      <c r="P42" s="320">
        <f t="shared" si="6"/>
        <v>0</v>
      </c>
      <c r="Q42" s="320">
        <f t="shared" si="6"/>
        <v>0</v>
      </c>
      <c r="R42" s="320">
        <f t="shared" si="6"/>
        <v>0</v>
      </c>
      <c r="S42" s="320">
        <f t="shared" si="6"/>
        <v>0</v>
      </c>
      <c r="T42" s="320">
        <f t="shared" si="6"/>
        <v>0</v>
      </c>
      <c r="U42" s="320">
        <f t="shared" si="6"/>
        <v>0</v>
      </c>
      <c r="V42" s="320">
        <f t="shared" si="6"/>
        <v>0</v>
      </c>
      <c r="W42" s="320">
        <f t="shared" si="6"/>
        <v>0</v>
      </c>
      <c r="X42" s="320">
        <f t="shared" si="6"/>
        <v>0</v>
      </c>
      <c r="Y42" s="320">
        <f t="shared" si="6"/>
        <v>0</v>
      </c>
      <c r="Z42" s="320">
        <f t="shared" si="6"/>
        <v>0</v>
      </c>
      <c r="AA42" s="320">
        <f t="shared" si="6"/>
        <v>0</v>
      </c>
      <c r="AB42" s="320">
        <f t="shared" si="6"/>
        <v>0</v>
      </c>
      <c r="AC42" s="320">
        <f t="shared" si="6"/>
        <v>0</v>
      </c>
      <c r="AD42" s="320">
        <f t="shared" si="6"/>
        <v>0</v>
      </c>
      <c r="AE42" s="320">
        <f t="shared" si="6"/>
        <v>0</v>
      </c>
      <c r="AF42" s="320">
        <f t="shared" si="6"/>
        <v>0</v>
      </c>
      <c r="AG42" s="320">
        <f t="shared" si="6"/>
        <v>0</v>
      </c>
      <c r="AH42" s="320">
        <f t="shared" si="6"/>
        <v>0</v>
      </c>
      <c r="AI42" s="320">
        <f t="shared" si="6"/>
        <v>0</v>
      </c>
      <c r="AJ42" s="320">
        <f t="shared" si="6"/>
        <v>0</v>
      </c>
      <c r="AK42" s="320">
        <f t="shared" si="6"/>
        <v>0</v>
      </c>
      <c r="AL42" s="320">
        <f t="shared" si="6"/>
        <v>0</v>
      </c>
      <c r="AM42" s="320">
        <f t="shared" si="6"/>
        <v>0</v>
      </c>
      <c r="AN42" s="320">
        <f t="shared" si="6"/>
        <v>0</v>
      </c>
      <c r="AO42" s="320"/>
      <c r="AP42" s="320"/>
      <c r="AQ42" s="320"/>
      <c r="AR42" s="320"/>
      <c r="AS42" s="320"/>
      <c r="AT42" s="320"/>
      <c r="AU42" s="320"/>
      <c r="AV42" s="320"/>
      <c r="AW42" s="320"/>
      <c r="AX42" s="320"/>
      <c r="AY42" s="320"/>
      <c r="AZ42" s="320"/>
      <c r="BA42" s="320"/>
      <c r="BB42" s="320"/>
      <c r="BC42" s="320"/>
      <c r="BD42" s="320"/>
      <c r="BE42" s="320"/>
      <c r="BF42" s="320"/>
      <c r="BG42" s="320"/>
      <c r="BH42" s="320"/>
      <c r="BI42" s="320"/>
      <c r="BJ42" s="320"/>
      <c r="BK42" s="320"/>
    </row>
    <row r="43" spans="1:63">
      <c r="A43" s="167"/>
      <c r="B43" s="217" t="str">
        <f>Servicio_internaColumna_título_amortizaciones</f>
        <v>Amortizaciones</v>
      </c>
      <c r="C43" s="218">
        <f>'Perfil - interna'!C43</f>
        <v>0</v>
      </c>
      <c r="D43" s="219">
        <f>'Perfil - interna'!D43</f>
        <v>6781551.6432059491</v>
      </c>
      <c r="E43" s="219">
        <f>'Perfil - interna'!E43</f>
        <v>4572593.2896402152</v>
      </c>
      <c r="F43" s="219">
        <f>'Perfil - interna'!F43</f>
        <v>5179240.7651138445</v>
      </c>
      <c r="G43" s="219">
        <f>'Perfil - interna'!G43</f>
        <v>3766866.2837536749</v>
      </c>
      <c r="H43" s="219">
        <f>'Perfil - interna'!H43</f>
        <v>4842834.4180923412</v>
      </c>
      <c r="I43" s="219">
        <f>'Perfil - interna'!I43</f>
        <v>4114774.0263271406</v>
      </c>
      <c r="J43" s="219">
        <f>'Perfil - interna'!J43</f>
        <v>4325896.9093888458</v>
      </c>
      <c r="K43" s="219">
        <f>'Perfil - interna'!K43</f>
        <v>1663835.4013290631</v>
      </c>
      <c r="L43" s="219">
        <f>'Perfil - interna'!L43</f>
        <v>844032.32251866348</v>
      </c>
      <c r="M43" s="219">
        <f>'Perfil - interna'!M43</f>
        <v>4865484.1960699996</v>
      </c>
      <c r="N43" s="219">
        <f>'Perfil - interna'!N43</f>
        <v>829101.20063800004</v>
      </c>
      <c r="O43" s="219">
        <f>'Perfil - interna'!O43</f>
        <v>2135938.3307213401</v>
      </c>
      <c r="P43" s="219">
        <f>'Perfil - interna'!P43</f>
        <v>0</v>
      </c>
      <c r="Q43" s="219">
        <f>'Perfil - interna'!Q43</f>
        <v>0</v>
      </c>
      <c r="R43" s="219">
        <f>'Perfil - interna'!R43</f>
        <v>0</v>
      </c>
      <c r="S43" s="219">
        <f>'Perfil - interna'!S43</f>
        <v>0</v>
      </c>
      <c r="T43" s="219">
        <f>'Perfil - interna'!T43</f>
        <v>0</v>
      </c>
      <c r="U43" s="219">
        <f>'Perfil - interna'!U43</f>
        <v>0</v>
      </c>
      <c r="V43" s="219">
        <f>'Perfil - interna'!V43</f>
        <v>0</v>
      </c>
      <c r="W43" s="219">
        <f>'Perfil - interna'!W43</f>
        <v>0</v>
      </c>
      <c r="X43" s="219">
        <f>'Perfil - interna'!X43</f>
        <v>0</v>
      </c>
      <c r="Y43" s="219">
        <f>'Perfil - interna'!Y43</f>
        <v>0</v>
      </c>
      <c r="Z43" s="219">
        <f>'Perfil - interna'!Z43</f>
        <v>0</v>
      </c>
      <c r="AA43" s="219">
        <f>'Perfil - interna'!AA43</f>
        <v>0</v>
      </c>
      <c r="AB43" s="219">
        <f>'Perfil - interna'!AB43</f>
        <v>0</v>
      </c>
      <c r="AC43" s="219">
        <f>'Perfil - interna'!AC43</f>
        <v>0</v>
      </c>
      <c r="AD43" s="219">
        <f>'Perfil - interna'!AD43</f>
        <v>0</v>
      </c>
      <c r="AE43" s="219">
        <f>'Perfil - interna'!AE43</f>
        <v>0</v>
      </c>
      <c r="AF43" s="219">
        <f>'Perfil - interna'!AF43</f>
        <v>0</v>
      </c>
      <c r="AG43" s="219">
        <f>'Perfil - interna'!AG43</f>
        <v>0</v>
      </c>
      <c r="AH43" s="219">
        <f>'Perfil - interna'!AH43</f>
        <v>0</v>
      </c>
      <c r="AI43" s="219">
        <f>'Perfil - interna'!AI43</f>
        <v>0</v>
      </c>
      <c r="AJ43" s="219">
        <f>'Perfil - interna'!AJ43</f>
        <v>0</v>
      </c>
      <c r="AK43" s="219">
        <f>'Perfil - interna'!AK43</f>
        <v>0</v>
      </c>
      <c r="AL43" s="219">
        <f>'Perfil - interna'!AL43</f>
        <v>0</v>
      </c>
      <c r="AM43" s="219">
        <f>'Perfil - interna'!AM43</f>
        <v>0</v>
      </c>
      <c r="AN43" s="219">
        <f>'Perfil - interna'!AN43</f>
        <v>0</v>
      </c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</row>
    <row r="44" spans="1:63">
      <c r="A44" s="170">
        <v>37287</v>
      </c>
      <c r="B44" s="220" t="str">
        <f>Servicio_internaColumna_título_intereses</f>
        <v>Intereses</v>
      </c>
      <c r="C44" s="221">
        <f>'Perfil - interna'!C44</f>
        <v>0</v>
      </c>
      <c r="D44" s="222">
        <f>'Perfil - interna'!D44</f>
        <v>0</v>
      </c>
      <c r="E44" s="222">
        <f>'Perfil - interna'!E44</f>
        <v>0</v>
      </c>
      <c r="F44" s="222">
        <f>'Perfil - interna'!F44</f>
        <v>0</v>
      </c>
      <c r="G44" s="222">
        <f>'Perfil - interna'!G44</f>
        <v>0</v>
      </c>
      <c r="H44" s="222">
        <f>'Perfil - interna'!H44</f>
        <v>0</v>
      </c>
      <c r="I44" s="222">
        <f>'Perfil - interna'!I44</f>
        <v>0</v>
      </c>
      <c r="J44" s="222">
        <f>'Perfil - interna'!J44</f>
        <v>0</v>
      </c>
      <c r="K44" s="222">
        <f>'Perfil - interna'!K44</f>
        <v>0</v>
      </c>
      <c r="L44" s="222">
        <f>'Perfil - interna'!L44</f>
        <v>0</v>
      </c>
      <c r="M44" s="222">
        <f>'Perfil - interna'!M44</f>
        <v>0</v>
      </c>
      <c r="N44" s="222">
        <f>'Perfil - interna'!N44</f>
        <v>0</v>
      </c>
      <c r="O44" s="222">
        <f>'Perfil - interna'!O44</f>
        <v>0</v>
      </c>
      <c r="P44" s="222">
        <f>'Perfil - interna'!P44</f>
        <v>0</v>
      </c>
      <c r="Q44" s="222">
        <f>'Perfil - interna'!Q44</f>
        <v>0</v>
      </c>
      <c r="R44" s="222">
        <f>'Perfil - interna'!R44</f>
        <v>0</v>
      </c>
      <c r="S44" s="222">
        <f>'Perfil - interna'!S44</f>
        <v>0</v>
      </c>
      <c r="T44" s="222">
        <f>'Perfil - interna'!T44</f>
        <v>0</v>
      </c>
      <c r="U44" s="222">
        <f>'Perfil - interna'!U44</f>
        <v>0</v>
      </c>
      <c r="V44" s="222">
        <f>'Perfil - interna'!V44</f>
        <v>0</v>
      </c>
      <c r="W44" s="222">
        <f>'Perfil - interna'!W44</f>
        <v>0</v>
      </c>
      <c r="X44" s="222">
        <f>'Perfil - interna'!X44</f>
        <v>0</v>
      </c>
      <c r="Y44" s="222">
        <f>'Perfil - interna'!Y44</f>
        <v>0</v>
      </c>
      <c r="Z44" s="222">
        <f>'Perfil - interna'!Z44</f>
        <v>0</v>
      </c>
      <c r="AA44" s="222">
        <f>'Perfil - interna'!AA44</f>
        <v>0</v>
      </c>
      <c r="AB44" s="222">
        <f>'Perfil - interna'!AB44</f>
        <v>0</v>
      </c>
      <c r="AC44" s="222">
        <f>'Perfil - interna'!AC44</f>
        <v>0</v>
      </c>
      <c r="AD44" s="222">
        <f>'Perfil - interna'!AD44</f>
        <v>0</v>
      </c>
      <c r="AE44" s="222">
        <f>'Perfil - interna'!AE44</f>
        <v>0</v>
      </c>
      <c r="AF44" s="222">
        <f>'Perfil - interna'!AF44</f>
        <v>0</v>
      </c>
      <c r="AG44" s="222">
        <f>'Perfil - interna'!AG44</f>
        <v>0</v>
      </c>
      <c r="AH44" s="222">
        <f>'Perfil - interna'!AH44</f>
        <v>0</v>
      </c>
      <c r="AI44" s="222">
        <f>'Perfil - interna'!AI44</f>
        <v>0</v>
      </c>
      <c r="AJ44" s="222">
        <f>'Perfil - interna'!AJ44</f>
        <v>0</v>
      </c>
      <c r="AK44" s="222">
        <f>'Perfil - interna'!AK44</f>
        <v>0</v>
      </c>
      <c r="AL44" s="222">
        <f>'Perfil - interna'!AL44</f>
        <v>0</v>
      </c>
      <c r="AM44" s="222">
        <f>'Perfil - interna'!AM44</f>
        <v>0</v>
      </c>
      <c r="AN44" s="222">
        <f>'Perfil - interna'!AN44</f>
        <v>0</v>
      </c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</row>
    <row r="45" spans="1:63">
      <c r="A45" s="171"/>
      <c r="B45" s="318" t="str">
        <f>Servicio_internaColumna_título_total</f>
        <v>Total</v>
      </c>
      <c r="C45" s="319">
        <f t="shared" ref="C45:AN45" si="7">+C44+C43</f>
        <v>0</v>
      </c>
      <c r="D45" s="320">
        <f t="shared" si="7"/>
        <v>6781551.6432059491</v>
      </c>
      <c r="E45" s="320">
        <f t="shared" si="7"/>
        <v>4572593.2896402152</v>
      </c>
      <c r="F45" s="320">
        <f t="shared" si="7"/>
        <v>5179240.7651138445</v>
      </c>
      <c r="G45" s="320">
        <f t="shared" si="7"/>
        <v>3766866.2837536749</v>
      </c>
      <c r="H45" s="320">
        <f t="shared" si="7"/>
        <v>4842834.4180923412</v>
      </c>
      <c r="I45" s="320">
        <f t="shared" si="7"/>
        <v>4114774.0263271406</v>
      </c>
      <c r="J45" s="320">
        <f t="shared" si="7"/>
        <v>4325896.9093888458</v>
      </c>
      <c r="K45" s="320">
        <f t="shared" si="7"/>
        <v>1663835.4013290631</v>
      </c>
      <c r="L45" s="320">
        <f t="shared" si="7"/>
        <v>844032.32251866348</v>
      </c>
      <c r="M45" s="320">
        <f t="shared" si="7"/>
        <v>4865484.1960699996</v>
      </c>
      <c r="N45" s="320">
        <f t="shared" si="7"/>
        <v>829101.20063800004</v>
      </c>
      <c r="O45" s="320">
        <f t="shared" si="7"/>
        <v>2135938.3307213401</v>
      </c>
      <c r="P45" s="320">
        <f t="shared" si="7"/>
        <v>0</v>
      </c>
      <c r="Q45" s="320">
        <f t="shared" si="7"/>
        <v>0</v>
      </c>
      <c r="R45" s="320">
        <f t="shared" si="7"/>
        <v>0</v>
      </c>
      <c r="S45" s="320">
        <f t="shared" si="7"/>
        <v>0</v>
      </c>
      <c r="T45" s="320">
        <f t="shared" si="7"/>
        <v>0</v>
      </c>
      <c r="U45" s="320">
        <f t="shared" si="7"/>
        <v>0</v>
      </c>
      <c r="V45" s="320">
        <f t="shared" si="7"/>
        <v>0</v>
      </c>
      <c r="W45" s="320">
        <f t="shared" si="7"/>
        <v>0</v>
      </c>
      <c r="X45" s="320">
        <f t="shared" si="7"/>
        <v>0</v>
      </c>
      <c r="Y45" s="320">
        <f t="shared" si="7"/>
        <v>0</v>
      </c>
      <c r="Z45" s="320">
        <f t="shared" si="7"/>
        <v>0</v>
      </c>
      <c r="AA45" s="320">
        <f t="shared" si="7"/>
        <v>0</v>
      </c>
      <c r="AB45" s="320">
        <f t="shared" si="7"/>
        <v>0</v>
      </c>
      <c r="AC45" s="320">
        <f t="shared" si="7"/>
        <v>0</v>
      </c>
      <c r="AD45" s="320">
        <f t="shared" si="7"/>
        <v>0</v>
      </c>
      <c r="AE45" s="320">
        <f t="shared" si="7"/>
        <v>0</v>
      </c>
      <c r="AF45" s="320">
        <f t="shared" si="7"/>
        <v>0</v>
      </c>
      <c r="AG45" s="320">
        <f t="shared" si="7"/>
        <v>0</v>
      </c>
      <c r="AH45" s="320">
        <f t="shared" si="7"/>
        <v>0</v>
      </c>
      <c r="AI45" s="320">
        <f t="shared" si="7"/>
        <v>0</v>
      </c>
      <c r="AJ45" s="320">
        <f t="shared" si="7"/>
        <v>0</v>
      </c>
      <c r="AK45" s="320">
        <f t="shared" si="7"/>
        <v>0</v>
      </c>
      <c r="AL45" s="320">
        <f t="shared" si="7"/>
        <v>0</v>
      </c>
      <c r="AM45" s="320">
        <f t="shared" si="7"/>
        <v>0</v>
      </c>
      <c r="AN45" s="320">
        <f t="shared" si="7"/>
        <v>0</v>
      </c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0"/>
      <c r="AZ45" s="320"/>
      <c r="BA45" s="320"/>
      <c r="BB45" s="320"/>
      <c r="BC45" s="320"/>
      <c r="BD45" s="320"/>
      <c r="BE45" s="320"/>
      <c r="BF45" s="320"/>
      <c r="BG45" s="320"/>
      <c r="BH45" s="320"/>
      <c r="BI45" s="320"/>
      <c r="BJ45" s="320"/>
      <c r="BK45" s="320"/>
    </row>
    <row r="46" spans="1:63">
      <c r="A46" s="167"/>
      <c r="B46" s="217" t="str">
        <f>Servicio_internaColumna_título_amortizaciones</f>
        <v>Amortizaciones</v>
      </c>
      <c r="C46" s="218">
        <f>'Perfil - interna'!C46</f>
        <v>0</v>
      </c>
      <c r="D46" s="219">
        <f>'Perfil - interna'!D46</f>
        <v>6772600.9893043162</v>
      </c>
      <c r="E46" s="219">
        <f>'Perfil - interna'!E46</f>
        <v>4873191.8021837231</v>
      </c>
      <c r="F46" s="219">
        <f>'Perfil - interna'!F46</f>
        <v>5043696.2662065458</v>
      </c>
      <c r="G46" s="219">
        <f>'Perfil - interna'!G46</f>
        <v>3772209.2327739834</v>
      </c>
      <c r="H46" s="219">
        <f>'Perfil - interna'!H46</f>
        <v>4943441.6295571784</v>
      </c>
      <c r="I46" s="219">
        <f>'Perfil - interna'!I46</f>
        <v>3954354.1682527149</v>
      </c>
      <c r="J46" s="219">
        <f>'Perfil - interna'!J46</f>
        <v>4414570.6401925199</v>
      </c>
      <c r="K46" s="219">
        <f>'Perfil - interna'!K46</f>
        <v>1766414.8273482192</v>
      </c>
      <c r="L46" s="219">
        <f>'Perfil - interna'!L46</f>
        <v>846522.57223663793</v>
      </c>
      <c r="M46" s="219">
        <f>'Perfil - interna'!M46</f>
        <v>4872383.43389</v>
      </c>
      <c r="N46" s="219">
        <f>'Perfil - interna'!N46</f>
        <v>2923923.2167870002</v>
      </c>
      <c r="O46" s="219">
        <f>'Perfil - interna'!O46</f>
        <v>2135938.3307213401</v>
      </c>
      <c r="P46" s="219">
        <f>'Perfil - interna'!P46</f>
        <v>0</v>
      </c>
      <c r="Q46" s="219">
        <f>'Perfil - interna'!Q46</f>
        <v>0</v>
      </c>
      <c r="R46" s="219">
        <f>'Perfil - interna'!R46</f>
        <v>0</v>
      </c>
      <c r="S46" s="219">
        <f>'Perfil - interna'!S46</f>
        <v>0</v>
      </c>
      <c r="T46" s="219">
        <f>'Perfil - interna'!T46</f>
        <v>0</v>
      </c>
      <c r="U46" s="219">
        <f>'Perfil - interna'!U46</f>
        <v>0</v>
      </c>
      <c r="V46" s="219">
        <f>'Perfil - interna'!V46</f>
        <v>0</v>
      </c>
      <c r="W46" s="219">
        <f>'Perfil - interna'!W46</f>
        <v>0</v>
      </c>
      <c r="X46" s="219">
        <f>'Perfil - interna'!X46</f>
        <v>0</v>
      </c>
      <c r="Y46" s="219">
        <f>'Perfil - interna'!Y46</f>
        <v>0</v>
      </c>
      <c r="Z46" s="219">
        <f>'Perfil - interna'!Z46</f>
        <v>0</v>
      </c>
      <c r="AA46" s="219">
        <f>'Perfil - interna'!AA46</f>
        <v>0</v>
      </c>
      <c r="AB46" s="219">
        <f>'Perfil - interna'!AB46</f>
        <v>0</v>
      </c>
      <c r="AC46" s="219">
        <f>'Perfil - interna'!AC46</f>
        <v>0</v>
      </c>
      <c r="AD46" s="219">
        <f>'Perfil - interna'!AD46</f>
        <v>0</v>
      </c>
      <c r="AE46" s="219">
        <f>'Perfil - interna'!AE46</f>
        <v>0</v>
      </c>
      <c r="AF46" s="219">
        <f>'Perfil - interna'!AF46</f>
        <v>0</v>
      </c>
      <c r="AG46" s="219">
        <f>'Perfil - interna'!AG46</f>
        <v>0</v>
      </c>
      <c r="AH46" s="219">
        <f>'Perfil - interna'!AH46</f>
        <v>0</v>
      </c>
      <c r="AI46" s="219">
        <f>'Perfil - interna'!AI46</f>
        <v>0</v>
      </c>
      <c r="AJ46" s="219">
        <f>'Perfil - interna'!AJ46</f>
        <v>0</v>
      </c>
      <c r="AK46" s="219">
        <f>'Perfil - interna'!AK46</f>
        <v>0</v>
      </c>
      <c r="AL46" s="219">
        <f>'Perfil - interna'!AL46</f>
        <v>0</v>
      </c>
      <c r="AM46" s="219">
        <f>'Perfil - interna'!AM46</f>
        <v>0</v>
      </c>
      <c r="AN46" s="219">
        <f>'Perfil - interna'!AN46</f>
        <v>0</v>
      </c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</row>
    <row r="47" spans="1:63">
      <c r="A47" s="170">
        <v>37315</v>
      </c>
      <c r="B47" s="220" t="str">
        <f>Servicio_internaColumna_título_intereses</f>
        <v>Intereses</v>
      </c>
      <c r="C47" s="221">
        <f>'Perfil - interna'!C47</f>
        <v>0</v>
      </c>
      <c r="D47" s="222">
        <f>'Perfil - interna'!D47</f>
        <v>0</v>
      </c>
      <c r="E47" s="222">
        <f>'Perfil - interna'!E47</f>
        <v>0</v>
      </c>
      <c r="F47" s="222">
        <f>'Perfil - interna'!F47</f>
        <v>0</v>
      </c>
      <c r="G47" s="222">
        <f>'Perfil - interna'!G47</f>
        <v>0</v>
      </c>
      <c r="H47" s="222">
        <f>'Perfil - interna'!H47</f>
        <v>0</v>
      </c>
      <c r="I47" s="222">
        <f>'Perfil - interna'!I47</f>
        <v>0</v>
      </c>
      <c r="J47" s="222">
        <f>'Perfil - interna'!J47</f>
        <v>0</v>
      </c>
      <c r="K47" s="222">
        <f>'Perfil - interna'!K47</f>
        <v>0</v>
      </c>
      <c r="L47" s="222">
        <f>'Perfil - interna'!L47</f>
        <v>0</v>
      </c>
      <c r="M47" s="222">
        <f>'Perfil - interna'!M47</f>
        <v>0</v>
      </c>
      <c r="N47" s="222">
        <f>'Perfil - interna'!N47</f>
        <v>0</v>
      </c>
      <c r="O47" s="222">
        <f>'Perfil - interna'!O47</f>
        <v>0</v>
      </c>
      <c r="P47" s="222">
        <f>'Perfil - interna'!P47</f>
        <v>0</v>
      </c>
      <c r="Q47" s="222">
        <f>'Perfil - interna'!Q47</f>
        <v>0</v>
      </c>
      <c r="R47" s="222">
        <f>'Perfil - interna'!R47</f>
        <v>0</v>
      </c>
      <c r="S47" s="222">
        <f>'Perfil - interna'!S47</f>
        <v>0</v>
      </c>
      <c r="T47" s="222">
        <f>'Perfil - interna'!T47</f>
        <v>0</v>
      </c>
      <c r="U47" s="222">
        <f>'Perfil - interna'!U47</f>
        <v>0</v>
      </c>
      <c r="V47" s="222">
        <f>'Perfil - interna'!V47</f>
        <v>0</v>
      </c>
      <c r="W47" s="222">
        <f>'Perfil - interna'!W47</f>
        <v>0</v>
      </c>
      <c r="X47" s="222">
        <f>'Perfil - interna'!X47</f>
        <v>0</v>
      </c>
      <c r="Y47" s="222">
        <f>'Perfil - interna'!Y47</f>
        <v>0</v>
      </c>
      <c r="Z47" s="222">
        <f>'Perfil - interna'!Z47</f>
        <v>0</v>
      </c>
      <c r="AA47" s="222">
        <f>'Perfil - interna'!AA47</f>
        <v>0</v>
      </c>
      <c r="AB47" s="222">
        <f>'Perfil - interna'!AB47</f>
        <v>0</v>
      </c>
      <c r="AC47" s="222">
        <f>'Perfil - interna'!AC47</f>
        <v>0</v>
      </c>
      <c r="AD47" s="222">
        <f>'Perfil - interna'!AD47</f>
        <v>0</v>
      </c>
      <c r="AE47" s="222">
        <f>'Perfil - interna'!AE47</f>
        <v>0</v>
      </c>
      <c r="AF47" s="222">
        <f>'Perfil - interna'!AF47</f>
        <v>0</v>
      </c>
      <c r="AG47" s="222">
        <f>'Perfil - interna'!AG47</f>
        <v>0</v>
      </c>
      <c r="AH47" s="222">
        <f>'Perfil - interna'!AH47</f>
        <v>0</v>
      </c>
      <c r="AI47" s="222">
        <f>'Perfil - interna'!AI47</f>
        <v>0</v>
      </c>
      <c r="AJ47" s="222">
        <f>'Perfil - interna'!AJ47</f>
        <v>0</v>
      </c>
      <c r="AK47" s="222">
        <f>'Perfil - interna'!AK47</f>
        <v>0</v>
      </c>
      <c r="AL47" s="222">
        <f>'Perfil - interna'!AL47</f>
        <v>0</v>
      </c>
      <c r="AM47" s="222">
        <f>'Perfil - interna'!AM47</f>
        <v>0</v>
      </c>
      <c r="AN47" s="222">
        <f>'Perfil - interna'!AN47</f>
        <v>0</v>
      </c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</row>
    <row r="48" spans="1:63">
      <c r="A48" s="171"/>
      <c r="B48" s="318" t="str">
        <f>Servicio_internaColumna_título_total</f>
        <v>Total</v>
      </c>
      <c r="C48" s="319">
        <f t="shared" ref="C48:AN48" si="8">+C47+C46</f>
        <v>0</v>
      </c>
      <c r="D48" s="320">
        <f t="shared" si="8"/>
        <v>6772600.9893043162</v>
      </c>
      <c r="E48" s="320">
        <f t="shared" si="8"/>
        <v>4873191.8021837231</v>
      </c>
      <c r="F48" s="320">
        <f t="shared" si="8"/>
        <v>5043696.2662065458</v>
      </c>
      <c r="G48" s="320">
        <f t="shared" si="8"/>
        <v>3772209.2327739834</v>
      </c>
      <c r="H48" s="320">
        <f t="shared" si="8"/>
        <v>4943441.6295571784</v>
      </c>
      <c r="I48" s="320">
        <f t="shared" si="8"/>
        <v>3954354.1682527149</v>
      </c>
      <c r="J48" s="320">
        <f t="shared" si="8"/>
        <v>4414570.6401925199</v>
      </c>
      <c r="K48" s="320">
        <f t="shared" si="8"/>
        <v>1766414.8273482192</v>
      </c>
      <c r="L48" s="320">
        <f t="shared" si="8"/>
        <v>846522.57223663793</v>
      </c>
      <c r="M48" s="320">
        <f t="shared" si="8"/>
        <v>4872383.43389</v>
      </c>
      <c r="N48" s="320">
        <f t="shared" si="8"/>
        <v>2923923.2167870002</v>
      </c>
      <c r="O48" s="320">
        <f t="shared" si="8"/>
        <v>2135938.3307213401</v>
      </c>
      <c r="P48" s="320">
        <f t="shared" si="8"/>
        <v>0</v>
      </c>
      <c r="Q48" s="320">
        <f t="shared" si="8"/>
        <v>0</v>
      </c>
      <c r="R48" s="320">
        <f t="shared" si="8"/>
        <v>0</v>
      </c>
      <c r="S48" s="320">
        <f t="shared" si="8"/>
        <v>0</v>
      </c>
      <c r="T48" s="320">
        <f t="shared" si="8"/>
        <v>0</v>
      </c>
      <c r="U48" s="320">
        <f t="shared" si="8"/>
        <v>0</v>
      </c>
      <c r="V48" s="320">
        <f t="shared" si="8"/>
        <v>0</v>
      </c>
      <c r="W48" s="320">
        <f t="shared" si="8"/>
        <v>0</v>
      </c>
      <c r="X48" s="320">
        <f t="shared" si="8"/>
        <v>0</v>
      </c>
      <c r="Y48" s="320">
        <f t="shared" si="8"/>
        <v>0</v>
      </c>
      <c r="Z48" s="320">
        <f t="shared" si="8"/>
        <v>0</v>
      </c>
      <c r="AA48" s="320">
        <f t="shared" si="8"/>
        <v>0</v>
      </c>
      <c r="AB48" s="320">
        <f t="shared" si="8"/>
        <v>0</v>
      </c>
      <c r="AC48" s="320">
        <f t="shared" si="8"/>
        <v>0</v>
      </c>
      <c r="AD48" s="320">
        <f t="shared" si="8"/>
        <v>0</v>
      </c>
      <c r="AE48" s="320">
        <f t="shared" si="8"/>
        <v>0</v>
      </c>
      <c r="AF48" s="320">
        <f t="shared" si="8"/>
        <v>0</v>
      </c>
      <c r="AG48" s="320">
        <f t="shared" si="8"/>
        <v>0</v>
      </c>
      <c r="AH48" s="320">
        <f t="shared" si="8"/>
        <v>0</v>
      </c>
      <c r="AI48" s="320">
        <f t="shared" si="8"/>
        <v>0</v>
      </c>
      <c r="AJ48" s="320">
        <f t="shared" si="8"/>
        <v>0</v>
      </c>
      <c r="AK48" s="320">
        <f t="shared" si="8"/>
        <v>0</v>
      </c>
      <c r="AL48" s="320">
        <f t="shared" si="8"/>
        <v>0</v>
      </c>
      <c r="AM48" s="320">
        <f t="shared" si="8"/>
        <v>0</v>
      </c>
      <c r="AN48" s="320">
        <f t="shared" si="8"/>
        <v>0</v>
      </c>
      <c r="AO48" s="320"/>
      <c r="AP48" s="320"/>
      <c r="AQ48" s="320"/>
      <c r="AR48" s="320"/>
      <c r="AS48" s="320"/>
      <c r="AT48" s="320"/>
      <c r="AU48" s="320"/>
      <c r="AV48" s="320"/>
      <c r="AW48" s="320"/>
      <c r="AX48" s="320"/>
      <c r="AY48" s="320"/>
      <c r="AZ48" s="320"/>
      <c r="BA48" s="320"/>
      <c r="BB48" s="320"/>
      <c r="BC48" s="320"/>
      <c r="BD48" s="320"/>
      <c r="BE48" s="320"/>
      <c r="BF48" s="320"/>
      <c r="BG48" s="320"/>
      <c r="BH48" s="320"/>
      <c r="BI48" s="320"/>
      <c r="BJ48" s="320"/>
      <c r="BK48" s="320"/>
    </row>
    <row r="49" spans="1:63">
      <c r="A49" s="167"/>
      <c r="B49" s="217" t="str">
        <f>Servicio_internaColumna_título_amortizaciones</f>
        <v>Amortizaciones</v>
      </c>
      <c r="C49" s="218">
        <f>'Perfil - interna'!C49</f>
        <v>0</v>
      </c>
      <c r="D49" s="219">
        <f>'Perfil - interna'!D49</f>
        <v>5568977.9201792162</v>
      </c>
      <c r="E49" s="219">
        <f>'Perfil - interna'!E49</f>
        <v>5350338.6930311779</v>
      </c>
      <c r="F49" s="219">
        <f>'Perfil - interna'!F49</f>
        <v>5132507.4638246112</v>
      </c>
      <c r="G49" s="219">
        <f>'Perfil - interna'!G49</f>
        <v>3785235.1427760418</v>
      </c>
      <c r="H49" s="219">
        <f>'Perfil - interna'!H49</f>
        <v>4902475.4319981495</v>
      </c>
      <c r="I49" s="219">
        <f>'Perfil - interna'!I49</f>
        <v>3983199.6149079404</v>
      </c>
      <c r="J49" s="219">
        <f>'Perfil - interna'!J49</f>
        <v>4428369.6470937831</v>
      </c>
      <c r="K49" s="219">
        <f>'Perfil - interna'!K49</f>
        <v>1831986.1123010512</v>
      </c>
      <c r="L49" s="219">
        <f>'Perfil - interna'!L49</f>
        <v>852035.50896386721</v>
      </c>
      <c r="M49" s="219">
        <f>'Perfil - interna'!M49</f>
        <v>4886355.50189</v>
      </c>
      <c r="N49" s="219">
        <f>'Perfil - interna'!N49</f>
        <v>3448268.1384799997</v>
      </c>
      <c r="O49" s="219">
        <f>'Perfil - interna'!O49</f>
        <v>2135938.3307213401</v>
      </c>
      <c r="P49" s="219">
        <f>'Perfil - interna'!P49</f>
        <v>0</v>
      </c>
      <c r="Q49" s="219">
        <f>'Perfil - interna'!Q49</f>
        <v>0</v>
      </c>
      <c r="R49" s="219">
        <f>'Perfil - interna'!R49</f>
        <v>0</v>
      </c>
      <c r="S49" s="219">
        <f>'Perfil - interna'!S49</f>
        <v>0</v>
      </c>
      <c r="T49" s="219">
        <f>'Perfil - interna'!T49</f>
        <v>0</v>
      </c>
      <c r="U49" s="219">
        <f>'Perfil - interna'!U49</f>
        <v>0</v>
      </c>
      <c r="V49" s="219">
        <f>'Perfil - interna'!V49</f>
        <v>0</v>
      </c>
      <c r="W49" s="219">
        <f>'Perfil - interna'!W49</f>
        <v>0</v>
      </c>
      <c r="X49" s="219">
        <f>'Perfil - interna'!X49</f>
        <v>0</v>
      </c>
      <c r="Y49" s="219">
        <f>'Perfil - interna'!Y49</f>
        <v>0</v>
      </c>
      <c r="Z49" s="219">
        <f>'Perfil - interna'!Z49</f>
        <v>0</v>
      </c>
      <c r="AA49" s="219">
        <f>'Perfil - interna'!AA49</f>
        <v>0</v>
      </c>
      <c r="AB49" s="219">
        <f>'Perfil - interna'!AB49</f>
        <v>0</v>
      </c>
      <c r="AC49" s="219">
        <f>'Perfil - interna'!AC49</f>
        <v>0</v>
      </c>
      <c r="AD49" s="219">
        <f>'Perfil - interna'!AD49</f>
        <v>0</v>
      </c>
      <c r="AE49" s="219">
        <f>'Perfil - interna'!AE49</f>
        <v>0</v>
      </c>
      <c r="AF49" s="219">
        <f>'Perfil - interna'!AF49</f>
        <v>0</v>
      </c>
      <c r="AG49" s="219">
        <f>'Perfil - interna'!AG49</f>
        <v>0</v>
      </c>
      <c r="AH49" s="219">
        <f>'Perfil - interna'!AH49</f>
        <v>0</v>
      </c>
      <c r="AI49" s="219">
        <f>'Perfil - interna'!AI49</f>
        <v>0</v>
      </c>
      <c r="AJ49" s="219">
        <f>'Perfil - interna'!AJ49</f>
        <v>0</v>
      </c>
      <c r="AK49" s="219">
        <f>'Perfil - interna'!AK49</f>
        <v>0</v>
      </c>
      <c r="AL49" s="219">
        <f>'Perfil - interna'!AL49</f>
        <v>0</v>
      </c>
      <c r="AM49" s="219">
        <f>'Perfil - interna'!AM49</f>
        <v>0</v>
      </c>
      <c r="AN49" s="219">
        <f>'Perfil - interna'!AN49</f>
        <v>0</v>
      </c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</row>
    <row r="50" spans="1:63">
      <c r="A50" s="170">
        <v>37346</v>
      </c>
      <c r="B50" s="220" t="str">
        <f>Servicio_internaColumna_título_intereses</f>
        <v>Intereses</v>
      </c>
      <c r="C50" s="221">
        <f>'Perfil - interna'!C50</f>
        <v>0</v>
      </c>
      <c r="D50" s="222">
        <f>'Perfil - interna'!D50</f>
        <v>0</v>
      </c>
      <c r="E50" s="222">
        <f>'Perfil - interna'!E50</f>
        <v>0</v>
      </c>
      <c r="F50" s="222">
        <f>'Perfil - interna'!F50</f>
        <v>0</v>
      </c>
      <c r="G50" s="222">
        <f>'Perfil - interna'!G50</f>
        <v>0</v>
      </c>
      <c r="H50" s="222">
        <f>'Perfil - interna'!H50</f>
        <v>0</v>
      </c>
      <c r="I50" s="222">
        <f>'Perfil - interna'!I50</f>
        <v>0</v>
      </c>
      <c r="J50" s="222">
        <f>'Perfil - interna'!J50</f>
        <v>0</v>
      </c>
      <c r="K50" s="222">
        <f>'Perfil - interna'!K50</f>
        <v>0</v>
      </c>
      <c r="L50" s="222">
        <f>'Perfil - interna'!L50</f>
        <v>0</v>
      </c>
      <c r="M50" s="222">
        <f>'Perfil - interna'!M50</f>
        <v>0</v>
      </c>
      <c r="N50" s="222">
        <f>'Perfil - interna'!N50</f>
        <v>0</v>
      </c>
      <c r="O50" s="222">
        <f>'Perfil - interna'!O50</f>
        <v>0</v>
      </c>
      <c r="P50" s="222">
        <f>'Perfil - interna'!P50</f>
        <v>0</v>
      </c>
      <c r="Q50" s="222">
        <f>'Perfil - interna'!Q50</f>
        <v>0</v>
      </c>
      <c r="R50" s="222">
        <f>'Perfil - interna'!R50</f>
        <v>0</v>
      </c>
      <c r="S50" s="222">
        <f>'Perfil - interna'!S50</f>
        <v>0</v>
      </c>
      <c r="T50" s="222">
        <f>'Perfil - interna'!T50</f>
        <v>0</v>
      </c>
      <c r="U50" s="222">
        <f>'Perfil - interna'!U50</f>
        <v>0</v>
      </c>
      <c r="V50" s="222">
        <f>'Perfil - interna'!V50</f>
        <v>0</v>
      </c>
      <c r="W50" s="222">
        <f>'Perfil - interna'!W50</f>
        <v>0</v>
      </c>
      <c r="X50" s="222">
        <f>'Perfil - interna'!X50</f>
        <v>0</v>
      </c>
      <c r="Y50" s="222">
        <f>'Perfil - interna'!Y50</f>
        <v>0</v>
      </c>
      <c r="Z50" s="222">
        <f>'Perfil - interna'!Z50</f>
        <v>0</v>
      </c>
      <c r="AA50" s="222">
        <f>'Perfil - interna'!AA50</f>
        <v>0</v>
      </c>
      <c r="AB50" s="222">
        <f>'Perfil - interna'!AB50</f>
        <v>0</v>
      </c>
      <c r="AC50" s="222">
        <f>'Perfil - interna'!AC50</f>
        <v>0</v>
      </c>
      <c r="AD50" s="222">
        <f>'Perfil - interna'!AD50</f>
        <v>0</v>
      </c>
      <c r="AE50" s="222">
        <f>'Perfil - interna'!AE50</f>
        <v>0</v>
      </c>
      <c r="AF50" s="222">
        <f>'Perfil - interna'!AF50</f>
        <v>0</v>
      </c>
      <c r="AG50" s="222">
        <f>'Perfil - interna'!AG50</f>
        <v>0</v>
      </c>
      <c r="AH50" s="222">
        <f>'Perfil - interna'!AH50</f>
        <v>0</v>
      </c>
      <c r="AI50" s="222">
        <f>'Perfil - interna'!AI50</f>
        <v>0</v>
      </c>
      <c r="AJ50" s="222">
        <f>'Perfil - interna'!AJ50</f>
        <v>0</v>
      </c>
      <c r="AK50" s="222">
        <f>'Perfil - interna'!AK50</f>
        <v>0</v>
      </c>
      <c r="AL50" s="222">
        <f>'Perfil - interna'!AL50</f>
        <v>0</v>
      </c>
      <c r="AM50" s="222">
        <f>'Perfil - interna'!AM50</f>
        <v>0</v>
      </c>
      <c r="AN50" s="222">
        <f>'Perfil - interna'!AN50</f>
        <v>0</v>
      </c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</row>
    <row r="51" spans="1:63">
      <c r="A51" s="171"/>
      <c r="B51" s="318" t="str">
        <f>Servicio_internaColumna_título_total</f>
        <v>Total</v>
      </c>
      <c r="C51" s="319">
        <f t="shared" ref="C51:AN51" si="9">+C50+C49</f>
        <v>0</v>
      </c>
      <c r="D51" s="320">
        <f t="shared" si="9"/>
        <v>5568977.9201792162</v>
      </c>
      <c r="E51" s="320">
        <f t="shared" si="9"/>
        <v>5350338.6930311779</v>
      </c>
      <c r="F51" s="320">
        <f t="shared" si="9"/>
        <v>5132507.4638246112</v>
      </c>
      <c r="G51" s="320">
        <f t="shared" si="9"/>
        <v>3785235.1427760418</v>
      </c>
      <c r="H51" s="320">
        <f t="shared" si="9"/>
        <v>4902475.4319981495</v>
      </c>
      <c r="I51" s="320">
        <f t="shared" si="9"/>
        <v>3983199.6149079404</v>
      </c>
      <c r="J51" s="320">
        <f t="shared" si="9"/>
        <v>4428369.6470937831</v>
      </c>
      <c r="K51" s="320">
        <f t="shared" si="9"/>
        <v>1831986.1123010512</v>
      </c>
      <c r="L51" s="320">
        <f t="shared" si="9"/>
        <v>852035.50896386721</v>
      </c>
      <c r="M51" s="320">
        <f t="shared" si="9"/>
        <v>4886355.50189</v>
      </c>
      <c r="N51" s="320">
        <f t="shared" si="9"/>
        <v>3448268.1384799997</v>
      </c>
      <c r="O51" s="320">
        <f t="shared" si="9"/>
        <v>2135938.3307213401</v>
      </c>
      <c r="P51" s="320">
        <f t="shared" si="9"/>
        <v>0</v>
      </c>
      <c r="Q51" s="320">
        <f t="shared" si="9"/>
        <v>0</v>
      </c>
      <c r="R51" s="320">
        <f t="shared" si="9"/>
        <v>0</v>
      </c>
      <c r="S51" s="320">
        <f t="shared" si="9"/>
        <v>0</v>
      </c>
      <c r="T51" s="320">
        <f t="shared" si="9"/>
        <v>0</v>
      </c>
      <c r="U51" s="320">
        <f t="shared" si="9"/>
        <v>0</v>
      </c>
      <c r="V51" s="320">
        <f t="shared" si="9"/>
        <v>0</v>
      </c>
      <c r="W51" s="320">
        <f t="shared" si="9"/>
        <v>0</v>
      </c>
      <c r="X51" s="320">
        <f t="shared" si="9"/>
        <v>0</v>
      </c>
      <c r="Y51" s="320">
        <f t="shared" si="9"/>
        <v>0</v>
      </c>
      <c r="Z51" s="320">
        <f t="shared" si="9"/>
        <v>0</v>
      </c>
      <c r="AA51" s="320">
        <f t="shared" si="9"/>
        <v>0</v>
      </c>
      <c r="AB51" s="320">
        <f t="shared" si="9"/>
        <v>0</v>
      </c>
      <c r="AC51" s="320">
        <f t="shared" si="9"/>
        <v>0</v>
      </c>
      <c r="AD51" s="320">
        <f t="shared" si="9"/>
        <v>0</v>
      </c>
      <c r="AE51" s="320">
        <f t="shared" si="9"/>
        <v>0</v>
      </c>
      <c r="AF51" s="320">
        <f t="shared" si="9"/>
        <v>0</v>
      </c>
      <c r="AG51" s="320">
        <f t="shared" si="9"/>
        <v>0</v>
      </c>
      <c r="AH51" s="320">
        <f t="shared" si="9"/>
        <v>0</v>
      </c>
      <c r="AI51" s="320">
        <f t="shared" si="9"/>
        <v>0</v>
      </c>
      <c r="AJ51" s="320">
        <f t="shared" si="9"/>
        <v>0</v>
      </c>
      <c r="AK51" s="320">
        <f t="shared" si="9"/>
        <v>0</v>
      </c>
      <c r="AL51" s="320">
        <f t="shared" si="9"/>
        <v>0</v>
      </c>
      <c r="AM51" s="320">
        <f t="shared" si="9"/>
        <v>0</v>
      </c>
      <c r="AN51" s="320">
        <f t="shared" si="9"/>
        <v>0</v>
      </c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0"/>
      <c r="AZ51" s="320"/>
      <c r="BA51" s="320"/>
      <c r="BB51" s="320"/>
      <c r="BC51" s="320"/>
      <c r="BD51" s="320"/>
      <c r="BE51" s="320"/>
      <c r="BF51" s="320"/>
      <c r="BG51" s="320"/>
      <c r="BH51" s="320"/>
      <c r="BI51" s="320"/>
      <c r="BJ51" s="320"/>
      <c r="BK51" s="320"/>
    </row>
    <row r="52" spans="1:63">
      <c r="A52" s="167"/>
      <c r="B52" s="217" t="str">
        <f>Servicio_internaColumna_título_amortizaciones</f>
        <v>Amortizaciones</v>
      </c>
      <c r="C52" s="218">
        <f>'Perfil - interna'!C52</f>
        <v>0</v>
      </c>
      <c r="D52" s="219">
        <f>'Perfil - interna'!D52</f>
        <v>4292683.2168520475</v>
      </c>
      <c r="E52" s="219">
        <f>'Perfil - interna'!E52</f>
        <v>6072217.3910120577</v>
      </c>
      <c r="F52" s="219">
        <f>'Perfil - interna'!F52</f>
        <v>5447713.1175244385</v>
      </c>
      <c r="G52" s="219">
        <f>'Perfil - interna'!G52</f>
        <v>3940340.3654656098</v>
      </c>
      <c r="H52" s="219">
        <f>'Perfil - interna'!H52</f>
        <v>5103546.4475198435</v>
      </c>
      <c r="I52" s="219">
        <f>'Perfil - interna'!I52</f>
        <v>4071868.2147395778</v>
      </c>
      <c r="J52" s="219">
        <f>'Perfil - interna'!J52</f>
        <v>4496651.3911902606</v>
      </c>
      <c r="K52" s="219">
        <f>'Perfil - interna'!K52</f>
        <v>1894190.9797208351</v>
      </c>
      <c r="L52" s="219">
        <f>'Perfil - interna'!L52</f>
        <v>977673.63139116694</v>
      </c>
      <c r="M52" s="219">
        <f>'Perfil - interna'!M52</f>
        <v>4898977.9951400002</v>
      </c>
      <c r="N52" s="219">
        <f>'Perfil - interna'!N52</f>
        <v>3524627.4110799995</v>
      </c>
      <c r="O52" s="219">
        <f>'Perfil - interna'!O52</f>
        <v>2135938.3307213401</v>
      </c>
      <c r="P52" s="219">
        <f>'Perfil - interna'!P52</f>
        <v>0</v>
      </c>
      <c r="Q52" s="219">
        <f>'Perfil - interna'!Q52</f>
        <v>0</v>
      </c>
      <c r="R52" s="219">
        <f>'Perfil - interna'!R52</f>
        <v>0</v>
      </c>
      <c r="S52" s="219">
        <f>'Perfil - interna'!S52</f>
        <v>0</v>
      </c>
      <c r="T52" s="219">
        <f>'Perfil - interna'!T52</f>
        <v>0</v>
      </c>
      <c r="U52" s="219">
        <f>'Perfil - interna'!U52</f>
        <v>0</v>
      </c>
      <c r="V52" s="219">
        <f>'Perfil - interna'!V52</f>
        <v>0</v>
      </c>
      <c r="W52" s="219">
        <f>'Perfil - interna'!W52</f>
        <v>0</v>
      </c>
      <c r="X52" s="219">
        <f>'Perfil - interna'!X52</f>
        <v>0</v>
      </c>
      <c r="Y52" s="219">
        <f>'Perfil - interna'!Y52</f>
        <v>0</v>
      </c>
      <c r="Z52" s="219">
        <f>'Perfil - interna'!Z52</f>
        <v>0</v>
      </c>
      <c r="AA52" s="219">
        <f>'Perfil - interna'!AA52</f>
        <v>0</v>
      </c>
      <c r="AB52" s="219">
        <f>'Perfil - interna'!AB52</f>
        <v>0</v>
      </c>
      <c r="AC52" s="219">
        <f>'Perfil - interna'!AC52</f>
        <v>0</v>
      </c>
      <c r="AD52" s="219">
        <f>'Perfil - interna'!AD52</f>
        <v>0</v>
      </c>
      <c r="AE52" s="219">
        <f>'Perfil - interna'!AE52</f>
        <v>0</v>
      </c>
      <c r="AF52" s="219">
        <f>'Perfil - interna'!AF52</f>
        <v>0</v>
      </c>
      <c r="AG52" s="219">
        <f>'Perfil - interna'!AG52</f>
        <v>0</v>
      </c>
      <c r="AH52" s="219">
        <f>'Perfil - interna'!AH52</f>
        <v>0</v>
      </c>
      <c r="AI52" s="219">
        <f>'Perfil - interna'!AI52</f>
        <v>0</v>
      </c>
      <c r="AJ52" s="219">
        <f>'Perfil - interna'!AJ52</f>
        <v>0</v>
      </c>
      <c r="AK52" s="219">
        <f>'Perfil - interna'!AK52</f>
        <v>0</v>
      </c>
      <c r="AL52" s="219">
        <f>'Perfil - interna'!AL52</f>
        <v>0</v>
      </c>
      <c r="AM52" s="219">
        <f>'Perfil - interna'!AM52</f>
        <v>0</v>
      </c>
      <c r="AN52" s="219">
        <f>'Perfil - interna'!AN52</f>
        <v>0</v>
      </c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219"/>
      <c r="BK52" s="219"/>
    </row>
    <row r="53" spans="1:63">
      <c r="A53" s="170">
        <v>37376</v>
      </c>
      <c r="B53" s="220" t="str">
        <f>Servicio_internaColumna_título_intereses</f>
        <v>Intereses</v>
      </c>
      <c r="C53" s="221">
        <f>'Perfil - interna'!C53</f>
        <v>0</v>
      </c>
      <c r="D53" s="222">
        <f>'Perfil - interna'!D53</f>
        <v>0</v>
      </c>
      <c r="E53" s="222">
        <f>'Perfil - interna'!E53</f>
        <v>0</v>
      </c>
      <c r="F53" s="222">
        <f>'Perfil - interna'!F53</f>
        <v>0</v>
      </c>
      <c r="G53" s="222">
        <f>'Perfil - interna'!G53</f>
        <v>0</v>
      </c>
      <c r="H53" s="222">
        <f>'Perfil - interna'!H53</f>
        <v>0</v>
      </c>
      <c r="I53" s="222">
        <f>'Perfil - interna'!I53</f>
        <v>0</v>
      </c>
      <c r="J53" s="222">
        <f>'Perfil - interna'!J53</f>
        <v>0</v>
      </c>
      <c r="K53" s="222">
        <f>'Perfil - interna'!K53</f>
        <v>0</v>
      </c>
      <c r="L53" s="222">
        <f>'Perfil - interna'!L53</f>
        <v>0</v>
      </c>
      <c r="M53" s="222">
        <f>'Perfil - interna'!M53</f>
        <v>0</v>
      </c>
      <c r="N53" s="222">
        <f>'Perfil - interna'!N53</f>
        <v>0</v>
      </c>
      <c r="O53" s="222">
        <f>'Perfil - interna'!O53</f>
        <v>0</v>
      </c>
      <c r="P53" s="222">
        <f>'Perfil - interna'!P53</f>
        <v>0</v>
      </c>
      <c r="Q53" s="222">
        <f>'Perfil - interna'!Q53</f>
        <v>0</v>
      </c>
      <c r="R53" s="222">
        <f>'Perfil - interna'!R53</f>
        <v>0</v>
      </c>
      <c r="S53" s="222">
        <f>'Perfil - interna'!S53</f>
        <v>0</v>
      </c>
      <c r="T53" s="222">
        <f>'Perfil - interna'!T53</f>
        <v>0</v>
      </c>
      <c r="U53" s="222">
        <f>'Perfil - interna'!U53</f>
        <v>0</v>
      </c>
      <c r="V53" s="222">
        <f>'Perfil - interna'!V53</f>
        <v>0</v>
      </c>
      <c r="W53" s="222">
        <f>'Perfil - interna'!W53</f>
        <v>0</v>
      </c>
      <c r="X53" s="222">
        <f>'Perfil - interna'!X53</f>
        <v>0</v>
      </c>
      <c r="Y53" s="222">
        <f>'Perfil - interna'!Y53</f>
        <v>0</v>
      </c>
      <c r="Z53" s="222">
        <f>'Perfil - interna'!Z53</f>
        <v>0</v>
      </c>
      <c r="AA53" s="222">
        <f>'Perfil - interna'!AA53</f>
        <v>0</v>
      </c>
      <c r="AB53" s="222">
        <f>'Perfil - interna'!AB53</f>
        <v>0</v>
      </c>
      <c r="AC53" s="222">
        <f>'Perfil - interna'!AC53</f>
        <v>0</v>
      </c>
      <c r="AD53" s="222">
        <f>'Perfil - interna'!AD53</f>
        <v>0</v>
      </c>
      <c r="AE53" s="222">
        <f>'Perfil - interna'!AE53</f>
        <v>0</v>
      </c>
      <c r="AF53" s="222">
        <f>'Perfil - interna'!AF53</f>
        <v>0</v>
      </c>
      <c r="AG53" s="222">
        <f>'Perfil - interna'!AG53</f>
        <v>0</v>
      </c>
      <c r="AH53" s="222">
        <f>'Perfil - interna'!AH53</f>
        <v>0</v>
      </c>
      <c r="AI53" s="222">
        <f>'Perfil - interna'!AI53</f>
        <v>0</v>
      </c>
      <c r="AJ53" s="222">
        <f>'Perfil - interna'!AJ53</f>
        <v>0</v>
      </c>
      <c r="AK53" s="222">
        <f>'Perfil - interna'!AK53</f>
        <v>0</v>
      </c>
      <c r="AL53" s="222">
        <f>'Perfil - interna'!AL53</f>
        <v>0</v>
      </c>
      <c r="AM53" s="222">
        <f>'Perfil - interna'!AM53</f>
        <v>0</v>
      </c>
      <c r="AN53" s="222">
        <f>'Perfil - interna'!AN53</f>
        <v>0</v>
      </c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  <c r="BI53" s="222"/>
      <c r="BJ53" s="222"/>
      <c r="BK53" s="222"/>
    </row>
    <row r="54" spans="1:63">
      <c r="A54" s="171"/>
      <c r="B54" s="318" t="str">
        <f>Servicio_internaColumna_título_total</f>
        <v>Total</v>
      </c>
      <c r="C54" s="319">
        <f t="shared" ref="C54:AN54" si="10">+C53+C52</f>
        <v>0</v>
      </c>
      <c r="D54" s="320">
        <f t="shared" si="10"/>
        <v>4292683.2168520475</v>
      </c>
      <c r="E54" s="320">
        <f t="shared" si="10"/>
        <v>6072217.3910120577</v>
      </c>
      <c r="F54" s="320">
        <f t="shared" si="10"/>
        <v>5447713.1175244385</v>
      </c>
      <c r="G54" s="320">
        <f t="shared" si="10"/>
        <v>3940340.3654656098</v>
      </c>
      <c r="H54" s="320">
        <f t="shared" si="10"/>
        <v>5103546.4475198435</v>
      </c>
      <c r="I54" s="320">
        <f t="shared" si="10"/>
        <v>4071868.2147395778</v>
      </c>
      <c r="J54" s="320">
        <f t="shared" si="10"/>
        <v>4496651.3911902606</v>
      </c>
      <c r="K54" s="320">
        <f t="shared" si="10"/>
        <v>1894190.9797208351</v>
      </c>
      <c r="L54" s="320">
        <f t="shared" si="10"/>
        <v>977673.63139116694</v>
      </c>
      <c r="M54" s="320">
        <f t="shared" si="10"/>
        <v>4898977.9951400002</v>
      </c>
      <c r="N54" s="320">
        <f t="shared" si="10"/>
        <v>3524627.4110799995</v>
      </c>
      <c r="O54" s="320">
        <f t="shared" si="10"/>
        <v>2135938.3307213401</v>
      </c>
      <c r="P54" s="320">
        <f t="shared" si="10"/>
        <v>0</v>
      </c>
      <c r="Q54" s="320">
        <f t="shared" si="10"/>
        <v>0</v>
      </c>
      <c r="R54" s="320">
        <f t="shared" si="10"/>
        <v>0</v>
      </c>
      <c r="S54" s="320">
        <f t="shared" si="10"/>
        <v>0</v>
      </c>
      <c r="T54" s="320">
        <f t="shared" si="10"/>
        <v>0</v>
      </c>
      <c r="U54" s="320">
        <f t="shared" si="10"/>
        <v>0</v>
      </c>
      <c r="V54" s="320">
        <f t="shared" si="10"/>
        <v>0</v>
      </c>
      <c r="W54" s="320">
        <f t="shared" si="10"/>
        <v>0</v>
      </c>
      <c r="X54" s="320">
        <f t="shared" si="10"/>
        <v>0</v>
      </c>
      <c r="Y54" s="320">
        <f t="shared" si="10"/>
        <v>0</v>
      </c>
      <c r="Z54" s="320">
        <f t="shared" si="10"/>
        <v>0</v>
      </c>
      <c r="AA54" s="320">
        <f t="shared" si="10"/>
        <v>0</v>
      </c>
      <c r="AB54" s="320">
        <f t="shared" si="10"/>
        <v>0</v>
      </c>
      <c r="AC54" s="320">
        <f t="shared" si="10"/>
        <v>0</v>
      </c>
      <c r="AD54" s="320">
        <f t="shared" si="10"/>
        <v>0</v>
      </c>
      <c r="AE54" s="320">
        <f t="shared" si="10"/>
        <v>0</v>
      </c>
      <c r="AF54" s="320">
        <f t="shared" si="10"/>
        <v>0</v>
      </c>
      <c r="AG54" s="320">
        <f t="shared" si="10"/>
        <v>0</v>
      </c>
      <c r="AH54" s="320">
        <f t="shared" si="10"/>
        <v>0</v>
      </c>
      <c r="AI54" s="320">
        <f t="shared" si="10"/>
        <v>0</v>
      </c>
      <c r="AJ54" s="320">
        <f t="shared" si="10"/>
        <v>0</v>
      </c>
      <c r="AK54" s="320">
        <f t="shared" si="10"/>
        <v>0</v>
      </c>
      <c r="AL54" s="320">
        <f t="shared" si="10"/>
        <v>0</v>
      </c>
      <c r="AM54" s="320">
        <f t="shared" si="10"/>
        <v>0</v>
      </c>
      <c r="AN54" s="320">
        <f t="shared" si="10"/>
        <v>0</v>
      </c>
      <c r="AO54" s="320"/>
      <c r="AP54" s="320"/>
      <c r="AQ54" s="320"/>
      <c r="AR54" s="320"/>
      <c r="AS54" s="320"/>
      <c r="AT54" s="320"/>
      <c r="AU54" s="320"/>
      <c r="AV54" s="320"/>
      <c r="AW54" s="320"/>
      <c r="AX54" s="320"/>
      <c r="AY54" s="320"/>
      <c r="AZ54" s="320"/>
      <c r="BA54" s="320"/>
      <c r="BB54" s="320"/>
      <c r="BC54" s="320"/>
      <c r="BD54" s="320"/>
      <c r="BE54" s="320"/>
      <c r="BF54" s="320"/>
      <c r="BG54" s="320"/>
      <c r="BH54" s="320"/>
      <c r="BI54" s="320"/>
      <c r="BJ54" s="320"/>
      <c r="BK54" s="320"/>
    </row>
    <row r="55" spans="1:63">
      <c r="A55" s="167"/>
      <c r="B55" s="217" t="str">
        <f>Servicio_internaColumna_título_amortizaciones</f>
        <v>Amortizaciones</v>
      </c>
      <c r="C55" s="218">
        <f>'Perfil - interna'!C55</f>
        <v>0</v>
      </c>
      <c r="D55" s="219">
        <f>'Perfil - interna'!D55</f>
        <v>3407369.3374931794</v>
      </c>
      <c r="E55" s="219">
        <f>'Perfil - interna'!E55</f>
        <v>6589951.9634805238</v>
      </c>
      <c r="F55" s="219">
        <f>'Perfil - interna'!F55</f>
        <v>5472350.3307486698</v>
      </c>
      <c r="G55" s="219">
        <f>'Perfil - interna'!G55</f>
        <v>4301993.0438326746</v>
      </c>
      <c r="H55" s="219">
        <f>'Perfil - interna'!H55</f>
        <v>5144931.7052173065</v>
      </c>
      <c r="I55" s="219">
        <f>'Perfil - interna'!I55</f>
        <v>5058928.4362440994</v>
      </c>
      <c r="J55" s="219">
        <f>'Perfil - interna'!J55</f>
        <v>4520827.5015585311</v>
      </c>
      <c r="K55" s="219">
        <f>'Perfil - interna'!K55</f>
        <v>2445639.6149828807</v>
      </c>
      <c r="L55" s="219">
        <f>'Perfil - interna'!L55</f>
        <v>984421.74256837275</v>
      </c>
      <c r="M55" s="219">
        <f>'Perfil - interna'!M55</f>
        <v>4909946.0685200002</v>
      </c>
      <c r="N55" s="219">
        <f>'Perfil - interna'!N55</f>
        <v>4528545.4601432001</v>
      </c>
      <c r="O55" s="219">
        <f>'Perfil - interna'!O55</f>
        <v>2135938.3307213401</v>
      </c>
      <c r="P55" s="219">
        <f>'Perfil - interna'!P55</f>
        <v>0</v>
      </c>
      <c r="Q55" s="219">
        <f>'Perfil - interna'!Q55</f>
        <v>0</v>
      </c>
      <c r="R55" s="219">
        <f>'Perfil - interna'!R55</f>
        <v>0</v>
      </c>
      <c r="S55" s="219">
        <f>'Perfil - interna'!S55</f>
        <v>0</v>
      </c>
      <c r="T55" s="219">
        <f>'Perfil - interna'!T55</f>
        <v>0</v>
      </c>
      <c r="U55" s="219">
        <f>'Perfil - interna'!U55</f>
        <v>0</v>
      </c>
      <c r="V55" s="219">
        <f>'Perfil - interna'!V55</f>
        <v>0</v>
      </c>
      <c r="W55" s="219">
        <f>'Perfil - interna'!W55</f>
        <v>0</v>
      </c>
      <c r="X55" s="219">
        <f>'Perfil - interna'!X55</f>
        <v>0</v>
      </c>
      <c r="Y55" s="219">
        <f>'Perfil - interna'!Y55</f>
        <v>0</v>
      </c>
      <c r="Z55" s="219">
        <f>'Perfil - interna'!Z55</f>
        <v>0</v>
      </c>
      <c r="AA55" s="219">
        <f>'Perfil - interna'!AA55</f>
        <v>0</v>
      </c>
      <c r="AB55" s="219">
        <f>'Perfil - interna'!AB55</f>
        <v>0</v>
      </c>
      <c r="AC55" s="219">
        <f>'Perfil - interna'!AC55</f>
        <v>0</v>
      </c>
      <c r="AD55" s="219">
        <f>'Perfil - interna'!AD55</f>
        <v>0</v>
      </c>
      <c r="AE55" s="219">
        <f>'Perfil - interna'!AE55</f>
        <v>0</v>
      </c>
      <c r="AF55" s="219">
        <f>'Perfil - interna'!AF55</f>
        <v>0</v>
      </c>
      <c r="AG55" s="219">
        <f>'Perfil - interna'!AG55</f>
        <v>0</v>
      </c>
      <c r="AH55" s="219">
        <f>'Perfil - interna'!AH55</f>
        <v>0</v>
      </c>
      <c r="AI55" s="219">
        <f>'Perfil - interna'!AI55</f>
        <v>0</v>
      </c>
      <c r="AJ55" s="219">
        <f>'Perfil - interna'!AJ55</f>
        <v>0</v>
      </c>
      <c r="AK55" s="219">
        <f>'Perfil - interna'!AK55</f>
        <v>0</v>
      </c>
      <c r="AL55" s="219">
        <f>'Perfil - interna'!AL55</f>
        <v>0</v>
      </c>
      <c r="AM55" s="219">
        <f>'Perfil - interna'!AM55</f>
        <v>0</v>
      </c>
      <c r="AN55" s="219">
        <f>'Perfil - interna'!AN55</f>
        <v>0</v>
      </c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</row>
    <row r="56" spans="1:63">
      <c r="A56" s="170">
        <v>37407</v>
      </c>
      <c r="B56" s="220" t="str">
        <f>Servicio_internaColumna_título_intereses</f>
        <v>Intereses</v>
      </c>
      <c r="C56" s="221">
        <f>'Perfil - interna'!C56</f>
        <v>0</v>
      </c>
      <c r="D56" s="222">
        <f>'Perfil - interna'!D56</f>
        <v>0</v>
      </c>
      <c r="E56" s="222">
        <f>'Perfil - interna'!E56</f>
        <v>0</v>
      </c>
      <c r="F56" s="222">
        <f>'Perfil - interna'!F56</f>
        <v>0</v>
      </c>
      <c r="G56" s="222">
        <f>'Perfil - interna'!G56</f>
        <v>0</v>
      </c>
      <c r="H56" s="222">
        <f>'Perfil - interna'!H56</f>
        <v>0</v>
      </c>
      <c r="I56" s="222">
        <f>'Perfil - interna'!I56</f>
        <v>0</v>
      </c>
      <c r="J56" s="222">
        <f>'Perfil - interna'!J56</f>
        <v>0</v>
      </c>
      <c r="K56" s="222">
        <f>'Perfil - interna'!K56</f>
        <v>0</v>
      </c>
      <c r="L56" s="222">
        <f>'Perfil - interna'!L56</f>
        <v>0</v>
      </c>
      <c r="M56" s="222">
        <f>'Perfil - interna'!M56</f>
        <v>0</v>
      </c>
      <c r="N56" s="222">
        <f>'Perfil - interna'!N56</f>
        <v>0</v>
      </c>
      <c r="O56" s="222">
        <f>'Perfil - interna'!O56</f>
        <v>0</v>
      </c>
      <c r="P56" s="222">
        <f>'Perfil - interna'!P56</f>
        <v>0</v>
      </c>
      <c r="Q56" s="222">
        <f>'Perfil - interna'!Q56</f>
        <v>0</v>
      </c>
      <c r="R56" s="222">
        <f>'Perfil - interna'!R56</f>
        <v>0</v>
      </c>
      <c r="S56" s="222">
        <f>'Perfil - interna'!S56</f>
        <v>0</v>
      </c>
      <c r="T56" s="222">
        <f>'Perfil - interna'!T56</f>
        <v>0</v>
      </c>
      <c r="U56" s="222">
        <f>'Perfil - interna'!U56</f>
        <v>0</v>
      </c>
      <c r="V56" s="222">
        <f>'Perfil - interna'!V56</f>
        <v>0</v>
      </c>
      <c r="W56" s="222">
        <f>'Perfil - interna'!W56</f>
        <v>0</v>
      </c>
      <c r="X56" s="222">
        <f>'Perfil - interna'!X56</f>
        <v>0</v>
      </c>
      <c r="Y56" s="222">
        <f>'Perfil - interna'!Y56</f>
        <v>0</v>
      </c>
      <c r="Z56" s="222">
        <f>'Perfil - interna'!Z56</f>
        <v>0</v>
      </c>
      <c r="AA56" s="222">
        <f>'Perfil - interna'!AA56</f>
        <v>0</v>
      </c>
      <c r="AB56" s="222">
        <f>'Perfil - interna'!AB56</f>
        <v>0</v>
      </c>
      <c r="AC56" s="222">
        <f>'Perfil - interna'!AC56</f>
        <v>0</v>
      </c>
      <c r="AD56" s="222">
        <f>'Perfil - interna'!AD56</f>
        <v>0</v>
      </c>
      <c r="AE56" s="222">
        <f>'Perfil - interna'!AE56</f>
        <v>0</v>
      </c>
      <c r="AF56" s="222">
        <f>'Perfil - interna'!AF56</f>
        <v>0</v>
      </c>
      <c r="AG56" s="222">
        <f>'Perfil - interna'!AG56</f>
        <v>0</v>
      </c>
      <c r="AH56" s="222">
        <f>'Perfil - interna'!AH56</f>
        <v>0</v>
      </c>
      <c r="AI56" s="222">
        <f>'Perfil - interna'!AI56</f>
        <v>0</v>
      </c>
      <c r="AJ56" s="222">
        <f>'Perfil - interna'!AJ56</f>
        <v>0</v>
      </c>
      <c r="AK56" s="222">
        <f>'Perfil - interna'!AK56</f>
        <v>0</v>
      </c>
      <c r="AL56" s="222">
        <f>'Perfil - interna'!AL56</f>
        <v>0</v>
      </c>
      <c r="AM56" s="222">
        <f>'Perfil - interna'!AM56</f>
        <v>0</v>
      </c>
      <c r="AN56" s="222">
        <f>'Perfil - interna'!AN56</f>
        <v>0</v>
      </c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  <c r="BI56" s="222"/>
      <c r="BJ56" s="222"/>
      <c r="BK56" s="222"/>
    </row>
    <row r="57" spans="1:63">
      <c r="A57" s="171"/>
      <c r="B57" s="318" t="str">
        <f>Servicio_internaColumna_título_total</f>
        <v>Total</v>
      </c>
      <c r="C57" s="319">
        <f t="shared" ref="C57:AN57" si="11">+C56+C55</f>
        <v>0</v>
      </c>
      <c r="D57" s="320">
        <f t="shared" si="11"/>
        <v>3407369.3374931794</v>
      </c>
      <c r="E57" s="320">
        <f t="shared" si="11"/>
        <v>6589951.9634805238</v>
      </c>
      <c r="F57" s="320">
        <f t="shared" si="11"/>
        <v>5472350.3307486698</v>
      </c>
      <c r="G57" s="320">
        <f t="shared" si="11"/>
        <v>4301993.0438326746</v>
      </c>
      <c r="H57" s="320">
        <f t="shared" si="11"/>
        <v>5144931.7052173065</v>
      </c>
      <c r="I57" s="320">
        <f t="shared" si="11"/>
        <v>5058928.4362440994</v>
      </c>
      <c r="J57" s="320">
        <f t="shared" si="11"/>
        <v>4520827.5015585311</v>
      </c>
      <c r="K57" s="320">
        <f t="shared" si="11"/>
        <v>2445639.6149828807</v>
      </c>
      <c r="L57" s="320">
        <f t="shared" si="11"/>
        <v>984421.74256837275</v>
      </c>
      <c r="M57" s="320">
        <f t="shared" si="11"/>
        <v>4909946.0685200002</v>
      </c>
      <c r="N57" s="320">
        <f t="shared" si="11"/>
        <v>4528545.4601432001</v>
      </c>
      <c r="O57" s="320">
        <f t="shared" si="11"/>
        <v>2135938.3307213401</v>
      </c>
      <c r="P57" s="320">
        <f t="shared" si="11"/>
        <v>0</v>
      </c>
      <c r="Q57" s="320">
        <f t="shared" si="11"/>
        <v>0</v>
      </c>
      <c r="R57" s="320">
        <f t="shared" si="11"/>
        <v>0</v>
      </c>
      <c r="S57" s="320">
        <f t="shared" si="11"/>
        <v>0</v>
      </c>
      <c r="T57" s="320">
        <f t="shared" si="11"/>
        <v>0</v>
      </c>
      <c r="U57" s="320">
        <f t="shared" si="11"/>
        <v>0</v>
      </c>
      <c r="V57" s="320">
        <f t="shared" si="11"/>
        <v>0</v>
      </c>
      <c r="W57" s="320">
        <f t="shared" si="11"/>
        <v>0</v>
      </c>
      <c r="X57" s="320">
        <f t="shared" si="11"/>
        <v>0</v>
      </c>
      <c r="Y57" s="320">
        <f t="shared" si="11"/>
        <v>0</v>
      </c>
      <c r="Z57" s="320">
        <f t="shared" si="11"/>
        <v>0</v>
      </c>
      <c r="AA57" s="320">
        <f t="shared" si="11"/>
        <v>0</v>
      </c>
      <c r="AB57" s="320">
        <f t="shared" si="11"/>
        <v>0</v>
      </c>
      <c r="AC57" s="320">
        <f t="shared" si="11"/>
        <v>0</v>
      </c>
      <c r="AD57" s="320">
        <f t="shared" si="11"/>
        <v>0</v>
      </c>
      <c r="AE57" s="320">
        <f t="shared" si="11"/>
        <v>0</v>
      </c>
      <c r="AF57" s="320">
        <f t="shared" si="11"/>
        <v>0</v>
      </c>
      <c r="AG57" s="320">
        <f t="shared" si="11"/>
        <v>0</v>
      </c>
      <c r="AH57" s="320">
        <f t="shared" si="11"/>
        <v>0</v>
      </c>
      <c r="AI57" s="320">
        <f t="shared" si="11"/>
        <v>0</v>
      </c>
      <c r="AJ57" s="320">
        <f t="shared" si="11"/>
        <v>0</v>
      </c>
      <c r="AK57" s="320">
        <f t="shared" si="11"/>
        <v>0</v>
      </c>
      <c r="AL57" s="320">
        <f t="shared" si="11"/>
        <v>0</v>
      </c>
      <c r="AM57" s="320">
        <f t="shared" si="11"/>
        <v>0</v>
      </c>
      <c r="AN57" s="320">
        <f t="shared" si="11"/>
        <v>0</v>
      </c>
      <c r="AO57" s="320"/>
      <c r="AP57" s="320"/>
      <c r="AQ57" s="320"/>
      <c r="AR57" s="320"/>
      <c r="AS57" s="320"/>
      <c r="AT57" s="320"/>
      <c r="AU57" s="320"/>
      <c r="AV57" s="320"/>
      <c r="AW57" s="320"/>
      <c r="AX57" s="320"/>
      <c r="AY57" s="320"/>
      <c r="AZ57" s="320"/>
      <c r="BA57" s="320"/>
      <c r="BB57" s="320"/>
      <c r="BC57" s="320"/>
      <c r="BD57" s="320"/>
      <c r="BE57" s="320"/>
      <c r="BF57" s="320"/>
      <c r="BG57" s="320"/>
      <c r="BH57" s="320"/>
      <c r="BI57" s="320"/>
      <c r="BJ57" s="320"/>
      <c r="BK57" s="320"/>
    </row>
    <row r="58" spans="1:63">
      <c r="A58" s="167"/>
      <c r="B58" s="217" t="str">
        <f>Servicio_internaColumna_título_amortizaciones</f>
        <v>Amortizaciones</v>
      </c>
      <c r="C58" s="218">
        <f>'Perfil - interna'!C58</f>
        <v>0</v>
      </c>
      <c r="D58" s="219">
        <f>'Perfil - interna'!D58</f>
        <v>2797549.6966027715</v>
      </c>
      <c r="E58" s="219">
        <f>'Perfil - interna'!E58</f>
        <v>6472579.1039469568</v>
      </c>
      <c r="F58" s="219">
        <f>'Perfil - interna'!F58</f>
        <v>5870172.0482407557</v>
      </c>
      <c r="G58" s="219">
        <f>'Perfil - interna'!G58</f>
        <v>4403099.211741575</v>
      </c>
      <c r="H58" s="219">
        <f>'Perfil - interna'!H58</f>
        <v>5178681.4463891322</v>
      </c>
      <c r="I58" s="219">
        <f>'Perfil - interna'!I58</f>
        <v>5257549.0846045269</v>
      </c>
      <c r="J58" s="219">
        <f>'Perfil - interna'!J58</f>
        <v>4530068.8661382813</v>
      </c>
      <c r="K58" s="219">
        <f>'Perfil - interna'!K58</f>
        <v>2668786.9788683564</v>
      </c>
      <c r="L58" s="219">
        <f>'Perfil - interna'!L58</f>
        <v>988236.68329868407</v>
      </c>
      <c r="M58" s="219">
        <f>'Perfil - interna'!M58</f>
        <v>4919873.6462300001</v>
      </c>
      <c r="N58" s="219">
        <f>'Perfil - interna'!N58</f>
        <v>5168277.8130443553</v>
      </c>
      <c r="O58" s="219">
        <f>'Perfil - interna'!O58</f>
        <v>2135938.3307213401</v>
      </c>
      <c r="P58" s="219">
        <f>'Perfil - interna'!P58</f>
        <v>0</v>
      </c>
      <c r="Q58" s="219">
        <f>'Perfil - interna'!Q58</f>
        <v>0</v>
      </c>
      <c r="R58" s="219">
        <f>'Perfil - interna'!R58</f>
        <v>0</v>
      </c>
      <c r="S58" s="219">
        <f>'Perfil - interna'!S58</f>
        <v>0</v>
      </c>
      <c r="T58" s="219">
        <f>'Perfil - interna'!T58</f>
        <v>0</v>
      </c>
      <c r="U58" s="219">
        <f>'Perfil - interna'!U58</f>
        <v>0</v>
      </c>
      <c r="V58" s="219">
        <f>'Perfil - interna'!V58</f>
        <v>0</v>
      </c>
      <c r="W58" s="219">
        <f>'Perfil - interna'!W58</f>
        <v>0</v>
      </c>
      <c r="X58" s="219">
        <f>'Perfil - interna'!X58</f>
        <v>0</v>
      </c>
      <c r="Y58" s="219">
        <f>'Perfil - interna'!Y58</f>
        <v>0</v>
      </c>
      <c r="Z58" s="219">
        <f>'Perfil - interna'!Z58</f>
        <v>0</v>
      </c>
      <c r="AA58" s="219">
        <f>'Perfil - interna'!AA58</f>
        <v>0</v>
      </c>
      <c r="AB58" s="219">
        <f>'Perfil - interna'!AB58</f>
        <v>0</v>
      </c>
      <c r="AC58" s="219">
        <f>'Perfil - interna'!AC58</f>
        <v>0</v>
      </c>
      <c r="AD58" s="219">
        <f>'Perfil - interna'!AD58</f>
        <v>0</v>
      </c>
      <c r="AE58" s="219">
        <f>'Perfil - interna'!AE58</f>
        <v>0</v>
      </c>
      <c r="AF58" s="219">
        <f>'Perfil - interna'!AF58</f>
        <v>0</v>
      </c>
      <c r="AG58" s="219">
        <f>'Perfil - interna'!AG58</f>
        <v>0</v>
      </c>
      <c r="AH58" s="219">
        <f>'Perfil - interna'!AH58</f>
        <v>0</v>
      </c>
      <c r="AI58" s="219">
        <f>'Perfil - interna'!AI58</f>
        <v>0</v>
      </c>
      <c r="AJ58" s="219">
        <f>'Perfil - interna'!AJ58</f>
        <v>0</v>
      </c>
      <c r="AK58" s="219">
        <f>'Perfil - interna'!AK58</f>
        <v>0</v>
      </c>
      <c r="AL58" s="219">
        <f>'Perfil - interna'!AL58</f>
        <v>0</v>
      </c>
      <c r="AM58" s="219">
        <f>'Perfil - interna'!AM58</f>
        <v>0</v>
      </c>
      <c r="AN58" s="219">
        <f>'Perfil - interna'!AN58</f>
        <v>0</v>
      </c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</row>
    <row r="59" spans="1:63">
      <c r="A59" s="170">
        <v>37437</v>
      </c>
      <c r="B59" s="220" t="str">
        <f>Servicio_internaColumna_título_intereses</f>
        <v>Intereses</v>
      </c>
      <c r="C59" s="221">
        <f>'Perfil - interna'!C59</f>
        <v>0</v>
      </c>
      <c r="D59" s="222">
        <f>'Perfil - interna'!D59</f>
        <v>7809766.1661990294</v>
      </c>
      <c r="E59" s="222">
        <f>'Perfil - interna'!E59</f>
        <v>10229415.788506772</v>
      </c>
      <c r="F59" s="222">
        <f>'Perfil - interna'!F59</f>
        <v>9613813.8251288719</v>
      </c>
      <c r="G59" s="222">
        <f>'Perfil - interna'!G59</f>
        <v>6662242.979081071</v>
      </c>
      <c r="H59" s="222">
        <f>'Perfil - interna'!H59</f>
        <v>7447625.5412194384</v>
      </c>
      <c r="I59" s="222">
        <f>'Perfil - interna'!I59</f>
        <v>6189887.248835884</v>
      </c>
      <c r="J59" s="222">
        <f>'Perfil - interna'!J59</f>
        <v>5345761.2827049186</v>
      </c>
      <c r="K59" s="222">
        <f>'Perfil - interna'!K59</f>
        <v>3045285.189874616</v>
      </c>
      <c r="L59" s="222">
        <f>'Perfil - interna'!L59</f>
        <v>1390665.6822523642</v>
      </c>
      <c r="M59" s="222">
        <f>'Perfil - interna'!M59</f>
        <v>5704412.3011647556</v>
      </c>
      <c r="N59" s="222">
        <f>'Perfil - interna'!N59</f>
        <v>5810777.208858517</v>
      </c>
      <c r="O59" s="222">
        <f>'Perfil - interna'!O59</f>
        <v>2405305.7854852695</v>
      </c>
      <c r="P59" s="222">
        <f>'Perfil - interna'!P59</f>
        <v>0</v>
      </c>
      <c r="Q59" s="222">
        <f>'Perfil - interna'!Q59</f>
        <v>0</v>
      </c>
      <c r="R59" s="222">
        <f>'Perfil - interna'!R59</f>
        <v>0</v>
      </c>
      <c r="S59" s="222">
        <f>'Perfil - interna'!S59</f>
        <v>0</v>
      </c>
      <c r="T59" s="222">
        <f>'Perfil - interna'!T59</f>
        <v>0</v>
      </c>
      <c r="U59" s="222">
        <f>'Perfil - interna'!U59</f>
        <v>0</v>
      </c>
      <c r="V59" s="222">
        <f>'Perfil - interna'!V59</f>
        <v>0</v>
      </c>
      <c r="W59" s="222">
        <f>'Perfil - interna'!W59</f>
        <v>0</v>
      </c>
      <c r="X59" s="222">
        <f>'Perfil - interna'!X59</f>
        <v>0</v>
      </c>
      <c r="Y59" s="222">
        <f>'Perfil - interna'!Y59</f>
        <v>0</v>
      </c>
      <c r="Z59" s="222">
        <f>'Perfil - interna'!Z59</f>
        <v>0</v>
      </c>
      <c r="AA59" s="222">
        <f>'Perfil - interna'!AA59</f>
        <v>0</v>
      </c>
      <c r="AB59" s="222">
        <f>'Perfil - interna'!AB59</f>
        <v>0</v>
      </c>
      <c r="AC59" s="222">
        <f>'Perfil - interna'!AC59</f>
        <v>0</v>
      </c>
      <c r="AD59" s="222">
        <f>'Perfil - interna'!AD59</f>
        <v>0</v>
      </c>
      <c r="AE59" s="222">
        <f>'Perfil - interna'!AE59</f>
        <v>0</v>
      </c>
      <c r="AF59" s="222">
        <f>'Perfil - interna'!AF59</f>
        <v>0</v>
      </c>
      <c r="AG59" s="222">
        <f>'Perfil - interna'!AG59</f>
        <v>0</v>
      </c>
      <c r="AH59" s="222">
        <f>'Perfil - interna'!AH59</f>
        <v>0</v>
      </c>
      <c r="AI59" s="222">
        <f>'Perfil - interna'!AI59</f>
        <v>0</v>
      </c>
      <c r="AJ59" s="222">
        <f>'Perfil - interna'!AJ59</f>
        <v>0</v>
      </c>
      <c r="AK59" s="222">
        <f>'Perfil - interna'!AK59</f>
        <v>0</v>
      </c>
      <c r="AL59" s="222">
        <f>'Perfil - interna'!AL59</f>
        <v>0</v>
      </c>
      <c r="AM59" s="222">
        <f>'Perfil - interna'!AM59</f>
        <v>0</v>
      </c>
      <c r="AN59" s="222">
        <f>'Perfil - interna'!AN59</f>
        <v>0</v>
      </c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</row>
    <row r="60" spans="1:63">
      <c r="A60" s="171"/>
      <c r="B60" s="318" t="str">
        <f>Servicio_internaColumna_título_total</f>
        <v>Total</v>
      </c>
      <c r="C60" s="319">
        <f t="shared" ref="C60:AN60" si="12">+C59+C58</f>
        <v>0</v>
      </c>
      <c r="D60" s="320">
        <f t="shared" si="12"/>
        <v>10607315.862801801</v>
      </c>
      <c r="E60" s="320">
        <f t="shared" si="12"/>
        <v>16701994.89245373</v>
      </c>
      <c r="F60" s="320">
        <f t="shared" si="12"/>
        <v>15483985.873369627</v>
      </c>
      <c r="G60" s="320">
        <f t="shared" si="12"/>
        <v>11065342.190822646</v>
      </c>
      <c r="H60" s="320">
        <f t="shared" si="12"/>
        <v>12626306.987608571</v>
      </c>
      <c r="I60" s="320">
        <f t="shared" si="12"/>
        <v>11447436.333440412</v>
      </c>
      <c r="J60" s="320">
        <f t="shared" si="12"/>
        <v>9875830.148843199</v>
      </c>
      <c r="K60" s="320">
        <f t="shared" si="12"/>
        <v>5714072.1687429724</v>
      </c>
      <c r="L60" s="320">
        <f t="shared" si="12"/>
        <v>2378902.3655510484</v>
      </c>
      <c r="M60" s="320">
        <f t="shared" si="12"/>
        <v>10624285.947394755</v>
      </c>
      <c r="N60" s="320">
        <f t="shared" si="12"/>
        <v>10979055.021902872</v>
      </c>
      <c r="O60" s="320">
        <f t="shared" si="12"/>
        <v>4541244.1162066096</v>
      </c>
      <c r="P60" s="320">
        <f t="shared" si="12"/>
        <v>0</v>
      </c>
      <c r="Q60" s="320">
        <f t="shared" si="12"/>
        <v>0</v>
      </c>
      <c r="R60" s="320">
        <f t="shared" si="12"/>
        <v>0</v>
      </c>
      <c r="S60" s="320">
        <f t="shared" si="12"/>
        <v>0</v>
      </c>
      <c r="T60" s="320">
        <f t="shared" si="12"/>
        <v>0</v>
      </c>
      <c r="U60" s="320">
        <f t="shared" si="12"/>
        <v>0</v>
      </c>
      <c r="V60" s="320">
        <f t="shared" si="12"/>
        <v>0</v>
      </c>
      <c r="W60" s="320">
        <f t="shared" si="12"/>
        <v>0</v>
      </c>
      <c r="X60" s="320">
        <f t="shared" si="12"/>
        <v>0</v>
      </c>
      <c r="Y60" s="320">
        <f t="shared" si="12"/>
        <v>0</v>
      </c>
      <c r="Z60" s="320">
        <f t="shared" si="12"/>
        <v>0</v>
      </c>
      <c r="AA60" s="320">
        <f t="shared" si="12"/>
        <v>0</v>
      </c>
      <c r="AB60" s="320">
        <f t="shared" si="12"/>
        <v>0</v>
      </c>
      <c r="AC60" s="320">
        <f t="shared" si="12"/>
        <v>0</v>
      </c>
      <c r="AD60" s="320">
        <f t="shared" si="12"/>
        <v>0</v>
      </c>
      <c r="AE60" s="320">
        <f t="shared" si="12"/>
        <v>0</v>
      </c>
      <c r="AF60" s="320">
        <f t="shared" si="12"/>
        <v>0</v>
      </c>
      <c r="AG60" s="320">
        <f t="shared" si="12"/>
        <v>0</v>
      </c>
      <c r="AH60" s="320">
        <f t="shared" si="12"/>
        <v>0</v>
      </c>
      <c r="AI60" s="320">
        <f t="shared" si="12"/>
        <v>0</v>
      </c>
      <c r="AJ60" s="320">
        <f t="shared" si="12"/>
        <v>0</v>
      </c>
      <c r="AK60" s="320">
        <f t="shared" si="12"/>
        <v>0</v>
      </c>
      <c r="AL60" s="320">
        <f t="shared" si="12"/>
        <v>0</v>
      </c>
      <c r="AM60" s="320">
        <f t="shared" si="12"/>
        <v>0</v>
      </c>
      <c r="AN60" s="320">
        <f t="shared" si="12"/>
        <v>0</v>
      </c>
      <c r="AO60" s="320"/>
      <c r="AP60" s="320"/>
      <c r="AQ60" s="320"/>
      <c r="AR60" s="320"/>
      <c r="AS60" s="320"/>
      <c r="AT60" s="320"/>
      <c r="AU60" s="320"/>
      <c r="AV60" s="320"/>
      <c r="AW60" s="320"/>
      <c r="AX60" s="320"/>
      <c r="AY60" s="320"/>
      <c r="AZ60" s="320"/>
      <c r="BA60" s="320"/>
      <c r="BB60" s="320"/>
      <c r="BC60" s="320"/>
      <c r="BD60" s="320"/>
      <c r="BE60" s="320"/>
      <c r="BF60" s="320"/>
      <c r="BG60" s="320"/>
      <c r="BH60" s="320"/>
      <c r="BI60" s="320"/>
      <c r="BJ60" s="320"/>
      <c r="BK60" s="320"/>
    </row>
    <row r="61" spans="1:63">
      <c r="A61" s="167"/>
      <c r="B61" s="217" t="str">
        <f>Servicio_internaColumna_título_amortizaciones</f>
        <v>Amortizaciones</v>
      </c>
      <c r="C61" s="218">
        <f>'Perfil - interna'!C61</f>
        <v>0</v>
      </c>
      <c r="D61" s="219">
        <f>'Perfil - interna'!D61</f>
        <v>1535019.937590804</v>
      </c>
      <c r="E61" s="219">
        <f>'Perfil - interna'!E61</f>
        <v>7056911.191740891</v>
      </c>
      <c r="F61" s="219">
        <f>'Perfil - interna'!F61</f>
        <v>6103990.4379545674</v>
      </c>
      <c r="G61" s="219">
        <f>'Perfil - interna'!G61</f>
        <v>4550149.334558296</v>
      </c>
      <c r="H61" s="219">
        <f>'Perfil - interna'!H61</f>
        <v>5237818.7974118683</v>
      </c>
      <c r="I61" s="219">
        <f>'Perfil - interna'!I61</f>
        <v>5340993.5252222633</v>
      </c>
      <c r="J61" s="219">
        <f>'Perfil - interna'!J61</f>
        <v>4535737.3340648115</v>
      </c>
      <c r="K61" s="219">
        <f>'Perfil - interna'!K61</f>
        <v>2815118.6766470857</v>
      </c>
      <c r="L61" s="219">
        <f>'Perfil - interna'!L61</f>
        <v>990774.18589362304</v>
      </c>
      <c r="M61" s="219">
        <f>'Perfil - interna'!M61</f>
        <v>4926879.7915400006</v>
      </c>
      <c r="N61" s="219">
        <f>'Perfil - interna'!N61</f>
        <v>5276829.7021173844</v>
      </c>
      <c r="O61" s="219">
        <f>'Perfil - interna'!O61</f>
        <v>2135938.3307213401</v>
      </c>
      <c r="P61" s="219">
        <f>'Perfil - interna'!P61</f>
        <v>0</v>
      </c>
      <c r="Q61" s="219">
        <f>'Perfil - interna'!Q61</f>
        <v>0</v>
      </c>
      <c r="R61" s="219">
        <f>'Perfil - interna'!R61</f>
        <v>0</v>
      </c>
      <c r="S61" s="219">
        <f>'Perfil - interna'!S61</f>
        <v>0</v>
      </c>
      <c r="T61" s="219">
        <f>'Perfil - interna'!T61</f>
        <v>0</v>
      </c>
      <c r="U61" s="219">
        <f>'Perfil - interna'!U61</f>
        <v>0</v>
      </c>
      <c r="V61" s="219">
        <f>'Perfil - interna'!V61</f>
        <v>0</v>
      </c>
      <c r="W61" s="219">
        <f>'Perfil - interna'!W61</f>
        <v>0</v>
      </c>
      <c r="X61" s="219">
        <f>'Perfil - interna'!X61</f>
        <v>0</v>
      </c>
      <c r="Y61" s="219">
        <f>'Perfil - interna'!Y61</f>
        <v>0</v>
      </c>
      <c r="Z61" s="219">
        <f>'Perfil - interna'!Z61</f>
        <v>0</v>
      </c>
      <c r="AA61" s="219">
        <f>'Perfil - interna'!AA61</f>
        <v>0</v>
      </c>
      <c r="AB61" s="219">
        <f>'Perfil - interna'!AB61</f>
        <v>0</v>
      </c>
      <c r="AC61" s="219">
        <f>'Perfil - interna'!AC61</f>
        <v>0</v>
      </c>
      <c r="AD61" s="219">
        <f>'Perfil - interna'!AD61</f>
        <v>0</v>
      </c>
      <c r="AE61" s="219">
        <f>'Perfil - interna'!AE61</f>
        <v>0</v>
      </c>
      <c r="AF61" s="219">
        <f>'Perfil - interna'!AF61</f>
        <v>0</v>
      </c>
      <c r="AG61" s="219">
        <f>'Perfil - interna'!AG61</f>
        <v>0</v>
      </c>
      <c r="AH61" s="219">
        <f>'Perfil - interna'!AH61</f>
        <v>0</v>
      </c>
      <c r="AI61" s="219">
        <f>'Perfil - interna'!AI61</f>
        <v>0</v>
      </c>
      <c r="AJ61" s="219">
        <f>'Perfil - interna'!AJ61</f>
        <v>0</v>
      </c>
      <c r="AK61" s="219">
        <f>'Perfil - interna'!AK61</f>
        <v>0</v>
      </c>
      <c r="AL61" s="219">
        <f>'Perfil - interna'!AL61</f>
        <v>0</v>
      </c>
      <c r="AM61" s="219">
        <f>'Perfil - interna'!AM61</f>
        <v>0</v>
      </c>
      <c r="AN61" s="219">
        <f>'Perfil - interna'!AN61</f>
        <v>0</v>
      </c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</row>
    <row r="62" spans="1:63">
      <c r="A62" s="170">
        <v>37468</v>
      </c>
      <c r="B62" s="220" t="str">
        <f>Servicio_internaColumna_título_intereses</f>
        <v>Intereses</v>
      </c>
      <c r="C62" s="221">
        <f>'Perfil - interna'!C62</f>
        <v>0</v>
      </c>
      <c r="D62" s="222">
        <f>'Perfil - interna'!D62</f>
        <v>7809766.1661990294</v>
      </c>
      <c r="E62" s="222">
        <f>'Perfil - interna'!E62</f>
        <v>10229415.788506772</v>
      </c>
      <c r="F62" s="222">
        <f>'Perfil - interna'!F62</f>
        <v>9613813.8251288719</v>
      </c>
      <c r="G62" s="222">
        <f>'Perfil - interna'!G62</f>
        <v>6662242.979081071</v>
      </c>
      <c r="H62" s="222">
        <f>'Perfil - interna'!H62</f>
        <v>7447625.5412194384</v>
      </c>
      <c r="I62" s="222">
        <f>'Perfil - interna'!I62</f>
        <v>6189887.248835884</v>
      </c>
      <c r="J62" s="222">
        <f>'Perfil - interna'!J62</f>
        <v>5345761.2827049186</v>
      </c>
      <c r="K62" s="222">
        <f>'Perfil - interna'!K62</f>
        <v>3045285.189874616</v>
      </c>
      <c r="L62" s="222">
        <f>'Perfil - interna'!L62</f>
        <v>1390665.6822523642</v>
      </c>
      <c r="M62" s="222">
        <f>'Perfil - interna'!M62</f>
        <v>5704412.3011647556</v>
      </c>
      <c r="N62" s="222">
        <f>'Perfil - interna'!N62</f>
        <v>5810777.208858517</v>
      </c>
      <c r="O62" s="222">
        <f>'Perfil - interna'!O62</f>
        <v>2405305.7854852695</v>
      </c>
      <c r="P62" s="222">
        <f>'Perfil - interna'!P62</f>
        <v>0</v>
      </c>
      <c r="Q62" s="222">
        <f>'Perfil - interna'!Q62</f>
        <v>0</v>
      </c>
      <c r="R62" s="222">
        <f>'Perfil - interna'!R62</f>
        <v>0</v>
      </c>
      <c r="S62" s="222">
        <f>'Perfil - interna'!S62</f>
        <v>0</v>
      </c>
      <c r="T62" s="222">
        <f>'Perfil - interna'!T62</f>
        <v>0</v>
      </c>
      <c r="U62" s="222">
        <f>'Perfil - interna'!U62</f>
        <v>0</v>
      </c>
      <c r="V62" s="222">
        <f>'Perfil - interna'!V62</f>
        <v>0</v>
      </c>
      <c r="W62" s="222">
        <f>'Perfil - interna'!W62</f>
        <v>0</v>
      </c>
      <c r="X62" s="222">
        <f>'Perfil - interna'!X62</f>
        <v>0</v>
      </c>
      <c r="Y62" s="222">
        <f>'Perfil - interna'!Y62</f>
        <v>0</v>
      </c>
      <c r="Z62" s="222">
        <f>'Perfil - interna'!Z62</f>
        <v>0</v>
      </c>
      <c r="AA62" s="222">
        <f>'Perfil - interna'!AA62</f>
        <v>0</v>
      </c>
      <c r="AB62" s="222">
        <f>'Perfil - interna'!AB62</f>
        <v>0</v>
      </c>
      <c r="AC62" s="222">
        <f>'Perfil - interna'!AC62</f>
        <v>0</v>
      </c>
      <c r="AD62" s="222">
        <f>'Perfil - interna'!AD62</f>
        <v>0</v>
      </c>
      <c r="AE62" s="222">
        <f>'Perfil - interna'!AE62</f>
        <v>0</v>
      </c>
      <c r="AF62" s="222">
        <f>'Perfil - interna'!AF62</f>
        <v>0</v>
      </c>
      <c r="AG62" s="222">
        <f>'Perfil - interna'!AG62</f>
        <v>0</v>
      </c>
      <c r="AH62" s="222">
        <f>'Perfil - interna'!AH62</f>
        <v>0</v>
      </c>
      <c r="AI62" s="222">
        <f>'Perfil - interna'!AI62</f>
        <v>0</v>
      </c>
      <c r="AJ62" s="222">
        <f>'Perfil - interna'!AJ62</f>
        <v>0</v>
      </c>
      <c r="AK62" s="222">
        <f>'Perfil - interna'!AK62</f>
        <v>0</v>
      </c>
      <c r="AL62" s="222">
        <f>'Perfil - interna'!AL62</f>
        <v>0</v>
      </c>
      <c r="AM62" s="222">
        <f>'Perfil - interna'!AM62</f>
        <v>0</v>
      </c>
      <c r="AN62" s="222">
        <f>'Perfil - interna'!AN62</f>
        <v>0</v>
      </c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</row>
    <row r="63" spans="1:63">
      <c r="A63" s="171"/>
      <c r="B63" s="318" t="str">
        <f>Servicio_internaColumna_título_total</f>
        <v>Total</v>
      </c>
      <c r="C63" s="319">
        <f t="shared" ref="C63:AN63" si="13">+C62+C61</f>
        <v>0</v>
      </c>
      <c r="D63" s="320">
        <f t="shared" si="13"/>
        <v>9344786.1037898324</v>
      </c>
      <c r="E63" s="320">
        <f t="shared" si="13"/>
        <v>17286326.980247661</v>
      </c>
      <c r="F63" s="320">
        <f t="shared" si="13"/>
        <v>15717804.263083439</v>
      </c>
      <c r="G63" s="320">
        <f t="shared" si="13"/>
        <v>11212392.313639367</v>
      </c>
      <c r="H63" s="320">
        <f t="shared" si="13"/>
        <v>12685444.338631306</v>
      </c>
      <c r="I63" s="320">
        <f t="shared" si="13"/>
        <v>11530880.774058148</v>
      </c>
      <c r="J63" s="320">
        <f t="shared" si="13"/>
        <v>9881498.616769731</v>
      </c>
      <c r="K63" s="320">
        <f t="shared" si="13"/>
        <v>5860403.8665217012</v>
      </c>
      <c r="L63" s="320">
        <f t="shared" si="13"/>
        <v>2381439.8681459874</v>
      </c>
      <c r="M63" s="320">
        <f t="shared" si="13"/>
        <v>10631292.092704756</v>
      </c>
      <c r="N63" s="320">
        <f t="shared" si="13"/>
        <v>11087606.910975901</v>
      </c>
      <c r="O63" s="320">
        <f t="shared" si="13"/>
        <v>4541244.1162066096</v>
      </c>
      <c r="P63" s="320">
        <f t="shared" si="13"/>
        <v>0</v>
      </c>
      <c r="Q63" s="320">
        <f t="shared" si="13"/>
        <v>0</v>
      </c>
      <c r="R63" s="320">
        <f t="shared" si="13"/>
        <v>0</v>
      </c>
      <c r="S63" s="320">
        <f t="shared" si="13"/>
        <v>0</v>
      </c>
      <c r="T63" s="320">
        <f t="shared" si="13"/>
        <v>0</v>
      </c>
      <c r="U63" s="320">
        <f t="shared" si="13"/>
        <v>0</v>
      </c>
      <c r="V63" s="320">
        <f t="shared" si="13"/>
        <v>0</v>
      </c>
      <c r="W63" s="320">
        <f t="shared" si="13"/>
        <v>0</v>
      </c>
      <c r="X63" s="320">
        <f t="shared" si="13"/>
        <v>0</v>
      </c>
      <c r="Y63" s="320">
        <f t="shared" si="13"/>
        <v>0</v>
      </c>
      <c r="Z63" s="320">
        <f t="shared" si="13"/>
        <v>0</v>
      </c>
      <c r="AA63" s="320">
        <f t="shared" si="13"/>
        <v>0</v>
      </c>
      <c r="AB63" s="320">
        <f t="shared" si="13"/>
        <v>0</v>
      </c>
      <c r="AC63" s="320">
        <f t="shared" si="13"/>
        <v>0</v>
      </c>
      <c r="AD63" s="320">
        <f t="shared" si="13"/>
        <v>0</v>
      </c>
      <c r="AE63" s="320">
        <f t="shared" si="13"/>
        <v>0</v>
      </c>
      <c r="AF63" s="320">
        <f t="shared" si="13"/>
        <v>0</v>
      </c>
      <c r="AG63" s="320">
        <f t="shared" si="13"/>
        <v>0</v>
      </c>
      <c r="AH63" s="320">
        <f t="shared" si="13"/>
        <v>0</v>
      </c>
      <c r="AI63" s="320">
        <f t="shared" si="13"/>
        <v>0</v>
      </c>
      <c r="AJ63" s="320">
        <f t="shared" si="13"/>
        <v>0</v>
      </c>
      <c r="AK63" s="320">
        <f t="shared" si="13"/>
        <v>0</v>
      </c>
      <c r="AL63" s="320">
        <f t="shared" si="13"/>
        <v>0</v>
      </c>
      <c r="AM63" s="320">
        <f t="shared" si="13"/>
        <v>0</v>
      </c>
      <c r="AN63" s="320">
        <f t="shared" si="13"/>
        <v>0</v>
      </c>
      <c r="AO63" s="320"/>
      <c r="AP63" s="320"/>
      <c r="AQ63" s="320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/>
      <c r="BF63" s="320"/>
      <c r="BG63" s="320"/>
      <c r="BH63" s="320"/>
      <c r="BI63" s="320"/>
      <c r="BJ63" s="320"/>
      <c r="BK63" s="320"/>
    </row>
    <row r="64" spans="1:63">
      <c r="A64" s="167"/>
      <c r="B64" s="217" t="str">
        <f>Servicio_internaColumna_título_amortizaciones</f>
        <v>Amortizaciones</v>
      </c>
      <c r="C64" s="218">
        <f>'Perfil - interna'!C64</f>
        <v>0</v>
      </c>
      <c r="D64" s="219">
        <f>'Perfil - interna'!D64</f>
        <v>1090625.425334367</v>
      </c>
      <c r="E64" s="219">
        <f>'Perfil - interna'!E64</f>
        <v>7203262.4516690485</v>
      </c>
      <c r="F64" s="219">
        <f>'Perfil - interna'!F64</f>
        <v>6200092.9196855435</v>
      </c>
      <c r="G64" s="219">
        <f>'Perfil - interna'!G64</f>
        <v>4568699.6350415321</v>
      </c>
      <c r="H64" s="219">
        <f>'Perfil - interna'!H64</f>
        <v>5268288.5078961207</v>
      </c>
      <c r="I64" s="219">
        <f>'Perfil - interna'!I64</f>
        <v>5364207.1096320869</v>
      </c>
      <c r="J64" s="219">
        <f>'Perfil - interna'!J64</f>
        <v>4542349.2836461635</v>
      </c>
      <c r="K64" s="219">
        <f>'Perfil - interna'!K64</f>
        <v>2843610.041232653</v>
      </c>
      <c r="L64" s="219">
        <f>'Perfil - interna'!L64</f>
        <v>995887.4796229616</v>
      </c>
      <c r="M64" s="219">
        <f>'Perfil - interna'!M64</f>
        <v>4929824.5107200006</v>
      </c>
      <c r="N64" s="219">
        <f>'Perfil - interna'!N64</f>
        <v>5332147.5931994142</v>
      </c>
      <c r="O64" s="219">
        <f>'Perfil - interna'!O64</f>
        <v>2135938.3307213401</v>
      </c>
      <c r="P64" s="219">
        <f>'Perfil - interna'!P64</f>
        <v>0</v>
      </c>
      <c r="Q64" s="219">
        <f>'Perfil - interna'!Q64</f>
        <v>0</v>
      </c>
      <c r="R64" s="219">
        <f>'Perfil - interna'!R64</f>
        <v>0</v>
      </c>
      <c r="S64" s="219">
        <f>'Perfil - interna'!S64</f>
        <v>0</v>
      </c>
      <c r="T64" s="219">
        <f>'Perfil - interna'!T64</f>
        <v>0</v>
      </c>
      <c r="U64" s="219">
        <f>'Perfil - interna'!U64</f>
        <v>0</v>
      </c>
      <c r="V64" s="219">
        <f>'Perfil - interna'!V64</f>
        <v>0</v>
      </c>
      <c r="W64" s="219">
        <f>'Perfil - interna'!W64</f>
        <v>0</v>
      </c>
      <c r="X64" s="219">
        <f>'Perfil - interna'!X64</f>
        <v>0</v>
      </c>
      <c r="Y64" s="219">
        <f>'Perfil - interna'!Y64</f>
        <v>0</v>
      </c>
      <c r="Z64" s="219">
        <f>'Perfil - interna'!Z64</f>
        <v>0</v>
      </c>
      <c r="AA64" s="219">
        <f>'Perfil - interna'!AA64</f>
        <v>0</v>
      </c>
      <c r="AB64" s="219">
        <f>'Perfil - interna'!AB64</f>
        <v>0</v>
      </c>
      <c r="AC64" s="219">
        <f>'Perfil - interna'!AC64</f>
        <v>0</v>
      </c>
      <c r="AD64" s="219">
        <f>'Perfil - interna'!AD64</f>
        <v>0</v>
      </c>
      <c r="AE64" s="219">
        <f>'Perfil - interna'!AE64</f>
        <v>0</v>
      </c>
      <c r="AF64" s="219">
        <f>'Perfil - interna'!AF64</f>
        <v>0</v>
      </c>
      <c r="AG64" s="219">
        <f>'Perfil - interna'!AG64</f>
        <v>0</v>
      </c>
      <c r="AH64" s="219">
        <f>'Perfil - interna'!AH64</f>
        <v>0</v>
      </c>
      <c r="AI64" s="219">
        <f>'Perfil - interna'!AI64</f>
        <v>0</v>
      </c>
      <c r="AJ64" s="219">
        <f>'Perfil - interna'!AJ64</f>
        <v>0</v>
      </c>
      <c r="AK64" s="219">
        <f>'Perfil - interna'!AK64</f>
        <v>0</v>
      </c>
      <c r="AL64" s="219">
        <f>'Perfil - interna'!AL64</f>
        <v>0</v>
      </c>
      <c r="AM64" s="219">
        <f>'Perfil - interna'!AM64</f>
        <v>0</v>
      </c>
      <c r="AN64" s="219">
        <f>'Perfil - interna'!AN64</f>
        <v>0</v>
      </c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</row>
    <row r="65" spans="1:63">
      <c r="A65" s="170">
        <v>37499</v>
      </c>
      <c r="B65" s="220" t="str">
        <f>Servicio_internaColumna_título_intereses</f>
        <v>Intereses</v>
      </c>
      <c r="C65" s="221">
        <f>'Perfil - interna'!C65</f>
        <v>0</v>
      </c>
      <c r="D65" s="222">
        <f>'Perfil - interna'!D65</f>
        <v>5255063.1569828046</v>
      </c>
      <c r="E65" s="222">
        <f>'Perfil - interna'!E65</f>
        <v>5051190.4355401881</v>
      </c>
      <c r="F65" s="222">
        <f>'Perfil - interna'!F65</f>
        <v>4225036.4501884719</v>
      </c>
      <c r="G65" s="222">
        <f>'Perfil - interna'!G65</f>
        <v>3472714.1734258831</v>
      </c>
      <c r="H65" s="222">
        <f>'Perfil - interna'!H65</f>
        <v>3036374.6854604343</v>
      </c>
      <c r="I65" s="222">
        <f>'Perfil - interna'!I65</f>
        <v>2473458.7052355353</v>
      </c>
      <c r="J65" s="222">
        <f>'Perfil - interna'!J65</f>
        <v>1997824.6545528984</v>
      </c>
      <c r="K65" s="222">
        <f>'Perfil - interna'!K65</f>
        <v>1666336.3038697783</v>
      </c>
      <c r="L65" s="222">
        <f>'Perfil - interna'!L65</f>
        <v>1392181.1513362178</v>
      </c>
      <c r="M65" s="222">
        <f>'Perfil - interna'!M65</f>
        <v>1394934.1437505186</v>
      </c>
      <c r="N65" s="222">
        <f>'Perfil - interna'!N65</f>
        <v>887505.64205009025</v>
      </c>
      <c r="O65" s="222">
        <f>'Perfil - interna'!O65</f>
        <v>269367.45476392936</v>
      </c>
      <c r="P65" s="222">
        <f>'Perfil - interna'!P65</f>
        <v>0</v>
      </c>
      <c r="Q65" s="222">
        <f>'Perfil - interna'!Q65</f>
        <v>0</v>
      </c>
      <c r="R65" s="222">
        <f>'Perfil - interna'!R65</f>
        <v>0</v>
      </c>
      <c r="S65" s="222">
        <f>'Perfil - interna'!S65</f>
        <v>0</v>
      </c>
      <c r="T65" s="222">
        <f>'Perfil - interna'!T65</f>
        <v>0</v>
      </c>
      <c r="U65" s="222">
        <f>'Perfil - interna'!U65</f>
        <v>0</v>
      </c>
      <c r="V65" s="222">
        <f>'Perfil - interna'!V65</f>
        <v>0</v>
      </c>
      <c r="W65" s="222">
        <f>'Perfil - interna'!W65</f>
        <v>0</v>
      </c>
      <c r="X65" s="222">
        <f>'Perfil - interna'!X65</f>
        <v>0</v>
      </c>
      <c r="Y65" s="222">
        <f>'Perfil - interna'!Y65</f>
        <v>0</v>
      </c>
      <c r="Z65" s="222">
        <f>'Perfil - interna'!Z65</f>
        <v>0</v>
      </c>
      <c r="AA65" s="222">
        <f>'Perfil - interna'!AA65</f>
        <v>0</v>
      </c>
      <c r="AB65" s="222">
        <f>'Perfil - interna'!AB65</f>
        <v>0</v>
      </c>
      <c r="AC65" s="222">
        <f>'Perfil - interna'!AC65</f>
        <v>0</v>
      </c>
      <c r="AD65" s="222">
        <f>'Perfil - interna'!AD65</f>
        <v>0</v>
      </c>
      <c r="AE65" s="222">
        <f>'Perfil - interna'!AE65</f>
        <v>0</v>
      </c>
      <c r="AF65" s="222">
        <f>'Perfil - interna'!AF65</f>
        <v>0</v>
      </c>
      <c r="AG65" s="222">
        <f>'Perfil - interna'!AG65</f>
        <v>0</v>
      </c>
      <c r="AH65" s="222">
        <f>'Perfil - interna'!AH65</f>
        <v>0</v>
      </c>
      <c r="AI65" s="222">
        <f>'Perfil - interna'!AI65</f>
        <v>0</v>
      </c>
      <c r="AJ65" s="222">
        <f>'Perfil - interna'!AJ65</f>
        <v>0</v>
      </c>
      <c r="AK65" s="222">
        <f>'Perfil - interna'!AK65</f>
        <v>0</v>
      </c>
      <c r="AL65" s="222">
        <f>'Perfil - interna'!AL65</f>
        <v>0</v>
      </c>
      <c r="AM65" s="222">
        <f>'Perfil - interna'!AM65</f>
        <v>0</v>
      </c>
      <c r="AN65" s="222">
        <f>'Perfil - interna'!AN65</f>
        <v>0</v>
      </c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</row>
    <row r="66" spans="1:63">
      <c r="A66" s="171"/>
      <c r="B66" s="318" t="str">
        <f>Servicio_internaColumna_título_total</f>
        <v>Total</v>
      </c>
      <c r="C66" s="319">
        <f t="shared" ref="C66:AN66" si="14">+C65+C64</f>
        <v>0</v>
      </c>
      <c r="D66" s="320">
        <f t="shared" si="14"/>
        <v>6345688.5823171716</v>
      </c>
      <c r="E66" s="320">
        <f t="shared" si="14"/>
        <v>12254452.887209237</v>
      </c>
      <c r="F66" s="320">
        <f t="shared" si="14"/>
        <v>10425129.369874015</v>
      </c>
      <c r="G66" s="320">
        <f t="shared" si="14"/>
        <v>8041413.8084674152</v>
      </c>
      <c r="H66" s="320">
        <f t="shared" si="14"/>
        <v>8304663.193356555</v>
      </c>
      <c r="I66" s="320">
        <f t="shared" si="14"/>
        <v>7837665.8148676222</v>
      </c>
      <c r="J66" s="320">
        <f t="shared" si="14"/>
        <v>6540173.9381990619</v>
      </c>
      <c r="K66" s="320">
        <f t="shared" si="14"/>
        <v>4509946.3451024313</v>
      </c>
      <c r="L66" s="320">
        <f t="shared" si="14"/>
        <v>2388068.6309591793</v>
      </c>
      <c r="M66" s="320">
        <f t="shared" si="14"/>
        <v>6324758.6544705192</v>
      </c>
      <c r="N66" s="320">
        <f t="shared" si="14"/>
        <v>6219653.2352495044</v>
      </c>
      <c r="O66" s="320">
        <f t="shared" si="14"/>
        <v>2405305.7854852695</v>
      </c>
      <c r="P66" s="320">
        <f t="shared" si="14"/>
        <v>0</v>
      </c>
      <c r="Q66" s="320">
        <f t="shared" si="14"/>
        <v>0</v>
      </c>
      <c r="R66" s="320">
        <f t="shared" si="14"/>
        <v>0</v>
      </c>
      <c r="S66" s="320">
        <f t="shared" si="14"/>
        <v>0</v>
      </c>
      <c r="T66" s="320">
        <f t="shared" si="14"/>
        <v>0</v>
      </c>
      <c r="U66" s="320">
        <f t="shared" si="14"/>
        <v>0</v>
      </c>
      <c r="V66" s="320">
        <f t="shared" si="14"/>
        <v>0</v>
      </c>
      <c r="W66" s="320">
        <f t="shared" si="14"/>
        <v>0</v>
      </c>
      <c r="X66" s="320">
        <f t="shared" si="14"/>
        <v>0</v>
      </c>
      <c r="Y66" s="320">
        <f t="shared" si="14"/>
        <v>0</v>
      </c>
      <c r="Z66" s="320">
        <f t="shared" si="14"/>
        <v>0</v>
      </c>
      <c r="AA66" s="320">
        <f t="shared" si="14"/>
        <v>0</v>
      </c>
      <c r="AB66" s="320">
        <f t="shared" si="14"/>
        <v>0</v>
      </c>
      <c r="AC66" s="320">
        <f t="shared" si="14"/>
        <v>0</v>
      </c>
      <c r="AD66" s="320">
        <f t="shared" si="14"/>
        <v>0</v>
      </c>
      <c r="AE66" s="320">
        <f t="shared" si="14"/>
        <v>0</v>
      </c>
      <c r="AF66" s="320">
        <f t="shared" si="14"/>
        <v>0</v>
      </c>
      <c r="AG66" s="320">
        <f t="shared" si="14"/>
        <v>0</v>
      </c>
      <c r="AH66" s="320">
        <f t="shared" si="14"/>
        <v>0</v>
      </c>
      <c r="AI66" s="320">
        <f t="shared" si="14"/>
        <v>0</v>
      </c>
      <c r="AJ66" s="320">
        <f t="shared" si="14"/>
        <v>0</v>
      </c>
      <c r="AK66" s="320">
        <f t="shared" si="14"/>
        <v>0</v>
      </c>
      <c r="AL66" s="320">
        <f t="shared" si="14"/>
        <v>0</v>
      </c>
      <c r="AM66" s="320">
        <f t="shared" si="14"/>
        <v>0</v>
      </c>
      <c r="AN66" s="320">
        <f t="shared" si="14"/>
        <v>0</v>
      </c>
      <c r="AO66" s="320"/>
      <c r="AP66" s="320"/>
      <c r="AQ66" s="320"/>
      <c r="AR66" s="320"/>
      <c r="AS66" s="320"/>
      <c r="AT66" s="320"/>
      <c r="AU66" s="320"/>
      <c r="AV66" s="320"/>
      <c r="AW66" s="320"/>
      <c r="AX66" s="320"/>
      <c r="AY66" s="320"/>
      <c r="AZ66" s="320"/>
      <c r="BA66" s="320"/>
      <c r="BB66" s="320"/>
      <c r="BC66" s="320"/>
      <c r="BD66" s="320"/>
      <c r="BE66" s="320"/>
      <c r="BF66" s="320"/>
      <c r="BG66" s="320"/>
      <c r="BH66" s="320"/>
      <c r="BI66" s="320"/>
      <c r="BJ66" s="320"/>
      <c r="BK66" s="320"/>
    </row>
    <row r="67" spans="1:63">
      <c r="A67" s="167"/>
      <c r="B67" s="217" t="str">
        <f>Servicio_internaColumna_título_amortizaciones</f>
        <v>Amortizaciones</v>
      </c>
      <c r="C67" s="218">
        <f>'Perfil - interna'!C67</f>
        <v>0</v>
      </c>
      <c r="D67" s="219">
        <f>'Perfil - interna'!D67</f>
        <v>598888.24539150787</v>
      </c>
      <c r="E67" s="219">
        <f>'Perfil - interna'!E67</f>
        <v>7389810.3196997829</v>
      </c>
      <c r="F67" s="219">
        <f>'Perfil - interna'!F67</f>
        <v>6258799.5765401106</v>
      </c>
      <c r="G67" s="219">
        <f>'Perfil - interna'!G67</f>
        <v>4640868.3708569128</v>
      </c>
      <c r="H67" s="219">
        <f>'Perfil - interna'!H67</f>
        <v>5293937.3601089837</v>
      </c>
      <c r="I67" s="219">
        <f>'Perfil - interna'!I67</f>
        <v>5386249.468047116</v>
      </c>
      <c r="J67" s="219">
        <f>'Perfil - interna'!J67</f>
        <v>4546995.9622563571</v>
      </c>
      <c r="K67" s="219">
        <f>'Perfil - interna'!K67</f>
        <v>2861060.6755609275</v>
      </c>
      <c r="L67" s="219">
        <f>'Perfil - interna'!L67</f>
        <v>993611.32629387418</v>
      </c>
      <c r="M67" s="219">
        <f>'Perfil - interna'!M67</f>
        <v>4930563.3952299999</v>
      </c>
      <c r="N67" s="219">
        <f>'Perfil - interna'!N67</f>
        <v>5375266.1772362944</v>
      </c>
      <c r="O67" s="219">
        <f>'Perfil - interna'!O67</f>
        <v>2135938.3307213401</v>
      </c>
      <c r="P67" s="219">
        <f>'Perfil - interna'!P67</f>
        <v>0</v>
      </c>
      <c r="Q67" s="219">
        <f>'Perfil - interna'!Q67</f>
        <v>0</v>
      </c>
      <c r="R67" s="219">
        <f>'Perfil - interna'!R67</f>
        <v>0</v>
      </c>
      <c r="S67" s="219">
        <f>'Perfil - interna'!S67</f>
        <v>0</v>
      </c>
      <c r="T67" s="219">
        <f>'Perfil - interna'!T67</f>
        <v>0</v>
      </c>
      <c r="U67" s="219">
        <f>'Perfil - interna'!U67</f>
        <v>0</v>
      </c>
      <c r="V67" s="219">
        <f>'Perfil - interna'!V67</f>
        <v>0</v>
      </c>
      <c r="W67" s="219">
        <f>'Perfil - interna'!W67</f>
        <v>0</v>
      </c>
      <c r="X67" s="219">
        <f>'Perfil - interna'!X67</f>
        <v>0</v>
      </c>
      <c r="Y67" s="219">
        <f>'Perfil - interna'!Y67</f>
        <v>0</v>
      </c>
      <c r="Z67" s="219">
        <f>'Perfil - interna'!Z67</f>
        <v>0</v>
      </c>
      <c r="AA67" s="219">
        <f>'Perfil - interna'!AA67</f>
        <v>0</v>
      </c>
      <c r="AB67" s="219">
        <f>'Perfil - interna'!AB67</f>
        <v>0</v>
      </c>
      <c r="AC67" s="219">
        <f>'Perfil - interna'!AC67</f>
        <v>0</v>
      </c>
      <c r="AD67" s="219">
        <f>'Perfil - interna'!AD67</f>
        <v>0</v>
      </c>
      <c r="AE67" s="219">
        <f>'Perfil - interna'!AE67</f>
        <v>0</v>
      </c>
      <c r="AF67" s="219">
        <f>'Perfil - interna'!AF67</f>
        <v>0</v>
      </c>
      <c r="AG67" s="219">
        <f>'Perfil - interna'!AG67</f>
        <v>0</v>
      </c>
      <c r="AH67" s="219">
        <f>'Perfil - interna'!AH67</f>
        <v>0</v>
      </c>
      <c r="AI67" s="219">
        <f>'Perfil - interna'!AI67</f>
        <v>0</v>
      </c>
      <c r="AJ67" s="219">
        <f>'Perfil - interna'!AJ67</f>
        <v>0</v>
      </c>
      <c r="AK67" s="219">
        <f>'Perfil - interna'!AK67</f>
        <v>0</v>
      </c>
      <c r="AL67" s="219">
        <f>'Perfil - interna'!AL67</f>
        <v>0</v>
      </c>
      <c r="AM67" s="219">
        <f>'Perfil - interna'!AM67</f>
        <v>0</v>
      </c>
      <c r="AN67" s="219">
        <f>'Perfil - interna'!AN67</f>
        <v>0</v>
      </c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</row>
    <row r="68" spans="1:63">
      <c r="A68" s="170">
        <v>37529</v>
      </c>
      <c r="B68" s="220" t="str">
        <f>Servicio_internaColumna_título_intereses</f>
        <v>Intereses</v>
      </c>
      <c r="C68" s="221">
        <f>'Perfil - interna'!C68</f>
        <v>0</v>
      </c>
      <c r="D68" s="222">
        <f>'Perfil - interna'!D68</f>
        <v>7809766.1661990294</v>
      </c>
      <c r="E68" s="222">
        <f>'Perfil - interna'!E68</f>
        <v>10229415.788506772</v>
      </c>
      <c r="F68" s="222">
        <f>'Perfil - interna'!F68</f>
        <v>9613813.8251288719</v>
      </c>
      <c r="G68" s="222">
        <f>'Perfil - interna'!G68</f>
        <v>6662242.979081071</v>
      </c>
      <c r="H68" s="222">
        <f>'Perfil - interna'!H68</f>
        <v>7447625.5412194384</v>
      </c>
      <c r="I68" s="222">
        <f>'Perfil - interna'!I68</f>
        <v>6189887.248835884</v>
      </c>
      <c r="J68" s="222">
        <f>'Perfil - interna'!J68</f>
        <v>5345761.2827049186</v>
      </c>
      <c r="K68" s="222">
        <f>'Perfil - interna'!K68</f>
        <v>3045285.189874616</v>
      </c>
      <c r="L68" s="222">
        <f>'Perfil - interna'!L68</f>
        <v>1390665.6822523642</v>
      </c>
      <c r="M68" s="222">
        <f>'Perfil - interna'!M68</f>
        <v>5704412.3011647556</v>
      </c>
      <c r="N68" s="222">
        <f>'Perfil - interna'!N68</f>
        <v>5810777.208858517</v>
      </c>
      <c r="O68" s="222">
        <f>'Perfil - interna'!O68</f>
        <v>2405305.7854852695</v>
      </c>
      <c r="P68" s="222">
        <f>'Perfil - interna'!P68</f>
        <v>0</v>
      </c>
      <c r="Q68" s="222">
        <f>'Perfil - interna'!Q68</f>
        <v>0</v>
      </c>
      <c r="R68" s="222">
        <f>'Perfil - interna'!R68</f>
        <v>0</v>
      </c>
      <c r="S68" s="222">
        <f>'Perfil - interna'!S68</f>
        <v>0</v>
      </c>
      <c r="T68" s="222">
        <f>'Perfil - interna'!T68</f>
        <v>0</v>
      </c>
      <c r="U68" s="222">
        <f>'Perfil - interna'!U68</f>
        <v>0</v>
      </c>
      <c r="V68" s="222">
        <f>'Perfil - interna'!V68</f>
        <v>0</v>
      </c>
      <c r="W68" s="222">
        <f>'Perfil - interna'!W68</f>
        <v>0</v>
      </c>
      <c r="X68" s="222">
        <f>'Perfil - interna'!X68</f>
        <v>0</v>
      </c>
      <c r="Y68" s="222">
        <f>'Perfil - interna'!Y68</f>
        <v>0</v>
      </c>
      <c r="Z68" s="222">
        <f>'Perfil - interna'!Z68</f>
        <v>0</v>
      </c>
      <c r="AA68" s="222">
        <f>'Perfil - interna'!AA68</f>
        <v>0</v>
      </c>
      <c r="AB68" s="222">
        <f>'Perfil - interna'!AB68</f>
        <v>0</v>
      </c>
      <c r="AC68" s="222">
        <f>'Perfil - interna'!AC68</f>
        <v>0</v>
      </c>
      <c r="AD68" s="222">
        <f>'Perfil - interna'!AD68</f>
        <v>0</v>
      </c>
      <c r="AE68" s="222">
        <f>'Perfil - interna'!AE68</f>
        <v>0</v>
      </c>
      <c r="AF68" s="222">
        <f>'Perfil - interna'!AF68</f>
        <v>0</v>
      </c>
      <c r="AG68" s="222">
        <f>'Perfil - interna'!AG68</f>
        <v>0</v>
      </c>
      <c r="AH68" s="222">
        <f>'Perfil - interna'!AH68</f>
        <v>0</v>
      </c>
      <c r="AI68" s="222">
        <f>'Perfil - interna'!AI68</f>
        <v>0</v>
      </c>
      <c r="AJ68" s="222">
        <f>'Perfil - interna'!AJ68</f>
        <v>0</v>
      </c>
      <c r="AK68" s="222">
        <f>'Perfil - interna'!AK68</f>
        <v>0</v>
      </c>
      <c r="AL68" s="222">
        <f>'Perfil - interna'!AL68</f>
        <v>0</v>
      </c>
      <c r="AM68" s="222">
        <f>'Perfil - interna'!AM68</f>
        <v>0</v>
      </c>
      <c r="AN68" s="222">
        <f>'Perfil - interna'!AN68</f>
        <v>0</v>
      </c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</row>
    <row r="69" spans="1:63">
      <c r="A69" s="171"/>
      <c r="B69" s="318" t="str">
        <f>Servicio_internaColumna_título_total</f>
        <v>Total</v>
      </c>
      <c r="C69" s="319">
        <f t="shared" ref="C69:AN69" si="15">+C68+C67</f>
        <v>0</v>
      </c>
      <c r="D69" s="320">
        <f t="shared" si="15"/>
        <v>8408654.4115905371</v>
      </c>
      <c r="E69" s="320">
        <f t="shared" si="15"/>
        <v>17619226.108206555</v>
      </c>
      <c r="F69" s="320">
        <f t="shared" si="15"/>
        <v>15872613.401668983</v>
      </c>
      <c r="G69" s="320">
        <f t="shared" si="15"/>
        <v>11303111.349937983</v>
      </c>
      <c r="H69" s="320">
        <f t="shared" si="15"/>
        <v>12741562.901328422</v>
      </c>
      <c r="I69" s="320">
        <f t="shared" si="15"/>
        <v>11576136.716883</v>
      </c>
      <c r="J69" s="320">
        <f t="shared" si="15"/>
        <v>9892757.2449612767</v>
      </c>
      <c r="K69" s="320">
        <f t="shared" si="15"/>
        <v>5906345.8654355435</v>
      </c>
      <c r="L69" s="320">
        <f t="shared" si="15"/>
        <v>2384277.0085462383</v>
      </c>
      <c r="M69" s="320">
        <f t="shared" si="15"/>
        <v>10634975.696394756</v>
      </c>
      <c r="N69" s="320">
        <f t="shared" si="15"/>
        <v>11186043.386094812</v>
      </c>
      <c r="O69" s="320">
        <f t="shared" si="15"/>
        <v>4541244.1162066096</v>
      </c>
      <c r="P69" s="320">
        <f t="shared" si="15"/>
        <v>0</v>
      </c>
      <c r="Q69" s="320">
        <f t="shared" si="15"/>
        <v>0</v>
      </c>
      <c r="R69" s="320">
        <f t="shared" si="15"/>
        <v>0</v>
      </c>
      <c r="S69" s="320">
        <f t="shared" si="15"/>
        <v>0</v>
      </c>
      <c r="T69" s="320">
        <f t="shared" si="15"/>
        <v>0</v>
      </c>
      <c r="U69" s="320">
        <f t="shared" si="15"/>
        <v>0</v>
      </c>
      <c r="V69" s="320">
        <f t="shared" si="15"/>
        <v>0</v>
      </c>
      <c r="W69" s="320">
        <f t="shared" si="15"/>
        <v>0</v>
      </c>
      <c r="X69" s="320">
        <f t="shared" si="15"/>
        <v>0</v>
      </c>
      <c r="Y69" s="320">
        <f t="shared" si="15"/>
        <v>0</v>
      </c>
      <c r="Z69" s="320">
        <f t="shared" si="15"/>
        <v>0</v>
      </c>
      <c r="AA69" s="320">
        <f t="shared" si="15"/>
        <v>0</v>
      </c>
      <c r="AB69" s="320">
        <f t="shared" si="15"/>
        <v>0</v>
      </c>
      <c r="AC69" s="320">
        <f t="shared" si="15"/>
        <v>0</v>
      </c>
      <c r="AD69" s="320">
        <f t="shared" si="15"/>
        <v>0</v>
      </c>
      <c r="AE69" s="320">
        <f t="shared" si="15"/>
        <v>0</v>
      </c>
      <c r="AF69" s="320">
        <f t="shared" si="15"/>
        <v>0</v>
      </c>
      <c r="AG69" s="320">
        <f t="shared" si="15"/>
        <v>0</v>
      </c>
      <c r="AH69" s="320">
        <f t="shared" si="15"/>
        <v>0</v>
      </c>
      <c r="AI69" s="320">
        <f t="shared" si="15"/>
        <v>0</v>
      </c>
      <c r="AJ69" s="320">
        <f t="shared" si="15"/>
        <v>0</v>
      </c>
      <c r="AK69" s="320">
        <f t="shared" si="15"/>
        <v>0</v>
      </c>
      <c r="AL69" s="320">
        <f t="shared" si="15"/>
        <v>0</v>
      </c>
      <c r="AM69" s="320">
        <f t="shared" si="15"/>
        <v>0</v>
      </c>
      <c r="AN69" s="320">
        <f t="shared" si="15"/>
        <v>0</v>
      </c>
      <c r="AO69" s="320"/>
      <c r="AP69" s="320"/>
      <c r="AQ69" s="320"/>
      <c r="AR69" s="320"/>
      <c r="AS69" s="320"/>
      <c r="AT69" s="320"/>
      <c r="AU69" s="320"/>
      <c r="AV69" s="320"/>
      <c r="AW69" s="320"/>
      <c r="AX69" s="320"/>
      <c r="AY69" s="320"/>
      <c r="AZ69" s="320"/>
      <c r="BA69" s="320"/>
      <c r="BB69" s="320"/>
      <c r="BC69" s="320"/>
      <c r="BD69" s="320"/>
      <c r="BE69" s="320"/>
      <c r="BF69" s="320"/>
      <c r="BG69" s="320"/>
      <c r="BH69" s="320"/>
      <c r="BI69" s="320"/>
      <c r="BJ69" s="320"/>
      <c r="BK69" s="320"/>
    </row>
    <row r="70" spans="1:63">
      <c r="A70" s="167"/>
      <c r="B70" s="217" t="str">
        <f>Servicio_internaColumna_título_amortizaciones</f>
        <v>Amortizaciones</v>
      </c>
      <c r="C70" s="218">
        <f>'Perfil - interna'!C70</f>
        <v>0</v>
      </c>
      <c r="D70" s="219">
        <f>'Perfil - interna'!D70</f>
        <v>151654.80788409826</v>
      </c>
      <c r="E70" s="219">
        <f>'Perfil - interna'!E70</f>
        <v>7556880.4058101354</v>
      </c>
      <c r="F70" s="219">
        <f>'Perfil - interna'!F70</f>
        <v>6284538.4258487551</v>
      </c>
      <c r="G70" s="219">
        <f>'Perfil - interna'!G70</f>
        <v>4898257.8250740087</v>
      </c>
      <c r="H70" s="219">
        <f>'Perfil - interna'!H70</f>
        <v>5289852.6469928361</v>
      </c>
      <c r="I70" s="219">
        <f>'Perfil - interna'!I70</f>
        <v>5488826.3056769539</v>
      </c>
      <c r="J70" s="219">
        <f>'Perfil - interna'!J70</f>
        <v>4552013.7565639988</v>
      </c>
      <c r="K70" s="219">
        <f>'Perfil - interna'!K70</f>
        <v>2866879.5090635293</v>
      </c>
      <c r="L70" s="219">
        <f>'Perfil - interna'!L70</f>
        <v>995193.95192435803</v>
      </c>
      <c r="M70" s="219">
        <f>'Perfil - interna'!M70</f>
        <v>4936251.4783680001</v>
      </c>
      <c r="N70" s="219">
        <f>'Perfil - interna'!N70</f>
        <v>5428495.4222546378</v>
      </c>
      <c r="O70" s="219">
        <f>'Perfil - interna'!O70</f>
        <v>2135938.3307213401</v>
      </c>
      <c r="P70" s="219">
        <f>'Perfil - interna'!P70</f>
        <v>0</v>
      </c>
      <c r="Q70" s="219">
        <f>'Perfil - interna'!Q70</f>
        <v>0</v>
      </c>
      <c r="R70" s="219">
        <f>'Perfil - interna'!R70</f>
        <v>0</v>
      </c>
      <c r="S70" s="219">
        <f>'Perfil - interna'!S70</f>
        <v>0</v>
      </c>
      <c r="T70" s="219">
        <f>'Perfil - interna'!T70</f>
        <v>0</v>
      </c>
      <c r="U70" s="219">
        <f>'Perfil - interna'!U70</f>
        <v>0</v>
      </c>
      <c r="V70" s="219">
        <f>'Perfil - interna'!V70</f>
        <v>0</v>
      </c>
      <c r="W70" s="219">
        <f>'Perfil - interna'!W70</f>
        <v>0</v>
      </c>
      <c r="X70" s="219">
        <f>'Perfil - interna'!X70</f>
        <v>0</v>
      </c>
      <c r="Y70" s="219">
        <f>'Perfil - interna'!Y70</f>
        <v>0</v>
      </c>
      <c r="Z70" s="219">
        <f>'Perfil - interna'!Z70</f>
        <v>0</v>
      </c>
      <c r="AA70" s="219">
        <f>'Perfil - interna'!AA70</f>
        <v>0</v>
      </c>
      <c r="AB70" s="219">
        <f>'Perfil - interna'!AB70</f>
        <v>0</v>
      </c>
      <c r="AC70" s="219">
        <f>'Perfil - interna'!AC70</f>
        <v>0</v>
      </c>
      <c r="AD70" s="219">
        <f>'Perfil - interna'!AD70</f>
        <v>0</v>
      </c>
      <c r="AE70" s="219">
        <f>'Perfil - interna'!AE70</f>
        <v>0</v>
      </c>
      <c r="AF70" s="219">
        <f>'Perfil - interna'!AF70</f>
        <v>0</v>
      </c>
      <c r="AG70" s="219">
        <f>'Perfil - interna'!AG70</f>
        <v>0</v>
      </c>
      <c r="AH70" s="219">
        <f>'Perfil - interna'!AH70</f>
        <v>0</v>
      </c>
      <c r="AI70" s="219">
        <f>'Perfil - interna'!AI70</f>
        <v>0</v>
      </c>
      <c r="AJ70" s="219">
        <f>'Perfil - interna'!AJ70</f>
        <v>0</v>
      </c>
      <c r="AK70" s="219">
        <f>'Perfil - interna'!AK70</f>
        <v>0</v>
      </c>
      <c r="AL70" s="219">
        <f>'Perfil - interna'!AL70</f>
        <v>0</v>
      </c>
      <c r="AM70" s="219">
        <f>'Perfil - interna'!AM70</f>
        <v>0</v>
      </c>
      <c r="AN70" s="219">
        <f>'Perfil - interna'!AN70</f>
        <v>0</v>
      </c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</row>
    <row r="71" spans="1:63">
      <c r="A71" s="170">
        <v>37560</v>
      </c>
      <c r="B71" s="220" t="str">
        <f>Servicio_internaColumna_título_intereses</f>
        <v>Intereses</v>
      </c>
      <c r="C71" s="221">
        <f>'Perfil - interna'!C71</f>
        <v>0</v>
      </c>
      <c r="D71" s="222">
        <f>'Perfil - interna'!D71</f>
        <v>5223459.4433996817</v>
      </c>
      <c r="E71" s="222">
        <f>'Perfil - interna'!E71</f>
        <v>-2291789.4286091896</v>
      </c>
      <c r="F71" s="222">
        <f>'Perfil - interna'!F71</f>
        <v>-1882225.247023101</v>
      </c>
      <c r="G71" s="222">
        <f>'Perfil - interna'!G71</f>
        <v>-1247236.8027569577</v>
      </c>
      <c r="H71" s="222">
        <f>'Perfil - interna'!H71</f>
        <v>-2125478.1798027693</v>
      </c>
      <c r="I71" s="222">
        <f>'Perfil - interna'!I71</f>
        <v>-2878831.1240915926</v>
      </c>
      <c r="J71" s="222">
        <f>'Perfil - interna'!J71</f>
        <v>-2445643.4234828637</v>
      </c>
      <c r="K71" s="222">
        <f>'Perfil - interna'!K71</f>
        <v>-1197636.4327289802</v>
      </c>
      <c r="L71" s="222">
        <f>'Perfil - interna'!L71</f>
        <v>399399.58554249885</v>
      </c>
      <c r="M71" s="222">
        <f>'Perfil - interna'!M71</f>
        <v>-3538667.0984150134</v>
      </c>
      <c r="N71" s="222">
        <f>'Perfil - interna'!N71</f>
        <v>-4538962.2121029394</v>
      </c>
      <c r="O71" s="222">
        <f>'Perfil - interna'!O71</f>
        <v>-1866570.8759573693</v>
      </c>
      <c r="P71" s="222">
        <f>'Perfil - interna'!P71</f>
        <v>0</v>
      </c>
      <c r="Q71" s="222">
        <f>'Perfil - interna'!Q71</f>
        <v>0</v>
      </c>
      <c r="R71" s="222">
        <f>'Perfil - interna'!R71</f>
        <v>0</v>
      </c>
      <c r="S71" s="222">
        <f>'Perfil - interna'!S71</f>
        <v>0</v>
      </c>
      <c r="T71" s="222">
        <f>'Perfil - interna'!T71</f>
        <v>0</v>
      </c>
      <c r="U71" s="222">
        <f>'Perfil - interna'!U71</f>
        <v>0</v>
      </c>
      <c r="V71" s="222">
        <f>'Perfil - interna'!V71</f>
        <v>0</v>
      </c>
      <c r="W71" s="222">
        <f>'Perfil - interna'!W71</f>
        <v>0</v>
      </c>
      <c r="X71" s="222">
        <f>'Perfil - interna'!X71</f>
        <v>0</v>
      </c>
      <c r="Y71" s="222">
        <f>'Perfil - interna'!Y71</f>
        <v>0</v>
      </c>
      <c r="Z71" s="222">
        <f>'Perfil - interna'!Z71</f>
        <v>0</v>
      </c>
      <c r="AA71" s="222">
        <f>'Perfil - interna'!AA71</f>
        <v>0</v>
      </c>
      <c r="AB71" s="222">
        <f>'Perfil - interna'!AB71</f>
        <v>0</v>
      </c>
      <c r="AC71" s="222">
        <f>'Perfil - interna'!AC71</f>
        <v>0</v>
      </c>
      <c r="AD71" s="222">
        <f>'Perfil - interna'!AD71</f>
        <v>0</v>
      </c>
      <c r="AE71" s="222">
        <f>'Perfil - interna'!AE71</f>
        <v>0</v>
      </c>
      <c r="AF71" s="222">
        <f>'Perfil - interna'!AF71</f>
        <v>0</v>
      </c>
      <c r="AG71" s="222">
        <f>'Perfil - interna'!AG71</f>
        <v>0</v>
      </c>
      <c r="AH71" s="222">
        <f>'Perfil - interna'!AH71</f>
        <v>0</v>
      </c>
      <c r="AI71" s="222">
        <f>'Perfil - interna'!AI71</f>
        <v>0</v>
      </c>
      <c r="AJ71" s="222">
        <f>'Perfil - interna'!AJ71</f>
        <v>0</v>
      </c>
      <c r="AK71" s="222">
        <f>'Perfil - interna'!AK71</f>
        <v>0</v>
      </c>
      <c r="AL71" s="222">
        <f>'Perfil - interna'!AL71</f>
        <v>0</v>
      </c>
      <c r="AM71" s="222">
        <f>'Perfil - interna'!AM71</f>
        <v>0</v>
      </c>
      <c r="AN71" s="222">
        <f>'Perfil - interna'!AN71</f>
        <v>0</v>
      </c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  <c r="BI71" s="222"/>
      <c r="BJ71" s="222"/>
      <c r="BK71" s="222"/>
    </row>
    <row r="72" spans="1:63">
      <c r="A72" s="171"/>
      <c r="B72" s="318" t="str">
        <f>Servicio_internaColumna_título_total</f>
        <v>Total</v>
      </c>
      <c r="C72" s="319">
        <f t="shared" ref="C72:AN72" si="16">+C71+C70</f>
        <v>0</v>
      </c>
      <c r="D72" s="320">
        <f t="shared" si="16"/>
        <v>5375114.2512837797</v>
      </c>
      <c r="E72" s="320">
        <f t="shared" si="16"/>
        <v>5265090.9772009458</v>
      </c>
      <c r="F72" s="320">
        <f t="shared" si="16"/>
        <v>4402313.1788256541</v>
      </c>
      <c r="G72" s="320">
        <f t="shared" si="16"/>
        <v>3651021.022317051</v>
      </c>
      <c r="H72" s="320">
        <f t="shared" si="16"/>
        <v>3164374.4671900668</v>
      </c>
      <c r="I72" s="320">
        <f t="shared" si="16"/>
        <v>2609995.1815853612</v>
      </c>
      <c r="J72" s="320">
        <f t="shared" si="16"/>
        <v>2106370.3330811351</v>
      </c>
      <c r="K72" s="320">
        <f t="shared" si="16"/>
        <v>1669243.0763345491</v>
      </c>
      <c r="L72" s="320">
        <f t="shared" si="16"/>
        <v>1394593.5374668569</v>
      </c>
      <c r="M72" s="320">
        <f t="shared" si="16"/>
        <v>1397584.3799529867</v>
      </c>
      <c r="N72" s="320">
        <f t="shared" si="16"/>
        <v>889533.21015169844</v>
      </c>
      <c r="O72" s="320">
        <f t="shared" si="16"/>
        <v>269367.4547639708</v>
      </c>
      <c r="P72" s="320">
        <f t="shared" si="16"/>
        <v>0</v>
      </c>
      <c r="Q72" s="320">
        <f t="shared" si="16"/>
        <v>0</v>
      </c>
      <c r="R72" s="320">
        <f t="shared" si="16"/>
        <v>0</v>
      </c>
      <c r="S72" s="320">
        <f t="shared" si="16"/>
        <v>0</v>
      </c>
      <c r="T72" s="320">
        <f t="shared" si="16"/>
        <v>0</v>
      </c>
      <c r="U72" s="320">
        <f t="shared" si="16"/>
        <v>0</v>
      </c>
      <c r="V72" s="320">
        <f t="shared" si="16"/>
        <v>0</v>
      </c>
      <c r="W72" s="320">
        <f t="shared" si="16"/>
        <v>0</v>
      </c>
      <c r="X72" s="320">
        <f t="shared" si="16"/>
        <v>0</v>
      </c>
      <c r="Y72" s="320">
        <f t="shared" si="16"/>
        <v>0</v>
      </c>
      <c r="Z72" s="320">
        <f t="shared" si="16"/>
        <v>0</v>
      </c>
      <c r="AA72" s="320">
        <f t="shared" si="16"/>
        <v>0</v>
      </c>
      <c r="AB72" s="320">
        <f t="shared" si="16"/>
        <v>0</v>
      </c>
      <c r="AC72" s="320">
        <f t="shared" si="16"/>
        <v>0</v>
      </c>
      <c r="AD72" s="320">
        <f t="shared" si="16"/>
        <v>0</v>
      </c>
      <c r="AE72" s="320">
        <f t="shared" si="16"/>
        <v>0</v>
      </c>
      <c r="AF72" s="320">
        <f t="shared" si="16"/>
        <v>0</v>
      </c>
      <c r="AG72" s="320">
        <f t="shared" si="16"/>
        <v>0</v>
      </c>
      <c r="AH72" s="320">
        <f t="shared" si="16"/>
        <v>0</v>
      </c>
      <c r="AI72" s="320">
        <f t="shared" si="16"/>
        <v>0</v>
      </c>
      <c r="AJ72" s="320">
        <f t="shared" si="16"/>
        <v>0</v>
      </c>
      <c r="AK72" s="320">
        <f t="shared" si="16"/>
        <v>0</v>
      </c>
      <c r="AL72" s="320">
        <f t="shared" si="16"/>
        <v>0</v>
      </c>
      <c r="AM72" s="320">
        <f t="shared" si="16"/>
        <v>0</v>
      </c>
      <c r="AN72" s="320">
        <f t="shared" si="16"/>
        <v>0</v>
      </c>
      <c r="AO72" s="320"/>
      <c r="AP72" s="320"/>
      <c r="AQ72" s="320"/>
      <c r="AR72" s="320"/>
      <c r="AS72" s="320"/>
      <c r="AT72" s="320"/>
      <c r="AU72" s="320"/>
      <c r="AV72" s="320"/>
      <c r="AW72" s="320"/>
      <c r="AX72" s="320"/>
      <c r="AY72" s="320"/>
      <c r="AZ72" s="320"/>
      <c r="BA72" s="320"/>
      <c r="BB72" s="320"/>
      <c r="BC72" s="320"/>
      <c r="BD72" s="320"/>
      <c r="BE72" s="320"/>
      <c r="BF72" s="320"/>
      <c r="BG72" s="320"/>
      <c r="BH72" s="320"/>
      <c r="BI72" s="320"/>
      <c r="BJ72" s="320"/>
      <c r="BK72" s="320"/>
    </row>
    <row r="73" spans="1:63">
      <c r="A73" s="167"/>
      <c r="B73" s="217" t="str">
        <f>Servicio_internaColumna_título_amortizaciones</f>
        <v>Amortizaciones</v>
      </c>
      <c r="C73" s="218">
        <f>'Perfil - interna'!C73</f>
        <v>0</v>
      </c>
      <c r="D73" s="219">
        <f>'Perfil - interna'!D73</f>
        <v>128210.35675862918</v>
      </c>
      <c r="E73" s="219">
        <f>'Perfil - interna'!E73</f>
        <v>7737252.3256219253</v>
      </c>
      <c r="F73" s="219">
        <f>'Perfil - interna'!F73</f>
        <v>6318866.1964482693</v>
      </c>
      <c r="G73" s="219">
        <f>'Perfil - interna'!G73</f>
        <v>4925894.5671283212</v>
      </c>
      <c r="H73" s="219">
        <f>'Perfil - interna'!H73</f>
        <v>5298547.1152190324</v>
      </c>
      <c r="I73" s="219">
        <f>'Perfil - interna'!I73</f>
        <v>5506193.177610917</v>
      </c>
      <c r="J73" s="219">
        <f>'Perfil - interna'!J73</f>
        <v>4585424.5743061043</v>
      </c>
      <c r="K73" s="219">
        <f>'Perfil - interna'!K73</f>
        <v>2870964.5383546897</v>
      </c>
      <c r="L73" s="219">
        <f>'Perfil - interna'!L73</f>
        <v>997797.2948782579</v>
      </c>
      <c r="M73" s="219">
        <f>'Perfil - interna'!M73</f>
        <v>4939857.1075000009</v>
      </c>
      <c r="N73" s="219">
        <f>'Perfil - interna'!N73</f>
        <v>5484022.9849618757</v>
      </c>
      <c r="O73" s="219">
        <f>'Perfil - interna'!O73</f>
        <v>2135938.3307213401</v>
      </c>
      <c r="P73" s="219">
        <f>'Perfil - interna'!P73</f>
        <v>0</v>
      </c>
      <c r="Q73" s="219">
        <f>'Perfil - interna'!Q73</f>
        <v>0</v>
      </c>
      <c r="R73" s="219">
        <f>'Perfil - interna'!R73</f>
        <v>0</v>
      </c>
      <c r="S73" s="219">
        <f>'Perfil - interna'!S73</f>
        <v>0</v>
      </c>
      <c r="T73" s="219">
        <f>'Perfil - interna'!T73</f>
        <v>0</v>
      </c>
      <c r="U73" s="219">
        <f>'Perfil - interna'!U73</f>
        <v>0</v>
      </c>
      <c r="V73" s="219">
        <f>'Perfil - interna'!V73</f>
        <v>0</v>
      </c>
      <c r="W73" s="219">
        <f>'Perfil - interna'!W73</f>
        <v>0</v>
      </c>
      <c r="X73" s="219">
        <f>'Perfil - interna'!X73</f>
        <v>0</v>
      </c>
      <c r="Y73" s="219">
        <f>'Perfil - interna'!Y73</f>
        <v>0</v>
      </c>
      <c r="Z73" s="219">
        <f>'Perfil - interna'!Z73</f>
        <v>0</v>
      </c>
      <c r="AA73" s="219">
        <f>'Perfil - interna'!AA73</f>
        <v>0</v>
      </c>
      <c r="AB73" s="219">
        <f>'Perfil - interna'!AB73</f>
        <v>0</v>
      </c>
      <c r="AC73" s="219">
        <f>'Perfil - interna'!AC73</f>
        <v>0</v>
      </c>
      <c r="AD73" s="219">
        <f>'Perfil - interna'!AD73</f>
        <v>0</v>
      </c>
      <c r="AE73" s="219">
        <f>'Perfil - interna'!AE73</f>
        <v>0</v>
      </c>
      <c r="AF73" s="219">
        <f>'Perfil - interna'!AF73</f>
        <v>0</v>
      </c>
      <c r="AG73" s="219">
        <f>'Perfil - interna'!AG73</f>
        <v>0</v>
      </c>
      <c r="AH73" s="219">
        <f>'Perfil - interna'!AH73</f>
        <v>0</v>
      </c>
      <c r="AI73" s="219">
        <f>'Perfil - interna'!AI73</f>
        <v>0</v>
      </c>
      <c r="AJ73" s="219">
        <f>'Perfil - interna'!AJ73</f>
        <v>0</v>
      </c>
      <c r="AK73" s="219">
        <f>'Perfil - interna'!AK73</f>
        <v>0</v>
      </c>
      <c r="AL73" s="219">
        <f>'Perfil - interna'!AL73</f>
        <v>0</v>
      </c>
      <c r="AM73" s="219">
        <f>'Perfil - interna'!AM73</f>
        <v>0</v>
      </c>
      <c r="AN73" s="219">
        <f>'Perfil - interna'!AN73</f>
        <v>0</v>
      </c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</row>
    <row r="74" spans="1:63">
      <c r="A74" s="170">
        <v>37590</v>
      </c>
      <c r="B74" s="220" t="str">
        <f>Servicio_internaColumna_título_intereses</f>
        <v>Intereses</v>
      </c>
      <c r="C74" s="221">
        <f>'Perfil - interna'!C74</f>
        <v>0</v>
      </c>
      <c r="D74" s="222">
        <f>'Perfil - interna'!D74</f>
        <v>5528715.578741746</v>
      </c>
      <c r="E74" s="222">
        <f>'Perfil - interna'!E74</f>
        <v>5404621.8541885577</v>
      </c>
      <c r="F74" s="222">
        <f>'Perfil - interna'!F74</f>
        <v>4535611.422964354</v>
      </c>
      <c r="G74" s="222">
        <f>'Perfil - interna'!G74</f>
        <v>3687156.241314983</v>
      </c>
      <c r="H74" s="222">
        <f>'Perfil - interna'!H74</f>
        <v>3157559.073584104</v>
      </c>
      <c r="I74" s="222">
        <f>'Perfil - interna'!I74</f>
        <v>2590344.3340792768</v>
      </c>
      <c r="J74" s="222">
        <f>'Perfil - interna'!J74</f>
        <v>2082864.6977646826</v>
      </c>
      <c r="K74" s="222">
        <f>'Perfil - interna'!K74</f>
        <v>1605456.7231939579</v>
      </c>
      <c r="L74" s="222">
        <f>'Perfil - interna'!L74</f>
        <v>1319655.5363212493</v>
      </c>
      <c r="M74" s="222">
        <f>'Perfil - interna'!M74</f>
        <v>1318382.5674369503</v>
      </c>
      <c r="N74" s="222">
        <f>'Perfil - interna'!N74</f>
        <v>848944.34617172182</v>
      </c>
      <c r="O74" s="222">
        <f>'Perfil - interna'!O74</f>
        <v>246239.51451891009</v>
      </c>
      <c r="P74" s="222">
        <f>'Perfil - interna'!P74</f>
        <v>0</v>
      </c>
      <c r="Q74" s="222">
        <f>'Perfil - interna'!Q74</f>
        <v>0</v>
      </c>
      <c r="R74" s="222">
        <f>'Perfil - interna'!R74</f>
        <v>0</v>
      </c>
      <c r="S74" s="222">
        <f>'Perfil - interna'!S74</f>
        <v>0</v>
      </c>
      <c r="T74" s="222">
        <f>'Perfil - interna'!T74</f>
        <v>0</v>
      </c>
      <c r="U74" s="222">
        <f>'Perfil - interna'!U74</f>
        <v>0</v>
      </c>
      <c r="V74" s="222">
        <f>'Perfil - interna'!V74</f>
        <v>0</v>
      </c>
      <c r="W74" s="222">
        <f>'Perfil - interna'!W74</f>
        <v>0</v>
      </c>
      <c r="X74" s="222">
        <f>'Perfil - interna'!X74</f>
        <v>0</v>
      </c>
      <c r="Y74" s="222">
        <f>'Perfil - interna'!Y74</f>
        <v>0</v>
      </c>
      <c r="Z74" s="222">
        <f>'Perfil - interna'!Z74</f>
        <v>0</v>
      </c>
      <c r="AA74" s="222">
        <f>'Perfil - interna'!AA74</f>
        <v>0</v>
      </c>
      <c r="AB74" s="222">
        <f>'Perfil - interna'!AB74</f>
        <v>0</v>
      </c>
      <c r="AC74" s="222">
        <f>'Perfil - interna'!AC74</f>
        <v>0</v>
      </c>
      <c r="AD74" s="222">
        <f>'Perfil - interna'!AD74</f>
        <v>0</v>
      </c>
      <c r="AE74" s="222">
        <f>'Perfil - interna'!AE74</f>
        <v>0</v>
      </c>
      <c r="AF74" s="222">
        <f>'Perfil - interna'!AF74</f>
        <v>0</v>
      </c>
      <c r="AG74" s="222">
        <f>'Perfil - interna'!AG74</f>
        <v>0</v>
      </c>
      <c r="AH74" s="222">
        <f>'Perfil - interna'!AH74</f>
        <v>0</v>
      </c>
      <c r="AI74" s="222">
        <f>'Perfil - interna'!AI74</f>
        <v>0</v>
      </c>
      <c r="AJ74" s="222">
        <f>'Perfil - interna'!AJ74</f>
        <v>0</v>
      </c>
      <c r="AK74" s="222">
        <f>'Perfil - interna'!AK74</f>
        <v>0</v>
      </c>
      <c r="AL74" s="222">
        <f>'Perfil - interna'!AL74</f>
        <v>0</v>
      </c>
      <c r="AM74" s="222">
        <f>'Perfil - interna'!AM74</f>
        <v>0</v>
      </c>
      <c r="AN74" s="222">
        <f>'Perfil - interna'!AN74</f>
        <v>0</v>
      </c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  <c r="BI74" s="222"/>
      <c r="BJ74" s="222"/>
      <c r="BK74" s="222"/>
    </row>
    <row r="75" spans="1:63">
      <c r="A75" s="171"/>
      <c r="B75" s="318" t="str">
        <f>Servicio_internaColumna_título_total</f>
        <v>Total</v>
      </c>
      <c r="C75" s="319">
        <f t="shared" ref="C75:AN75" si="17">+C74+C73</f>
        <v>0</v>
      </c>
      <c r="D75" s="320">
        <f t="shared" si="17"/>
        <v>5656925.935500375</v>
      </c>
      <c r="E75" s="320">
        <f t="shared" si="17"/>
        <v>13141874.179810483</v>
      </c>
      <c r="F75" s="320">
        <f t="shared" si="17"/>
        <v>10854477.619412623</v>
      </c>
      <c r="G75" s="320">
        <f t="shared" si="17"/>
        <v>8613050.8084433042</v>
      </c>
      <c r="H75" s="320">
        <f t="shared" si="17"/>
        <v>8456106.1888031363</v>
      </c>
      <c r="I75" s="320">
        <f t="shared" si="17"/>
        <v>8096537.5116901938</v>
      </c>
      <c r="J75" s="320">
        <f t="shared" si="17"/>
        <v>6668289.2720707869</v>
      </c>
      <c r="K75" s="320">
        <f t="shared" si="17"/>
        <v>4476421.2615486477</v>
      </c>
      <c r="L75" s="320">
        <f t="shared" si="17"/>
        <v>2317452.8311995072</v>
      </c>
      <c r="M75" s="320">
        <f t="shared" si="17"/>
        <v>6258239.6749369511</v>
      </c>
      <c r="N75" s="320">
        <f t="shared" si="17"/>
        <v>6332967.3311335975</v>
      </c>
      <c r="O75" s="320">
        <f t="shared" si="17"/>
        <v>2382177.8452402502</v>
      </c>
      <c r="P75" s="320">
        <f t="shared" si="17"/>
        <v>0</v>
      </c>
      <c r="Q75" s="320">
        <f t="shared" si="17"/>
        <v>0</v>
      </c>
      <c r="R75" s="320">
        <f t="shared" si="17"/>
        <v>0</v>
      </c>
      <c r="S75" s="320">
        <f t="shared" si="17"/>
        <v>0</v>
      </c>
      <c r="T75" s="320">
        <f t="shared" si="17"/>
        <v>0</v>
      </c>
      <c r="U75" s="320">
        <f t="shared" si="17"/>
        <v>0</v>
      </c>
      <c r="V75" s="320">
        <f t="shared" si="17"/>
        <v>0</v>
      </c>
      <c r="W75" s="320">
        <f t="shared" si="17"/>
        <v>0</v>
      </c>
      <c r="X75" s="320">
        <f t="shared" si="17"/>
        <v>0</v>
      </c>
      <c r="Y75" s="320">
        <f t="shared" si="17"/>
        <v>0</v>
      </c>
      <c r="Z75" s="320">
        <f t="shared" si="17"/>
        <v>0</v>
      </c>
      <c r="AA75" s="320">
        <f t="shared" si="17"/>
        <v>0</v>
      </c>
      <c r="AB75" s="320">
        <f t="shared" si="17"/>
        <v>0</v>
      </c>
      <c r="AC75" s="320">
        <f t="shared" si="17"/>
        <v>0</v>
      </c>
      <c r="AD75" s="320">
        <f t="shared" si="17"/>
        <v>0</v>
      </c>
      <c r="AE75" s="320">
        <f t="shared" si="17"/>
        <v>0</v>
      </c>
      <c r="AF75" s="320">
        <f t="shared" si="17"/>
        <v>0</v>
      </c>
      <c r="AG75" s="320">
        <f t="shared" si="17"/>
        <v>0</v>
      </c>
      <c r="AH75" s="320">
        <f t="shared" si="17"/>
        <v>0</v>
      </c>
      <c r="AI75" s="320">
        <f t="shared" si="17"/>
        <v>0</v>
      </c>
      <c r="AJ75" s="320">
        <f t="shared" si="17"/>
        <v>0</v>
      </c>
      <c r="AK75" s="320">
        <f t="shared" si="17"/>
        <v>0</v>
      </c>
      <c r="AL75" s="320">
        <f t="shared" si="17"/>
        <v>0</v>
      </c>
      <c r="AM75" s="320">
        <f t="shared" si="17"/>
        <v>0</v>
      </c>
      <c r="AN75" s="320">
        <f t="shared" si="17"/>
        <v>0</v>
      </c>
      <c r="AO75" s="320"/>
      <c r="AP75" s="320"/>
      <c r="AQ75" s="320"/>
      <c r="AR75" s="320"/>
      <c r="AS75" s="320"/>
      <c r="AT75" s="320"/>
      <c r="AU75" s="320"/>
      <c r="AV75" s="320"/>
      <c r="AW75" s="320"/>
      <c r="AX75" s="320"/>
      <c r="AY75" s="320"/>
      <c r="AZ75" s="320"/>
      <c r="BA75" s="320"/>
      <c r="BB75" s="320"/>
      <c r="BC75" s="320"/>
      <c r="BD75" s="320"/>
      <c r="BE75" s="320"/>
      <c r="BF75" s="320"/>
      <c r="BG75" s="320"/>
      <c r="BH75" s="320"/>
      <c r="BI75" s="320"/>
      <c r="BJ75" s="320"/>
      <c r="BK75" s="320"/>
    </row>
    <row r="76" spans="1:63">
      <c r="A76" s="167"/>
      <c r="B76" s="217" t="str">
        <f>Servicio_internaColumna_título_amortizaciones</f>
        <v>Amortizaciones</v>
      </c>
      <c r="C76" s="218">
        <f>'Perfil - interna'!C76</f>
        <v>0</v>
      </c>
      <c r="D76" s="219">
        <f>'Perfil - interna'!D76</f>
        <v>0</v>
      </c>
      <c r="E76" s="219">
        <f>'Perfil - interna'!E76</f>
        <v>8705432.5557957441</v>
      </c>
      <c r="F76" s="219">
        <f>'Perfil - interna'!F76</f>
        <v>6670823.3709962526</v>
      </c>
      <c r="G76" s="219">
        <f>'Perfil - interna'!G76</f>
        <v>5278913.9909697575</v>
      </c>
      <c r="H76" s="219">
        <f>'Perfil - interna'!H76</f>
        <v>5333378.5037881723</v>
      </c>
      <c r="I76" s="219">
        <f>'Perfil - interna'!I76</f>
        <v>5602909.2869911138</v>
      </c>
      <c r="J76" s="219">
        <f>'Perfil - interna'!J76</f>
        <v>4589778.7992452085</v>
      </c>
      <c r="K76" s="219">
        <f>'Perfil - interna'!K76</f>
        <v>2921260.4812730062</v>
      </c>
      <c r="L76" s="219">
        <f>'Perfil - interna'!L76</f>
        <v>1000590.5358597805</v>
      </c>
      <c r="M76" s="219">
        <f>'Perfil - interna'!M76</f>
        <v>4949157.0884999996</v>
      </c>
      <c r="N76" s="219">
        <f>'Perfil - interna'!N76</f>
        <v>5614605.3716889992</v>
      </c>
      <c r="O76" s="219">
        <f>'Perfil - interna'!O76</f>
        <v>2135938.3307213401</v>
      </c>
      <c r="P76" s="219">
        <f>'Perfil - interna'!P76</f>
        <v>0</v>
      </c>
      <c r="Q76" s="219">
        <f>'Perfil - interna'!Q76</f>
        <v>0</v>
      </c>
      <c r="R76" s="219">
        <f>'Perfil - interna'!R76</f>
        <v>0</v>
      </c>
      <c r="S76" s="219">
        <f>'Perfil - interna'!S76</f>
        <v>0</v>
      </c>
      <c r="T76" s="219">
        <f>'Perfil - interna'!T76</f>
        <v>0</v>
      </c>
      <c r="U76" s="219">
        <f>'Perfil - interna'!U76</f>
        <v>0</v>
      </c>
      <c r="V76" s="219">
        <f>'Perfil - interna'!V76</f>
        <v>0</v>
      </c>
      <c r="W76" s="219">
        <f>'Perfil - interna'!W76</f>
        <v>0</v>
      </c>
      <c r="X76" s="219">
        <f>'Perfil - interna'!X76</f>
        <v>0</v>
      </c>
      <c r="Y76" s="219">
        <f>'Perfil - interna'!Y76</f>
        <v>0</v>
      </c>
      <c r="Z76" s="219">
        <f>'Perfil - interna'!Z76</f>
        <v>0</v>
      </c>
      <c r="AA76" s="219">
        <f>'Perfil - interna'!AA76</f>
        <v>0</v>
      </c>
      <c r="AB76" s="219">
        <f>'Perfil - interna'!AB76</f>
        <v>0</v>
      </c>
      <c r="AC76" s="219">
        <f>'Perfil - interna'!AC76</f>
        <v>0</v>
      </c>
      <c r="AD76" s="219">
        <f>'Perfil - interna'!AD76</f>
        <v>0</v>
      </c>
      <c r="AE76" s="219">
        <f>'Perfil - interna'!AE76</f>
        <v>0</v>
      </c>
      <c r="AF76" s="219">
        <f>'Perfil - interna'!AF76</f>
        <v>0</v>
      </c>
      <c r="AG76" s="219">
        <f>'Perfil - interna'!AG76</f>
        <v>0</v>
      </c>
      <c r="AH76" s="219">
        <f>'Perfil - interna'!AH76</f>
        <v>0</v>
      </c>
      <c r="AI76" s="219">
        <f>'Perfil - interna'!AI76</f>
        <v>0</v>
      </c>
      <c r="AJ76" s="219">
        <f>'Perfil - interna'!AJ76</f>
        <v>0</v>
      </c>
      <c r="AK76" s="219">
        <f>'Perfil - interna'!AK76</f>
        <v>0</v>
      </c>
      <c r="AL76" s="219">
        <f>'Perfil - interna'!AL76</f>
        <v>0</v>
      </c>
      <c r="AM76" s="219">
        <f>'Perfil - interna'!AM76</f>
        <v>0</v>
      </c>
      <c r="AN76" s="219">
        <f>'Perfil - interna'!AN76</f>
        <v>0</v>
      </c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</row>
    <row r="77" spans="1:63">
      <c r="A77" s="170">
        <v>37621</v>
      </c>
      <c r="B77" s="220" t="str">
        <f>Servicio_internaColumna_título_intereses</f>
        <v>Intereses</v>
      </c>
      <c r="C77" s="221">
        <f>'Perfil - interna'!C77</f>
        <v>0</v>
      </c>
      <c r="D77" s="222">
        <f>'Perfil - interna'!D77</f>
        <v>0</v>
      </c>
      <c r="E77" s="222">
        <f>'Perfil - interna'!E77</f>
        <v>5568652.1933437139</v>
      </c>
      <c r="F77" s="222">
        <f>'Perfil - interna'!F77</f>
        <v>4630942.1440608194</v>
      </c>
      <c r="G77" s="222">
        <f>'Perfil - interna'!G77</f>
        <v>3742979.4459667103</v>
      </c>
      <c r="H77" s="222">
        <f>'Perfil - interna'!H77</f>
        <v>3164917.5517795654</v>
      </c>
      <c r="I77" s="222">
        <f>'Perfil - interna'!I77</f>
        <v>2605848.0263608117</v>
      </c>
      <c r="J77" s="222">
        <f>'Perfil - interna'!J77</f>
        <v>2086600.0747703891</v>
      </c>
      <c r="K77" s="222">
        <f>'Perfil - interna'!K77</f>
        <v>1609193.1458210223</v>
      </c>
      <c r="L77" s="222">
        <f>'Perfil - interna'!L77</f>
        <v>1329127.1677008178</v>
      </c>
      <c r="M77" s="222">
        <f>'Perfil - interna'!M77</f>
        <v>1328054.365199876</v>
      </c>
      <c r="N77" s="222">
        <f>'Perfil - interna'!N77</f>
        <v>858683.30911288876</v>
      </c>
      <c r="O77" s="222">
        <f>'Perfil - interna'!O77</f>
        <v>246239.51451891009</v>
      </c>
      <c r="P77" s="222">
        <f>'Perfil - interna'!P77</f>
        <v>0</v>
      </c>
      <c r="Q77" s="222">
        <f>'Perfil - interna'!Q77</f>
        <v>0</v>
      </c>
      <c r="R77" s="222">
        <f>'Perfil - interna'!R77</f>
        <v>0</v>
      </c>
      <c r="S77" s="222">
        <f>'Perfil - interna'!S77</f>
        <v>0</v>
      </c>
      <c r="T77" s="222">
        <f>'Perfil - interna'!T77</f>
        <v>0</v>
      </c>
      <c r="U77" s="222">
        <f>'Perfil - interna'!U77</f>
        <v>0</v>
      </c>
      <c r="V77" s="222">
        <f>'Perfil - interna'!V77</f>
        <v>0</v>
      </c>
      <c r="W77" s="222">
        <f>'Perfil - interna'!W77</f>
        <v>0</v>
      </c>
      <c r="X77" s="222">
        <f>'Perfil - interna'!X77</f>
        <v>0</v>
      </c>
      <c r="Y77" s="222">
        <f>'Perfil - interna'!Y77</f>
        <v>0</v>
      </c>
      <c r="Z77" s="222">
        <f>'Perfil - interna'!Z77</f>
        <v>0</v>
      </c>
      <c r="AA77" s="222">
        <f>'Perfil - interna'!AA77</f>
        <v>0</v>
      </c>
      <c r="AB77" s="222">
        <f>'Perfil - interna'!AB77</f>
        <v>0</v>
      </c>
      <c r="AC77" s="222">
        <f>'Perfil - interna'!AC77</f>
        <v>0</v>
      </c>
      <c r="AD77" s="222">
        <f>'Perfil - interna'!AD77</f>
        <v>0</v>
      </c>
      <c r="AE77" s="222">
        <f>'Perfil - interna'!AE77</f>
        <v>0</v>
      </c>
      <c r="AF77" s="222">
        <f>'Perfil - interna'!AF77</f>
        <v>0</v>
      </c>
      <c r="AG77" s="222">
        <f>'Perfil - interna'!AG77</f>
        <v>0</v>
      </c>
      <c r="AH77" s="222">
        <f>'Perfil - interna'!AH77</f>
        <v>0</v>
      </c>
      <c r="AI77" s="222">
        <f>'Perfil - interna'!AI77</f>
        <v>0</v>
      </c>
      <c r="AJ77" s="222">
        <f>'Perfil - interna'!AJ77</f>
        <v>0</v>
      </c>
      <c r="AK77" s="222">
        <f>'Perfil - interna'!AK77</f>
        <v>0</v>
      </c>
      <c r="AL77" s="222">
        <f>'Perfil - interna'!AL77</f>
        <v>0</v>
      </c>
      <c r="AM77" s="222">
        <f>'Perfil - interna'!AM77</f>
        <v>0</v>
      </c>
      <c r="AN77" s="222">
        <f>'Perfil - interna'!AN77</f>
        <v>0</v>
      </c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</row>
    <row r="78" spans="1:63">
      <c r="A78" s="171"/>
      <c r="B78" s="318" t="str">
        <f>Servicio_internaColumna_título_total</f>
        <v>Total</v>
      </c>
      <c r="C78" s="319">
        <f t="shared" ref="C78:AN78" si="18">+C77+C76</f>
        <v>0</v>
      </c>
      <c r="D78" s="320">
        <f t="shared" si="18"/>
        <v>0</v>
      </c>
      <c r="E78" s="320">
        <f t="shared" si="18"/>
        <v>14274084.749139458</v>
      </c>
      <c r="F78" s="320">
        <f t="shared" si="18"/>
        <v>11301765.515057072</v>
      </c>
      <c r="G78" s="320">
        <f t="shared" si="18"/>
        <v>9021893.4369364679</v>
      </c>
      <c r="H78" s="320">
        <f t="shared" si="18"/>
        <v>8498296.0555677377</v>
      </c>
      <c r="I78" s="320">
        <f t="shared" si="18"/>
        <v>8208757.3133519255</v>
      </c>
      <c r="J78" s="320">
        <f t="shared" si="18"/>
        <v>6676378.8740155976</v>
      </c>
      <c r="K78" s="320">
        <f t="shared" si="18"/>
        <v>4530453.6270940285</v>
      </c>
      <c r="L78" s="320">
        <f t="shared" si="18"/>
        <v>2329717.7035605982</v>
      </c>
      <c r="M78" s="320">
        <f t="shared" si="18"/>
        <v>6277211.4536998756</v>
      </c>
      <c r="N78" s="320">
        <f t="shared" si="18"/>
        <v>6473288.680801888</v>
      </c>
      <c r="O78" s="320">
        <f t="shared" si="18"/>
        <v>2382177.8452402502</v>
      </c>
      <c r="P78" s="320">
        <f t="shared" si="18"/>
        <v>0</v>
      </c>
      <c r="Q78" s="320">
        <f t="shared" si="18"/>
        <v>0</v>
      </c>
      <c r="R78" s="320">
        <f t="shared" si="18"/>
        <v>0</v>
      </c>
      <c r="S78" s="320">
        <f t="shared" si="18"/>
        <v>0</v>
      </c>
      <c r="T78" s="320">
        <f t="shared" si="18"/>
        <v>0</v>
      </c>
      <c r="U78" s="320">
        <f t="shared" si="18"/>
        <v>0</v>
      </c>
      <c r="V78" s="320">
        <f t="shared" si="18"/>
        <v>0</v>
      </c>
      <c r="W78" s="320">
        <f t="shared" si="18"/>
        <v>0</v>
      </c>
      <c r="X78" s="320">
        <f t="shared" si="18"/>
        <v>0</v>
      </c>
      <c r="Y78" s="320">
        <f t="shared" si="18"/>
        <v>0</v>
      </c>
      <c r="Z78" s="320">
        <f t="shared" si="18"/>
        <v>0</v>
      </c>
      <c r="AA78" s="320">
        <f t="shared" si="18"/>
        <v>0</v>
      </c>
      <c r="AB78" s="320">
        <f t="shared" si="18"/>
        <v>0</v>
      </c>
      <c r="AC78" s="320">
        <f t="shared" si="18"/>
        <v>0</v>
      </c>
      <c r="AD78" s="320">
        <f t="shared" si="18"/>
        <v>0</v>
      </c>
      <c r="AE78" s="320">
        <f t="shared" si="18"/>
        <v>0</v>
      </c>
      <c r="AF78" s="320">
        <f t="shared" si="18"/>
        <v>0</v>
      </c>
      <c r="AG78" s="320">
        <f t="shared" si="18"/>
        <v>0</v>
      </c>
      <c r="AH78" s="320">
        <f t="shared" si="18"/>
        <v>0</v>
      </c>
      <c r="AI78" s="320">
        <f t="shared" si="18"/>
        <v>0</v>
      </c>
      <c r="AJ78" s="320">
        <f t="shared" si="18"/>
        <v>0</v>
      </c>
      <c r="AK78" s="320">
        <f t="shared" si="18"/>
        <v>0</v>
      </c>
      <c r="AL78" s="320">
        <f t="shared" si="18"/>
        <v>0</v>
      </c>
      <c r="AM78" s="320">
        <f t="shared" si="18"/>
        <v>0</v>
      </c>
      <c r="AN78" s="320">
        <f t="shared" si="18"/>
        <v>0</v>
      </c>
      <c r="AO78" s="320"/>
      <c r="AP78" s="320"/>
      <c r="AQ78" s="320"/>
      <c r="AR78" s="320"/>
      <c r="AS78" s="320"/>
      <c r="AT78" s="320"/>
      <c r="AU78" s="320"/>
      <c r="AV78" s="320"/>
      <c r="AW78" s="320"/>
      <c r="AX78" s="320"/>
      <c r="AY78" s="320"/>
      <c r="AZ78" s="320"/>
      <c r="BA78" s="320"/>
      <c r="BB78" s="320"/>
      <c r="BC78" s="320"/>
      <c r="BD78" s="320"/>
      <c r="BE78" s="320"/>
      <c r="BF78" s="320"/>
      <c r="BG78" s="320"/>
      <c r="BH78" s="320"/>
      <c r="BI78" s="320"/>
      <c r="BJ78" s="320"/>
      <c r="BK78" s="320"/>
    </row>
    <row r="79" spans="1:63">
      <c r="A79" s="167"/>
      <c r="B79" s="217" t="str">
        <f>Servicio_internaColumna_título_amortizaciones</f>
        <v>Amortizaciones</v>
      </c>
      <c r="C79" s="218">
        <f>'Perfil - interna'!C79</f>
        <v>0</v>
      </c>
      <c r="D79" s="219">
        <f>'Perfil - interna'!D79</f>
        <v>0</v>
      </c>
      <c r="E79" s="219">
        <f>'Perfil - interna'!E79</f>
        <v>8054175.0220120419</v>
      </c>
      <c r="F79" s="219">
        <f>'Perfil - interna'!F79</f>
        <v>7563267.4563567452</v>
      </c>
      <c r="G79" s="219">
        <f>'Perfil - interna'!G79</f>
        <v>5416492.6640306832</v>
      </c>
      <c r="H79" s="219">
        <f>'Perfil - interna'!H79</f>
        <v>5364026.2859223606</v>
      </c>
      <c r="I79" s="219">
        <f>'Perfil - interna'!I79</f>
        <v>5712286.0001924671</v>
      </c>
      <c r="J79" s="219">
        <f>'Perfil - interna'!J79</f>
        <v>4602200.3796854857</v>
      </c>
      <c r="K79" s="219">
        <f>'Perfil - interna'!K79</f>
        <v>2942086.3094317378</v>
      </c>
      <c r="L79" s="219">
        <f>'Perfil - interna'!L79</f>
        <v>1006565.7644350645</v>
      </c>
      <c r="M79" s="219">
        <f>'Perfil - interna'!M79</f>
        <v>4956241.6290000007</v>
      </c>
      <c r="N79" s="219">
        <f>'Perfil - interna'!N79</f>
        <v>5715605.1589200003</v>
      </c>
      <c r="O79" s="219">
        <f>'Perfil - interna'!O79</f>
        <v>2177356.5927521554</v>
      </c>
      <c r="P79" s="219">
        <f>'Perfil - interna'!P79</f>
        <v>0</v>
      </c>
      <c r="Q79" s="219">
        <f>'Perfil - interna'!Q79</f>
        <v>0</v>
      </c>
      <c r="R79" s="219">
        <f>'Perfil - interna'!R79</f>
        <v>0</v>
      </c>
      <c r="S79" s="219">
        <f>'Perfil - interna'!S79</f>
        <v>0</v>
      </c>
      <c r="T79" s="219">
        <f>'Perfil - interna'!T79</f>
        <v>0</v>
      </c>
      <c r="U79" s="219">
        <f>'Perfil - interna'!U79</f>
        <v>0</v>
      </c>
      <c r="V79" s="219">
        <f>'Perfil - interna'!V79</f>
        <v>0</v>
      </c>
      <c r="W79" s="219">
        <f>'Perfil - interna'!W79</f>
        <v>0</v>
      </c>
      <c r="X79" s="219">
        <f>'Perfil - interna'!X79</f>
        <v>0</v>
      </c>
      <c r="Y79" s="219">
        <f>'Perfil - interna'!Y79</f>
        <v>0</v>
      </c>
      <c r="Z79" s="219">
        <f>'Perfil - interna'!Z79</f>
        <v>0</v>
      </c>
      <c r="AA79" s="219">
        <f>'Perfil - interna'!AA79</f>
        <v>0</v>
      </c>
      <c r="AB79" s="219">
        <f>'Perfil - interna'!AB79</f>
        <v>0</v>
      </c>
      <c r="AC79" s="219">
        <f>'Perfil - interna'!AC79</f>
        <v>0</v>
      </c>
      <c r="AD79" s="219">
        <f>'Perfil - interna'!AD79</f>
        <v>0</v>
      </c>
      <c r="AE79" s="219">
        <f>'Perfil - interna'!AE79</f>
        <v>0</v>
      </c>
      <c r="AF79" s="219">
        <f>'Perfil - interna'!AF79</f>
        <v>0</v>
      </c>
      <c r="AG79" s="219">
        <f>'Perfil - interna'!AG79</f>
        <v>0</v>
      </c>
      <c r="AH79" s="219">
        <f>'Perfil - interna'!AH79</f>
        <v>0</v>
      </c>
      <c r="AI79" s="219">
        <f>'Perfil - interna'!AI79</f>
        <v>0</v>
      </c>
      <c r="AJ79" s="219">
        <f>'Perfil - interna'!AJ79</f>
        <v>0</v>
      </c>
      <c r="AK79" s="219">
        <f>'Perfil - interna'!AK79</f>
        <v>0</v>
      </c>
      <c r="AL79" s="219">
        <f>'Perfil - interna'!AL79</f>
        <v>0</v>
      </c>
      <c r="AM79" s="219">
        <f>'Perfil - interna'!AM79</f>
        <v>0</v>
      </c>
      <c r="AN79" s="219">
        <f>'Perfil - interna'!AN79</f>
        <v>0</v>
      </c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</row>
    <row r="80" spans="1:63">
      <c r="A80" s="170">
        <v>37652</v>
      </c>
      <c r="B80" s="220" t="str">
        <f>Servicio_internaColumna_título_intereses</f>
        <v>Intereses</v>
      </c>
      <c r="C80" s="221">
        <f>'Perfil - interna'!C80</f>
        <v>0</v>
      </c>
      <c r="D80" s="222">
        <f>'Perfil - interna'!D80</f>
        <v>0</v>
      </c>
      <c r="E80" s="222">
        <f>'Perfil - interna'!E80</f>
        <v>5745427.4894844759</v>
      </c>
      <c r="F80" s="222">
        <f>'Perfil - interna'!F80</f>
        <v>4770352.2898923066</v>
      </c>
      <c r="G80" s="222">
        <f>'Perfil - interna'!G80</f>
        <v>3793460.0905081714</v>
      </c>
      <c r="H80" s="222">
        <f>'Perfil - interna'!H80</f>
        <v>3198694.6230557663</v>
      </c>
      <c r="I80" s="222">
        <f>'Perfil - interna'!I80</f>
        <v>2636371.4778448604</v>
      </c>
      <c r="J80" s="222">
        <f>'Perfil - interna'!J80</f>
        <v>2101291.0216290634</v>
      </c>
      <c r="K80" s="222">
        <f>'Perfil - interna'!K80</f>
        <v>1623214.0804950348</v>
      </c>
      <c r="L80" s="222">
        <f>'Perfil - interna'!L80</f>
        <v>1342758.179097882</v>
      </c>
      <c r="M80" s="222">
        <f>'Perfil - interna'!M80</f>
        <v>1341959.9382176092</v>
      </c>
      <c r="N80" s="222">
        <f>'Perfil - interna'!N80</f>
        <v>871430.09728086274</v>
      </c>
      <c r="O80" s="222">
        <f>'Perfil - interna'!O80</f>
        <v>246239.51932990924</v>
      </c>
      <c r="P80" s="222">
        <f>'Perfil - interna'!P80</f>
        <v>0</v>
      </c>
      <c r="Q80" s="222">
        <f>'Perfil - interna'!Q80</f>
        <v>0</v>
      </c>
      <c r="R80" s="222">
        <f>'Perfil - interna'!R80</f>
        <v>0</v>
      </c>
      <c r="S80" s="222">
        <f>'Perfil - interna'!S80</f>
        <v>0</v>
      </c>
      <c r="T80" s="222">
        <f>'Perfil - interna'!T80</f>
        <v>0</v>
      </c>
      <c r="U80" s="222">
        <f>'Perfil - interna'!U80</f>
        <v>0</v>
      </c>
      <c r="V80" s="222">
        <f>'Perfil - interna'!V80</f>
        <v>0</v>
      </c>
      <c r="W80" s="222">
        <f>'Perfil - interna'!W80</f>
        <v>0</v>
      </c>
      <c r="X80" s="222">
        <f>'Perfil - interna'!X80</f>
        <v>0</v>
      </c>
      <c r="Y80" s="222">
        <f>'Perfil - interna'!Y80</f>
        <v>0</v>
      </c>
      <c r="Z80" s="222">
        <f>'Perfil - interna'!Z80</f>
        <v>0</v>
      </c>
      <c r="AA80" s="222">
        <f>'Perfil - interna'!AA80</f>
        <v>0</v>
      </c>
      <c r="AB80" s="222">
        <f>'Perfil - interna'!AB80</f>
        <v>0</v>
      </c>
      <c r="AC80" s="222">
        <f>'Perfil - interna'!AC80</f>
        <v>0</v>
      </c>
      <c r="AD80" s="222">
        <f>'Perfil - interna'!AD80</f>
        <v>0</v>
      </c>
      <c r="AE80" s="222">
        <f>'Perfil - interna'!AE80</f>
        <v>0</v>
      </c>
      <c r="AF80" s="222">
        <f>'Perfil - interna'!AF80</f>
        <v>0</v>
      </c>
      <c r="AG80" s="222">
        <f>'Perfil - interna'!AG80</f>
        <v>0</v>
      </c>
      <c r="AH80" s="222">
        <f>'Perfil - interna'!AH80</f>
        <v>0</v>
      </c>
      <c r="AI80" s="222">
        <f>'Perfil - interna'!AI80</f>
        <v>0</v>
      </c>
      <c r="AJ80" s="222">
        <f>'Perfil - interna'!AJ80</f>
        <v>0</v>
      </c>
      <c r="AK80" s="222">
        <f>'Perfil - interna'!AK80</f>
        <v>0</v>
      </c>
      <c r="AL80" s="222">
        <f>'Perfil - interna'!AL80</f>
        <v>0</v>
      </c>
      <c r="AM80" s="222">
        <f>'Perfil - interna'!AM80</f>
        <v>0</v>
      </c>
      <c r="AN80" s="222">
        <f>'Perfil - interna'!AN80</f>
        <v>0</v>
      </c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</row>
    <row r="81" spans="1:63">
      <c r="A81" s="171"/>
      <c r="B81" s="318" t="str">
        <f>Servicio_internaColumna_título_total</f>
        <v>Total</v>
      </c>
      <c r="C81" s="319">
        <f t="shared" ref="C81:AN81" si="19">+C80+C79</f>
        <v>0</v>
      </c>
      <c r="D81" s="320">
        <f t="shared" si="19"/>
        <v>0</v>
      </c>
      <c r="E81" s="320">
        <f t="shared" si="19"/>
        <v>13799602.511496518</v>
      </c>
      <c r="F81" s="320">
        <f t="shared" si="19"/>
        <v>12333619.746249052</v>
      </c>
      <c r="G81" s="320">
        <f t="shared" si="19"/>
        <v>9209952.7545388546</v>
      </c>
      <c r="H81" s="320">
        <f t="shared" si="19"/>
        <v>8562720.9089781269</v>
      </c>
      <c r="I81" s="320">
        <f t="shared" si="19"/>
        <v>8348657.4780373275</v>
      </c>
      <c r="J81" s="320">
        <f t="shared" si="19"/>
        <v>6703491.4013145491</v>
      </c>
      <c r="K81" s="320">
        <f t="shared" si="19"/>
        <v>4565300.3899267726</v>
      </c>
      <c r="L81" s="320">
        <f t="shared" si="19"/>
        <v>2349323.9435329465</v>
      </c>
      <c r="M81" s="320">
        <f t="shared" si="19"/>
        <v>6298201.5672176098</v>
      </c>
      <c r="N81" s="320">
        <f t="shared" si="19"/>
        <v>6587035.256200863</v>
      </c>
      <c r="O81" s="320">
        <f t="shared" si="19"/>
        <v>2423596.1120820646</v>
      </c>
      <c r="P81" s="320">
        <f t="shared" si="19"/>
        <v>0</v>
      </c>
      <c r="Q81" s="320">
        <f t="shared" si="19"/>
        <v>0</v>
      </c>
      <c r="R81" s="320">
        <f t="shared" si="19"/>
        <v>0</v>
      </c>
      <c r="S81" s="320">
        <f t="shared" si="19"/>
        <v>0</v>
      </c>
      <c r="T81" s="320">
        <f t="shared" si="19"/>
        <v>0</v>
      </c>
      <c r="U81" s="320">
        <f t="shared" si="19"/>
        <v>0</v>
      </c>
      <c r="V81" s="320">
        <f t="shared" si="19"/>
        <v>0</v>
      </c>
      <c r="W81" s="320">
        <f t="shared" si="19"/>
        <v>0</v>
      </c>
      <c r="X81" s="320">
        <f t="shared" si="19"/>
        <v>0</v>
      </c>
      <c r="Y81" s="320">
        <f t="shared" si="19"/>
        <v>0</v>
      </c>
      <c r="Z81" s="320">
        <f t="shared" si="19"/>
        <v>0</v>
      </c>
      <c r="AA81" s="320">
        <f t="shared" si="19"/>
        <v>0</v>
      </c>
      <c r="AB81" s="320">
        <f t="shared" si="19"/>
        <v>0</v>
      </c>
      <c r="AC81" s="320">
        <f t="shared" si="19"/>
        <v>0</v>
      </c>
      <c r="AD81" s="320">
        <f t="shared" si="19"/>
        <v>0</v>
      </c>
      <c r="AE81" s="320">
        <f t="shared" si="19"/>
        <v>0</v>
      </c>
      <c r="AF81" s="320">
        <f t="shared" si="19"/>
        <v>0</v>
      </c>
      <c r="AG81" s="320">
        <f t="shared" si="19"/>
        <v>0</v>
      </c>
      <c r="AH81" s="320">
        <f t="shared" si="19"/>
        <v>0</v>
      </c>
      <c r="AI81" s="320">
        <f t="shared" si="19"/>
        <v>0</v>
      </c>
      <c r="AJ81" s="320">
        <f t="shared" si="19"/>
        <v>0</v>
      </c>
      <c r="AK81" s="320">
        <f t="shared" si="19"/>
        <v>0</v>
      </c>
      <c r="AL81" s="320">
        <f t="shared" si="19"/>
        <v>0</v>
      </c>
      <c r="AM81" s="320">
        <f t="shared" si="19"/>
        <v>0</v>
      </c>
      <c r="AN81" s="320">
        <f t="shared" si="19"/>
        <v>0</v>
      </c>
      <c r="AO81" s="320"/>
      <c r="AP81" s="320"/>
      <c r="AQ81" s="320"/>
      <c r="AR81" s="320"/>
      <c r="AS81" s="320"/>
      <c r="AT81" s="320"/>
      <c r="AU81" s="320"/>
      <c r="AV81" s="320"/>
      <c r="AW81" s="320"/>
      <c r="AX81" s="320"/>
      <c r="AY81" s="320"/>
      <c r="AZ81" s="320"/>
      <c r="BA81" s="320"/>
      <c r="BB81" s="320"/>
      <c r="BC81" s="320"/>
      <c r="BD81" s="320"/>
      <c r="BE81" s="320"/>
      <c r="BF81" s="320"/>
      <c r="BG81" s="320"/>
      <c r="BH81" s="320"/>
      <c r="BI81" s="320"/>
      <c r="BJ81" s="320"/>
      <c r="BK81" s="320"/>
    </row>
    <row r="82" spans="1:63">
      <c r="A82" s="167"/>
      <c r="B82" s="217" t="str">
        <f>Servicio_internaColumna_título_amortizaciones</f>
        <v>Amortizaciones</v>
      </c>
      <c r="C82" s="218">
        <f>'Perfil - interna'!C82</f>
        <v>0</v>
      </c>
      <c r="D82" s="219">
        <f>'Perfil - interna'!D82</f>
        <v>0</v>
      </c>
      <c r="E82" s="219">
        <f>'Perfil - interna'!E82</f>
        <v>7255790.828258289</v>
      </c>
      <c r="F82" s="219">
        <f>'Perfil - interna'!F82</f>
        <v>7352894.0858602691</v>
      </c>
      <c r="G82" s="219">
        <f>'Perfil - interna'!G82</f>
        <v>5361865.1085668905</v>
      </c>
      <c r="H82" s="219">
        <f>'Perfil - interna'!H82</f>
        <v>5318291.2139829732</v>
      </c>
      <c r="I82" s="219">
        <f>'Perfil - interna'!I82</f>
        <v>5799584.2838841723</v>
      </c>
      <c r="J82" s="219">
        <f>'Perfil - interna'!J82</f>
        <v>4560548.8600862734</v>
      </c>
      <c r="K82" s="219">
        <f>'Perfil - interna'!K82</f>
        <v>2845612.3691490898</v>
      </c>
      <c r="L82" s="219">
        <f>'Perfil - interna'!L82</f>
        <v>1011152.7005996283</v>
      </c>
      <c r="M82" s="219">
        <f>'Perfil - interna'!M82</f>
        <v>4816324.5730039999</v>
      </c>
      <c r="N82" s="219">
        <f>'Perfil - interna'!N82</f>
        <v>5234132.1364538996</v>
      </c>
      <c r="O82" s="219">
        <f>'Perfil - interna'!O82</f>
        <v>2216900.9079233631</v>
      </c>
      <c r="P82" s="219">
        <f>'Perfil - interna'!P82</f>
        <v>9.9999999999999995E-7</v>
      </c>
      <c r="Q82" s="219">
        <f>'Perfil - interna'!Q82</f>
        <v>917365.91874401306</v>
      </c>
      <c r="R82" s="219">
        <f>'Perfil - interna'!R82</f>
        <v>0</v>
      </c>
      <c r="S82" s="219">
        <f>'Perfil - interna'!S82</f>
        <v>0</v>
      </c>
      <c r="T82" s="219">
        <f>'Perfil - interna'!T82</f>
        <v>0</v>
      </c>
      <c r="U82" s="219">
        <f>'Perfil - interna'!U82</f>
        <v>0</v>
      </c>
      <c r="V82" s="219">
        <f>'Perfil - interna'!V82</f>
        <v>0</v>
      </c>
      <c r="W82" s="219">
        <f>'Perfil - interna'!W82</f>
        <v>0</v>
      </c>
      <c r="X82" s="219">
        <f>'Perfil - interna'!X82</f>
        <v>0</v>
      </c>
      <c r="Y82" s="219">
        <f>'Perfil - interna'!Y82</f>
        <v>0</v>
      </c>
      <c r="Z82" s="219">
        <f>'Perfil - interna'!Z82</f>
        <v>0</v>
      </c>
      <c r="AA82" s="219">
        <f>'Perfil - interna'!AA82</f>
        <v>0</v>
      </c>
      <c r="AB82" s="219">
        <f>'Perfil - interna'!AB82</f>
        <v>0</v>
      </c>
      <c r="AC82" s="219">
        <f>'Perfil - interna'!AC82</f>
        <v>0</v>
      </c>
      <c r="AD82" s="219">
        <f>'Perfil - interna'!AD82</f>
        <v>0</v>
      </c>
      <c r="AE82" s="219">
        <f>'Perfil - interna'!AE82</f>
        <v>0</v>
      </c>
      <c r="AF82" s="219">
        <f>'Perfil - interna'!AF82</f>
        <v>0</v>
      </c>
      <c r="AG82" s="219">
        <f>'Perfil - interna'!AG82</f>
        <v>0</v>
      </c>
      <c r="AH82" s="219">
        <f>'Perfil - interna'!AH82</f>
        <v>0</v>
      </c>
      <c r="AI82" s="219">
        <f>'Perfil - interna'!AI82</f>
        <v>0</v>
      </c>
      <c r="AJ82" s="219">
        <f>'Perfil - interna'!AJ82</f>
        <v>0</v>
      </c>
      <c r="AK82" s="219">
        <f>'Perfil - interna'!AK82</f>
        <v>0</v>
      </c>
      <c r="AL82" s="219">
        <f>'Perfil - interna'!AL82</f>
        <v>0</v>
      </c>
      <c r="AM82" s="219">
        <f>'Perfil - interna'!AM82</f>
        <v>0</v>
      </c>
      <c r="AN82" s="219">
        <f>'Perfil - interna'!AN82</f>
        <v>0</v>
      </c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</row>
    <row r="83" spans="1:63">
      <c r="A83" s="170">
        <v>37680</v>
      </c>
      <c r="B83" s="220" t="str">
        <f>Servicio_internaColumna_título_intereses</f>
        <v>Intereses</v>
      </c>
      <c r="C83" s="221">
        <f>'Perfil - interna'!C83</f>
        <v>0</v>
      </c>
      <c r="D83" s="222">
        <f>'Perfil - interna'!D83</f>
        <v>0</v>
      </c>
      <c r="E83" s="222">
        <f>'Perfil - interna'!E83</f>
        <v>5399950.856180422</v>
      </c>
      <c r="F83" s="222">
        <f>'Perfil - interna'!F83</f>
        <v>4758229.7767398823</v>
      </c>
      <c r="G83" s="222">
        <f>'Perfil - interna'!G83</f>
        <v>3821224.248263956</v>
      </c>
      <c r="H83" s="222">
        <f>'Perfil - interna'!H83</f>
        <v>3195033.1004397832</v>
      </c>
      <c r="I83" s="222">
        <f>'Perfil - interna'!I83</f>
        <v>2639756.865525539</v>
      </c>
      <c r="J83" s="222">
        <f>'Perfil - interna'!J83</f>
        <v>2091462.3582722358</v>
      </c>
      <c r="K83" s="222">
        <f>'Perfil - interna'!K83</f>
        <v>1619933.5930612814</v>
      </c>
      <c r="L83" s="222">
        <f>'Perfil - interna'!L83</f>
        <v>1355037.8701065241</v>
      </c>
      <c r="M83" s="222">
        <f>'Perfil - interna'!M83</f>
        <v>1355496.4783373438</v>
      </c>
      <c r="N83" s="222">
        <f>'Perfil - interna'!N83</f>
        <v>903313.41930334829</v>
      </c>
      <c r="O83" s="222">
        <f>'Perfil - interna'!O83</f>
        <v>339289.20355934091</v>
      </c>
      <c r="P83" s="222">
        <f>'Perfil - interna'!P83</f>
        <v>95841.177682143942</v>
      </c>
      <c r="Q83" s="222">
        <f>'Perfil - interna'!Q83</f>
        <v>98716.413097549696</v>
      </c>
      <c r="R83" s="222">
        <f>'Perfil - interna'!R83</f>
        <v>0</v>
      </c>
      <c r="S83" s="222">
        <f>'Perfil - interna'!S83</f>
        <v>0</v>
      </c>
      <c r="T83" s="222">
        <f>'Perfil - interna'!T83</f>
        <v>0</v>
      </c>
      <c r="U83" s="222">
        <f>'Perfil - interna'!U83</f>
        <v>0</v>
      </c>
      <c r="V83" s="222">
        <f>'Perfil - interna'!V83</f>
        <v>0</v>
      </c>
      <c r="W83" s="222">
        <f>'Perfil - interna'!W83</f>
        <v>0</v>
      </c>
      <c r="X83" s="222">
        <f>'Perfil - interna'!X83</f>
        <v>0</v>
      </c>
      <c r="Y83" s="222">
        <f>'Perfil - interna'!Y83</f>
        <v>0</v>
      </c>
      <c r="Z83" s="222">
        <f>'Perfil - interna'!Z83</f>
        <v>0</v>
      </c>
      <c r="AA83" s="222">
        <f>'Perfil - interna'!AA83</f>
        <v>0</v>
      </c>
      <c r="AB83" s="222">
        <f>'Perfil - interna'!AB83</f>
        <v>0</v>
      </c>
      <c r="AC83" s="222">
        <f>'Perfil - interna'!AC83</f>
        <v>0</v>
      </c>
      <c r="AD83" s="222">
        <f>'Perfil - interna'!AD83</f>
        <v>0</v>
      </c>
      <c r="AE83" s="222">
        <f>'Perfil - interna'!AE83</f>
        <v>0</v>
      </c>
      <c r="AF83" s="222">
        <f>'Perfil - interna'!AF83</f>
        <v>0</v>
      </c>
      <c r="AG83" s="222">
        <f>'Perfil - interna'!AG83</f>
        <v>0</v>
      </c>
      <c r="AH83" s="222">
        <f>'Perfil - interna'!AH83</f>
        <v>0</v>
      </c>
      <c r="AI83" s="222">
        <f>'Perfil - interna'!AI83</f>
        <v>0</v>
      </c>
      <c r="AJ83" s="222">
        <f>'Perfil - interna'!AJ83</f>
        <v>0</v>
      </c>
      <c r="AK83" s="222">
        <f>'Perfil - interna'!AK83</f>
        <v>0</v>
      </c>
      <c r="AL83" s="222">
        <f>'Perfil - interna'!AL83</f>
        <v>0</v>
      </c>
      <c r="AM83" s="222">
        <f>'Perfil - interna'!AM83</f>
        <v>0</v>
      </c>
      <c r="AN83" s="222">
        <f>'Perfil - interna'!AN83</f>
        <v>0</v>
      </c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  <c r="BI83" s="222"/>
      <c r="BJ83" s="222"/>
      <c r="BK83" s="222"/>
    </row>
    <row r="84" spans="1:63">
      <c r="A84" s="171"/>
      <c r="B84" s="318" t="str">
        <f>Servicio_internaColumna_título_total</f>
        <v>Total</v>
      </c>
      <c r="C84" s="319">
        <f t="shared" ref="C84:AN84" si="20">+C83+C82</f>
        <v>0</v>
      </c>
      <c r="D84" s="320">
        <f t="shared" si="20"/>
        <v>0</v>
      </c>
      <c r="E84" s="320">
        <f t="shared" si="20"/>
        <v>12655741.684438711</v>
      </c>
      <c r="F84" s="320">
        <f t="shared" si="20"/>
        <v>12111123.862600151</v>
      </c>
      <c r="G84" s="320">
        <f t="shared" si="20"/>
        <v>9183089.3568308465</v>
      </c>
      <c r="H84" s="320">
        <f t="shared" si="20"/>
        <v>8513324.3144227564</v>
      </c>
      <c r="I84" s="320">
        <f t="shared" si="20"/>
        <v>8439341.1494097114</v>
      </c>
      <c r="J84" s="320">
        <f t="shared" si="20"/>
        <v>6652011.2183585092</v>
      </c>
      <c r="K84" s="320">
        <f t="shared" si="20"/>
        <v>4465545.9622103712</v>
      </c>
      <c r="L84" s="320">
        <f t="shared" si="20"/>
        <v>2366190.5707061524</v>
      </c>
      <c r="M84" s="320">
        <f t="shared" si="20"/>
        <v>6171821.0513413437</v>
      </c>
      <c r="N84" s="320">
        <f t="shared" si="20"/>
        <v>6137445.5557572478</v>
      </c>
      <c r="O84" s="320">
        <f t="shared" si="20"/>
        <v>2556190.1114827041</v>
      </c>
      <c r="P84" s="320">
        <f t="shared" si="20"/>
        <v>95841.177683143935</v>
      </c>
      <c r="Q84" s="320">
        <f t="shared" si="20"/>
        <v>1016082.3318415628</v>
      </c>
      <c r="R84" s="320">
        <f t="shared" si="20"/>
        <v>0</v>
      </c>
      <c r="S84" s="320">
        <f t="shared" si="20"/>
        <v>0</v>
      </c>
      <c r="T84" s="320">
        <f t="shared" si="20"/>
        <v>0</v>
      </c>
      <c r="U84" s="320">
        <f t="shared" si="20"/>
        <v>0</v>
      </c>
      <c r="V84" s="320">
        <f t="shared" si="20"/>
        <v>0</v>
      </c>
      <c r="W84" s="320">
        <f t="shared" si="20"/>
        <v>0</v>
      </c>
      <c r="X84" s="320">
        <f t="shared" si="20"/>
        <v>0</v>
      </c>
      <c r="Y84" s="320">
        <f t="shared" si="20"/>
        <v>0</v>
      </c>
      <c r="Z84" s="320">
        <f t="shared" si="20"/>
        <v>0</v>
      </c>
      <c r="AA84" s="320">
        <f t="shared" si="20"/>
        <v>0</v>
      </c>
      <c r="AB84" s="320">
        <f t="shared" si="20"/>
        <v>0</v>
      </c>
      <c r="AC84" s="320">
        <f t="shared" si="20"/>
        <v>0</v>
      </c>
      <c r="AD84" s="320">
        <f t="shared" si="20"/>
        <v>0</v>
      </c>
      <c r="AE84" s="320">
        <f t="shared" si="20"/>
        <v>0</v>
      </c>
      <c r="AF84" s="320">
        <f t="shared" si="20"/>
        <v>0</v>
      </c>
      <c r="AG84" s="320">
        <f t="shared" si="20"/>
        <v>0</v>
      </c>
      <c r="AH84" s="320">
        <f t="shared" si="20"/>
        <v>0</v>
      </c>
      <c r="AI84" s="320">
        <f t="shared" si="20"/>
        <v>0</v>
      </c>
      <c r="AJ84" s="320">
        <f t="shared" si="20"/>
        <v>0</v>
      </c>
      <c r="AK84" s="320">
        <f t="shared" si="20"/>
        <v>0</v>
      </c>
      <c r="AL84" s="320">
        <f t="shared" si="20"/>
        <v>0</v>
      </c>
      <c r="AM84" s="320">
        <f t="shared" si="20"/>
        <v>0</v>
      </c>
      <c r="AN84" s="320">
        <f t="shared" si="20"/>
        <v>0</v>
      </c>
      <c r="AO84" s="320"/>
      <c r="AP84" s="320"/>
      <c r="AQ84" s="320"/>
      <c r="AR84" s="320"/>
      <c r="AS84" s="320"/>
      <c r="AT84" s="320"/>
      <c r="AU84" s="320"/>
      <c r="AV84" s="320"/>
      <c r="AW84" s="320"/>
      <c r="AX84" s="320"/>
      <c r="AY84" s="320"/>
      <c r="AZ84" s="320"/>
      <c r="BA84" s="320"/>
      <c r="BB84" s="320"/>
      <c r="BC84" s="320"/>
      <c r="BD84" s="320"/>
      <c r="BE84" s="320"/>
      <c r="BF84" s="320"/>
      <c r="BG84" s="320"/>
      <c r="BH84" s="320"/>
      <c r="BI84" s="320"/>
      <c r="BJ84" s="320"/>
      <c r="BK84" s="320"/>
    </row>
    <row r="85" spans="1:63">
      <c r="A85" s="167"/>
      <c r="B85" s="217" t="str">
        <f>Servicio_internaColumna_título_amortizaciones</f>
        <v>Amortizaciones</v>
      </c>
      <c r="C85" s="218">
        <f>'Perfil - interna'!C85</f>
        <v>0</v>
      </c>
      <c r="D85" s="219">
        <f>'Perfil - interna'!D85</f>
        <v>0</v>
      </c>
      <c r="E85" s="219">
        <f>'Perfil - interna'!E85</f>
        <v>8524350.6928277016</v>
      </c>
      <c r="F85" s="219">
        <f>'Perfil - interna'!F85</f>
        <v>5876602.299735453</v>
      </c>
      <c r="G85" s="219">
        <f>'Perfil - interna'!G85</f>
        <v>5989718.1155430106</v>
      </c>
      <c r="H85" s="219">
        <f>'Perfil - interna'!H85</f>
        <v>6055066.4878096767</v>
      </c>
      <c r="I85" s="219">
        <f>'Perfil - interna'!I85</f>
        <v>4646388.8891211608</v>
      </c>
      <c r="J85" s="219">
        <f>'Perfil - interna'!J85</f>
        <v>2957037.0767883761</v>
      </c>
      <c r="K85" s="219">
        <f>'Perfil - interna'!K85</f>
        <v>1017826.0743447584</v>
      </c>
      <c r="L85" s="219">
        <f>'Perfil - interna'!L85</f>
        <v>4982156.4472749997</v>
      </c>
      <c r="M85" s="219">
        <f>'Perfil - interna'!M85</f>
        <v>5967554.2582230009</v>
      </c>
      <c r="N85" s="219">
        <f>'Perfil - interna'!N85</f>
        <v>2257646.5998252821</v>
      </c>
      <c r="O85" s="219">
        <f>'Perfil - interna'!O85</f>
        <v>9.9999999999999995E-7</v>
      </c>
      <c r="P85" s="219">
        <f>'Perfil - interna'!P85</f>
        <v>928376.03305801318</v>
      </c>
      <c r="Q85" s="219">
        <f>'Perfil - interna'!Q85</f>
        <v>0</v>
      </c>
      <c r="R85" s="219">
        <f>'Perfil - interna'!R85</f>
        <v>0</v>
      </c>
      <c r="S85" s="219">
        <f>'Perfil - interna'!S85</f>
        <v>0</v>
      </c>
      <c r="T85" s="219">
        <f>'Perfil - interna'!T85</f>
        <v>0</v>
      </c>
      <c r="U85" s="219">
        <f>'Perfil - interna'!U85</f>
        <v>0</v>
      </c>
      <c r="V85" s="219">
        <f>'Perfil - interna'!V85</f>
        <v>0</v>
      </c>
      <c r="W85" s="219">
        <f>'Perfil - interna'!W85</f>
        <v>0</v>
      </c>
      <c r="X85" s="219">
        <f>'Perfil - interna'!X85</f>
        <v>0</v>
      </c>
      <c r="Y85" s="219">
        <f>'Perfil - interna'!Y85</f>
        <v>0</v>
      </c>
      <c r="Z85" s="219">
        <f>'Perfil - interna'!Z85</f>
        <v>0</v>
      </c>
      <c r="AA85" s="219">
        <f>'Perfil - interna'!AA85</f>
        <v>0</v>
      </c>
      <c r="AB85" s="219">
        <f>'Perfil - interna'!AB85</f>
        <v>0</v>
      </c>
      <c r="AC85" s="219">
        <f>'Perfil - interna'!AC85</f>
        <v>0</v>
      </c>
      <c r="AD85" s="219">
        <f>'Perfil - interna'!AD85</f>
        <v>0</v>
      </c>
      <c r="AE85" s="219">
        <f>'Perfil - interna'!AE85</f>
        <v>0</v>
      </c>
      <c r="AF85" s="219">
        <f>'Perfil - interna'!AF85</f>
        <v>0</v>
      </c>
      <c r="AG85" s="219">
        <f>'Perfil - interna'!AG85</f>
        <v>0</v>
      </c>
      <c r="AH85" s="219">
        <f>'Perfil - interna'!AH85</f>
        <v>0</v>
      </c>
      <c r="AI85" s="219">
        <f>'Perfil - interna'!AI85</f>
        <v>0</v>
      </c>
      <c r="AJ85" s="219">
        <f>'Perfil - interna'!AJ85</f>
        <v>0</v>
      </c>
      <c r="AK85" s="219">
        <f>'Perfil - interna'!AK85</f>
        <v>0</v>
      </c>
      <c r="AL85" s="219">
        <f>'Perfil - interna'!AL85</f>
        <v>0</v>
      </c>
      <c r="AM85" s="219">
        <f>'Perfil - interna'!AM85</f>
        <v>0</v>
      </c>
      <c r="AN85" s="219">
        <f>'Perfil - interna'!AN85</f>
        <v>0</v>
      </c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</row>
    <row r="86" spans="1:63">
      <c r="A86" s="170">
        <v>37711</v>
      </c>
      <c r="B86" s="220" t="str">
        <f>Servicio_internaColumna_título_intereses</f>
        <v>Intereses</v>
      </c>
      <c r="C86" s="221">
        <f>'Perfil - interna'!C86</f>
        <v>0</v>
      </c>
      <c r="D86" s="222">
        <f>'Perfil - interna'!D86</f>
        <v>0</v>
      </c>
      <c r="E86" s="222">
        <f>'Perfil - interna'!E86</f>
        <v>4127154.1144948639</v>
      </c>
      <c r="F86" s="222">
        <f>'Perfil - interna'!F86</f>
        <v>6234768.8130809292</v>
      </c>
      <c r="G86" s="222">
        <f>'Perfil - interna'!G86</f>
        <v>3193991.8058591103</v>
      </c>
      <c r="H86" s="222">
        <f>'Perfil - interna'!H86</f>
        <v>2459593.6068057511</v>
      </c>
      <c r="I86" s="222">
        <f>'Perfil - interna'!I86</f>
        <v>3793997.7738879016</v>
      </c>
      <c r="J86" s="222">
        <f>'Perfil - interna'!J86</f>
        <v>3695323.200507543</v>
      </c>
      <c r="K86" s="222">
        <f>'Perfil - interna'!K86</f>
        <v>3446062.4428342939</v>
      </c>
      <c r="L86" s="222">
        <f>'Perfil - interna'!L86</f>
        <v>-2608988.5112878047</v>
      </c>
      <c r="M86" s="222">
        <f>'Perfil - interna'!M86</f>
        <v>210234.25349837076</v>
      </c>
      <c r="N86" s="222">
        <f>'Perfil - interna'!N86</f>
        <v>3885914.3535119942</v>
      </c>
      <c r="O86" s="222">
        <f>'Perfil - interna'!O86</f>
        <v>2596935.8033836232</v>
      </c>
      <c r="P86" s="222">
        <f>'Perfil - interna'!P86</f>
        <v>-832534.85537486919</v>
      </c>
      <c r="Q86" s="222">
        <f>'Perfil - interna'!Q86</f>
        <v>1016082.3318415628</v>
      </c>
      <c r="R86" s="222">
        <f>'Perfil - interna'!R86</f>
        <v>0</v>
      </c>
      <c r="S86" s="222">
        <f>'Perfil - interna'!S86</f>
        <v>0</v>
      </c>
      <c r="T86" s="222">
        <f>'Perfil - interna'!T86</f>
        <v>0</v>
      </c>
      <c r="U86" s="222">
        <f>'Perfil - interna'!U86</f>
        <v>0</v>
      </c>
      <c r="V86" s="222">
        <f>'Perfil - interna'!V86</f>
        <v>0</v>
      </c>
      <c r="W86" s="222">
        <f>'Perfil - interna'!W86</f>
        <v>0</v>
      </c>
      <c r="X86" s="222">
        <f>'Perfil - interna'!X86</f>
        <v>0</v>
      </c>
      <c r="Y86" s="222">
        <f>'Perfil - interna'!Y86</f>
        <v>0</v>
      </c>
      <c r="Z86" s="222">
        <f>'Perfil - interna'!Z86</f>
        <v>0</v>
      </c>
      <c r="AA86" s="222">
        <f>'Perfil - interna'!AA86</f>
        <v>0</v>
      </c>
      <c r="AB86" s="222">
        <f>'Perfil - interna'!AB86</f>
        <v>0</v>
      </c>
      <c r="AC86" s="222">
        <f>'Perfil - interna'!AC86</f>
        <v>0</v>
      </c>
      <c r="AD86" s="222">
        <f>'Perfil - interna'!AD86</f>
        <v>0</v>
      </c>
      <c r="AE86" s="222">
        <f>'Perfil - interna'!AE86</f>
        <v>0</v>
      </c>
      <c r="AF86" s="222">
        <f>'Perfil - interna'!AF86</f>
        <v>0</v>
      </c>
      <c r="AG86" s="222">
        <f>'Perfil - interna'!AG86</f>
        <v>0</v>
      </c>
      <c r="AH86" s="222">
        <f>'Perfil - interna'!AH86</f>
        <v>0</v>
      </c>
      <c r="AI86" s="222">
        <f>'Perfil - interna'!AI86</f>
        <v>0</v>
      </c>
      <c r="AJ86" s="222">
        <f>'Perfil - interna'!AJ86</f>
        <v>0</v>
      </c>
      <c r="AK86" s="222">
        <f>'Perfil - interna'!AK86</f>
        <v>0</v>
      </c>
      <c r="AL86" s="222">
        <f>'Perfil - interna'!AL86</f>
        <v>0</v>
      </c>
      <c r="AM86" s="222">
        <f>'Perfil - interna'!AM86</f>
        <v>0</v>
      </c>
      <c r="AN86" s="222">
        <f>'Perfil - interna'!AN86</f>
        <v>0</v>
      </c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</row>
    <row r="87" spans="1:63">
      <c r="A87" s="171"/>
      <c r="B87" s="318" t="str">
        <f>Servicio_internaColumna_título_total</f>
        <v>Total</v>
      </c>
      <c r="C87" s="319">
        <f t="shared" ref="C87:AN87" si="21">+C86+C85</f>
        <v>0</v>
      </c>
      <c r="D87" s="320">
        <f t="shared" si="21"/>
        <v>0</v>
      </c>
      <c r="E87" s="320">
        <f t="shared" si="21"/>
        <v>12651504.807322565</v>
      </c>
      <c r="F87" s="320">
        <f t="shared" si="21"/>
        <v>12111371.112816382</v>
      </c>
      <c r="G87" s="320">
        <f t="shared" si="21"/>
        <v>9183709.921402121</v>
      </c>
      <c r="H87" s="320">
        <f t="shared" si="21"/>
        <v>8514660.0946154278</v>
      </c>
      <c r="I87" s="320">
        <f t="shared" si="21"/>
        <v>8440386.6630090624</v>
      </c>
      <c r="J87" s="320">
        <f t="shared" si="21"/>
        <v>6652360.2772959191</v>
      </c>
      <c r="K87" s="320">
        <f t="shared" si="21"/>
        <v>4463888.5171790523</v>
      </c>
      <c r="L87" s="320">
        <f t="shared" si="21"/>
        <v>2373167.935987195</v>
      </c>
      <c r="M87" s="320">
        <f t="shared" si="21"/>
        <v>6177788.5117213717</v>
      </c>
      <c r="N87" s="320">
        <f t="shared" si="21"/>
        <v>6143560.9533372764</v>
      </c>
      <c r="O87" s="320">
        <f t="shared" si="21"/>
        <v>2596935.803384623</v>
      </c>
      <c r="P87" s="320">
        <f t="shared" si="21"/>
        <v>95841.177683143993</v>
      </c>
      <c r="Q87" s="320">
        <f t="shared" si="21"/>
        <v>1016082.3318415628</v>
      </c>
      <c r="R87" s="320">
        <f t="shared" si="21"/>
        <v>0</v>
      </c>
      <c r="S87" s="320">
        <f t="shared" si="21"/>
        <v>0</v>
      </c>
      <c r="T87" s="320">
        <f t="shared" si="21"/>
        <v>0</v>
      </c>
      <c r="U87" s="320">
        <f t="shared" si="21"/>
        <v>0</v>
      </c>
      <c r="V87" s="320">
        <f t="shared" si="21"/>
        <v>0</v>
      </c>
      <c r="W87" s="320">
        <f t="shared" si="21"/>
        <v>0</v>
      </c>
      <c r="X87" s="320">
        <f t="shared" si="21"/>
        <v>0</v>
      </c>
      <c r="Y87" s="320">
        <f t="shared" si="21"/>
        <v>0</v>
      </c>
      <c r="Z87" s="320">
        <f t="shared" si="21"/>
        <v>0</v>
      </c>
      <c r="AA87" s="320">
        <f t="shared" si="21"/>
        <v>0</v>
      </c>
      <c r="AB87" s="320">
        <f t="shared" si="21"/>
        <v>0</v>
      </c>
      <c r="AC87" s="320">
        <f t="shared" si="21"/>
        <v>0</v>
      </c>
      <c r="AD87" s="320">
        <f t="shared" si="21"/>
        <v>0</v>
      </c>
      <c r="AE87" s="320">
        <f t="shared" si="21"/>
        <v>0</v>
      </c>
      <c r="AF87" s="320">
        <f t="shared" si="21"/>
        <v>0</v>
      </c>
      <c r="AG87" s="320">
        <f t="shared" si="21"/>
        <v>0</v>
      </c>
      <c r="AH87" s="320">
        <f t="shared" si="21"/>
        <v>0</v>
      </c>
      <c r="AI87" s="320">
        <f t="shared" si="21"/>
        <v>0</v>
      </c>
      <c r="AJ87" s="320">
        <f t="shared" si="21"/>
        <v>0</v>
      </c>
      <c r="AK87" s="320">
        <f t="shared" si="21"/>
        <v>0</v>
      </c>
      <c r="AL87" s="320">
        <f t="shared" si="21"/>
        <v>0</v>
      </c>
      <c r="AM87" s="320">
        <f t="shared" si="21"/>
        <v>0</v>
      </c>
      <c r="AN87" s="320">
        <f t="shared" si="21"/>
        <v>0</v>
      </c>
      <c r="AO87" s="320"/>
      <c r="AP87" s="320"/>
      <c r="AQ87" s="320"/>
      <c r="AR87" s="320"/>
      <c r="AS87" s="320"/>
      <c r="AT87" s="320"/>
      <c r="AU87" s="320"/>
      <c r="AV87" s="320"/>
      <c r="AW87" s="320"/>
      <c r="AX87" s="320"/>
      <c r="AY87" s="320"/>
      <c r="AZ87" s="320"/>
      <c r="BA87" s="320"/>
      <c r="BB87" s="320"/>
      <c r="BC87" s="320"/>
      <c r="BD87" s="320"/>
      <c r="BE87" s="320"/>
      <c r="BF87" s="320"/>
      <c r="BG87" s="320"/>
      <c r="BH87" s="320"/>
      <c r="BI87" s="320"/>
      <c r="BJ87" s="320"/>
      <c r="BK87" s="320"/>
    </row>
    <row r="88" spans="1:63">
      <c r="A88" s="167"/>
      <c r="B88" s="217" t="str">
        <f>Servicio_internaColumna_título_amortizaciones</f>
        <v>Amortizaciones</v>
      </c>
      <c r="C88" s="218">
        <f>'Perfil - interna'!C88</f>
        <v>0</v>
      </c>
      <c r="D88" s="219">
        <f>'Perfil - interna'!D88</f>
        <v>0</v>
      </c>
      <c r="E88" s="219">
        <f>'Perfil - interna'!E88</f>
        <v>8732026.3745832127</v>
      </c>
      <c r="F88" s="219">
        <f>'Perfil - interna'!F88</f>
        <v>6034754.3083869871</v>
      </c>
      <c r="G88" s="219">
        <f>'Perfil - interna'!G88</f>
        <v>6241453.7316273646</v>
      </c>
      <c r="H88" s="219">
        <f>'Perfil - interna'!H88</f>
        <v>6171780.6869775634</v>
      </c>
      <c r="I88" s="219">
        <f>'Perfil - interna'!I88</f>
        <v>4655435.3707716698</v>
      </c>
      <c r="J88" s="219">
        <f>'Perfil - interna'!J88</f>
        <v>2946578.9402858624</v>
      </c>
      <c r="K88" s="219">
        <f>'Perfil - interna'!K88</f>
        <v>1024992.6969614397</v>
      </c>
      <c r="L88" s="219">
        <f>'Perfil - interna'!L88</f>
        <v>4997075.9061099999</v>
      </c>
      <c r="M88" s="219">
        <f>'Perfil - interna'!M88</f>
        <v>6008864.7961695055</v>
      </c>
      <c r="N88" s="219">
        <f>'Perfil - interna'!N88</f>
        <v>2299257.835138828</v>
      </c>
      <c r="O88" s="219">
        <f>'Perfil - interna'!O88</f>
        <v>9.9999999999999995E-7</v>
      </c>
      <c r="P88" s="219">
        <f>'Perfil - interna'!P88</f>
        <v>938235.66738351877</v>
      </c>
      <c r="Q88" s="219">
        <f>'Perfil - interna'!Q88</f>
        <v>0</v>
      </c>
      <c r="R88" s="219">
        <f>'Perfil - interna'!R88</f>
        <v>0</v>
      </c>
      <c r="S88" s="219">
        <f>'Perfil - interna'!S88</f>
        <v>0</v>
      </c>
      <c r="T88" s="219">
        <f>'Perfil - interna'!T88</f>
        <v>0</v>
      </c>
      <c r="U88" s="219">
        <f>'Perfil - interna'!U88</f>
        <v>0</v>
      </c>
      <c r="V88" s="219">
        <f>'Perfil - interna'!V88</f>
        <v>0</v>
      </c>
      <c r="W88" s="219">
        <f>'Perfil - interna'!W88</f>
        <v>0</v>
      </c>
      <c r="X88" s="219">
        <f>'Perfil - interna'!X88</f>
        <v>0</v>
      </c>
      <c r="Y88" s="219">
        <f>'Perfil - interna'!Y88</f>
        <v>0</v>
      </c>
      <c r="Z88" s="219">
        <f>'Perfil - interna'!Z88</f>
        <v>0</v>
      </c>
      <c r="AA88" s="219">
        <f>'Perfil - interna'!AA88</f>
        <v>0</v>
      </c>
      <c r="AB88" s="219">
        <f>'Perfil - interna'!AB88</f>
        <v>0</v>
      </c>
      <c r="AC88" s="219">
        <f>'Perfil - interna'!AC88</f>
        <v>0</v>
      </c>
      <c r="AD88" s="219">
        <f>'Perfil - interna'!AD88</f>
        <v>0</v>
      </c>
      <c r="AE88" s="219">
        <f>'Perfil - interna'!AE88</f>
        <v>0</v>
      </c>
      <c r="AF88" s="219">
        <f>'Perfil - interna'!AF88</f>
        <v>0</v>
      </c>
      <c r="AG88" s="219">
        <f>'Perfil - interna'!AG88</f>
        <v>0</v>
      </c>
      <c r="AH88" s="219">
        <f>'Perfil - interna'!AH88</f>
        <v>0</v>
      </c>
      <c r="AI88" s="219">
        <f>'Perfil - interna'!AI88</f>
        <v>0</v>
      </c>
      <c r="AJ88" s="219">
        <f>'Perfil - interna'!AJ88</f>
        <v>0</v>
      </c>
      <c r="AK88" s="219">
        <f>'Perfil - interna'!AK88</f>
        <v>0</v>
      </c>
      <c r="AL88" s="219">
        <f>'Perfil - interna'!AL88</f>
        <v>0</v>
      </c>
      <c r="AM88" s="219">
        <f>'Perfil - interna'!AM88</f>
        <v>0</v>
      </c>
      <c r="AN88" s="219">
        <f>'Perfil - interna'!AN88</f>
        <v>0</v>
      </c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</row>
    <row r="89" spans="1:63">
      <c r="A89" s="170">
        <v>37741</v>
      </c>
      <c r="B89" s="220" t="str">
        <f>Servicio_internaColumna_título_intereses</f>
        <v>Intereses</v>
      </c>
      <c r="C89" s="221">
        <f>'Perfil - interna'!C89</f>
        <v>0</v>
      </c>
      <c r="D89" s="222">
        <f>'Perfil - interna'!D89</f>
        <v>0</v>
      </c>
      <c r="E89" s="222">
        <f>'Perfil - interna'!E89</f>
        <v>2892085.92150685</v>
      </c>
      <c r="F89" s="222">
        <f>'Perfil - interna'!F89</f>
        <v>8180734.2995370943</v>
      </c>
      <c r="G89" s="222">
        <f>'Perfil - interna'!G89</f>
        <v>4203121.4074225305</v>
      </c>
      <c r="H89" s="222">
        <f>'Perfil - interna'!H89</f>
        <v>3767162.2338097505</v>
      </c>
      <c r="I89" s="222">
        <f>'Perfil - interna'!I89</f>
        <v>4488262.9250881923</v>
      </c>
      <c r="J89" s="222">
        <f>'Perfil - interna'!J89</f>
        <v>4084029.5167039214</v>
      </c>
      <c r="K89" s="222">
        <f>'Perfil - interna'!K89</f>
        <v>3650727.5447480059</v>
      </c>
      <c r="L89" s="222">
        <f>'Perfil - interna'!L89</f>
        <v>-2520851.8051734623</v>
      </c>
      <c r="M89" s="222">
        <f>'Perfil - interna'!M89</f>
        <v>441360.56509877555</v>
      </c>
      <c r="N89" s="222">
        <f>'Perfil - interna'!N89</f>
        <v>4694424.3864487447</v>
      </c>
      <c r="O89" s="222">
        <f>'Perfil - interna'!O89</f>
        <v>2639895.7647587769</v>
      </c>
      <c r="P89" s="222">
        <f>'Perfil - interna'!P89</f>
        <v>-841005.29837360757</v>
      </c>
      <c r="Q89" s="222">
        <f>'Perfil - interna'!Q89</f>
        <v>1038382.9474008809</v>
      </c>
      <c r="R89" s="222">
        <f>'Perfil - interna'!R89</f>
        <v>0</v>
      </c>
      <c r="S89" s="222">
        <f>'Perfil - interna'!S89</f>
        <v>0</v>
      </c>
      <c r="T89" s="222">
        <f>'Perfil - interna'!T89</f>
        <v>0</v>
      </c>
      <c r="U89" s="222">
        <f>'Perfil - interna'!U89</f>
        <v>0</v>
      </c>
      <c r="V89" s="222">
        <f>'Perfil - interna'!V89</f>
        <v>0</v>
      </c>
      <c r="W89" s="222">
        <f>'Perfil - interna'!W89</f>
        <v>0</v>
      </c>
      <c r="X89" s="222">
        <f>'Perfil - interna'!X89</f>
        <v>0</v>
      </c>
      <c r="Y89" s="222">
        <f>'Perfil - interna'!Y89</f>
        <v>0</v>
      </c>
      <c r="Z89" s="222">
        <f>'Perfil - interna'!Z89</f>
        <v>0</v>
      </c>
      <c r="AA89" s="222">
        <f>'Perfil - interna'!AA89</f>
        <v>0</v>
      </c>
      <c r="AB89" s="222">
        <f>'Perfil - interna'!AB89</f>
        <v>0</v>
      </c>
      <c r="AC89" s="222">
        <f>'Perfil - interna'!AC89</f>
        <v>0</v>
      </c>
      <c r="AD89" s="222">
        <f>'Perfil - interna'!AD89</f>
        <v>0</v>
      </c>
      <c r="AE89" s="222">
        <f>'Perfil - interna'!AE89</f>
        <v>0</v>
      </c>
      <c r="AF89" s="222">
        <f>'Perfil - interna'!AF89</f>
        <v>0</v>
      </c>
      <c r="AG89" s="222">
        <f>'Perfil - interna'!AG89</f>
        <v>0</v>
      </c>
      <c r="AH89" s="222">
        <f>'Perfil - interna'!AH89</f>
        <v>0</v>
      </c>
      <c r="AI89" s="222">
        <f>'Perfil - interna'!AI89</f>
        <v>0</v>
      </c>
      <c r="AJ89" s="222">
        <f>'Perfil - interna'!AJ89</f>
        <v>0</v>
      </c>
      <c r="AK89" s="222">
        <f>'Perfil - interna'!AK89</f>
        <v>0</v>
      </c>
      <c r="AL89" s="222">
        <f>'Perfil - interna'!AL89</f>
        <v>0</v>
      </c>
      <c r="AM89" s="222">
        <f>'Perfil - interna'!AM89</f>
        <v>0</v>
      </c>
      <c r="AN89" s="222">
        <f>'Perfil - interna'!AN89</f>
        <v>0</v>
      </c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  <c r="BI89" s="222"/>
      <c r="BJ89" s="222"/>
      <c r="BK89" s="222"/>
    </row>
    <row r="90" spans="1:63">
      <c r="A90" s="171"/>
      <c r="B90" s="318" t="str">
        <f>Servicio_internaColumna_título_total</f>
        <v>Total</v>
      </c>
      <c r="C90" s="319">
        <f t="shared" ref="C90:AN90" si="22">+C89+C88</f>
        <v>0</v>
      </c>
      <c r="D90" s="320">
        <f t="shared" si="22"/>
        <v>0</v>
      </c>
      <c r="E90" s="320">
        <f t="shared" si="22"/>
        <v>11624112.296090063</v>
      </c>
      <c r="F90" s="320">
        <f t="shared" si="22"/>
        <v>14215488.607924081</v>
      </c>
      <c r="G90" s="320">
        <f t="shared" si="22"/>
        <v>10444575.139049895</v>
      </c>
      <c r="H90" s="320">
        <f t="shared" si="22"/>
        <v>9938942.920787314</v>
      </c>
      <c r="I90" s="320">
        <f t="shared" si="22"/>
        <v>9143698.2958598621</v>
      </c>
      <c r="J90" s="320">
        <f t="shared" si="22"/>
        <v>7030608.4569897838</v>
      </c>
      <c r="K90" s="320">
        <f t="shared" si="22"/>
        <v>4675720.2417094456</v>
      </c>
      <c r="L90" s="320">
        <f t="shared" si="22"/>
        <v>2476224.1009365376</v>
      </c>
      <c r="M90" s="320">
        <f t="shared" si="22"/>
        <v>6450225.361268281</v>
      </c>
      <c r="N90" s="320">
        <f t="shared" si="22"/>
        <v>6993682.2215875722</v>
      </c>
      <c r="O90" s="320">
        <f t="shared" si="22"/>
        <v>2639895.7647597766</v>
      </c>
      <c r="P90" s="320">
        <f t="shared" si="22"/>
        <v>97230.369009911199</v>
      </c>
      <c r="Q90" s="320">
        <f t="shared" si="22"/>
        <v>1038382.9474008809</v>
      </c>
      <c r="R90" s="320">
        <f t="shared" si="22"/>
        <v>0</v>
      </c>
      <c r="S90" s="320">
        <f t="shared" si="22"/>
        <v>0</v>
      </c>
      <c r="T90" s="320">
        <f t="shared" si="22"/>
        <v>0</v>
      </c>
      <c r="U90" s="320">
        <f t="shared" si="22"/>
        <v>0</v>
      </c>
      <c r="V90" s="320">
        <f t="shared" si="22"/>
        <v>0</v>
      </c>
      <c r="W90" s="320">
        <f t="shared" si="22"/>
        <v>0</v>
      </c>
      <c r="X90" s="320">
        <f t="shared" si="22"/>
        <v>0</v>
      </c>
      <c r="Y90" s="320">
        <f t="shared" si="22"/>
        <v>0</v>
      </c>
      <c r="Z90" s="320">
        <f t="shared" si="22"/>
        <v>0</v>
      </c>
      <c r="AA90" s="320">
        <f t="shared" si="22"/>
        <v>0</v>
      </c>
      <c r="AB90" s="320">
        <f t="shared" si="22"/>
        <v>0</v>
      </c>
      <c r="AC90" s="320">
        <f t="shared" si="22"/>
        <v>0</v>
      </c>
      <c r="AD90" s="320">
        <f t="shared" si="22"/>
        <v>0</v>
      </c>
      <c r="AE90" s="320">
        <f t="shared" si="22"/>
        <v>0</v>
      </c>
      <c r="AF90" s="320">
        <f t="shared" si="22"/>
        <v>0</v>
      </c>
      <c r="AG90" s="320">
        <f t="shared" si="22"/>
        <v>0</v>
      </c>
      <c r="AH90" s="320">
        <f t="shared" si="22"/>
        <v>0</v>
      </c>
      <c r="AI90" s="320">
        <f t="shared" si="22"/>
        <v>0</v>
      </c>
      <c r="AJ90" s="320">
        <f t="shared" si="22"/>
        <v>0</v>
      </c>
      <c r="AK90" s="320">
        <f t="shared" si="22"/>
        <v>0</v>
      </c>
      <c r="AL90" s="320">
        <f t="shared" si="22"/>
        <v>0</v>
      </c>
      <c r="AM90" s="320">
        <f t="shared" si="22"/>
        <v>0</v>
      </c>
      <c r="AN90" s="320">
        <f t="shared" si="22"/>
        <v>0</v>
      </c>
      <c r="AO90" s="320"/>
      <c r="AP90" s="320"/>
      <c r="AQ90" s="320"/>
      <c r="AR90" s="320"/>
      <c r="AS90" s="320"/>
      <c r="AT90" s="320"/>
      <c r="AU90" s="320"/>
      <c r="AV90" s="320"/>
      <c r="AW90" s="320"/>
      <c r="AX90" s="320"/>
      <c r="AY90" s="320"/>
      <c r="AZ90" s="320"/>
      <c r="BA90" s="320"/>
      <c r="BB90" s="320"/>
      <c r="BC90" s="320"/>
      <c r="BD90" s="320"/>
      <c r="BE90" s="320"/>
      <c r="BF90" s="320"/>
      <c r="BG90" s="320"/>
      <c r="BH90" s="320"/>
      <c r="BI90" s="320"/>
      <c r="BJ90" s="320"/>
      <c r="BK90" s="320"/>
    </row>
    <row r="91" spans="1:63">
      <c r="A91" s="167"/>
      <c r="B91" s="217" t="str">
        <f>Servicio_internaColumna_título_amortizaciones</f>
        <v>Amortizaciones</v>
      </c>
      <c r="C91" s="218">
        <f>'Perfil - interna'!C91</f>
        <v>0</v>
      </c>
      <c r="D91" s="219">
        <f>'Perfil - interna'!D91</f>
        <v>0</v>
      </c>
      <c r="E91" s="219">
        <f>'Perfil - interna'!E91</f>
        <v>9013542.6467009392</v>
      </c>
      <c r="F91" s="219">
        <f>'Perfil - interna'!F91</f>
        <v>6193043.3840704188</v>
      </c>
      <c r="G91" s="219">
        <f>'Perfil - interna'!G91</f>
        <v>6589870.5096081896</v>
      </c>
      <c r="H91" s="219">
        <f>'Perfil - interna'!H91</f>
        <v>6357597.0300216861</v>
      </c>
      <c r="I91" s="219">
        <f>'Perfil - interna'!I91</f>
        <v>4673500.472189879</v>
      </c>
      <c r="J91" s="219">
        <f>'Perfil - interna'!J91</f>
        <v>2983200.0044628726</v>
      </c>
      <c r="K91" s="219">
        <f>'Perfil - interna'!K91</f>
        <v>1031730.5115564588</v>
      </c>
      <c r="L91" s="219">
        <f>'Perfil - interna'!L91</f>
        <v>5012608.6928000003</v>
      </c>
      <c r="M91" s="219">
        <f>'Perfil - interna'!M91</f>
        <v>6160531.8583999993</v>
      </c>
      <c r="N91" s="219">
        <f>'Perfil - interna'!N91</f>
        <v>2341722.1135829459</v>
      </c>
      <c r="O91" s="219">
        <f>'Perfil - interna'!O91</f>
        <v>9.9999999999999995E-7</v>
      </c>
      <c r="P91" s="219">
        <f>'Perfil - interna'!P91</f>
        <v>964649.98000001349</v>
      </c>
      <c r="Q91" s="219">
        <f>'Perfil - interna'!Q91</f>
        <v>0</v>
      </c>
      <c r="R91" s="219">
        <f>'Perfil - interna'!R91</f>
        <v>0</v>
      </c>
      <c r="S91" s="219">
        <f>'Perfil - interna'!S91</f>
        <v>0</v>
      </c>
      <c r="T91" s="219">
        <f>'Perfil - interna'!T91</f>
        <v>0</v>
      </c>
      <c r="U91" s="219">
        <f>'Perfil - interna'!U91</f>
        <v>0</v>
      </c>
      <c r="V91" s="219">
        <f>'Perfil - interna'!V91</f>
        <v>0</v>
      </c>
      <c r="W91" s="219">
        <f>'Perfil - interna'!W91</f>
        <v>0</v>
      </c>
      <c r="X91" s="219">
        <f>'Perfil - interna'!X91</f>
        <v>0</v>
      </c>
      <c r="Y91" s="219">
        <f>'Perfil - interna'!Y91</f>
        <v>0</v>
      </c>
      <c r="Z91" s="219">
        <f>'Perfil - interna'!Z91</f>
        <v>0</v>
      </c>
      <c r="AA91" s="219">
        <f>'Perfil - interna'!AA91</f>
        <v>0</v>
      </c>
      <c r="AB91" s="219">
        <f>'Perfil - interna'!AB91</f>
        <v>0</v>
      </c>
      <c r="AC91" s="219">
        <f>'Perfil - interna'!AC91</f>
        <v>0</v>
      </c>
      <c r="AD91" s="219">
        <f>'Perfil - interna'!AD91</f>
        <v>0</v>
      </c>
      <c r="AE91" s="219">
        <f>'Perfil - interna'!AE91</f>
        <v>0</v>
      </c>
      <c r="AF91" s="219">
        <f>'Perfil - interna'!AF91</f>
        <v>0</v>
      </c>
      <c r="AG91" s="219">
        <f>'Perfil - interna'!AG91</f>
        <v>0</v>
      </c>
      <c r="AH91" s="219">
        <f>'Perfil - interna'!AH91</f>
        <v>0</v>
      </c>
      <c r="AI91" s="219">
        <f>'Perfil - interna'!AI91</f>
        <v>0</v>
      </c>
      <c r="AJ91" s="219">
        <f>'Perfil - interna'!AJ91</f>
        <v>0</v>
      </c>
      <c r="AK91" s="219">
        <f>'Perfil - interna'!AK91</f>
        <v>0</v>
      </c>
      <c r="AL91" s="219">
        <f>'Perfil - interna'!AL91</f>
        <v>0</v>
      </c>
      <c r="AM91" s="219">
        <f>'Perfil - interna'!AM91</f>
        <v>0</v>
      </c>
      <c r="AN91" s="219">
        <f>'Perfil - interna'!AN91</f>
        <v>0</v>
      </c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</row>
    <row r="92" spans="1:63">
      <c r="A92" s="170">
        <v>37772</v>
      </c>
      <c r="B92" s="220" t="str">
        <f>Servicio_internaColumna_título_intereses</f>
        <v>Intereses</v>
      </c>
      <c r="C92" s="221">
        <f>'Perfil - interna'!C92</f>
        <v>0</v>
      </c>
      <c r="D92" s="222">
        <f>'Perfil - interna'!D92</f>
        <v>0</v>
      </c>
      <c r="E92" s="222">
        <f>'Perfil - interna'!E92</f>
        <v>2274470.0623210054</v>
      </c>
      <c r="F92" s="222">
        <f>'Perfil - interna'!F92</f>
        <v>8445466.6225148086</v>
      </c>
      <c r="G92" s="222">
        <f>'Perfil - interna'!G92</f>
        <v>4129839.121317965</v>
      </c>
      <c r="H92" s="222">
        <f>'Perfil - interna'!H92</f>
        <v>4025998.3652859293</v>
      </c>
      <c r="I92" s="222">
        <f>'Perfil - interna'!I92</f>
        <v>4704041.3289142903</v>
      </c>
      <c r="J92" s="222">
        <f>'Perfil - interna'!J92</f>
        <v>4089055.9119438473</v>
      </c>
      <c r="K92" s="222">
        <f>'Perfil - interna'!K92</f>
        <v>3704864.4749103142</v>
      </c>
      <c r="L92" s="222">
        <f>'Perfil - interna'!L92</f>
        <v>-2511873.3966992125</v>
      </c>
      <c r="M92" s="222">
        <f>'Perfil - interna'!M92</f>
        <v>322782.8818441825</v>
      </c>
      <c r="N92" s="222">
        <f>'Perfil - interna'!N92</f>
        <v>4821268.5895645432</v>
      </c>
      <c r="O92" s="222">
        <f>'Perfil - interna'!O92</f>
        <v>2683943.9602989671</v>
      </c>
      <c r="P92" s="222">
        <f>'Perfil - interna'!P92</f>
        <v>-865788.17638215411</v>
      </c>
      <c r="Q92" s="222">
        <f>'Perfil - interna'!Q92</f>
        <v>1066477.6376625255</v>
      </c>
      <c r="R92" s="222">
        <f>'Perfil - interna'!R92</f>
        <v>0</v>
      </c>
      <c r="S92" s="222">
        <f>'Perfil - interna'!S92</f>
        <v>0</v>
      </c>
      <c r="T92" s="222">
        <f>'Perfil - interna'!T92</f>
        <v>0</v>
      </c>
      <c r="U92" s="222">
        <f>'Perfil - interna'!U92</f>
        <v>0</v>
      </c>
      <c r="V92" s="222">
        <f>'Perfil - interna'!V92</f>
        <v>0</v>
      </c>
      <c r="W92" s="222">
        <f>'Perfil - interna'!W92</f>
        <v>0</v>
      </c>
      <c r="X92" s="222">
        <f>'Perfil - interna'!X92</f>
        <v>0</v>
      </c>
      <c r="Y92" s="222">
        <f>'Perfil - interna'!Y92</f>
        <v>0</v>
      </c>
      <c r="Z92" s="222">
        <f>'Perfil - interna'!Z92</f>
        <v>0</v>
      </c>
      <c r="AA92" s="222">
        <f>'Perfil - interna'!AA92</f>
        <v>0</v>
      </c>
      <c r="AB92" s="222">
        <f>'Perfil - interna'!AB92</f>
        <v>0</v>
      </c>
      <c r="AC92" s="222">
        <f>'Perfil - interna'!AC92</f>
        <v>0</v>
      </c>
      <c r="AD92" s="222">
        <f>'Perfil - interna'!AD92</f>
        <v>0</v>
      </c>
      <c r="AE92" s="222">
        <f>'Perfil - interna'!AE92</f>
        <v>0</v>
      </c>
      <c r="AF92" s="222">
        <f>'Perfil - interna'!AF92</f>
        <v>0</v>
      </c>
      <c r="AG92" s="222">
        <f>'Perfil - interna'!AG92</f>
        <v>0</v>
      </c>
      <c r="AH92" s="222">
        <f>'Perfil - interna'!AH92</f>
        <v>0</v>
      </c>
      <c r="AI92" s="222">
        <f>'Perfil - interna'!AI92</f>
        <v>0</v>
      </c>
      <c r="AJ92" s="222">
        <f>'Perfil - interna'!AJ92</f>
        <v>0</v>
      </c>
      <c r="AK92" s="222">
        <f>'Perfil - interna'!AK92</f>
        <v>0</v>
      </c>
      <c r="AL92" s="222">
        <f>'Perfil - interna'!AL92</f>
        <v>0</v>
      </c>
      <c r="AM92" s="222">
        <f>'Perfil - interna'!AM92</f>
        <v>0</v>
      </c>
      <c r="AN92" s="222">
        <f>'Perfil - interna'!AN92</f>
        <v>0</v>
      </c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  <c r="BI92" s="222"/>
      <c r="BJ92" s="222"/>
      <c r="BK92" s="222"/>
    </row>
    <row r="93" spans="1:63">
      <c r="A93" s="171"/>
      <c r="B93" s="318" t="str">
        <f>Servicio_internaColumna_título_total</f>
        <v>Total</v>
      </c>
      <c r="C93" s="319">
        <f t="shared" ref="C93:AN93" si="23">+C92+C91</f>
        <v>0</v>
      </c>
      <c r="D93" s="320">
        <f t="shared" si="23"/>
        <v>0</v>
      </c>
      <c r="E93" s="320">
        <f t="shared" si="23"/>
        <v>11288012.709021945</v>
      </c>
      <c r="F93" s="320">
        <f t="shared" si="23"/>
        <v>14638510.006585227</v>
      </c>
      <c r="G93" s="320">
        <f t="shared" si="23"/>
        <v>10719709.630926155</v>
      </c>
      <c r="H93" s="320">
        <f t="shared" si="23"/>
        <v>10383595.395307615</v>
      </c>
      <c r="I93" s="320">
        <f t="shared" si="23"/>
        <v>9377541.8011041693</v>
      </c>
      <c r="J93" s="320">
        <f t="shared" si="23"/>
        <v>7072255.9164067199</v>
      </c>
      <c r="K93" s="320">
        <f t="shared" si="23"/>
        <v>4736594.9864667729</v>
      </c>
      <c r="L93" s="320">
        <f t="shared" si="23"/>
        <v>2500735.2961007878</v>
      </c>
      <c r="M93" s="320">
        <f t="shared" si="23"/>
        <v>6483314.7402441818</v>
      </c>
      <c r="N93" s="320">
        <f t="shared" si="23"/>
        <v>7162990.7031474896</v>
      </c>
      <c r="O93" s="320">
        <f t="shared" si="23"/>
        <v>2683943.9602999669</v>
      </c>
      <c r="P93" s="320">
        <f t="shared" si="23"/>
        <v>98861.803617859376</v>
      </c>
      <c r="Q93" s="320">
        <f t="shared" si="23"/>
        <v>1066477.6376625255</v>
      </c>
      <c r="R93" s="320">
        <f t="shared" si="23"/>
        <v>0</v>
      </c>
      <c r="S93" s="320">
        <f t="shared" si="23"/>
        <v>0</v>
      </c>
      <c r="T93" s="320">
        <f t="shared" si="23"/>
        <v>0</v>
      </c>
      <c r="U93" s="320">
        <f t="shared" si="23"/>
        <v>0</v>
      </c>
      <c r="V93" s="320">
        <f t="shared" si="23"/>
        <v>0</v>
      </c>
      <c r="W93" s="320">
        <f t="shared" si="23"/>
        <v>0</v>
      </c>
      <c r="X93" s="320">
        <f t="shared" si="23"/>
        <v>0</v>
      </c>
      <c r="Y93" s="320">
        <f t="shared" si="23"/>
        <v>0</v>
      </c>
      <c r="Z93" s="320">
        <f t="shared" si="23"/>
        <v>0</v>
      </c>
      <c r="AA93" s="320">
        <f t="shared" si="23"/>
        <v>0</v>
      </c>
      <c r="AB93" s="320">
        <f t="shared" si="23"/>
        <v>0</v>
      </c>
      <c r="AC93" s="320">
        <f t="shared" si="23"/>
        <v>0</v>
      </c>
      <c r="AD93" s="320">
        <f t="shared" si="23"/>
        <v>0</v>
      </c>
      <c r="AE93" s="320">
        <f t="shared" si="23"/>
        <v>0</v>
      </c>
      <c r="AF93" s="320">
        <f t="shared" si="23"/>
        <v>0</v>
      </c>
      <c r="AG93" s="320">
        <f t="shared" si="23"/>
        <v>0</v>
      </c>
      <c r="AH93" s="320">
        <f t="shared" si="23"/>
        <v>0</v>
      </c>
      <c r="AI93" s="320">
        <f t="shared" si="23"/>
        <v>0</v>
      </c>
      <c r="AJ93" s="320">
        <f t="shared" si="23"/>
        <v>0</v>
      </c>
      <c r="AK93" s="320">
        <f t="shared" si="23"/>
        <v>0</v>
      </c>
      <c r="AL93" s="320">
        <f t="shared" si="23"/>
        <v>0</v>
      </c>
      <c r="AM93" s="320">
        <f t="shared" si="23"/>
        <v>0</v>
      </c>
      <c r="AN93" s="320">
        <f t="shared" si="23"/>
        <v>0</v>
      </c>
      <c r="AO93" s="320"/>
      <c r="AP93" s="320"/>
      <c r="AQ93" s="320"/>
      <c r="AR93" s="320"/>
      <c r="AS93" s="320"/>
      <c r="AT93" s="320"/>
      <c r="AU93" s="320"/>
      <c r="AV93" s="320"/>
      <c r="AW93" s="320"/>
      <c r="AX93" s="320"/>
      <c r="AY93" s="320"/>
      <c r="AZ93" s="320"/>
      <c r="BA93" s="320"/>
      <c r="BB93" s="320"/>
      <c r="BC93" s="320"/>
      <c r="BD93" s="320"/>
      <c r="BE93" s="320"/>
      <c r="BF93" s="320"/>
      <c r="BG93" s="320"/>
      <c r="BH93" s="320"/>
      <c r="BI93" s="320"/>
      <c r="BJ93" s="320"/>
      <c r="BK93" s="320"/>
    </row>
    <row r="94" spans="1:63">
      <c r="A94" s="167"/>
      <c r="B94" s="217" t="str">
        <f>Servicio_internaColumna_título_amortizaciones</f>
        <v>Amortizaciones</v>
      </c>
      <c r="C94" s="218">
        <f>'Perfil - interna'!C94</f>
        <v>0</v>
      </c>
      <c r="D94" s="219">
        <f>'Perfil - interna'!D94</f>
        <v>0</v>
      </c>
      <c r="E94" s="219">
        <f>'Perfil - interna'!E94</f>
        <v>8858604.8416012581</v>
      </c>
      <c r="F94" s="219">
        <f>'Perfil - interna'!F94</f>
        <v>6584609.7938389704</v>
      </c>
      <c r="G94" s="219">
        <f>'Perfil - interna'!G94</f>
        <v>7565521.8867965546</v>
      </c>
      <c r="H94" s="219">
        <f>'Perfil - interna'!H94</f>
        <v>6743030.1379236002</v>
      </c>
      <c r="I94" s="219">
        <f>'Perfil - interna'!I94</f>
        <v>4666891.6819342151</v>
      </c>
      <c r="J94" s="219">
        <f>'Perfil - interna'!J94</f>
        <v>3135690.732189551</v>
      </c>
      <c r="K94" s="219">
        <f>'Perfil - interna'!K94</f>
        <v>1039403.5561210595</v>
      </c>
      <c r="L94" s="219">
        <f>'Perfil - interna'!L94</f>
        <v>5023281.8609399721</v>
      </c>
      <c r="M94" s="219">
        <f>'Perfil - interna'!M94</f>
        <v>6245938.6291250698</v>
      </c>
      <c r="N94" s="219">
        <f>'Perfil - interna'!N94</f>
        <v>2383840.9745016941</v>
      </c>
      <c r="O94" s="219">
        <f>'Perfil - interna'!O94</f>
        <v>9.9999999999999995E-7</v>
      </c>
      <c r="P94" s="219">
        <f>'Perfil - interna'!P94</f>
        <v>971783.84161499678</v>
      </c>
      <c r="Q94" s="219">
        <f>'Perfil - interna'!Q94</f>
        <v>0</v>
      </c>
      <c r="R94" s="219">
        <f>'Perfil - interna'!R94</f>
        <v>0</v>
      </c>
      <c r="S94" s="219">
        <f>'Perfil - interna'!S94</f>
        <v>0</v>
      </c>
      <c r="T94" s="219">
        <f>'Perfil - interna'!T94</f>
        <v>0</v>
      </c>
      <c r="U94" s="219">
        <f>'Perfil - interna'!U94</f>
        <v>0</v>
      </c>
      <c r="V94" s="219">
        <f>'Perfil - interna'!V94</f>
        <v>0</v>
      </c>
      <c r="W94" s="219">
        <f>'Perfil - interna'!W94</f>
        <v>0</v>
      </c>
      <c r="X94" s="219">
        <f>'Perfil - interna'!X94</f>
        <v>0</v>
      </c>
      <c r="Y94" s="219">
        <f>'Perfil - interna'!Y94</f>
        <v>0</v>
      </c>
      <c r="Z94" s="219">
        <f>'Perfil - interna'!Z94</f>
        <v>0</v>
      </c>
      <c r="AA94" s="219">
        <f>'Perfil - interna'!AA94</f>
        <v>0</v>
      </c>
      <c r="AB94" s="219">
        <f>'Perfil - interna'!AB94</f>
        <v>0</v>
      </c>
      <c r="AC94" s="219">
        <f>'Perfil - interna'!AC94</f>
        <v>0</v>
      </c>
      <c r="AD94" s="219">
        <f>'Perfil - interna'!AD94</f>
        <v>0</v>
      </c>
      <c r="AE94" s="219">
        <f>'Perfil - interna'!AE94</f>
        <v>0</v>
      </c>
      <c r="AF94" s="219">
        <f>'Perfil - interna'!AF94</f>
        <v>0</v>
      </c>
      <c r="AG94" s="219">
        <f>'Perfil - interna'!AG94</f>
        <v>0</v>
      </c>
      <c r="AH94" s="219">
        <f>'Perfil - interna'!AH94</f>
        <v>0</v>
      </c>
      <c r="AI94" s="219">
        <f>'Perfil - interna'!AI94</f>
        <v>0</v>
      </c>
      <c r="AJ94" s="219">
        <f>'Perfil - interna'!AJ94</f>
        <v>0</v>
      </c>
      <c r="AK94" s="219">
        <f>'Perfil - interna'!AK94</f>
        <v>0</v>
      </c>
      <c r="AL94" s="219">
        <f>'Perfil - interna'!AL94</f>
        <v>0</v>
      </c>
      <c r="AM94" s="219">
        <f>'Perfil - interna'!AM94</f>
        <v>0</v>
      </c>
      <c r="AN94" s="219">
        <f>'Perfil - interna'!AN94</f>
        <v>0</v>
      </c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</row>
    <row r="95" spans="1:63">
      <c r="A95" s="170">
        <v>37802</v>
      </c>
      <c r="B95" s="220" t="str">
        <f>Servicio_internaColumna_título_intereses</f>
        <v>Intereses</v>
      </c>
      <c r="C95" s="221">
        <f>'Perfil - interna'!C95</f>
        <v>0</v>
      </c>
      <c r="D95" s="222">
        <f>'Perfil - interna'!D95</f>
        <v>0</v>
      </c>
      <c r="E95" s="222">
        <f>'Perfil - interna'!E95</f>
        <v>507265.06987974048</v>
      </c>
      <c r="F95" s="222">
        <f>'Perfil - interna'!F95</f>
        <v>8056243.3463191073</v>
      </c>
      <c r="G95" s="222">
        <f>'Perfil - interna'!G95</f>
        <v>3770829.9812584706</v>
      </c>
      <c r="H95" s="222">
        <f>'Perfil - interna'!H95</f>
        <v>4805191.3577124253</v>
      </c>
      <c r="I95" s="222">
        <f>'Perfil - interna'!I95</f>
        <v>5155043.0447699986</v>
      </c>
      <c r="J95" s="222">
        <f>'Perfil - interna'!J95</f>
        <v>3951893.3070565797</v>
      </c>
      <c r="K95" s="222">
        <f>'Perfil - interna'!K95</f>
        <v>3877650.8919106508</v>
      </c>
      <c r="L95" s="222">
        <f>'Perfil - interna'!L95</f>
        <v>-2506758.4492568476</v>
      </c>
      <c r="M95" s="222">
        <f>'Perfil - interna'!M95</f>
        <v>256378.97617217712</v>
      </c>
      <c r="N95" s="222">
        <f>'Perfil - interna'!N95</f>
        <v>4872896.7747277133</v>
      </c>
      <c r="O95" s="222">
        <f>'Perfil - interna'!O95</f>
        <v>2726051.374348077</v>
      </c>
      <c r="P95" s="222">
        <f>'Perfil - interna'!P95</f>
        <v>-872933.82827285735</v>
      </c>
      <c r="Q95" s="222">
        <f>'Perfil - interna'!Q95</f>
        <v>1073599.3552935247</v>
      </c>
      <c r="R95" s="222">
        <f>'Perfil - interna'!R95</f>
        <v>0</v>
      </c>
      <c r="S95" s="222">
        <f>'Perfil - interna'!S95</f>
        <v>0</v>
      </c>
      <c r="T95" s="222">
        <f>'Perfil - interna'!T95</f>
        <v>0</v>
      </c>
      <c r="U95" s="222">
        <f>'Perfil - interna'!U95</f>
        <v>0</v>
      </c>
      <c r="V95" s="222">
        <f>'Perfil - interna'!V95</f>
        <v>0</v>
      </c>
      <c r="W95" s="222">
        <f>'Perfil - interna'!W95</f>
        <v>0</v>
      </c>
      <c r="X95" s="222">
        <f>'Perfil - interna'!X95</f>
        <v>0</v>
      </c>
      <c r="Y95" s="222">
        <f>'Perfil - interna'!Y95</f>
        <v>0</v>
      </c>
      <c r="Z95" s="222">
        <f>'Perfil - interna'!Z95</f>
        <v>0</v>
      </c>
      <c r="AA95" s="222">
        <f>'Perfil - interna'!AA95</f>
        <v>0</v>
      </c>
      <c r="AB95" s="222">
        <f>'Perfil - interna'!AB95</f>
        <v>0</v>
      </c>
      <c r="AC95" s="222">
        <f>'Perfil - interna'!AC95</f>
        <v>0</v>
      </c>
      <c r="AD95" s="222">
        <f>'Perfil - interna'!AD95</f>
        <v>0</v>
      </c>
      <c r="AE95" s="222">
        <f>'Perfil - interna'!AE95</f>
        <v>0</v>
      </c>
      <c r="AF95" s="222">
        <f>'Perfil - interna'!AF95</f>
        <v>0</v>
      </c>
      <c r="AG95" s="222">
        <f>'Perfil - interna'!AG95</f>
        <v>0</v>
      </c>
      <c r="AH95" s="222">
        <f>'Perfil - interna'!AH95</f>
        <v>0</v>
      </c>
      <c r="AI95" s="222">
        <f>'Perfil - interna'!AI95</f>
        <v>0</v>
      </c>
      <c r="AJ95" s="222">
        <f>'Perfil - interna'!AJ95</f>
        <v>0</v>
      </c>
      <c r="AK95" s="222">
        <f>'Perfil - interna'!AK95</f>
        <v>0</v>
      </c>
      <c r="AL95" s="222">
        <f>'Perfil - interna'!AL95</f>
        <v>0</v>
      </c>
      <c r="AM95" s="222">
        <f>'Perfil - interna'!AM95</f>
        <v>0</v>
      </c>
      <c r="AN95" s="222">
        <f>'Perfil - interna'!AN95</f>
        <v>0</v>
      </c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  <c r="BI95" s="222"/>
      <c r="BJ95" s="222"/>
      <c r="BK95" s="222"/>
    </row>
    <row r="96" spans="1:63">
      <c r="A96" s="171"/>
      <c r="B96" s="318" t="str">
        <f>Servicio_internaColumna_título_total</f>
        <v>Total</v>
      </c>
      <c r="C96" s="319">
        <f t="shared" ref="C96:AN96" si="24">+C95+C94</f>
        <v>0</v>
      </c>
      <c r="D96" s="320">
        <f t="shared" si="24"/>
        <v>0</v>
      </c>
      <c r="E96" s="320">
        <f t="shared" si="24"/>
        <v>9365869.9114809986</v>
      </c>
      <c r="F96" s="320">
        <f t="shared" si="24"/>
        <v>14640853.140158078</v>
      </c>
      <c r="G96" s="320">
        <f t="shared" si="24"/>
        <v>11336351.868055025</v>
      </c>
      <c r="H96" s="320">
        <f t="shared" si="24"/>
        <v>11548221.495636025</v>
      </c>
      <c r="I96" s="320">
        <f t="shared" si="24"/>
        <v>9821934.7267042138</v>
      </c>
      <c r="J96" s="320">
        <f t="shared" si="24"/>
        <v>7087584.0392461307</v>
      </c>
      <c r="K96" s="320">
        <f t="shared" si="24"/>
        <v>4917054.4480317105</v>
      </c>
      <c r="L96" s="320">
        <f t="shared" si="24"/>
        <v>2516523.4116831245</v>
      </c>
      <c r="M96" s="320">
        <f t="shared" si="24"/>
        <v>6502317.6052972469</v>
      </c>
      <c r="N96" s="320">
        <f t="shared" si="24"/>
        <v>7256737.7492294069</v>
      </c>
      <c r="O96" s="320">
        <f t="shared" si="24"/>
        <v>2726051.3743490768</v>
      </c>
      <c r="P96" s="320">
        <f t="shared" si="24"/>
        <v>98850.013342139428</v>
      </c>
      <c r="Q96" s="320">
        <f t="shared" si="24"/>
        <v>1073599.3552935247</v>
      </c>
      <c r="R96" s="320">
        <f t="shared" si="24"/>
        <v>0</v>
      </c>
      <c r="S96" s="320">
        <f t="shared" si="24"/>
        <v>0</v>
      </c>
      <c r="T96" s="320">
        <f t="shared" si="24"/>
        <v>0</v>
      </c>
      <c r="U96" s="320">
        <f t="shared" si="24"/>
        <v>0</v>
      </c>
      <c r="V96" s="320">
        <f t="shared" si="24"/>
        <v>0</v>
      </c>
      <c r="W96" s="320">
        <f t="shared" si="24"/>
        <v>0</v>
      </c>
      <c r="X96" s="320">
        <f t="shared" si="24"/>
        <v>0</v>
      </c>
      <c r="Y96" s="320">
        <f t="shared" si="24"/>
        <v>0</v>
      </c>
      <c r="Z96" s="320">
        <f t="shared" si="24"/>
        <v>0</v>
      </c>
      <c r="AA96" s="320">
        <f t="shared" si="24"/>
        <v>0</v>
      </c>
      <c r="AB96" s="320">
        <f t="shared" si="24"/>
        <v>0</v>
      </c>
      <c r="AC96" s="320">
        <f t="shared" si="24"/>
        <v>0</v>
      </c>
      <c r="AD96" s="320">
        <f t="shared" si="24"/>
        <v>0</v>
      </c>
      <c r="AE96" s="320">
        <f t="shared" si="24"/>
        <v>0</v>
      </c>
      <c r="AF96" s="320">
        <f t="shared" si="24"/>
        <v>0</v>
      </c>
      <c r="AG96" s="320">
        <f t="shared" si="24"/>
        <v>0</v>
      </c>
      <c r="AH96" s="320">
        <f t="shared" si="24"/>
        <v>0</v>
      </c>
      <c r="AI96" s="320">
        <f t="shared" si="24"/>
        <v>0</v>
      </c>
      <c r="AJ96" s="320">
        <f t="shared" si="24"/>
        <v>0</v>
      </c>
      <c r="AK96" s="320">
        <f t="shared" si="24"/>
        <v>0</v>
      </c>
      <c r="AL96" s="320">
        <f t="shared" si="24"/>
        <v>0</v>
      </c>
      <c r="AM96" s="320">
        <f t="shared" si="24"/>
        <v>0</v>
      </c>
      <c r="AN96" s="320">
        <f t="shared" si="24"/>
        <v>0</v>
      </c>
      <c r="AO96" s="320"/>
      <c r="AP96" s="320"/>
      <c r="AQ96" s="320"/>
      <c r="AR96" s="320"/>
      <c r="AS96" s="320"/>
      <c r="AT96" s="320"/>
      <c r="AU96" s="320"/>
      <c r="AV96" s="320"/>
      <c r="AW96" s="320"/>
      <c r="AX96" s="320"/>
      <c r="AY96" s="320"/>
      <c r="AZ96" s="320"/>
      <c r="BA96" s="320"/>
      <c r="BB96" s="320"/>
      <c r="BC96" s="320"/>
      <c r="BD96" s="320"/>
      <c r="BE96" s="320"/>
      <c r="BF96" s="320"/>
      <c r="BG96" s="320"/>
      <c r="BH96" s="320"/>
      <c r="BI96" s="320"/>
      <c r="BJ96" s="320"/>
      <c r="BK96" s="320"/>
    </row>
    <row r="97" spans="1:63">
      <c r="A97" s="167"/>
      <c r="B97" s="217" t="str">
        <f>Servicio_internaColumna_título_amortizaciones</f>
        <v>Amortizaciones</v>
      </c>
      <c r="C97" s="218">
        <f>'Perfil - interna'!C97</f>
        <v>0</v>
      </c>
      <c r="D97" s="219">
        <f>'Perfil - interna'!D97</f>
        <v>0</v>
      </c>
      <c r="E97" s="219">
        <f>'Perfil - interna'!E97</f>
        <v>9073675.3714859486</v>
      </c>
      <c r="F97" s="219">
        <f>'Perfil - interna'!F97</f>
        <v>6776166.3828186039</v>
      </c>
      <c r="G97" s="219">
        <f>'Perfil - interna'!G97</f>
        <v>7715194.1228875248</v>
      </c>
      <c r="H97" s="219">
        <f>'Perfil - interna'!H97</f>
        <v>6930057.3142313855</v>
      </c>
      <c r="I97" s="219">
        <f>'Perfil - interna'!I97</f>
        <v>4686503.6373811122</v>
      </c>
      <c r="J97" s="219">
        <f>'Perfil - interna'!J97</f>
        <v>3148341.5897396244</v>
      </c>
      <c r="K97" s="219">
        <f>'Perfil - interna'!K97</f>
        <v>1041510.60941269</v>
      </c>
      <c r="L97" s="219">
        <f>'Perfil - interna'!L97</f>
        <v>5027622.1393999998</v>
      </c>
      <c r="M97" s="219">
        <f>'Perfil - interna'!M97</f>
        <v>6274933.7431999994</v>
      </c>
      <c r="N97" s="219">
        <f>'Perfil - interna'!N97</f>
        <v>2425349.3252449799</v>
      </c>
      <c r="O97" s="219">
        <f>'Perfil - interna'!O97</f>
        <v>9.9999999999999995E-7</v>
      </c>
      <c r="P97" s="219">
        <f>'Perfil - interna'!P97</f>
        <v>974863.04000001377</v>
      </c>
      <c r="Q97" s="219">
        <f>'Perfil - interna'!Q97</f>
        <v>0</v>
      </c>
      <c r="R97" s="219">
        <f>'Perfil - interna'!R97</f>
        <v>0</v>
      </c>
      <c r="S97" s="219">
        <f>'Perfil - interna'!S97</f>
        <v>0</v>
      </c>
      <c r="T97" s="219">
        <f>'Perfil - interna'!T97</f>
        <v>0</v>
      </c>
      <c r="U97" s="219">
        <f>'Perfil - interna'!U97</f>
        <v>0</v>
      </c>
      <c r="V97" s="219">
        <f>'Perfil - interna'!V97</f>
        <v>0</v>
      </c>
      <c r="W97" s="219">
        <f>'Perfil - interna'!W97</f>
        <v>0</v>
      </c>
      <c r="X97" s="219">
        <f>'Perfil - interna'!X97</f>
        <v>0</v>
      </c>
      <c r="Y97" s="219">
        <f>'Perfil - interna'!Y97</f>
        <v>0</v>
      </c>
      <c r="Z97" s="219">
        <f>'Perfil - interna'!Z97</f>
        <v>0</v>
      </c>
      <c r="AA97" s="219">
        <f>'Perfil - interna'!AA97</f>
        <v>0</v>
      </c>
      <c r="AB97" s="219">
        <f>'Perfil - interna'!AB97</f>
        <v>0</v>
      </c>
      <c r="AC97" s="219">
        <f>'Perfil - interna'!AC97</f>
        <v>0</v>
      </c>
      <c r="AD97" s="219">
        <f>'Perfil - interna'!AD97</f>
        <v>0</v>
      </c>
      <c r="AE97" s="219">
        <f>'Perfil - interna'!AE97</f>
        <v>0</v>
      </c>
      <c r="AF97" s="219">
        <f>'Perfil - interna'!AF97</f>
        <v>0</v>
      </c>
      <c r="AG97" s="219">
        <f>'Perfil - interna'!AG97</f>
        <v>0</v>
      </c>
      <c r="AH97" s="219">
        <f>'Perfil - interna'!AH97</f>
        <v>0</v>
      </c>
      <c r="AI97" s="219">
        <f>'Perfil - interna'!AI97</f>
        <v>0</v>
      </c>
      <c r="AJ97" s="219">
        <f>'Perfil - interna'!AJ97</f>
        <v>0</v>
      </c>
      <c r="AK97" s="219">
        <f>'Perfil - interna'!AK97</f>
        <v>0</v>
      </c>
      <c r="AL97" s="219">
        <f>'Perfil - interna'!AL97</f>
        <v>0</v>
      </c>
      <c r="AM97" s="219">
        <f>'Perfil - interna'!AM97</f>
        <v>0</v>
      </c>
      <c r="AN97" s="219">
        <f>'Perfil - interna'!AN97</f>
        <v>0</v>
      </c>
      <c r="AO97" s="219"/>
      <c r="AP97" s="219"/>
      <c r="AQ97" s="219"/>
      <c r="AR97" s="219"/>
      <c r="AS97" s="219"/>
      <c r="AT97" s="219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</row>
    <row r="98" spans="1:63">
      <c r="A98" s="170">
        <v>37833</v>
      </c>
      <c r="B98" s="220" t="str">
        <f>Servicio_internaColumna_título_intereses</f>
        <v>Intereses</v>
      </c>
      <c r="C98" s="221">
        <f>'Perfil - interna'!C98</f>
        <v>0</v>
      </c>
      <c r="D98" s="222">
        <f>'Perfil - interna'!D98</f>
        <v>0</v>
      </c>
      <c r="E98" s="222">
        <f>'Perfil - interna'!E98</f>
        <v>127864.30610353127</v>
      </c>
      <c r="F98" s="222">
        <f>'Perfil - interna'!F98</f>
        <v>8176263.779701611</v>
      </c>
      <c r="G98" s="222">
        <f>'Perfil - interna'!G98</f>
        <v>3889900.5847360464</v>
      </c>
      <c r="H98" s="222">
        <f>'Perfil - interna'!H98</f>
        <v>4822174.0422675451</v>
      </c>
      <c r="I98" s="222">
        <f>'Perfil - interna'!I98</f>
        <v>5356645.8428850267</v>
      </c>
      <c r="J98" s="222">
        <f>'Perfil - interna'!J98</f>
        <v>3966526.4999290705</v>
      </c>
      <c r="K98" s="222">
        <f>'Perfil - interna'!K98</f>
        <v>3891852.846597441</v>
      </c>
      <c r="L98" s="222">
        <f>'Perfil - interna'!L98</f>
        <v>-2506523.2183005176</v>
      </c>
      <c r="M98" s="222">
        <f>'Perfil - interna'!M98</f>
        <v>234142.19660643488</v>
      </c>
      <c r="N98" s="222">
        <f>'Perfil - interna'!N98</f>
        <v>4862773.5868958924</v>
      </c>
      <c r="O98" s="222">
        <f>'Perfil - interna'!O98</f>
        <v>2767606.6409163307</v>
      </c>
      <c r="P98" s="222">
        <f>'Perfil - interna'!P98</f>
        <v>-875964.70335818757</v>
      </c>
      <c r="Q98" s="222">
        <f>'Perfil - interna'!Q98</f>
        <v>1076728.3266771883</v>
      </c>
      <c r="R98" s="222">
        <f>'Perfil - interna'!R98</f>
        <v>0</v>
      </c>
      <c r="S98" s="222">
        <f>'Perfil - interna'!S98</f>
        <v>0</v>
      </c>
      <c r="T98" s="222">
        <f>'Perfil - interna'!T98</f>
        <v>0</v>
      </c>
      <c r="U98" s="222">
        <f>'Perfil - interna'!U98</f>
        <v>0</v>
      </c>
      <c r="V98" s="222">
        <f>'Perfil - interna'!V98</f>
        <v>0</v>
      </c>
      <c r="W98" s="222">
        <f>'Perfil - interna'!W98</f>
        <v>0</v>
      </c>
      <c r="X98" s="222">
        <f>'Perfil - interna'!X98</f>
        <v>0</v>
      </c>
      <c r="Y98" s="222">
        <f>'Perfil - interna'!Y98</f>
        <v>0</v>
      </c>
      <c r="Z98" s="222">
        <f>'Perfil - interna'!Z98</f>
        <v>0</v>
      </c>
      <c r="AA98" s="222">
        <f>'Perfil - interna'!AA98</f>
        <v>0</v>
      </c>
      <c r="AB98" s="222">
        <f>'Perfil - interna'!AB98</f>
        <v>0</v>
      </c>
      <c r="AC98" s="222">
        <f>'Perfil - interna'!AC98</f>
        <v>0</v>
      </c>
      <c r="AD98" s="222">
        <f>'Perfil - interna'!AD98</f>
        <v>0</v>
      </c>
      <c r="AE98" s="222">
        <f>'Perfil - interna'!AE98</f>
        <v>0</v>
      </c>
      <c r="AF98" s="222">
        <f>'Perfil - interna'!AF98</f>
        <v>0</v>
      </c>
      <c r="AG98" s="222">
        <f>'Perfil - interna'!AG98</f>
        <v>0</v>
      </c>
      <c r="AH98" s="222">
        <f>'Perfil - interna'!AH98</f>
        <v>0</v>
      </c>
      <c r="AI98" s="222">
        <f>'Perfil - interna'!AI98</f>
        <v>0</v>
      </c>
      <c r="AJ98" s="222">
        <f>'Perfil - interna'!AJ98</f>
        <v>0</v>
      </c>
      <c r="AK98" s="222">
        <f>'Perfil - interna'!AK98</f>
        <v>0</v>
      </c>
      <c r="AL98" s="222">
        <f>'Perfil - interna'!AL98</f>
        <v>0</v>
      </c>
      <c r="AM98" s="222">
        <f>'Perfil - interna'!AM98</f>
        <v>0</v>
      </c>
      <c r="AN98" s="222">
        <f>'Perfil - interna'!AN98</f>
        <v>0</v>
      </c>
      <c r="AO98" s="222"/>
      <c r="AP98" s="222"/>
      <c r="AQ98" s="222"/>
      <c r="AR98" s="222"/>
      <c r="AS98" s="222"/>
      <c r="AT98" s="222"/>
      <c r="AU98" s="222"/>
      <c r="AV98" s="222"/>
      <c r="AW98" s="222"/>
      <c r="AX98" s="222"/>
      <c r="AY98" s="222"/>
      <c r="AZ98" s="222"/>
      <c r="BA98" s="222"/>
      <c r="BB98" s="222"/>
      <c r="BC98" s="222"/>
      <c r="BD98" s="222"/>
      <c r="BE98" s="222"/>
      <c r="BF98" s="222"/>
      <c r="BG98" s="222"/>
      <c r="BH98" s="222"/>
      <c r="BI98" s="222"/>
      <c r="BJ98" s="222"/>
      <c r="BK98" s="222"/>
    </row>
    <row r="99" spans="1:63">
      <c r="A99" s="171"/>
      <c r="B99" s="318" t="str">
        <f>Servicio_internaColumna_título_total</f>
        <v>Total</v>
      </c>
      <c r="C99" s="319">
        <f t="shared" ref="C99:AN99" si="25">+C98+C97</f>
        <v>0</v>
      </c>
      <c r="D99" s="320">
        <f t="shared" si="25"/>
        <v>0</v>
      </c>
      <c r="E99" s="320">
        <f t="shared" si="25"/>
        <v>9201539.6775894798</v>
      </c>
      <c r="F99" s="320">
        <f t="shared" si="25"/>
        <v>14952430.162520215</v>
      </c>
      <c r="G99" s="320">
        <f t="shared" si="25"/>
        <v>11605094.707623571</v>
      </c>
      <c r="H99" s="320">
        <f t="shared" si="25"/>
        <v>11752231.356498931</v>
      </c>
      <c r="I99" s="320">
        <f t="shared" si="25"/>
        <v>10043149.480266139</v>
      </c>
      <c r="J99" s="320">
        <f t="shared" si="25"/>
        <v>7114868.0896686949</v>
      </c>
      <c r="K99" s="320">
        <f t="shared" si="25"/>
        <v>4933363.4560101312</v>
      </c>
      <c r="L99" s="320">
        <f t="shared" si="25"/>
        <v>2521098.9210994821</v>
      </c>
      <c r="M99" s="320">
        <f t="shared" si="25"/>
        <v>6509075.9398064343</v>
      </c>
      <c r="N99" s="320">
        <f t="shared" si="25"/>
        <v>7288122.9121408723</v>
      </c>
      <c r="O99" s="320">
        <f t="shared" si="25"/>
        <v>2767606.6409173305</v>
      </c>
      <c r="P99" s="320">
        <f t="shared" si="25"/>
        <v>98898.336641826201</v>
      </c>
      <c r="Q99" s="320">
        <f t="shared" si="25"/>
        <v>1076728.3266771883</v>
      </c>
      <c r="R99" s="320">
        <f t="shared" si="25"/>
        <v>0</v>
      </c>
      <c r="S99" s="320">
        <f t="shared" si="25"/>
        <v>0</v>
      </c>
      <c r="T99" s="320">
        <f t="shared" si="25"/>
        <v>0</v>
      </c>
      <c r="U99" s="320">
        <f t="shared" si="25"/>
        <v>0</v>
      </c>
      <c r="V99" s="320">
        <f t="shared" si="25"/>
        <v>0</v>
      </c>
      <c r="W99" s="320">
        <f t="shared" si="25"/>
        <v>0</v>
      </c>
      <c r="X99" s="320">
        <f t="shared" si="25"/>
        <v>0</v>
      </c>
      <c r="Y99" s="320">
        <f t="shared" si="25"/>
        <v>0</v>
      </c>
      <c r="Z99" s="320">
        <f t="shared" si="25"/>
        <v>0</v>
      </c>
      <c r="AA99" s="320">
        <f t="shared" si="25"/>
        <v>0</v>
      </c>
      <c r="AB99" s="320">
        <f t="shared" si="25"/>
        <v>0</v>
      </c>
      <c r="AC99" s="320">
        <f t="shared" si="25"/>
        <v>0</v>
      </c>
      <c r="AD99" s="320">
        <f t="shared" si="25"/>
        <v>0</v>
      </c>
      <c r="AE99" s="320">
        <f t="shared" si="25"/>
        <v>0</v>
      </c>
      <c r="AF99" s="320">
        <f t="shared" si="25"/>
        <v>0</v>
      </c>
      <c r="AG99" s="320">
        <f t="shared" si="25"/>
        <v>0</v>
      </c>
      <c r="AH99" s="320">
        <f t="shared" si="25"/>
        <v>0</v>
      </c>
      <c r="AI99" s="320">
        <f t="shared" si="25"/>
        <v>0</v>
      </c>
      <c r="AJ99" s="320">
        <f t="shared" si="25"/>
        <v>0</v>
      </c>
      <c r="AK99" s="320">
        <f t="shared" si="25"/>
        <v>0</v>
      </c>
      <c r="AL99" s="320">
        <f t="shared" si="25"/>
        <v>0</v>
      </c>
      <c r="AM99" s="320">
        <f t="shared" si="25"/>
        <v>0</v>
      </c>
      <c r="AN99" s="320">
        <f t="shared" si="25"/>
        <v>0</v>
      </c>
      <c r="AO99" s="320"/>
      <c r="AP99" s="320"/>
      <c r="AQ99" s="320"/>
      <c r="AR99" s="320"/>
      <c r="AS99" s="320"/>
      <c r="AT99" s="320"/>
      <c r="AU99" s="320"/>
      <c r="AV99" s="320"/>
      <c r="AW99" s="320"/>
      <c r="AX99" s="320"/>
      <c r="AY99" s="320"/>
      <c r="AZ99" s="320"/>
      <c r="BA99" s="320"/>
      <c r="BB99" s="320"/>
      <c r="BC99" s="320"/>
      <c r="BD99" s="320"/>
      <c r="BE99" s="320"/>
      <c r="BF99" s="320"/>
      <c r="BG99" s="320"/>
      <c r="BH99" s="320"/>
      <c r="BI99" s="320"/>
      <c r="BJ99" s="320"/>
      <c r="BK99" s="320"/>
    </row>
    <row r="100" spans="1:63">
      <c r="A100" s="167"/>
      <c r="B100" s="217" t="str">
        <f>Servicio_internaColumna_título_amortizaciones</f>
        <v>Amortizaciones</v>
      </c>
      <c r="C100" s="218">
        <f>'Perfil - interna'!C100</f>
        <v>0</v>
      </c>
      <c r="D100" s="219">
        <f>'Perfil - interna'!D100</f>
        <v>0</v>
      </c>
      <c r="E100" s="219">
        <f>'Perfil - interna'!E100</f>
        <v>9271182.5268386081</v>
      </c>
      <c r="F100" s="219">
        <f>'Perfil - interna'!F100</f>
        <v>6945283.0855360255</v>
      </c>
      <c r="G100" s="219">
        <f>'Perfil - interna'!G100</f>
        <v>7932972.0595064219</v>
      </c>
      <c r="H100" s="219">
        <f>'Perfil - interna'!H100</f>
        <v>7206675.0978365345</v>
      </c>
      <c r="I100" s="219">
        <f>'Perfil - interna'!I100</f>
        <v>4682571.1009845436</v>
      </c>
      <c r="J100" s="219">
        <f>'Perfil - interna'!J100</f>
        <v>3153154.691711464</v>
      </c>
      <c r="K100" s="219">
        <f>'Perfil - interna'!K100</f>
        <v>1061281.8820461757</v>
      </c>
      <c r="L100" s="219">
        <f>'Perfil - interna'!L100</f>
        <v>5026317.8816</v>
      </c>
      <c r="M100" s="219">
        <f>'Perfil - interna'!M100</f>
        <v>6378333.2948000003</v>
      </c>
      <c r="N100" s="219">
        <f>'Perfil - interna'!N100</f>
        <v>2466963.46952534</v>
      </c>
      <c r="O100" s="219">
        <f>'Perfil - interna'!O100</f>
        <v>9.9999999999999995E-7</v>
      </c>
      <c r="P100" s="219">
        <f>'Perfil - interna'!P100</f>
        <v>974011.3500000136</v>
      </c>
      <c r="Q100" s="219">
        <f>'Perfil - interna'!Q100</f>
        <v>0</v>
      </c>
      <c r="R100" s="219">
        <f>'Perfil - interna'!R100</f>
        <v>0</v>
      </c>
      <c r="S100" s="219">
        <f>'Perfil - interna'!S100</f>
        <v>0</v>
      </c>
      <c r="T100" s="219">
        <f>'Perfil - interna'!T100</f>
        <v>0</v>
      </c>
      <c r="U100" s="219">
        <f>'Perfil - interna'!U100</f>
        <v>0</v>
      </c>
      <c r="V100" s="219">
        <f>'Perfil - interna'!V100</f>
        <v>0</v>
      </c>
      <c r="W100" s="219">
        <f>'Perfil - interna'!W100</f>
        <v>0</v>
      </c>
      <c r="X100" s="219">
        <f>'Perfil - interna'!X100</f>
        <v>0</v>
      </c>
      <c r="Y100" s="219">
        <f>'Perfil - interna'!Y100</f>
        <v>0</v>
      </c>
      <c r="Z100" s="219">
        <f>'Perfil - interna'!Z100</f>
        <v>0</v>
      </c>
      <c r="AA100" s="219">
        <f>'Perfil - interna'!AA100</f>
        <v>0</v>
      </c>
      <c r="AB100" s="219">
        <f>'Perfil - interna'!AB100</f>
        <v>0</v>
      </c>
      <c r="AC100" s="219">
        <f>'Perfil - interna'!AC100</f>
        <v>0</v>
      </c>
      <c r="AD100" s="219">
        <f>'Perfil - interna'!AD100</f>
        <v>0</v>
      </c>
      <c r="AE100" s="219">
        <f>'Perfil - interna'!AE100</f>
        <v>0</v>
      </c>
      <c r="AF100" s="219">
        <f>'Perfil - interna'!AF100</f>
        <v>0</v>
      </c>
      <c r="AG100" s="219">
        <f>'Perfil - interna'!AG100</f>
        <v>0</v>
      </c>
      <c r="AH100" s="219">
        <f>'Perfil - interna'!AH100</f>
        <v>0</v>
      </c>
      <c r="AI100" s="219">
        <f>'Perfil - interna'!AI100</f>
        <v>0</v>
      </c>
      <c r="AJ100" s="219">
        <f>'Perfil - interna'!AJ100</f>
        <v>0</v>
      </c>
      <c r="AK100" s="219">
        <f>'Perfil - interna'!AK100</f>
        <v>0</v>
      </c>
      <c r="AL100" s="219">
        <f>'Perfil - interna'!AL100</f>
        <v>0</v>
      </c>
      <c r="AM100" s="219">
        <f>'Perfil - interna'!AM100</f>
        <v>0</v>
      </c>
      <c r="AN100" s="219">
        <f>'Perfil - interna'!AN100</f>
        <v>0</v>
      </c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</row>
    <row r="101" spans="1:63">
      <c r="A101" s="170">
        <v>37864</v>
      </c>
      <c r="B101" s="220" t="str">
        <f>Servicio_internaColumna_título_intereses</f>
        <v>Intereses</v>
      </c>
      <c r="C101" s="221">
        <f>'Perfil - interna'!C101</f>
        <v>0</v>
      </c>
      <c r="D101" s="222">
        <f>'Perfil - interna'!D101</f>
        <v>0</v>
      </c>
      <c r="E101" s="222">
        <f>'Perfil - interna'!E101</f>
        <v>-679139.61420413479</v>
      </c>
      <c r="F101" s="222">
        <f>'Perfil - interna'!F101</f>
        <v>7312621.5520196781</v>
      </c>
      <c r="G101" s="222">
        <f>'Perfil - interna'!G101</f>
        <v>3215362.7473537587</v>
      </c>
      <c r="H101" s="222">
        <f>'Perfil - interna'!H101</f>
        <v>3954124.3091596523</v>
      </c>
      <c r="I101" s="222">
        <f>'Perfil - interna'!I101</f>
        <v>5055403.4167443048</v>
      </c>
      <c r="J101" s="222">
        <f>'Perfil - interna'!J101</f>
        <v>3406020.3370199241</v>
      </c>
      <c r="K101" s="222">
        <f>'Perfil - interna'!K101</f>
        <v>3663231.6961592897</v>
      </c>
      <c r="L101" s="222">
        <f>'Perfil - interna'!L101</f>
        <v>-2455082.1313829892</v>
      </c>
      <c r="M101" s="222">
        <f>'Perfil - interna'!M101</f>
        <v>-323028.49403064325</v>
      </c>
      <c r="N101" s="222">
        <f>'Perfil - interna'!N101</f>
        <v>4253654.4259217577</v>
      </c>
      <c r="O101" s="222">
        <f>'Perfil - interna'!O101</f>
        <v>2565869.1747840089</v>
      </c>
      <c r="P101" s="222">
        <f>'Perfil - interna'!P101</f>
        <v>-872138.47364443564</v>
      </c>
      <c r="Q101" s="222">
        <f>'Perfil - interna'!Q101</f>
        <v>974011.3500000136</v>
      </c>
      <c r="R101" s="222">
        <f>'Perfil - interna'!R101</f>
        <v>0</v>
      </c>
      <c r="S101" s="222">
        <f>'Perfil - interna'!S101</f>
        <v>0</v>
      </c>
      <c r="T101" s="222">
        <f>'Perfil - interna'!T101</f>
        <v>0</v>
      </c>
      <c r="U101" s="222">
        <f>'Perfil - interna'!U101</f>
        <v>0</v>
      </c>
      <c r="V101" s="222">
        <f>'Perfil - interna'!V101</f>
        <v>0</v>
      </c>
      <c r="W101" s="222">
        <f>'Perfil - interna'!W101</f>
        <v>0</v>
      </c>
      <c r="X101" s="222">
        <f>'Perfil - interna'!X101</f>
        <v>0</v>
      </c>
      <c r="Y101" s="222">
        <f>'Perfil - interna'!Y101</f>
        <v>0</v>
      </c>
      <c r="Z101" s="222">
        <f>'Perfil - interna'!Z101</f>
        <v>0</v>
      </c>
      <c r="AA101" s="222">
        <f>'Perfil - interna'!AA101</f>
        <v>0</v>
      </c>
      <c r="AB101" s="222">
        <f>'Perfil - interna'!AB101</f>
        <v>0</v>
      </c>
      <c r="AC101" s="222">
        <f>'Perfil - interna'!AC101</f>
        <v>0</v>
      </c>
      <c r="AD101" s="222">
        <f>'Perfil - interna'!AD101</f>
        <v>0</v>
      </c>
      <c r="AE101" s="222">
        <f>'Perfil - interna'!AE101</f>
        <v>0</v>
      </c>
      <c r="AF101" s="222">
        <f>'Perfil - interna'!AF101</f>
        <v>0</v>
      </c>
      <c r="AG101" s="222">
        <f>'Perfil - interna'!AG101</f>
        <v>0</v>
      </c>
      <c r="AH101" s="222">
        <f>'Perfil - interna'!AH101</f>
        <v>0</v>
      </c>
      <c r="AI101" s="222">
        <f>'Perfil - interna'!AI101</f>
        <v>0</v>
      </c>
      <c r="AJ101" s="222">
        <f>'Perfil - interna'!AJ101</f>
        <v>0</v>
      </c>
      <c r="AK101" s="222">
        <f>'Perfil - interna'!AK101</f>
        <v>0</v>
      </c>
      <c r="AL101" s="222">
        <f>'Perfil - interna'!AL101</f>
        <v>0</v>
      </c>
      <c r="AM101" s="222">
        <f>'Perfil - interna'!AM101</f>
        <v>0</v>
      </c>
      <c r="AN101" s="222">
        <f>'Perfil - interna'!AN101</f>
        <v>0</v>
      </c>
      <c r="AO101" s="222"/>
      <c r="AP101" s="222"/>
      <c r="AQ101" s="222"/>
      <c r="AR101" s="222"/>
      <c r="AS101" s="222"/>
      <c r="AT101" s="222"/>
      <c r="AU101" s="222"/>
      <c r="AV101" s="222"/>
      <c r="AW101" s="222"/>
      <c r="AX101" s="222"/>
      <c r="AY101" s="222"/>
      <c r="AZ101" s="222"/>
      <c r="BA101" s="222"/>
      <c r="BB101" s="222"/>
      <c r="BC101" s="222"/>
      <c r="BD101" s="222"/>
      <c r="BE101" s="222"/>
      <c r="BF101" s="222"/>
      <c r="BG101" s="222"/>
      <c r="BH101" s="222"/>
      <c r="BI101" s="222"/>
      <c r="BJ101" s="222"/>
      <c r="BK101" s="222"/>
    </row>
    <row r="102" spans="1:63">
      <c r="A102" s="171"/>
      <c r="B102" s="318" t="str">
        <f>Servicio_internaColumna_título_total</f>
        <v>Total</v>
      </c>
      <c r="C102" s="319">
        <f t="shared" ref="C102:AN102" si="26">+C101+C100</f>
        <v>0</v>
      </c>
      <c r="D102" s="320">
        <f t="shared" si="26"/>
        <v>0</v>
      </c>
      <c r="E102" s="320">
        <f t="shared" si="26"/>
        <v>8592042.9126344733</v>
      </c>
      <c r="F102" s="320">
        <f t="shared" si="26"/>
        <v>14257904.637555704</v>
      </c>
      <c r="G102" s="320">
        <f t="shared" si="26"/>
        <v>11148334.806860181</v>
      </c>
      <c r="H102" s="320">
        <f t="shared" si="26"/>
        <v>11160799.406996187</v>
      </c>
      <c r="I102" s="320">
        <f t="shared" si="26"/>
        <v>9737974.5177288484</v>
      </c>
      <c r="J102" s="320">
        <f t="shared" si="26"/>
        <v>6559175.028731388</v>
      </c>
      <c r="K102" s="320">
        <f t="shared" si="26"/>
        <v>4724513.5782054653</v>
      </c>
      <c r="L102" s="320">
        <f t="shared" si="26"/>
        <v>2571235.7502170107</v>
      </c>
      <c r="M102" s="320">
        <f t="shared" si="26"/>
        <v>6055304.800769357</v>
      </c>
      <c r="N102" s="320">
        <f t="shared" si="26"/>
        <v>6720617.8954470977</v>
      </c>
      <c r="O102" s="320">
        <f t="shared" si="26"/>
        <v>2565869.1747850087</v>
      </c>
      <c r="P102" s="320">
        <f t="shared" si="26"/>
        <v>101872.87635557796</v>
      </c>
      <c r="Q102" s="320">
        <f t="shared" si="26"/>
        <v>974011.3500000136</v>
      </c>
      <c r="R102" s="320">
        <f t="shared" si="26"/>
        <v>0</v>
      </c>
      <c r="S102" s="320">
        <f t="shared" si="26"/>
        <v>0</v>
      </c>
      <c r="T102" s="320">
        <f t="shared" si="26"/>
        <v>0</v>
      </c>
      <c r="U102" s="320">
        <f t="shared" si="26"/>
        <v>0</v>
      </c>
      <c r="V102" s="320">
        <f t="shared" si="26"/>
        <v>0</v>
      </c>
      <c r="W102" s="320">
        <f t="shared" si="26"/>
        <v>0</v>
      </c>
      <c r="X102" s="320">
        <f t="shared" si="26"/>
        <v>0</v>
      </c>
      <c r="Y102" s="320">
        <f t="shared" si="26"/>
        <v>0</v>
      </c>
      <c r="Z102" s="320">
        <f t="shared" si="26"/>
        <v>0</v>
      </c>
      <c r="AA102" s="320">
        <f t="shared" si="26"/>
        <v>0</v>
      </c>
      <c r="AB102" s="320">
        <f t="shared" si="26"/>
        <v>0</v>
      </c>
      <c r="AC102" s="320">
        <f t="shared" si="26"/>
        <v>0</v>
      </c>
      <c r="AD102" s="320">
        <f t="shared" si="26"/>
        <v>0</v>
      </c>
      <c r="AE102" s="320">
        <f t="shared" si="26"/>
        <v>0</v>
      </c>
      <c r="AF102" s="320">
        <f t="shared" si="26"/>
        <v>0</v>
      </c>
      <c r="AG102" s="320">
        <f t="shared" si="26"/>
        <v>0</v>
      </c>
      <c r="AH102" s="320">
        <f t="shared" si="26"/>
        <v>0</v>
      </c>
      <c r="AI102" s="320">
        <f t="shared" si="26"/>
        <v>0</v>
      </c>
      <c r="AJ102" s="320">
        <f t="shared" si="26"/>
        <v>0</v>
      </c>
      <c r="AK102" s="320">
        <f t="shared" si="26"/>
        <v>0</v>
      </c>
      <c r="AL102" s="320">
        <f t="shared" si="26"/>
        <v>0</v>
      </c>
      <c r="AM102" s="320">
        <f t="shared" si="26"/>
        <v>0</v>
      </c>
      <c r="AN102" s="320">
        <f t="shared" si="26"/>
        <v>0</v>
      </c>
      <c r="AO102" s="320"/>
      <c r="AP102" s="320"/>
      <c r="AQ102" s="320"/>
      <c r="AR102" s="320"/>
      <c r="AS102" s="320"/>
      <c r="AT102" s="320"/>
      <c r="AU102" s="320"/>
      <c r="AV102" s="320"/>
      <c r="AW102" s="320"/>
      <c r="AX102" s="320"/>
      <c r="AY102" s="320"/>
      <c r="AZ102" s="320"/>
      <c r="BA102" s="320"/>
      <c r="BB102" s="320"/>
      <c r="BC102" s="320"/>
      <c r="BD102" s="320"/>
      <c r="BE102" s="320"/>
      <c r="BF102" s="320"/>
      <c r="BG102" s="320"/>
      <c r="BH102" s="320"/>
      <c r="BI102" s="320"/>
      <c r="BJ102" s="320"/>
      <c r="BK102" s="320"/>
    </row>
    <row r="103" spans="1:63">
      <c r="A103" s="167"/>
      <c r="B103" s="217" t="str">
        <f>Servicio_internaColumna_título_amortizaciones</f>
        <v>Amortizaciones</v>
      </c>
      <c r="C103" s="218">
        <f>'Perfil - interna'!C103</f>
        <v>0</v>
      </c>
      <c r="D103" s="219">
        <f>'Perfil - interna'!D103</f>
        <v>0</v>
      </c>
      <c r="E103" s="219">
        <f>'Perfil - interna'!E103</f>
        <v>9001998.845424246</v>
      </c>
      <c r="F103" s="219">
        <f>'Perfil - interna'!F103</f>
        <v>7131124.3357215095</v>
      </c>
      <c r="G103" s="219">
        <f>'Perfil - interna'!G103</f>
        <v>8026969.0978387296</v>
      </c>
      <c r="H103" s="219">
        <f>'Perfil - interna'!H103</f>
        <v>7434160.2594466424</v>
      </c>
      <c r="I103" s="219">
        <f>'Perfil - interna'!I103</f>
        <v>4966545.1699332064</v>
      </c>
      <c r="J103" s="219">
        <f>'Perfil - interna'!J103</f>
        <v>3145992.478550192</v>
      </c>
      <c r="K103" s="219">
        <f>'Perfil - interna'!K103</f>
        <v>1324822.9682613278</v>
      </c>
      <c r="L103" s="219">
        <f>'Perfil - interna'!L103</f>
        <v>5027535.3036000002</v>
      </c>
      <c r="M103" s="219">
        <f>'Perfil - interna'!M103</f>
        <v>6505240.7708000001</v>
      </c>
      <c r="N103" s="219">
        <f>'Perfil - interna'!N103</f>
        <v>2509185.8465213398</v>
      </c>
      <c r="O103" s="219">
        <f>'Perfil - interna'!O103</f>
        <v>9.9999999999999995E-7</v>
      </c>
      <c r="P103" s="219">
        <f>'Perfil - interna'!P103</f>
        <v>974770.54000001377</v>
      </c>
      <c r="Q103" s="219">
        <f>'Perfil - interna'!Q103</f>
        <v>0</v>
      </c>
      <c r="R103" s="219">
        <f>'Perfil - interna'!R103</f>
        <v>0</v>
      </c>
      <c r="S103" s="219">
        <f>'Perfil - interna'!S103</f>
        <v>0</v>
      </c>
      <c r="T103" s="219">
        <f>'Perfil - interna'!T103</f>
        <v>0</v>
      </c>
      <c r="U103" s="219">
        <f>'Perfil - interna'!U103</f>
        <v>0</v>
      </c>
      <c r="V103" s="219">
        <f>'Perfil - interna'!V103</f>
        <v>0</v>
      </c>
      <c r="W103" s="219">
        <f>'Perfil - interna'!W103</f>
        <v>0</v>
      </c>
      <c r="X103" s="219">
        <f>'Perfil - interna'!X103</f>
        <v>0</v>
      </c>
      <c r="Y103" s="219">
        <f>'Perfil - interna'!Y103</f>
        <v>0</v>
      </c>
      <c r="Z103" s="219">
        <f>'Perfil - interna'!Z103</f>
        <v>0</v>
      </c>
      <c r="AA103" s="219">
        <f>'Perfil - interna'!AA103</f>
        <v>0</v>
      </c>
      <c r="AB103" s="219">
        <f>'Perfil - interna'!AB103</f>
        <v>0</v>
      </c>
      <c r="AC103" s="219">
        <f>'Perfil - interna'!AC103</f>
        <v>0</v>
      </c>
      <c r="AD103" s="219">
        <f>'Perfil - interna'!AD103</f>
        <v>0</v>
      </c>
      <c r="AE103" s="219">
        <f>'Perfil - interna'!AE103</f>
        <v>0</v>
      </c>
      <c r="AF103" s="219">
        <f>'Perfil - interna'!AF103</f>
        <v>0</v>
      </c>
      <c r="AG103" s="219">
        <f>'Perfil - interna'!AG103</f>
        <v>0</v>
      </c>
      <c r="AH103" s="219">
        <f>'Perfil - interna'!AH103</f>
        <v>0</v>
      </c>
      <c r="AI103" s="219">
        <f>'Perfil - interna'!AI103</f>
        <v>0</v>
      </c>
      <c r="AJ103" s="219">
        <f>'Perfil - interna'!AJ103</f>
        <v>0</v>
      </c>
      <c r="AK103" s="219">
        <f>'Perfil - interna'!AK103</f>
        <v>0</v>
      </c>
      <c r="AL103" s="219">
        <f>'Perfil - interna'!AL103</f>
        <v>0</v>
      </c>
      <c r="AM103" s="219">
        <f>'Perfil - interna'!AM103</f>
        <v>0</v>
      </c>
      <c r="AN103" s="219">
        <f>'Perfil - interna'!AN103</f>
        <v>0</v>
      </c>
      <c r="AO103" s="219"/>
      <c r="AP103" s="219"/>
      <c r="AQ103" s="219"/>
      <c r="AR103" s="219"/>
      <c r="AS103" s="219"/>
      <c r="AT103" s="219"/>
      <c r="AU103" s="219"/>
      <c r="AV103" s="219"/>
      <c r="AW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J103" s="219"/>
      <c r="BK103" s="219"/>
    </row>
    <row r="104" spans="1:63">
      <c r="A104" s="170">
        <v>37894</v>
      </c>
      <c r="B104" s="220" t="str">
        <f>Servicio_internaColumna_título_intereses</f>
        <v>Intereses</v>
      </c>
      <c r="C104" s="221">
        <f>'Perfil - interna'!C104</f>
        <v>0</v>
      </c>
      <c r="D104" s="222">
        <f>'Perfil - interna'!D104</f>
        <v>0</v>
      </c>
      <c r="E104" s="222">
        <f>'Perfil - interna'!E104</f>
        <v>-1821201.2947739651</v>
      </c>
      <c r="F104" s="222">
        <f>'Perfil - interna'!F104</f>
        <v>7155553.7678790335</v>
      </c>
      <c r="G104" s="222">
        <f>'Perfil - interna'!G104</f>
        <v>3485028.1816818714</v>
      </c>
      <c r="H104" s="222">
        <f>'Perfil - interna'!H104</f>
        <v>4388341.3153772159</v>
      </c>
      <c r="I104" s="222">
        <f>'Perfil - interna'!I104</f>
        <v>4781783.0827471139</v>
      </c>
      <c r="J104" s="222">
        <f>'Perfil - interna'!J104</f>
        <v>4261178.3048533844</v>
      </c>
      <c r="K104" s="222">
        <f>'Perfil - interna'!K104</f>
        <v>3251248.3785870746</v>
      </c>
      <c r="L104" s="222">
        <f>'Perfil - interna'!L104</f>
        <v>-1795314.4655505372</v>
      </c>
      <c r="M104" s="222">
        <f>'Perfil - interna'!M104</f>
        <v>-420385.97346699424</v>
      </c>
      <c r="N104" s="222">
        <f>'Perfil - interna'!N104</f>
        <v>4394901.596392598</v>
      </c>
      <c r="O104" s="222">
        <f>'Perfil - interna'!O104</f>
        <v>2655120.9784056647</v>
      </c>
      <c r="P104" s="222">
        <f>'Perfil - interna'!P104</f>
        <v>-872911.76347845222</v>
      </c>
      <c r="Q104" s="222">
        <f>'Perfil - interna'!Q104</f>
        <v>977387.48000001372</v>
      </c>
      <c r="R104" s="222">
        <f>'Perfil - interna'!R104</f>
        <v>0</v>
      </c>
      <c r="S104" s="222">
        <f>'Perfil - interna'!S104</f>
        <v>0</v>
      </c>
      <c r="T104" s="222">
        <f>'Perfil - interna'!T104</f>
        <v>0</v>
      </c>
      <c r="U104" s="222">
        <f>'Perfil - interna'!U104</f>
        <v>0</v>
      </c>
      <c r="V104" s="222">
        <f>'Perfil - interna'!V104</f>
        <v>0</v>
      </c>
      <c r="W104" s="222">
        <f>'Perfil - interna'!W104</f>
        <v>0</v>
      </c>
      <c r="X104" s="222">
        <f>'Perfil - interna'!X104</f>
        <v>0</v>
      </c>
      <c r="Y104" s="222">
        <f>'Perfil - interna'!Y104</f>
        <v>0</v>
      </c>
      <c r="Z104" s="222">
        <f>'Perfil - interna'!Z104</f>
        <v>0</v>
      </c>
      <c r="AA104" s="222">
        <f>'Perfil - interna'!AA104</f>
        <v>0</v>
      </c>
      <c r="AB104" s="222">
        <f>'Perfil - interna'!AB104</f>
        <v>0</v>
      </c>
      <c r="AC104" s="222">
        <f>'Perfil - interna'!AC104</f>
        <v>0</v>
      </c>
      <c r="AD104" s="222">
        <f>'Perfil - interna'!AD104</f>
        <v>0</v>
      </c>
      <c r="AE104" s="222">
        <f>'Perfil - interna'!AE104</f>
        <v>0</v>
      </c>
      <c r="AF104" s="222">
        <f>'Perfil - interna'!AF104</f>
        <v>0</v>
      </c>
      <c r="AG104" s="222">
        <f>'Perfil - interna'!AG104</f>
        <v>0</v>
      </c>
      <c r="AH104" s="222">
        <f>'Perfil - interna'!AH104</f>
        <v>0</v>
      </c>
      <c r="AI104" s="222">
        <f>'Perfil - interna'!AI104</f>
        <v>0</v>
      </c>
      <c r="AJ104" s="222">
        <f>'Perfil - interna'!AJ104</f>
        <v>0</v>
      </c>
      <c r="AK104" s="222">
        <f>'Perfil - interna'!AK104</f>
        <v>0</v>
      </c>
      <c r="AL104" s="222">
        <f>'Perfil - interna'!AL104</f>
        <v>0</v>
      </c>
      <c r="AM104" s="222">
        <f>'Perfil - interna'!AM104</f>
        <v>0</v>
      </c>
      <c r="AN104" s="222">
        <f>'Perfil - interna'!AN104</f>
        <v>0</v>
      </c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  <c r="BI104" s="222"/>
      <c r="BJ104" s="222"/>
      <c r="BK104" s="222"/>
    </row>
    <row r="105" spans="1:63">
      <c r="A105" s="171"/>
      <c r="B105" s="318" t="str">
        <f>Servicio_internaColumna_título_total</f>
        <v>Total</v>
      </c>
      <c r="C105" s="319">
        <f t="shared" ref="C105:AN105" si="27">+C104+C103</f>
        <v>0</v>
      </c>
      <c r="D105" s="320">
        <f t="shared" si="27"/>
        <v>0</v>
      </c>
      <c r="E105" s="320">
        <f t="shared" si="27"/>
        <v>7180797.5506502809</v>
      </c>
      <c r="F105" s="320">
        <f t="shared" si="27"/>
        <v>14286678.103600543</v>
      </c>
      <c r="G105" s="320">
        <f t="shared" si="27"/>
        <v>11511997.279520601</v>
      </c>
      <c r="H105" s="320">
        <f t="shared" si="27"/>
        <v>11822501.574823858</v>
      </c>
      <c r="I105" s="320">
        <f t="shared" si="27"/>
        <v>9748328.2526803203</v>
      </c>
      <c r="J105" s="320">
        <f t="shared" si="27"/>
        <v>7407170.7834035764</v>
      </c>
      <c r="K105" s="320">
        <f t="shared" si="27"/>
        <v>4576071.3468484022</v>
      </c>
      <c r="L105" s="320">
        <f t="shared" si="27"/>
        <v>3232220.838049463</v>
      </c>
      <c r="M105" s="320">
        <f t="shared" si="27"/>
        <v>6084854.7973330058</v>
      </c>
      <c r="N105" s="320">
        <f t="shared" si="27"/>
        <v>6904087.4429139383</v>
      </c>
      <c r="O105" s="320">
        <f t="shared" si="27"/>
        <v>2655120.9784066644</v>
      </c>
      <c r="P105" s="320">
        <f t="shared" si="27"/>
        <v>101858.77652156155</v>
      </c>
      <c r="Q105" s="320">
        <f t="shared" si="27"/>
        <v>977387.48000001372</v>
      </c>
      <c r="R105" s="320">
        <f t="shared" si="27"/>
        <v>0</v>
      </c>
      <c r="S105" s="320">
        <f t="shared" si="27"/>
        <v>0</v>
      </c>
      <c r="T105" s="320">
        <f t="shared" si="27"/>
        <v>0</v>
      </c>
      <c r="U105" s="320">
        <f t="shared" si="27"/>
        <v>0</v>
      </c>
      <c r="V105" s="320">
        <f t="shared" si="27"/>
        <v>0</v>
      </c>
      <c r="W105" s="320">
        <f t="shared" si="27"/>
        <v>0</v>
      </c>
      <c r="X105" s="320">
        <f t="shared" si="27"/>
        <v>0</v>
      </c>
      <c r="Y105" s="320">
        <f t="shared" si="27"/>
        <v>0</v>
      </c>
      <c r="Z105" s="320">
        <f t="shared" si="27"/>
        <v>0</v>
      </c>
      <c r="AA105" s="320">
        <f t="shared" si="27"/>
        <v>0</v>
      </c>
      <c r="AB105" s="320">
        <f t="shared" si="27"/>
        <v>0</v>
      </c>
      <c r="AC105" s="320">
        <f t="shared" si="27"/>
        <v>0</v>
      </c>
      <c r="AD105" s="320">
        <f t="shared" si="27"/>
        <v>0</v>
      </c>
      <c r="AE105" s="320">
        <f t="shared" si="27"/>
        <v>0</v>
      </c>
      <c r="AF105" s="320">
        <f t="shared" si="27"/>
        <v>0</v>
      </c>
      <c r="AG105" s="320">
        <f t="shared" si="27"/>
        <v>0</v>
      </c>
      <c r="AH105" s="320">
        <f t="shared" si="27"/>
        <v>0</v>
      </c>
      <c r="AI105" s="320">
        <f t="shared" si="27"/>
        <v>0</v>
      </c>
      <c r="AJ105" s="320">
        <f t="shared" si="27"/>
        <v>0</v>
      </c>
      <c r="AK105" s="320">
        <f t="shared" si="27"/>
        <v>0</v>
      </c>
      <c r="AL105" s="320">
        <f t="shared" si="27"/>
        <v>0</v>
      </c>
      <c r="AM105" s="320">
        <f t="shared" si="27"/>
        <v>0</v>
      </c>
      <c r="AN105" s="320">
        <f t="shared" si="27"/>
        <v>0</v>
      </c>
      <c r="AO105" s="320"/>
      <c r="AP105" s="320"/>
      <c r="AQ105" s="320"/>
      <c r="AR105" s="320"/>
      <c r="AS105" s="320"/>
      <c r="AT105" s="320"/>
      <c r="AU105" s="320"/>
      <c r="AV105" s="320"/>
      <c r="AW105" s="320"/>
      <c r="AX105" s="320"/>
      <c r="AY105" s="320"/>
      <c r="AZ105" s="320"/>
      <c r="BA105" s="320"/>
      <c r="BB105" s="320"/>
      <c r="BC105" s="320"/>
      <c r="BD105" s="320"/>
      <c r="BE105" s="320"/>
      <c r="BF105" s="320"/>
      <c r="BG105" s="320"/>
      <c r="BH105" s="320"/>
      <c r="BI105" s="320"/>
      <c r="BJ105" s="320"/>
      <c r="BK105" s="320"/>
    </row>
    <row r="106" spans="1:63">
      <c r="A106" s="167"/>
      <c r="B106" s="217" t="str">
        <f>Servicio_internaColumna_título_amortizaciones</f>
        <v>Amortizaciones</v>
      </c>
      <c r="C106" s="218">
        <f>'Perfil - interna'!C106</f>
        <v>0</v>
      </c>
      <c r="D106" s="219">
        <f>'Perfil - interna'!D106</f>
        <v>0</v>
      </c>
      <c r="E106" s="219">
        <f>'Perfil - interna'!E106</f>
        <v>9163933.1908269692</v>
      </c>
      <c r="F106" s="219">
        <f>'Perfil - interna'!F106</f>
        <v>7245516.6106793275</v>
      </c>
      <c r="G106" s="219">
        <f>'Perfil - interna'!G106</f>
        <v>8578991.1545304917</v>
      </c>
      <c r="H106" s="219">
        <f>'Perfil - interna'!H106</f>
        <v>7255530.591963416</v>
      </c>
      <c r="I106" s="219">
        <f>'Perfil - interna'!I106</f>
        <v>5460348.0209170273</v>
      </c>
      <c r="J106" s="219">
        <f>'Perfil - interna'!J106</f>
        <v>2956946.6026548976</v>
      </c>
      <c r="K106" s="219">
        <f>'Perfil - interna'!K106</f>
        <v>1672607.7135817993</v>
      </c>
      <c r="L106" s="219">
        <f>'Perfil - interna'!L106</f>
        <v>5031412.8706</v>
      </c>
      <c r="M106" s="219">
        <f>'Perfil - interna'!M106</f>
        <v>6562879.4668000005</v>
      </c>
      <c r="N106" s="219">
        <f>'Perfil - interna'!N106</f>
        <v>2556228.9623062434</v>
      </c>
      <c r="O106" s="219">
        <f>'Perfil - interna'!O106</f>
        <v>9.9999999999999995E-7</v>
      </c>
      <c r="P106" s="219">
        <f>'Perfil - interna'!P106</f>
        <v>977387.48000001372</v>
      </c>
      <c r="Q106" s="219">
        <f>'Perfil - interna'!Q106</f>
        <v>0</v>
      </c>
      <c r="R106" s="219">
        <f>'Perfil - interna'!R106</f>
        <v>0</v>
      </c>
      <c r="S106" s="219">
        <f>'Perfil - interna'!S106</f>
        <v>0</v>
      </c>
      <c r="T106" s="219">
        <f>'Perfil - interna'!T106</f>
        <v>0</v>
      </c>
      <c r="U106" s="219">
        <f>'Perfil - interna'!U106</f>
        <v>0</v>
      </c>
      <c r="V106" s="219">
        <f>'Perfil - interna'!V106</f>
        <v>0</v>
      </c>
      <c r="W106" s="219">
        <f>'Perfil - interna'!W106</f>
        <v>0</v>
      </c>
      <c r="X106" s="219">
        <f>'Perfil - interna'!X106</f>
        <v>0</v>
      </c>
      <c r="Y106" s="219">
        <f>'Perfil - interna'!Y106</f>
        <v>0</v>
      </c>
      <c r="Z106" s="219">
        <f>'Perfil - interna'!Z106</f>
        <v>0</v>
      </c>
      <c r="AA106" s="219">
        <f>'Perfil - interna'!AA106</f>
        <v>0</v>
      </c>
      <c r="AB106" s="219">
        <f>'Perfil - interna'!AB106</f>
        <v>0</v>
      </c>
      <c r="AC106" s="219">
        <f>'Perfil - interna'!AC106</f>
        <v>0</v>
      </c>
      <c r="AD106" s="219">
        <f>'Perfil - interna'!AD106</f>
        <v>0</v>
      </c>
      <c r="AE106" s="219">
        <f>'Perfil - interna'!AE106</f>
        <v>0</v>
      </c>
      <c r="AF106" s="219">
        <f>'Perfil - interna'!AF106</f>
        <v>0</v>
      </c>
      <c r="AG106" s="219">
        <f>'Perfil - interna'!AG106</f>
        <v>0</v>
      </c>
      <c r="AH106" s="219">
        <f>'Perfil - interna'!AH106</f>
        <v>0</v>
      </c>
      <c r="AI106" s="219">
        <f>'Perfil - interna'!AI106</f>
        <v>0</v>
      </c>
      <c r="AJ106" s="219">
        <f>'Perfil - interna'!AJ106</f>
        <v>0</v>
      </c>
      <c r="AK106" s="219">
        <f>'Perfil - interna'!AK106</f>
        <v>0</v>
      </c>
      <c r="AL106" s="219">
        <f>'Perfil - interna'!AL106</f>
        <v>0</v>
      </c>
      <c r="AM106" s="219">
        <f>'Perfil - interna'!AM106</f>
        <v>0</v>
      </c>
      <c r="AN106" s="219">
        <f>'Perfil - interna'!AN106</f>
        <v>0</v>
      </c>
      <c r="AO106" s="219"/>
      <c r="AP106" s="219"/>
      <c r="AQ106" s="219"/>
      <c r="AR106" s="219"/>
      <c r="AS106" s="219"/>
      <c r="AT106" s="219"/>
      <c r="AU106" s="219"/>
      <c r="AV106" s="219"/>
      <c r="AW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J106" s="219"/>
      <c r="BK106" s="219"/>
    </row>
    <row r="107" spans="1:63">
      <c r="A107" s="170">
        <v>37925</v>
      </c>
      <c r="B107" s="220" t="str">
        <f>Servicio_internaColumna_título_intereses</f>
        <v>Intereses</v>
      </c>
      <c r="C107" s="221">
        <f>'Perfil - interna'!C107</f>
        <v>0</v>
      </c>
      <c r="D107" s="222">
        <f>'Perfil - interna'!D107</f>
        <v>0</v>
      </c>
      <c r="E107" s="222">
        <f>'Perfil - interna'!E107</f>
        <v>-2500443.9957454223</v>
      </c>
      <c r="F107" s="222">
        <f>'Perfil - interna'!F107</f>
        <v>7785060.2386601986</v>
      </c>
      <c r="G107" s="222">
        <f>'Perfil - interna'!G107</f>
        <v>3501609.7163990457</v>
      </c>
      <c r="H107" s="222">
        <f>'Perfil - interna'!H107</f>
        <v>4787910.2659481708</v>
      </c>
      <c r="I107" s="222">
        <f>'Perfil - interna'!I107</f>
        <v>4635967.2941540359</v>
      </c>
      <c r="J107" s="222">
        <f>'Perfil - interna'!J107</f>
        <v>4575427.908429496</v>
      </c>
      <c r="K107" s="222">
        <f>'Perfil - interna'!K107</f>
        <v>3023937.5322100483</v>
      </c>
      <c r="L107" s="222">
        <f>'Perfil - interna'!L107</f>
        <v>-1749383.256401265</v>
      </c>
      <c r="M107" s="222">
        <f>'Perfil - interna'!M107</f>
        <v>-428788.96111646201</v>
      </c>
      <c r="N107" s="222">
        <f>'Perfil - interna'!N107</f>
        <v>4688871.2334709559</v>
      </c>
      <c r="O107" s="222">
        <f>'Perfil - interna'!O107</f>
        <v>2697894.5324784797</v>
      </c>
      <c r="P107" s="222">
        <f>'Perfil - interna'!P107</f>
        <v>-875595.58793662675</v>
      </c>
      <c r="Q107" s="222">
        <f>'Perfil - interna'!Q107</f>
        <v>978685.99000001384</v>
      </c>
      <c r="R107" s="222">
        <f>'Perfil - interna'!R107</f>
        <v>0</v>
      </c>
      <c r="S107" s="222">
        <f>'Perfil - interna'!S107</f>
        <v>0</v>
      </c>
      <c r="T107" s="222">
        <f>'Perfil - interna'!T107</f>
        <v>0</v>
      </c>
      <c r="U107" s="222">
        <f>'Perfil - interna'!U107</f>
        <v>0</v>
      </c>
      <c r="V107" s="222">
        <f>'Perfil - interna'!V107</f>
        <v>0</v>
      </c>
      <c r="W107" s="222">
        <f>'Perfil - interna'!W107</f>
        <v>0</v>
      </c>
      <c r="X107" s="222">
        <f>'Perfil - interna'!X107</f>
        <v>0</v>
      </c>
      <c r="Y107" s="222">
        <f>'Perfil - interna'!Y107</f>
        <v>0</v>
      </c>
      <c r="Z107" s="222">
        <f>'Perfil - interna'!Z107</f>
        <v>0</v>
      </c>
      <c r="AA107" s="222">
        <f>'Perfil - interna'!AA107</f>
        <v>0</v>
      </c>
      <c r="AB107" s="222">
        <f>'Perfil - interna'!AB107</f>
        <v>0</v>
      </c>
      <c r="AC107" s="222">
        <f>'Perfil - interna'!AC107</f>
        <v>0</v>
      </c>
      <c r="AD107" s="222">
        <f>'Perfil - interna'!AD107</f>
        <v>0</v>
      </c>
      <c r="AE107" s="222">
        <f>'Perfil - interna'!AE107</f>
        <v>0</v>
      </c>
      <c r="AF107" s="222">
        <f>'Perfil - interna'!AF107</f>
        <v>0</v>
      </c>
      <c r="AG107" s="222">
        <f>'Perfil - interna'!AG107</f>
        <v>0</v>
      </c>
      <c r="AH107" s="222">
        <f>'Perfil - interna'!AH107</f>
        <v>0</v>
      </c>
      <c r="AI107" s="222">
        <f>'Perfil - interna'!AI107</f>
        <v>0</v>
      </c>
      <c r="AJ107" s="222">
        <f>'Perfil - interna'!AJ107</f>
        <v>0</v>
      </c>
      <c r="AK107" s="222">
        <f>'Perfil - interna'!AK107</f>
        <v>0</v>
      </c>
      <c r="AL107" s="222">
        <f>'Perfil - interna'!AL107</f>
        <v>0</v>
      </c>
      <c r="AM107" s="222">
        <f>'Perfil - interna'!AM107</f>
        <v>0</v>
      </c>
      <c r="AN107" s="222">
        <f>'Perfil - interna'!AN107</f>
        <v>0</v>
      </c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  <c r="BI107" s="222"/>
      <c r="BJ107" s="222"/>
      <c r="BK107" s="222"/>
    </row>
    <row r="108" spans="1:63">
      <c r="A108" s="171"/>
      <c r="B108" s="318" t="str">
        <f>Servicio_internaColumna_título_total</f>
        <v>Total</v>
      </c>
      <c r="C108" s="319">
        <f t="shared" ref="C108:AN108" si="28">+C107+C106</f>
        <v>0</v>
      </c>
      <c r="D108" s="320">
        <f t="shared" si="28"/>
        <v>0</v>
      </c>
      <c r="E108" s="320">
        <f t="shared" si="28"/>
        <v>6663489.1950815469</v>
      </c>
      <c r="F108" s="320">
        <f t="shared" si="28"/>
        <v>15030576.849339526</v>
      </c>
      <c r="G108" s="320">
        <f t="shared" si="28"/>
        <v>12080600.870929537</v>
      </c>
      <c r="H108" s="320">
        <f t="shared" si="28"/>
        <v>12043440.857911587</v>
      </c>
      <c r="I108" s="320">
        <f t="shared" si="28"/>
        <v>10096315.315071063</v>
      </c>
      <c r="J108" s="320">
        <f t="shared" si="28"/>
        <v>7532374.5110843936</v>
      </c>
      <c r="K108" s="320">
        <f t="shared" si="28"/>
        <v>4696545.2457918478</v>
      </c>
      <c r="L108" s="320">
        <f t="shared" si="28"/>
        <v>3282029.614198735</v>
      </c>
      <c r="M108" s="320">
        <f t="shared" si="28"/>
        <v>6134090.5056835385</v>
      </c>
      <c r="N108" s="320">
        <f t="shared" si="28"/>
        <v>7245100.1957771992</v>
      </c>
      <c r="O108" s="320">
        <f t="shared" si="28"/>
        <v>2697894.5324794794</v>
      </c>
      <c r="P108" s="320">
        <f t="shared" si="28"/>
        <v>101791.89206338697</v>
      </c>
      <c r="Q108" s="320">
        <f t="shared" si="28"/>
        <v>978685.99000001384</v>
      </c>
      <c r="R108" s="320">
        <f t="shared" si="28"/>
        <v>0</v>
      </c>
      <c r="S108" s="320">
        <f t="shared" si="28"/>
        <v>0</v>
      </c>
      <c r="T108" s="320">
        <f t="shared" si="28"/>
        <v>0</v>
      </c>
      <c r="U108" s="320">
        <f t="shared" si="28"/>
        <v>0</v>
      </c>
      <c r="V108" s="320">
        <f t="shared" si="28"/>
        <v>0</v>
      </c>
      <c r="W108" s="320">
        <f t="shared" si="28"/>
        <v>0</v>
      </c>
      <c r="X108" s="320">
        <f t="shared" si="28"/>
        <v>0</v>
      </c>
      <c r="Y108" s="320">
        <f t="shared" si="28"/>
        <v>0</v>
      </c>
      <c r="Z108" s="320">
        <f t="shared" si="28"/>
        <v>0</v>
      </c>
      <c r="AA108" s="320">
        <f t="shared" si="28"/>
        <v>0</v>
      </c>
      <c r="AB108" s="320">
        <f t="shared" si="28"/>
        <v>0</v>
      </c>
      <c r="AC108" s="320">
        <f t="shared" si="28"/>
        <v>0</v>
      </c>
      <c r="AD108" s="320">
        <f t="shared" si="28"/>
        <v>0</v>
      </c>
      <c r="AE108" s="320">
        <f t="shared" si="28"/>
        <v>0</v>
      </c>
      <c r="AF108" s="320">
        <f t="shared" si="28"/>
        <v>0</v>
      </c>
      <c r="AG108" s="320">
        <f t="shared" si="28"/>
        <v>0</v>
      </c>
      <c r="AH108" s="320">
        <f t="shared" si="28"/>
        <v>0</v>
      </c>
      <c r="AI108" s="320">
        <f t="shared" si="28"/>
        <v>0</v>
      </c>
      <c r="AJ108" s="320">
        <f t="shared" si="28"/>
        <v>0</v>
      </c>
      <c r="AK108" s="320">
        <f t="shared" si="28"/>
        <v>0</v>
      </c>
      <c r="AL108" s="320">
        <f t="shared" si="28"/>
        <v>0</v>
      </c>
      <c r="AM108" s="320">
        <f t="shared" si="28"/>
        <v>0</v>
      </c>
      <c r="AN108" s="320">
        <f t="shared" si="28"/>
        <v>0</v>
      </c>
      <c r="AO108" s="320"/>
      <c r="AP108" s="320"/>
      <c r="AQ108" s="320"/>
      <c r="AR108" s="320"/>
      <c r="AS108" s="320"/>
      <c r="AT108" s="320"/>
      <c r="AU108" s="320"/>
      <c r="AV108" s="320"/>
      <c r="AW108" s="320"/>
      <c r="AX108" s="320"/>
      <c r="AY108" s="320"/>
      <c r="AZ108" s="320"/>
      <c r="BA108" s="320"/>
      <c r="BB108" s="320"/>
      <c r="BC108" s="320"/>
      <c r="BD108" s="320"/>
      <c r="BE108" s="320"/>
      <c r="BF108" s="320"/>
      <c r="BG108" s="320"/>
      <c r="BH108" s="320"/>
      <c r="BI108" s="320"/>
      <c r="BJ108" s="320"/>
      <c r="BK108" s="320"/>
    </row>
    <row r="109" spans="1:63">
      <c r="A109" s="167"/>
      <c r="B109" s="217" t="str">
        <f>Servicio_internaColumna_título_amortizaciones</f>
        <v>Amortizaciones</v>
      </c>
      <c r="C109" s="218">
        <f>'Perfil - interna'!C109</f>
        <v>0</v>
      </c>
      <c r="D109" s="219">
        <f>'Perfil - interna'!D109</f>
        <v>0</v>
      </c>
      <c r="E109" s="219">
        <f>'Perfil - interna'!E109</f>
        <v>9685231.5914766509</v>
      </c>
      <c r="F109" s="219">
        <f>'Perfil - interna'!F109</f>
        <v>7710162.3768647891</v>
      </c>
      <c r="G109" s="219">
        <f>'Perfil - interna'!G109</f>
        <v>8713819.3199382462</v>
      </c>
      <c r="H109" s="219">
        <f>'Perfil - interna'!H109</f>
        <v>7515679.9215947371</v>
      </c>
      <c r="I109" s="219">
        <f>'Perfil - interna'!I109</f>
        <v>5526366.5278280722</v>
      </c>
      <c r="J109" s="219">
        <f>'Perfil - interna'!J109</f>
        <v>3031026.8159254873</v>
      </c>
      <c r="K109" s="219">
        <f>'Perfil - interna'!K109</f>
        <v>1675593.0422788449</v>
      </c>
      <c r="L109" s="219">
        <f>'Perfil - interna'!L109</f>
        <v>5033672.0444</v>
      </c>
      <c r="M109" s="219">
        <f>'Perfil - interna'!M109</f>
        <v>6904028.4731999999</v>
      </c>
      <c r="N109" s="219">
        <f>'Perfil - interna'!N109</f>
        <v>2599067.4527462581</v>
      </c>
      <c r="O109" s="219">
        <f>'Perfil - interna'!O109</f>
        <v>9.9999999999999995E-7</v>
      </c>
      <c r="P109" s="219">
        <f>'Perfil - interna'!P109</f>
        <v>978685.99000001384</v>
      </c>
      <c r="Q109" s="219">
        <f>'Perfil - interna'!Q109</f>
        <v>0</v>
      </c>
      <c r="R109" s="219">
        <f>'Perfil - interna'!R109</f>
        <v>0</v>
      </c>
      <c r="S109" s="219">
        <f>'Perfil - interna'!S109</f>
        <v>0</v>
      </c>
      <c r="T109" s="219">
        <f>'Perfil - interna'!T109</f>
        <v>0</v>
      </c>
      <c r="U109" s="219">
        <f>'Perfil - interna'!U109</f>
        <v>0</v>
      </c>
      <c r="V109" s="219">
        <f>'Perfil - interna'!V109</f>
        <v>0</v>
      </c>
      <c r="W109" s="219">
        <f>'Perfil - interna'!W109</f>
        <v>0</v>
      </c>
      <c r="X109" s="219">
        <f>'Perfil - interna'!X109</f>
        <v>0</v>
      </c>
      <c r="Y109" s="219">
        <f>'Perfil - interna'!Y109</f>
        <v>0</v>
      </c>
      <c r="Z109" s="219">
        <f>'Perfil - interna'!Z109</f>
        <v>0</v>
      </c>
      <c r="AA109" s="219">
        <f>'Perfil - interna'!AA109</f>
        <v>0</v>
      </c>
      <c r="AB109" s="219">
        <f>'Perfil - interna'!AB109</f>
        <v>0</v>
      </c>
      <c r="AC109" s="219">
        <f>'Perfil - interna'!AC109</f>
        <v>0</v>
      </c>
      <c r="AD109" s="219">
        <f>'Perfil - interna'!AD109</f>
        <v>0</v>
      </c>
      <c r="AE109" s="219">
        <f>'Perfil - interna'!AE109</f>
        <v>0</v>
      </c>
      <c r="AF109" s="219">
        <f>'Perfil - interna'!AF109</f>
        <v>0</v>
      </c>
      <c r="AG109" s="219">
        <f>'Perfil - interna'!AG109</f>
        <v>0</v>
      </c>
      <c r="AH109" s="219">
        <f>'Perfil - interna'!AH109</f>
        <v>0</v>
      </c>
      <c r="AI109" s="219">
        <f>'Perfil - interna'!AI109</f>
        <v>0</v>
      </c>
      <c r="AJ109" s="219">
        <f>'Perfil - interna'!AJ109</f>
        <v>0</v>
      </c>
      <c r="AK109" s="219">
        <f>'Perfil - interna'!AK109</f>
        <v>0</v>
      </c>
      <c r="AL109" s="219">
        <f>'Perfil - interna'!AL109</f>
        <v>0</v>
      </c>
      <c r="AM109" s="219">
        <f>'Perfil - interna'!AM109</f>
        <v>0</v>
      </c>
      <c r="AN109" s="219">
        <f>'Perfil - interna'!AN109</f>
        <v>0</v>
      </c>
      <c r="AO109" s="219"/>
      <c r="AP109" s="219"/>
      <c r="AQ109" s="219"/>
      <c r="AR109" s="219"/>
      <c r="AS109" s="219"/>
      <c r="AT109" s="219"/>
      <c r="AU109" s="219"/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J109" s="219"/>
      <c r="BK109" s="219"/>
    </row>
    <row r="110" spans="1:63">
      <c r="A110" s="170">
        <v>37955</v>
      </c>
      <c r="B110" s="220" t="str">
        <f>Servicio_internaColumna_título_intereses</f>
        <v>Intereses</v>
      </c>
      <c r="C110" s="221">
        <f>'Perfil - interna'!C110</f>
        <v>0</v>
      </c>
      <c r="D110" s="222">
        <f>'Perfil - interna'!D110</f>
        <v>0</v>
      </c>
      <c r="E110" s="222">
        <f>'Perfil - interna'!E110</f>
        <v>-3021742.396395104</v>
      </c>
      <c r="F110" s="222">
        <f>'Perfil - interna'!F110</f>
        <v>7320414.4724747371</v>
      </c>
      <c r="G110" s="222">
        <f>'Perfil - interna'!G110</f>
        <v>3366781.5509912912</v>
      </c>
      <c r="H110" s="222">
        <f>'Perfil - interna'!H110</f>
        <v>4527760.9363168497</v>
      </c>
      <c r="I110" s="222">
        <f>'Perfil - interna'!I110</f>
        <v>4569948.7872429909</v>
      </c>
      <c r="J110" s="222">
        <f>'Perfil - interna'!J110</f>
        <v>4501347.6951589063</v>
      </c>
      <c r="K110" s="222">
        <f>'Perfil - interna'!K110</f>
        <v>3020952.203513003</v>
      </c>
      <c r="L110" s="222">
        <f>'Perfil - interna'!L110</f>
        <v>-1751642.430201265</v>
      </c>
      <c r="M110" s="222">
        <f>'Perfil - interna'!M110</f>
        <v>-769937.96751646139</v>
      </c>
      <c r="N110" s="222">
        <f>'Perfil - interna'!N110</f>
        <v>4646032.7430309411</v>
      </c>
      <c r="O110" s="222">
        <f>'Perfil - interna'!O110</f>
        <v>2697894.5324784797</v>
      </c>
      <c r="P110" s="222">
        <f>'Perfil - interna'!P110</f>
        <v>-876894.09793662699</v>
      </c>
      <c r="Q110" s="222">
        <f>'Perfil - interna'!Q110</f>
        <v>978685.99000001384</v>
      </c>
      <c r="R110" s="222">
        <f>'Perfil - interna'!R110</f>
        <v>0</v>
      </c>
      <c r="S110" s="222">
        <f>'Perfil - interna'!S110</f>
        <v>0</v>
      </c>
      <c r="T110" s="222">
        <f>'Perfil - interna'!T110</f>
        <v>0</v>
      </c>
      <c r="U110" s="222">
        <f>'Perfil - interna'!U110</f>
        <v>0</v>
      </c>
      <c r="V110" s="222">
        <f>'Perfil - interna'!V110</f>
        <v>0</v>
      </c>
      <c r="W110" s="222">
        <f>'Perfil - interna'!W110</f>
        <v>0</v>
      </c>
      <c r="X110" s="222">
        <f>'Perfil - interna'!X110</f>
        <v>0</v>
      </c>
      <c r="Y110" s="222">
        <f>'Perfil - interna'!Y110</f>
        <v>0</v>
      </c>
      <c r="Z110" s="222">
        <f>'Perfil - interna'!Z110</f>
        <v>0</v>
      </c>
      <c r="AA110" s="222">
        <f>'Perfil - interna'!AA110</f>
        <v>0</v>
      </c>
      <c r="AB110" s="222">
        <f>'Perfil - interna'!AB110</f>
        <v>0</v>
      </c>
      <c r="AC110" s="222">
        <f>'Perfil - interna'!AC110</f>
        <v>0</v>
      </c>
      <c r="AD110" s="222">
        <f>'Perfil - interna'!AD110</f>
        <v>0</v>
      </c>
      <c r="AE110" s="222">
        <f>'Perfil - interna'!AE110</f>
        <v>0</v>
      </c>
      <c r="AF110" s="222">
        <f>'Perfil - interna'!AF110</f>
        <v>0</v>
      </c>
      <c r="AG110" s="222">
        <f>'Perfil - interna'!AG110</f>
        <v>0</v>
      </c>
      <c r="AH110" s="222">
        <f>'Perfil - interna'!AH110</f>
        <v>0</v>
      </c>
      <c r="AI110" s="222">
        <f>'Perfil - interna'!AI110</f>
        <v>0</v>
      </c>
      <c r="AJ110" s="222">
        <f>'Perfil - interna'!AJ110</f>
        <v>0</v>
      </c>
      <c r="AK110" s="222">
        <f>'Perfil - interna'!AK110</f>
        <v>0</v>
      </c>
      <c r="AL110" s="222">
        <f>'Perfil - interna'!AL110</f>
        <v>0</v>
      </c>
      <c r="AM110" s="222">
        <f>'Perfil - interna'!AM110</f>
        <v>0</v>
      </c>
      <c r="AN110" s="222">
        <f>'Perfil - interna'!AN110</f>
        <v>0</v>
      </c>
      <c r="AO110" s="222"/>
      <c r="AP110" s="222"/>
      <c r="AQ110" s="222"/>
      <c r="AR110" s="222"/>
      <c r="AS110" s="222"/>
      <c r="AT110" s="222"/>
      <c r="AU110" s="222"/>
      <c r="AV110" s="222"/>
      <c r="AW110" s="222"/>
      <c r="AX110" s="222"/>
      <c r="AY110" s="222"/>
      <c r="AZ110" s="222"/>
      <c r="BA110" s="222"/>
      <c r="BB110" s="222"/>
      <c r="BC110" s="222"/>
      <c r="BD110" s="222"/>
      <c r="BE110" s="222"/>
      <c r="BF110" s="222"/>
      <c r="BG110" s="222"/>
      <c r="BH110" s="222"/>
      <c r="BI110" s="222"/>
      <c r="BJ110" s="222"/>
      <c r="BK110" s="222"/>
    </row>
    <row r="111" spans="1:63">
      <c r="A111" s="171"/>
      <c r="B111" s="318" t="str">
        <f>Servicio_internaColumna_título_total</f>
        <v>Total</v>
      </c>
      <c r="C111" s="319">
        <f t="shared" ref="C111:AN111" si="29">+C110+C109</f>
        <v>0</v>
      </c>
      <c r="D111" s="320">
        <f t="shared" si="29"/>
        <v>0</v>
      </c>
      <c r="E111" s="320">
        <f t="shared" si="29"/>
        <v>6663489.1950815469</v>
      </c>
      <c r="F111" s="320">
        <f t="shared" si="29"/>
        <v>15030576.849339526</v>
      </c>
      <c r="G111" s="320">
        <f t="shared" si="29"/>
        <v>12080600.870929537</v>
      </c>
      <c r="H111" s="320">
        <f t="shared" si="29"/>
        <v>12043440.857911587</v>
      </c>
      <c r="I111" s="320">
        <f t="shared" si="29"/>
        <v>10096315.315071063</v>
      </c>
      <c r="J111" s="320">
        <f t="shared" si="29"/>
        <v>7532374.5110843936</v>
      </c>
      <c r="K111" s="320">
        <f t="shared" si="29"/>
        <v>4696545.2457918478</v>
      </c>
      <c r="L111" s="320">
        <f t="shared" si="29"/>
        <v>3282029.614198735</v>
      </c>
      <c r="M111" s="320">
        <f t="shared" si="29"/>
        <v>6134090.5056835385</v>
      </c>
      <c r="N111" s="320">
        <f t="shared" si="29"/>
        <v>7245100.1957771992</v>
      </c>
      <c r="O111" s="320">
        <f t="shared" si="29"/>
        <v>2697894.5324794794</v>
      </c>
      <c r="P111" s="320">
        <f t="shared" si="29"/>
        <v>101791.89206338685</v>
      </c>
      <c r="Q111" s="320">
        <f t="shared" si="29"/>
        <v>978685.99000001384</v>
      </c>
      <c r="R111" s="320">
        <f t="shared" si="29"/>
        <v>0</v>
      </c>
      <c r="S111" s="320">
        <f t="shared" si="29"/>
        <v>0</v>
      </c>
      <c r="T111" s="320">
        <f t="shared" si="29"/>
        <v>0</v>
      </c>
      <c r="U111" s="320">
        <f t="shared" si="29"/>
        <v>0</v>
      </c>
      <c r="V111" s="320">
        <f t="shared" si="29"/>
        <v>0</v>
      </c>
      <c r="W111" s="320">
        <f t="shared" si="29"/>
        <v>0</v>
      </c>
      <c r="X111" s="320">
        <f t="shared" si="29"/>
        <v>0</v>
      </c>
      <c r="Y111" s="320">
        <f t="shared" si="29"/>
        <v>0</v>
      </c>
      <c r="Z111" s="320">
        <f t="shared" si="29"/>
        <v>0</v>
      </c>
      <c r="AA111" s="320">
        <f t="shared" si="29"/>
        <v>0</v>
      </c>
      <c r="AB111" s="320">
        <f t="shared" si="29"/>
        <v>0</v>
      </c>
      <c r="AC111" s="320">
        <f t="shared" si="29"/>
        <v>0</v>
      </c>
      <c r="AD111" s="320">
        <f t="shared" si="29"/>
        <v>0</v>
      </c>
      <c r="AE111" s="320">
        <f t="shared" si="29"/>
        <v>0</v>
      </c>
      <c r="AF111" s="320">
        <f t="shared" si="29"/>
        <v>0</v>
      </c>
      <c r="AG111" s="320">
        <f t="shared" si="29"/>
        <v>0</v>
      </c>
      <c r="AH111" s="320">
        <f t="shared" si="29"/>
        <v>0</v>
      </c>
      <c r="AI111" s="320">
        <f t="shared" si="29"/>
        <v>0</v>
      </c>
      <c r="AJ111" s="320">
        <f t="shared" si="29"/>
        <v>0</v>
      </c>
      <c r="AK111" s="320">
        <f t="shared" si="29"/>
        <v>0</v>
      </c>
      <c r="AL111" s="320">
        <f t="shared" si="29"/>
        <v>0</v>
      </c>
      <c r="AM111" s="320">
        <f t="shared" si="29"/>
        <v>0</v>
      </c>
      <c r="AN111" s="320">
        <f t="shared" si="29"/>
        <v>0</v>
      </c>
      <c r="AO111" s="320"/>
      <c r="AP111" s="320"/>
      <c r="AQ111" s="320"/>
      <c r="AR111" s="320"/>
      <c r="AS111" s="320"/>
      <c r="AT111" s="320"/>
      <c r="AU111" s="320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0"/>
      <c r="BF111" s="320"/>
      <c r="BG111" s="320"/>
      <c r="BH111" s="320"/>
      <c r="BI111" s="320"/>
      <c r="BJ111" s="320"/>
      <c r="BK111" s="320"/>
    </row>
    <row r="112" spans="1:63">
      <c r="A112" s="167"/>
      <c r="B112" s="217" t="str">
        <f>Servicio_internaColumna_título_amortizaciones</f>
        <v>Amortizaciones</v>
      </c>
      <c r="C112" s="218">
        <f>'Perfil - interna'!C112</f>
        <v>0</v>
      </c>
      <c r="D112" s="219">
        <f>'Perfil - interna'!D112</f>
        <v>0</v>
      </c>
      <c r="E112" s="219">
        <f>'Perfil - interna'!E112</f>
        <v>0</v>
      </c>
      <c r="F112" s="219">
        <f>'Perfil - interna'!F112</f>
        <v>9767361.848418111</v>
      </c>
      <c r="G112" s="219">
        <f>'Perfil - interna'!G112</f>
        <v>8002320.9675878733</v>
      </c>
      <c r="H112" s="219">
        <f>'Perfil - interna'!H112</f>
        <v>8699609.5966512375</v>
      </c>
      <c r="I112" s="219">
        <f>'Perfil - interna'!I112</f>
        <v>7654514.2400268009</v>
      </c>
      <c r="J112" s="219">
        <f>'Perfil - interna'!J112</f>
        <v>5832553.265773898</v>
      </c>
      <c r="K112" s="219">
        <f>'Perfil - interna'!K112</f>
        <v>3047387.7477584183</v>
      </c>
      <c r="L112" s="219">
        <f>'Perfil - interna'!L112</f>
        <v>1781608.2525006812</v>
      </c>
      <c r="M112" s="219">
        <f>'Perfil - interna'!M112</f>
        <v>5036427.4412000002</v>
      </c>
      <c r="N112" s="219">
        <f>'Perfil - interna'!N112</f>
        <v>7041987.6635999996</v>
      </c>
      <c r="O112" s="219">
        <f>'Perfil - interna'!O112</f>
        <v>2647299.9093213398</v>
      </c>
      <c r="P112" s="219">
        <f>'Perfil - interna'!P112</f>
        <v>9.9999999999999995E-7</v>
      </c>
      <c r="Q112" s="219">
        <f>'Perfil - interna'!Q112</f>
        <v>980782.11000001384</v>
      </c>
      <c r="R112" s="219">
        <f>'Perfil - interna'!R112</f>
        <v>0</v>
      </c>
      <c r="S112" s="219">
        <f>'Perfil - interna'!S112</f>
        <v>0</v>
      </c>
      <c r="T112" s="219">
        <f>'Perfil - interna'!T112</f>
        <v>0</v>
      </c>
      <c r="U112" s="219">
        <f>'Perfil - interna'!U112</f>
        <v>0</v>
      </c>
      <c r="V112" s="219">
        <f>'Perfil - interna'!V112</f>
        <v>0</v>
      </c>
      <c r="W112" s="219">
        <f>'Perfil - interna'!W112</f>
        <v>0</v>
      </c>
      <c r="X112" s="219">
        <f>'Perfil - interna'!X112</f>
        <v>0</v>
      </c>
      <c r="Y112" s="219">
        <f>'Perfil - interna'!Y112</f>
        <v>0</v>
      </c>
      <c r="Z112" s="219">
        <f>'Perfil - interna'!Z112</f>
        <v>0</v>
      </c>
      <c r="AA112" s="219">
        <f>'Perfil - interna'!AA112</f>
        <v>0</v>
      </c>
      <c r="AB112" s="219">
        <f>'Perfil - interna'!AB112</f>
        <v>0</v>
      </c>
      <c r="AC112" s="219">
        <f>'Perfil - interna'!AC112</f>
        <v>0</v>
      </c>
      <c r="AD112" s="219">
        <f>'Perfil - interna'!AD112</f>
        <v>0</v>
      </c>
      <c r="AE112" s="219">
        <f>'Perfil - interna'!AE112</f>
        <v>0</v>
      </c>
      <c r="AF112" s="219">
        <f>'Perfil - interna'!AF112</f>
        <v>0</v>
      </c>
      <c r="AG112" s="219">
        <f>'Perfil - interna'!AG112</f>
        <v>0</v>
      </c>
      <c r="AH112" s="219">
        <f>'Perfil - interna'!AH112</f>
        <v>0</v>
      </c>
      <c r="AI112" s="219">
        <f>'Perfil - interna'!AI112</f>
        <v>0</v>
      </c>
      <c r="AJ112" s="219">
        <f>'Perfil - interna'!AJ112</f>
        <v>0</v>
      </c>
      <c r="AK112" s="219">
        <f>'Perfil - interna'!AK112</f>
        <v>0</v>
      </c>
      <c r="AL112" s="219">
        <f>'Perfil - interna'!AL112</f>
        <v>0</v>
      </c>
      <c r="AM112" s="219">
        <f>'Perfil - interna'!AM112</f>
        <v>0</v>
      </c>
      <c r="AN112" s="219">
        <f>'Perfil - interna'!AN112</f>
        <v>0</v>
      </c>
      <c r="AO112" s="219"/>
      <c r="AP112" s="219"/>
      <c r="AQ112" s="219"/>
      <c r="AR112" s="219"/>
      <c r="AS112" s="219"/>
      <c r="AT112" s="219"/>
      <c r="AU112" s="219"/>
      <c r="AV112" s="219"/>
      <c r="AW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J112" s="219"/>
      <c r="BK112" s="219"/>
    </row>
    <row r="113" spans="1:63">
      <c r="A113" s="170">
        <v>37986</v>
      </c>
      <c r="B113" s="220" t="str">
        <f>Servicio_internaColumna_título_intereses</f>
        <v>Intereses</v>
      </c>
      <c r="C113" s="221">
        <f>'Perfil - interna'!C113</f>
        <v>0</v>
      </c>
      <c r="D113" s="222">
        <f>'Perfil - interna'!D113</f>
        <v>0</v>
      </c>
      <c r="E113" s="222">
        <f>'Perfil - interna'!E113</f>
        <v>0</v>
      </c>
      <c r="F113" s="222">
        <f>'Perfil - interna'!F113</f>
        <v>6207409.6988424268</v>
      </c>
      <c r="G113" s="222">
        <f>'Perfil - interna'!G113</f>
        <v>5194278.1700261049</v>
      </c>
      <c r="H113" s="222">
        <f>'Perfil - interna'!H113</f>
        <v>4283155.2018501908</v>
      </c>
      <c r="I113" s="222">
        <f>'Perfil - interna'!I113</f>
        <v>3255484.4930525674</v>
      </c>
      <c r="J113" s="222">
        <f>'Perfil - interna'!J113</f>
        <v>2520367.9406738905</v>
      </c>
      <c r="K113" s="222">
        <f>'Perfil - interna'!K113</f>
        <v>1928587.3852819782</v>
      </c>
      <c r="L113" s="222">
        <f>'Perfil - interna'!L113</f>
        <v>1614027.4310412239</v>
      </c>
      <c r="M113" s="222">
        <f>'Perfil - interna'!M113</f>
        <v>1592038.0975524504</v>
      </c>
      <c r="N113" s="222">
        <f>'Perfil - interna'!N113</f>
        <v>1123529.8431525351</v>
      </c>
      <c r="O113" s="222">
        <f>'Perfil - interna'!O113</f>
        <v>343056.15153503651</v>
      </c>
      <c r="P113" s="222">
        <f>'Perfil - interna'!P113</f>
        <v>99356.215995458726</v>
      </c>
      <c r="Q113" s="222">
        <f>'Perfil - interna'!Q113</f>
        <v>102336.90241215518</v>
      </c>
      <c r="R113" s="222">
        <f>'Perfil - interna'!R113</f>
        <v>0</v>
      </c>
      <c r="S113" s="222">
        <f>'Perfil - interna'!S113</f>
        <v>0</v>
      </c>
      <c r="T113" s="222">
        <f>'Perfil - interna'!T113</f>
        <v>0</v>
      </c>
      <c r="U113" s="222">
        <f>'Perfil - interna'!U113</f>
        <v>0</v>
      </c>
      <c r="V113" s="222">
        <f>'Perfil - interna'!V113</f>
        <v>0</v>
      </c>
      <c r="W113" s="222">
        <f>'Perfil - interna'!W113</f>
        <v>0</v>
      </c>
      <c r="X113" s="222">
        <f>'Perfil - interna'!X113</f>
        <v>0</v>
      </c>
      <c r="Y113" s="222">
        <f>'Perfil - interna'!Y113</f>
        <v>0</v>
      </c>
      <c r="Z113" s="222">
        <f>'Perfil - interna'!Z113</f>
        <v>0</v>
      </c>
      <c r="AA113" s="222">
        <f>'Perfil - interna'!AA113</f>
        <v>0</v>
      </c>
      <c r="AB113" s="222">
        <f>'Perfil - interna'!AB113</f>
        <v>0</v>
      </c>
      <c r="AC113" s="222">
        <f>'Perfil - interna'!AC113</f>
        <v>0</v>
      </c>
      <c r="AD113" s="222">
        <f>'Perfil - interna'!AD113</f>
        <v>0</v>
      </c>
      <c r="AE113" s="222">
        <f>'Perfil - interna'!AE113</f>
        <v>0</v>
      </c>
      <c r="AF113" s="222">
        <f>'Perfil - interna'!AF113</f>
        <v>0</v>
      </c>
      <c r="AG113" s="222">
        <f>'Perfil - interna'!AG113</f>
        <v>0</v>
      </c>
      <c r="AH113" s="222">
        <f>'Perfil - interna'!AH113</f>
        <v>0</v>
      </c>
      <c r="AI113" s="222">
        <f>'Perfil - interna'!AI113</f>
        <v>0</v>
      </c>
      <c r="AJ113" s="222">
        <f>'Perfil - interna'!AJ113</f>
        <v>0</v>
      </c>
      <c r="AK113" s="222">
        <f>'Perfil - interna'!AK113</f>
        <v>0</v>
      </c>
      <c r="AL113" s="222">
        <f>'Perfil - interna'!AL113</f>
        <v>0</v>
      </c>
      <c r="AM113" s="222">
        <f>'Perfil - interna'!AM113</f>
        <v>0</v>
      </c>
      <c r="AN113" s="222">
        <f>'Perfil - interna'!AN113</f>
        <v>0</v>
      </c>
      <c r="AO113" s="222"/>
      <c r="AP113" s="222"/>
      <c r="AQ113" s="222"/>
      <c r="AR113" s="222"/>
      <c r="AS113" s="222"/>
      <c r="AT113" s="222"/>
      <c r="AU113" s="222"/>
      <c r="AV113" s="222"/>
      <c r="AW113" s="222"/>
      <c r="AX113" s="222"/>
      <c r="AY113" s="222"/>
      <c r="AZ113" s="222"/>
      <c r="BA113" s="222"/>
      <c r="BB113" s="222"/>
      <c r="BC113" s="222"/>
      <c r="BD113" s="222"/>
      <c r="BE113" s="222"/>
      <c r="BF113" s="222"/>
      <c r="BG113" s="222"/>
      <c r="BH113" s="222"/>
      <c r="BI113" s="222"/>
      <c r="BJ113" s="222"/>
      <c r="BK113" s="222"/>
    </row>
    <row r="114" spans="1:63">
      <c r="A114" s="171"/>
      <c r="B114" s="318" t="str">
        <f>Servicio_internaColumna_título_total</f>
        <v>Total</v>
      </c>
      <c r="C114" s="319">
        <f t="shared" ref="C114:AN114" si="30">+C113+C112</f>
        <v>0</v>
      </c>
      <c r="D114" s="320">
        <f t="shared" si="30"/>
        <v>0</v>
      </c>
      <c r="E114" s="320">
        <f t="shared" si="30"/>
        <v>0</v>
      </c>
      <c r="F114" s="320">
        <f t="shared" si="30"/>
        <v>15974771.547260538</v>
      </c>
      <c r="G114" s="320">
        <f t="shared" si="30"/>
        <v>13196599.137613978</v>
      </c>
      <c r="H114" s="320">
        <f t="shared" si="30"/>
        <v>12982764.798501428</v>
      </c>
      <c r="I114" s="320">
        <f t="shared" si="30"/>
        <v>10909998.733079368</v>
      </c>
      <c r="J114" s="320">
        <f t="shared" si="30"/>
        <v>8352921.2064477885</v>
      </c>
      <c r="K114" s="320">
        <f t="shared" si="30"/>
        <v>4975975.1330403965</v>
      </c>
      <c r="L114" s="320">
        <f t="shared" si="30"/>
        <v>3395635.6835419051</v>
      </c>
      <c r="M114" s="320">
        <f t="shared" si="30"/>
        <v>6628465.5387524506</v>
      </c>
      <c r="N114" s="320">
        <f t="shared" si="30"/>
        <v>8165517.5067525348</v>
      </c>
      <c r="O114" s="320">
        <f t="shared" si="30"/>
        <v>2990356.0608563763</v>
      </c>
      <c r="P114" s="320">
        <f t="shared" si="30"/>
        <v>99356.215996458719</v>
      </c>
      <c r="Q114" s="320">
        <f t="shared" si="30"/>
        <v>1083119.012412169</v>
      </c>
      <c r="R114" s="320">
        <f t="shared" si="30"/>
        <v>0</v>
      </c>
      <c r="S114" s="320">
        <f t="shared" si="30"/>
        <v>0</v>
      </c>
      <c r="T114" s="320">
        <f t="shared" si="30"/>
        <v>0</v>
      </c>
      <c r="U114" s="320">
        <f t="shared" si="30"/>
        <v>0</v>
      </c>
      <c r="V114" s="320">
        <f t="shared" si="30"/>
        <v>0</v>
      </c>
      <c r="W114" s="320">
        <f t="shared" si="30"/>
        <v>0</v>
      </c>
      <c r="X114" s="320">
        <f t="shared" si="30"/>
        <v>0</v>
      </c>
      <c r="Y114" s="320">
        <f t="shared" si="30"/>
        <v>0</v>
      </c>
      <c r="Z114" s="320">
        <f t="shared" si="30"/>
        <v>0</v>
      </c>
      <c r="AA114" s="320">
        <f t="shared" si="30"/>
        <v>0</v>
      </c>
      <c r="AB114" s="320">
        <f t="shared" si="30"/>
        <v>0</v>
      </c>
      <c r="AC114" s="320">
        <f t="shared" si="30"/>
        <v>0</v>
      </c>
      <c r="AD114" s="320">
        <f t="shared" si="30"/>
        <v>0</v>
      </c>
      <c r="AE114" s="320">
        <f t="shared" si="30"/>
        <v>0</v>
      </c>
      <c r="AF114" s="320">
        <f t="shared" si="30"/>
        <v>0</v>
      </c>
      <c r="AG114" s="320">
        <f t="shared" si="30"/>
        <v>0</v>
      </c>
      <c r="AH114" s="320">
        <f t="shared" si="30"/>
        <v>0</v>
      </c>
      <c r="AI114" s="320">
        <f t="shared" si="30"/>
        <v>0</v>
      </c>
      <c r="AJ114" s="320">
        <f t="shared" si="30"/>
        <v>0</v>
      </c>
      <c r="AK114" s="320">
        <f t="shared" si="30"/>
        <v>0</v>
      </c>
      <c r="AL114" s="320">
        <f t="shared" si="30"/>
        <v>0</v>
      </c>
      <c r="AM114" s="320">
        <f t="shared" si="30"/>
        <v>0</v>
      </c>
      <c r="AN114" s="320">
        <f t="shared" si="30"/>
        <v>0</v>
      </c>
      <c r="AO114" s="320"/>
      <c r="AP114" s="320"/>
      <c r="AQ114" s="320"/>
      <c r="AR114" s="320"/>
      <c r="AS114" s="320"/>
      <c r="AT114" s="320"/>
      <c r="AU114" s="320"/>
      <c r="AV114" s="320"/>
      <c r="AW114" s="320"/>
      <c r="AX114" s="320"/>
      <c r="AY114" s="320"/>
      <c r="AZ114" s="320"/>
      <c r="BA114" s="320"/>
      <c r="BB114" s="320"/>
      <c r="BC114" s="320"/>
      <c r="BD114" s="320"/>
      <c r="BE114" s="320"/>
      <c r="BF114" s="320"/>
      <c r="BG114" s="320"/>
      <c r="BH114" s="320"/>
      <c r="BI114" s="320"/>
      <c r="BJ114" s="320"/>
      <c r="BK114" s="320"/>
    </row>
    <row r="115" spans="1:63">
      <c r="A115" s="167"/>
      <c r="B115" s="217" t="str">
        <f>Servicio_internaColumna_título_amortizaciones</f>
        <v>Amortizaciones</v>
      </c>
      <c r="C115" s="218"/>
      <c r="D115" s="219"/>
      <c r="E115" s="219"/>
      <c r="F115" s="219">
        <f>IF('Perfil - interna'!F115+'Perfil - externa'!F113=0,0,'Perfil - interna'!F115+'Perfil - externa'!F113)</f>
        <v>12243205.824322449</v>
      </c>
      <c r="G115" s="219">
        <f>IF('Perfil - interna'!G115+'Perfil - externa'!G113=0,0,'Perfil - interna'!G115+'Perfil - externa'!G113)</f>
        <v>14350673.473554917</v>
      </c>
      <c r="H115" s="219">
        <f>IF('Perfil - interna'!H115+'Perfil - externa'!H113=0,0,'Perfil - interna'!H115+'Perfil - externa'!H113)</f>
        <v>14009613.424668686</v>
      </c>
      <c r="I115" s="219">
        <f>IF('Perfil - interna'!I115+'Perfil - externa'!I113=0,0,'Perfil - interna'!I115+'Perfil - externa'!I113)</f>
        <v>14443698.438915282</v>
      </c>
      <c r="J115" s="219">
        <f>IF('Perfil - interna'!J115+'Perfil - externa'!J113=0,0,'Perfil - interna'!J115+'Perfil - externa'!J113)</f>
        <v>13441961.857103778</v>
      </c>
      <c r="K115" s="219">
        <f>IF('Perfil - interna'!K115+'Perfil - externa'!K113=0,0,'Perfil - interna'!K115+'Perfil - externa'!K113)</f>
        <v>7791808.0876025436</v>
      </c>
      <c r="L115" s="219">
        <f>IF('Perfil - interna'!L115+'Perfil - externa'!L113=0,0,'Perfil - interna'!L115+'Perfil - externa'!L113)</f>
        <v>5796219.4369448368</v>
      </c>
      <c r="M115" s="219">
        <f>IF('Perfil - interna'!M115+'Perfil - externa'!M113=0,0,'Perfil - interna'!M115+'Perfil - externa'!M113)</f>
        <v>8153451.7449857183</v>
      </c>
      <c r="N115" s="219">
        <f>IF('Perfil - interna'!N115+'Perfil - externa'!N113=0,0,'Perfil - interna'!N115+'Perfil - externa'!N113)</f>
        <v>11037621.136567226</v>
      </c>
      <c r="O115" s="219">
        <f>IF('Perfil - interna'!O115+'Perfil - externa'!O113=0,0,'Perfil - interna'!O115+'Perfil - externa'!O113)</f>
        <v>6120083.6536213402</v>
      </c>
      <c r="P115" s="219">
        <f>IF('Perfil - interna'!P115+'Perfil - externa'!P113=0,0,'Perfil - interna'!P115+'Perfil - externa'!P113)</f>
        <v>1874413.5500009998</v>
      </c>
      <c r="Q115" s="219">
        <f>IF('Perfil - interna'!Q115+'Perfil - externa'!Q113=0,0,'Perfil - interna'!Q115+'Perfil - externa'!Q113)</f>
        <v>2436188.9100000141</v>
      </c>
      <c r="R115" s="219">
        <f>IF('Perfil - interna'!R115+'Perfil - externa'!R113=0,0,'Perfil - interna'!R115+'Perfil - externa'!R113)</f>
        <v>1467221.45</v>
      </c>
      <c r="S115" s="219">
        <f>IF('Perfil - interna'!S115+'Perfil - externa'!S113=0,0,'Perfil - interna'!S115+'Perfil - externa'!S113)</f>
        <v>628025.63</v>
      </c>
      <c r="T115" s="219">
        <f>IF('Perfil - interna'!T115+'Perfil - externa'!T113=0,0,'Perfil - interna'!T115+'Perfil - externa'!T113)</f>
        <v>504614.48</v>
      </c>
      <c r="U115" s="219">
        <f>IF('Perfil - interna'!U115+'Perfil - externa'!U113=0,0,'Perfil - interna'!U115+'Perfil - externa'!U113)</f>
        <v>460734.96</v>
      </c>
      <c r="V115" s="219">
        <f>IF('Perfil - interna'!V115+'Perfil - externa'!V113=0,0,'Perfil - interna'!V115+'Perfil - externa'!V113)</f>
        <v>3310161.29</v>
      </c>
      <c r="W115" s="219">
        <f>IF('Perfil - interna'!W115+'Perfil - externa'!W113=0,0,'Perfil - interna'!W115+'Perfil - externa'!W113)</f>
        <v>353778.63</v>
      </c>
      <c r="X115" s="219">
        <f>IF('Perfil - interna'!X115+'Perfil - externa'!X113=0,0,'Perfil - interna'!X115+'Perfil - externa'!X113)</f>
        <v>202942.78</v>
      </c>
      <c r="Y115" s="219">
        <f>IF('Perfil - interna'!Y115+'Perfil - externa'!Y113=0,0,'Perfil - interna'!Y115+'Perfil - externa'!Y113)</f>
        <v>170033.14</v>
      </c>
      <c r="Z115" s="219">
        <f>IF('Perfil - interna'!Z115+'Perfil - externa'!Z113=0,0,'Perfil - interna'!Z115+'Perfil - externa'!Z113)</f>
        <v>1458994.04</v>
      </c>
      <c r="AA115" s="219">
        <f>IF('Perfil - interna'!AA115+'Perfil - externa'!AA113=0,0,'Perfil - interna'!AA115+'Perfil - externa'!AA113)</f>
        <v>65819.28</v>
      </c>
      <c r="AB115" s="219">
        <f>IF('Perfil - interna'!AB115+'Perfil - externa'!AB113=0,0,'Perfil - interna'!AB115+'Perfil - externa'!AB113)</f>
        <v>46621.99</v>
      </c>
      <c r="AC115" s="219">
        <f>IF('Perfil - interna'!AC115+'Perfil - externa'!AC113=0,0,'Perfil - interna'!AC115+'Perfil - externa'!AC113)</f>
        <v>606085.87</v>
      </c>
      <c r="AD115" s="219">
        <f>IF('Perfil - interna'!AD115+'Perfil - externa'!AD113=0,0,'Perfil - interna'!AD115+'Perfil - externa'!AD113)</f>
        <v>49364.46</v>
      </c>
      <c r="AE115" s="219">
        <f>IF('Perfil - interna'!AE115+'Perfil - externa'!AE113=0,0,'Perfil - interna'!AE115+'Perfil - externa'!AE113)</f>
        <v>16454.82</v>
      </c>
      <c r="AF115" s="219">
        <f>IF('Perfil - interna'!AF115+'Perfil - externa'!AF113=0,0,'Perfil - interna'!AF115+'Perfil - externa'!AF113)</f>
        <v>5484.94</v>
      </c>
      <c r="AG115" s="219">
        <f>IF('Perfil - interna'!AG115+'Perfil - externa'!AG113=0,0,'Perfil - interna'!AG115+'Perfil - externa'!AG113)</f>
        <v>5484.94</v>
      </c>
      <c r="AH115" s="219">
        <f>IF('Perfil - interna'!AH115+'Perfil - externa'!AH113=0,0,'Perfil - interna'!AH115+'Perfil - externa'!AH113)</f>
        <v>5484.94</v>
      </c>
      <c r="AI115" s="219">
        <f>IF('Perfil - interna'!AI115+'Perfil - externa'!AI113=0,0,'Perfil - interna'!AI115+'Perfil - externa'!AI113)</f>
        <v>1746953.39</v>
      </c>
      <c r="AJ115" s="219">
        <f>IF('Perfil - interna'!AJ115+'Perfil - externa'!AJ113=0,0,'Perfil - interna'!AJ115+'Perfil - externa'!AJ113)</f>
        <v>5484.94</v>
      </c>
      <c r="AK115" s="219">
        <f>IF('Perfil - interna'!AK115+'Perfil - externa'!AK113=0,0,'Perfil - interna'!AK115+'Perfil - externa'!AK113)</f>
        <v>0</v>
      </c>
      <c r="AL115" s="219">
        <f>IF('Perfil - interna'!AL115+'Perfil - externa'!AL113=0,0,'Perfil - interna'!AL115+'Perfil - externa'!AL113)</f>
        <v>0</v>
      </c>
      <c r="AM115" s="219">
        <f>IF('Perfil - interna'!AM115+'Perfil - externa'!AM113=0,0,'Perfil - interna'!AM115+'Perfil - externa'!AM113)</f>
        <v>0</v>
      </c>
      <c r="AN115" s="219">
        <f>'Perfil - interna'!AN115</f>
        <v>0</v>
      </c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</row>
    <row r="116" spans="1:63">
      <c r="A116" s="170">
        <v>38017</v>
      </c>
      <c r="B116" s="220" t="str">
        <f>Servicio_internaColumna_título_intereses</f>
        <v>Intereses</v>
      </c>
      <c r="C116" s="221"/>
      <c r="D116" s="222"/>
      <c r="E116" s="222"/>
      <c r="F116" s="222">
        <f>IF('Perfil - interna'!F116+'Perfil - externa'!F114=0,0,'Perfil - interna'!F116+'Perfil - externa'!F114)</f>
        <v>9401261.3011120763</v>
      </c>
      <c r="G116" s="222">
        <f>IF('Perfil - interna'!G116+'Perfil - externa'!G114=0,0,'Perfil - interna'!G116+'Perfil - externa'!G114)</f>
        <v>11935043.212040905</v>
      </c>
      <c r="H116" s="222">
        <f>IF('Perfil - interna'!H116+'Perfil - externa'!H114=0,0,'Perfil - interna'!H116+'Perfil - externa'!H114)</f>
        <v>8658279.0682851151</v>
      </c>
      <c r="I116" s="222">
        <f>IF('Perfil - interna'!I116+'Perfil - externa'!I114=0,0,'Perfil - interna'!I116+'Perfil - externa'!I114)</f>
        <v>8680514.487600632</v>
      </c>
      <c r="J116" s="222">
        <f>IF('Perfil - interna'!J116+'Perfil - externa'!J114=0,0,'Perfil - interna'!J116+'Perfil - externa'!J114)</f>
        <v>6231569.0589874014</v>
      </c>
      <c r="K116" s="222">
        <f>IF('Perfil - interna'!K116+'Perfil - externa'!K114=0,0,'Perfil - interna'!K116+'Perfil - externa'!K114)</f>
        <v>6105361.5582058802</v>
      </c>
      <c r="L116" s="222">
        <f>IF('Perfil - interna'!L116+'Perfil - externa'!L114=0,0,'Perfil - interna'!L116+'Perfil - externa'!L114)</f>
        <v>7343224.5434761988</v>
      </c>
      <c r="M116" s="222">
        <f>IF('Perfil - interna'!M116+'Perfil - externa'!M114=0,0,'Perfil - interna'!M116+'Perfil - externa'!M114)</f>
        <v>5955223.2899702378</v>
      </c>
      <c r="N116" s="222">
        <f>IF('Perfil - interna'!N116+'Perfil - externa'!N114=0,0,'Perfil - interna'!N116+'Perfil - externa'!N114)</f>
        <v>4140919.5143462364</v>
      </c>
      <c r="O116" s="222">
        <f>IF('Perfil - interna'!O116+'Perfil - externa'!O114=0,0,'Perfil - interna'!O116+'Perfil - externa'!O114)</f>
        <v>2864507.5497286348</v>
      </c>
      <c r="P116" s="222">
        <f>IF('Perfil - interna'!P116+'Perfil - externa'!P114=0,0,'Perfil - interna'!P116+'Perfil - externa'!P114)</f>
        <v>3682243.0298214643</v>
      </c>
      <c r="Q116" s="222">
        <f>IF('Perfil - interna'!Q116+'Perfil - externa'!Q114=0,0,'Perfil - interna'!Q116+'Perfil - externa'!Q114)</f>
        <v>1124122.4625726587</v>
      </c>
      <c r="R116" s="222">
        <f>IF('Perfil - interna'!R116+'Perfil - externa'!R114=0,0,'Perfil - interna'!R116+'Perfil - externa'!R114)</f>
        <v>924212.39</v>
      </c>
      <c r="S116" s="222">
        <f>IF('Perfil - interna'!S116+'Perfil - externa'!S114=0,0,'Perfil - interna'!S116+'Perfil - externa'!S114)</f>
        <v>880332.87</v>
      </c>
      <c r="T116" s="222">
        <f>IF('Perfil - interna'!T116+'Perfil - externa'!T114=0,0,'Perfil - interna'!T116+'Perfil - externa'!T114)</f>
        <v>1184747.04</v>
      </c>
      <c r="U116" s="222">
        <f>IF('Perfil - interna'!U116+'Perfil - externa'!U114=0,0,'Perfil - interna'!U116+'Perfil - externa'!U114)</f>
        <v>485417.19</v>
      </c>
      <c r="V116" s="222">
        <f>IF('Perfil - interna'!V116+'Perfil - externa'!V114=0,0,'Perfil - interna'!V116+'Perfil - externa'!V114)</f>
        <v>411370.5</v>
      </c>
      <c r="W116" s="222">
        <f>IF('Perfil - interna'!W116+'Perfil - externa'!W114=0,0,'Perfil - interna'!W116+'Perfil - externa'!W114)</f>
        <v>381203.33</v>
      </c>
      <c r="X116" s="222">
        <f>IF('Perfil - interna'!X116+'Perfil - externa'!X114=0,0,'Perfil - interna'!X116+'Perfil - externa'!X114)</f>
        <v>3285479.06</v>
      </c>
      <c r="Y116" s="222">
        <f>IF('Perfil - interna'!Y116+'Perfil - externa'!Y114=0,0,'Perfil - interna'!Y116+'Perfil - externa'!Y114)</f>
        <v>307156.64</v>
      </c>
      <c r="Z116" s="222">
        <f>IF('Perfil - interna'!Z116+'Perfil - externa'!Z114=0,0,'Perfil - interna'!Z116+'Perfil - externa'!Z114)</f>
        <v>153578.32</v>
      </c>
      <c r="AA116" s="222">
        <f>IF('Perfil - interna'!AA116+'Perfil - externa'!AA114=0,0,'Perfil - interna'!AA116+'Perfil - externa'!AA114)</f>
        <v>115183.74</v>
      </c>
      <c r="AB116" s="222">
        <f>IF('Perfil - interna'!AB116+'Perfil - externa'!AB114=0,0,'Perfil - interna'!AB116+'Perfil - externa'!AB114)</f>
        <v>104213.86</v>
      </c>
      <c r="AC116" s="222">
        <f>IF('Perfil - interna'!AC116+'Perfil - externa'!AC114=0,0,'Perfil - interna'!AC116+'Perfil - externa'!AC114)</f>
        <v>90501.51</v>
      </c>
      <c r="AD116" s="222">
        <f>IF('Perfil - interna'!AD116+'Perfil - externa'!AD114=0,0,'Perfil - interna'!AD116+'Perfil - externa'!AD114)</f>
        <v>74046.69</v>
      </c>
      <c r="AE116" s="222">
        <f>IF('Perfil - interna'!AE116+'Perfil - externa'!AE114=0,0,'Perfil - interna'!AE116+'Perfil - externa'!AE114)</f>
        <v>628025.63</v>
      </c>
      <c r="AF116" s="222">
        <f>IF('Perfil - interna'!AF116+'Perfil - externa'!AF114=0,0,'Perfil - interna'!AF116+'Perfil - externa'!AF114)</f>
        <v>71304.22</v>
      </c>
      <c r="AG116" s="222">
        <f>IF('Perfil - interna'!AG116+'Perfil - externa'!AG114=0,0,'Perfil - interna'!AG116+'Perfil - externa'!AG114)</f>
        <v>46621.99</v>
      </c>
      <c r="AH116" s="222">
        <f>IF('Perfil - interna'!AH116+'Perfil - externa'!AH114=0,0,'Perfil - interna'!AH116+'Perfil - externa'!AH114)</f>
        <v>46621.99</v>
      </c>
      <c r="AI116" s="222">
        <f>IF('Perfil - interna'!AI116+'Perfil - externa'!AI114=0,0,'Perfil - interna'!AI116+'Perfil - externa'!AI114)</f>
        <v>0</v>
      </c>
      <c r="AJ116" s="222">
        <f>IF('Perfil - interna'!AJ116+'Perfil - externa'!AJ114=0,0,'Perfil - interna'!AJ116+'Perfil - externa'!AJ114)</f>
        <v>0</v>
      </c>
      <c r="AK116" s="222">
        <f>IF('Perfil - interna'!AK116+'Perfil - externa'!AK114=0,0,'Perfil - interna'!AK116+'Perfil - externa'!AK114)</f>
        <v>0</v>
      </c>
      <c r="AL116" s="222">
        <f>IF('Perfil - interna'!AL116+'Perfil - externa'!AL114=0,0,'Perfil - interna'!AL116+'Perfil - externa'!AL114)</f>
        <v>0</v>
      </c>
      <c r="AM116" s="222">
        <f>IF('Perfil - interna'!AM116+'Perfil - externa'!AM114=0,0,'Perfil - interna'!AM116+'Perfil - externa'!AM114)</f>
        <v>0</v>
      </c>
      <c r="AN116" s="222">
        <f>'Perfil - interna'!AN116</f>
        <v>0</v>
      </c>
      <c r="AO116" s="222"/>
      <c r="AP116" s="222"/>
      <c r="AQ116" s="222"/>
      <c r="AR116" s="222"/>
      <c r="AS116" s="222"/>
      <c r="AT116" s="222"/>
      <c r="AU116" s="222"/>
      <c r="AV116" s="222"/>
      <c r="AW116" s="222"/>
      <c r="AX116" s="222"/>
      <c r="AY116" s="222"/>
      <c r="AZ116" s="222"/>
      <c r="BA116" s="222"/>
      <c r="BB116" s="222"/>
      <c r="BC116" s="222"/>
      <c r="BD116" s="222"/>
      <c r="BE116" s="222"/>
      <c r="BF116" s="222"/>
      <c r="BG116" s="222"/>
      <c r="BH116" s="222"/>
      <c r="BI116" s="222"/>
      <c r="BJ116" s="222"/>
      <c r="BK116" s="222"/>
    </row>
    <row r="117" spans="1:63">
      <c r="A117" s="171"/>
      <c r="B117" s="318" t="str">
        <f>Servicio_internaColumna_título_total</f>
        <v>Total</v>
      </c>
      <c r="C117" s="319"/>
      <c r="D117" s="320"/>
      <c r="E117" s="320"/>
      <c r="F117" s="320">
        <f>IF('Perfil - interna'!F117+'Perfil - externa'!F115=0,0,'Perfil - interna'!F117+'Perfil - externa'!F115)</f>
        <v>21644467.125434525</v>
      </c>
      <c r="G117" s="320">
        <f>IF('Perfil - interna'!G117+'Perfil - externa'!G115=0,0,'Perfil - interna'!G117+'Perfil - externa'!G115)</f>
        <v>26285716.685595822</v>
      </c>
      <c r="H117" s="320">
        <f>IF('Perfil - interna'!H117+'Perfil - externa'!H115=0,0,'Perfil - interna'!H117+'Perfil - externa'!H115)</f>
        <v>22667892.4929538</v>
      </c>
      <c r="I117" s="320">
        <f>IF('Perfil - interna'!I117+'Perfil - externa'!I115=0,0,'Perfil - interna'!I117+'Perfil - externa'!I115)</f>
        <v>23124212.926515914</v>
      </c>
      <c r="J117" s="320">
        <f>IF('Perfil - interna'!J117+'Perfil - externa'!J115=0,0,'Perfil - interna'!J117+'Perfil - externa'!J115)</f>
        <v>19673530.916091181</v>
      </c>
      <c r="K117" s="320">
        <f>IF('Perfil - interna'!K117+'Perfil - externa'!K115=0,0,'Perfil - interna'!K117+'Perfil - externa'!K115)</f>
        <v>13897169.645808425</v>
      </c>
      <c r="L117" s="320">
        <f>IF('Perfil - interna'!L117+'Perfil - externa'!L115=0,0,'Perfil - interna'!L117+'Perfil - externa'!L115)</f>
        <v>13139443.980421035</v>
      </c>
      <c r="M117" s="320">
        <f>IF('Perfil - interna'!M117+'Perfil - externa'!M115=0,0,'Perfil - interna'!M117+'Perfil - externa'!M115)</f>
        <v>14108675.034955956</v>
      </c>
      <c r="N117" s="320">
        <f>IF('Perfil - interna'!N117+'Perfil - externa'!N115=0,0,'Perfil - interna'!N117+'Perfil - externa'!N115)</f>
        <v>15178540.650913462</v>
      </c>
      <c r="O117" s="320">
        <f>IF('Perfil - interna'!O117+'Perfil - externa'!O115=0,0,'Perfil - interna'!O117+'Perfil - externa'!O115)</f>
        <v>8984591.203349974</v>
      </c>
      <c r="P117" s="320">
        <f>IF('Perfil - interna'!P117+'Perfil - externa'!P115=0,0,'Perfil - interna'!P117+'Perfil - externa'!P115)</f>
        <v>5556656.5798224648</v>
      </c>
      <c r="Q117" s="320">
        <f>IF('Perfil - interna'!Q117+'Perfil - externa'!Q115=0,0,'Perfil - interna'!Q117+'Perfil - externa'!Q115)</f>
        <v>3560311.3725726726</v>
      </c>
      <c r="R117" s="320">
        <f>IF('Perfil - interna'!R117+'Perfil - externa'!R115=0,0,'Perfil - interna'!R117+'Perfil - externa'!R115)</f>
        <v>2391433.84</v>
      </c>
      <c r="S117" s="320">
        <f>IF('Perfil - interna'!S117+'Perfil - externa'!S115=0,0,'Perfil - interna'!S117+'Perfil - externa'!S115)</f>
        <v>1508358.5</v>
      </c>
      <c r="T117" s="320">
        <f>IF('Perfil - interna'!T117+'Perfil - externa'!T115=0,0,'Perfil - interna'!T117+'Perfil - externa'!T115)</f>
        <v>1689361.52</v>
      </c>
      <c r="U117" s="320">
        <f>IF('Perfil - interna'!U117+'Perfil - externa'!U115=0,0,'Perfil - interna'!U117+'Perfil - externa'!U115)</f>
        <v>946152.15</v>
      </c>
      <c r="V117" s="320">
        <f>IF('Perfil - interna'!V117+'Perfil - externa'!V115=0,0,'Perfil - interna'!V117+'Perfil - externa'!V115)</f>
        <v>3721531.79</v>
      </c>
      <c r="W117" s="320">
        <f>IF('Perfil - interna'!W117+'Perfil - externa'!W115=0,0,'Perfil - interna'!W117+'Perfil - externa'!W115)</f>
        <v>734981.96</v>
      </c>
      <c r="X117" s="320">
        <f>IF('Perfil - interna'!X117+'Perfil - externa'!X115=0,0,'Perfil - interna'!X117+'Perfil - externa'!X115)</f>
        <v>3488421.84</v>
      </c>
      <c r="Y117" s="320">
        <f>IF('Perfil - interna'!Y117+'Perfil - externa'!Y115=0,0,'Perfil - interna'!Y117+'Perfil - externa'!Y115)</f>
        <v>477189.78</v>
      </c>
      <c r="Z117" s="320">
        <f>IF('Perfil - interna'!Z117+'Perfil - externa'!Z115=0,0,'Perfil - interna'!Z117+'Perfil - externa'!Z115)</f>
        <v>1612572.36</v>
      </c>
      <c r="AA117" s="320">
        <f>IF('Perfil - interna'!AA117+'Perfil - externa'!AA115=0,0,'Perfil - interna'!AA117+'Perfil - externa'!AA115)</f>
        <v>181003.02000000002</v>
      </c>
      <c r="AB117" s="320">
        <f>IF('Perfil - interna'!AB117+'Perfil - externa'!AB115=0,0,'Perfil - interna'!AB117+'Perfil - externa'!AB115)</f>
        <v>150835.85</v>
      </c>
      <c r="AC117" s="320">
        <f>IF('Perfil - interna'!AC117+'Perfil - externa'!AC115=0,0,'Perfil - interna'!AC117+'Perfil - externa'!AC115)</f>
        <v>696587.38</v>
      </c>
      <c r="AD117" s="320">
        <f>IF('Perfil - interna'!AD117+'Perfil - externa'!AD115=0,0,'Perfil - interna'!AD117+'Perfil - externa'!AD115)</f>
        <v>123411.15</v>
      </c>
      <c r="AE117" s="320">
        <f>IF('Perfil - interna'!AE117+'Perfil - externa'!AE115=0,0,'Perfil - interna'!AE117+'Perfil - externa'!AE115)</f>
        <v>644480.44999999995</v>
      </c>
      <c r="AF117" s="320">
        <f>IF('Perfil - interna'!AF117+'Perfil - externa'!AF115=0,0,'Perfil - interna'!AF117+'Perfil - externa'!AF115)</f>
        <v>76789.16</v>
      </c>
      <c r="AG117" s="320">
        <f>IF('Perfil - interna'!AG117+'Perfil - externa'!AG115=0,0,'Perfil - interna'!AG117+'Perfil - externa'!AG115)</f>
        <v>52106.93</v>
      </c>
      <c r="AH117" s="320">
        <f>IF('Perfil - interna'!AH117+'Perfil - externa'!AH115=0,0,'Perfil - interna'!AH117+'Perfil - externa'!AH115)</f>
        <v>52106.93</v>
      </c>
      <c r="AI117" s="320">
        <f>IF('Perfil - interna'!AI117+'Perfil - externa'!AI115=0,0,'Perfil - interna'!AI117+'Perfil - externa'!AI115)</f>
        <v>1746953.39</v>
      </c>
      <c r="AJ117" s="320">
        <f>IF('Perfil - interna'!AJ117+'Perfil - externa'!AJ115=0,0,'Perfil - interna'!AJ117+'Perfil - externa'!AJ115)</f>
        <v>5484.94</v>
      </c>
      <c r="AK117" s="320">
        <f>IF('Perfil - interna'!AK117+'Perfil - externa'!AK115=0,0,'Perfil - interna'!AK117+'Perfil - externa'!AK115)</f>
        <v>0</v>
      </c>
      <c r="AL117" s="320">
        <f>IF('Perfil - interna'!AL117+'Perfil - externa'!AL115=0,0,'Perfil - interna'!AL117+'Perfil - externa'!AL115)</f>
        <v>0</v>
      </c>
      <c r="AM117" s="320">
        <f>IF('Perfil - interna'!AM117+'Perfil - externa'!AM115=0,0,'Perfil - interna'!AM117+'Perfil - externa'!AM115)</f>
        <v>0</v>
      </c>
      <c r="AN117" s="320">
        <f>+AN116+AN115</f>
        <v>0</v>
      </c>
      <c r="AO117" s="320"/>
      <c r="AP117" s="320"/>
      <c r="AQ117" s="320"/>
      <c r="AR117" s="320"/>
      <c r="AS117" s="320"/>
      <c r="AT117" s="320"/>
      <c r="AU117" s="320"/>
      <c r="AV117" s="320"/>
      <c r="AW117" s="320"/>
      <c r="AX117" s="320"/>
      <c r="AY117" s="320"/>
      <c r="AZ117" s="320"/>
      <c r="BA117" s="320"/>
      <c r="BB117" s="320"/>
      <c r="BC117" s="320"/>
      <c r="BD117" s="320"/>
      <c r="BE117" s="320"/>
      <c r="BF117" s="320"/>
      <c r="BG117" s="320"/>
      <c r="BH117" s="320"/>
      <c r="BI117" s="320"/>
      <c r="BJ117" s="320"/>
      <c r="BK117" s="320"/>
    </row>
    <row r="118" spans="1:63">
      <c r="A118" s="167"/>
      <c r="B118" s="217" t="str">
        <f>Servicio_internaColumna_título_amortizaciones</f>
        <v>Amortizaciones</v>
      </c>
      <c r="C118" s="218"/>
      <c r="D118" s="219"/>
      <c r="E118" s="219"/>
      <c r="F118" s="219">
        <f>IF('Perfil - interna'!F118+'Perfil - externa'!F116=0,0,'Perfil - interna'!F118+'Perfil - externa'!F116)</f>
        <v>12074620.382826693</v>
      </c>
      <c r="G118" s="219">
        <f>IF('Perfil - interna'!G118+'Perfil - externa'!G116=0,0,'Perfil - interna'!G118+'Perfil - externa'!G116)</f>
        <v>14460047.273622699</v>
      </c>
      <c r="H118" s="219">
        <f>IF('Perfil - interna'!H118+'Perfil - externa'!H116=0,0,'Perfil - interna'!H118+'Perfil - externa'!H116)</f>
        <v>13860012.079628902</v>
      </c>
      <c r="I118" s="219">
        <f>IF('Perfil - interna'!I118+'Perfil - externa'!I116=0,0,'Perfil - interna'!I118+'Perfil - externa'!I116)</f>
        <v>14740654.435244098</v>
      </c>
      <c r="J118" s="219">
        <f>IF('Perfil - interna'!J118+'Perfil - externa'!J116=0,0,'Perfil - interna'!J118+'Perfil - externa'!J116)</f>
        <v>13538463.454267085</v>
      </c>
      <c r="K118" s="219">
        <f>IF('Perfil - interna'!K118+'Perfil - externa'!K116=0,0,'Perfil - interna'!K118+'Perfil - externa'!K116)</f>
        <v>7685586.7770813378</v>
      </c>
      <c r="L118" s="219">
        <f>IF('Perfil - interna'!L118+'Perfil - externa'!L116=0,0,'Perfil - interna'!L118+'Perfil - externa'!L116)</f>
        <v>6069587.8560219426</v>
      </c>
      <c r="M118" s="219">
        <f>IF('Perfil - interna'!M118+'Perfil - externa'!M116=0,0,'Perfil - interna'!M118+'Perfil - externa'!M116)</f>
        <v>8080418.0631862003</v>
      </c>
      <c r="N118" s="219">
        <f>IF('Perfil - interna'!N118+'Perfil - externa'!N116=0,0,'Perfil - interna'!N118+'Perfil - externa'!N116)</f>
        <v>11187757.247093823</v>
      </c>
      <c r="O118" s="219">
        <f>IF('Perfil - interna'!O118+'Perfil - externa'!O116=0,0,'Perfil - interna'!O118+'Perfil - externa'!O116)</f>
        <v>6039328.1971213408</v>
      </c>
      <c r="P118" s="219">
        <f>IF('Perfil - interna'!P118+'Perfil - externa'!P116=0,0,'Perfil - interna'!P118+'Perfil - externa'!P116)</f>
        <v>1837220.1000010001</v>
      </c>
      <c r="Q118" s="219">
        <f>IF('Perfil - interna'!Q118+'Perfil - externa'!Q116=0,0,'Perfil - interna'!Q118+'Perfil - externa'!Q116)</f>
        <v>2403782.3384149866</v>
      </c>
      <c r="R118" s="219">
        <f>IF('Perfil - interna'!R118+'Perfil - externa'!R116=0,0,'Perfil - interna'!R118+'Perfil - externa'!R116)</f>
        <v>1437298.9</v>
      </c>
      <c r="S118" s="219">
        <f>IF('Perfil - interna'!S118+'Perfil - externa'!S116=0,0,'Perfil - interna'!S118+'Perfil - externa'!S116)</f>
        <v>615217.66</v>
      </c>
      <c r="T118" s="219">
        <f>IF('Perfil - interna'!T118+'Perfil - externa'!T116=0,0,'Perfil - interna'!T118+'Perfil - externa'!T116)</f>
        <v>494323.36</v>
      </c>
      <c r="U118" s="219">
        <f>IF('Perfil - interna'!U118+'Perfil - externa'!U116=0,0,'Perfil - interna'!U118+'Perfil - externa'!U116)</f>
        <v>451338.72</v>
      </c>
      <c r="V118" s="219">
        <f>IF('Perfil - interna'!V118+'Perfil - externa'!V116=0,0,'Perfil - interna'!V118+'Perfil - externa'!V116)</f>
        <v>3242653.78</v>
      </c>
      <c r="W118" s="219">
        <f>IF('Perfil - interna'!W118+'Perfil - externa'!W116=0,0,'Perfil - interna'!W118+'Perfil - externa'!W116)</f>
        <v>346563.66</v>
      </c>
      <c r="X118" s="219">
        <f>IF('Perfil - interna'!X118+'Perfil - externa'!X116=0,0,'Perfil - interna'!X118+'Perfil - externa'!X116)</f>
        <v>198803.96</v>
      </c>
      <c r="Y118" s="219">
        <f>IF('Perfil - interna'!Y118+'Perfil - externa'!Y116=0,0,'Perfil - interna'!Y118+'Perfil - externa'!Y116)</f>
        <v>166565.48000000001</v>
      </c>
      <c r="Z118" s="219">
        <f>IF('Perfil - interna'!Z118+'Perfil - externa'!Z116=0,0,'Perfil - interna'!Z118+'Perfil - externa'!Z116)</f>
        <v>1429239.28</v>
      </c>
      <c r="AA118" s="219">
        <f>IF('Perfil - interna'!AA118+'Perfil - externa'!AA116=0,0,'Perfil - interna'!AA118+'Perfil - externa'!AA116)</f>
        <v>64476.959999999999</v>
      </c>
      <c r="AB118" s="219">
        <f>IF('Perfil - interna'!AB118+'Perfil - externa'!AB116=0,0,'Perfil - interna'!AB118+'Perfil - externa'!AB116)</f>
        <v>45671.18</v>
      </c>
      <c r="AC118" s="219">
        <f>IF('Perfil - interna'!AC118+'Perfil - externa'!AC116=0,0,'Perfil - interna'!AC118+'Perfil - externa'!AC116)</f>
        <v>593725.34</v>
      </c>
      <c r="AD118" s="219">
        <f>IF('Perfil - interna'!AD118+'Perfil - externa'!AD116=0,0,'Perfil - interna'!AD118+'Perfil - externa'!AD116)</f>
        <v>48357.72</v>
      </c>
      <c r="AE118" s="219">
        <f>IF('Perfil - interna'!AE118+'Perfil - externa'!AE116=0,0,'Perfil - interna'!AE118+'Perfil - externa'!AE116)</f>
        <v>16119.24</v>
      </c>
      <c r="AF118" s="219">
        <f>IF('Perfil - interna'!AF118+'Perfil - externa'!AF116=0,0,'Perfil - interna'!AF118+'Perfil - externa'!AF116)</f>
        <v>5373.08</v>
      </c>
      <c r="AG118" s="219">
        <f>IF('Perfil - interna'!AG118+'Perfil - externa'!AG116=0,0,'Perfil - interna'!AG118+'Perfil - externa'!AG116)</f>
        <v>5373.08</v>
      </c>
      <c r="AH118" s="219">
        <f>IF('Perfil - interna'!AH118+'Perfil - externa'!AH116=0,0,'Perfil - interna'!AH118+'Perfil - externa'!AH116)</f>
        <v>5373.08</v>
      </c>
      <c r="AI118" s="219">
        <f>IF('Perfil - interna'!AI118+'Perfil - externa'!AI116=0,0,'Perfil - interna'!AI118+'Perfil - externa'!AI116)</f>
        <v>1711325.98</v>
      </c>
      <c r="AJ118" s="219">
        <f>IF('Perfil - interna'!AJ118+'Perfil - externa'!AJ116=0,0,'Perfil - interna'!AJ118+'Perfil - externa'!AJ116)</f>
        <v>5373.08</v>
      </c>
      <c r="AK118" s="219">
        <f>IF('Perfil - interna'!AK118+'Perfil - externa'!AK116=0,0,'Perfil - interna'!AK118+'Perfil - externa'!AK116)</f>
        <v>0</v>
      </c>
      <c r="AL118" s="219">
        <f>IF('Perfil - interna'!AL118+'Perfil - externa'!AL116=0,0,'Perfil - interna'!AL118+'Perfil - externa'!AL116)</f>
        <v>0</v>
      </c>
      <c r="AM118" s="219">
        <f>IF('Perfil - interna'!AM118+'Perfil - externa'!AM116=0,0,'Perfil - interna'!AM118+'Perfil - externa'!AM116)</f>
        <v>0</v>
      </c>
      <c r="AN118" s="219">
        <f>'Perfil - interna'!AN118</f>
        <v>0</v>
      </c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</row>
    <row r="119" spans="1:63">
      <c r="A119" s="170">
        <v>38046</v>
      </c>
      <c r="B119" s="220" t="str">
        <f>Servicio_internaColumna_título_intereses</f>
        <v>Intereses</v>
      </c>
      <c r="C119" s="221"/>
      <c r="D119" s="222"/>
      <c r="E119" s="222"/>
      <c r="F119" s="222">
        <f>IF('Perfil - interna'!F119+'Perfil - externa'!F117=0,0,'Perfil - interna'!F119+'Perfil - externa'!F117)</f>
        <v>9426811.7304685712</v>
      </c>
      <c r="G119" s="222">
        <f>IF('Perfil - interna'!G119+'Perfil - externa'!G117=0,0,'Perfil - interna'!G119+'Perfil - externa'!G117)</f>
        <v>11941367.89052199</v>
      </c>
      <c r="H119" s="222">
        <f>IF('Perfil - interna'!H119+'Perfil - externa'!H117=0,0,'Perfil - interna'!H119+'Perfil - externa'!H117)</f>
        <v>8692832.5802062508</v>
      </c>
      <c r="I119" s="222">
        <f>IF('Perfil - interna'!I119+'Perfil - externa'!I117=0,0,'Perfil - interna'!I119+'Perfil - externa'!I117)</f>
        <v>8696683.9056339785</v>
      </c>
      <c r="J119" s="222">
        <f>IF('Perfil - interna'!J119+'Perfil - externa'!J117=0,0,'Perfil - interna'!J119+'Perfil - externa'!J117)</f>
        <v>6278805.0295405472</v>
      </c>
      <c r="K119" s="222">
        <f>IF('Perfil - interna'!K119+'Perfil - externa'!K117=0,0,'Perfil - interna'!K119+'Perfil - externa'!K117)</f>
        <v>6091916.3985002358</v>
      </c>
      <c r="L119" s="222">
        <f>IF('Perfil - interna'!L119+'Perfil - externa'!L117=0,0,'Perfil - interna'!L119+'Perfil - externa'!L117)</f>
        <v>7300322.2653039806</v>
      </c>
      <c r="M119" s="222">
        <f>IF('Perfil - interna'!M119+'Perfil - externa'!M117=0,0,'Perfil - interna'!M119+'Perfil - externa'!M117)</f>
        <v>5897137.2033912102</v>
      </c>
      <c r="N119" s="222">
        <f>IF('Perfil - interna'!N119+'Perfil - externa'!N117=0,0,'Perfil - interna'!N119+'Perfil - externa'!N117)</f>
        <v>4110237.6833809926</v>
      </c>
      <c r="O119" s="222">
        <f>IF('Perfil - interna'!O119+'Perfil - externa'!O117=0,0,'Perfil - interna'!O119+'Perfil - externa'!O117)</f>
        <v>2813656.3912095935</v>
      </c>
      <c r="P119" s="222">
        <f>IF('Perfil - interna'!P119+'Perfil - externa'!P117=0,0,'Perfil - interna'!P119+'Perfil - externa'!P117)</f>
        <v>3609756.7050470165</v>
      </c>
      <c r="Q119" s="222">
        <f>IF('Perfil - interna'!Q119+'Perfil - externa'!Q117=0,0,'Perfil - interna'!Q119+'Perfil - externa'!Q117)</f>
        <v>1103884.7938551467</v>
      </c>
      <c r="R119" s="222">
        <f>IF('Perfil - interna'!R119+'Perfil - externa'!R117=0,0,'Perfil - interna'!R119+'Perfil - externa'!R117)</f>
        <v>905363.98</v>
      </c>
      <c r="S119" s="222">
        <f>IF('Perfil - interna'!S119+'Perfil - externa'!S117=0,0,'Perfil - interna'!S119+'Perfil - externa'!S117)</f>
        <v>862379.34</v>
      </c>
      <c r="T119" s="222">
        <f>IF('Perfil - interna'!T119+'Perfil - externa'!T117=0,0,'Perfil - interna'!T119+'Perfil - externa'!T117)</f>
        <v>1160585.28</v>
      </c>
      <c r="U119" s="222">
        <f>IF('Perfil - interna'!U119+'Perfil - externa'!U117=0,0,'Perfil - interna'!U119+'Perfil - externa'!U117)</f>
        <v>475517.58</v>
      </c>
      <c r="V119" s="222">
        <f>IF('Perfil - interna'!V119+'Perfil - externa'!V117=0,0,'Perfil - interna'!V119+'Perfil - externa'!V117)</f>
        <v>402981</v>
      </c>
      <c r="W119" s="222">
        <f>IF('Perfil - interna'!W119+'Perfil - externa'!W117=0,0,'Perfil - interna'!W119+'Perfil - externa'!W117)</f>
        <v>373429.06</v>
      </c>
      <c r="X119" s="222">
        <f>IF('Perfil - interna'!X119+'Perfil - externa'!X117=0,0,'Perfil - interna'!X119+'Perfil - externa'!X117)</f>
        <v>3218474.92</v>
      </c>
      <c r="Y119" s="222">
        <f>IF('Perfil - interna'!Y119+'Perfil - externa'!Y117=0,0,'Perfil - interna'!Y119+'Perfil - externa'!Y117)</f>
        <v>300892.48</v>
      </c>
      <c r="Z119" s="222">
        <f>IF('Perfil - interna'!Z119+'Perfil - externa'!Z117=0,0,'Perfil - interna'!Z119+'Perfil - externa'!Z117)</f>
        <v>150446.24</v>
      </c>
      <c r="AA119" s="222">
        <f>IF('Perfil - interna'!AA119+'Perfil - externa'!AA117=0,0,'Perfil - interna'!AA119+'Perfil - externa'!AA117)</f>
        <v>112834.68</v>
      </c>
      <c r="AB119" s="222">
        <f>IF('Perfil - interna'!AB119+'Perfil - externa'!AB117=0,0,'Perfil - interna'!AB119+'Perfil - externa'!AB117)</f>
        <v>102088.52</v>
      </c>
      <c r="AC119" s="222">
        <f>IF('Perfil - interna'!AC119+'Perfil - externa'!AC117=0,0,'Perfil - interna'!AC119+'Perfil - externa'!AC117)</f>
        <v>88655.82</v>
      </c>
      <c r="AD119" s="222">
        <f>IF('Perfil - interna'!AD119+'Perfil - externa'!AD117=0,0,'Perfil - interna'!AD119+'Perfil - externa'!AD117)</f>
        <v>72536.58</v>
      </c>
      <c r="AE119" s="222">
        <f>IF('Perfil - interna'!AE119+'Perfil - externa'!AE117=0,0,'Perfil - interna'!AE119+'Perfil - externa'!AE117)</f>
        <v>615217.66</v>
      </c>
      <c r="AF119" s="222">
        <f>IF('Perfil - interna'!AF119+'Perfil - externa'!AF117=0,0,'Perfil - interna'!AF119+'Perfil - externa'!AF117)</f>
        <v>69850.039999999994</v>
      </c>
      <c r="AG119" s="222">
        <f>IF('Perfil - interna'!AG119+'Perfil - externa'!AG117=0,0,'Perfil - interna'!AG119+'Perfil - externa'!AG117)</f>
        <v>45671.18</v>
      </c>
      <c r="AH119" s="222">
        <f>IF('Perfil - interna'!AH119+'Perfil - externa'!AH117=0,0,'Perfil - interna'!AH119+'Perfil - externa'!AH117)</f>
        <v>45671.18</v>
      </c>
      <c r="AI119" s="222">
        <f>IF('Perfil - interna'!AI119+'Perfil - externa'!AI117=0,0,'Perfil - interna'!AI119+'Perfil - externa'!AI117)</f>
        <v>0</v>
      </c>
      <c r="AJ119" s="222">
        <f>IF('Perfil - interna'!AJ119+'Perfil - externa'!AJ117=0,0,'Perfil - interna'!AJ119+'Perfil - externa'!AJ117)</f>
        <v>0</v>
      </c>
      <c r="AK119" s="222">
        <f>IF('Perfil - interna'!AK119+'Perfil - externa'!AK117=0,0,'Perfil - interna'!AK119+'Perfil - externa'!AK117)</f>
        <v>0</v>
      </c>
      <c r="AL119" s="222">
        <f>IF('Perfil - interna'!AL119+'Perfil - externa'!AL117=0,0,'Perfil - interna'!AL119+'Perfil - externa'!AL117)</f>
        <v>0</v>
      </c>
      <c r="AM119" s="222">
        <f>IF('Perfil - interna'!AM119+'Perfil - externa'!AM117=0,0,'Perfil - interna'!AM119+'Perfil - externa'!AM117)</f>
        <v>0</v>
      </c>
      <c r="AN119" s="222">
        <f>'Perfil - interna'!AN119</f>
        <v>0</v>
      </c>
      <c r="AO119" s="222"/>
      <c r="AP119" s="222"/>
      <c r="AQ119" s="222"/>
      <c r="AR119" s="222"/>
      <c r="AS119" s="222"/>
      <c r="AT119" s="222"/>
      <c r="AU119" s="222"/>
      <c r="AV119" s="222"/>
      <c r="AW119" s="222"/>
      <c r="AX119" s="222"/>
      <c r="AY119" s="222"/>
      <c r="AZ119" s="222"/>
      <c r="BA119" s="222"/>
      <c r="BB119" s="222"/>
      <c r="BC119" s="222"/>
      <c r="BD119" s="222"/>
      <c r="BE119" s="222"/>
      <c r="BF119" s="222"/>
      <c r="BG119" s="222"/>
      <c r="BH119" s="222"/>
      <c r="BI119" s="222"/>
      <c r="BJ119" s="222"/>
      <c r="BK119" s="222"/>
    </row>
    <row r="120" spans="1:63">
      <c r="A120" s="171"/>
      <c r="B120" s="318" t="str">
        <f>Servicio_internaColumna_título_total</f>
        <v>Total</v>
      </c>
      <c r="C120" s="319"/>
      <c r="D120" s="320"/>
      <c r="E120" s="320"/>
      <c r="F120" s="320">
        <f>IF('Perfil - interna'!F120+'Perfil - externa'!F118=0,0,'Perfil - interna'!F120+'Perfil - externa'!F118)</f>
        <v>21501432.113295265</v>
      </c>
      <c r="G120" s="320">
        <f>IF('Perfil - interna'!G120+'Perfil - externa'!G118=0,0,'Perfil - interna'!G120+'Perfil - externa'!G118)</f>
        <v>26401415.164144687</v>
      </c>
      <c r="H120" s="320">
        <f>IF('Perfil - interna'!H120+'Perfil - externa'!H118=0,0,'Perfil - interna'!H120+'Perfil - externa'!H118)</f>
        <v>22552844.659835152</v>
      </c>
      <c r="I120" s="320">
        <f>IF('Perfil - interna'!I120+'Perfil - externa'!I118=0,0,'Perfil - interna'!I120+'Perfil - externa'!I118)</f>
        <v>23437338.340878077</v>
      </c>
      <c r="J120" s="320">
        <f>IF('Perfil - interna'!J120+'Perfil - externa'!J118=0,0,'Perfil - interna'!J120+'Perfil - externa'!J118)</f>
        <v>19817268.483807631</v>
      </c>
      <c r="K120" s="320">
        <f>IF('Perfil - interna'!K120+'Perfil - externa'!K118=0,0,'Perfil - interna'!K120+'Perfil - externa'!K118)</f>
        <v>13777503.175581574</v>
      </c>
      <c r="L120" s="320">
        <f>IF('Perfil - interna'!L120+'Perfil - externa'!L118=0,0,'Perfil - interna'!L120+'Perfil - externa'!L118)</f>
        <v>13369910.121325923</v>
      </c>
      <c r="M120" s="320">
        <f>IF('Perfil - interna'!M120+'Perfil - externa'!M118=0,0,'Perfil - interna'!M120+'Perfil - externa'!M118)</f>
        <v>13977555.266577411</v>
      </c>
      <c r="N120" s="320">
        <f>IF('Perfil - interna'!N120+'Perfil - externa'!N118=0,0,'Perfil - interna'!N120+'Perfil - externa'!N118)</f>
        <v>15297994.930474816</v>
      </c>
      <c r="O120" s="320">
        <f>IF('Perfil - interna'!O120+'Perfil - externa'!O118=0,0,'Perfil - interna'!O120+'Perfil - externa'!O118)</f>
        <v>8852984.5883309338</v>
      </c>
      <c r="P120" s="320">
        <f>IF('Perfil - interna'!P120+'Perfil - externa'!P118=0,0,'Perfil - interna'!P120+'Perfil - externa'!P118)</f>
        <v>5446976.8050480159</v>
      </c>
      <c r="Q120" s="320">
        <f>IF('Perfil - interna'!Q120+'Perfil - externa'!Q118=0,0,'Perfil - interna'!Q120+'Perfil - externa'!Q118)</f>
        <v>3507667.1322701331</v>
      </c>
      <c r="R120" s="320">
        <f>IF('Perfil - interna'!R120+'Perfil - externa'!R118=0,0,'Perfil - interna'!R120+'Perfil - externa'!R118)</f>
        <v>2342662.88</v>
      </c>
      <c r="S120" s="320">
        <f>IF('Perfil - interna'!S120+'Perfil - externa'!S118=0,0,'Perfil - interna'!S120+'Perfil - externa'!S118)</f>
        <v>1477597</v>
      </c>
      <c r="T120" s="320">
        <f>IF('Perfil - interna'!T120+'Perfil - externa'!T118=0,0,'Perfil - interna'!T120+'Perfil - externa'!T118)</f>
        <v>1654908.6400000001</v>
      </c>
      <c r="U120" s="320">
        <f>IF('Perfil - interna'!U120+'Perfil - externa'!U118=0,0,'Perfil - interna'!U120+'Perfil - externa'!U118)</f>
        <v>926856.3</v>
      </c>
      <c r="V120" s="320">
        <f>IF('Perfil - interna'!V120+'Perfil - externa'!V118=0,0,'Perfil - interna'!V120+'Perfil - externa'!V118)</f>
        <v>3645634.78</v>
      </c>
      <c r="W120" s="320">
        <f>IF('Perfil - interna'!W120+'Perfil - externa'!W118=0,0,'Perfil - interna'!W120+'Perfil - externa'!W118)</f>
        <v>719992.72</v>
      </c>
      <c r="X120" s="320">
        <f>IF('Perfil - interna'!X120+'Perfil - externa'!X118=0,0,'Perfil - interna'!X120+'Perfil - externa'!X118)</f>
        <v>3417278.88</v>
      </c>
      <c r="Y120" s="320">
        <f>IF('Perfil - interna'!Y120+'Perfil - externa'!Y118=0,0,'Perfil - interna'!Y120+'Perfil - externa'!Y118)</f>
        <v>467457.95999999996</v>
      </c>
      <c r="Z120" s="320">
        <f>IF('Perfil - interna'!Z120+'Perfil - externa'!Z118=0,0,'Perfil - interna'!Z120+'Perfil - externa'!Z118)</f>
        <v>1579685.52</v>
      </c>
      <c r="AA120" s="320">
        <f>IF('Perfil - interna'!AA120+'Perfil - externa'!AA118=0,0,'Perfil - interna'!AA120+'Perfil - externa'!AA118)</f>
        <v>177311.63999999998</v>
      </c>
      <c r="AB120" s="320">
        <f>IF('Perfil - interna'!AB120+'Perfil - externa'!AB118=0,0,'Perfil - interna'!AB120+'Perfil - externa'!AB118)</f>
        <v>147759.70000000001</v>
      </c>
      <c r="AC120" s="320">
        <f>IF('Perfil - interna'!AC120+'Perfil - externa'!AC118=0,0,'Perfil - interna'!AC120+'Perfil - externa'!AC118)</f>
        <v>682381.15999999992</v>
      </c>
      <c r="AD120" s="320">
        <f>IF('Perfil - interna'!AD120+'Perfil - externa'!AD118=0,0,'Perfil - interna'!AD120+'Perfil - externa'!AD118)</f>
        <v>120894.3</v>
      </c>
      <c r="AE120" s="320">
        <f>IF('Perfil - interna'!AE120+'Perfil - externa'!AE118=0,0,'Perfil - interna'!AE120+'Perfil - externa'!AE118)</f>
        <v>631336.9</v>
      </c>
      <c r="AF120" s="320">
        <f>IF('Perfil - interna'!AF120+'Perfil - externa'!AF118=0,0,'Perfil - interna'!AF120+'Perfil - externa'!AF118)</f>
        <v>75223.12</v>
      </c>
      <c r="AG120" s="320">
        <f>IF('Perfil - interna'!AG120+'Perfil - externa'!AG118=0,0,'Perfil - interna'!AG120+'Perfil - externa'!AG118)</f>
        <v>51044.26</v>
      </c>
      <c r="AH120" s="320">
        <f>IF('Perfil - interna'!AH120+'Perfil - externa'!AH118=0,0,'Perfil - interna'!AH120+'Perfil - externa'!AH118)</f>
        <v>51044.26</v>
      </c>
      <c r="AI120" s="320">
        <f>IF('Perfil - interna'!AI120+'Perfil - externa'!AI118=0,0,'Perfil - interna'!AI120+'Perfil - externa'!AI118)</f>
        <v>1711325.98</v>
      </c>
      <c r="AJ120" s="320">
        <f>IF('Perfil - interna'!AJ120+'Perfil - externa'!AJ118=0,0,'Perfil - interna'!AJ120+'Perfil - externa'!AJ118)</f>
        <v>5373.08</v>
      </c>
      <c r="AK120" s="320">
        <f>IF('Perfil - interna'!AK120+'Perfil - externa'!AK118=0,0,'Perfil - interna'!AK120+'Perfil - externa'!AK118)</f>
        <v>0</v>
      </c>
      <c r="AL120" s="320">
        <f>IF('Perfil - interna'!AL120+'Perfil - externa'!AL118=0,0,'Perfil - interna'!AL120+'Perfil - externa'!AL118)</f>
        <v>0</v>
      </c>
      <c r="AM120" s="320">
        <f>IF('Perfil - interna'!AM120+'Perfil - externa'!AM118=0,0,'Perfil - interna'!AM120+'Perfil - externa'!AM118)</f>
        <v>0</v>
      </c>
      <c r="AN120" s="320">
        <f>+AN119+AN118</f>
        <v>0</v>
      </c>
      <c r="AO120" s="320"/>
      <c r="AP120" s="320"/>
      <c r="AQ120" s="320"/>
      <c r="AR120" s="320"/>
      <c r="AS120" s="320"/>
      <c r="AT120" s="320"/>
      <c r="AU120" s="320"/>
      <c r="AV120" s="320"/>
      <c r="AW120" s="320"/>
      <c r="AX120" s="320"/>
      <c r="AY120" s="320"/>
      <c r="AZ120" s="320"/>
      <c r="BA120" s="320"/>
      <c r="BB120" s="320"/>
      <c r="BC120" s="320"/>
      <c r="BD120" s="320"/>
      <c r="BE120" s="320"/>
      <c r="BF120" s="320"/>
      <c r="BG120" s="320"/>
      <c r="BH120" s="320"/>
      <c r="BI120" s="320"/>
      <c r="BJ120" s="320"/>
      <c r="BK120" s="320"/>
    </row>
    <row r="121" spans="1:63">
      <c r="A121" s="167"/>
      <c r="B121" s="217" t="str">
        <f>Servicio_internaColumna_título_amortizaciones</f>
        <v>Amortizaciones</v>
      </c>
      <c r="C121" s="218"/>
      <c r="D121" s="219"/>
      <c r="E121" s="219"/>
      <c r="F121" s="219">
        <f>IF('Perfil - interna'!F121+'Perfil - externa'!F119=0,0,'Perfil - interna'!F121+'Perfil - externa'!F119)</f>
        <v>10511306.478919733</v>
      </c>
      <c r="G121" s="219">
        <f>IF('Perfil - interna'!G121+'Perfil - externa'!G119=0,0,'Perfil - interna'!G121+'Perfil - externa'!G119)</f>
        <v>14459871.267394781</v>
      </c>
      <c r="H121" s="219">
        <f>IF('Perfil - interna'!H121+'Perfil - externa'!H119=0,0,'Perfil - interna'!H121+'Perfil - externa'!H119)</f>
        <v>13870407.578697477</v>
      </c>
      <c r="I121" s="219">
        <f>IF('Perfil - interna'!I121+'Perfil - externa'!I119=0,0,'Perfil - interna'!I121+'Perfil - externa'!I119)</f>
        <v>15201506.905585635</v>
      </c>
      <c r="J121" s="219">
        <f>IF('Perfil - interna'!J121+'Perfil - externa'!J119=0,0,'Perfil - interna'!J121+'Perfil - externa'!J119)</f>
        <v>13620404.253388466</v>
      </c>
      <c r="K121" s="219">
        <f>IF('Perfil - interna'!K121+'Perfil - externa'!K119=0,0,'Perfil - interna'!K121+'Perfil - externa'!K119)</f>
        <v>7683560.8929417683</v>
      </c>
      <c r="L121" s="219">
        <f>IF('Perfil - interna'!L121+'Perfil - externa'!L119=0,0,'Perfil - interna'!L121+'Perfil - externa'!L119)</f>
        <v>6703154.9359164108</v>
      </c>
      <c r="M121" s="219">
        <f>IF('Perfil - interna'!M121+'Perfil - externa'!M119=0,0,'Perfil - interna'!M121+'Perfil - externa'!M119)</f>
        <v>8088761.2162593715</v>
      </c>
      <c r="N121" s="219">
        <f>IF('Perfil - interna'!N121+'Perfil - externa'!N119=0,0,'Perfil - interna'!N121+'Perfil - externa'!N119)</f>
        <v>11649619.304815535</v>
      </c>
      <c r="O121" s="219">
        <f>IF('Perfil - interna'!O121+'Perfil - externa'!O119=0,0,'Perfil - interna'!O121+'Perfil - externa'!O119)</f>
        <v>6043794.7618213398</v>
      </c>
      <c r="P121" s="219">
        <f>IF('Perfil - interna'!P121+'Perfil - externa'!P119=0,0,'Perfil - interna'!P121+'Perfil - externa'!P119)</f>
        <v>1964089.8800009999</v>
      </c>
      <c r="Q121" s="219">
        <f>IF('Perfil - interna'!Q121+'Perfil - externa'!Q119=0,0,'Perfil - interna'!Q121+'Perfil - externa'!Q119)</f>
        <v>2416271.12</v>
      </c>
      <c r="R121" s="219">
        <f>IF('Perfil - interna'!R121+'Perfil - externa'!R119=0,0,'Perfil - interna'!R121+'Perfil - externa'!R119)</f>
        <v>1416746.64</v>
      </c>
      <c r="S121" s="219">
        <f>IF('Perfil - interna'!S121+'Perfil - externa'!S119=0,0,'Perfil - interna'!S121+'Perfil - externa'!S119)</f>
        <v>610620.48</v>
      </c>
      <c r="T121" s="219">
        <f>IF('Perfil - interna'!T121+'Perfil - externa'!T119=0,0,'Perfil - interna'!T121+'Perfil - externa'!T119)</f>
        <v>498137.76</v>
      </c>
      <c r="U121" s="219">
        <f>IF('Perfil - interna'!U121+'Perfil - externa'!U119=0,0,'Perfil - interna'!U121+'Perfil - externa'!U119)</f>
        <v>455287.2</v>
      </c>
      <c r="V121" s="219">
        <f>IF('Perfil - interna'!V121+'Perfil - externa'!V119=0,0,'Perfil - interna'!V121+'Perfil - externa'!V119)</f>
        <v>3382516.08</v>
      </c>
      <c r="W121" s="219">
        <f>IF('Perfil - interna'!W121+'Perfil - externa'!W119=0,0,'Perfil - interna'!W121+'Perfil - externa'!W119)</f>
        <v>313344.71999999997</v>
      </c>
      <c r="X121" s="219">
        <f>IF('Perfil - interna'!X121+'Perfil - externa'!X119=0,0,'Perfil - interna'!X121+'Perfil - externa'!X119)</f>
        <v>163367.76</v>
      </c>
      <c r="Y121" s="219">
        <f>IF('Perfil - interna'!Y121+'Perfil - externa'!Y119=0,0,'Perfil - interna'!Y121+'Perfil - externa'!Y119)</f>
        <v>163367.76</v>
      </c>
      <c r="Z121" s="219">
        <f>IF('Perfil - interna'!Z121+'Perfil - externa'!Z119=0,0,'Perfil - interna'!Z121+'Perfil - externa'!Z119)</f>
        <v>1422102.96</v>
      </c>
      <c r="AA121" s="219">
        <f>IF('Perfil - interna'!AA121+'Perfil - externa'!AA119=0,0,'Perfil - interna'!AA121+'Perfil - externa'!AA119)</f>
        <v>64275.839999999997</v>
      </c>
      <c r="AB121" s="219">
        <f>IF('Perfil - interna'!AB121+'Perfil - externa'!AB119=0,0,'Perfil - interna'!AB121+'Perfil - externa'!AB119)</f>
        <v>45528.72</v>
      </c>
      <c r="AC121" s="219">
        <f>IF('Perfil - interna'!AC121+'Perfil - externa'!AC119=0,0,'Perfil - interna'!AC121+'Perfil - externa'!AC119)</f>
        <v>591873.36</v>
      </c>
      <c r="AD121" s="219">
        <f>IF('Perfil - interna'!AD121+'Perfil - externa'!AD119=0,0,'Perfil - interna'!AD121+'Perfil - externa'!AD119)</f>
        <v>48206.879999999997</v>
      </c>
      <c r="AE121" s="219">
        <f>IF('Perfil - interna'!AE121+'Perfil - externa'!AE119=0,0,'Perfil - interna'!AE121+'Perfil - externa'!AE119)</f>
        <v>16068.96</v>
      </c>
      <c r="AF121" s="219">
        <f>IF('Perfil - interna'!AF121+'Perfil - externa'!AF119=0,0,'Perfil - interna'!AF121+'Perfil - externa'!AF119)</f>
        <v>5356.32</v>
      </c>
      <c r="AG121" s="219">
        <f>IF('Perfil - interna'!AG121+'Perfil - externa'!AG119=0,0,'Perfil - interna'!AG121+'Perfil - externa'!AG119)</f>
        <v>5356.32</v>
      </c>
      <c r="AH121" s="219">
        <f>IF('Perfil - interna'!AH121+'Perfil - externa'!AH119=0,0,'Perfil - interna'!AH121+'Perfil - externa'!AH119)</f>
        <v>5356.32</v>
      </c>
      <c r="AI121" s="219">
        <f>IF('Perfil - interna'!AI121+'Perfil - externa'!AI119=0,0,'Perfil - interna'!AI121+'Perfil - externa'!AI119)</f>
        <v>1705987.92</v>
      </c>
      <c r="AJ121" s="219">
        <f>IF('Perfil - interna'!AJ121+'Perfil - externa'!AJ119=0,0,'Perfil - interna'!AJ121+'Perfil - externa'!AJ119)</f>
        <v>5356.32</v>
      </c>
      <c r="AK121" s="219">
        <f>IF('Perfil - interna'!AK121+'Perfil - externa'!AK119=0,0,'Perfil - interna'!AK121+'Perfil - externa'!AK119)</f>
        <v>0</v>
      </c>
      <c r="AL121" s="219">
        <f>IF('Perfil - interna'!AL121+'Perfil - externa'!AL119=0,0,'Perfil - interna'!AL121+'Perfil - externa'!AL119)</f>
        <v>0</v>
      </c>
      <c r="AM121" s="219">
        <f>IF('Perfil - interna'!AM121+'Perfil - externa'!AM119=0,0,'Perfil - interna'!AM121+'Perfil - externa'!AM119)</f>
        <v>0</v>
      </c>
      <c r="AN121" s="219">
        <f>'Perfil - interna'!AN121</f>
        <v>0</v>
      </c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</row>
    <row r="122" spans="1:63">
      <c r="A122" s="170">
        <v>38077</v>
      </c>
      <c r="B122" s="220" t="str">
        <f>Servicio_internaColumna_título_intereses</f>
        <v>Intereses</v>
      </c>
      <c r="C122" s="221"/>
      <c r="D122" s="222"/>
      <c r="E122" s="222"/>
      <c r="F122" s="222">
        <f>IF('Perfil - interna'!F122+'Perfil - externa'!F120=0,0,'Perfil - interna'!F122+'Perfil - externa'!F120)</f>
        <v>9521717.049666252</v>
      </c>
      <c r="G122" s="222">
        <f>IF('Perfil - interna'!G122+'Perfil - externa'!G120=0,0,'Perfil - interna'!G122+'Perfil - externa'!G120)</f>
        <v>12104041.854796004</v>
      </c>
      <c r="H122" s="222">
        <f>IF('Perfil - interna'!H122+'Perfil - externa'!H120=0,0,'Perfil - interna'!H122+'Perfil - externa'!H120)</f>
        <v>8853618.7444296218</v>
      </c>
      <c r="I122" s="222">
        <f>IF('Perfil - interna'!I122+'Perfil - externa'!I120=0,0,'Perfil - interna'!I122+'Perfil - externa'!I120)</f>
        <v>8852313.3597350065</v>
      </c>
      <c r="J122" s="222">
        <f>IF('Perfil - interna'!J122+'Perfil - externa'!J120=0,0,'Perfil - interna'!J122+'Perfil - externa'!J120)</f>
        <v>6435322.0606328659</v>
      </c>
      <c r="K122" s="222">
        <f>IF('Perfil - interna'!K122+'Perfil - externa'!K120=0,0,'Perfil - interna'!K122+'Perfil - externa'!K120)</f>
        <v>6215280.0916741174</v>
      </c>
      <c r="L122" s="222">
        <f>IF('Perfil - interna'!L122+'Perfil - externa'!L120=0,0,'Perfil - interna'!L122+'Perfil - externa'!L120)</f>
        <v>7421063.2206373177</v>
      </c>
      <c r="M122" s="222">
        <f>IF('Perfil - interna'!M122+'Perfil - externa'!M120=0,0,'Perfil - interna'!M122+'Perfil - externa'!M120)</f>
        <v>5944686.3891015844</v>
      </c>
      <c r="N122" s="222">
        <f>IF('Perfil - interna'!N122+'Perfil - externa'!N120=0,0,'Perfil - interna'!N122+'Perfil - externa'!N120)</f>
        <v>4161892.1818472277</v>
      </c>
      <c r="O122" s="222">
        <f>IF('Perfil - interna'!O122+'Perfil - externa'!O120=0,0,'Perfil - interna'!O122+'Perfil - externa'!O120)</f>
        <v>2807914.7916992917</v>
      </c>
      <c r="P122" s="222">
        <f>IF('Perfil - interna'!P122+'Perfil - externa'!P120=0,0,'Perfil - interna'!P122+'Perfil - externa'!P120)</f>
        <v>3600828.7240300579</v>
      </c>
      <c r="Q122" s="222">
        <f>IF('Perfil - interna'!Q122+'Perfil - externa'!Q120=0,0,'Perfil - interna'!Q122+'Perfil - externa'!Q120)</f>
        <v>1102805.2942761816</v>
      </c>
      <c r="R122" s="222">
        <f>IF('Perfil - interna'!R122+'Perfil - externa'!R120=0,0,'Perfil - interna'!R122+'Perfil - externa'!R120)</f>
        <v>902539.92</v>
      </c>
      <c r="S122" s="222">
        <f>IF('Perfil - interna'!S122+'Perfil - externa'!S120=0,0,'Perfil - interna'!S122+'Perfil - externa'!S120)</f>
        <v>859689.36</v>
      </c>
      <c r="T122" s="222">
        <f>IF('Perfil - interna'!T122+'Perfil - externa'!T120=0,0,'Perfil - interna'!T122+'Perfil - externa'!T120)</f>
        <v>1156965.1200000001</v>
      </c>
      <c r="U122" s="222">
        <f>IF('Perfil - interna'!U122+'Perfil - externa'!U120=0,0,'Perfil - interna'!U122+'Perfil - externa'!U120)</f>
        <v>474034.32</v>
      </c>
      <c r="V122" s="222">
        <f>IF('Perfil - interna'!V122+'Perfil - externa'!V120=0,0,'Perfil - interna'!V122+'Perfil - externa'!V120)</f>
        <v>401724</v>
      </c>
      <c r="W122" s="222">
        <f>IF('Perfil - interna'!W122+'Perfil - externa'!W120=0,0,'Perfil - interna'!W122+'Perfil - externa'!W120)</f>
        <v>372264.24</v>
      </c>
      <c r="X122" s="222">
        <f>IF('Perfil - interna'!X122+'Perfil - externa'!X120=0,0,'Perfil - interna'!X122+'Perfil - externa'!X120)</f>
        <v>3208435.68</v>
      </c>
      <c r="Y122" s="222">
        <f>IF('Perfil - interna'!Y122+'Perfil - externa'!Y120=0,0,'Perfil - interna'!Y122+'Perfil - externa'!Y120)</f>
        <v>299953.91999999998</v>
      </c>
      <c r="Z122" s="222">
        <f>IF('Perfil - interna'!Z122+'Perfil - externa'!Z120=0,0,'Perfil - interna'!Z122+'Perfil - externa'!Z120)</f>
        <v>149976.95999999999</v>
      </c>
      <c r="AA122" s="222">
        <f>IF('Perfil - interna'!AA122+'Perfil - externa'!AA120=0,0,'Perfil - interna'!AA122+'Perfil - externa'!AA120)</f>
        <v>112482.72</v>
      </c>
      <c r="AB122" s="222">
        <f>IF('Perfil - interna'!AB122+'Perfil - externa'!AB120=0,0,'Perfil - interna'!AB122+'Perfil - externa'!AB120)</f>
        <v>101770.08</v>
      </c>
      <c r="AC122" s="222">
        <f>IF('Perfil - interna'!AC122+'Perfil - externa'!AC120=0,0,'Perfil - interna'!AC122+'Perfil - externa'!AC120)</f>
        <v>88379.28</v>
      </c>
      <c r="AD122" s="222">
        <f>IF('Perfil - interna'!AD122+'Perfil - externa'!AD120=0,0,'Perfil - interna'!AD122+'Perfil - externa'!AD120)</f>
        <v>72310.320000000007</v>
      </c>
      <c r="AE122" s="222">
        <f>IF('Perfil - interna'!AE122+'Perfil - externa'!AE120=0,0,'Perfil - interna'!AE122+'Perfil - externa'!AE120)</f>
        <v>613298.64</v>
      </c>
      <c r="AF122" s="222">
        <f>IF('Perfil - interna'!AF122+'Perfil - externa'!AF120=0,0,'Perfil - interna'!AF122+'Perfil - externa'!AF120)</f>
        <v>69632.160000000003</v>
      </c>
      <c r="AG122" s="222">
        <f>IF('Perfil - interna'!AG122+'Perfil - externa'!AG120=0,0,'Perfil - interna'!AG122+'Perfil - externa'!AG120)</f>
        <v>45528.72</v>
      </c>
      <c r="AH122" s="222">
        <f>IF('Perfil - interna'!AH122+'Perfil - externa'!AH120=0,0,'Perfil - interna'!AH122+'Perfil - externa'!AH120)</f>
        <v>45528.72</v>
      </c>
      <c r="AI122" s="222">
        <f>IF('Perfil - interna'!AI122+'Perfil - externa'!AI120=0,0,'Perfil - interna'!AI122+'Perfil - externa'!AI120)</f>
        <v>0</v>
      </c>
      <c r="AJ122" s="222">
        <f>IF('Perfil - interna'!AJ122+'Perfil - externa'!AJ120=0,0,'Perfil - interna'!AJ122+'Perfil - externa'!AJ120)</f>
        <v>0</v>
      </c>
      <c r="AK122" s="222">
        <f>IF('Perfil - interna'!AK122+'Perfil - externa'!AK120=0,0,'Perfil - interna'!AK122+'Perfil - externa'!AK120)</f>
        <v>0</v>
      </c>
      <c r="AL122" s="222">
        <f>IF('Perfil - interna'!AL122+'Perfil - externa'!AL120=0,0,'Perfil - interna'!AL122+'Perfil - externa'!AL120)</f>
        <v>0</v>
      </c>
      <c r="AM122" s="222">
        <f>IF('Perfil - interna'!AM122+'Perfil - externa'!AM120=0,0,'Perfil - interna'!AM122+'Perfil - externa'!AM120)</f>
        <v>0</v>
      </c>
      <c r="AN122" s="222">
        <f>'Perfil - interna'!AN122</f>
        <v>0</v>
      </c>
      <c r="AO122" s="222"/>
      <c r="AP122" s="222"/>
      <c r="AQ122" s="222"/>
      <c r="AR122" s="222"/>
      <c r="AS122" s="222"/>
      <c r="AT122" s="222"/>
      <c r="AU122" s="222"/>
      <c r="AV122" s="222"/>
      <c r="AW122" s="222"/>
      <c r="AX122" s="222"/>
      <c r="AY122" s="222"/>
      <c r="AZ122" s="222"/>
      <c r="BA122" s="222"/>
      <c r="BB122" s="222"/>
      <c r="BC122" s="222"/>
      <c r="BD122" s="222"/>
      <c r="BE122" s="222"/>
      <c r="BF122" s="222"/>
      <c r="BG122" s="222"/>
      <c r="BH122" s="222"/>
      <c r="BI122" s="222"/>
      <c r="BJ122" s="222"/>
      <c r="BK122" s="222"/>
    </row>
    <row r="123" spans="1:63">
      <c r="A123" s="171"/>
      <c r="B123" s="318" t="str">
        <f>Servicio_internaColumna_título_total</f>
        <v>Total</v>
      </c>
      <c r="C123" s="319"/>
      <c r="D123" s="320"/>
      <c r="E123" s="320"/>
      <c r="F123" s="320">
        <f>IF('Perfil - interna'!F123+'Perfil - externa'!F121=0,0,'Perfil - interna'!F123+'Perfil - externa'!F121)</f>
        <v>20033023.528585985</v>
      </c>
      <c r="G123" s="320">
        <f>IF('Perfil - interna'!G123+'Perfil - externa'!G121=0,0,'Perfil - interna'!G123+'Perfil - externa'!G121)</f>
        <v>26563913.122190781</v>
      </c>
      <c r="H123" s="320">
        <f>IF('Perfil - interna'!H123+'Perfil - externa'!H121=0,0,'Perfil - interna'!H123+'Perfil - externa'!H121)</f>
        <v>22724026.323127098</v>
      </c>
      <c r="I123" s="320">
        <f>IF('Perfil - interna'!I123+'Perfil - externa'!I121=0,0,'Perfil - interna'!I123+'Perfil - externa'!I121)</f>
        <v>24053820.265320644</v>
      </c>
      <c r="J123" s="320">
        <f>IF('Perfil - interna'!J123+'Perfil - externa'!J121=0,0,'Perfil - interna'!J123+'Perfil - externa'!J121)</f>
        <v>20055726.314021334</v>
      </c>
      <c r="K123" s="320">
        <f>IF('Perfil - interna'!K123+'Perfil - externa'!K121=0,0,'Perfil - interna'!K123+'Perfil - externa'!K121)</f>
        <v>13898840.984615887</v>
      </c>
      <c r="L123" s="320">
        <f>IF('Perfil - interna'!L123+'Perfil - externa'!L121=0,0,'Perfil - interna'!L123+'Perfil - externa'!L121)</f>
        <v>14124218.156553729</v>
      </c>
      <c r="M123" s="320">
        <f>IF('Perfil - interna'!M123+'Perfil - externa'!M121=0,0,'Perfil - interna'!M123+'Perfil - externa'!M121)</f>
        <v>14033447.605360955</v>
      </c>
      <c r="N123" s="320">
        <f>IF('Perfil - interna'!N123+'Perfil - externa'!N121=0,0,'Perfil - interna'!N123+'Perfil - externa'!N121)</f>
        <v>15811511.486662762</v>
      </c>
      <c r="O123" s="320">
        <f>IF('Perfil - interna'!O123+'Perfil - externa'!O121=0,0,'Perfil - interna'!O123+'Perfil - externa'!O121)</f>
        <v>8851709.553520631</v>
      </c>
      <c r="P123" s="320">
        <f>IF('Perfil - interna'!P123+'Perfil - externa'!P121=0,0,'Perfil - interna'!P123+'Perfil - externa'!P121)</f>
        <v>5564918.604031058</v>
      </c>
      <c r="Q123" s="320">
        <f>IF('Perfil - interna'!Q123+'Perfil - externa'!Q121=0,0,'Perfil - interna'!Q123+'Perfil - externa'!Q121)</f>
        <v>3519076.4142761817</v>
      </c>
      <c r="R123" s="320">
        <f>IF('Perfil - interna'!R123+'Perfil - externa'!R121=0,0,'Perfil - interna'!R123+'Perfil - externa'!R121)</f>
        <v>2319286.56</v>
      </c>
      <c r="S123" s="320">
        <f>IF('Perfil - interna'!S123+'Perfil - externa'!S121=0,0,'Perfil - interna'!S123+'Perfil - externa'!S121)</f>
        <v>1470309.8399999999</v>
      </c>
      <c r="T123" s="320">
        <f>IF('Perfil - interna'!T123+'Perfil - externa'!T121=0,0,'Perfil - interna'!T123+'Perfil - externa'!T121)</f>
        <v>1655102.8800000001</v>
      </c>
      <c r="U123" s="320">
        <f>IF('Perfil - interna'!U123+'Perfil - externa'!U121=0,0,'Perfil - interna'!U123+'Perfil - externa'!U121)</f>
        <v>929321.52</v>
      </c>
      <c r="V123" s="320">
        <f>IF('Perfil - interna'!V123+'Perfil - externa'!V121=0,0,'Perfil - interna'!V123+'Perfil - externa'!V121)</f>
        <v>3784240.08</v>
      </c>
      <c r="W123" s="320">
        <f>IF('Perfil - interna'!W123+'Perfil - externa'!W121=0,0,'Perfil - interna'!W123+'Perfil - externa'!W121)</f>
        <v>685608.95999999996</v>
      </c>
      <c r="X123" s="320">
        <f>IF('Perfil - interna'!X123+'Perfil - externa'!X121=0,0,'Perfil - interna'!X123+'Perfil - externa'!X121)</f>
        <v>3371803.4400000004</v>
      </c>
      <c r="Y123" s="320">
        <f>IF('Perfil - interna'!Y123+'Perfil - externa'!Y121=0,0,'Perfil - interna'!Y123+'Perfil - externa'!Y121)</f>
        <v>463321.68</v>
      </c>
      <c r="Z123" s="320">
        <f>IF('Perfil - interna'!Z123+'Perfil - externa'!Z121=0,0,'Perfil - interna'!Z123+'Perfil - externa'!Z121)</f>
        <v>1572079.92</v>
      </c>
      <c r="AA123" s="320">
        <f>IF('Perfil - interna'!AA123+'Perfil - externa'!AA121=0,0,'Perfil - interna'!AA123+'Perfil - externa'!AA121)</f>
        <v>176758.56</v>
      </c>
      <c r="AB123" s="320">
        <f>IF('Perfil - interna'!AB123+'Perfil - externa'!AB121=0,0,'Perfil - interna'!AB123+'Perfil - externa'!AB121)</f>
        <v>147298.79999999999</v>
      </c>
      <c r="AC123" s="320">
        <f>IF('Perfil - interna'!AC123+'Perfil - externa'!AC121=0,0,'Perfil - interna'!AC123+'Perfil - externa'!AC121)</f>
        <v>680252.64</v>
      </c>
      <c r="AD123" s="320">
        <f>IF('Perfil - interna'!AD123+'Perfil - externa'!AD121=0,0,'Perfil - interna'!AD123+'Perfil - externa'!AD121)</f>
        <v>120517.20000000001</v>
      </c>
      <c r="AE123" s="320">
        <f>IF('Perfil - interna'!AE123+'Perfil - externa'!AE121=0,0,'Perfil - interna'!AE123+'Perfil - externa'!AE121)</f>
        <v>629367.6</v>
      </c>
      <c r="AF123" s="320">
        <f>IF('Perfil - interna'!AF123+'Perfil - externa'!AF121=0,0,'Perfil - interna'!AF123+'Perfil - externa'!AF121)</f>
        <v>74988.48000000001</v>
      </c>
      <c r="AG123" s="320">
        <f>IF('Perfil - interna'!AG123+'Perfil - externa'!AG121=0,0,'Perfil - interna'!AG123+'Perfil - externa'!AG121)</f>
        <v>50885.04</v>
      </c>
      <c r="AH123" s="320">
        <f>IF('Perfil - interna'!AH123+'Perfil - externa'!AH121=0,0,'Perfil - interna'!AH123+'Perfil - externa'!AH121)</f>
        <v>50885.04</v>
      </c>
      <c r="AI123" s="320">
        <f>IF('Perfil - interna'!AI123+'Perfil - externa'!AI121=0,0,'Perfil - interna'!AI123+'Perfil - externa'!AI121)</f>
        <v>1705987.92</v>
      </c>
      <c r="AJ123" s="320">
        <f>IF('Perfil - interna'!AJ123+'Perfil - externa'!AJ121=0,0,'Perfil - interna'!AJ123+'Perfil - externa'!AJ121)</f>
        <v>5356.32</v>
      </c>
      <c r="AK123" s="320">
        <f>IF('Perfil - interna'!AK123+'Perfil - externa'!AK121=0,0,'Perfil - interna'!AK123+'Perfil - externa'!AK121)</f>
        <v>0</v>
      </c>
      <c r="AL123" s="320">
        <f>IF('Perfil - interna'!AL123+'Perfil - externa'!AL121=0,0,'Perfil - interna'!AL123+'Perfil - externa'!AL121)</f>
        <v>0</v>
      </c>
      <c r="AM123" s="320">
        <f>IF('Perfil - interna'!AM123+'Perfil - externa'!AM121=0,0,'Perfil - interna'!AM123+'Perfil - externa'!AM121)</f>
        <v>0</v>
      </c>
      <c r="AN123" s="320">
        <f>+AN122+AN121</f>
        <v>0</v>
      </c>
      <c r="AO123" s="320"/>
      <c r="AP123" s="320"/>
      <c r="AQ123" s="320"/>
      <c r="AR123" s="320"/>
      <c r="AS123" s="320"/>
      <c r="AT123" s="320"/>
      <c r="AU123" s="320"/>
      <c r="AV123" s="320"/>
      <c r="AW123" s="320"/>
      <c r="AX123" s="320"/>
      <c r="AY123" s="320"/>
      <c r="AZ123" s="320"/>
      <c r="BA123" s="320"/>
      <c r="BB123" s="320"/>
      <c r="BC123" s="320"/>
      <c r="BD123" s="320"/>
      <c r="BE123" s="320"/>
      <c r="BF123" s="320"/>
      <c r="BG123" s="320"/>
      <c r="BH123" s="320"/>
      <c r="BI123" s="320"/>
      <c r="BJ123" s="320"/>
      <c r="BK123" s="320"/>
    </row>
    <row r="124" spans="1:63">
      <c r="A124" s="167"/>
      <c r="B124" s="217" t="str">
        <f>Servicio_internaColumna_título_amortizaciones</f>
        <v>Amortizaciones</v>
      </c>
      <c r="C124" s="218"/>
      <c r="D124" s="219"/>
      <c r="E124" s="219"/>
      <c r="F124" s="219">
        <f>IF('Perfil - interna'!F124+'Perfil - externa'!F122=0,0,'Perfil - interna'!F124+'Perfil - externa'!F122)</f>
        <v>9032720.1181144565</v>
      </c>
      <c r="G124" s="219">
        <f>IF('Perfil - interna'!G124+'Perfil - externa'!G122=0,0,'Perfil - interna'!G124+'Perfil - externa'!G122)</f>
        <v>14673194.078149727</v>
      </c>
      <c r="H124" s="219">
        <f>IF('Perfil - interna'!H124+'Perfil - externa'!H122=0,0,'Perfil - interna'!H124+'Perfil - externa'!H122)</f>
        <v>14022281.864843944</v>
      </c>
      <c r="I124" s="219">
        <f>IF('Perfil - interna'!I124+'Perfil - externa'!I122=0,0,'Perfil - interna'!I124+'Perfil - externa'!I122)</f>
        <v>15612093.368270157</v>
      </c>
      <c r="J124" s="219">
        <f>IF('Perfil - interna'!J124+'Perfil - externa'!J122=0,0,'Perfil - interna'!J124+'Perfil - externa'!J122)</f>
        <v>13778903.722970638</v>
      </c>
      <c r="K124" s="219">
        <f>IF('Perfil - interna'!K124+'Perfil - externa'!K122=0,0,'Perfil - interna'!K124+'Perfil - externa'!K122)</f>
        <v>7877759.5308509599</v>
      </c>
      <c r="L124" s="219">
        <f>IF('Perfil - interna'!L124+'Perfil - externa'!L122=0,0,'Perfil - interna'!L124+'Perfil - externa'!L122)</f>
        <v>6959570.7779945564</v>
      </c>
      <c r="M124" s="219">
        <f>IF('Perfil - interna'!M124+'Perfil - externa'!M122=0,0,'Perfil - interna'!M124+'Perfil - externa'!M122)</f>
        <v>8094923.7173999995</v>
      </c>
      <c r="N124" s="219">
        <f>IF('Perfil - interna'!N124+'Perfil - externa'!N122=0,0,'Perfil - interna'!N124+'Perfil - externa'!N122)</f>
        <v>11907128.0572</v>
      </c>
      <c r="O124" s="219">
        <f>IF('Perfil - interna'!O124+'Perfil - externa'!O122=0,0,'Perfil - interna'!O124+'Perfil - externa'!O122)</f>
        <v>6011570.0909389574</v>
      </c>
      <c r="P124" s="219">
        <f>IF('Perfil - interna'!P124+'Perfil - externa'!P122=0,0,'Perfil - interna'!P124+'Perfil - externa'!P122)</f>
        <v>2013654.010001</v>
      </c>
      <c r="Q124" s="219">
        <f>IF('Perfil - interna'!Q124+'Perfil - externa'!Q122=0,0,'Perfil - interna'!Q124+'Perfil - externa'!Q122)</f>
        <v>2416599.4500000002</v>
      </c>
      <c r="R124" s="219">
        <f>IF('Perfil - interna'!R124+'Perfil - externa'!R122=0,0,'Perfil - interna'!R124+'Perfil - externa'!R122)</f>
        <v>1402904.7</v>
      </c>
      <c r="S124" s="219">
        <f>IF('Perfil - interna'!S124+'Perfil - externa'!S122=0,0,'Perfil - interna'!S124+'Perfil - externa'!S122)</f>
        <v>600866.73</v>
      </c>
      <c r="T124" s="219">
        <f>IF('Perfil - interna'!T124+'Perfil - externa'!T122=0,0,'Perfil - interna'!T124+'Perfil - externa'!T122)</f>
        <v>492340.14</v>
      </c>
      <c r="U124" s="219">
        <f>IF('Perfil - interna'!U124+'Perfil - externa'!U122=0,0,'Perfil - interna'!U124+'Perfil - externa'!U122)</f>
        <v>449988.3</v>
      </c>
      <c r="V124" s="219">
        <f>IF('Perfil - interna'!V124+'Perfil - externa'!V122=0,0,'Perfil - interna'!V124+'Perfil - externa'!V122)</f>
        <v>3200210.91</v>
      </c>
      <c r="W124" s="219">
        <f>IF('Perfil - interna'!W124+'Perfil - externa'!W122=0,0,'Perfil - interna'!W124+'Perfil - externa'!W122)</f>
        <v>309697.83</v>
      </c>
      <c r="X124" s="219">
        <f>IF('Perfil - interna'!X124+'Perfil - externa'!X122=0,0,'Perfil - interna'!X124+'Perfil - externa'!X122)</f>
        <v>161466.39000000001</v>
      </c>
      <c r="Y124" s="219">
        <f>IF('Perfil - interna'!Y124+'Perfil - externa'!Y122=0,0,'Perfil - interna'!Y124+'Perfil - externa'!Y122)</f>
        <v>161466.39000000001</v>
      </c>
      <c r="Z124" s="219">
        <f>IF('Perfil - interna'!Z124+'Perfil - externa'!Z122=0,0,'Perfil - interna'!Z124+'Perfil - externa'!Z122)</f>
        <v>1405551.69</v>
      </c>
      <c r="AA124" s="219">
        <f>IF('Perfil - interna'!AA124+'Perfil - externa'!AA122=0,0,'Perfil - interna'!AA124+'Perfil - externa'!AA122)</f>
        <v>63527.76</v>
      </c>
      <c r="AB124" s="219">
        <f>IF('Perfil - interna'!AB124+'Perfil - externa'!AB122=0,0,'Perfil - interna'!AB124+'Perfil - externa'!AB122)</f>
        <v>44998.83</v>
      </c>
      <c r="AC124" s="219">
        <f>IF('Perfil - interna'!AC124+'Perfil - externa'!AC122=0,0,'Perfil - interna'!AC124+'Perfil - externa'!AC122)</f>
        <v>584984.79</v>
      </c>
      <c r="AD124" s="219">
        <f>IF('Perfil - interna'!AD124+'Perfil - externa'!AD122=0,0,'Perfil - interna'!AD124+'Perfil - externa'!AD122)</f>
        <v>47645.82</v>
      </c>
      <c r="AE124" s="219">
        <f>IF('Perfil - interna'!AE124+'Perfil - externa'!AE122=0,0,'Perfil - interna'!AE124+'Perfil - externa'!AE122)</f>
        <v>15881.94</v>
      </c>
      <c r="AF124" s="219">
        <f>IF('Perfil - interna'!AF124+'Perfil - externa'!AF122=0,0,'Perfil - interna'!AF124+'Perfil - externa'!AF122)</f>
        <v>5293.98</v>
      </c>
      <c r="AG124" s="219">
        <f>IF('Perfil - interna'!AG124+'Perfil - externa'!AG122=0,0,'Perfil - interna'!AG124+'Perfil - externa'!AG122)</f>
        <v>5293.98</v>
      </c>
      <c r="AH124" s="219">
        <f>IF('Perfil - interna'!AH124+'Perfil - externa'!AH122=0,0,'Perfil - interna'!AH124+'Perfil - externa'!AH122)</f>
        <v>5293.98</v>
      </c>
      <c r="AI124" s="219">
        <f>IF('Perfil - interna'!AI124+'Perfil - externa'!AI122=0,0,'Perfil - interna'!AI124+'Perfil - externa'!AI122)</f>
        <v>1686132.63</v>
      </c>
      <c r="AJ124" s="219">
        <f>IF('Perfil - interna'!AJ124+'Perfil - externa'!AJ122=0,0,'Perfil - interna'!AJ124+'Perfil - externa'!AJ122)</f>
        <v>5293.98</v>
      </c>
      <c r="AK124" s="219">
        <f>IF('Perfil - interna'!AK124+'Perfil - externa'!AK122=0,0,'Perfil - interna'!AK124+'Perfil - externa'!AK122)</f>
        <v>0</v>
      </c>
      <c r="AL124" s="219">
        <f>IF('Perfil - interna'!AL124+'Perfil - externa'!AL122=0,0,'Perfil - interna'!AL124+'Perfil - externa'!AL122)</f>
        <v>0</v>
      </c>
      <c r="AM124" s="219">
        <f>IF('Perfil - interna'!AM124+'Perfil - externa'!AM122=0,0,'Perfil - interna'!AM124+'Perfil - externa'!AM122)</f>
        <v>0</v>
      </c>
      <c r="AN124" s="219">
        <f>'Perfil - interna'!AN124</f>
        <v>0</v>
      </c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</row>
    <row r="125" spans="1:63">
      <c r="A125" s="170">
        <v>38107</v>
      </c>
      <c r="B125" s="220" t="str">
        <f>Servicio_internaColumna_título_intereses</f>
        <v>Intereses</v>
      </c>
      <c r="C125" s="221"/>
      <c r="D125" s="222"/>
      <c r="E125" s="222"/>
      <c r="F125" s="222">
        <f>IF('Perfil - interna'!F125+'Perfil - externa'!F123=0,0,'Perfil - interna'!F125+'Perfil - externa'!F123)</f>
        <v>9380576.1590848882</v>
      </c>
      <c r="G125" s="222">
        <f>IF('Perfil - interna'!G125+'Perfil - externa'!G123=0,0,'Perfil - interna'!G125+'Perfil - externa'!G123)</f>
        <v>12160754.324898226</v>
      </c>
      <c r="H125" s="222">
        <f>IF('Perfil - interna'!H125+'Perfil - externa'!H123=0,0,'Perfil - interna'!H125+'Perfil - externa'!H123)</f>
        <v>8910340.1120388098</v>
      </c>
      <c r="I125" s="222">
        <f>IF('Perfil - interna'!I125+'Perfil - externa'!I123=0,0,'Perfil - interna'!I125+'Perfil - externa'!I123)</f>
        <v>8896527.852522118</v>
      </c>
      <c r="J125" s="222">
        <f>IF('Perfil - interna'!J125+'Perfil - externa'!J123=0,0,'Perfil - interna'!J125+'Perfil - externa'!J123)</f>
        <v>6496961.2668474065</v>
      </c>
      <c r="K125" s="222">
        <f>IF('Perfil - interna'!K125+'Perfil - externa'!K123=0,0,'Perfil - interna'!K125+'Perfil - externa'!K123)</f>
        <v>6242590.9539047545</v>
      </c>
      <c r="L125" s="222">
        <f>IF('Perfil - interna'!L125+'Perfil - externa'!L123=0,0,'Perfil - interna'!L125+'Perfil - externa'!L123)</f>
        <v>7431032.2224677848</v>
      </c>
      <c r="M125" s="222">
        <f>IF('Perfil - interna'!M125+'Perfil - externa'!M123=0,0,'Perfil - interna'!M125+'Perfil - externa'!M123)</f>
        <v>5933150.5724161379</v>
      </c>
      <c r="N125" s="222">
        <f>IF('Perfil - interna'!N125+'Perfil - externa'!N123=0,0,'Perfil - interna'!N125+'Perfil - externa'!N123)</f>
        <v>4165574.8710300787</v>
      </c>
      <c r="O125" s="222">
        <f>IF('Perfil - interna'!O125+'Perfil - externa'!O123=0,0,'Perfil - interna'!O125+'Perfil - externa'!O123)</f>
        <v>2779436.2876291517</v>
      </c>
      <c r="P125" s="222">
        <f>IF('Perfil - interna'!P125+'Perfil - externa'!P123=0,0,'Perfil - interna'!P125+'Perfil - externa'!P123)</f>
        <v>3560287.429954777</v>
      </c>
      <c r="Q125" s="222">
        <f>IF('Perfil - interna'!Q125+'Perfil - externa'!Q123=0,0,'Perfil - interna'!Q125+'Perfil - externa'!Q123)</f>
        <v>1091334.7340943697</v>
      </c>
      <c r="R125" s="222">
        <f>IF('Perfil - interna'!R125+'Perfil - externa'!R123=0,0,'Perfil - interna'!R125+'Perfil - externa'!R123)</f>
        <v>892035.63</v>
      </c>
      <c r="S125" s="222">
        <f>IF('Perfil - interna'!S125+'Perfil - externa'!S123=0,0,'Perfil - interna'!S125+'Perfil - externa'!S123)</f>
        <v>849683.79</v>
      </c>
      <c r="T125" s="222">
        <f>IF('Perfil - interna'!T125+'Perfil - externa'!T123=0,0,'Perfil - interna'!T125+'Perfil - externa'!T123)</f>
        <v>1143499.68</v>
      </c>
      <c r="U125" s="222">
        <f>IF('Perfil - interna'!U125+'Perfil - externa'!U123=0,0,'Perfil - interna'!U125+'Perfil - externa'!U123)</f>
        <v>468517.23</v>
      </c>
      <c r="V125" s="222">
        <f>IF('Perfil - interna'!V125+'Perfil - externa'!V123=0,0,'Perfil - interna'!V125+'Perfil - externa'!V123)</f>
        <v>397048.5</v>
      </c>
      <c r="W125" s="222">
        <f>IF('Perfil - interna'!W125+'Perfil - externa'!W123=0,0,'Perfil - interna'!W125+'Perfil - externa'!W123)</f>
        <v>367931.61</v>
      </c>
      <c r="X125" s="222">
        <f>IF('Perfil - interna'!X125+'Perfil - externa'!X123=0,0,'Perfil - interna'!X125+'Perfil - externa'!X123)</f>
        <v>3171094.02</v>
      </c>
      <c r="Y125" s="222">
        <f>IF('Perfil - interna'!Y125+'Perfil - externa'!Y123=0,0,'Perfil - interna'!Y125+'Perfil - externa'!Y123)</f>
        <v>296462.88</v>
      </c>
      <c r="Z125" s="222">
        <f>IF('Perfil - interna'!Z125+'Perfil - externa'!Z123=0,0,'Perfil - interna'!Z125+'Perfil - externa'!Z123)</f>
        <v>148231.44</v>
      </c>
      <c r="AA125" s="222">
        <f>IF('Perfil - interna'!AA125+'Perfil - externa'!AA123=0,0,'Perfil - interna'!AA125+'Perfil - externa'!AA123)</f>
        <v>111173.58</v>
      </c>
      <c r="AB125" s="222">
        <f>IF('Perfil - interna'!AB125+'Perfil - externa'!AB123=0,0,'Perfil - interna'!AB125+'Perfil - externa'!AB123)</f>
        <v>100585.62</v>
      </c>
      <c r="AC125" s="222">
        <f>IF('Perfil - interna'!AC125+'Perfil - externa'!AC123=0,0,'Perfil - interna'!AC125+'Perfil - externa'!AC123)</f>
        <v>87350.67</v>
      </c>
      <c r="AD125" s="222">
        <f>IF('Perfil - interna'!AD125+'Perfil - externa'!AD123=0,0,'Perfil - interna'!AD125+'Perfil - externa'!AD123)</f>
        <v>71468.73</v>
      </c>
      <c r="AE125" s="222">
        <f>IF('Perfil - interna'!AE125+'Perfil - externa'!AE123=0,0,'Perfil - interna'!AE125+'Perfil - externa'!AE123)</f>
        <v>606160.71</v>
      </c>
      <c r="AF125" s="222">
        <f>IF('Perfil - interna'!AF125+'Perfil - externa'!AF123=0,0,'Perfil - interna'!AF125+'Perfil - externa'!AF123)</f>
        <v>68821.740000000005</v>
      </c>
      <c r="AG125" s="222">
        <f>IF('Perfil - interna'!AG125+'Perfil - externa'!AG123=0,0,'Perfil - interna'!AG125+'Perfil - externa'!AG123)</f>
        <v>44998.83</v>
      </c>
      <c r="AH125" s="222">
        <f>IF('Perfil - interna'!AH125+'Perfil - externa'!AH123=0,0,'Perfil - interna'!AH125+'Perfil - externa'!AH123)</f>
        <v>44998.83</v>
      </c>
      <c r="AI125" s="222">
        <f>IF('Perfil - interna'!AI125+'Perfil - externa'!AI123=0,0,'Perfil - interna'!AI125+'Perfil - externa'!AI123)</f>
        <v>0</v>
      </c>
      <c r="AJ125" s="222">
        <f>IF('Perfil - interna'!AJ125+'Perfil - externa'!AJ123=0,0,'Perfil - interna'!AJ125+'Perfil - externa'!AJ123)</f>
        <v>0</v>
      </c>
      <c r="AK125" s="222">
        <f>IF('Perfil - interna'!AK125+'Perfil - externa'!AK123=0,0,'Perfil - interna'!AK125+'Perfil - externa'!AK123)</f>
        <v>0</v>
      </c>
      <c r="AL125" s="222">
        <f>IF('Perfil - interna'!AL125+'Perfil - externa'!AL123=0,0,'Perfil - interna'!AL125+'Perfil - externa'!AL123)</f>
        <v>0</v>
      </c>
      <c r="AM125" s="222">
        <f>IF('Perfil - interna'!AM125+'Perfil - externa'!AM123=0,0,'Perfil - interna'!AM125+'Perfil - externa'!AM123)</f>
        <v>0</v>
      </c>
      <c r="AN125" s="222">
        <f>'Perfil - interna'!AN125</f>
        <v>0</v>
      </c>
      <c r="AO125" s="222"/>
      <c r="AP125" s="222"/>
      <c r="AQ125" s="222"/>
      <c r="AR125" s="222"/>
      <c r="AS125" s="222"/>
      <c r="AT125" s="222"/>
      <c r="AU125" s="222"/>
      <c r="AV125" s="222"/>
      <c r="AW125" s="222"/>
      <c r="AX125" s="222"/>
      <c r="AY125" s="222"/>
      <c r="AZ125" s="222"/>
      <c r="BA125" s="222"/>
      <c r="BB125" s="222"/>
      <c r="BC125" s="222"/>
      <c r="BD125" s="222"/>
      <c r="BE125" s="222"/>
      <c r="BF125" s="222"/>
      <c r="BG125" s="222"/>
      <c r="BH125" s="222"/>
      <c r="BI125" s="222"/>
      <c r="BJ125" s="222"/>
      <c r="BK125" s="222"/>
    </row>
    <row r="126" spans="1:63">
      <c r="A126" s="171"/>
      <c r="B126" s="318" t="str">
        <f>Servicio_internaColumna_título_total</f>
        <v>Total</v>
      </c>
      <c r="C126" s="319"/>
      <c r="D126" s="320"/>
      <c r="E126" s="320"/>
      <c r="F126" s="320">
        <f>IF('Perfil - interna'!F126+'Perfil - externa'!F124=0,0,'Perfil - interna'!F126+'Perfil - externa'!F124)</f>
        <v>18413296.277199347</v>
      </c>
      <c r="G126" s="320">
        <f>IF('Perfil - interna'!G126+'Perfil - externa'!G124=0,0,'Perfil - interna'!G126+'Perfil - externa'!G124)</f>
        <v>26833948.403047953</v>
      </c>
      <c r="H126" s="320">
        <f>IF('Perfil - interna'!H126+'Perfil - externa'!H124=0,0,'Perfil - interna'!H126+'Perfil - externa'!H124)</f>
        <v>22932621.976882756</v>
      </c>
      <c r="I126" s="320">
        <f>IF('Perfil - interna'!I126+'Perfil - externa'!I124=0,0,'Perfil - interna'!I126+'Perfil - externa'!I124)</f>
        <v>24508621.220792275</v>
      </c>
      <c r="J126" s="320">
        <f>IF('Perfil - interna'!J126+'Perfil - externa'!J124=0,0,'Perfil - interna'!J126+'Perfil - externa'!J124)</f>
        <v>20275864.989818044</v>
      </c>
      <c r="K126" s="320">
        <f>IF('Perfil - interna'!K126+'Perfil - externa'!K124=0,0,'Perfil - interna'!K126+'Perfil - externa'!K124)</f>
        <v>14120350.484755715</v>
      </c>
      <c r="L126" s="320">
        <f>IF('Perfil - interna'!L126+'Perfil - externa'!L124=0,0,'Perfil - interna'!L126+'Perfil - externa'!L124)</f>
        <v>14390603.000462342</v>
      </c>
      <c r="M126" s="320">
        <f>IF('Perfil - interna'!M126+'Perfil - externa'!M124=0,0,'Perfil - interna'!M126+'Perfil - externa'!M124)</f>
        <v>14028074.289816137</v>
      </c>
      <c r="N126" s="320">
        <f>IF('Perfil - interna'!N126+'Perfil - externa'!N124=0,0,'Perfil - interna'!N126+'Perfil - externa'!N124)</f>
        <v>16072702.928230079</v>
      </c>
      <c r="O126" s="320">
        <f>IF('Perfil - interna'!O126+'Perfil - externa'!O124=0,0,'Perfil - interna'!O126+'Perfil - externa'!O124)</f>
        <v>8791006.3785681091</v>
      </c>
      <c r="P126" s="320">
        <f>IF('Perfil - interna'!P126+'Perfil - externa'!P124=0,0,'Perfil - interna'!P126+'Perfil - externa'!P124)</f>
        <v>5573941.4399557775</v>
      </c>
      <c r="Q126" s="320">
        <f>IF('Perfil - interna'!Q126+'Perfil - externa'!Q124=0,0,'Perfil - interna'!Q126+'Perfil - externa'!Q124)</f>
        <v>3507934.1840943694</v>
      </c>
      <c r="R126" s="320">
        <f>IF('Perfil - interna'!R126+'Perfil - externa'!R124=0,0,'Perfil - interna'!R126+'Perfil - externa'!R124)</f>
        <v>2294940.33</v>
      </c>
      <c r="S126" s="320">
        <f>IF('Perfil - interna'!S126+'Perfil - externa'!S124=0,0,'Perfil - interna'!S126+'Perfil - externa'!S124)</f>
        <v>1450550.52</v>
      </c>
      <c r="T126" s="320">
        <f>IF('Perfil - interna'!T126+'Perfil - externa'!T124=0,0,'Perfil - interna'!T126+'Perfil - externa'!T124)</f>
        <v>1635839.8199999998</v>
      </c>
      <c r="U126" s="320">
        <f>IF('Perfil - interna'!U126+'Perfil - externa'!U124=0,0,'Perfil - interna'!U126+'Perfil - externa'!U124)</f>
        <v>918505.53</v>
      </c>
      <c r="V126" s="320">
        <f>IF('Perfil - interna'!V126+'Perfil - externa'!V124=0,0,'Perfil - interna'!V126+'Perfil - externa'!V124)</f>
        <v>3597259.41</v>
      </c>
      <c r="W126" s="320">
        <f>IF('Perfil - interna'!W126+'Perfil - externa'!W124=0,0,'Perfil - interna'!W126+'Perfil - externa'!W124)</f>
        <v>677629.43999999994</v>
      </c>
      <c r="X126" s="320">
        <f>IF('Perfil - interna'!X126+'Perfil - externa'!X124=0,0,'Perfil - interna'!X126+'Perfil - externa'!X124)</f>
        <v>3332560.41</v>
      </c>
      <c r="Y126" s="320">
        <f>IF('Perfil - interna'!Y126+'Perfil - externa'!Y124=0,0,'Perfil - interna'!Y126+'Perfil - externa'!Y124)</f>
        <v>457929.27</v>
      </c>
      <c r="Z126" s="320">
        <f>IF('Perfil - interna'!Z126+'Perfil - externa'!Z124=0,0,'Perfil - interna'!Z126+'Perfil - externa'!Z124)</f>
        <v>1553783.13</v>
      </c>
      <c r="AA126" s="320">
        <f>IF('Perfil - interna'!AA126+'Perfil - externa'!AA124=0,0,'Perfil - interna'!AA126+'Perfil - externa'!AA124)</f>
        <v>174701.34</v>
      </c>
      <c r="AB126" s="320">
        <f>IF('Perfil - interna'!AB126+'Perfil - externa'!AB124=0,0,'Perfil - interna'!AB126+'Perfil - externa'!AB124)</f>
        <v>145584.45000000001</v>
      </c>
      <c r="AC126" s="320">
        <f>IF('Perfil - interna'!AC126+'Perfil - externa'!AC124=0,0,'Perfil - interna'!AC126+'Perfil - externa'!AC124)</f>
        <v>672335.46000000008</v>
      </c>
      <c r="AD126" s="320">
        <f>IF('Perfil - interna'!AD126+'Perfil - externa'!AD124=0,0,'Perfil - interna'!AD126+'Perfil - externa'!AD124)</f>
        <v>119114.54999999999</v>
      </c>
      <c r="AE126" s="320">
        <f>IF('Perfil - interna'!AE126+'Perfil - externa'!AE124=0,0,'Perfil - interna'!AE126+'Perfil - externa'!AE124)</f>
        <v>622042.64999999991</v>
      </c>
      <c r="AF126" s="320">
        <f>IF('Perfil - interna'!AF126+'Perfil - externa'!AF124=0,0,'Perfil - interna'!AF126+'Perfil - externa'!AF124)</f>
        <v>74115.72</v>
      </c>
      <c r="AG126" s="320">
        <f>IF('Perfil - interna'!AG126+'Perfil - externa'!AG124=0,0,'Perfil - interna'!AG126+'Perfil - externa'!AG124)</f>
        <v>50292.81</v>
      </c>
      <c r="AH126" s="320">
        <f>IF('Perfil - interna'!AH126+'Perfil - externa'!AH124=0,0,'Perfil - interna'!AH126+'Perfil - externa'!AH124)</f>
        <v>50292.81</v>
      </c>
      <c r="AI126" s="320">
        <f>IF('Perfil - interna'!AI126+'Perfil - externa'!AI124=0,0,'Perfil - interna'!AI126+'Perfil - externa'!AI124)</f>
        <v>1686132.63</v>
      </c>
      <c r="AJ126" s="320">
        <f>IF('Perfil - interna'!AJ126+'Perfil - externa'!AJ124=0,0,'Perfil - interna'!AJ126+'Perfil - externa'!AJ124)</f>
        <v>5293.98</v>
      </c>
      <c r="AK126" s="320">
        <f>IF('Perfil - interna'!AK126+'Perfil - externa'!AK124=0,0,'Perfil - interna'!AK126+'Perfil - externa'!AK124)</f>
        <v>0</v>
      </c>
      <c r="AL126" s="320">
        <f>IF('Perfil - interna'!AL126+'Perfil - externa'!AL124=0,0,'Perfil - interna'!AL126+'Perfil - externa'!AL124)</f>
        <v>0</v>
      </c>
      <c r="AM126" s="320">
        <f>IF('Perfil - interna'!AM126+'Perfil - externa'!AM124=0,0,'Perfil - interna'!AM126+'Perfil - externa'!AM124)</f>
        <v>0</v>
      </c>
      <c r="AN126" s="320">
        <f>+AN125+AN124</f>
        <v>0</v>
      </c>
      <c r="AO126" s="320"/>
      <c r="AP126" s="320"/>
      <c r="AQ126" s="320"/>
      <c r="AR126" s="320"/>
      <c r="AS126" s="320"/>
      <c r="AT126" s="320"/>
      <c r="AU126" s="320"/>
      <c r="AV126" s="320"/>
      <c r="AW126" s="320"/>
      <c r="AX126" s="320"/>
      <c r="AY126" s="320"/>
      <c r="AZ126" s="320"/>
      <c r="BA126" s="320"/>
      <c r="BB126" s="320"/>
      <c r="BC126" s="320"/>
      <c r="BD126" s="320"/>
      <c r="BE126" s="320"/>
      <c r="BF126" s="320"/>
      <c r="BG126" s="320"/>
      <c r="BH126" s="320"/>
      <c r="BI126" s="320"/>
      <c r="BJ126" s="320"/>
      <c r="BK126" s="320"/>
    </row>
    <row r="127" spans="1:63">
      <c r="A127" s="167"/>
      <c r="B127" s="217" t="str">
        <f>Servicio_internaColumna_título_amortizaciones</f>
        <v>Amortizaciones</v>
      </c>
      <c r="C127" s="218"/>
      <c r="D127" s="219"/>
      <c r="E127" s="219"/>
      <c r="F127" s="219">
        <f>IF('Perfil - interna'!F127+'Perfil - externa'!F125=0,0,'Perfil - interna'!F127+'Perfil - externa'!F125)</f>
        <v>6599898.0164162526</v>
      </c>
      <c r="G127" s="219">
        <f>IF('Perfil - interna'!G127+'Perfil - externa'!G125=0,0,'Perfil - interna'!G127+'Perfil - externa'!G125)</f>
        <v>15375238.360365884</v>
      </c>
      <c r="H127" s="219">
        <f>IF('Perfil - interna'!H127+'Perfil - externa'!H125=0,0,'Perfil - interna'!H127+'Perfil - externa'!H125)</f>
        <v>14208600.730598692</v>
      </c>
      <c r="I127" s="219">
        <f>IF('Perfil - interna'!I127+'Perfil - externa'!I125=0,0,'Perfil - interna'!I127+'Perfil - externa'!I125)</f>
        <v>16017705.262046292</v>
      </c>
      <c r="J127" s="219">
        <f>IF('Perfil - interna'!J127+'Perfil - externa'!J125=0,0,'Perfil - interna'!J127+'Perfil - externa'!J125)</f>
        <v>14098752.895554464</v>
      </c>
      <c r="K127" s="219">
        <f>IF('Perfil - interna'!K127+'Perfil - externa'!K125=0,0,'Perfil - interna'!K127+'Perfil - externa'!K125)</f>
        <v>8028467.1444088044</v>
      </c>
      <c r="L127" s="219">
        <f>IF('Perfil - interna'!L127+'Perfil - externa'!L125=0,0,'Perfil - interna'!L127+'Perfil - externa'!L125)</f>
        <v>7209059.8006655741</v>
      </c>
      <c r="M127" s="219">
        <f>IF('Perfil - interna'!M127+'Perfil - externa'!M125=0,0,'Perfil - interna'!M127+'Perfil - externa'!M125)</f>
        <v>8198927.4082000004</v>
      </c>
      <c r="N127" s="219">
        <f>IF('Perfil - interna'!N127+'Perfil - externa'!N125=0,0,'Perfil - interna'!N127+'Perfil - externa'!N125)</f>
        <v>12129571.2896</v>
      </c>
      <c r="O127" s="219">
        <f>IF('Perfil - interna'!O127+'Perfil - externa'!O125=0,0,'Perfil - interna'!O127+'Perfil - externa'!O125)</f>
        <v>6112155.9340654369</v>
      </c>
      <c r="P127" s="219">
        <f>IF('Perfil - interna'!P127+'Perfil - externa'!P125=0,0,'Perfil - interna'!P127+'Perfil - externa'!P125)</f>
        <v>2063517.76</v>
      </c>
      <c r="Q127" s="219">
        <f>IF('Perfil - interna'!Q127+'Perfil - externa'!Q125=0,0,'Perfil - interna'!Q127+'Perfil - externa'!Q125)</f>
        <v>2467319.5300000003</v>
      </c>
      <c r="R127" s="219">
        <f>IF('Perfil - interna'!R127+'Perfil - externa'!R125=0,0,'Perfil - interna'!R127+'Perfil - externa'!R125)</f>
        <v>1446932.52</v>
      </c>
      <c r="S127" s="219">
        <f>IF('Perfil - interna'!S127+'Perfil - externa'!S125=0,0,'Perfil - interna'!S127+'Perfil - externa'!S125)</f>
        <v>621281.76</v>
      </c>
      <c r="T127" s="219">
        <f>IF('Perfil - interna'!T127+'Perfil - externa'!T125=0,0,'Perfil - interna'!T127+'Perfil - externa'!T125)</f>
        <v>509560.04</v>
      </c>
      <c r="U127" s="219">
        <f>IF('Perfil - interna'!U127+'Perfil - externa'!U125=0,0,'Perfil - interna'!U127+'Perfil - externa'!U125)</f>
        <v>465961.32</v>
      </c>
      <c r="V127" s="219">
        <f>IF('Perfil - interna'!V127+'Perfil - externa'!V125=0,0,'Perfil - interna'!V127+'Perfil - externa'!V125)</f>
        <v>3302603.04</v>
      </c>
      <c r="W127" s="219">
        <f>IF('Perfil - interna'!W127+'Perfil - externa'!W125=0,0,'Perfil - interna'!W127+'Perfil - externa'!W125)</f>
        <v>321540.56</v>
      </c>
      <c r="X127" s="219">
        <f>IF('Perfil - interna'!X127+'Perfil - externa'!X125=0,0,'Perfil - interna'!X127+'Perfil - externa'!X125)</f>
        <v>166220.12</v>
      </c>
      <c r="Y127" s="219">
        <f>IF('Perfil - interna'!Y127+'Perfil - externa'!Y125=0,0,'Perfil - interna'!Y127+'Perfil - externa'!Y125)</f>
        <v>166220.12</v>
      </c>
      <c r="Z127" s="219">
        <f>IF('Perfil - interna'!Z127+'Perfil - externa'!Z125=0,0,'Perfil - interna'!Z127+'Perfil - externa'!Z125)</f>
        <v>1446932.52</v>
      </c>
      <c r="AA127" s="219">
        <f>IF('Perfil - interna'!AA127+'Perfil - externa'!AA125=0,0,'Perfil - interna'!AA127+'Perfil - externa'!AA125)</f>
        <v>65398.080000000002</v>
      </c>
      <c r="AB127" s="219">
        <f>IF('Perfil - interna'!AB127+'Perfil - externa'!AB125=0,0,'Perfil - interna'!AB127+'Perfil - externa'!AB125)</f>
        <v>46323.64</v>
      </c>
      <c r="AC127" s="219">
        <f>IF('Perfil - interna'!AC127+'Perfil - externa'!AC125=0,0,'Perfil - interna'!AC127+'Perfil - externa'!AC125)</f>
        <v>602207.31999999995</v>
      </c>
      <c r="AD127" s="219">
        <f>IF('Perfil - interna'!AD127+'Perfil - externa'!AD125=0,0,'Perfil - interna'!AD127+'Perfil - externa'!AD125)</f>
        <v>49048.56</v>
      </c>
      <c r="AE127" s="219">
        <f>IF('Perfil - interna'!AE127+'Perfil - externa'!AE125=0,0,'Perfil - interna'!AE127+'Perfil - externa'!AE125)</f>
        <v>16349.52</v>
      </c>
      <c r="AF127" s="219">
        <f>IF('Perfil - interna'!AF127+'Perfil - externa'!AF125=0,0,'Perfil - interna'!AF127+'Perfil - externa'!AF125)</f>
        <v>5449.84</v>
      </c>
      <c r="AG127" s="219">
        <f>IF('Perfil - interna'!AG127+'Perfil - externa'!AG125=0,0,'Perfil - interna'!AG127+'Perfil - externa'!AG125)</f>
        <v>5449.84</v>
      </c>
      <c r="AH127" s="219">
        <f>IF('Perfil - interna'!AH127+'Perfil - externa'!AH125=0,0,'Perfil - interna'!AH127+'Perfil - externa'!AH125)</f>
        <v>5449.84</v>
      </c>
      <c r="AI127" s="219">
        <f>IF('Perfil - interna'!AI127+'Perfil - externa'!AI125=0,0,'Perfil - interna'!AI127+'Perfil - externa'!AI125)</f>
        <v>1735774.04</v>
      </c>
      <c r="AJ127" s="219">
        <f>IF('Perfil - interna'!AJ127+'Perfil - externa'!AJ125=0,0,'Perfil - interna'!AJ127+'Perfil - externa'!AJ125)</f>
        <v>5449.84</v>
      </c>
      <c r="AK127" s="219">
        <f>IF('Perfil - interna'!AK127+'Perfil - externa'!AK125=0,0,'Perfil - interna'!AK127+'Perfil - externa'!AK125)</f>
        <v>0</v>
      </c>
      <c r="AL127" s="219">
        <f>IF('Perfil - interna'!AL127+'Perfil - externa'!AL125=0,0,'Perfil - interna'!AL127+'Perfil - externa'!AL125)</f>
        <v>0</v>
      </c>
      <c r="AM127" s="219">
        <f>IF('Perfil - interna'!AM127+'Perfil - externa'!AM125=0,0,'Perfil - interna'!AM127+'Perfil - externa'!AM125)</f>
        <v>0</v>
      </c>
      <c r="AN127" s="219">
        <f>'Perfil - interna'!AN127</f>
        <v>0</v>
      </c>
      <c r="AO127" s="219"/>
      <c r="AP127" s="219"/>
      <c r="AQ127" s="219"/>
      <c r="AR127" s="219"/>
      <c r="AS127" s="219"/>
      <c r="AT127" s="219"/>
      <c r="AU127" s="219"/>
      <c r="AV127" s="219"/>
      <c r="AW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J127" s="219"/>
      <c r="BK127" s="219"/>
    </row>
    <row r="128" spans="1:63">
      <c r="A128" s="170">
        <v>38138</v>
      </c>
      <c r="B128" s="220" t="str">
        <f>Servicio_internaColumna_título_intereses</f>
        <v>Intereses</v>
      </c>
      <c r="C128" s="221"/>
      <c r="D128" s="222"/>
      <c r="E128" s="222"/>
      <c r="F128" s="222">
        <f>IF('Perfil - interna'!F128+'Perfil - externa'!F126=0,0,'Perfil - interna'!F128+'Perfil - externa'!F126)</f>
        <v>9368476.7403070871</v>
      </c>
      <c r="G128" s="222">
        <f>IF('Perfil - interna'!G128+'Perfil - externa'!G126=0,0,'Perfil - interna'!G128+'Perfil - externa'!G126)</f>
        <v>12464148.732148133</v>
      </c>
      <c r="H128" s="222">
        <f>IF('Perfil - interna'!H128+'Perfil - externa'!H126=0,0,'Perfil - interna'!H128+'Perfil - externa'!H126)</f>
        <v>9096757.5939202514</v>
      </c>
      <c r="I128" s="222">
        <f>IF('Perfil - interna'!I128+'Perfil - externa'!I126=0,0,'Perfil - interna'!I128+'Perfil - externa'!I126)</f>
        <v>9109080.324193107</v>
      </c>
      <c r="J128" s="222">
        <f>IF('Perfil - interna'!J128+'Perfil - externa'!J126=0,0,'Perfil - interna'!J128+'Perfil - externa'!J126)</f>
        <v>6648634.5632301699</v>
      </c>
      <c r="K128" s="222">
        <f>IF('Perfil - interna'!K128+'Perfil - externa'!K126=0,0,'Perfil - interna'!K128+'Perfil - externa'!K126)</f>
        <v>6396597.6760417456</v>
      </c>
      <c r="L128" s="222">
        <f>IF('Perfil - interna'!L128+'Perfil - externa'!L126=0,0,'Perfil - interna'!L128+'Perfil - externa'!L126)</f>
        <v>7625721.9506672118</v>
      </c>
      <c r="M128" s="222">
        <f>IF('Perfil - interna'!M128+'Perfil - externa'!M126=0,0,'Perfil - interna'!M128+'Perfil - externa'!M126)</f>
        <v>6071890.2675468791</v>
      </c>
      <c r="N128" s="222">
        <f>IF('Perfil - interna'!N128+'Perfil - externa'!N126=0,0,'Perfil - interna'!N128+'Perfil - externa'!N126)</f>
        <v>4265528.9071145952</v>
      </c>
      <c r="O128" s="222">
        <f>IF('Perfil - interna'!O128+'Perfil - externa'!O126=0,0,'Perfil - interna'!O128+'Perfil - externa'!O126)</f>
        <v>2851300.6373973396</v>
      </c>
      <c r="P128" s="222">
        <f>IF('Perfil - interna'!P128+'Perfil - externa'!P126=0,0,'Perfil - interna'!P128+'Perfil - externa'!P126)</f>
        <v>3662326.0497816792</v>
      </c>
      <c r="Q128" s="222">
        <f>IF('Perfil - interna'!Q128+'Perfil - externa'!Q126=0,0,'Perfil - interna'!Q128+'Perfil - externa'!Q126)</f>
        <v>1120555.7736243035</v>
      </c>
      <c r="R128" s="222">
        <f>IF('Perfil - interna'!R128+'Perfil - externa'!R126=0,0,'Perfil - interna'!R128+'Perfil - externa'!R126)</f>
        <v>918298.04</v>
      </c>
      <c r="S128" s="222">
        <f>IF('Perfil - interna'!S128+'Perfil - externa'!S126=0,0,'Perfil - interna'!S128+'Perfil - externa'!S126)</f>
        <v>874699.32</v>
      </c>
      <c r="T128" s="222">
        <f>IF('Perfil - interna'!T128+'Perfil - externa'!T126=0,0,'Perfil - interna'!T128+'Perfil - externa'!T126)</f>
        <v>1177165.44</v>
      </c>
      <c r="U128" s="222">
        <f>IF('Perfil - interna'!U128+'Perfil - externa'!U126=0,0,'Perfil - interna'!U128+'Perfil - externa'!U126)</f>
        <v>482310.84</v>
      </c>
      <c r="V128" s="222">
        <f>IF('Perfil - interna'!V128+'Perfil - externa'!V126=0,0,'Perfil - interna'!V128+'Perfil - externa'!V126)</f>
        <v>408738</v>
      </c>
      <c r="W128" s="222">
        <f>IF('Perfil - interna'!W128+'Perfil - externa'!W126=0,0,'Perfil - interna'!W128+'Perfil - externa'!W126)</f>
        <v>378763.88</v>
      </c>
      <c r="X128" s="222">
        <f>IF('Perfil - interna'!X128+'Perfil - externa'!X126=0,0,'Perfil - interna'!X128+'Perfil - externa'!X126)</f>
        <v>3264454.16</v>
      </c>
      <c r="Y128" s="222">
        <f>IF('Perfil - interna'!Y128+'Perfil - externa'!Y126=0,0,'Perfil - interna'!Y128+'Perfil - externa'!Y126)</f>
        <v>305191.03999999998</v>
      </c>
      <c r="Z128" s="222">
        <f>IF('Perfil - interna'!Z128+'Perfil - externa'!Z126=0,0,'Perfil - interna'!Z128+'Perfil - externa'!Z126)</f>
        <v>152595.51999999999</v>
      </c>
      <c r="AA128" s="222">
        <f>IF('Perfil - interna'!AA128+'Perfil - externa'!AA126=0,0,'Perfil - interna'!AA128+'Perfil - externa'!AA126)</f>
        <v>114446.64</v>
      </c>
      <c r="AB128" s="222">
        <f>IF('Perfil - interna'!AB128+'Perfil - externa'!AB126=0,0,'Perfil - interna'!AB128+'Perfil - externa'!AB126)</f>
        <v>103546.96</v>
      </c>
      <c r="AC128" s="222">
        <f>IF('Perfil - interna'!AC128+'Perfil - externa'!AC126=0,0,'Perfil - interna'!AC128+'Perfil - externa'!AC126)</f>
        <v>89922.36</v>
      </c>
      <c r="AD128" s="222">
        <f>IF('Perfil - interna'!AD128+'Perfil - externa'!AD126=0,0,'Perfil - interna'!AD128+'Perfil - externa'!AD126)</f>
        <v>73572.84</v>
      </c>
      <c r="AE128" s="222">
        <f>IF('Perfil - interna'!AE128+'Perfil - externa'!AE126=0,0,'Perfil - interna'!AE128+'Perfil - externa'!AE126)</f>
        <v>624006.68000000005</v>
      </c>
      <c r="AF128" s="222">
        <f>IF('Perfil - interna'!AF128+'Perfil - externa'!AF126=0,0,'Perfil - interna'!AF128+'Perfil - externa'!AF126)</f>
        <v>70847.92</v>
      </c>
      <c r="AG128" s="222">
        <f>IF('Perfil - interna'!AG128+'Perfil - externa'!AG126=0,0,'Perfil - interna'!AG128+'Perfil - externa'!AG126)</f>
        <v>46323.64</v>
      </c>
      <c r="AH128" s="222">
        <f>IF('Perfil - interna'!AH128+'Perfil - externa'!AH126=0,0,'Perfil - interna'!AH128+'Perfil - externa'!AH126)</f>
        <v>46323.64</v>
      </c>
      <c r="AI128" s="222">
        <f>IF('Perfil - interna'!AI128+'Perfil - externa'!AI126=0,0,'Perfil - interna'!AI128+'Perfil - externa'!AI126)</f>
        <v>0</v>
      </c>
      <c r="AJ128" s="222">
        <f>IF('Perfil - interna'!AJ128+'Perfil - externa'!AJ126=0,0,'Perfil - interna'!AJ128+'Perfil - externa'!AJ126)</f>
        <v>0</v>
      </c>
      <c r="AK128" s="222">
        <f>IF('Perfil - interna'!AK128+'Perfil - externa'!AK126=0,0,'Perfil - interna'!AK128+'Perfil - externa'!AK126)</f>
        <v>0</v>
      </c>
      <c r="AL128" s="222">
        <f>IF('Perfil - interna'!AL128+'Perfil - externa'!AL126=0,0,'Perfil - interna'!AL128+'Perfil - externa'!AL126)</f>
        <v>0</v>
      </c>
      <c r="AM128" s="222">
        <f>IF('Perfil - interna'!AM128+'Perfil - externa'!AM126=0,0,'Perfil - interna'!AM128+'Perfil - externa'!AM126)</f>
        <v>0</v>
      </c>
      <c r="AN128" s="222">
        <f>'Perfil - interna'!AN128</f>
        <v>0</v>
      </c>
      <c r="AO128" s="222"/>
      <c r="AP128" s="222"/>
      <c r="AQ128" s="222"/>
      <c r="AR128" s="222"/>
      <c r="AS128" s="222"/>
      <c r="AT128" s="222"/>
      <c r="AU128" s="222"/>
      <c r="AV128" s="222"/>
      <c r="AW128" s="222"/>
      <c r="AX128" s="222"/>
      <c r="AY128" s="222"/>
      <c r="AZ128" s="222"/>
      <c r="BA128" s="222"/>
      <c r="BB128" s="222"/>
      <c r="BC128" s="222"/>
      <c r="BD128" s="222"/>
      <c r="BE128" s="222"/>
      <c r="BF128" s="222"/>
      <c r="BG128" s="222"/>
      <c r="BH128" s="222"/>
      <c r="BI128" s="222"/>
      <c r="BJ128" s="222"/>
      <c r="BK128" s="222"/>
    </row>
    <row r="129" spans="1:63">
      <c r="A129" s="171"/>
      <c r="B129" s="318" t="str">
        <f>Servicio_internaColumna_título_total</f>
        <v>Total</v>
      </c>
      <c r="C129" s="319"/>
      <c r="D129" s="320"/>
      <c r="E129" s="320"/>
      <c r="F129" s="320">
        <f>IF('Perfil - interna'!F129+'Perfil - externa'!F127=0,0,'Perfil - interna'!F129+'Perfil - externa'!F127)</f>
        <v>15968374.756723341</v>
      </c>
      <c r="G129" s="320">
        <f>IF('Perfil - interna'!G129+'Perfil - externa'!G127=0,0,'Perfil - interna'!G129+'Perfil - externa'!G127)</f>
        <v>27839387.092514016</v>
      </c>
      <c r="H129" s="320">
        <f>IF('Perfil - interna'!H129+'Perfil - externa'!H127=0,0,'Perfil - interna'!H129+'Perfil - externa'!H127)</f>
        <v>23305358.324518941</v>
      </c>
      <c r="I129" s="320">
        <f>IF('Perfil - interna'!I129+'Perfil - externa'!I127=0,0,'Perfil - interna'!I129+'Perfil - externa'!I127)</f>
        <v>25126785.586239401</v>
      </c>
      <c r="J129" s="320">
        <f>IF('Perfil - interna'!J129+'Perfil - externa'!J127=0,0,'Perfil - interna'!J129+'Perfil - externa'!J127)</f>
        <v>20747387.458784632</v>
      </c>
      <c r="K129" s="320">
        <f>IF('Perfil - interna'!K129+'Perfil - externa'!K127=0,0,'Perfil - interna'!K129+'Perfil - externa'!K127)</f>
        <v>14425064.82045055</v>
      </c>
      <c r="L129" s="320">
        <f>IF('Perfil - interna'!L129+'Perfil - externa'!L127=0,0,'Perfil - interna'!L129+'Perfil - externa'!L127)</f>
        <v>14834781.751332786</v>
      </c>
      <c r="M129" s="320">
        <f>IF('Perfil - interna'!M129+'Perfil - externa'!M127=0,0,'Perfil - interna'!M129+'Perfil - externa'!M127)</f>
        <v>14270817.67574688</v>
      </c>
      <c r="N129" s="320">
        <f>IF('Perfil - interna'!N129+'Perfil - externa'!N127=0,0,'Perfil - interna'!N129+'Perfil - externa'!N127)</f>
        <v>16395100.196714595</v>
      </c>
      <c r="O129" s="320">
        <f>IF('Perfil - interna'!O129+'Perfil - externa'!O127=0,0,'Perfil - interna'!O129+'Perfil - externa'!O127)</f>
        <v>8963456.5714627765</v>
      </c>
      <c r="P129" s="320">
        <f>IF('Perfil - interna'!P129+'Perfil - externa'!P127=0,0,'Perfil - interna'!P129+'Perfil - externa'!P127)</f>
        <v>5725843.8097816799</v>
      </c>
      <c r="Q129" s="320">
        <f>IF('Perfil - interna'!Q129+'Perfil - externa'!Q127=0,0,'Perfil - interna'!Q129+'Perfil - externa'!Q127)</f>
        <v>3587875.3036243035</v>
      </c>
      <c r="R129" s="320">
        <f>IF('Perfil - interna'!R129+'Perfil - externa'!R127=0,0,'Perfil - interna'!R129+'Perfil - externa'!R127)</f>
        <v>2365230.56</v>
      </c>
      <c r="S129" s="320">
        <f>IF('Perfil - interna'!S129+'Perfil - externa'!S127=0,0,'Perfil - interna'!S129+'Perfil - externa'!S127)</f>
        <v>1495981.08</v>
      </c>
      <c r="T129" s="320">
        <f>IF('Perfil - interna'!T129+'Perfil - externa'!T127=0,0,'Perfil - interna'!T129+'Perfil - externa'!T127)</f>
        <v>1686725.48</v>
      </c>
      <c r="U129" s="320">
        <f>IF('Perfil - interna'!U129+'Perfil - externa'!U127=0,0,'Perfil - interna'!U129+'Perfil - externa'!U127)</f>
        <v>948272.16</v>
      </c>
      <c r="V129" s="320">
        <f>IF('Perfil - interna'!V129+'Perfil - externa'!V127=0,0,'Perfil - interna'!V129+'Perfil - externa'!V127)</f>
        <v>3711341.04</v>
      </c>
      <c r="W129" s="320">
        <f>IF('Perfil - interna'!W129+'Perfil - externa'!W127=0,0,'Perfil - interna'!W129+'Perfil - externa'!W127)</f>
        <v>700304.44</v>
      </c>
      <c r="X129" s="320">
        <f>IF('Perfil - interna'!X129+'Perfil - externa'!X127=0,0,'Perfil - interna'!X129+'Perfil - externa'!X127)</f>
        <v>3430674.2800000003</v>
      </c>
      <c r="Y129" s="320">
        <f>IF('Perfil - interna'!Y129+'Perfil - externa'!Y127=0,0,'Perfil - interna'!Y129+'Perfil - externa'!Y127)</f>
        <v>471411.16</v>
      </c>
      <c r="Z129" s="320">
        <f>IF('Perfil - interna'!Z129+'Perfil - externa'!Z127=0,0,'Perfil - interna'!Z129+'Perfil - externa'!Z127)</f>
        <v>1599528.04</v>
      </c>
      <c r="AA129" s="320">
        <f>IF('Perfil - interna'!AA129+'Perfil - externa'!AA127=0,0,'Perfil - interna'!AA129+'Perfil - externa'!AA127)</f>
        <v>179844.72</v>
      </c>
      <c r="AB129" s="320">
        <f>IF('Perfil - interna'!AB129+'Perfil - externa'!AB127=0,0,'Perfil - interna'!AB129+'Perfil - externa'!AB127)</f>
        <v>149870.6</v>
      </c>
      <c r="AC129" s="320">
        <f>IF('Perfil - interna'!AC129+'Perfil - externa'!AC127=0,0,'Perfil - interna'!AC129+'Perfil - externa'!AC127)</f>
        <v>692129.67999999993</v>
      </c>
      <c r="AD129" s="320">
        <f>IF('Perfil - interna'!AD129+'Perfil - externa'!AD127=0,0,'Perfil - interna'!AD129+'Perfil - externa'!AD127)</f>
        <v>122621.4</v>
      </c>
      <c r="AE129" s="320">
        <f>IF('Perfil - interna'!AE129+'Perfil - externa'!AE127=0,0,'Perfil - interna'!AE129+'Perfil - externa'!AE127)</f>
        <v>640356.20000000007</v>
      </c>
      <c r="AF129" s="320">
        <f>IF('Perfil - interna'!AF129+'Perfil - externa'!AF127=0,0,'Perfil - interna'!AF129+'Perfil - externa'!AF127)</f>
        <v>76297.759999999995</v>
      </c>
      <c r="AG129" s="320">
        <f>IF('Perfil - interna'!AG129+'Perfil - externa'!AG127=0,0,'Perfil - interna'!AG129+'Perfil - externa'!AG127)</f>
        <v>51773.479999999996</v>
      </c>
      <c r="AH129" s="320">
        <f>IF('Perfil - interna'!AH129+'Perfil - externa'!AH127=0,0,'Perfil - interna'!AH129+'Perfil - externa'!AH127)</f>
        <v>51773.479999999996</v>
      </c>
      <c r="AI129" s="320">
        <f>IF('Perfil - interna'!AI129+'Perfil - externa'!AI127=0,0,'Perfil - interna'!AI129+'Perfil - externa'!AI127)</f>
        <v>1735774.04</v>
      </c>
      <c r="AJ129" s="320">
        <f>IF('Perfil - interna'!AJ129+'Perfil - externa'!AJ127=0,0,'Perfil - interna'!AJ129+'Perfil - externa'!AJ127)</f>
        <v>5449.84</v>
      </c>
      <c r="AK129" s="320">
        <f>IF('Perfil - interna'!AK129+'Perfil - externa'!AK127=0,0,'Perfil - interna'!AK129+'Perfil - externa'!AK127)</f>
        <v>0</v>
      </c>
      <c r="AL129" s="320">
        <f>IF('Perfil - interna'!AL129+'Perfil - externa'!AL127=0,0,'Perfil - interna'!AL129+'Perfil - externa'!AL127)</f>
        <v>0</v>
      </c>
      <c r="AM129" s="320">
        <f>IF('Perfil - interna'!AM129+'Perfil - externa'!AM127=0,0,'Perfil - interna'!AM129+'Perfil - externa'!AM127)</f>
        <v>0</v>
      </c>
      <c r="AN129" s="320">
        <f>+AN128+AN127</f>
        <v>0</v>
      </c>
      <c r="AO129" s="320"/>
      <c r="AP129" s="320"/>
      <c r="AQ129" s="320"/>
      <c r="AR129" s="320"/>
      <c r="AS129" s="320"/>
      <c r="AT129" s="320"/>
      <c r="AU129" s="320"/>
      <c r="AV129" s="320"/>
      <c r="AW129" s="320"/>
      <c r="AX129" s="320"/>
      <c r="AY129" s="320"/>
      <c r="AZ129" s="320"/>
      <c r="BA129" s="320"/>
      <c r="BB129" s="320"/>
      <c r="BC129" s="320"/>
      <c r="BD129" s="320"/>
      <c r="BE129" s="320"/>
      <c r="BF129" s="320"/>
      <c r="BG129" s="320"/>
      <c r="BH129" s="320"/>
      <c r="BI129" s="320"/>
      <c r="BJ129" s="320"/>
      <c r="BK129" s="320"/>
    </row>
    <row r="130" spans="1:63">
      <c r="A130" s="167"/>
      <c r="B130" s="217" t="str">
        <f>Servicio_internaColumna_título_amortizaciones</f>
        <v>Amortizaciones</v>
      </c>
      <c r="C130" s="218"/>
      <c r="D130" s="219"/>
      <c r="E130" s="219"/>
      <c r="F130" s="219">
        <f>IF('Perfil - interna'!F130+'Perfil - externa'!F128=0,0,'Perfil - interna'!F130+'Perfil - externa'!F128)</f>
        <v>3535065.8949961914</v>
      </c>
      <c r="G130" s="219">
        <f>IF('Perfil - interna'!G130+'Perfil - externa'!G128=0,0,'Perfil - interna'!G130+'Perfil - externa'!G128)</f>
        <v>16324976.382184923</v>
      </c>
      <c r="H130" s="219">
        <f>IF('Perfil - interna'!H130+'Perfil - externa'!H128=0,0,'Perfil - interna'!H130+'Perfil - externa'!H128)</f>
        <v>14161203.793756284</v>
      </c>
      <c r="I130" s="219">
        <f>IF('Perfil - interna'!I130+'Perfil - externa'!I128=0,0,'Perfil - interna'!I130+'Perfil - externa'!I128)</f>
        <v>16319949.857838031</v>
      </c>
      <c r="J130" s="219">
        <f>IF('Perfil - interna'!J130+'Perfil - externa'!J128=0,0,'Perfil - interna'!J130+'Perfil - externa'!J128)</f>
        <v>14267280.942787074</v>
      </c>
      <c r="K130" s="219">
        <f>IF('Perfil - interna'!K130+'Perfil - externa'!K128=0,0,'Perfil - interna'!K130+'Perfil - externa'!K128)</f>
        <v>7979156.1027693031</v>
      </c>
      <c r="L130" s="219">
        <f>IF('Perfil - interna'!L130+'Perfil - externa'!L128=0,0,'Perfil - interna'!L130+'Perfil - externa'!L128)</f>
        <v>7410856.4750289517</v>
      </c>
      <c r="M130" s="219">
        <f>IF('Perfil - interna'!M130+'Perfil - externa'!M128=0,0,'Perfil - interna'!M130+'Perfil - externa'!M128)</f>
        <v>8315085.2022368014</v>
      </c>
      <c r="N130" s="219">
        <f>IF('Perfil - interna'!N130+'Perfil - externa'!N128=0,0,'Perfil - interna'!N130+'Perfil - externa'!N128)</f>
        <v>12403520.579854729</v>
      </c>
      <c r="O130" s="219">
        <f>IF('Perfil - interna'!O130+'Perfil - externa'!O128=0,0,'Perfil - interna'!O130+'Perfil - externa'!O128)</f>
        <v>6038517.6558608972</v>
      </c>
      <c r="P130" s="219">
        <f>IF('Perfil - interna'!P130+'Perfil - externa'!P128=0,0,'Perfil - interna'!P130+'Perfil - externa'!P128)</f>
        <v>1917010.8</v>
      </c>
      <c r="Q130" s="219">
        <f>IF('Perfil - interna'!Q130+'Perfil - externa'!Q128=0,0,'Perfil - interna'!Q130+'Perfil - externa'!Q128)</f>
        <v>2362973.96</v>
      </c>
      <c r="R130" s="219">
        <f>IF('Perfil - interna'!R130+'Perfil - externa'!R128=0,0,'Perfil - interna'!R130+'Perfil - externa'!R128)</f>
        <v>1433476.98</v>
      </c>
      <c r="S130" s="219">
        <f>IF('Perfil - interna'!S130+'Perfil - externa'!S128=0,0,'Perfil - interna'!S130+'Perfil - externa'!S128)</f>
        <v>618203.81999999995</v>
      </c>
      <c r="T130" s="219">
        <f>IF('Perfil - interna'!T130+'Perfil - externa'!T128=0,0,'Perfil - interna'!T130+'Perfil - externa'!T128)</f>
        <v>510220.62</v>
      </c>
      <c r="U130" s="219">
        <f>IF('Perfil - interna'!U130+'Perfil - externa'!U128=0,0,'Perfil - interna'!U130+'Perfil - externa'!U128)</f>
        <v>464327.76</v>
      </c>
      <c r="V130" s="219">
        <f>IF('Perfil - interna'!V130+'Perfil - externa'!V128=0,0,'Perfil - interna'!V130+'Perfil - externa'!V128)</f>
        <v>3274590.54</v>
      </c>
      <c r="W130" s="219">
        <f>IF('Perfil - interna'!W130+'Perfil - externa'!W128=0,0,'Perfil - interna'!W130+'Perfil - externa'!W128)</f>
        <v>321250.02</v>
      </c>
      <c r="X130" s="219">
        <f>IF('Perfil - interna'!X130+'Perfil - externa'!X128=0,0,'Perfil - interna'!X130+'Perfil - externa'!X128)</f>
        <v>167373.96</v>
      </c>
      <c r="Y130" s="219">
        <f>IF('Perfil - interna'!Y130+'Perfil - externa'!Y128=0,0,'Perfil - interna'!Y130+'Perfil - externa'!Y128)</f>
        <v>167373.96</v>
      </c>
      <c r="Z130" s="219">
        <f>IF('Perfil - interna'!Z130+'Perfil - externa'!Z128=0,0,'Perfil - interna'!Z130+'Perfil - externa'!Z128)</f>
        <v>1436176.56</v>
      </c>
      <c r="AA130" s="219">
        <f>IF('Perfil - interna'!AA130+'Perfil - externa'!AA128=0,0,'Perfil - interna'!AA130+'Perfil - externa'!AA128)</f>
        <v>67489.5</v>
      </c>
      <c r="AB130" s="219">
        <f>IF('Perfil - interna'!AB130+'Perfil - externa'!AB128=0,0,'Perfil - interna'!AB130+'Perfil - externa'!AB128)</f>
        <v>48592.44</v>
      </c>
      <c r="AC130" s="219">
        <f>IF('Perfil - interna'!AC130+'Perfil - externa'!AC128=0,0,'Perfil - interna'!AC130+'Perfil - externa'!AC128)</f>
        <v>596607.18000000005</v>
      </c>
      <c r="AD130" s="219">
        <f>IF('Perfil - interna'!AD130+'Perfil - externa'!AD128=0,0,'Perfil - interna'!AD130+'Perfil - externa'!AD128)</f>
        <v>51292.02</v>
      </c>
      <c r="AE130" s="219">
        <f>IF('Perfil - interna'!AE130+'Perfil - externa'!AE128=0,0,'Perfil - interna'!AE130+'Perfil - externa'!AE128)</f>
        <v>18897.060000000001</v>
      </c>
      <c r="AF130" s="219">
        <f>IF('Perfil - interna'!AF130+'Perfil - externa'!AF128=0,0,'Perfil - interna'!AF130+'Perfil - externa'!AF128)</f>
        <v>5399.16</v>
      </c>
      <c r="AG130" s="219">
        <f>IF('Perfil - interna'!AG130+'Perfil - externa'!AG128=0,0,'Perfil - interna'!AG130+'Perfil - externa'!AG128)</f>
        <v>5399.16</v>
      </c>
      <c r="AH130" s="219">
        <f>IF('Perfil - interna'!AH130+'Perfil - externa'!AH128=0,0,'Perfil - interna'!AH130+'Perfil - externa'!AH128)</f>
        <v>5399.16</v>
      </c>
      <c r="AI130" s="219">
        <f>IF('Perfil - interna'!AI130+'Perfil - externa'!AI128=0,0,'Perfil - interna'!AI130+'Perfil - externa'!AI128)</f>
        <v>1719632.46</v>
      </c>
      <c r="AJ130" s="219">
        <f>IF('Perfil - interna'!AJ130+'Perfil - externa'!AJ128=0,0,'Perfil - interna'!AJ130+'Perfil - externa'!AJ128)</f>
        <v>5399.16</v>
      </c>
      <c r="AK130" s="219">
        <f>IF('Perfil - interna'!AK130+'Perfil - externa'!AK128=0,0,'Perfil - interna'!AK130+'Perfil - externa'!AK128)</f>
        <v>0</v>
      </c>
      <c r="AL130" s="219">
        <f>IF('Perfil - interna'!AL130+'Perfil - externa'!AL128=0,0,'Perfil - interna'!AL130+'Perfil - externa'!AL128)</f>
        <v>0</v>
      </c>
      <c r="AM130" s="219">
        <f>IF('Perfil - interna'!AM130+'Perfil - externa'!AM128=0,0,'Perfil - interna'!AM130+'Perfil - externa'!AM128)</f>
        <v>0</v>
      </c>
      <c r="AN130" s="219">
        <f>'Perfil - interna'!AN130</f>
        <v>0</v>
      </c>
      <c r="AO130" s="219"/>
      <c r="AP130" s="219"/>
      <c r="AQ130" s="219"/>
      <c r="AR130" s="219"/>
      <c r="AS130" s="219"/>
      <c r="AT130" s="219"/>
      <c r="AU130" s="219"/>
      <c r="AV130" s="219"/>
      <c r="AW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J130" s="219"/>
      <c r="BK130" s="219"/>
    </row>
    <row r="131" spans="1:63">
      <c r="A131" s="170">
        <v>38168</v>
      </c>
      <c r="B131" s="220" t="str">
        <f>Servicio_internaColumna_título_intereses</f>
        <v>Intereses</v>
      </c>
      <c r="C131" s="221"/>
      <c r="D131" s="222"/>
      <c r="E131" s="222"/>
      <c r="F131" s="222">
        <f>IF('Perfil - interna'!F131+'Perfil - externa'!F129=0,0,'Perfil - interna'!F131+'Perfil - externa'!F129)</f>
        <v>9206535.617092479</v>
      </c>
      <c r="G131" s="222">
        <f>IF('Perfil - interna'!G131+'Perfil - externa'!G129=0,0,'Perfil - interna'!G131+'Perfil - externa'!G129)</f>
        <v>12595731.151880633</v>
      </c>
      <c r="H131" s="222">
        <f>IF('Perfil - interna'!H131+'Perfil - externa'!H129=0,0,'Perfil - interna'!H131+'Perfil - externa'!H129)</f>
        <v>9145551.6770189814</v>
      </c>
      <c r="I131" s="222">
        <f>IF('Perfil - interna'!I131+'Perfil - externa'!I129=0,0,'Perfil - interna'!I131+'Perfil - externa'!I129)</f>
        <v>9147701.3444214445</v>
      </c>
      <c r="J131" s="222">
        <f>IF('Perfil - interna'!J131+'Perfil - externa'!J129=0,0,'Perfil - interna'!J131+'Perfil - externa'!J129)</f>
        <v>6701168.8262949716</v>
      </c>
      <c r="K131" s="222">
        <f>IF('Perfil - interna'!K131+'Perfil - externa'!K129=0,0,'Perfil - interna'!K131+'Perfil - externa'!K129)</f>
        <v>6406388.0266563175</v>
      </c>
      <c r="L131" s="222">
        <f>IF('Perfil - interna'!L131+'Perfil - externa'!L129=0,0,'Perfil - interna'!L131+'Perfil - externa'!L129)</f>
        <v>7621849.3293256406</v>
      </c>
      <c r="M131" s="222">
        <f>IF('Perfil - interna'!M131+'Perfil - externa'!M129=0,0,'Perfil - interna'!M131+'Perfil - externa'!M129)</f>
        <v>6051352.5131321205</v>
      </c>
      <c r="N131" s="222">
        <f>IF('Perfil - interna'!N131+'Perfil - externa'!N129=0,0,'Perfil - interna'!N131+'Perfil - externa'!N129)</f>
        <v>4257335.5051227929</v>
      </c>
      <c r="O131" s="222">
        <f>IF('Perfil - interna'!O131+'Perfil - externa'!O129=0,0,'Perfil - interna'!O131+'Perfil - externa'!O129)</f>
        <v>2828114.5382091845</v>
      </c>
      <c r="P131" s="222">
        <f>IF('Perfil - interna'!P131+'Perfil - externa'!P129=0,0,'Perfil - interna'!P131+'Perfil - externa'!P129)</f>
        <v>3629333.3706178791</v>
      </c>
      <c r="Q131" s="222">
        <f>IF('Perfil - interna'!Q131+'Perfil - externa'!Q129=0,0,'Perfil - interna'!Q131+'Perfil - externa'!Q129)</f>
        <v>1111230.6544855889</v>
      </c>
      <c r="R131" s="222">
        <f>IF('Perfil - interna'!R131+'Perfil - externa'!R129=0,0,'Perfil - interna'!R131+'Perfil - externa'!R129)</f>
        <v>909758.46</v>
      </c>
      <c r="S131" s="222">
        <f>IF('Perfil - interna'!S131+'Perfil - externa'!S129=0,0,'Perfil - interna'!S131+'Perfil - externa'!S129)</f>
        <v>866565.18</v>
      </c>
      <c r="T131" s="222">
        <f>IF('Perfil - interna'!T131+'Perfil - externa'!T129=0,0,'Perfil - interna'!T131+'Perfil - externa'!T129)</f>
        <v>1166218.56</v>
      </c>
      <c r="U131" s="222">
        <f>IF('Perfil - interna'!U131+'Perfil - externa'!U129=0,0,'Perfil - interna'!U131+'Perfil - externa'!U129)</f>
        <v>477825.66</v>
      </c>
      <c r="V131" s="222">
        <f>IF('Perfil - interna'!V131+'Perfil - externa'!V129=0,0,'Perfil - interna'!V131+'Perfil - externa'!V129)</f>
        <v>404937</v>
      </c>
      <c r="W131" s="222">
        <f>IF('Perfil - interna'!W131+'Perfil - externa'!W129=0,0,'Perfil - interna'!W131+'Perfil - externa'!W129)</f>
        <v>375241.62</v>
      </c>
      <c r="X131" s="222">
        <f>IF('Perfil - interna'!X131+'Perfil - externa'!X129=0,0,'Perfil - interna'!X131+'Perfil - externa'!X129)</f>
        <v>3234096.84</v>
      </c>
      <c r="Y131" s="222">
        <f>IF('Perfil - interna'!Y131+'Perfil - externa'!Y129=0,0,'Perfil - interna'!Y131+'Perfil - externa'!Y129)</f>
        <v>302352.96000000002</v>
      </c>
      <c r="Z131" s="222">
        <f>IF('Perfil - interna'!Z131+'Perfil - externa'!Z129=0,0,'Perfil - interna'!Z131+'Perfil - externa'!Z129)</f>
        <v>151176.48000000001</v>
      </c>
      <c r="AA131" s="222">
        <f>IF('Perfil - interna'!AA131+'Perfil - externa'!AA129=0,0,'Perfil - interna'!AA131+'Perfil - externa'!AA129)</f>
        <v>113382.36</v>
      </c>
      <c r="AB131" s="222">
        <f>IF('Perfil - interna'!AB131+'Perfil - externa'!AB129=0,0,'Perfil - interna'!AB131+'Perfil - externa'!AB129)</f>
        <v>102584.04</v>
      </c>
      <c r="AC131" s="222">
        <f>IF('Perfil - interna'!AC131+'Perfil - externa'!AC129=0,0,'Perfil - interna'!AC131+'Perfil - externa'!AC129)</f>
        <v>89086.14</v>
      </c>
      <c r="AD131" s="222">
        <f>IF('Perfil - interna'!AD131+'Perfil - externa'!AD129=0,0,'Perfil - interna'!AD131+'Perfil - externa'!AD129)</f>
        <v>72888.66</v>
      </c>
      <c r="AE131" s="222">
        <f>IF('Perfil - interna'!AE131+'Perfil - externa'!AE129=0,0,'Perfil - interna'!AE131+'Perfil - externa'!AE129)</f>
        <v>618203.81999999995</v>
      </c>
      <c r="AF131" s="222">
        <f>IF('Perfil - interna'!AF131+'Perfil - externa'!AF129=0,0,'Perfil - interna'!AF131+'Perfil - externa'!AF129)</f>
        <v>70189.08</v>
      </c>
      <c r="AG131" s="222">
        <f>IF('Perfil - interna'!AG131+'Perfil - externa'!AG129=0,0,'Perfil - interna'!AG131+'Perfil - externa'!AG129)</f>
        <v>45892.86</v>
      </c>
      <c r="AH131" s="222">
        <f>IF('Perfil - interna'!AH131+'Perfil - externa'!AH129=0,0,'Perfil - interna'!AH131+'Perfil - externa'!AH129)</f>
        <v>45892.86</v>
      </c>
      <c r="AI131" s="222">
        <f>IF('Perfil - interna'!AI131+'Perfil - externa'!AI129=0,0,'Perfil - interna'!AI131+'Perfil - externa'!AI129)</f>
        <v>0</v>
      </c>
      <c r="AJ131" s="222">
        <f>IF('Perfil - interna'!AJ131+'Perfil - externa'!AJ129=0,0,'Perfil - interna'!AJ131+'Perfil - externa'!AJ129)</f>
        <v>0</v>
      </c>
      <c r="AK131" s="222">
        <f>IF('Perfil - interna'!AK131+'Perfil - externa'!AK129=0,0,'Perfil - interna'!AK131+'Perfil - externa'!AK129)</f>
        <v>0</v>
      </c>
      <c r="AL131" s="222">
        <f>IF('Perfil - interna'!AL131+'Perfil - externa'!AL129=0,0,'Perfil - interna'!AL131+'Perfil - externa'!AL129)</f>
        <v>0</v>
      </c>
      <c r="AM131" s="222">
        <f>IF('Perfil - interna'!AM131+'Perfil - externa'!AM129=0,0,'Perfil - interna'!AM131+'Perfil - externa'!AM129)</f>
        <v>0</v>
      </c>
      <c r="AN131" s="222">
        <f>'Perfil - interna'!AN131</f>
        <v>0</v>
      </c>
      <c r="AO131" s="222"/>
      <c r="AP131" s="222"/>
      <c r="AQ131" s="222"/>
      <c r="AR131" s="222"/>
      <c r="AS131" s="222"/>
      <c r="AT131" s="222"/>
      <c r="AU131" s="222"/>
      <c r="AV131" s="222"/>
      <c r="AW131" s="222"/>
      <c r="AX131" s="222"/>
      <c r="AY131" s="222"/>
      <c r="AZ131" s="222"/>
      <c r="BA131" s="222"/>
      <c r="BB131" s="222"/>
      <c r="BC131" s="222"/>
      <c r="BD131" s="222"/>
      <c r="BE131" s="222"/>
      <c r="BF131" s="222"/>
      <c r="BG131" s="222"/>
      <c r="BH131" s="222"/>
      <c r="BI131" s="222"/>
      <c r="BJ131" s="222"/>
      <c r="BK131" s="222"/>
    </row>
    <row r="132" spans="1:63">
      <c r="A132" s="171"/>
      <c r="B132" s="318" t="str">
        <f>Servicio_internaColumna_título_total</f>
        <v>Total</v>
      </c>
      <c r="C132" s="319"/>
      <c r="D132" s="320"/>
      <c r="E132" s="320"/>
      <c r="F132" s="320">
        <f>IF('Perfil - interna'!F132+'Perfil - externa'!F130=0,0,'Perfil - interna'!F132+'Perfil - externa'!F130)</f>
        <v>12741601.512088671</v>
      </c>
      <c r="G132" s="320">
        <f>IF('Perfil - interna'!G132+'Perfil - externa'!G130=0,0,'Perfil - interna'!G132+'Perfil - externa'!G130)</f>
        <v>28920707.53406556</v>
      </c>
      <c r="H132" s="320">
        <f>IF('Perfil - interna'!H132+'Perfil - externa'!H130=0,0,'Perfil - interna'!H132+'Perfil - externa'!H130)</f>
        <v>23306755.470775265</v>
      </c>
      <c r="I132" s="320">
        <f>IF('Perfil - interna'!I132+'Perfil - externa'!I130=0,0,'Perfil - interna'!I132+'Perfil - externa'!I130)</f>
        <v>25467651.202259474</v>
      </c>
      <c r="J132" s="320">
        <f>IF('Perfil - interna'!J132+'Perfil - externa'!J130=0,0,'Perfil - interna'!J132+'Perfil - externa'!J130)</f>
        <v>20968449.769082047</v>
      </c>
      <c r="K132" s="320">
        <f>IF('Perfil - interna'!K132+'Perfil - externa'!K130=0,0,'Perfil - interna'!K132+'Perfil - externa'!K130)</f>
        <v>14385544.129425621</v>
      </c>
      <c r="L132" s="320">
        <f>IF('Perfil - interna'!L132+'Perfil - externa'!L130=0,0,'Perfil - interna'!L132+'Perfil - externa'!L130)</f>
        <v>15032705.804354593</v>
      </c>
      <c r="M132" s="320">
        <f>IF('Perfil - interna'!M132+'Perfil - externa'!M130=0,0,'Perfil - interna'!M132+'Perfil - externa'!M130)</f>
        <v>14366437.715368923</v>
      </c>
      <c r="N132" s="320">
        <f>IF('Perfil - interna'!N132+'Perfil - externa'!N130=0,0,'Perfil - interna'!N132+'Perfil - externa'!N130)</f>
        <v>16660856.084977522</v>
      </c>
      <c r="O132" s="320">
        <f>IF('Perfil - interna'!O132+'Perfil - externa'!O130=0,0,'Perfil - interna'!O132+'Perfil - externa'!O130)</f>
        <v>8866632.1940700822</v>
      </c>
      <c r="P132" s="320">
        <f>IF('Perfil - interna'!P132+'Perfil - externa'!P130=0,0,'Perfil - interna'!P132+'Perfil - externa'!P130)</f>
        <v>5546344.1706178784</v>
      </c>
      <c r="Q132" s="320">
        <f>IF('Perfil - interna'!Q132+'Perfil - externa'!Q130=0,0,'Perfil - interna'!Q132+'Perfil - externa'!Q130)</f>
        <v>3474204.6144855889</v>
      </c>
      <c r="R132" s="320">
        <f>IF('Perfil - interna'!R132+'Perfil - externa'!R130=0,0,'Perfil - interna'!R132+'Perfil - externa'!R130)</f>
        <v>2343235.44</v>
      </c>
      <c r="S132" s="320">
        <f>IF('Perfil - interna'!S132+'Perfil - externa'!S130=0,0,'Perfil - interna'!S132+'Perfil - externa'!S130)</f>
        <v>1484769</v>
      </c>
      <c r="T132" s="320">
        <f>IF('Perfil - interna'!T132+'Perfil - externa'!T130=0,0,'Perfil - interna'!T132+'Perfil - externa'!T130)</f>
        <v>1676439.1800000002</v>
      </c>
      <c r="U132" s="320">
        <f>IF('Perfil - interna'!U132+'Perfil - externa'!U130=0,0,'Perfil - interna'!U132+'Perfil - externa'!U130)</f>
        <v>942153.41999999993</v>
      </c>
      <c r="V132" s="320">
        <f>IF('Perfil - interna'!V132+'Perfil - externa'!V130=0,0,'Perfil - interna'!V132+'Perfil - externa'!V130)</f>
        <v>3679527.54</v>
      </c>
      <c r="W132" s="320">
        <f>IF('Perfil - interna'!W132+'Perfil - externa'!W130=0,0,'Perfil - interna'!W132+'Perfil - externa'!W130)</f>
        <v>696491.64</v>
      </c>
      <c r="X132" s="320">
        <f>IF('Perfil - interna'!X132+'Perfil - externa'!X130=0,0,'Perfil - interna'!X132+'Perfil - externa'!X130)</f>
        <v>3401470.8</v>
      </c>
      <c r="Y132" s="320">
        <f>IF('Perfil - interna'!Y132+'Perfil - externa'!Y130=0,0,'Perfil - interna'!Y132+'Perfil - externa'!Y130)</f>
        <v>469726.92000000004</v>
      </c>
      <c r="Z132" s="320">
        <f>IF('Perfil - interna'!Z132+'Perfil - externa'!Z130=0,0,'Perfil - interna'!Z132+'Perfil - externa'!Z130)</f>
        <v>1587353.04</v>
      </c>
      <c r="AA132" s="320">
        <f>IF('Perfil - interna'!AA132+'Perfil - externa'!AA130=0,0,'Perfil - interna'!AA132+'Perfil - externa'!AA130)</f>
        <v>180871.86</v>
      </c>
      <c r="AB132" s="320">
        <f>IF('Perfil - interna'!AB132+'Perfil - externa'!AB130=0,0,'Perfil - interna'!AB132+'Perfil - externa'!AB130)</f>
        <v>151176.47999999998</v>
      </c>
      <c r="AC132" s="320">
        <f>IF('Perfil - interna'!AC132+'Perfil - externa'!AC130=0,0,'Perfil - interna'!AC132+'Perfil - externa'!AC130)</f>
        <v>685693.32000000007</v>
      </c>
      <c r="AD132" s="320">
        <f>IF('Perfil - interna'!AD132+'Perfil - externa'!AD130=0,0,'Perfil - interna'!AD132+'Perfil - externa'!AD130)</f>
        <v>124180.68</v>
      </c>
      <c r="AE132" s="320">
        <f>IF('Perfil - interna'!AE132+'Perfil - externa'!AE130=0,0,'Perfil - interna'!AE132+'Perfil - externa'!AE130)</f>
        <v>637100.88</v>
      </c>
      <c r="AF132" s="320">
        <f>IF('Perfil - interna'!AF132+'Perfil - externa'!AF130=0,0,'Perfil - interna'!AF132+'Perfil - externa'!AF130)</f>
        <v>75588.240000000005</v>
      </c>
      <c r="AG132" s="320">
        <f>IF('Perfil - interna'!AG132+'Perfil - externa'!AG130=0,0,'Perfil - interna'!AG132+'Perfil - externa'!AG130)</f>
        <v>51292.020000000004</v>
      </c>
      <c r="AH132" s="320">
        <f>IF('Perfil - interna'!AH132+'Perfil - externa'!AH130=0,0,'Perfil - interna'!AH132+'Perfil - externa'!AH130)</f>
        <v>51292.020000000004</v>
      </c>
      <c r="AI132" s="320">
        <f>IF('Perfil - interna'!AI132+'Perfil - externa'!AI130=0,0,'Perfil - interna'!AI132+'Perfil - externa'!AI130)</f>
        <v>1719632.46</v>
      </c>
      <c r="AJ132" s="320">
        <f>IF('Perfil - interna'!AJ132+'Perfil - externa'!AJ130=0,0,'Perfil - interna'!AJ132+'Perfil - externa'!AJ130)</f>
        <v>5399.16</v>
      </c>
      <c r="AK132" s="320">
        <f>IF('Perfil - interna'!AK132+'Perfil - externa'!AK130=0,0,'Perfil - interna'!AK132+'Perfil - externa'!AK130)</f>
        <v>0</v>
      </c>
      <c r="AL132" s="320">
        <f>IF('Perfil - interna'!AL132+'Perfil - externa'!AL130=0,0,'Perfil - interna'!AL132+'Perfil - externa'!AL130)</f>
        <v>0</v>
      </c>
      <c r="AM132" s="320">
        <f>IF('Perfil - interna'!AM132+'Perfil - externa'!AM130=0,0,'Perfil - interna'!AM132+'Perfil - externa'!AM130)</f>
        <v>0</v>
      </c>
      <c r="AN132" s="320">
        <f>+AN131+AN130</f>
        <v>0</v>
      </c>
      <c r="AO132" s="320"/>
      <c r="AP132" s="320"/>
      <c r="AQ132" s="320"/>
      <c r="AR132" s="320"/>
      <c r="AS132" s="320"/>
      <c r="AT132" s="320"/>
      <c r="AU132" s="320"/>
      <c r="AV132" s="320"/>
      <c r="AW132" s="320"/>
      <c r="AX132" s="320"/>
      <c r="AY132" s="320"/>
      <c r="AZ132" s="320"/>
      <c r="BA132" s="320"/>
      <c r="BB132" s="320"/>
      <c r="BC132" s="320"/>
      <c r="BD132" s="320"/>
      <c r="BE132" s="320"/>
      <c r="BF132" s="320"/>
      <c r="BG132" s="320"/>
      <c r="BH132" s="320"/>
      <c r="BI132" s="320"/>
      <c r="BJ132" s="320"/>
      <c r="BK132" s="320"/>
    </row>
    <row r="133" spans="1:63">
      <c r="A133" s="167"/>
      <c r="B133" s="217" t="str">
        <f>Servicio_internaColumna_título_amortizaciones</f>
        <v>Amortizaciones</v>
      </c>
      <c r="C133" s="218"/>
      <c r="D133" s="219"/>
      <c r="E133" s="219"/>
      <c r="F133" s="219">
        <f>IF('Perfil - interna'!F133+'Perfil - externa'!F131=0,0,'Perfil - interna'!F133+'Perfil - externa'!F131)</f>
        <v>3403426.8192375791</v>
      </c>
      <c r="G133" s="219">
        <f>IF('Perfil - interna'!G133+'Perfil - externa'!G131=0,0,'Perfil - interna'!G133+'Perfil - externa'!G131)</f>
        <v>16407577.662618723</v>
      </c>
      <c r="H133" s="219">
        <f>IF('Perfil - interna'!H133+'Perfil - externa'!H131=0,0,'Perfil - interna'!H133+'Perfil - externa'!H131)</f>
        <v>13988014.448858734</v>
      </c>
      <c r="I133" s="219">
        <f>IF('Perfil - interna'!I133+'Perfil - externa'!I131=0,0,'Perfil - interna'!I133+'Perfil - externa'!I131)</f>
        <v>16647400.058105759</v>
      </c>
      <c r="J133" s="219">
        <f>IF('Perfil - interna'!J133+'Perfil - externa'!J131=0,0,'Perfil - interna'!J133+'Perfil - externa'!J131)</f>
        <v>14190697.799997201</v>
      </c>
      <c r="K133" s="219">
        <f>IF('Perfil - interna'!K133+'Perfil - externa'!K131=0,0,'Perfil - interna'!K133+'Perfil - externa'!K131)</f>
        <v>7811649.3724139826</v>
      </c>
      <c r="L133" s="219">
        <f>IF('Perfil - interna'!L133+'Perfil - externa'!L131=0,0,'Perfil - interna'!L133+'Perfil - externa'!L131)</f>
        <v>7752092.573227562</v>
      </c>
      <c r="M133" s="219">
        <f>IF('Perfil - interna'!M133+'Perfil - externa'!M131=0,0,'Perfil - interna'!M133+'Perfil - externa'!M131)</f>
        <v>8237905.5115999999</v>
      </c>
      <c r="N133" s="219">
        <f>IF('Perfil - interna'!N133+'Perfil - externa'!N131=0,0,'Perfil - interna'!N133+'Perfil - externa'!N131)</f>
        <v>12536599.1348</v>
      </c>
      <c r="O133" s="219">
        <f>IF('Perfil - interna'!O133+'Perfil - externa'!O131=0,0,'Perfil - interna'!O133+'Perfil - externa'!O131)</f>
        <v>5934447.1861279514</v>
      </c>
      <c r="P133" s="219">
        <f>IF('Perfil - interna'!P133+'Perfil - externa'!P131=0,0,'Perfil - interna'!P133+'Perfil - externa'!P131)</f>
        <v>1859533.55</v>
      </c>
      <c r="Q133" s="219">
        <f>IF('Perfil - interna'!Q133+'Perfil - externa'!Q131=0,0,'Perfil - interna'!Q133+'Perfil - externa'!Q131)</f>
        <v>2333819.4900000002</v>
      </c>
      <c r="R133" s="219">
        <f>IF('Perfil - interna'!R133+'Perfil - externa'!R131=0,0,'Perfil - interna'!R133+'Perfil - externa'!R131)</f>
        <v>1385741.95</v>
      </c>
      <c r="S133" s="219">
        <f>IF('Perfil - interna'!S133+'Perfil - externa'!S131=0,0,'Perfil - interna'!S133+'Perfil - externa'!S131)</f>
        <v>594637.85</v>
      </c>
      <c r="T133" s="219">
        <f>IF('Perfil - interna'!T133+'Perfil - externa'!T131=0,0,'Perfil - interna'!T133+'Perfil - externa'!T131)</f>
        <v>492475.4</v>
      </c>
      <c r="U133" s="219">
        <f>IF('Perfil - interna'!U133+'Perfil - externa'!U131=0,0,'Perfil - interna'!U133+'Perfil - externa'!U131)</f>
        <v>447943.05</v>
      </c>
      <c r="V133" s="219">
        <f>IF('Perfil - interna'!V133+'Perfil - externa'!V131=0,0,'Perfil - interna'!V133+'Perfil - externa'!V131)</f>
        <v>3172275.05</v>
      </c>
      <c r="W133" s="219">
        <f>IF('Perfil - interna'!W133+'Perfil - externa'!W131=0,0,'Perfil - interna'!W133+'Perfil - externa'!W131)</f>
        <v>309106.90000000002</v>
      </c>
      <c r="X133" s="219">
        <f>IF('Perfil - interna'!X133+'Perfil - externa'!X131=0,0,'Perfil - interna'!X133+'Perfil - externa'!X131)</f>
        <v>159792.54999999999</v>
      </c>
      <c r="Y133" s="219">
        <f>IF('Perfil - interna'!Y133+'Perfil - externa'!Y131=0,0,'Perfil - interna'!Y133+'Perfil - externa'!Y131)</f>
        <v>159792.54999999999</v>
      </c>
      <c r="Z133" s="219">
        <f>IF('Perfil - interna'!Z133+'Perfil - externa'!Z131=0,0,'Perfil - interna'!Z133+'Perfil - externa'!Z131)</f>
        <v>1388361.5</v>
      </c>
      <c r="AA133" s="219">
        <f>IF('Perfil - interna'!AA133+'Perfil - externa'!AA131=0,0,'Perfil - interna'!AA133+'Perfil - externa'!AA131)</f>
        <v>65488.75</v>
      </c>
      <c r="AB133" s="219">
        <f>IF('Perfil - interna'!AB133+'Perfil - externa'!AB131=0,0,'Perfil - interna'!AB133+'Perfil - externa'!AB131)</f>
        <v>47151.9</v>
      </c>
      <c r="AC133" s="219">
        <f>IF('Perfil - interna'!AC133+'Perfil - externa'!AC131=0,0,'Perfil - interna'!AC133+'Perfil - externa'!AC131)</f>
        <v>578920.55000000005</v>
      </c>
      <c r="AD133" s="219">
        <f>IF('Perfil - interna'!AD133+'Perfil - externa'!AD131=0,0,'Perfil - interna'!AD133+'Perfil - externa'!AD131)</f>
        <v>49771.45</v>
      </c>
      <c r="AE133" s="219">
        <f>IF('Perfil - interna'!AE133+'Perfil - externa'!AE131=0,0,'Perfil - interna'!AE133+'Perfil - externa'!AE131)</f>
        <v>18336.849999999999</v>
      </c>
      <c r="AF133" s="219">
        <f>IF('Perfil - interna'!AF133+'Perfil - externa'!AF131=0,0,'Perfil - interna'!AF133+'Perfil - externa'!AF131)</f>
        <v>5239.1000000000004</v>
      </c>
      <c r="AG133" s="219">
        <f>IF('Perfil - interna'!AG133+'Perfil - externa'!AG131=0,0,'Perfil - interna'!AG133+'Perfil - externa'!AG131)</f>
        <v>5239.1000000000004</v>
      </c>
      <c r="AH133" s="219">
        <f>IF('Perfil - interna'!AH133+'Perfil - externa'!AH131=0,0,'Perfil - interna'!AH133+'Perfil - externa'!AH131)</f>
        <v>5239.1000000000004</v>
      </c>
      <c r="AI133" s="219">
        <f>IF('Perfil - interna'!AI133+'Perfil - externa'!AI131=0,0,'Perfil - interna'!AI133+'Perfil - externa'!AI131)</f>
        <v>1668653.35</v>
      </c>
      <c r="AJ133" s="219">
        <f>IF('Perfil - interna'!AJ133+'Perfil - externa'!AJ131=0,0,'Perfil - interna'!AJ133+'Perfil - externa'!AJ131)</f>
        <v>5239.1000000000004</v>
      </c>
      <c r="AK133" s="219">
        <f>IF('Perfil - interna'!AK133+'Perfil - externa'!AK131=0,0,'Perfil - interna'!AK133+'Perfil - externa'!AK131)</f>
        <v>0</v>
      </c>
      <c r="AL133" s="219">
        <f>IF('Perfil - interna'!AL133+'Perfil - externa'!AL131=0,0,'Perfil - interna'!AL133+'Perfil - externa'!AL131)</f>
        <v>0</v>
      </c>
      <c r="AM133" s="219">
        <f>IF('Perfil - interna'!AM133+'Perfil - externa'!AM131=0,0,'Perfil - interna'!AM133+'Perfil - externa'!AM131)</f>
        <v>0</v>
      </c>
      <c r="AN133" s="219">
        <f>'Perfil - interna'!AN133</f>
        <v>0</v>
      </c>
      <c r="AO133" s="219"/>
      <c r="AP133" s="219"/>
      <c r="AQ133" s="219"/>
      <c r="AR133" s="219"/>
      <c r="AS133" s="219"/>
      <c r="AT133" s="219"/>
      <c r="AU133" s="219"/>
      <c r="AV133" s="219"/>
      <c r="AW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J133" s="219"/>
      <c r="BK133" s="219"/>
    </row>
    <row r="134" spans="1:63">
      <c r="A134" s="170">
        <v>38199</v>
      </c>
      <c r="B134" s="220" t="str">
        <f>Servicio_internaColumna_título_intereses</f>
        <v>Intereses</v>
      </c>
      <c r="C134" s="221"/>
      <c r="D134" s="222"/>
      <c r="E134" s="222"/>
      <c r="F134" s="222">
        <f>IF('Perfil - interna'!F134+'Perfil - externa'!F132=0,0,'Perfil - interna'!F134+'Perfil - externa'!F132)</f>
        <v>8981295.0572806485</v>
      </c>
      <c r="G134" s="222">
        <f>IF('Perfil - interna'!G134+'Perfil - externa'!G132=0,0,'Perfil - interna'!G134+'Perfil - externa'!G132)</f>
        <v>12120879.623974986</v>
      </c>
      <c r="H134" s="222">
        <f>IF('Perfil - interna'!H134+'Perfil - externa'!H132=0,0,'Perfil - interna'!H134+'Perfil - externa'!H132)</f>
        <v>9024858.3176997006</v>
      </c>
      <c r="I134" s="222">
        <f>IF('Perfil - interna'!I134+'Perfil - externa'!I132=0,0,'Perfil - interna'!I134+'Perfil - externa'!I132)</f>
        <v>8471712.8483675458</v>
      </c>
      <c r="J134" s="222">
        <f>IF('Perfil - interna'!J134+'Perfil - externa'!J132=0,0,'Perfil - interna'!J134+'Perfil - externa'!J132)</f>
        <v>6446807.2217464652</v>
      </c>
      <c r="K134" s="222">
        <f>IF('Perfil - interna'!K134+'Perfil - externa'!K132=0,0,'Perfil - interna'!K134+'Perfil - externa'!K132)</f>
        <v>6297937.0183231216</v>
      </c>
      <c r="L134" s="222">
        <f>IF('Perfil - interna'!L134+'Perfil - externa'!L132=0,0,'Perfil - interna'!L134+'Perfil - externa'!L132)</f>
        <v>7075938.9700473938</v>
      </c>
      <c r="M134" s="222">
        <f>IF('Perfil - interna'!M134+'Perfil - externa'!M132=0,0,'Perfil - interna'!M134+'Perfil - externa'!M132)</f>
        <v>5920030.8566889213</v>
      </c>
      <c r="N134" s="222">
        <f>IF('Perfil - interna'!N134+'Perfil - externa'!N132=0,0,'Perfil - interna'!N134+'Perfil - externa'!N132)</f>
        <v>3914096.3851175224</v>
      </c>
      <c r="O134" s="222">
        <f>IF('Perfil - interna'!O134+'Perfil - externa'!O132=0,0,'Perfil - interna'!O134+'Perfil - externa'!O132)</f>
        <v>2754887.0882091844</v>
      </c>
      <c r="P134" s="222">
        <f>IF('Perfil - interna'!P134+'Perfil - externa'!P132=0,0,'Perfil - interna'!P134+'Perfil - externa'!P132)</f>
        <v>3525134.310617879</v>
      </c>
      <c r="Q134" s="222">
        <f>IF('Perfil - interna'!Q134+'Perfil - externa'!Q132=0,0,'Perfil - interna'!Q134+'Perfil - externa'!Q132)</f>
        <v>1075880.9444855889</v>
      </c>
      <c r="R134" s="222">
        <f>IF('Perfil - interna'!R134+'Perfil - externa'!R132=0,0,'Perfil - interna'!R134+'Perfil - externa'!R132)</f>
        <v>882788.35</v>
      </c>
      <c r="S134" s="222">
        <f>IF('Perfil - interna'!S134+'Perfil - externa'!S132=0,0,'Perfil - interna'!S134+'Perfil - externa'!S132)</f>
        <v>840875.55</v>
      </c>
      <c r="T134" s="222">
        <f>IF('Perfil - interna'!T134+'Perfil - externa'!T132=0,0,'Perfil - interna'!T134+'Perfil - externa'!T132)</f>
        <v>1131645.6000000001</v>
      </c>
      <c r="U134" s="222">
        <f>IF('Perfil - interna'!U134+'Perfil - externa'!U132=0,0,'Perfil - interna'!U134+'Perfil - externa'!U132)</f>
        <v>463660.35</v>
      </c>
      <c r="V134" s="222">
        <f>IF('Perfil - interna'!V134+'Perfil - externa'!V132=0,0,'Perfil - interna'!V134+'Perfil - externa'!V132)</f>
        <v>392932.5</v>
      </c>
      <c r="W134" s="222">
        <f>IF('Perfil - interna'!W134+'Perfil - externa'!W132=0,0,'Perfil - interna'!W134+'Perfil - externa'!W132)</f>
        <v>364117.45</v>
      </c>
      <c r="X134" s="222">
        <f>IF('Perfil - interna'!X134+'Perfil - externa'!X132=0,0,'Perfil - interna'!X134+'Perfil - externa'!X132)</f>
        <v>3138220.9</v>
      </c>
      <c r="Y134" s="222">
        <f>IF('Perfil - interna'!Y134+'Perfil - externa'!Y132=0,0,'Perfil - interna'!Y134+'Perfil - externa'!Y132)</f>
        <v>293389.59999999998</v>
      </c>
      <c r="Z134" s="222">
        <f>IF('Perfil - interna'!Z134+'Perfil - externa'!Z132=0,0,'Perfil - interna'!Z134+'Perfil - externa'!Z132)</f>
        <v>146694.79999999999</v>
      </c>
      <c r="AA134" s="222">
        <f>IF('Perfil - interna'!AA134+'Perfil - externa'!AA132=0,0,'Perfil - interna'!AA134+'Perfil - externa'!AA132)</f>
        <v>110021.1</v>
      </c>
      <c r="AB134" s="222">
        <f>IF('Perfil - interna'!AB134+'Perfil - externa'!AB132=0,0,'Perfil - interna'!AB134+'Perfil - externa'!AB132)</f>
        <v>99542.9</v>
      </c>
      <c r="AC134" s="222">
        <f>IF('Perfil - interna'!AC134+'Perfil - externa'!AC132=0,0,'Perfil - interna'!AC134+'Perfil - externa'!AC132)</f>
        <v>86445.15</v>
      </c>
      <c r="AD134" s="222">
        <f>IF('Perfil - interna'!AD134+'Perfil - externa'!AD132=0,0,'Perfil - interna'!AD134+'Perfil - externa'!AD132)</f>
        <v>70727.850000000006</v>
      </c>
      <c r="AE134" s="222">
        <f>IF('Perfil - interna'!AE134+'Perfil - externa'!AE132=0,0,'Perfil - interna'!AE134+'Perfil - externa'!AE132)</f>
        <v>599876.94999999995</v>
      </c>
      <c r="AF134" s="222">
        <f>IF('Perfil - interna'!AF134+'Perfil - externa'!AF132=0,0,'Perfil - interna'!AF134+'Perfil - externa'!AF132)</f>
        <v>68108.3</v>
      </c>
      <c r="AG134" s="222">
        <f>IF('Perfil - interna'!AG134+'Perfil - externa'!AG132=0,0,'Perfil - interna'!AG134+'Perfil - externa'!AG132)</f>
        <v>44532.35</v>
      </c>
      <c r="AH134" s="222">
        <f>IF('Perfil - interna'!AH134+'Perfil - externa'!AH132=0,0,'Perfil - interna'!AH134+'Perfil - externa'!AH132)</f>
        <v>44532.35</v>
      </c>
      <c r="AI134" s="222">
        <f>IF('Perfil - interna'!AI134+'Perfil - externa'!AI132=0,0,'Perfil - interna'!AI134+'Perfil - externa'!AI132)</f>
        <v>0</v>
      </c>
      <c r="AJ134" s="222">
        <f>IF('Perfil - interna'!AJ134+'Perfil - externa'!AJ132=0,0,'Perfil - interna'!AJ134+'Perfil - externa'!AJ132)</f>
        <v>0</v>
      </c>
      <c r="AK134" s="222">
        <f>IF('Perfil - interna'!AK134+'Perfil - externa'!AK132=0,0,'Perfil - interna'!AK134+'Perfil - externa'!AK132)</f>
        <v>0</v>
      </c>
      <c r="AL134" s="222">
        <f>IF('Perfil - interna'!AL134+'Perfil - externa'!AL132=0,0,'Perfil - interna'!AL134+'Perfil - externa'!AL132)</f>
        <v>0</v>
      </c>
      <c r="AM134" s="222">
        <f>IF('Perfil - interna'!AM134+'Perfil - externa'!AM132=0,0,'Perfil - interna'!AM134+'Perfil - externa'!AM132)</f>
        <v>0</v>
      </c>
      <c r="AN134" s="222">
        <f>'Perfil - interna'!AN134</f>
        <v>0</v>
      </c>
      <c r="AO134" s="222"/>
      <c r="AP134" s="222"/>
      <c r="AQ134" s="222"/>
      <c r="AR134" s="222"/>
      <c r="AS134" s="222"/>
      <c r="AT134" s="222"/>
      <c r="AU134" s="222"/>
      <c r="AV134" s="222"/>
      <c r="AW134" s="222"/>
      <c r="AX134" s="222"/>
      <c r="AY134" s="222"/>
      <c r="AZ134" s="222"/>
      <c r="BA134" s="222"/>
      <c r="BB134" s="222"/>
      <c r="BC134" s="222"/>
      <c r="BD134" s="222"/>
      <c r="BE134" s="222"/>
      <c r="BF134" s="222"/>
      <c r="BG134" s="222"/>
      <c r="BH134" s="222"/>
      <c r="BI134" s="222"/>
      <c r="BJ134" s="222"/>
      <c r="BK134" s="222"/>
    </row>
    <row r="135" spans="1:63">
      <c r="A135" s="171"/>
      <c r="B135" s="318" t="str">
        <f>Servicio_internaColumna_título_total</f>
        <v>Total</v>
      </c>
      <c r="C135" s="319"/>
      <c r="D135" s="320"/>
      <c r="E135" s="320"/>
      <c r="F135" s="320">
        <f>IF('Perfil - interna'!F135+'Perfil - externa'!F133=0,0,'Perfil - interna'!F135+'Perfil - externa'!F133)</f>
        <v>12384721.876518227</v>
      </c>
      <c r="G135" s="320">
        <f>IF('Perfil - interna'!G135+'Perfil - externa'!G133=0,0,'Perfil - interna'!G135+'Perfil - externa'!G133)</f>
        <v>28528457.286593709</v>
      </c>
      <c r="H135" s="320">
        <f>IF('Perfil - interna'!H135+'Perfil - externa'!H133=0,0,'Perfil - interna'!H135+'Perfil - externa'!H133)</f>
        <v>23012872.766558435</v>
      </c>
      <c r="I135" s="320">
        <f>IF('Perfil - interna'!I135+'Perfil - externa'!I133=0,0,'Perfil - interna'!I135+'Perfil - externa'!I133)</f>
        <v>25119112.906473305</v>
      </c>
      <c r="J135" s="320">
        <f>IF('Perfil - interna'!J135+'Perfil - externa'!J133=0,0,'Perfil - interna'!J135+'Perfil - externa'!J133)</f>
        <v>20637505.021743666</v>
      </c>
      <c r="K135" s="320">
        <f>IF('Perfil - interna'!K135+'Perfil - externa'!K133=0,0,'Perfil - interna'!K135+'Perfil - externa'!K133)</f>
        <v>14109586.390737105</v>
      </c>
      <c r="L135" s="320">
        <f>IF('Perfil - interna'!L135+'Perfil - externa'!L133=0,0,'Perfil - interna'!L135+'Perfil - externa'!L133)</f>
        <v>14828031.543274956</v>
      </c>
      <c r="M135" s="320">
        <f>IF('Perfil - interna'!M135+'Perfil - externa'!M133=0,0,'Perfil - interna'!M135+'Perfil - externa'!M133)</f>
        <v>14157936.368288921</v>
      </c>
      <c r="N135" s="320">
        <f>IF('Perfil - interna'!N135+'Perfil - externa'!N133=0,0,'Perfil - interna'!N135+'Perfil - externa'!N133)</f>
        <v>16450695.519917522</v>
      </c>
      <c r="O135" s="320">
        <f>IF('Perfil - interna'!O135+'Perfil - externa'!O133=0,0,'Perfil - interna'!O135+'Perfil - externa'!O133)</f>
        <v>8689334.2743371353</v>
      </c>
      <c r="P135" s="320">
        <f>IF('Perfil - interna'!P135+'Perfil - externa'!P133=0,0,'Perfil - interna'!P135+'Perfil - externa'!P133)</f>
        <v>5384667.8606178788</v>
      </c>
      <c r="Q135" s="320">
        <f>IF('Perfil - interna'!Q135+'Perfil - externa'!Q133=0,0,'Perfil - interna'!Q135+'Perfil - externa'!Q133)</f>
        <v>3409700.4344855887</v>
      </c>
      <c r="R135" s="320">
        <f>IF('Perfil - interna'!R135+'Perfil - externa'!R133=0,0,'Perfil - interna'!R135+'Perfil - externa'!R133)</f>
        <v>2268530.2999999998</v>
      </c>
      <c r="S135" s="320">
        <f>IF('Perfil - interna'!S135+'Perfil - externa'!S133=0,0,'Perfil - interna'!S135+'Perfil - externa'!S133)</f>
        <v>1435513.4</v>
      </c>
      <c r="T135" s="320">
        <f>IF('Perfil - interna'!T135+'Perfil - externa'!T133=0,0,'Perfil - interna'!T135+'Perfil - externa'!T133)</f>
        <v>1624121</v>
      </c>
      <c r="U135" s="320">
        <f>IF('Perfil - interna'!U135+'Perfil - externa'!U133=0,0,'Perfil - interna'!U135+'Perfil - externa'!U133)</f>
        <v>911603.39999999991</v>
      </c>
      <c r="V135" s="320">
        <f>IF('Perfil - interna'!V135+'Perfil - externa'!V133=0,0,'Perfil - interna'!V135+'Perfil - externa'!V133)</f>
        <v>3565207.55</v>
      </c>
      <c r="W135" s="320">
        <f>IF('Perfil - interna'!W135+'Perfil - externa'!W133=0,0,'Perfil - interna'!W135+'Perfil - externa'!W133)</f>
        <v>673224.35000000009</v>
      </c>
      <c r="X135" s="320">
        <f>IF('Perfil - interna'!X135+'Perfil - externa'!X133=0,0,'Perfil - interna'!X135+'Perfil - externa'!X133)</f>
        <v>3298013.4499999997</v>
      </c>
      <c r="Y135" s="320">
        <f>IF('Perfil - interna'!Y135+'Perfil - externa'!Y133=0,0,'Perfil - interna'!Y135+'Perfil - externa'!Y133)</f>
        <v>453182.14999999997</v>
      </c>
      <c r="Z135" s="320">
        <f>IF('Perfil - interna'!Z135+'Perfil - externa'!Z133=0,0,'Perfil - interna'!Z135+'Perfil - externa'!Z133)</f>
        <v>1535056.3</v>
      </c>
      <c r="AA135" s="320">
        <f>IF('Perfil - interna'!AA135+'Perfil - externa'!AA133=0,0,'Perfil - interna'!AA135+'Perfil - externa'!AA133)</f>
        <v>175509.85</v>
      </c>
      <c r="AB135" s="320">
        <f>IF('Perfil - interna'!AB135+'Perfil - externa'!AB133=0,0,'Perfil - interna'!AB135+'Perfil - externa'!AB133)</f>
        <v>146694.79999999999</v>
      </c>
      <c r="AC135" s="320">
        <f>IF('Perfil - interna'!AC135+'Perfil - externa'!AC133=0,0,'Perfil - interna'!AC135+'Perfil - externa'!AC133)</f>
        <v>665365.70000000007</v>
      </c>
      <c r="AD135" s="320">
        <f>IF('Perfil - interna'!AD135+'Perfil - externa'!AD133=0,0,'Perfil - interna'!AD135+'Perfil - externa'!AD133)</f>
        <v>120499.3</v>
      </c>
      <c r="AE135" s="320">
        <f>IF('Perfil - interna'!AE135+'Perfil - externa'!AE133=0,0,'Perfil - interna'!AE135+'Perfil - externa'!AE133)</f>
        <v>618213.79999999993</v>
      </c>
      <c r="AF135" s="320">
        <f>IF('Perfil - interna'!AF135+'Perfil - externa'!AF133=0,0,'Perfil - interna'!AF135+'Perfil - externa'!AF133)</f>
        <v>73347.400000000009</v>
      </c>
      <c r="AG135" s="320">
        <f>IF('Perfil - interna'!AG135+'Perfil - externa'!AG133=0,0,'Perfil - interna'!AG135+'Perfil - externa'!AG133)</f>
        <v>49771.45</v>
      </c>
      <c r="AH135" s="320">
        <f>IF('Perfil - interna'!AH135+'Perfil - externa'!AH133=0,0,'Perfil - interna'!AH135+'Perfil - externa'!AH133)</f>
        <v>49771.45</v>
      </c>
      <c r="AI135" s="320">
        <f>IF('Perfil - interna'!AI135+'Perfil - externa'!AI133=0,0,'Perfil - interna'!AI135+'Perfil - externa'!AI133)</f>
        <v>1668653.35</v>
      </c>
      <c r="AJ135" s="320">
        <f>IF('Perfil - interna'!AJ135+'Perfil - externa'!AJ133=0,0,'Perfil - interna'!AJ135+'Perfil - externa'!AJ133)</f>
        <v>5239.1000000000004</v>
      </c>
      <c r="AK135" s="320">
        <f>IF('Perfil - interna'!AK135+'Perfil - externa'!AK133=0,0,'Perfil - interna'!AK135+'Perfil - externa'!AK133)</f>
        <v>0</v>
      </c>
      <c r="AL135" s="320">
        <f>IF('Perfil - interna'!AL135+'Perfil - externa'!AL133=0,0,'Perfil - interna'!AL135+'Perfil - externa'!AL133)</f>
        <v>0</v>
      </c>
      <c r="AM135" s="320">
        <f>IF('Perfil - interna'!AM135+'Perfil - externa'!AM133=0,0,'Perfil - interna'!AM135+'Perfil - externa'!AM133)</f>
        <v>0</v>
      </c>
      <c r="AN135" s="320">
        <f>+AN134+AN133</f>
        <v>0</v>
      </c>
      <c r="AO135" s="320"/>
      <c r="AP135" s="320"/>
      <c r="AQ135" s="320"/>
      <c r="AR135" s="320"/>
      <c r="AS135" s="320"/>
      <c r="AT135" s="320"/>
      <c r="AU135" s="320"/>
      <c r="AV135" s="320"/>
      <c r="AW135" s="320"/>
      <c r="AX135" s="320"/>
      <c r="AY135" s="320"/>
      <c r="AZ135" s="320"/>
      <c r="BA135" s="320"/>
      <c r="BB135" s="320"/>
      <c r="BC135" s="320"/>
      <c r="BD135" s="320"/>
      <c r="BE135" s="320"/>
      <c r="BF135" s="320"/>
      <c r="BG135" s="320"/>
      <c r="BH135" s="320"/>
      <c r="BI135" s="320"/>
      <c r="BJ135" s="320"/>
      <c r="BK135" s="320"/>
    </row>
    <row r="136" spans="1:63">
      <c r="A136" s="167"/>
      <c r="B136" s="217" t="str">
        <f>Servicio_internaColumna_título_amortizaciones</f>
        <v>Amortizaciones</v>
      </c>
      <c r="C136" s="218"/>
      <c r="D136" s="219"/>
      <c r="E136" s="219"/>
      <c r="F136" s="219">
        <f>IF('Perfil - interna'!F136+'Perfil - externa'!F134=0,0,'Perfil - interna'!F136+'Perfil - externa'!F134)</f>
        <v>3373110.4167105877</v>
      </c>
      <c r="G136" s="219">
        <f>IF('Perfil - interna'!G136+'Perfil - externa'!G134=0,0,'Perfil - interna'!G136+'Perfil - externa'!G134)</f>
        <v>16451517.802599968</v>
      </c>
      <c r="H136" s="219">
        <f>IF('Perfil - interna'!H136+'Perfil - externa'!H134=0,0,'Perfil - interna'!H136+'Perfil - externa'!H134)</f>
        <v>13844596.840620687</v>
      </c>
      <c r="I136" s="219">
        <f>IF('Perfil - interna'!I136+'Perfil - externa'!I134=0,0,'Perfil - interna'!I136+'Perfil - externa'!I134)</f>
        <v>16760219.16068222</v>
      </c>
      <c r="J136" s="219">
        <f>IF('Perfil - interna'!J136+'Perfil - externa'!J134=0,0,'Perfil - interna'!J136+'Perfil - externa'!J134)</f>
        <v>14031478.369424913</v>
      </c>
      <c r="K136" s="219">
        <f>IF('Perfil - interna'!K136+'Perfil - externa'!K134=0,0,'Perfil - interna'!K136+'Perfil - externa'!K134)</f>
        <v>7779426.5507657966</v>
      </c>
      <c r="L136" s="219">
        <f>IF('Perfil - interna'!L136+'Perfil - externa'!L134=0,0,'Perfil - interna'!L136+'Perfil - externa'!L134)</f>
        <v>7863061.1154396646</v>
      </c>
      <c r="M136" s="219">
        <f>IF('Perfil - interna'!M136+'Perfil - externa'!M134=0,0,'Perfil - interna'!M136+'Perfil - externa'!M134)</f>
        <v>8153223.9609265598</v>
      </c>
      <c r="N136" s="219">
        <f>IF('Perfil - interna'!N136+'Perfil - externa'!N134=0,0,'Perfil - interna'!N136+'Perfil - externa'!N134)</f>
        <v>12594828.564011369</v>
      </c>
      <c r="O136" s="219">
        <f>IF('Perfil - interna'!O136+'Perfil - externa'!O134=0,0,'Perfil - interna'!O136+'Perfil - externa'!O134)</f>
        <v>5849846.2061123028</v>
      </c>
      <c r="P136" s="219">
        <f>IF('Perfil - interna'!P136+'Perfil - externa'!P134=0,0,'Perfil - interna'!P136+'Perfil - externa'!P134)</f>
        <v>2048393.9081026691</v>
      </c>
      <c r="Q136" s="219">
        <f>IF('Perfil - interna'!Q136+'Perfil - externa'!Q134=0,0,'Perfil - interna'!Q136+'Perfil - externa'!Q134)</f>
        <v>2303306.3695305623</v>
      </c>
      <c r="R136" s="219">
        <f>IF('Perfil - interna'!R136+'Perfil - externa'!R134=0,0,'Perfil - interna'!R136+'Perfil - externa'!R134)</f>
        <v>1350592.2969759547</v>
      </c>
      <c r="S136" s="219">
        <f>IF('Perfil - interna'!S136+'Perfil - externa'!S134=0,0,'Perfil - interna'!S136+'Perfil - externa'!S134)</f>
        <v>579413.72343691054</v>
      </c>
      <c r="T136" s="219">
        <f>IF('Perfil - interna'!T136+'Perfil - externa'!T134=0,0,'Perfil - interna'!T136+'Perfil - externa'!T134)</f>
        <v>478939.61790938687</v>
      </c>
      <c r="U136" s="219">
        <f>IF('Perfil - interna'!U136+'Perfil - externa'!U134=0,0,'Perfil - interna'!U136+'Perfil - externa'!U134)</f>
        <v>436142.19439696282</v>
      </c>
      <c r="V136" s="219">
        <f>IF('Perfil - interna'!V136+'Perfil - externa'!V134=0,0,'Perfil - interna'!V136+'Perfil - externa'!V134)</f>
        <v>3090869.3344957032</v>
      </c>
      <c r="W136" s="219">
        <f>IF('Perfil - interna'!W136+'Perfil - externa'!W134=0,0,'Perfil - interna'!W136+'Perfil - externa'!W134)</f>
        <v>300613.86876331305</v>
      </c>
      <c r="X136" s="219">
        <f>IF('Perfil - interna'!X136+'Perfil - externa'!X134=0,0,'Perfil - interna'!X136+'Perfil - externa'!X134)</f>
        <v>157473.99004142047</v>
      </c>
      <c r="Y136" s="219">
        <f>IF('Perfil - interna'!Y136+'Perfil - externa'!Y134=0,0,'Perfil - interna'!Y136+'Perfil - externa'!Y134)</f>
        <v>156161.17788707797</v>
      </c>
      <c r="Z136" s="219">
        <f>IF('Perfil - interna'!Z136+'Perfil - externa'!Z134=0,0,'Perfil - interna'!Z136+'Perfil - externa'!Z134)</f>
        <v>1353942.4464732802</v>
      </c>
      <c r="AA136" s="219">
        <f>IF('Perfil - interna'!AA136+'Perfil - externa'!AA134=0,0,'Perfil - interna'!AA136+'Perfil - externa'!AA134)</f>
        <v>65226.909314576791</v>
      </c>
      <c r="AB136" s="219">
        <f>IF('Perfil - interna'!AB136+'Perfil - externa'!AB134=0,0,'Perfil - interna'!AB136+'Perfil - externa'!AB134)</f>
        <v>48014.656745691296</v>
      </c>
      <c r="AC136" s="219">
        <f>IF('Perfil - interna'!AC136+'Perfil - externa'!AC134=0,0,'Perfil - interna'!AC136+'Perfil - externa'!AC134)</f>
        <v>566398.67940854165</v>
      </c>
      <c r="AD136" s="219">
        <f>IF('Perfil - interna'!AD136+'Perfil - externa'!AD134=0,0,'Perfil - interna'!AD136+'Perfil - externa'!AD134)</f>
        <v>51972.610474560999</v>
      </c>
      <c r="AE136" s="219">
        <f>IF('Perfil - interna'!AE136+'Perfil - externa'!AE134=0,0,'Perfil - interna'!AE136+'Perfil - externa'!AE134)</f>
        <v>19139.440137222999</v>
      </c>
      <c r="AF136" s="219">
        <f>IF('Perfil - interna'!AF136+'Perfil - externa'!AF134=0,0,'Perfil - interna'!AF136+'Perfil - externa'!AF134)</f>
        <v>7404.3010416857996</v>
      </c>
      <c r="AG136" s="219">
        <f>IF('Perfil - interna'!AG136+'Perfil - externa'!AG134=0,0,'Perfil - interna'!AG136+'Perfil - externa'!AG134)</f>
        <v>7404.3010416857996</v>
      </c>
      <c r="AH136" s="219">
        <f>IF('Perfil - interna'!AH136+'Perfil - externa'!AH134=0,0,'Perfil - interna'!AH136+'Perfil - externa'!AH134)</f>
        <v>5933.5581514019996</v>
      </c>
      <c r="AI136" s="219">
        <f>IF('Perfil - interna'!AI136+'Perfil - externa'!AI134=0,0,'Perfil - interna'!AI136+'Perfil - externa'!AI134)</f>
        <v>1626091.6081514021</v>
      </c>
      <c r="AJ136" s="219">
        <f>IF('Perfil - interna'!AJ136+'Perfil - externa'!AJ134=0,0,'Perfil - interna'!AJ136+'Perfil - externa'!AJ134)</f>
        <v>5102.8599999999997</v>
      </c>
      <c r="AK136" s="219">
        <f>IF('Perfil - interna'!AK136+'Perfil - externa'!AK134=0,0,'Perfil - interna'!AK136+'Perfil - externa'!AK134)</f>
        <v>0</v>
      </c>
      <c r="AL136" s="219">
        <f>IF('Perfil - interna'!AL136+'Perfil - externa'!AL134=0,0,'Perfil - interna'!AL136+'Perfil - externa'!AL134)</f>
        <v>0</v>
      </c>
      <c r="AM136" s="219">
        <f>IF('Perfil - interna'!AM136+'Perfil - externa'!AM134=0,0,'Perfil - interna'!AM136+'Perfil - externa'!AM134)</f>
        <v>0</v>
      </c>
      <c r="AN136" s="219">
        <f>'Perfil - interna'!AN136</f>
        <v>0</v>
      </c>
      <c r="AO136" s="219"/>
      <c r="AP136" s="219"/>
      <c r="AQ136" s="219"/>
      <c r="AR136" s="219"/>
      <c r="AS136" s="219"/>
      <c r="AT136" s="219"/>
      <c r="AU136" s="219"/>
      <c r="AV136" s="219"/>
      <c r="AW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J136" s="219"/>
      <c r="BK136" s="219"/>
    </row>
    <row r="137" spans="1:63">
      <c r="A137" s="170">
        <v>38230</v>
      </c>
      <c r="B137" s="220" t="str">
        <f>Servicio_internaColumna_título_intereses</f>
        <v>Intereses</v>
      </c>
      <c r="C137" s="221"/>
      <c r="D137" s="222"/>
      <c r="E137" s="222"/>
      <c r="F137" s="222">
        <f>IF('Perfil - interna'!F137+'Perfil - externa'!F135=0,0,'Perfil - interna'!F137+'Perfil - externa'!F135)</f>
        <v>9154025.495280141</v>
      </c>
      <c r="G137" s="222">
        <f>IF('Perfil - interna'!G137+'Perfil - externa'!G135=0,0,'Perfil - interna'!G137+'Perfil - externa'!G135)</f>
        <v>12462045.751931138</v>
      </c>
      <c r="H137" s="222">
        <f>IF('Perfil - interna'!H137+'Perfil - externa'!H135=0,0,'Perfil - interna'!H137+'Perfil - externa'!H135)</f>
        <v>9093110.5235116109</v>
      </c>
      <c r="I137" s="222">
        <f>IF('Perfil - interna'!I137+'Perfil - externa'!I135=0,0,'Perfil - interna'!I137+'Perfil - externa'!I135)</f>
        <v>9040716.4360140972</v>
      </c>
      <c r="J137" s="222">
        <f>IF('Perfil - interna'!J137+'Perfil - externa'!J135=0,0,'Perfil - interna'!J137+'Perfil - externa'!J135)</f>
        <v>6676381.5876623057</v>
      </c>
      <c r="K137" s="222">
        <f>IF('Perfil - interna'!K137+'Perfil - externa'!K135=0,0,'Perfil - interna'!K137+'Perfil - externa'!K135)</f>
        <v>6325157.5211698478</v>
      </c>
      <c r="L137" s="222">
        <f>IF('Perfil - interna'!L137+'Perfil - externa'!L135=0,0,'Perfil - interna'!L137+'Perfil - externa'!L135)</f>
        <v>7445539.4301779289</v>
      </c>
      <c r="M137" s="222">
        <f>IF('Perfil - interna'!M137+'Perfil - externa'!M135=0,0,'Perfil - interna'!M137+'Perfil - externa'!M135)</f>
        <v>5874433.2884672359</v>
      </c>
      <c r="N137" s="222">
        <f>IF('Perfil - interna'!N137+'Perfil - externa'!N135=0,0,'Perfil - interna'!N137+'Perfil - externa'!N135)</f>
        <v>4152971.4972399217</v>
      </c>
      <c r="O137" s="222">
        <f>IF('Perfil - interna'!O137+'Perfil - externa'!O135=0,0,'Perfil - interna'!O137+'Perfil - externa'!O135)</f>
        <v>2692590.6503479667</v>
      </c>
      <c r="P137" s="222">
        <f>IF('Perfil - interna'!P137+'Perfil - externa'!P135=0,0,'Perfil - interna'!P137+'Perfil - externa'!P135)</f>
        <v>3436475.4327442199</v>
      </c>
      <c r="Q137" s="222">
        <f>IF('Perfil - interna'!Q137+'Perfil - externa'!Q135=0,0,'Perfil - interna'!Q137+'Perfil - externa'!Q135)</f>
        <v>1056711.4540456361</v>
      </c>
      <c r="R137" s="222">
        <f>IF('Perfil - interna'!R137+'Perfil - externa'!R135=0,0,'Perfil - interna'!R137+'Perfil - externa'!R135)</f>
        <v>859831.91</v>
      </c>
      <c r="S137" s="222">
        <f>IF('Perfil - interna'!S137+'Perfil - externa'!S135=0,0,'Perfil - interna'!S137+'Perfil - externa'!S135)</f>
        <v>819009.03</v>
      </c>
      <c r="T137" s="222">
        <f>IF('Perfil - interna'!T137+'Perfil - externa'!T135=0,0,'Perfil - interna'!T137+'Perfil - externa'!T135)</f>
        <v>1102217.76</v>
      </c>
      <c r="U137" s="222">
        <f>IF('Perfil - interna'!U137+'Perfil - externa'!U135=0,0,'Perfil - interna'!U137+'Perfil - externa'!U135)</f>
        <v>451603.11</v>
      </c>
      <c r="V137" s="222">
        <f>IF('Perfil - interna'!V137+'Perfil - externa'!V135=0,0,'Perfil - interna'!V137+'Perfil - externa'!V135)</f>
        <v>382714.5</v>
      </c>
      <c r="W137" s="222">
        <f>IF('Perfil - interna'!W137+'Perfil - externa'!W135=0,0,'Perfil - interna'!W137+'Perfil - externa'!W135)</f>
        <v>354648.77</v>
      </c>
      <c r="X137" s="222">
        <f>IF('Perfil - interna'!X137+'Perfil - externa'!X135=0,0,'Perfil - interna'!X137+'Perfil - externa'!X135)</f>
        <v>3056613.14</v>
      </c>
      <c r="Y137" s="222">
        <f>IF('Perfil - interna'!Y137+'Perfil - externa'!Y135=0,0,'Perfil - interna'!Y137+'Perfil - externa'!Y135)</f>
        <v>285760.15999999997</v>
      </c>
      <c r="Z137" s="222">
        <f>IF('Perfil - interna'!Z137+'Perfil - externa'!Z135=0,0,'Perfil - interna'!Z137+'Perfil - externa'!Z135)</f>
        <v>142880.07999999999</v>
      </c>
      <c r="AA137" s="222">
        <f>IF('Perfil - interna'!AA137+'Perfil - externa'!AA135=0,0,'Perfil - interna'!AA137+'Perfil - externa'!AA135)</f>
        <v>107160.06</v>
      </c>
      <c r="AB137" s="222">
        <f>IF('Perfil - interna'!AB137+'Perfil - externa'!AB135=0,0,'Perfil - interna'!AB137+'Perfil - externa'!AB135)</f>
        <v>96954.34</v>
      </c>
      <c r="AC137" s="222">
        <f>IF('Perfil - interna'!AC137+'Perfil - externa'!AC135=0,0,'Perfil - interna'!AC137+'Perfil - externa'!AC135)</f>
        <v>84197.19</v>
      </c>
      <c r="AD137" s="222">
        <f>IF('Perfil - interna'!AD137+'Perfil - externa'!AD135=0,0,'Perfil - interna'!AD137+'Perfil - externa'!AD135)</f>
        <v>68888.61</v>
      </c>
      <c r="AE137" s="222">
        <f>IF('Perfil - interna'!AE137+'Perfil - externa'!AE135=0,0,'Perfil - interna'!AE137+'Perfil - externa'!AE135)</f>
        <v>584277.47</v>
      </c>
      <c r="AF137" s="222">
        <f>IF('Perfil - interna'!AF137+'Perfil - externa'!AF135=0,0,'Perfil - interna'!AF137+'Perfil - externa'!AF135)</f>
        <v>66337.179999999993</v>
      </c>
      <c r="AG137" s="222">
        <f>IF('Perfil - interna'!AG137+'Perfil - externa'!AG135=0,0,'Perfil - interna'!AG137+'Perfil - externa'!AG135)</f>
        <v>43374.31</v>
      </c>
      <c r="AH137" s="222">
        <f>IF('Perfil - interna'!AH137+'Perfil - externa'!AH135=0,0,'Perfil - interna'!AH137+'Perfil - externa'!AH135)</f>
        <v>43374.31</v>
      </c>
      <c r="AI137" s="222">
        <f>IF('Perfil - interna'!AI137+'Perfil - externa'!AI135=0,0,'Perfil - interna'!AI137+'Perfil - externa'!AI135)</f>
        <v>0</v>
      </c>
      <c r="AJ137" s="222">
        <f>IF('Perfil - interna'!AJ137+'Perfil - externa'!AJ135=0,0,'Perfil - interna'!AJ137+'Perfil - externa'!AJ135)</f>
        <v>0</v>
      </c>
      <c r="AK137" s="222">
        <f>IF('Perfil - interna'!AK137+'Perfil - externa'!AK135=0,0,'Perfil - interna'!AK137+'Perfil - externa'!AK135)</f>
        <v>0</v>
      </c>
      <c r="AL137" s="222">
        <f>IF('Perfil - interna'!AL137+'Perfil - externa'!AL135=0,0,'Perfil - interna'!AL137+'Perfil - externa'!AL135)</f>
        <v>0</v>
      </c>
      <c r="AM137" s="222">
        <f>IF('Perfil - interna'!AM137+'Perfil - externa'!AM135=0,0,'Perfil - interna'!AM137+'Perfil - externa'!AM135)</f>
        <v>0</v>
      </c>
      <c r="AN137" s="222">
        <f>'Perfil - interna'!AN137</f>
        <v>0</v>
      </c>
      <c r="AO137" s="222"/>
      <c r="AP137" s="222"/>
      <c r="AQ137" s="222"/>
      <c r="AR137" s="222"/>
      <c r="AS137" s="222"/>
      <c r="AT137" s="222"/>
      <c r="AU137" s="222"/>
      <c r="AV137" s="222"/>
      <c r="AW137" s="222"/>
      <c r="AX137" s="222"/>
      <c r="AY137" s="222"/>
      <c r="AZ137" s="222"/>
      <c r="BA137" s="222"/>
      <c r="BB137" s="222"/>
      <c r="BC137" s="222"/>
      <c r="BD137" s="222"/>
      <c r="BE137" s="222"/>
      <c r="BF137" s="222"/>
      <c r="BG137" s="222"/>
      <c r="BH137" s="222"/>
      <c r="BI137" s="222"/>
      <c r="BJ137" s="222"/>
      <c r="BK137" s="222"/>
    </row>
    <row r="138" spans="1:63">
      <c r="A138" s="171"/>
      <c r="B138" s="318" t="str">
        <f>Servicio_internaColumna_título_total</f>
        <v>Total</v>
      </c>
      <c r="C138" s="319"/>
      <c r="D138" s="320"/>
      <c r="E138" s="320"/>
      <c r="F138" s="320">
        <f>IF('Perfil - interna'!F138+'Perfil - externa'!F136=0,0,'Perfil - interna'!F138+'Perfil - externa'!F136)</f>
        <v>12527135.911990728</v>
      </c>
      <c r="G138" s="320">
        <f>IF('Perfil - interna'!G138+'Perfil - externa'!G136=0,0,'Perfil - interna'!G138+'Perfil - externa'!G136)</f>
        <v>28913563.554531105</v>
      </c>
      <c r="H138" s="320">
        <f>IF('Perfil - interna'!H138+'Perfil - externa'!H136=0,0,'Perfil - interna'!H138+'Perfil - externa'!H136)</f>
        <v>22937707.3641323</v>
      </c>
      <c r="I138" s="320">
        <f>IF('Perfil - interna'!I138+'Perfil - externa'!I136=0,0,'Perfil - interna'!I138+'Perfil - externa'!I136)</f>
        <v>25800935.596696317</v>
      </c>
      <c r="J138" s="320">
        <f>IF('Perfil - interna'!J138+'Perfil - externa'!J136=0,0,'Perfil - interna'!J138+'Perfil - externa'!J136)</f>
        <v>20707859.957087219</v>
      </c>
      <c r="K138" s="320">
        <f>IF('Perfil - interna'!K138+'Perfil - externa'!K136=0,0,'Perfil - interna'!K138+'Perfil - externa'!K136)</f>
        <v>14104584.071935644</v>
      </c>
      <c r="L138" s="320">
        <f>IF('Perfil - interna'!L138+'Perfil - externa'!L136=0,0,'Perfil - interna'!L138+'Perfil - externa'!L136)</f>
        <v>15308600.545617593</v>
      </c>
      <c r="M138" s="320">
        <f>IF('Perfil - interna'!M138+'Perfil - externa'!M136=0,0,'Perfil - interna'!M138+'Perfil - externa'!M136)</f>
        <v>14027657.249393795</v>
      </c>
      <c r="N138" s="320">
        <f>IF('Perfil - interna'!N138+'Perfil - externa'!N136=0,0,'Perfil - interna'!N138+'Perfil - externa'!N136)</f>
        <v>16747800.06125129</v>
      </c>
      <c r="O138" s="320">
        <f>IF('Perfil - interna'!O138+'Perfil - externa'!O136=0,0,'Perfil - interna'!O138+'Perfil - externa'!O136)</f>
        <v>8542436.8564602695</v>
      </c>
      <c r="P138" s="320">
        <f>IF('Perfil - interna'!P138+'Perfil - externa'!P136=0,0,'Perfil - interna'!P138+'Perfil - externa'!P136)</f>
        <v>5484869.3408468887</v>
      </c>
      <c r="Q138" s="320">
        <f>IF('Perfil - interna'!Q138+'Perfil - externa'!Q136=0,0,'Perfil - interna'!Q138+'Perfil - externa'!Q136)</f>
        <v>3360017.823576198</v>
      </c>
      <c r="R138" s="320">
        <f>IF('Perfil - interna'!R138+'Perfil - externa'!R136=0,0,'Perfil - interna'!R138+'Perfil - externa'!R136)</f>
        <v>2210424.2069759546</v>
      </c>
      <c r="S138" s="320">
        <f>IF('Perfil - interna'!S138+'Perfil - externa'!S136=0,0,'Perfil - interna'!S138+'Perfil - externa'!S136)</f>
        <v>1398422.7534369105</v>
      </c>
      <c r="T138" s="320">
        <f>IF('Perfil - interna'!T138+'Perfil - externa'!T136=0,0,'Perfil - interna'!T138+'Perfil - externa'!T136)</f>
        <v>1581157.377909387</v>
      </c>
      <c r="U138" s="320">
        <f>IF('Perfil - interna'!U138+'Perfil - externa'!U136=0,0,'Perfil - interna'!U138+'Perfil - externa'!U136)</f>
        <v>887745.30439696275</v>
      </c>
      <c r="V138" s="320">
        <f>IF('Perfil - interna'!V138+'Perfil - externa'!V136=0,0,'Perfil - interna'!V138+'Perfil - externa'!V136)</f>
        <v>3473583.8344957032</v>
      </c>
      <c r="W138" s="320">
        <f>IF('Perfil - interna'!W138+'Perfil - externa'!W136=0,0,'Perfil - interna'!W138+'Perfil - externa'!W136)</f>
        <v>655262.63876331307</v>
      </c>
      <c r="X138" s="320">
        <f>IF('Perfil - interna'!X138+'Perfil - externa'!X136=0,0,'Perfil - interna'!X138+'Perfil - externa'!X136)</f>
        <v>3214087.1300414205</v>
      </c>
      <c r="Y138" s="320">
        <f>IF('Perfil - interna'!Y138+'Perfil - externa'!Y136=0,0,'Perfil - interna'!Y138+'Perfil - externa'!Y136)</f>
        <v>441921.33788707794</v>
      </c>
      <c r="Z138" s="320">
        <f>IF('Perfil - interna'!Z138+'Perfil - externa'!Z136=0,0,'Perfil - interna'!Z138+'Perfil - externa'!Z136)</f>
        <v>1496822.5264732803</v>
      </c>
      <c r="AA138" s="320">
        <f>IF('Perfil - interna'!AA138+'Perfil - externa'!AA136=0,0,'Perfil - interna'!AA138+'Perfil - externa'!AA136)</f>
        <v>172386.9693145768</v>
      </c>
      <c r="AB138" s="320">
        <f>IF('Perfil - interna'!AB138+'Perfil - externa'!AB136=0,0,'Perfil - interna'!AB138+'Perfil - externa'!AB136)</f>
        <v>144968.99674569129</v>
      </c>
      <c r="AC138" s="320">
        <f>IF('Perfil - interna'!AC138+'Perfil - externa'!AC136=0,0,'Perfil - interna'!AC138+'Perfil - externa'!AC136)</f>
        <v>650595.86940854159</v>
      </c>
      <c r="AD138" s="320">
        <f>IF('Perfil - interna'!AD138+'Perfil - externa'!AD136=0,0,'Perfil - interna'!AD138+'Perfil - externa'!AD136)</f>
        <v>120861.22047456101</v>
      </c>
      <c r="AE138" s="320">
        <f>IF('Perfil - interna'!AE138+'Perfil - externa'!AE136=0,0,'Perfil - interna'!AE138+'Perfil - externa'!AE136)</f>
        <v>603416.91013722296</v>
      </c>
      <c r="AF138" s="320">
        <f>IF('Perfil - interna'!AF138+'Perfil - externa'!AF136=0,0,'Perfil - interna'!AF138+'Perfil - externa'!AF136)</f>
        <v>73741.481041685794</v>
      </c>
      <c r="AG138" s="320">
        <f>IF('Perfil - interna'!AG138+'Perfil - externa'!AG136=0,0,'Perfil - interna'!AG138+'Perfil - externa'!AG136)</f>
        <v>50778.611041685799</v>
      </c>
      <c r="AH138" s="320">
        <f>IF('Perfil - interna'!AH138+'Perfil - externa'!AH136=0,0,'Perfil - interna'!AH138+'Perfil - externa'!AH136)</f>
        <v>49307.868151401999</v>
      </c>
      <c r="AI138" s="320">
        <f>IF('Perfil - interna'!AI138+'Perfil - externa'!AI136=0,0,'Perfil - interna'!AI138+'Perfil - externa'!AI136)</f>
        <v>1626091.6081514021</v>
      </c>
      <c r="AJ138" s="320">
        <f>IF('Perfil - interna'!AJ138+'Perfil - externa'!AJ136=0,0,'Perfil - interna'!AJ138+'Perfil - externa'!AJ136)</f>
        <v>5102.8599999999997</v>
      </c>
      <c r="AK138" s="320">
        <f>IF('Perfil - interna'!AK138+'Perfil - externa'!AK136=0,0,'Perfil - interna'!AK138+'Perfil - externa'!AK136)</f>
        <v>0</v>
      </c>
      <c r="AL138" s="320">
        <f>IF('Perfil - interna'!AL138+'Perfil - externa'!AL136=0,0,'Perfil - interna'!AL138+'Perfil - externa'!AL136)</f>
        <v>0</v>
      </c>
      <c r="AM138" s="320">
        <f>IF('Perfil - interna'!AM138+'Perfil - externa'!AM136=0,0,'Perfil - interna'!AM138+'Perfil - externa'!AM136)</f>
        <v>0</v>
      </c>
      <c r="AN138" s="320">
        <f>+AN137+AN136</f>
        <v>0</v>
      </c>
      <c r="AO138" s="320"/>
      <c r="AP138" s="320"/>
      <c r="AQ138" s="320"/>
      <c r="AR138" s="320"/>
      <c r="AS138" s="320"/>
      <c r="AT138" s="320"/>
      <c r="AU138" s="320"/>
      <c r="AV138" s="320"/>
      <c r="AW138" s="320"/>
      <c r="AX138" s="320"/>
      <c r="AY138" s="320"/>
      <c r="AZ138" s="320"/>
      <c r="BA138" s="320"/>
      <c r="BB138" s="320"/>
      <c r="BC138" s="320"/>
      <c r="BD138" s="320"/>
      <c r="BE138" s="320"/>
      <c r="BF138" s="320"/>
      <c r="BG138" s="320"/>
      <c r="BH138" s="320"/>
      <c r="BI138" s="320"/>
      <c r="BJ138" s="320"/>
      <c r="BK138" s="320"/>
    </row>
    <row r="139" spans="1:63">
      <c r="A139" s="167"/>
      <c r="B139" s="217" t="str">
        <f>Servicio_internaColumna_título_amortizaciones</f>
        <v>Amortizaciones</v>
      </c>
      <c r="C139" s="218"/>
      <c r="D139" s="219"/>
      <c r="E139" s="219"/>
      <c r="F139" s="219">
        <f>IF('Perfil - interna'!F139+'Perfil - externa'!F137=0,0,'Perfil - interna'!F139+'Perfil - externa'!F137)</f>
        <v>2802112.4472266822</v>
      </c>
      <c r="G139" s="219">
        <f>IF('Perfil - interna'!G139+'Perfil - externa'!G137=0,0,'Perfil - interna'!G139+'Perfil - externa'!G137)</f>
        <v>15381214.016909111</v>
      </c>
      <c r="H139" s="219">
        <f>IF('Perfil - interna'!H139+'Perfil - externa'!H137=0,0,'Perfil - interna'!H139+'Perfil - externa'!H137)</f>
        <v>13814148.929145932</v>
      </c>
      <c r="I139" s="219">
        <f>IF('Perfil - interna'!I139+'Perfil - externa'!I137=0,0,'Perfil - interna'!I139+'Perfil - externa'!I137)</f>
        <v>17846683.83708306</v>
      </c>
      <c r="J139" s="219">
        <f>IF('Perfil - interna'!J139+'Perfil - externa'!J137=0,0,'Perfil - interna'!J139+'Perfil - externa'!J137)</f>
        <v>14052013.300538952</v>
      </c>
      <c r="K139" s="219">
        <f>IF('Perfil - interna'!K139+'Perfil - externa'!K137=0,0,'Perfil - interna'!K139+'Perfil - externa'!K137)</f>
        <v>8666425.3422428127</v>
      </c>
      <c r="L139" s="219">
        <f>IF('Perfil - interna'!L139+'Perfil - externa'!L137=0,0,'Perfil - interna'!L139+'Perfil - externa'!L137)</f>
        <v>8009326.7699103057</v>
      </c>
      <c r="M139" s="219">
        <f>IF('Perfil - interna'!M139+'Perfil - externa'!M137=0,0,'Perfil - interna'!M139+'Perfil - externa'!M137)</f>
        <v>8132117.6731257923</v>
      </c>
      <c r="N139" s="219">
        <f>IF('Perfil - interna'!N139+'Perfil - externa'!N137=0,0,'Perfil - interna'!N139+'Perfil - externa'!N137)</f>
        <v>13052834.302335124</v>
      </c>
      <c r="O139" s="219">
        <f>IF('Perfil - interna'!O139+'Perfil - externa'!O137=0,0,'Perfil - interna'!O139+'Perfil - externa'!O137)</f>
        <v>5929087.5609461274</v>
      </c>
      <c r="P139" s="219">
        <f>IF('Perfil - interna'!P139+'Perfil - externa'!P137=0,0,'Perfil - interna'!P139+'Perfil - externa'!P137)</f>
        <v>2240092.4048442473</v>
      </c>
      <c r="Q139" s="219">
        <f>IF('Perfil - interna'!Q139+'Perfil - externa'!Q137=0,0,'Perfil - interna'!Q139+'Perfil - externa'!Q137)</f>
        <v>2627301.2282872498</v>
      </c>
      <c r="R139" s="219">
        <f>IF('Perfil - interna'!R139+'Perfil - externa'!R137=0,0,'Perfil - interna'!R139+'Perfil - externa'!R137)</f>
        <v>1524545.0318859254</v>
      </c>
      <c r="S139" s="219">
        <f>IF('Perfil - interna'!S139+'Perfil - externa'!S137=0,0,'Perfil - interna'!S139+'Perfil - externa'!S137)</f>
        <v>675599.44522372365</v>
      </c>
      <c r="T139" s="219">
        <f>IF('Perfil - interna'!T139+'Perfil - externa'!T137=0,0,'Perfil - interna'!T139+'Perfil - externa'!T137)</f>
        <v>470270.25553122372</v>
      </c>
      <c r="U139" s="219">
        <f>IF('Perfil - interna'!U139+'Perfil - externa'!U137=0,0,'Perfil - interna'!U139+'Perfil - externa'!U137)</f>
        <v>428168.23454369564</v>
      </c>
      <c r="V139" s="219">
        <f>IF('Perfil - interna'!V139+'Perfil - externa'!V137=0,0,'Perfil - interna'!V139+'Perfil - externa'!V137)</f>
        <v>3129378.7223516507</v>
      </c>
      <c r="W139" s="219">
        <f>IF('Perfil - interna'!W139+'Perfil - externa'!W137=0,0,'Perfil - interna'!W139+'Perfil - externa'!W137)</f>
        <v>303328.13685815863</v>
      </c>
      <c r="X139" s="219">
        <f>IF('Perfil - interna'!X139+'Perfil - externa'!X137=0,0,'Perfil - interna'!X139+'Perfil - externa'!X137)</f>
        <v>157786.76129834933</v>
      </c>
      <c r="Y139" s="219">
        <f>IF('Perfil - interna'!Y139+'Perfil - externa'!Y137=0,0,'Perfil - interna'!Y139+'Perfil - externa'!Y137)</f>
        <v>156524.24512805443</v>
      </c>
      <c r="Z139" s="219">
        <f>IF('Perfil - interna'!Z139+'Perfil - externa'!Z137=0,0,'Perfil - interna'!Z139+'Perfil - externa'!Z137)</f>
        <v>1374604.4501354797</v>
      </c>
      <c r="AA139" s="219">
        <f>IF('Perfil - interna'!AA139+'Perfil - externa'!AA137=0,0,'Perfil - interna'!AA139+'Perfil - externa'!AA137)</f>
        <v>66374.912012958637</v>
      </c>
      <c r="AB139" s="219">
        <f>IF('Perfil - interna'!AB139+'Perfil - externa'!AB137=0,0,'Perfil - interna'!AB139+'Perfil - externa'!AB137)</f>
        <v>48867.584161834129</v>
      </c>
      <c r="AC139" s="219">
        <f>IF('Perfil - interna'!AC139+'Perfil - externa'!AC137=0,0,'Perfil - interna'!AC139+'Perfil - externa'!AC137)</f>
        <v>575736.18252903165</v>
      </c>
      <c r="AD139" s="219">
        <f>IF('Perfil - interna'!AD139+'Perfil - externa'!AD137=0,0,'Perfil - interna'!AD139+'Perfil - externa'!AD137)</f>
        <v>52348.404687578426</v>
      </c>
      <c r="AE139" s="219">
        <f>IF('Perfil - interna'!AE139+'Perfil - externa'!AE137=0,0,'Perfil - interna'!AE139+'Perfil - externa'!AE137)</f>
        <v>19497.35025935643</v>
      </c>
      <c r="AF139" s="219">
        <f>IF('Perfil - interna'!AF139+'Perfil - externa'!AF137=0,0,'Perfil - interna'!AF139+'Perfil - externa'!AF137)</f>
        <v>7531.2353870746283</v>
      </c>
      <c r="AG139" s="219">
        <f>IF('Perfil - interna'!AG139+'Perfil - externa'!AG137=0,0,'Perfil - interna'!AG139+'Perfil - externa'!AG137)</f>
        <v>7531.2353870746283</v>
      </c>
      <c r="AH139" s="219">
        <f>IF('Perfil - interna'!AH139+'Perfil - externa'!AH137=0,0,'Perfil - interna'!AH139+'Perfil - externa'!AH137)</f>
        <v>6035.2790818379999</v>
      </c>
      <c r="AI139" s="219">
        <f>IF('Perfil - interna'!AI139+'Perfil - externa'!AI137=0,0,'Perfil - interna'!AI139+'Perfil - externa'!AI137)</f>
        <v>1653968.2290818382</v>
      </c>
      <c r="AJ139" s="219">
        <f>IF('Perfil - interna'!AJ139+'Perfil - externa'!AJ137=0,0,'Perfil - interna'!AJ139+'Perfil - externa'!AJ137)</f>
        <v>6035.2790818379999</v>
      </c>
      <c r="AK139" s="219">
        <f>IF('Perfil - interna'!AK139+'Perfil - externa'!AK137=0,0,'Perfil - interna'!AK139+'Perfil - externa'!AK137)</f>
        <v>0</v>
      </c>
      <c r="AL139" s="219">
        <f>IF('Perfil - interna'!AL139+'Perfil - externa'!AL137=0,0,'Perfil - interna'!AL139+'Perfil - externa'!AL137)</f>
        <v>0</v>
      </c>
      <c r="AM139" s="219">
        <f>IF('Perfil - interna'!AM139+'Perfil - externa'!AM137=0,0,'Perfil - interna'!AM139+'Perfil - externa'!AM137)</f>
        <v>0</v>
      </c>
      <c r="AN139" s="219">
        <f>'Perfil - interna'!AN139</f>
        <v>0</v>
      </c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</row>
    <row r="140" spans="1:63">
      <c r="A140" s="170">
        <v>38260</v>
      </c>
      <c r="B140" s="220" t="str">
        <f>Servicio_internaColumna_título_intereses</f>
        <v>Intereses</v>
      </c>
      <c r="C140" s="221"/>
      <c r="D140" s="222"/>
      <c r="E140" s="222"/>
      <c r="F140" s="222">
        <f>IF('Perfil - interna'!F140+'Perfil - externa'!F138=0,0,'Perfil - interna'!F140+'Perfil - externa'!F138)</f>
        <v>9218156.1976151373</v>
      </c>
      <c r="G140" s="222">
        <f>IF('Perfil - interna'!G140+'Perfil - externa'!G138=0,0,'Perfil - interna'!G140+'Perfil - externa'!G138)</f>
        <v>12743515.475361694</v>
      </c>
      <c r="H140" s="222">
        <f>IF('Perfil - interna'!H140+'Perfil - externa'!H138=0,0,'Perfil - interna'!H140+'Perfil - externa'!H138)</f>
        <v>9471456.877441572</v>
      </c>
      <c r="I140" s="222">
        <f>IF('Perfil - interna'!I140+'Perfil - externa'!I138=0,0,'Perfil - interna'!I140+'Perfil - externa'!I138)</f>
        <v>9434803.1813928541</v>
      </c>
      <c r="J140" s="222">
        <f>IF('Perfil - interna'!J140+'Perfil - externa'!J138=0,0,'Perfil - interna'!J140+'Perfil - externa'!J138)</f>
        <v>6927617.2220711336</v>
      </c>
      <c r="K140" s="222">
        <f>IF('Perfil - interna'!K140+'Perfil - externa'!K138=0,0,'Perfil - interna'!K140+'Perfil - externa'!K138)</f>
        <v>6582413.4732603701</v>
      </c>
      <c r="L140" s="222">
        <f>IF('Perfil - interna'!L140+'Perfil - externa'!L138=0,0,'Perfil - interna'!L140+'Perfil - externa'!L138)</f>
        <v>7614890.4503944488</v>
      </c>
      <c r="M140" s="222">
        <f>IF('Perfil - interna'!M140+'Perfil - externa'!M138=0,0,'Perfil - interna'!M140+'Perfil - externa'!M138)</f>
        <v>5997804.0027714279</v>
      </c>
      <c r="N140" s="222">
        <f>IF('Perfil - interna'!N140+'Perfil - externa'!N138=0,0,'Perfil - interna'!N140+'Perfil - externa'!N138)</f>
        <v>4254783.9668800486</v>
      </c>
      <c r="O140" s="222">
        <f>IF('Perfil - interna'!O140+'Perfil - externa'!O138=0,0,'Perfil - interna'!O140+'Perfil - externa'!O138)</f>
        <v>2733159.8137210393</v>
      </c>
      <c r="P140" s="222">
        <f>IF('Perfil - interna'!P140+'Perfil - externa'!P138=0,0,'Perfil - interna'!P140+'Perfil - externa'!P138)</f>
        <v>3493971.9761172934</v>
      </c>
      <c r="Q140" s="222">
        <f>IF('Perfil - interna'!Q140+'Perfil - externa'!Q138=0,0,'Perfil - interna'!Q140+'Perfil - externa'!Q138)</f>
        <v>1072807.7740456362</v>
      </c>
      <c r="R140" s="222">
        <f>IF('Perfil - interna'!R140+'Perfil - externa'!R138=0,0,'Perfil - interna'!R140+'Perfil - externa'!R138)</f>
        <v>874572.29</v>
      </c>
      <c r="S140" s="222">
        <f>IF('Perfil - interna'!S140+'Perfil - externa'!S138=0,0,'Perfil - interna'!S140+'Perfil - externa'!S138)</f>
        <v>833049.57</v>
      </c>
      <c r="T140" s="222">
        <f>IF('Perfil - interna'!T140+'Perfil - externa'!T138=0,0,'Perfil - interna'!T140+'Perfil - externa'!T138)</f>
        <v>1121113.44</v>
      </c>
      <c r="U140" s="222">
        <f>IF('Perfil - interna'!U140+'Perfil - externa'!U138=0,0,'Perfil - interna'!U140+'Perfil - externa'!U138)</f>
        <v>459345.09</v>
      </c>
      <c r="V140" s="222">
        <f>IF('Perfil - interna'!V140+'Perfil - externa'!V138=0,0,'Perfil - interna'!V140+'Perfil - externa'!V138)</f>
        <v>389275.5</v>
      </c>
      <c r="W140" s="222">
        <f>IF('Perfil - interna'!W140+'Perfil - externa'!W138=0,0,'Perfil - interna'!W140+'Perfil - externa'!W138)</f>
        <v>360728.63</v>
      </c>
      <c r="X140" s="222">
        <f>IF('Perfil - interna'!X140+'Perfil - externa'!X138=0,0,'Perfil - interna'!X140+'Perfil - externa'!X138)</f>
        <v>3109013.66</v>
      </c>
      <c r="Y140" s="222">
        <f>IF('Perfil - interna'!Y140+'Perfil - externa'!Y138=0,0,'Perfil - interna'!Y140+'Perfil - externa'!Y138)</f>
        <v>290659.03999999998</v>
      </c>
      <c r="Z140" s="222">
        <f>IF('Perfil - interna'!Z140+'Perfil - externa'!Z138=0,0,'Perfil - interna'!Z140+'Perfil - externa'!Z138)</f>
        <v>145329.51999999999</v>
      </c>
      <c r="AA140" s="222">
        <f>IF('Perfil - interna'!AA140+'Perfil - externa'!AA138=0,0,'Perfil - interna'!AA140+'Perfil - externa'!AA138)</f>
        <v>108997.14</v>
      </c>
      <c r="AB140" s="222">
        <f>IF('Perfil - interna'!AB140+'Perfil - externa'!AB138=0,0,'Perfil - interna'!AB140+'Perfil - externa'!AB138)</f>
        <v>98616.46</v>
      </c>
      <c r="AC140" s="222">
        <f>IF('Perfil - interna'!AC140+'Perfil - externa'!AC138=0,0,'Perfil - interna'!AC140+'Perfil - externa'!AC138)</f>
        <v>85640.61</v>
      </c>
      <c r="AD140" s="222">
        <f>IF('Perfil - interna'!AD140+'Perfil - externa'!AD138=0,0,'Perfil - interna'!AD140+'Perfil - externa'!AD138)</f>
        <v>70069.59</v>
      </c>
      <c r="AE140" s="222">
        <f>IF('Perfil - interna'!AE140+'Perfil - externa'!AE138=0,0,'Perfil - interna'!AE140+'Perfil - externa'!AE138)</f>
        <v>594293.93000000005</v>
      </c>
      <c r="AF140" s="222">
        <f>IF('Perfil - interna'!AF140+'Perfil - externa'!AF138=0,0,'Perfil - interna'!AF140+'Perfil - externa'!AF138)</f>
        <v>67474.42</v>
      </c>
      <c r="AG140" s="222">
        <f>IF('Perfil - interna'!AG140+'Perfil - externa'!AG138=0,0,'Perfil - interna'!AG140+'Perfil - externa'!AG138)</f>
        <v>44117.89</v>
      </c>
      <c r="AH140" s="222">
        <f>IF('Perfil - interna'!AH140+'Perfil - externa'!AH138=0,0,'Perfil - interna'!AH140+'Perfil - externa'!AH138)</f>
        <v>44117.89</v>
      </c>
      <c r="AI140" s="222">
        <f>IF('Perfil - interna'!AI140+'Perfil - externa'!AI138=0,0,'Perfil - interna'!AI140+'Perfil - externa'!AI138)</f>
        <v>0</v>
      </c>
      <c r="AJ140" s="222">
        <f>IF('Perfil - interna'!AJ140+'Perfil - externa'!AJ138=0,0,'Perfil - interna'!AJ140+'Perfil - externa'!AJ138)</f>
        <v>0</v>
      </c>
      <c r="AK140" s="222">
        <f>IF('Perfil - interna'!AK140+'Perfil - externa'!AK138=0,0,'Perfil - interna'!AK140+'Perfil - externa'!AK138)</f>
        <v>0</v>
      </c>
      <c r="AL140" s="222">
        <f>IF('Perfil - interna'!AL140+'Perfil - externa'!AL138=0,0,'Perfil - interna'!AL140+'Perfil - externa'!AL138)</f>
        <v>0</v>
      </c>
      <c r="AM140" s="222">
        <f>IF('Perfil - interna'!AM140+'Perfil - externa'!AM138=0,0,'Perfil - interna'!AM140+'Perfil - externa'!AM138)</f>
        <v>0</v>
      </c>
      <c r="AN140" s="222">
        <f>'Perfil - interna'!AN140</f>
        <v>0</v>
      </c>
      <c r="AO140" s="222"/>
      <c r="AP140" s="222"/>
      <c r="AQ140" s="222"/>
      <c r="AR140" s="222"/>
      <c r="AS140" s="222"/>
      <c r="AT140" s="222"/>
      <c r="AU140" s="222"/>
      <c r="AV140" s="222"/>
      <c r="AW140" s="222"/>
      <c r="AX140" s="222"/>
      <c r="AY140" s="222"/>
      <c r="AZ140" s="222"/>
      <c r="BA140" s="222"/>
      <c r="BB140" s="222"/>
      <c r="BC140" s="222"/>
      <c r="BD140" s="222"/>
      <c r="BE140" s="222"/>
      <c r="BF140" s="222"/>
      <c r="BG140" s="222"/>
      <c r="BH140" s="222"/>
      <c r="BI140" s="222"/>
      <c r="BJ140" s="222"/>
      <c r="BK140" s="222"/>
    </row>
    <row r="141" spans="1:63">
      <c r="A141" s="171"/>
      <c r="B141" s="318" t="str">
        <f>Servicio_internaColumna_título_total</f>
        <v>Total</v>
      </c>
      <c r="C141" s="319"/>
      <c r="D141" s="320"/>
      <c r="E141" s="320"/>
      <c r="F141" s="320">
        <f>IF('Perfil - interna'!F141+'Perfil - externa'!F139=0,0,'Perfil - interna'!F141+'Perfil - externa'!F139)</f>
        <v>12020268.64484182</v>
      </c>
      <c r="G141" s="320">
        <f>IF('Perfil - interna'!G141+'Perfil - externa'!G139=0,0,'Perfil - interna'!G141+'Perfil - externa'!G139)</f>
        <v>28124729.492270805</v>
      </c>
      <c r="H141" s="320">
        <f>IF('Perfil - interna'!H141+'Perfil - externa'!H139=0,0,'Perfil - interna'!H141+'Perfil - externa'!H139)</f>
        <v>23285605.806587502</v>
      </c>
      <c r="I141" s="320">
        <f>IF('Perfil - interna'!I141+'Perfil - externa'!I139=0,0,'Perfil - interna'!I141+'Perfil - externa'!I139)</f>
        <v>27281487.018475913</v>
      </c>
      <c r="J141" s="320">
        <f>IF('Perfil - interna'!J141+'Perfil - externa'!J139=0,0,'Perfil - interna'!J141+'Perfil - externa'!J139)</f>
        <v>20979630.522610083</v>
      </c>
      <c r="K141" s="320">
        <f>IF('Perfil - interna'!K141+'Perfil - externa'!K139=0,0,'Perfil - interna'!K141+'Perfil - externa'!K139)</f>
        <v>15248838.815503184</v>
      </c>
      <c r="L141" s="320">
        <f>IF('Perfil - interna'!L141+'Perfil - externa'!L139=0,0,'Perfil - interna'!L141+'Perfil - externa'!L139)</f>
        <v>15624217.220304754</v>
      </c>
      <c r="M141" s="320">
        <f>IF('Perfil - interna'!M141+'Perfil - externa'!M139=0,0,'Perfil - interna'!M141+'Perfil - externa'!M139)</f>
        <v>14129921.67589722</v>
      </c>
      <c r="N141" s="320">
        <f>IF('Perfil - interna'!N141+'Perfil - externa'!N139=0,0,'Perfil - interna'!N141+'Perfil - externa'!N139)</f>
        <v>17307618.269215174</v>
      </c>
      <c r="O141" s="320">
        <f>IF('Perfil - interna'!O141+'Perfil - externa'!O139=0,0,'Perfil - interna'!O141+'Perfil - externa'!O139)</f>
        <v>8662247.3746671658</v>
      </c>
      <c r="P141" s="320">
        <f>IF('Perfil - interna'!P141+'Perfil - externa'!P139=0,0,'Perfil - interna'!P141+'Perfil - externa'!P139)</f>
        <v>5734064.3809615402</v>
      </c>
      <c r="Q141" s="320">
        <f>IF('Perfil - interna'!Q141+'Perfil - externa'!Q139=0,0,'Perfil - interna'!Q141+'Perfil - externa'!Q139)</f>
        <v>3700109.0023328857</v>
      </c>
      <c r="R141" s="320">
        <f>IF('Perfil - interna'!R141+'Perfil - externa'!R139=0,0,'Perfil - interna'!R141+'Perfil - externa'!R139)</f>
        <v>2399117.3218859257</v>
      </c>
      <c r="S141" s="320">
        <f>IF('Perfil - interna'!S141+'Perfil - externa'!S139=0,0,'Perfil - interna'!S141+'Perfil - externa'!S139)</f>
        <v>1508649.0152237236</v>
      </c>
      <c r="T141" s="320">
        <f>IF('Perfil - interna'!T141+'Perfil - externa'!T139=0,0,'Perfil - interna'!T141+'Perfil - externa'!T139)</f>
        <v>1591383.6955312237</v>
      </c>
      <c r="U141" s="320">
        <f>IF('Perfil - interna'!U141+'Perfil - externa'!U139=0,0,'Perfil - interna'!U141+'Perfil - externa'!U139)</f>
        <v>887513.32454369566</v>
      </c>
      <c r="V141" s="320">
        <f>IF('Perfil - interna'!V141+'Perfil - externa'!V139=0,0,'Perfil - interna'!V141+'Perfil - externa'!V139)</f>
        <v>3518654.2223516507</v>
      </c>
      <c r="W141" s="320">
        <f>IF('Perfil - interna'!W141+'Perfil - externa'!W139=0,0,'Perfil - interna'!W141+'Perfil - externa'!W139)</f>
        <v>664056.76685815863</v>
      </c>
      <c r="X141" s="320">
        <f>IF('Perfil - interna'!X141+'Perfil - externa'!X139=0,0,'Perfil - interna'!X141+'Perfil - externa'!X139)</f>
        <v>3266800.4212983493</v>
      </c>
      <c r="Y141" s="320">
        <f>IF('Perfil - interna'!Y141+'Perfil - externa'!Y139=0,0,'Perfil - interna'!Y141+'Perfil - externa'!Y139)</f>
        <v>447183.28512805444</v>
      </c>
      <c r="Z141" s="320">
        <f>IF('Perfil - interna'!Z141+'Perfil - externa'!Z139=0,0,'Perfil - interna'!Z141+'Perfil - externa'!Z139)</f>
        <v>1519933.9701354797</v>
      </c>
      <c r="AA141" s="320">
        <f>IF('Perfil - interna'!AA141+'Perfil - externa'!AA139=0,0,'Perfil - interna'!AA141+'Perfil - externa'!AA139)</f>
        <v>175372.05201295862</v>
      </c>
      <c r="AB141" s="320">
        <f>IF('Perfil - interna'!AB141+'Perfil - externa'!AB139=0,0,'Perfil - interna'!AB141+'Perfil - externa'!AB139)</f>
        <v>147484.04416183414</v>
      </c>
      <c r="AC141" s="320">
        <f>IF('Perfil - interna'!AC141+'Perfil - externa'!AC139=0,0,'Perfil - interna'!AC141+'Perfil - externa'!AC139)</f>
        <v>661376.79252903163</v>
      </c>
      <c r="AD141" s="320">
        <f>IF('Perfil - interna'!AD141+'Perfil - externa'!AD139=0,0,'Perfil - interna'!AD141+'Perfil - externa'!AD139)</f>
        <v>122417.99468757842</v>
      </c>
      <c r="AE141" s="320">
        <f>IF('Perfil - interna'!AE141+'Perfil - externa'!AE139=0,0,'Perfil - interna'!AE141+'Perfil - externa'!AE139)</f>
        <v>613791.28025935648</v>
      </c>
      <c r="AF141" s="320">
        <f>IF('Perfil - interna'!AF141+'Perfil - externa'!AF139=0,0,'Perfil - interna'!AF141+'Perfil - externa'!AF139)</f>
        <v>75005.655387074628</v>
      </c>
      <c r="AG141" s="320">
        <f>IF('Perfil - interna'!AG141+'Perfil - externa'!AG139=0,0,'Perfil - interna'!AG141+'Perfil - externa'!AG139)</f>
        <v>51649.12538707463</v>
      </c>
      <c r="AH141" s="320">
        <f>IF('Perfil - interna'!AH141+'Perfil - externa'!AH139=0,0,'Perfil - interna'!AH141+'Perfil - externa'!AH139)</f>
        <v>50153.169081838001</v>
      </c>
      <c r="AI141" s="320">
        <f>IF('Perfil - interna'!AI141+'Perfil - externa'!AI139=0,0,'Perfil - interna'!AI141+'Perfil - externa'!AI139)</f>
        <v>1653968.2290818382</v>
      </c>
      <c r="AJ141" s="320">
        <f>IF('Perfil - interna'!AJ141+'Perfil - externa'!AJ139=0,0,'Perfil - interna'!AJ141+'Perfil - externa'!AJ139)</f>
        <v>6035.2790818379999</v>
      </c>
      <c r="AK141" s="320">
        <f>IF('Perfil - interna'!AK141+'Perfil - externa'!AK139=0,0,'Perfil - interna'!AK141+'Perfil - externa'!AK139)</f>
        <v>0</v>
      </c>
      <c r="AL141" s="320">
        <f>IF('Perfil - interna'!AL141+'Perfil - externa'!AL139=0,0,'Perfil - interna'!AL141+'Perfil - externa'!AL139)</f>
        <v>0</v>
      </c>
      <c r="AM141" s="320">
        <f>IF('Perfil - interna'!AM141+'Perfil - externa'!AM139=0,0,'Perfil - interna'!AM141+'Perfil - externa'!AM139)</f>
        <v>0</v>
      </c>
      <c r="AN141" s="320">
        <f>+AN140+AN139</f>
        <v>0</v>
      </c>
      <c r="AO141" s="320"/>
      <c r="AP141" s="320"/>
      <c r="AQ141" s="320"/>
      <c r="AR141" s="320"/>
      <c r="AS141" s="320"/>
      <c r="AT141" s="320"/>
      <c r="AU141" s="320"/>
      <c r="AV141" s="320"/>
      <c r="AW141" s="320"/>
      <c r="AX141" s="320"/>
      <c r="AY141" s="320"/>
      <c r="AZ141" s="320"/>
      <c r="BA141" s="320"/>
      <c r="BB141" s="320"/>
      <c r="BC141" s="320"/>
      <c r="BD141" s="320"/>
      <c r="BE141" s="320"/>
      <c r="BF141" s="320"/>
      <c r="BG141" s="320"/>
      <c r="BH141" s="320"/>
      <c r="BI141" s="320"/>
      <c r="BJ141" s="320"/>
      <c r="BK141" s="320"/>
    </row>
    <row r="142" spans="1:63">
      <c r="A142" s="167"/>
      <c r="B142" s="217" t="str">
        <f>Servicio_internaColumna_título_amortizaciones</f>
        <v>Amortizaciones</v>
      </c>
      <c r="C142" s="218"/>
      <c r="D142" s="219"/>
      <c r="E142" s="219"/>
      <c r="F142" s="219">
        <f>IF('Perfil - interna'!F142+'Perfil - externa'!F140=0,0,'Perfil - interna'!F142+'Perfil - externa'!F140)</f>
        <v>1871667.9135753994</v>
      </c>
      <c r="G142" s="219">
        <f>IF('Perfil - interna'!G142+'Perfil - externa'!G140=0,0,'Perfil - interna'!G142+'Perfil - externa'!G140)</f>
        <v>15984281.708102446</v>
      </c>
      <c r="H142" s="219">
        <f>IF('Perfil - interna'!H142+'Perfil - externa'!H140=0,0,'Perfil - interna'!H142+'Perfil - externa'!H140)</f>
        <v>13934999.175094824</v>
      </c>
      <c r="I142" s="219">
        <f>IF('Perfil - interna'!I142+'Perfil - externa'!I140=0,0,'Perfil - interna'!I142+'Perfil - externa'!I140)</f>
        <v>18022016.095955007</v>
      </c>
      <c r="J142" s="219">
        <f>IF('Perfil - interna'!J142+'Perfil - externa'!J140=0,0,'Perfil - interna'!J142+'Perfil - externa'!J140)</f>
        <v>14330824.424772378</v>
      </c>
      <c r="K142" s="219">
        <f>IF('Perfil - interna'!K142+'Perfil - externa'!K140=0,0,'Perfil - interna'!K142+'Perfil - externa'!K140)</f>
        <v>8914426.8799788468</v>
      </c>
      <c r="L142" s="219">
        <f>IF('Perfil - interna'!L142+'Perfil - externa'!L140=0,0,'Perfil - interna'!L142+'Perfil - externa'!L140)</f>
        <v>8177913.8602311155</v>
      </c>
      <c r="M142" s="219">
        <f>IF('Perfil - interna'!M142+'Perfil - externa'!M140=0,0,'Perfil - interna'!M142+'Perfil - externa'!M140)</f>
        <v>8269663.0696232095</v>
      </c>
      <c r="N142" s="219">
        <f>IF('Perfil - interna'!N142+'Perfil - externa'!N140=0,0,'Perfil - interna'!N142+'Perfil - externa'!N140)</f>
        <v>13164909.061373798</v>
      </c>
      <c r="O142" s="219">
        <f>IF('Perfil - interna'!O142+'Perfil - externa'!O140=0,0,'Perfil - interna'!O142+'Perfil - externa'!O140)</f>
        <v>5957135.7457125019</v>
      </c>
      <c r="P142" s="219">
        <f>IF('Perfil - interna'!P142+'Perfil - externa'!P140=0,0,'Perfil - interna'!P142+'Perfil - externa'!P140)</f>
        <v>3769485.7685273942</v>
      </c>
      <c r="Q142" s="219">
        <f>IF('Perfil - interna'!Q142+'Perfil - externa'!Q140=0,0,'Perfil - interna'!Q142+'Perfil - externa'!Q140)</f>
        <v>2857100.2761702519</v>
      </c>
      <c r="R142" s="219">
        <f>IF('Perfil - interna'!R142+'Perfil - externa'!R140=0,0,'Perfil - interna'!R142+'Perfil - externa'!R140)</f>
        <v>1536579.0902011341</v>
      </c>
      <c r="S142" s="219">
        <f>IF('Perfil - interna'!S142+'Perfil - externa'!S140=0,0,'Perfil - interna'!S142+'Perfil - externa'!S140)</f>
        <v>688679.09372077207</v>
      </c>
      <c r="T142" s="219">
        <f>IF('Perfil - interna'!T142+'Perfil - externa'!T140=0,0,'Perfil - interna'!T142+'Perfil - externa'!T140)</f>
        <v>486657.30706966802</v>
      </c>
      <c r="U142" s="219">
        <f>IF('Perfil - interna'!U142+'Perfil - externa'!U140=0,0,'Perfil - interna'!U142+'Perfil - externa'!U140)</f>
        <v>442907.75480362616</v>
      </c>
      <c r="V142" s="219">
        <f>IF('Perfil - interna'!V142+'Perfil - externa'!V140=0,0,'Perfil - interna'!V142+'Perfil - externa'!V140)</f>
        <v>3133393.4164005201</v>
      </c>
      <c r="W142" s="219">
        <f>IF('Perfil - interna'!W142+'Perfil - externa'!W140=0,0,'Perfil - interna'!W142+'Perfil - externa'!W140)</f>
        <v>305548.60486000206</v>
      </c>
      <c r="X142" s="219">
        <f>IF('Perfil - interna'!X142+'Perfil - externa'!X140=0,0,'Perfil - interna'!X142+'Perfil - externa'!X140)</f>
        <v>160339.38416266401</v>
      </c>
      <c r="Y142" s="219">
        <f>IF('Perfil - interna'!Y142+'Perfil - externa'!Y140=0,0,'Perfil - interna'!Y142+'Perfil - externa'!Y140)</f>
        <v>159045.74291723603</v>
      </c>
      <c r="Z142" s="219">
        <f>IF('Perfil - interna'!Z142+'Perfil - externa'!Z140=0,0,'Perfil - interna'!Z142+'Perfil - externa'!Z140)</f>
        <v>1372728.0038745983</v>
      </c>
      <c r="AA142" s="219">
        <f>IF('Perfil - interna'!AA142+'Perfil - externa'!AA140=0,0,'Perfil - interna'!AA142+'Perfil - externa'!AA140)</f>
        <v>65828.451463992009</v>
      </c>
      <c r="AB142" s="219">
        <f>IF('Perfil - interna'!AB142+'Perfil - externa'!AB140=0,0,'Perfil - interna'!AB142+'Perfil - externa'!AB140)</f>
        <v>48384.334755862001</v>
      </c>
      <c r="AC142" s="219">
        <f>IF('Perfil - interna'!AC142+'Perfil - externa'!AC140=0,0,'Perfil - interna'!AC142+'Perfil - externa'!AC140)</f>
        <v>573751.44488688605</v>
      </c>
      <c r="AD142" s="219">
        <f>IF('Perfil - interna'!AD142+'Perfil - externa'!AD140=0,0,'Perfil - interna'!AD142+'Perfil - externa'!AD140)</f>
        <v>52395.605593044005</v>
      </c>
      <c r="AE142" s="219">
        <f>IF('Perfil - interna'!AE142+'Perfil - externa'!AE140=0,0,'Perfil - interna'!AE142+'Perfil - externa'!AE140)</f>
        <v>19120.143652764</v>
      </c>
      <c r="AF142" s="219">
        <f>IF('Perfil - interna'!AF142+'Perfil - externa'!AF140=0,0,'Perfil - interna'!AF142+'Perfil - externa'!AF140)</f>
        <v>7197.2330778320011</v>
      </c>
      <c r="AG142" s="219">
        <f>IF('Perfil - interna'!AG142+'Perfil - externa'!AG140=0,0,'Perfil - interna'!AG142+'Perfil - externa'!AG140)</f>
        <v>7197.2330778320011</v>
      </c>
      <c r="AH142" s="219">
        <f>IF('Perfil - interna'!AH142+'Perfil - externa'!AH140=0,0,'Perfil - interna'!AH142+'Perfil - externa'!AH140)</f>
        <v>6202.6946282280005</v>
      </c>
      <c r="AI142" s="219">
        <f>IF('Perfil - interna'!AI142+'Perfil - externa'!AI140=0,0,'Perfil - interna'!AI142+'Perfil - externa'!AI140)</f>
        <v>1648185.6946282282</v>
      </c>
      <c r="AJ142" s="219">
        <f>IF('Perfil - interna'!AJ142+'Perfil - externa'!AJ140=0,0,'Perfil - interna'!AJ142+'Perfil - externa'!AJ140)</f>
        <v>6202.6946282280005</v>
      </c>
      <c r="AK142" s="219">
        <f>IF('Perfil - interna'!AK142+'Perfil - externa'!AK140=0,0,'Perfil - interna'!AK142+'Perfil - externa'!AK140)</f>
        <v>0</v>
      </c>
      <c r="AL142" s="219">
        <f>IF('Perfil - interna'!AL142+'Perfil - externa'!AL140=0,0,'Perfil - interna'!AL142+'Perfil - externa'!AL140)</f>
        <v>0</v>
      </c>
      <c r="AM142" s="219">
        <f>IF('Perfil - interna'!AM142+'Perfil - externa'!AM140=0,0,'Perfil - interna'!AM142+'Perfil - externa'!AM140)</f>
        <v>0</v>
      </c>
      <c r="AN142" s="219">
        <f>IF('Perfil - interna'!AN142+'Perfil - externa'!AN140=0,0,'Perfil - interna'!AN142+'Perfil - externa'!AN140)</f>
        <v>0</v>
      </c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</row>
    <row r="143" spans="1:63">
      <c r="A143" s="170">
        <v>38291</v>
      </c>
      <c r="B143" s="220" t="str">
        <f>Servicio_internaColumna_título_intereses</f>
        <v>Intereses</v>
      </c>
      <c r="C143" s="221"/>
      <c r="D143" s="222"/>
      <c r="E143" s="222"/>
      <c r="F143" s="222">
        <f>IF('Perfil - interna'!F143+'Perfil - externa'!F141=0,0,'Perfil - interna'!F143+'Perfil - externa'!F141)</f>
        <v>9229523.1616828591</v>
      </c>
      <c r="G143" s="222">
        <f>IF('Perfil - interna'!G143+'Perfil - externa'!G141=0,0,'Perfil - interna'!G143+'Perfil - externa'!G141)</f>
        <v>12838116.387186371</v>
      </c>
      <c r="H143" s="222">
        <f>IF('Perfil - interna'!H143+'Perfil - externa'!H141=0,0,'Perfil - interna'!H143+'Perfil - externa'!H141)</f>
        <v>9607710.673458185</v>
      </c>
      <c r="I143" s="222">
        <f>IF('Perfil - interna'!I143+'Perfil - externa'!I141=0,0,'Perfil - interna'!I143+'Perfil - externa'!I141)</f>
        <v>9532519.7080967315</v>
      </c>
      <c r="J143" s="222">
        <f>IF('Perfil - interna'!J143+'Perfil - externa'!J141=0,0,'Perfil - interna'!J143+'Perfil - externa'!J141)</f>
        <v>6990912.0430075787</v>
      </c>
      <c r="K143" s="222">
        <f>IF('Perfil - interna'!K143+'Perfil - externa'!K141=0,0,'Perfil - interna'!K143+'Perfil - externa'!K141)</f>
        <v>6640299.7894783262</v>
      </c>
      <c r="L143" s="222">
        <f>IF('Perfil - interna'!L143+'Perfil - externa'!L141=0,0,'Perfil - interna'!L143+'Perfil - externa'!L141)</f>
        <v>7649778.311908856</v>
      </c>
      <c r="M143" s="222">
        <f>IF('Perfil - interna'!M143+'Perfil - externa'!M141=0,0,'Perfil - interna'!M143+'Perfil - externa'!M141)</f>
        <v>6034220.873830202</v>
      </c>
      <c r="N143" s="222">
        <f>IF('Perfil - interna'!N143+'Perfil - externa'!N141=0,0,'Perfil - interna'!N143+'Perfil - externa'!N141)</f>
        <v>4294542.6398276659</v>
      </c>
      <c r="O143" s="222">
        <f>IF('Perfil - interna'!O143+'Perfil - externa'!O141=0,0,'Perfil - interna'!O143+'Perfil - externa'!O141)</f>
        <v>2761308.4873761046</v>
      </c>
      <c r="P143" s="222">
        <f>IF('Perfil - interna'!P143+'Perfil - externa'!P141=0,0,'Perfil - interna'!P143+'Perfil - externa'!P141)</f>
        <v>3519127.926139364</v>
      </c>
      <c r="Q143" s="222">
        <f>IF('Perfil - interna'!Q143+'Perfil - externa'!Q141=0,0,'Perfil - interna'!Q143+'Perfil - externa'!Q141)</f>
        <v>1091761.0994229428</v>
      </c>
      <c r="R143" s="222">
        <f>IF('Perfil - interna'!R143+'Perfil - externa'!R141=0,0,'Perfil - interna'!R143+'Perfil - externa'!R141)</f>
        <v>871414.6</v>
      </c>
      <c r="S143" s="222">
        <f>IF('Perfil - interna'!S143+'Perfil - externa'!S141=0,0,'Perfil - interna'!S143+'Perfil - externa'!S141)</f>
        <v>830041.8</v>
      </c>
      <c r="T143" s="222">
        <f>IF('Perfil - interna'!T143+'Perfil - externa'!T141=0,0,'Perfil - interna'!T143+'Perfil - externa'!T141)</f>
        <v>1117065.6000000001</v>
      </c>
      <c r="U143" s="222">
        <f>IF('Perfil - interna'!U143+'Perfil - externa'!U141=0,0,'Perfil - interna'!U143+'Perfil - externa'!U141)</f>
        <v>457686.6</v>
      </c>
      <c r="V143" s="222">
        <f>IF('Perfil - interna'!V143+'Perfil - externa'!V141=0,0,'Perfil - interna'!V143+'Perfil - externa'!V141)</f>
        <v>387870</v>
      </c>
      <c r="W143" s="222">
        <f>IF('Perfil - interna'!W143+'Perfil - externa'!W141=0,0,'Perfil - interna'!W143+'Perfil - externa'!W141)</f>
        <v>359426.2</v>
      </c>
      <c r="X143" s="222">
        <f>IF('Perfil - interna'!X143+'Perfil - externa'!X141=0,0,'Perfil - interna'!X143+'Perfil - externa'!X141)</f>
        <v>3097788.4</v>
      </c>
      <c r="Y143" s="222">
        <f>IF('Perfil - interna'!Y143+'Perfil - externa'!Y141=0,0,'Perfil - interna'!Y143+'Perfil - externa'!Y141)</f>
        <v>289609.59999999998</v>
      </c>
      <c r="Z143" s="222">
        <f>IF('Perfil - interna'!Z143+'Perfil - externa'!Z141=0,0,'Perfil - interna'!Z143+'Perfil - externa'!Z141)</f>
        <v>144804.79999999999</v>
      </c>
      <c r="AA143" s="222">
        <f>IF('Perfil - interna'!AA143+'Perfil - externa'!AA141=0,0,'Perfil - interna'!AA143+'Perfil - externa'!AA141)</f>
        <v>108603.6</v>
      </c>
      <c r="AB143" s="222">
        <f>IF('Perfil - interna'!AB143+'Perfil - externa'!AB141=0,0,'Perfil - interna'!AB143+'Perfil - externa'!AB141)</f>
        <v>98260.4</v>
      </c>
      <c r="AC143" s="222">
        <f>IF('Perfil - interna'!AC143+'Perfil - externa'!AC141=0,0,'Perfil - interna'!AC143+'Perfil - externa'!AC141)</f>
        <v>85331.4</v>
      </c>
      <c r="AD143" s="222">
        <f>IF('Perfil - interna'!AD143+'Perfil - externa'!AD141=0,0,'Perfil - interna'!AD143+'Perfil - externa'!AD141)</f>
        <v>69816.600000000006</v>
      </c>
      <c r="AE143" s="222">
        <f>IF('Perfil - interna'!AE143+'Perfil - externa'!AE141=0,0,'Perfil - interna'!AE143+'Perfil - externa'!AE141)</f>
        <v>592148.19999999995</v>
      </c>
      <c r="AF143" s="222">
        <f>IF('Perfil - interna'!AF143+'Perfil - externa'!AF141=0,0,'Perfil - interna'!AF143+'Perfil - externa'!AF141)</f>
        <v>67230.8</v>
      </c>
      <c r="AG143" s="222">
        <f>IF('Perfil - interna'!AG143+'Perfil - externa'!AG141=0,0,'Perfil - interna'!AG143+'Perfil - externa'!AG141)</f>
        <v>43958.6</v>
      </c>
      <c r="AH143" s="222">
        <f>IF('Perfil - interna'!AH143+'Perfil - externa'!AH141=0,0,'Perfil - interna'!AH143+'Perfil - externa'!AH141)</f>
        <v>43958.6</v>
      </c>
      <c r="AI143" s="222">
        <f>IF('Perfil - interna'!AI143+'Perfil - externa'!AI141=0,0,'Perfil - interna'!AI143+'Perfil - externa'!AI141)</f>
        <v>0</v>
      </c>
      <c r="AJ143" s="222">
        <f>IF('Perfil - interna'!AJ143+'Perfil - externa'!AJ141=0,0,'Perfil - interna'!AJ143+'Perfil - externa'!AJ141)</f>
        <v>0</v>
      </c>
      <c r="AK143" s="222">
        <f>IF('Perfil - interna'!AK143+'Perfil - externa'!AK141=0,0,'Perfil - interna'!AK143+'Perfil - externa'!AK141)</f>
        <v>0</v>
      </c>
      <c r="AL143" s="222">
        <f>IF('Perfil - interna'!AL143+'Perfil - externa'!AL141=0,0,'Perfil - interna'!AL143+'Perfil - externa'!AL141)</f>
        <v>0</v>
      </c>
      <c r="AM143" s="222">
        <f>IF('Perfil - interna'!AM143+'Perfil - externa'!AM141=0,0,'Perfil - interna'!AM143+'Perfil - externa'!AM141)</f>
        <v>0</v>
      </c>
      <c r="AN143" s="222">
        <f>IF('Perfil - interna'!AN143+'Perfil - externa'!AN141=0,0,'Perfil - interna'!AN143+'Perfil - externa'!AN141)</f>
        <v>0</v>
      </c>
      <c r="AO143" s="222"/>
      <c r="AP143" s="222"/>
      <c r="AQ143" s="222"/>
      <c r="AR143" s="222"/>
      <c r="AS143" s="222"/>
      <c r="AT143" s="222"/>
      <c r="AU143" s="222"/>
      <c r="AV143" s="222"/>
      <c r="AW143" s="222"/>
      <c r="AX143" s="222"/>
      <c r="AY143" s="222"/>
      <c r="AZ143" s="222"/>
      <c r="BA143" s="222"/>
      <c r="BB143" s="222"/>
      <c r="BC143" s="222"/>
      <c r="BD143" s="222"/>
      <c r="BE143" s="222"/>
      <c r="BF143" s="222"/>
      <c r="BG143" s="222"/>
      <c r="BH143" s="222"/>
      <c r="BI143" s="222"/>
      <c r="BJ143" s="222"/>
      <c r="BK143" s="222"/>
    </row>
    <row r="144" spans="1:63">
      <c r="A144" s="171"/>
      <c r="B144" s="318" t="str">
        <f>Servicio_internaColumna_título_total</f>
        <v>Total</v>
      </c>
      <c r="C144" s="319"/>
      <c r="D144" s="320"/>
      <c r="E144" s="320"/>
      <c r="F144" s="320">
        <f>IF('Perfil - interna'!F144+'Perfil - externa'!F142=0,0,'Perfil - interna'!F144+'Perfil - externa'!F142)</f>
        <v>11101191.075258259</v>
      </c>
      <c r="G144" s="320">
        <f>IF('Perfil - interna'!G144+'Perfil - externa'!G142=0,0,'Perfil - interna'!G144+'Perfil - externa'!G142)</f>
        <v>28822398.095288817</v>
      </c>
      <c r="H144" s="320">
        <f>IF('Perfil - interna'!H144+'Perfil - externa'!H142=0,0,'Perfil - interna'!H144+'Perfil - externa'!H142)</f>
        <v>23542709.848553009</v>
      </c>
      <c r="I144" s="320">
        <f>IF('Perfil - interna'!I144+'Perfil - externa'!I142=0,0,'Perfil - interna'!I144+'Perfil - externa'!I142)</f>
        <v>27554535.804051738</v>
      </c>
      <c r="J144" s="320">
        <f>IF('Perfil - interna'!J144+'Perfil - externa'!J142=0,0,'Perfil - interna'!J144+'Perfil - externa'!J142)</f>
        <v>21321736.467779957</v>
      </c>
      <c r="K144" s="320">
        <f>IF('Perfil - interna'!K144+'Perfil - externa'!K142=0,0,'Perfil - interna'!K144+'Perfil - externa'!K142)</f>
        <v>15554726.669457171</v>
      </c>
      <c r="L144" s="320">
        <f>IF('Perfil - interna'!L144+'Perfil - externa'!L142=0,0,'Perfil - interna'!L144+'Perfil - externa'!L142)</f>
        <v>15827692.172139972</v>
      </c>
      <c r="M144" s="320">
        <f>IF('Perfil - interna'!M144+'Perfil - externa'!M142=0,0,'Perfil - interna'!M144+'Perfil - externa'!M142)</f>
        <v>14303883.943453413</v>
      </c>
      <c r="N144" s="320">
        <f>IF('Perfil - interna'!N144+'Perfil - externa'!N142=0,0,'Perfil - interna'!N144+'Perfil - externa'!N142)</f>
        <v>17459451.701201465</v>
      </c>
      <c r="O144" s="320">
        <f>IF('Perfil - interna'!O144+'Perfil - externa'!O142=0,0,'Perfil - interna'!O144+'Perfil - externa'!O142)</f>
        <v>8718444.233088607</v>
      </c>
      <c r="P144" s="320">
        <f>IF('Perfil - interna'!P144+'Perfil - externa'!P142=0,0,'Perfil - interna'!P144+'Perfil - externa'!P142)</f>
        <v>7288613.6946667591</v>
      </c>
      <c r="Q144" s="320">
        <f>IF('Perfil - interna'!Q144+'Perfil - externa'!Q142=0,0,'Perfil - interna'!Q144+'Perfil - externa'!Q142)</f>
        <v>3948861.3755931947</v>
      </c>
      <c r="R144" s="320">
        <f>IF('Perfil - interna'!R144+'Perfil - externa'!R142=0,0,'Perfil - interna'!R144+'Perfil - externa'!R142)</f>
        <v>2407993.690201134</v>
      </c>
      <c r="S144" s="320">
        <f>IF('Perfil - interna'!S144+'Perfil - externa'!S142=0,0,'Perfil - interna'!S144+'Perfil - externa'!S142)</f>
        <v>1518720.8937207721</v>
      </c>
      <c r="T144" s="320">
        <f>IF('Perfil - interna'!T144+'Perfil - externa'!T142=0,0,'Perfil - interna'!T144+'Perfil - externa'!T142)</f>
        <v>1603722.9070696682</v>
      </c>
      <c r="U144" s="320">
        <f>IF('Perfil - interna'!U144+'Perfil - externa'!U142=0,0,'Perfil - interna'!U144+'Perfil - externa'!U142)</f>
        <v>900594.35480362619</v>
      </c>
      <c r="V144" s="320">
        <f>IF('Perfil - interna'!V144+'Perfil - externa'!V142=0,0,'Perfil - interna'!V144+'Perfil - externa'!V142)</f>
        <v>3521263.4164005201</v>
      </c>
      <c r="W144" s="320">
        <f>IF('Perfil - interna'!W144+'Perfil - externa'!W142=0,0,'Perfil - interna'!W144+'Perfil - externa'!W142)</f>
        <v>664974.80486000213</v>
      </c>
      <c r="X144" s="320">
        <f>IF('Perfil - interna'!X144+'Perfil - externa'!X142=0,0,'Perfil - interna'!X144+'Perfil - externa'!X142)</f>
        <v>3258127.7841626639</v>
      </c>
      <c r="Y144" s="320">
        <f>IF('Perfil - interna'!Y144+'Perfil - externa'!Y142=0,0,'Perfil - interna'!Y144+'Perfil - externa'!Y142)</f>
        <v>448655.34291723603</v>
      </c>
      <c r="Z144" s="320">
        <f>IF('Perfil - interna'!Z144+'Perfil - externa'!Z142=0,0,'Perfil - interna'!Z144+'Perfil - externa'!Z142)</f>
        <v>1517532.8038745984</v>
      </c>
      <c r="AA144" s="320">
        <f>IF('Perfil - interna'!AA144+'Perfil - externa'!AA142=0,0,'Perfil - interna'!AA144+'Perfil - externa'!AA142)</f>
        <v>174432.05146399201</v>
      </c>
      <c r="AB144" s="320">
        <f>IF('Perfil - interna'!AB144+'Perfil - externa'!AB142=0,0,'Perfil - interna'!AB144+'Perfil - externa'!AB142)</f>
        <v>146644.73475586198</v>
      </c>
      <c r="AC144" s="320">
        <f>IF('Perfil - interna'!AC144+'Perfil - externa'!AC142=0,0,'Perfil - interna'!AC144+'Perfil - externa'!AC142)</f>
        <v>659082.84488688607</v>
      </c>
      <c r="AD144" s="320">
        <f>IF('Perfil - interna'!AD144+'Perfil - externa'!AD142=0,0,'Perfil - interna'!AD144+'Perfil - externa'!AD142)</f>
        <v>122212.20559304401</v>
      </c>
      <c r="AE144" s="320">
        <f>IF('Perfil - interna'!AE144+'Perfil - externa'!AE142=0,0,'Perfil - interna'!AE144+'Perfil - externa'!AE142)</f>
        <v>611268.34365276399</v>
      </c>
      <c r="AF144" s="320">
        <f>IF('Perfil - interna'!AF144+'Perfil - externa'!AF142=0,0,'Perfil - interna'!AF144+'Perfil - externa'!AF142)</f>
        <v>74428.033077832006</v>
      </c>
      <c r="AG144" s="320">
        <f>IF('Perfil - interna'!AG144+'Perfil - externa'!AG142=0,0,'Perfil - interna'!AG144+'Perfil - externa'!AG142)</f>
        <v>51155.833077832001</v>
      </c>
      <c r="AH144" s="320">
        <f>IF('Perfil - interna'!AH144+'Perfil - externa'!AH142=0,0,'Perfil - interna'!AH144+'Perfil - externa'!AH142)</f>
        <v>50161.294628228003</v>
      </c>
      <c r="AI144" s="320">
        <f>IF('Perfil - interna'!AI144+'Perfil - externa'!AI142=0,0,'Perfil - interna'!AI144+'Perfil - externa'!AI142)</f>
        <v>1648185.6946282282</v>
      </c>
      <c r="AJ144" s="320">
        <f>IF('Perfil - interna'!AJ144+'Perfil - externa'!AJ142=0,0,'Perfil - interna'!AJ144+'Perfil - externa'!AJ142)</f>
        <v>6202.6946282280005</v>
      </c>
      <c r="AK144" s="320">
        <f>IF('Perfil - interna'!AK144+'Perfil - externa'!AK142=0,0,'Perfil - interna'!AK144+'Perfil - externa'!AK142)</f>
        <v>0</v>
      </c>
      <c r="AL144" s="320">
        <f>IF('Perfil - interna'!AL144+'Perfil - externa'!AL142=0,0,'Perfil - interna'!AL144+'Perfil - externa'!AL142)</f>
        <v>0</v>
      </c>
      <c r="AM144" s="320">
        <f>IF('Perfil - interna'!AM144+'Perfil - externa'!AM142=0,0,'Perfil - interna'!AM144+'Perfil - externa'!AM142)</f>
        <v>0</v>
      </c>
      <c r="AN144" s="320">
        <f>IF('Perfil - interna'!AN144+'Perfil - externa'!AN142=0,0,'Perfil - interna'!AN144+'Perfil - externa'!AN142)</f>
        <v>0</v>
      </c>
      <c r="AO144" s="320"/>
      <c r="AP144" s="320"/>
      <c r="AQ144" s="320"/>
      <c r="AR144" s="320"/>
      <c r="AS144" s="320"/>
      <c r="AT144" s="320"/>
      <c r="AU144" s="320"/>
      <c r="AV144" s="320"/>
      <c r="AW144" s="320"/>
      <c r="AX144" s="320"/>
      <c r="AY144" s="320"/>
      <c r="AZ144" s="320"/>
      <c r="BA144" s="320"/>
      <c r="BB144" s="320"/>
      <c r="BC144" s="320"/>
      <c r="BD144" s="320"/>
      <c r="BE144" s="320"/>
      <c r="BF144" s="320"/>
      <c r="BG144" s="320"/>
      <c r="BH144" s="320"/>
      <c r="BI144" s="320"/>
      <c r="BJ144" s="320"/>
      <c r="BK144" s="320"/>
    </row>
    <row r="145" spans="1:63">
      <c r="A145" s="167"/>
      <c r="B145" s="217" t="str">
        <f>Servicio_internaColumna_título_amortizaciones</f>
        <v>Amortizaciones</v>
      </c>
      <c r="C145" s="218"/>
      <c r="D145" s="219"/>
      <c r="E145" s="219"/>
      <c r="F145" s="219">
        <f>IF('Perfil - interna'!F145+'Perfil - externa'!F143=0,0,'Perfil - interna'!F145+'Perfil - externa'!F143)</f>
        <v>757939.2398661687</v>
      </c>
      <c r="G145" s="219">
        <f>IF('Perfil - interna'!G145+'Perfil - externa'!G143=0,0,'Perfil - interna'!G145+'Perfil - externa'!G143)</f>
        <v>16094139.65007353</v>
      </c>
      <c r="H145" s="219">
        <f>IF('Perfil - interna'!H145+'Perfil - externa'!H143=0,0,'Perfil - interna'!H145+'Perfil - externa'!H143)</f>
        <v>13706447.536568563</v>
      </c>
      <c r="I145" s="219">
        <f>IF('Perfil - interna'!I145+'Perfil - externa'!I143=0,0,'Perfil - interna'!I145+'Perfil - externa'!I143)</f>
        <v>17766297.649697449</v>
      </c>
      <c r="J145" s="219">
        <f>IF('Perfil - interna'!J145+'Perfil - externa'!J143=0,0,'Perfil - interna'!J145+'Perfil - externa'!J143)</f>
        <v>14041497.159833521</v>
      </c>
      <c r="K145" s="219">
        <f>IF('Perfil - interna'!K145+'Perfil - externa'!K143=0,0,'Perfil - interna'!K145+'Perfil - externa'!K143)</f>
        <v>8704987.4390672632</v>
      </c>
      <c r="L145" s="219">
        <f>IF('Perfil - interna'!L145+'Perfil - externa'!L143=0,0,'Perfil - interna'!L145+'Perfil - externa'!L143)</f>
        <v>8806108.8415152952</v>
      </c>
      <c r="M145" s="219">
        <f>IF('Perfil - interna'!M145+'Perfil - externa'!M143=0,0,'Perfil - interna'!M145+'Perfil - externa'!M143)</f>
        <v>8143148.2515734918</v>
      </c>
      <c r="N145" s="219">
        <f>IF('Perfil - interna'!N145+'Perfil - externa'!N143=0,0,'Perfil - interna'!N145+'Perfil - externa'!N143)</f>
        <v>13009877.348430423</v>
      </c>
      <c r="O145" s="219">
        <f>IF('Perfil - interna'!O145+'Perfil - externa'!O143=0,0,'Perfil - interna'!O145+'Perfil - externa'!O143)</f>
        <v>6053514.4871715503</v>
      </c>
      <c r="P145" s="219">
        <f>IF('Perfil - interna'!P145+'Perfil - externa'!P143=0,0,'Perfil - interna'!P145+'Perfil - externa'!P143)</f>
        <v>3819918.1371282628</v>
      </c>
      <c r="Q145" s="219">
        <f>IF('Perfil - interna'!Q145+'Perfil - externa'!Q143=0,0,'Perfil - interna'!Q145+'Perfil - externa'!Q143)</f>
        <v>2928708.7021245537</v>
      </c>
      <c r="R145" s="219">
        <f>IF('Perfil - interna'!R145+'Perfil - externa'!R143=0,0,'Perfil - interna'!R145+'Perfil - externa'!R143)</f>
        <v>1597128.958742993</v>
      </c>
      <c r="S145" s="219">
        <f>IF('Perfil - interna'!S145+'Perfil - externa'!S143=0,0,'Perfil - interna'!S145+'Perfil - externa'!S143)</f>
        <v>716041.30976609397</v>
      </c>
      <c r="T145" s="219">
        <f>IF('Perfil - interna'!T145+'Perfil - externa'!T143=0,0,'Perfil - interna'!T145+'Perfil - externa'!T143)</f>
        <v>466575.96486828598</v>
      </c>
      <c r="U145" s="219">
        <f>IF('Perfil - interna'!U145+'Perfil - externa'!U143=0,0,'Perfil - interna'!U145+'Perfil - externa'!U143)</f>
        <v>424631.68649302708</v>
      </c>
      <c r="V145" s="219">
        <f>IF('Perfil - interna'!V145+'Perfil - externa'!V143=0,0,'Perfil - interna'!V145+'Perfil - externa'!V143)</f>
        <v>3004097.61721654</v>
      </c>
      <c r="W145" s="219">
        <f>IF('Perfil - interna'!W145+'Perfil - externa'!W143=0,0,'Perfil - interna'!W145+'Perfil - externa'!W143)</f>
        <v>292940.500544679</v>
      </c>
      <c r="X145" s="219">
        <f>IF('Perfil - interna'!X145+'Perfil - externa'!X143=0,0,'Perfil - interna'!X145+'Perfil - externa'!X143)</f>
        <v>153723.16779242799</v>
      </c>
      <c r="Y145" s="219">
        <f>IF('Perfil - interna'!Y145+'Perfil - externa'!Y143=0,0,'Perfil - interna'!Y145+'Perfil - externa'!Y143)</f>
        <v>152482.90713362201</v>
      </c>
      <c r="Z145" s="219">
        <f>IF('Perfil - interna'!Z145+'Perfil - externa'!Z143=0,0,'Perfil - interna'!Z145+'Perfil - externa'!Z143)</f>
        <v>1316083.9950520212</v>
      </c>
      <c r="AA145" s="219">
        <f>IF('Perfil - interna'!AA145+'Perfil - externa'!AA143=0,0,'Perfil - interna'!AA145+'Perfil - externa'!AA143)</f>
        <v>63112.117729284</v>
      </c>
      <c r="AB145" s="219">
        <f>IF('Perfil - interna'!AB145+'Perfil - externa'!AB143=0,0,'Perfil - interna'!AB145+'Perfil - externa'!AB143)</f>
        <v>46387.812009148998</v>
      </c>
      <c r="AC145" s="219">
        <f>IF('Perfil - interna'!AC145+'Perfil - externa'!AC143=0,0,'Perfil - interna'!AC145+'Perfil - externa'!AC143)</f>
        <v>550076.26537979697</v>
      </c>
      <c r="AD145" s="219">
        <f>IF('Perfil - interna'!AD145+'Perfil - externa'!AD143=0,0,'Perfil - interna'!AD145+'Perfil - externa'!AD143)</f>
        <v>50233.562466438001</v>
      </c>
      <c r="AE145" s="219">
        <f>IF('Perfil - interna'!AE145+'Perfil - externa'!AE143=0,0,'Perfil - interna'!AE145+'Perfil - externa'!AE143)</f>
        <v>18331.173381378001</v>
      </c>
      <c r="AF145" s="219">
        <f>IF('Perfil - interna'!AF145+'Perfil - externa'!AF143=0,0,'Perfil - interna'!AF145+'Perfil - externa'!AF143)</f>
        <v>6900.2477079640003</v>
      </c>
      <c r="AG145" s="219">
        <f>IF('Perfil - interna'!AG145+'Perfil - externa'!AG143=0,0,'Perfil - interna'!AG145+'Perfil - externa'!AG143)</f>
        <v>6900.2477079640003</v>
      </c>
      <c r="AH145" s="219">
        <f>IF('Perfil - interna'!AH145+'Perfil - externa'!AH143=0,0,'Perfil - interna'!AH145+'Perfil - externa'!AH143)</f>
        <v>5946.7477194059993</v>
      </c>
      <c r="AI145" s="219">
        <f>IF('Perfil - interna'!AI145+'Perfil - externa'!AI143=0,0,'Perfil - interna'!AI145+'Perfil - externa'!AI143)</f>
        <v>1580175.2477194059</v>
      </c>
      <c r="AJ145" s="219">
        <f>IF('Perfil - interna'!AJ145+'Perfil - externa'!AJ143=0,0,'Perfil - interna'!AJ145+'Perfil - externa'!AJ143)</f>
        <v>5946.7477194059993</v>
      </c>
      <c r="AK145" s="219">
        <f>IF('Perfil - interna'!AK145+'Perfil - externa'!AK143=0,0,'Perfil - interna'!AK145+'Perfil - externa'!AK143)</f>
        <v>0</v>
      </c>
      <c r="AL145" s="219">
        <f>IF('Perfil - interna'!AL145+'Perfil - externa'!AL143=0,0,'Perfil - interna'!AL145+'Perfil - externa'!AL143)</f>
        <v>0</v>
      </c>
      <c r="AM145" s="219">
        <f>IF('Perfil - interna'!AM145+'Perfil - externa'!AM143=0,0,'Perfil - interna'!AM145+'Perfil - externa'!AM143)</f>
        <v>0</v>
      </c>
      <c r="AN145" s="219">
        <f>IF('Perfil - interna'!AN145+'Perfil - externa'!AN143=0,0,'Perfil - interna'!AN145+'Perfil - externa'!AN143)</f>
        <v>0</v>
      </c>
      <c r="AO145" s="219"/>
      <c r="AP145" s="219"/>
      <c r="AQ145" s="219"/>
      <c r="AR145" s="219"/>
      <c r="AS145" s="219"/>
      <c r="AT145" s="219"/>
      <c r="AU145" s="219"/>
      <c r="AV145" s="219"/>
      <c r="AW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J145" s="219"/>
      <c r="BK145" s="219"/>
    </row>
    <row r="146" spans="1:63">
      <c r="A146" s="170">
        <v>38321</v>
      </c>
      <c r="B146" s="220" t="str">
        <f>Servicio_internaColumna_título_intereses</f>
        <v>Intereses</v>
      </c>
      <c r="C146" s="221"/>
      <c r="D146" s="222"/>
      <c r="E146" s="222"/>
      <c r="F146" s="222">
        <f>IF('Perfil - interna'!F146+'Perfil - externa'!F144=0,0,'Perfil - interna'!F146+'Perfil - externa'!F144)</f>
        <v>9102312.2408645246</v>
      </c>
      <c r="G146" s="222">
        <f>IF('Perfil - interna'!G146+'Perfil - externa'!G144=0,0,'Perfil - interna'!G146+'Perfil - externa'!G144)</f>
        <v>12605260.779271303</v>
      </c>
      <c r="H146" s="222">
        <f>IF('Perfil - interna'!H146+'Perfil - externa'!H144=0,0,'Perfil - interna'!H146+'Perfil - externa'!H144)</f>
        <v>9463456.1647764612</v>
      </c>
      <c r="I146" s="222">
        <f>IF('Perfil - interna'!I146+'Perfil - externa'!I144=0,0,'Perfil - interna'!I146+'Perfil - externa'!I144)</f>
        <v>9346576.3630935773</v>
      </c>
      <c r="J146" s="222">
        <f>IF('Perfil - interna'!J146+'Perfil - externa'!J144=0,0,'Perfil - interna'!J146+'Perfil - externa'!J144)</f>
        <v>6869512.5574441105</v>
      </c>
      <c r="K146" s="222">
        <f>IF('Perfil - interna'!K146+'Perfil - externa'!K144=0,0,'Perfil - interna'!K146+'Perfil - externa'!K144)</f>
        <v>6497309.7790471669</v>
      </c>
      <c r="L146" s="222">
        <f>IF('Perfil - interna'!L146+'Perfil - externa'!L144=0,0,'Perfil - interna'!L146+'Perfil - externa'!L144)</f>
        <v>7447691.9739221297</v>
      </c>
      <c r="M146" s="222">
        <f>IF('Perfil - interna'!M146+'Perfil - externa'!M144=0,0,'Perfil - interna'!M146+'Perfil - externa'!M144)</f>
        <v>5885258.3051338242</v>
      </c>
      <c r="N146" s="222">
        <f>IF('Perfil - interna'!N146+'Perfil - externa'!N144=0,0,'Perfil - interna'!N146+'Perfil - externa'!N144)</f>
        <v>4197894.0040974133</v>
      </c>
      <c r="O146" s="222">
        <f>IF('Perfil - interna'!O146+'Perfil - externa'!O144=0,0,'Perfil - interna'!O146+'Perfil - externa'!O144)</f>
        <v>2683352.4632961107</v>
      </c>
      <c r="P146" s="222">
        <f>IF('Perfil - interna'!P146+'Perfil - externa'!P144=0,0,'Perfil - interna'!P146+'Perfil - externa'!P144)</f>
        <v>3380178.299999143</v>
      </c>
      <c r="Q146" s="222">
        <f>IF('Perfil - interna'!Q146+'Perfil - externa'!Q144=0,0,'Perfil - interna'!Q146+'Perfil - externa'!Q144)</f>
        <v>1052468.4308786313</v>
      </c>
      <c r="R146" s="222">
        <f>IF('Perfil - interna'!R146+'Perfil - externa'!R144=0,0,'Perfil - interna'!R146+'Perfil - externa'!R144)</f>
        <v>835456.7</v>
      </c>
      <c r="S146" s="222">
        <f>IF('Perfil - interna'!S146+'Perfil - externa'!S144=0,0,'Perfil - interna'!S146+'Perfil - externa'!S144)</f>
        <v>795791.1</v>
      </c>
      <c r="T146" s="222">
        <f>IF('Perfil - interna'!T146+'Perfil - externa'!T144=0,0,'Perfil - interna'!T146+'Perfil - externa'!T144)</f>
        <v>1070971.2</v>
      </c>
      <c r="U146" s="222">
        <f>IF('Perfil - interna'!U146+'Perfil - externa'!U144=0,0,'Perfil - interna'!U146+'Perfil - externa'!U144)</f>
        <v>438800.7</v>
      </c>
      <c r="V146" s="222">
        <f>IF('Perfil - interna'!V146+'Perfil - externa'!V144=0,0,'Perfil - interna'!V146+'Perfil - externa'!V144)</f>
        <v>371865</v>
      </c>
      <c r="W146" s="222">
        <f>IF('Perfil - interna'!W146+'Perfil - externa'!W144=0,0,'Perfil - interna'!W146+'Perfil - externa'!W144)</f>
        <v>344594.9</v>
      </c>
      <c r="X146" s="222">
        <f>IF('Perfil - interna'!X146+'Perfil - externa'!X144=0,0,'Perfil - interna'!X146+'Perfil - externa'!X144)</f>
        <v>2969961.8</v>
      </c>
      <c r="Y146" s="222">
        <f>IF('Perfil - interna'!Y146+'Perfil - externa'!Y144=0,0,'Perfil - interna'!Y146+'Perfil - externa'!Y144)</f>
        <v>277659.2</v>
      </c>
      <c r="Z146" s="222">
        <f>IF('Perfil - interna'!Z146+'Perfil - externa'!Z144=0,0,'Perfil - interna'!Z146+'Perfil - externa'!Z144)</f>
        <v>138829.6</v>
      </c>
      <c r="AA146" s="222">
        <f>IF('Perfil - interna'!AA146+'Perfil - externa'!AA144=0,0,'Perfil - interna'!AA146+'Perfil - externa'!AA144)</f>
        <v>104122.2</v>
      </c>
      <c r="AB146" s="222">
        <f>IF('Perfil - interna'!AB146+'Perfil - externa'!AB144=0,0,'Perfil - interna'!AB146+'Perfil - externa'!AB144)</f>
        <v>94205.8</v>
      </c>
      <c r="AC146" s="222">
        <f>IF('Perfil - interna'!AC146+'Perfil - externa'!AC144=0,0,'Perfil - interna'!AC146+'Perfil - externa'!AC144)</f>
        <v>81810.3</v>
      </c>
      <c r="AD146" s="222">
        <f>IF('Perfil - interna'!AD146+'Perfil - externa'!AD144=0,0,'Perfil - interna'!AD146+'Perfil - externa'!AD144)</f>
        <v>66935.7</v>
      </c>
      <c r="AE146" s="222">
        <f>IF('Perfil - interna'!AE146+'Perfil - externa'!AE144=0,0,'Perfil - interna'!AE146+'Perfil - externa'!AE144)</f>
        <v>567713.9</v>
      </c>
      <c r="AF146" s="222">
        <f>IF('Perfil - interna'!AF146+'Perfil - externa'!AF144=0,0,'Perfil - interna'!AF146+'Perfil - externa'!AF144)</f>
        <v>64456.6</v>
      </c>
      <c r="AG146" s="222">
        <f>IF('Perfil - interna'!AG146+'Perfil - externa'!AG144=0,0,'Perfil - interna'!AG146+'Perfil - externa'!AG144)</f>
        <v>42144.7</v>
      </c>
      <c r="AH146" s="222">
        <f>IF('Perfil - interna'!AH146+'Perfil - externa'!AH144=0,0,'Perfil - interna'!AH146+'Perfil - externa'!AH144)</f>
        <v>42144.7</v>
      </c>
      <c r="AI146" s="222">
        <f>IF('Perfil - interna'!AI146+'Perfil - externa'!AI144=0,0,'Perfil - interna'!AI146+'Perfil - externa'!AI144)</f>
        <v>0</v>
      </c>
      <c r="AJ146" s="222">
        <f>IF('Perfil - interna'!AJ146+'Perfil - externa'!AJ144=0,0,'Perfil - interna'!AJ146+'Perfil - externa'!AJ144)</f>
        <v>0</v>
      </c>
      <c r="AK146" s="222">
        <f>IF('Perfil - interna'!AK146+'Perfil - externa'!AK144=0,0,'Perfil - interna'!AK146+'Perfil - externa'!AK144)</f>
        <v>0</v>
      </c>
      <c r="AL146" s="222">
        <f>IF('Perfil - interna'!AL146+'Perfil - externa'!AL144=0,0,'Perfil - interna'!AL146+'Perfil - externa'!AL144)</f>
        <v>0</v>
      </c>
      <c r="AM146" s="222">
        <f>IF('Perfil - interna'!AM146+'Perfil - externa'!AM144=0,0,'Perfil - interna'!AM146+'Perfil - externa'!AM144)</f>
        <v>0</v>
      </c>
      <c r="AN146" s="222">
        <f>IF('Perfil - interna'!AN146+'Perfil - externa'!AN144=0,0,'Perfil - interna'!AN146+'Perfil - externa'!AN144)</f>
        <v>0</v>
      </c>
      <c r="AO146" s="222"/>
      <c r="AP146" s="222"/>
      <c r="AQ146" s="222"/>
      <c r="AR146" s="222"/>
      <c r="AS146" s="222"/>
      <c r="AT146" s="222"/>
      <c r="AU146" s="222"/>
      <c r="AV146" s="222"/>
      <c r="AW146" s="222"/>
      <c r="AX146" s="222"/>
      <c r="AY146" s="222"/>
      <c r="AZ146" s="222"/>
      <c r="BA146" s="222"/>
      <c r="BB146" s="222"/>
      <c r="BC146" s="222"/>
      <c r="BD146" s="222"/>
      <c r="BE146" s="222"/>
      <c r="BF146" s="222"/>
      <c r="BG146" s="222"/>
      <c r="BH146" s="222"/>
      <c r="BI146" s="222"/>
      <c r="BJ146" s="222"/>
      <c r="BK146" s="222"/>
    </row>
    <row r="147" spans="1:63">
      <c r="A147" s="171"/>
      <c r="B147" s="318" t="str">
        <f>Servicio_internaColumna_título_total</f>
        <v>Total</v>
      </c>
      <c r="C147" s="319"/>
      <c r="D147" s="320"/>
      <c r="E147" s="320"/>
      <c r="F147" s="320">
        <f>IF('Perfil - interna'!F147+'Perfil - externa'!F145=0,0,'Perfil - interna'!F147+'Perfil - externa'!F145)</f>
        <v>9860251.4807306938</v>
      </c>
      <c r="G147" s="320">
        <f>IF('Perfil - interna'!G147+'Perfil - externa'!G145=0,0,'Perfil - interna'!G147+'Perfil - externa'!G145)</f>
        <v>28699400.429344833</v>
      </c>
      <c r="H147" s="320">
        <f>IF('Perfil - interna'!H147+'Perfil - externa'!H145=0,0,'Perfil - interna'!H147+'Perfil - externa'!H145)</f>
        <v>23169903.701345026</v>
      </c>
      <c r="I147" s="320">
        <f>IF('Perfil - interna'!I147+'Perfil - externa'!I145=0,0,'Perfil - interna'!I147+'Perfil - externa'!I145)</f>
        <v>27112874.012791026</v>
      </c>
      <c r="J147" s="320">
        <f>IF('Perfil - interna'!J147+'Perfil - externa'!J145=0,0,'Perfil - interna'!J147+'Perfil - externa'!J145)</f>
        <v>20911009.717277631</v>
      </c>
      <c r="K147" s="320">
        <f>IF('Perfil - interna'!K147+'Perfil - externa'!K145=0,0,'Perfil - interna'!K147+'Perfil - externa'!K145)</f>
        <v>15202297.218114428</v>
      </c>
      <c r="L147" s="320">
        <f>IF('Perfil - interna'!L147+'Perfil - externa'!L145=0,0,'Perfil - interna'!L147+'Perfil - externa'!L145)</f>
        <v>16253800.815437425</v>
      </c>
      <c r="M147" s="320">
        <f>IF('Perfil - interna'!M147+'Perfil - externa'!M145=0,0,'Perfil - interna'!M147+'Perfil - externa'!M145)</f>
        <v>14028406.556707315</v>
      </c>
      <c r="N147" s="320">
        <f>IF('Perfil - interna'!N147+'Perfil - externa'!N145=0,0,'Perfil - interna'!N147+'Perfil - externa'!N145)</f>
        <v>17207771.352527834</v>
      </c>
      <c r="O147" s="320">
        <f>IF('Perfil - interna'!O147+'Perfil - externa'!O145=0,0,'Perfil - interna'!O147+'Perfil - externa'!O145)</f>
        <v>8736866.950467661</v>
      </c>
      <c r="P147" s="320">
        <f>IF('Perfil - interna'!P147+'Perfil - externa'!P145=0,0,'Perfil - interna'!P147+'Perfil - externa'!P145)</f>
        <v>7200096.4371274058</v>
      </c>
      <c r="Q147" s="320">
        <f>IF('Perfil - interna'!Q147+'Perfil - externa'!Q145=0,0,'Perfil - interna'!Q147+'Perfil - externa'!Q145)</f>
        <v>3981177.133003185</v>
      </c>
      <c r="R147" s="320">
        <f>IF('Perfil - interna'!R147+'Perfil - externa'!R145=0,0,'Perfil - interna'!R147+'Perfil - externa'!R145)</f>
        <v>2432585.6587429931</v>
      </c>
      <c r="S147" s="320">
        <f>IF('Perfil - interna'!S147+'Perfil - externa'!S145=0,0,'Perfil - interna'!S147+'Perfil - externa'!S145)</f>
        <v>1511832.4097660938</v>
      </c>
      <c r="T147" s="320">
        <f>IF('Perfil - interna'!T147+'Perfil - externa'!T145=0,0,'Perfil - interna'!T147+'Perfil - externa'!T145)</f>
        <v>1537547.1648682859</v>
      </c>
      <c r="U147" s="320">
        <f>IF('Perfil - interna'!U147+'Perfil - externa'!U145=0,0,'Perfil - interna'!U147+'Perfil - externa'!U145)</f>
        <v>863432.38649302709</v>
      </c>
      <c r="V147" s="320">
        <f>IF('Perfil - interna'!V147+'Perfil - externa'!V145=0,0,'Perfil - interna'!V147+'Perfil - externa'!V145)</f>
        <v>3375962.61721654</v>
      </c>
      <c r="W147" s="320">
        <f>IF('Perfil - interna'!W147+'Perfil - externa'!W145=0,0,'Perfil - interna'!W147+'Perfil - externa'!W145)</f>
        <v>637535.40054467903</v>
      </c>
      <c r="X147" s="320">
        <f>IF('Perfil - interna'!X147+'Perfil - externa'!X145=0,0,'Perfil - interna'!X147+'Perfil - externa'!X145)</f>
        <v>3123684.9677924276</v>
      </c>
      <c r="Y147" s="320">
        <f>IF('Perfil - interna'!Y147+'Perfil - externa'!Y145=0,0,'Perfil - interna'!Y147+'Perfil - externa'!Y145)</f>
        <v>430142.10713362205</v>
      </c>
      <c r="Z147" s="320">
        <f>IF('Perfil - interna'!Z147+'Perfil - externa'!Z145=0,0,'Perfil - interna'!Z147+'Perfil - externa'!Z145)</f>
        <v>1454913.5950520213</v>
      </c>
      <c r="AA147" s="320">
        <f>IF('Perfil - interna'!AA147+'Perfil - externa'!AA145=0,0,'Perfil - interna'!AA147+'Perfil - externa'!AA145)</f>
        <v>167234.317729284</v>
      </c>
      <c r="AB147" s="320">
        <f>IF('Perfil - interna'!AB147+'Perfil - externa'!AB145=0,0,'Perfil - interna'!AB147+'Perfil - externa'!AB145)</f>
        <v>140593.61200914899</v>
      </c>
      <c r="AC147" s="320">
        <f>IF('Perfil - interna'!AC147+'Perfil - externa'!AC145=0,0,'Perfil - interna'!AC147+'Perfil - externa'!AC145)</f>
        <v>631886.56537979702</v>
      </c>
      <c r="AD147" s="320">
        <f>IF('Perfil - interna'!AD147+'Perfil - externa'!AD145=0,0,'Perfil - interna'!AD147+'Perfil - externa'!AD145)</f>
        <v>117169.262466438</v>
      </c>
      <c r="AE147" s="320">
        <f>IF('Perfil - interna'!AE147+'Perfil - externa'!AE145=0,0,'Perfil - interna'!AE147+'Perfil - externa'!AE145)</f>
        <v>586045.07338137808</v>
      </c>
      <c r="AF147" s="320">
        <f>IF('Perfil - interna'!AF147+'Perfil - externa'!AF145=0,0,'Perfil - interna'!AF147+'Perfil - externa'!AF145)</f>
        <v>71356.847707964</v>
      </c>
      <c r="AG147" s="320">
        <f>IF('Perfil - interna'!AG147+'Perfil - externa'!AG145=0,0,'Perfil - interna'!AG147+'Perfil - externa'!AG145)</f>
        <v>49044.947707963998</v>
      </c>
      <c r="AH147" s="320">
        <f>IF('Perfil - interna'!AH147+'Perfil - externa'!AH145=0,0,'Perfil - interna'!AH147+'Perfil - externa'!AH145)</f>
        <v>48091.447719405995</v>
      </c>
      <c r="AI147" s="320">
        <f>IF('Perfil - interna'!AI147+'Perfil - externa'!AI145=0,0,'Perfil - interna'!AI147+'Perfil - externa'!AI145)</f>
        <v>1580175.2477194059</v>
      </c>
      <c r="AJ147" s="320">
        <f>IF('Perfil - interna'!AJ147+'Perfil - externa'!AJ145=0,0,'Perfil - interna'!AJ147+'Perfil - externa'!AJ145)</f>
        <v>5946.7477194059993</v>
      </c>
      <c r="AK147" s="320">
        <f>IF('Perfil - interna'!AK147+'Perfil - externa'!AK145=0,0,'Perfil - interna'!AK147+'Perfil - externa'!AK145)</f>
        <v>0</v>
      </c>
      <c r="AL147" s="320">
        <f>IF('Perfil - interna'!AL147+'Perfil - externa'!AL145=0,0,'Perfil - interna'!AL147+'Perfil - externa'!AL145)</f>
        <v>0</v>
      </c>
      <c r="AM147" s="320">
        <f>IF('Perfil - interna'!AM147+'Perfil - externa'!AM145=0,0,'Perfil - interna'!AM147+'Perfil - externa'!AM145)</f>
        <v>0</v>
      </c>
      <c r="AN147" s="320">
        <f>IF('Perfil - interna'!AN147+'Perfil - externa'!AN145=0,0,'Perfil - interna'!AN147+'Perfil - externa'!AN145)</f>
        <v>0</v>
      </c>
      <c r="AO147" s="320"/>
      <c r="AP147" s="320"/>
      <c r="AQ147" s="320"/>
      <c r="AR147" s="320"/>
      <c r="AS147" s="320"/>
      <c r="AT147" s="320"/>
      <c r="AU147" s="320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0"/>
      <c r="BF147" s="320"/>
      <c r="BG147" s="320"/>
      <c r="BH147" s="320"/>
      <c r="BI147" s="320"/>
      <c r="BJ147" s="320"/>
      <c r="BK147" s="320"/>
    </row>
    <row r="148" spans="1:63">
      <c r="A148" s="167"/>
      <c r="B148" s="217" t="str">
        <f>Servicio_internaColumna_título_amortizaciones</f>
        <v>Amortizaciones</v>
      </c>
      <c r="C148" s="218"/>
      <c r="D148" s="219"/>
      <c r="E148" s="219"/>
      <c r="F148" s="219">
        <f>IF('Perfil - interna'!F148+'Perfil - externa'!F146=0,0,'Perfil - interna'!F148+'Perfil - externa'!F146)</f>
        <v>0</v>
      </c>
      <c r="G148" s="219">
        <f>IF('Perfil - interna'!G148+'Perfil - externa'!G146=0,0,'Perfil - interna'!G148+'Perfil - externa'!G146)</f>
        <v>16435198.469340218</v>
      </c>
      <c r="H148" s="219">
        <f>IF('Perfil - interna'!H148+'Perfil - externa'!H146=0,0,'Perfil - interna'!H148+'Perfil - externa'!H146)</f>
        <v>13523857.327636112</v>
      </c>
      <c r="I148" s="219">
        <f>IF('Perfil - interna'!I148+'Perfil - externa'!I146=0,0,'Perfil - interna'!I148+'Perfil - externa'!I146)</f>
        <v>17812015.817666627</v>
      </c>
      <c r="J148" s="219">
        <f>IF('Perfil - interna'!J148+'Perfil - externa'!J146=0,0,'Perfil - interna'!J148+'Perfil - externa'!J146)</f>
        <v>13994697.094405413</v>
      </c>
      <c r="K148" s="219">
        <f>IF('Perfil - interna'!K148+'Perfil - externa'!K146=0,0,'Perfil - interna'!K148+'Perfil - externa'!K146)</f>
        <v>8843678.8690349776</v>
      </c>
      <c r="L148" s="219">
        <f>IF('Perfil - interna'!L148+'Perfil - externa'!L146=0,0,'Perfil - interna'!L148+'Perfil - externa'!L146)</f>
        <v>9014632.5395582132</v>
      </c>
      <c r="M148" s="219">
        <f>IF('Perfil - interna'!M148+'Perfil - externa'!M146=0,0,'Perfil - interna'!M148+'Perfil - externa'!M146)</f>
        <v>8250213.2780090319</v>
      </c>
      <c r="N148" s="219">
        <f>IF('Perfil - interna'!N148+'Perfil - externa'!N146=0,0,'Perfil - interna'!N148+'Perfil - externa'!N146)</f>
        <v>12991518.414551837</v>
      </c>
      <c r="O148" s="219">
        <f>IF('Perfil - interna'!O148+'Perfil - externa'!O146=0,0,'Perfil - interna'!O148+'Perfil - externa'!O146)</f>
        <v>5876441.5891872365</v>
      </c>
      <c r="P148" s="219">
        <f>IF('Perfil - interna'!P148+'Perfil - externa'!P146=0,0,'Perfil - interna'!P148+'Perfil - externa'!P146)</f>
        <v>4366988.6991494196</v>
      </c>
      <c r="Q148" s="219">
        <f>IF('Perfil - interna'!Q148+'Perfil - externa'!Q146=0,0,'Perfil - interna'!Q148+'Perfil - externa'!Q146)</f>
        <v>2980898.29627039</v>
      </c>
      <c r="R148" s="219">
        <f>IF('Perfil - interna'!R148+'Perfil - externa'!R146=0,0,'Perfil - interna'!R148+'Perfil - externa'!R146)</f>
        <v>1645110.3006825026</v>
      </c>
      <c r="S148" s="219">
        <f>IF('Perfil - interna'!S148+'Perfil - externa'!S146=0,0,'Perfil - interna'!S148+'Perfil - externa'!S146)</f>
        <v>786786.42981757491</v>
      </c>
      <c r="T148" s="219">
        <f>IF('Perfil - interna'!T148+'Perfil - externa'!T146=0,0,'Perfil - interna'!T148+'Perfil - externa'!T146)</f>
        <v>546311.26812647004</v>
      </c>
      <c r="U148" s="219">
        <f>IF('Perfil - interna'!U148+'Perfil - externa'!U146=0,0,'Perfil - interna'!U148+'Perfil - externa'!U146)</f>
        <v>505654.06650723238</v>
      </c>
      <c r="V148" s="219">
        <f>IF('Perfil - interna'!V148+'Perfil - externa'!V146=0,0,'Perfil - interna'!V148+'Perfil - externa'!V146)</f>
        <v>2990795.0172755597</v>
      </c>
      <c r="W148" s="219">
        <f>IF('Perfil - interna'!W148+'Perfil - externa'!W146=0,0,'Perfil - interna'!W148+'Perfil - externa'!W146)</f>
        <v>379054.2578452024</v>
      </c>
      <c r="X148" s="219">
        <f>IF('Perfil - interna'!X148+'Perfil - externa'!X146=0,0,'Perfil - interna'!X148+'Perfil - externa'!X146)</f>
        <v>244581.29884641751</v>
      </c>
      <c r="Y148" s="219">
        <f>IF('Perfil - interna'!Y148+'Perfil - externa'!Y146=0,0,'Perfil - interna'!Y148+'Perfil - externa'!Y146)</f>
        <v>243329.40132864003</v>
      </c>
      <c r="Z148" s="219">
        <f>IF('Perfil - interna'!Z148+'Perfil - externa'!Z146=0,0,'Perfil - interna'!Z148+'Perfil - externa'!Z146)</f>
        <v>1365040.158353355</v>
      </c>
      <c r="AA148" s="219">
        <f>IF('Perfil - interna'!AA148+'Perfil - externa'!AA146=0,0,'Perfil - interna'!AA148+'Perfil - externa'!AA146)</f>
        <v>60842.854956235002</v>
      </c>
      <c r="AB148" s="219">
        <f>IF('Perfil - interna'!AB148+'Perfil - externa'!AB146=0,0,'Perfil - interna'!AB148+'Perfil - externa'!AB146)</f>
        <v>50853.956806564987</v>
      </c>
      <c r="AC148" s="219">
        <f>IF('Perfil - interna'!AC148+'Perfil - externa'!AC146=0,0,'Perfil - interna'!AC148+'Perfil - externa'!AC146)</f>
        <v>530256.17908507749</v>
      </c>
      <c r="AD148" s="219">
        <f>IF('Perfil - interna'!AD148+'Perfil - externa'!AD146=0,0,'Perfil - interna'!AD148+'Perfil - externa'!AD146)</f>
        <v>48428.459635600004</v>
      </c>
      <c r="AE148" s="219">
        <f>IF('Perfil - interna'!AE148+'Perfil - externa'!AE146=0,0,'Perfil - interna'!AE148+'Perfil - externa'!AE146)</f>
        <v>17675.87429575</v>
      </c>
      <c r="AF148" s="219">
        <f>IF('Perfil - interna'!AF148+'Perfil - externa'!AF146=0,0,'Perfil - interna'!AF148+'Perfil - externa'!AF146)</f>
        <v>6656.9341045350002</v>
      </c>
      <c r="AG148" s="219">
        <f>IF('Perfil - interna'!AG148+'Perfil - externa'!AG146=0,0,'Perfil - interna'!AG148+'Perfil - externa'!AG146)</f>
        <v>6656.9341045350002</v>
      </c>
      <c r="AH148" s="219">
        <f>IF('Perfil - interna'!AH148+'Perfil - externa'!AH146=0,0,'Perfil - interna'!AH148+'Perfil - externa'!AH146)</f>
        <v>5737.79950018</v>
      </c>
      <c r="AI148" s="219">
        <f>IF('Perfil - interna'!AI148+'Perfil - externa'!AI146=0,0,'Perfil - interna'!AI148+'Perfil - externa'!AI146)</f>
        <v>1523229.0495001799</v>
      </c>
      <c r="AJ148" s="219">
        <f>IF('Perfil - interna'!AJ148+'Perfil - externa'!AJ146=0,0,'Perfil - interna'!AJ148+'Perfil - externa'!AJ146)</f>
        <v>5737.79950018</v>
      </c>
      <c r="AK148" s="219">
        <f>IF('Perfil - interna'!AK148+'Perfil - externa'!AK146=0,0,'Perfil - interna'!AK148+'Perfil - externa'!AK146)</f>
        <v>90.12067476499999</v>
      </c>
      <c r="AL148" s="219">
        <f>IF('Perfil - interna'!AL148+'Perfil - externa'!AL146=0,0,'Perfil - interna'!AL148+'Perfil - externa'!AL146)</f>
        <v>0</v>
      </c>
      <c r="AM148" s="219">
        <f>IF('Perfil - interna'!AM148+'Perfil - externa'!AM146=0,0,'Perfil - interna'!AM148+'Perfil - externa'!AM146)</f>
        <v>0</v>
      </c>
      <c r="AN148" s="219">
        <f>IF('Perfil - interna'!AN148+'Perfil - externa'!AN146=0,0,'Perfil - interna'!AN148+'Perfil - externa'!AN146)</f>
        <v>0</v>
      </c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</row>
    <row r="149" spans="1:63">
      <c r="A149" s="170">
        <v>38352</v>
      </c>
      <c r="B149" s="220" t="str">
        <f>Servicio_internaColumna_título_intereses</f>
        <v>Intereses</v>
      </c>
      <c r="C149" s="221"/>
      <c r="D149" s="222"/>
      <c r="E149" s="222"/>
      <c r="F149" s="222">
        <f>IF('Perfil - interna'!F149+'Perfil - externa'!F147=0,0,'Perfil - interna'!F149+'Perfil - externa'!F147)</f>
        <v>0</v>
      </c>
      <c r="G149" s="222">
        <f>IF('Perfil - interna'!G149+'Perfil - externa'!G147=0,0,'Perfil - interna'!G149+'Perfil - externa'!G147)</f>
        <v>9572052.3042149451</v>
      </c>
      <c r="H149" s="222">
        <f>IF('Perfil - interna'!H149+'Perfil - externa'!H147=0,0,'Perfil - interna'!H149+'Perfil - externa'!H147)</f>
        <v>11439974.976104269</v>
      </c>
      <c r="I149" s="222">
        <f>IF('Perfil - interna'!I149+'Perfil - externa'!I147=0,0,'Perfil - interna'!I149+'Perfil - externa'!I147)</f>
        <v>8376655.1658939738</v>
      </c>
      <c r="J149" s="222">
        <f>IF('Perfil - interna'!J149+'Perfil - externa'!J147=0,0,'Perfil - interna'!J149+'Perfil - externa'!J147)</f>
        <v>8360756.648938667</v>
      </c>
      <c r="K149" s="222">
        <f>IF('Perfil - interna'!K149+'Perfil - externa'!K147=0,0,'Perfil - interna'!K149+'Perfil - externa'!K147)</f>
        <v>6047761.2784146946</v>
      </c>
      <c r="L149" s="222">
        <f>IF('Perfil - interna'!L149+'Perfil - externa'!L147=0,0,'Perfil - interna'!L149+'Perfil - externa'!L147)</f>
        <v>5997333.0039553996</v>
      </c>
      <c r="M149" s="222">
        <f>IF('Perfil - interna'!M149+'Perfil - externa'!M147=0,0,'Perfil - interna'!M149+'Perfil - externa'!M147)</f>
        <v>6982454.5748279905</v>
      </c>
      <c r="N149" s="222">
        <f>IF('Perfil - interna'!N149+'Perfil - externa'!N147=0,0,'Perfil - interna'!N149+'Perfil - externa'!N147)</f>
        <v>5322033.5003912617</v>
      </c>
      <c r="O149" s="222">
        <f>IF('Perfil - interna'!O149+'Perfil - externa'!O147=0,0,'Perfil - interna'!O149+'Perfil - externa'!O147)</f>
        <v>3064643.72514298</v>
      </c>
      <c r="P149" s="222">
        <f>IF('Perfil - interna'!P149+'Perfil - externa'!P147=0,0,'Perfil - interna'!P149+'Perfil - externa'!P147)</f>
        <v>2405932.4532385729</v>
      </c>
      <c r="Q149" s="222">
        <f>IF('Perfil - interna'!Q149+'Perfil - externa'!Q147=0,0,'Perfil - interna'!Q149+'Perfil - externa'!Q147)</f>
        <v>3251934.6361986324</v>
      </c>
      <c r="R149" s="222">
        <f>IF('Perfil - interna'!R149+'Perfil - externa'!R147=0,0,'Perfil - interna'!R149+'Perfil - externa'!R147)</f>
        <v>879428</v>
      </c>
      <c r="S149" s="222">
        <f>IF('Perfil - interna'!S149+'Perfil - externa'!S147=0,0,'Perfil - interna'!S149+'Perfil - externa'!S147)</f>
        <v>805345.75</v>
      </c>
      <c r="T149" s="222">
        <f>IF('Perfil - interna'!T149+'Perfil - externa'!T147=0,0,'Perfil - interna'!T149+'Perfil - externa'!T147)</f>
        <v>767109.75</v>
      </c>
      <c r="U149" s="222">
        <f>IF('Perfil - interna'!U149+'Perfil - externa'!U147=0,0,'Perfil - interna'!U149+'Perfil - externa'!U147)</f>
        <v>1032372</v>
      </c>
      <c r="V149" s="222">
        <f>IF('Perfil - interna'!V149+'Perfil - externa'!V147=0,0,'Perfil - interna'!V149+'Perfil - externa'!V147)</f>
        <v>422985.75</v>
      </c>
      <c r="W149" s="222">
        <f>IF('Perfil - interna'!W149+'Perfil - externa'!W147=0,0,'Perfil - interna'!W149+'Perfil - externa'!W147)</f>
        <v>358462.5</v>
      </c>
      <c r="X149" s="222">
        <f>IF('Perfil - interna'!X149+'Perfil - externa'!X147=0,0,'Perfil - interna'!X149+'Perfil - externa'!X147)</f>
        <v>332175.25</v>
      </c>
      <c r="Y149" s="222">
        <f>IF('Perfil - interna'!Y149+'Perfil - externa'!Y147=0,0,'Perfil - interna'!Y149+'Perfil - externa'!Y147)</f>
        <v>2862920.5</v>
      </c>
      <c r="Z149" s="222">
        <f>IF('Perfil - interna'!Z149+'Perfil - externa'!Z147=0,0,'Perfil - interna'!Z149+'Perfil - externa'!Z147)</f>
        <v>267652</v>
      </c>
      <c r="AA149" s="222">
        <f>IF('Perfil - interna'!AA149+'Perfil - externa'!AA147=0,0,'Perfil - interna'!AA149+'Perfil - externa'!AA147)</f>
        <v>133826</v>
      </c>
      <c r="AB149" s="222">
        <f>IF('Perfil - interna'!AB149+'Perfil - externa'!AB147=0,0,'Perfil - interna'!AB149+'Perfil - externa'!AB147)</f>
        <v>100369.5</v>
      </c>
      <c r="AC149" s="222">
        <f>IF('Perfil - interna'!AC149+'Perfil - externa'!AC147=0,0,'Perfil - interna'!AC149+'Perfil - externa'!AC147)</f>
        <v>90810.5</v>
      </c>
      <c r="AD149" s="222">
        <f>IF('Perfil - interna'!AD149+'Perfil - externa'!AD147=0,0,'Perfil - interna'!AD149+'Perfil - externa'!AD147)</f>
        <v>78861.75</v>
      </c>
      <c r="AE149" s="222">
        <f>IF('Perfil - interna'!AE149+'Perfil - externa'!AE147=0,0,'Perfil - interna'!AE149+'Perfil - externa'!AE147)</f>
        <v>64523.25</v>
      </c>
      <c r="AF149" s="222">
        <f>IF('Perfil - interna'!AF149+'Perfil - externa'!AF147=0,0,'Perfil - interna'!AF149+'Perfil - externa'!AF147)</f>
        <v>547252.75</v>
      </c>
      <c r="AG149" s="222">
        <f>IF('Perfil - interna'!AG149+'Perfil - externa'!AG147=0,0,'Perfil - interna'!AG149+'Perfil - externa'!AG147)</f>
        <v>62133.5</v>
      </c>
      <c r="AH149" s="222">
        <f>IF('Perfil - interna'!AH149+'Perfil - externa'!AH147=0,0,'Perfil - interna'!AH149+'Perfil - externa'!AH147)</f>
        <v>40625.75</v>
      </c>
      <c r="AI149" s="222">
        <f>IF('Perfil - interna'!AI149+'Perfil - externa'!AI147=0,0,'Perfil - interna'!AI149+'Perfil - externa'!AI147)</f>
        <v>40625.75</v>
      </c>
      <c r="AJ149" s="222">
        <f>IF('Perfil - interna'!AJ149+'Perfil - externa'!AJ147=0,0,'Perfil - interna'!AJ149+'Perfil - externa'!AJ147)</f>
        <v>0</v>
      </c>
      <c r="AK149" s="222">
        <f>IF('Perfil - interna'!AK149+'Perfil - externa'!AK147=0,0,'Perfil - interna'!AK149+'Perfil - externa'!AK147)</f>
        <v>0</v>
      </c>
      <c r="AL149" s="222">
        <f>IF('Perfil - interna'!AL149+'Perfil - externa'!AL147=0,0,'Perfil - interna'!AL149+'Perfil - externa'!AL147)</f>
        <v>0</v>
      </c>
      <c r="AM149" s="222">
        <f>IF('Perfil - interna'!AM149+'Perfil - externa'!AM147=0,0,'Perfil - interna'!AM149+'Perfil - externa'!AM147)</f>
        <v>0</v>
      </c>
      <c r="AN149" s="222">
        <f>IF('Perfil - interna'!AN149+'Perfil - externa'!AN147=0,0,'Perfil - interna'!AN149+'Perfil - externa'!AN147)</f>
        <v>0</v>
      </c>
      <c r="AO149" s="222"/>
      <c r="AP149" s="222"/>
      <c r="AQ149" s="222"/>
      <c r="AR149" s="222"/>
      <c r="AS149" s="222"/>
      <c r="AT149" s="222"/>
      <c r="AU149" s="222"/>
      <c r="AV149" s="222"/>
      <c r="AW149" s="222"/>
      <c r="AX149" s="222"/>
      <c r="AY149" s="222"/>
      <c r="AZ149" s="222"/>
      <c r="BA149" s="222"/>
      <c r="BB149" s="222"/>
      <c r="BC149" s="222"/>
      <c r="BD149" s="222"/>
      <c r="BE149" s="222"/>
      <c r="BF149" s="222"/>
      <c r="BG149" s="222"/>
      <c r="BH149" s="222"/>
      <c r="BI149" s="222"/>
      <c r="BJ149" s="222"/>
      <c r="BK149" s="222"/>
    </row>
    <row r="150" spans="1:63">
      <c r="A150" s="171"/>
      <c r="B150" s="318" t="str">
        <f>Servicio_internaColumna_título_total</f>
        <v>Total</v>
      </c>
      <c r="C150" s="319"/>
      <c r="D150" s="320"/>
      <c r="E150" s="320"/>
      <c r="F150" s="320">
        <f>IF('Perfil - interna'!F150+'Perfil - externa'!F148=0,0,'Perfil - interna'!F150+'Perfil - externa'!F148)</f>
        <v>0</v>
      </c>
      <c r="G150" s="320">
        <f>IF('Perfil - interna'!G150+'Perfil - externa'!G148=0,0,'Perfil - interna'!G150+'Perfil - externa'!G148)</f>
        <v>23201684.273555163</v>
      </c>
      <c r="H150" s="320">
        <f>IF('Perfil - interna'!H150+'Perfil - externa'!H148=0,0,'Perfil - interna'!H150+'Perfil - externa'!H148)</f>
        <v>19214093.803740382</v>
      </c>
      <c r="I150" s="320">
        <f>IF('Perfil - interna'!I150+'Perfil - externa'!I148=0,0,'Perfil - interna'!I150+'Perfil - externa'!I148)</f>
        <v>22439153.233560599</v>
      </c>
      <c r="J150" s="320">
        <f>IF('Perfil - interna'!J150+'Perfil - externa'!J148=0,0,'Perfil - interna'!J150+'Perfil - externa'!J148)</f>
        <v>17690661.74334408</v>
      </c>
      <c r="K150" s="320">
        <f>IF('Perfil - interna'!K150+'Perfil - externa'!K148=0,0,'Perfil - interna'!K150+'Perfil - externa'!K148)</f>
        <v>11715462.397449672</v>
      </c>
      <c r="L150" s="320">
        <f>IF('Perfil - interna'!L150+'Perfil - externa'!L148=0,0,'Perfil - interna'!L150+'Perfil - externa'!L148)</f>
        <v>11398663.543513615</v>
      </c>
      <c r="M150" s="320">
        <f>IF('Perfil - interna'!M150+'Perfil - externa'!M148=0,0,'Perfil - interna'!M150+'Perfil - externa'!M148)</f>
        <v>10266767.352837022</v>
      </c>
      <c r="N150" s="320">
        <f>IF('Perfil - interna'!N150+'Perfil - externa'!N148=0,0,'Perfil - interna'!N150+'Perfil - externa'!N148)</f>
        <v>14537746.914943099</v>
      </c>
      <c r="O150" s="320">
        <f>IF('Perfil - interna'!O150+'Perfil - externa'!O148=0,0,'Perfil - interna'!O150+'Perfil - externa'!O148)</f>
        <v>6338647.5643302165</v>
      </c>
      <c r="P150" s="320">
        <f>IF('Perfil - interna'!P150+'Perfil - externa'!P148=0,0,'Perfil - interna'!P150+'Perfil - externa'!P148)</f>
        <v>4586299.9023879925</v>
      </c>
      <c r="Q150" s="320">
        <f>IF('Perfil - interna'!Q150+'Perfil - externa'!Q148=0,0,'Perfil - interna'!Q150+'Perfil - externa'!Q148)</f>
        <v>3121378.4324690225</v>
      </c>
      <c r="R150" s="320">
        <f>IF('Perfil - interna'!R150+'Perfil - externa'!R148=0,0,'Perfil - interna'!R150+'Perfil - externa'!R148)</f>
        <v>1645110.3006825026</v>
      </c>
      <c r="S150" s="320">
        <f>IF('Perfil - interna'!S150+'Perfil - externa'!S148=0,0,'Perfil - interna'!S150+'Perfil - externa'!S148)</f>
        <v>786786.42981757491</v>
      </c>
      <c r="T150" s="320">
        <f>IF('Perfil - interna'!T150+'Perfil - externa'!T148=0,0,'Perfil - interna'!T150+'Perfil - externa'!T148)</f>
        <v>546311.26812647004</v>
      </c>
      <c r="U150" s="320">
        <f>IF('Perfil - interna'!U150+'Perfil - externa'!U148=0,0,'Perfil - interna'!U150+'Perfil - externa'!U148)</f>
        <v>505654.06650723238</v>
      </c>
      <c r="V150" s="320">
        <f>IF('Perfil - interna'!V150+'Perfil - externa'!V148=0,0,'Perfil - interna'!V150+'Perfil - externa'!V148)</f>
        <v>2990795.0172755597</v>
      </c>
      <c r="W150" s="320">
        <f>IF('Perfil - interna'!W150+'Perfil - externa'!W148=0,0,'Perfil - interna'!W150+'Perfil - externa'!W148)</f>
        <v>379054.2578452024</v>
      </c>
      <c r="X150" s="320">
        <f>IF('Perfil - interna'!X150+'Perfil - externa'!X148=0,0,'Perfil - interna'!X150+'Perfil - externa'!X148)</f>
        <v>244581.29884641751</v>
      </c>
      <c r="Y150" s="320">
        <f>IF('Perfil - interna'!Y150+'Perfil - externa'!Y148=0,0,'Perfil - interna'!Y150+'Perfil - externa'!Y148)</f>
        <v>243329.40132864003</v>
      </c>
      <c r="Z150" s="320">
        <f>IF('Perfil - interna'!Z150+'Perfil - externa'!Z148=0,0,'Perfil - interna'!Z150+'Perfil - externa'!Z148)</f>
        <v>1365040.158353355</v>
      </c>
      <c r="AA150" s="320">
        <f>IF('Perfil - interna'!AA150+'Perfil - externa'!AA148=0,0,'Perfil - interna'!AA150+'Perfil - externa'!AA148)</f>
        <v>60842.854956235002</v>
      </c>
      <c r="AB150" s="320">
        <f>IF('Perfil - interna'!AB150+'Perfil - externa'!AB148=0,0,'Perfil - interna'!AB150+'Perfil - externa'!AB148)</f>
        <v>50853.956806564987</v>
      </c>
      <c r="AC150" s="320">
        <f>IF('Perfil - interna'!AC150+'Perfil - externa'!AC148=0,0,'Perfil - interna'!AC150+'Perfil - externa'!AC148)</f>
        <v>530256.17908507749</v>
      </c>
      <c r="AD150" s="320">
        <f>IF('Perfil - interna'!AD150+'Perfil - externa'!AD148=0,0,'Perfil - interna'!AD150+'Perfil - externa'!AD148)</f>
        <v>48428.459635600004</v>
      </c>
      <c r="AE150" s="320">
        <f>IF('Perfil - interna'!AE150+'Perfil - externa'!AE148=0,0,'Perfil - interna'!AE150+'Perfil - externa'!AE148)</f>
        <v>17675.87429575</v>
      </c>
      <c r="AF150" s="320">
        <f>IF('Perfil - interna'!AF150+'Perfil - externa'!AF148=0,0,'Perfil - interna'!AF150+'Perfil - externa'!AF148)</f>
        <v>6656.9341045350002</v>
      </c>
      <c r="AG150" s="320">
        <f>IF('Perfil - interna'!AG150+'Perfil - externa'!AG148=0,0,'Perfil - interna'!AG150+'Perfil - externa'!AG148)</f>
        <v>6656.9341045350002</v>
      </c>
      <c r="AH150" s="320">
        <f>IF('Perfil - interna'!AH150+'Perfil - externa'!AH148=0,0,'Perfil - interna'!AH150+'Perfil - externa'!AH148)</f>
        <v>5737.79950018</v>
      </c>
      <c r="AI150" s="320">
        <f>IF('Perfil - interna'!AI150+'Perfil - externa'!AI148=0,0,'Perfil - interna'!AI150+'Perfil - externa'!AI148)</f>
        <v>1523229.0495001799</v>
      </c>
      <c r="AJ150" s="320">
        <f>IF('Perfil - interna'!AJ150+'Perfil - externa'!AJ148=0,0,'Perfil - interna'!AJ150+'Perfil - externa'!AJ148)</f>
        <v>5737.79950018</v>
      </c>
      <c r="AK150" s="320">
        <f>IF('Perfil - interna'!AK150+'Perfil - externa'!AK148=0,0,'Perfil - interna'!AK150+'Perfil - externa'!AK148)</f>
        <v>90.12067476499999</v>
      </c>
      <c r="AL150" s="320">
        <f>IF('Perfil - interna'!AL150+'Perfil - externa'!AL148=0,0,'Perfil - interna'!AL150+'Perfil - externa'!AL148)</f>
        <v>0</v>
      </c>
      <c r="AM150" s="320">
        <f>IF('Perfil - interna'!AM150+'Perfil - externa'!AM148=0,0,'Perfil - interna'!AM150+'Perfil - externa'!AM148)</f>
        <v>0</v>
      </c>
      <c r="AN150" s="320">
        <f>IF('Perfil - interna'!AN150+'Perfil - externa'!AN148=0,0,'Perfil - interna'!AN150+'Perfil - externa'!AN148)</f>
        <v>0</v>
      </c>
      <c r="AO150" s="320"/>
      <c r="AP150" s="320"/>
      <c r="AQ150" s="320"/>
      <c r="AR150" s="320"/>
      <c r="AS150" s="320"/>
      <c r="AT150" s="320"/>
      <c r="AU150" s="320"/>
      <c r="AV150" s="320"/>
      <c r="AW150" s="320"/>
      <c r="AX150" s="320"/>
      <c r="AY150" s="320"/>
      <c r="AZ150" s="320"/>
      <c r="BA150" s="320"/>
      <c r="BB150" s="320"/>
      <c r="BC150" s="320"/>
      <c r="BD150" s="320"/>
      <c r="BE150" s="320"/>
      <c r="BF150" s="320"/>
      <c r="BG150" s="320"/>
      <c r="BH150" s="320"/>
      <c r="BI150" s="320"/>
      <c r="BJ150" s="320"/>
      <c r="BK150" s="320"/>
    </row>
    <row r="151" spans="1:63">
      <c r="A151" s="167"/>
      <c r="B151" s="217" t="str">
        <f>Servicio_internaColumna_título_amortizaciones</f>
        <v>Amortizaciones</v>
      </c>
      <c r="C151" s="218"/>
      <c r="D151" s="219"/>
      <c r="E151" s="219"/>
      <c r="F151" s="219">
        <f>IF('Perfil - interna'!F151+'Perfil - externa'!F149=0,0,'Perfil - interna'!F151+'Perfil - externa'!F149)</f>
        <v>0</v>
      </c>
      <c r="G151" s="219">
        <f>IF('Perfil - interna'!G151+'Perfil - externa'!G149=0,0,'Perfil - interna'!G151+'Perfil - externa'!G149)</f>
        <v>16186811.757895894</v>
      </c>
      <c r="H151" s="219">
        <f>IF('Perfil - interna'!H151+'Perfil - externa'!H149=0,0,'Perfil - interna'!H151+'Perfil - externa'!H149)</f>
        <v>13487015.33867611</v>
      </c>
      <c r="I151" s="219">
        <f>IF('Perfil - interna'!I151+'Perfil - externa'!I149=0,0,'Perfil - interna'!I151+'Perfil - externa'!I149)</f>
        <v>18580094.93788173</v>
      </c>
      <c r="J151" s="219">
        <f>IF('Perfil - interna'!J151+'Perfil - externa'!J149=0,0,'Perfil - interna'!J151+'Perfil - externa'!J149)</f>
        <v>13811001.364395425</v>
      </c>
      <c r="K151" s="219">
        <f>IF('Perfil - interna'!K151+'Perfil - externa'!K149=0,0,'Perfil - interna'!K151+'Perfil - externa'!K149)</f>
        <v>9297935.1354417838</v>
      </c>
      <c r="L151" s="219">
        <f>IF('Perfil - interna'!L151+'Perfil - externa'!L149=0,0,'Perfil - interna'!L151+'Perfil - externa'!L149)</f>
        <v>10067275.250845175</v>
      </c>
      <c r="M151" s="219">
        <f>IF('Perfil - interna'!M151+'Perfil - externa'!M149=0,0,'Perfil - interna'!M151+'Perfil - externa'!M149)</f>
        <v>8137268.4234859794</v>
      </c>
      <c r="N151" s="219">
        <f>IF('Perfil - interna'!N151+'Perfil - externa'!N149=0,0,'Perfil - interna'!N151+'Perfil - externa'!N149)</f>
        <v>12964283.778363563</v>
      </c>
      <c r="O151" s="219">
        <f>IF('Perfil - interna'!O151+'Perfil - externa'!O149=0,0,'Perfil - interna'!O151+'Perfil - externa'!O149)</f>
        <v>5890533.0913040936</v>
      </c>
      <c r="P151" s="219">
        <f>IF('Perfil - interna'!P151+'Perfil - externa'!P149=0,0,'Perfil - interna'!P151+'Perfil - externa'!P149)</f>
        <v>4770191.6193913957</v>
      </c>
      <c r="Q151" s="219">
        <f>IF('Perfil - interna'!Q151+'Perfil - externa'!Q149=0,0,'Perfil - interna'!Q151+'Perfil - externa'!Q149)</f>
        <v>3364515.5302833742</v>
      </c>
      <c r="R151" s="219">
        <f>IF('Perfil - interna'!R151+'Perfil - externa'!R149=0,0,'Perfil - interna'!R151+'Perfil - externa'!R149)</f>
        <v>1664121.3510144344</v>
      </c>
      <c r="S151" s="219">
        <f>IF('Perfil - interna'!S151+'Perfil - externa'!S149=0,0,'Perfil - interna'!S151+'Perfil - externa'!S149)</f>
        <v>780094.95733570901</v>
      </c>
      <c r="T151" s="219">
        <f>IF('Perfil - interna'!T151+'Perfil - externa'!T149=0,0,'Perfil - interna'!T151+'Perfil - externa'!T149)</f>
        <v>541318.16487976233</v>
      </c>
      <c r="U151" s="219">
        <f>IF('Perfil - interna'!U151+'Perfil - externa'!U149=0,0,'Perfil - interna'!U151+'Perfil - externa'!U149)</f>
        <v>500712.5632869433</v>
      </c>
      <c r="V151" s="219">
        <f>IF('Perfil - interna'!V151+'Perfil - externa'!V149=0,0,'Perfil - interna'!V151+'Perfil - externa'!V149)</f>
        <v>2962993.6856180355</v>
      </c>
      <c r="W151" s="219">
        <f>IF('Perfil - interna'!W151+'Perfil - externa'!W149=0,0,'Perfil - interna'!W151+'Perfil - externa'!W149)</f>
        <v>375287.94903775433</v>
      </c>
      <c r="X151" s="219">
        <f>IF('Perfil - interna'!X151+'Perfil - externa'!X149=0,0,'Perfil - interna'!X151+'Perfil - externa'!X149)</f>
        <v>242280.88499383445</v>
      </c>
      <c r="Y151" s="219">
        <f>IF('Perfil - interna'!Y151+'Perfil - externa'!Y149=0,0,'Perfil - interna'!Y151+'Perfil - externa'!Y149)</f>
        <v>241087.62717254562</v>
      </c>
      <c r="Z151" s="219">
        <f>IF('Perfil - interna'!Z151+'Perfil - externa'!Z149=0,0,'Perfil - interna'!Z151+'Perfil - externa'!Z149)</f>
        <v>1352476.6268808162</v>
      </c>
      <c r="AA151" s="219">
        <f>IF('Perfil - interna'!AA151+'Perfil - externa'!AA149=0,0,'Perfil - interna'!AA151+'Perfil - externa'!AA149)</f>
        <v>60280.285384188814</v>
      </c>
      <c r="AB151" s="219">
        <f>IF('Perfil - interna'!AB151+'Perfil - externa'!AB149=0,0,'Perfil - interna'!AB151+'Perfil - externa'!AB149)</f>
        <v>50383.30307103361</v>
      </c>
      <c r="AC151" s="219">
        <f>IF('Perfil - interna'!AC151+'Perfil - externa'!AC149=0,0,'Perfil - interna'!AC151+'Perfil - externa'!AC149)</f>
        <v>525374.16229152563</v>
      </c>
      <c r="AD151" s="219">
        <f>IF('Perfil - interna'!AD151+'Perfil - externa'!AD149=0,0,'Perfil - interna'!AD151+'Perfil - externa'!AD149)</f>
        <v>47980.124838363212</v>
      </c>
      <c r="AE151" s="219">
        <f>IF('Perfil - interna'!AE151+'Perfil - externa'!AE149=0,0,'Perfil - interna'!AE151+'Perfil - externa'!AE149)</f>
        <v>17510.518618347203</v>
      </c>
      <c r="AF151" s="219">
        <f>IF('Perfil - interna'!AF151+'Perfil - externa'!AF149=0,0,'Perfil - interna'!AF151+'Perfil - externa'!AF149)</f>
        <v>6592.9725038368006</v>
      </c>
      <c r="AG151" s="219">
        <f>IF('Perfil - interna'!AG151+'Perfil - externa'!AG149=0,0,'Perfil - interna'!AG151+'Perfil - externa'!AG149)</f>
        <v>6592.9725038368006</v>
      </c>
      <c r="AH151" s="219">
        <f>IF('Perfil - interna'!AH151+'Perfil - externa'!AH149=0,0,'Perfil - interna'!AH151+'Perfil - externa'!AH149)</f>
        <v>5682.2955916880001</v>
      </c>
      <c r="AI151" s="219">
        <f>IF('Perfil - interna'!AI151+'Perfil - externa'!AI149=0,0,'Perfil - interna'!AI151+'Perfil - externa'!AI149)</f>
        <v>1509209.8955916881</v>
      </c>
      <c r="AJ151" s="219">
        <f>IF('Perfil - interna'!AJ151+'Perfil - externa'!AJ149=0,0,'Perfil - interna'!AJ151+'Perfil - externa'!AJ149)</f>
        <v>5682.2955916880001</v>
      </c>
      <c r="AK151" s="219">
        <f>IF('Perfil - interna'!AK151+'Perfil - externa'!AK149=0,0,'Perfil - interna'!AK151+'Perfil - externa'!AK149)</f>
        <v>87.938488012000008</v>
      </c>
      <c r="AL151" s="219">
        <f>IF('Perfil - interna'!AL151+'Perfil - externa'!AL149=0,0,'Perfil - interna'!AL151+'Perfil - externa'!AL149)</f>
        <v>0</v>
      </c>
      <c r="AM151" s="219">
        <f>IF('Perfil - interna'!AM151+'Perfil - externa'!AM149=0,0,'Perfil - interna'!AM151+'Perfil - externa'!AM149)</f>
        <v>0</v>
      </c>
      <c r="AN151" s="219">
        <f>IF('Perfil - interna'!AN151+'Perfil - externa'!AN149=0,0,'Perfil - interna'!AN151+'Perfil - externa'!AN149)</f>
        <v>0</v>
      </c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</row>
    <row r="152" spans="1:63">
      <c r="A152" s="170">
        <v>38383</v>
      </c>
      <c r="B152" s="220" t="str">
        <f>Servicio_internaColumna_título_intereses</f>
        <v>Intereses</v>
      </c>
      <c r="C152" s="221"/>
      <c r="D152" s="222"/>
      <c r="E152" s="222"/>
      <c r="F152" s="222">
        <f>IF('Perfil - interna'!F152+'Perfil - externa'!F150=0,0,'Perfil - interna'!F152+'Perfil - externa'!F150)</f>
        <v>0</v>
      </c>
      <c r="G152" s="222">
        <f>IF('Perfil - interna'!G152+'Perfil - externa'!G150=0,0,'Perfil - interna'!G152+'Perfil - externa'!G150)</f>
        <v>10934071.481387315</v>
      </c>
      <c r="H152" s="222">
        <f>IF('Perfil - interna'!H152+'Perfil - externa'!H150=0,0,'Perfil - interna'!H152+'Perfil - externa'!H150)</f>
        <v>10313651.143417697</v>
      </c>
      <c r="I152" s="222">
        <f>IF('Perfil - interna'!I152+'Perfil - externa'!I150=0,0,'Perfil - interna'!I152+'Perfil - externa'!I150)</f>
        <v>8960823.1440659277</v>
      </c>
      <c r="J152" s="222">
        <f>IF('Perfil - interna'!J152+'Perfil - externa'!J150=0,0,'Perfil - interna'!J152+'Perfil - externa'!J150)</f>
        <v>7157434.3824493047</v>
      </c>
      <c r="K152" s="222">
        <f>IF('Perfil - interna'!K152+'Perfil - externa'!K150=0,0,'Perfil - interna'!K152+'Perfil - externa'!K150)</f>
        <v>5784337.2294920459</v>
      </c>
      <c r="L152" s="222">
        <f>IF('Perfil - interna'!L152+'Perfil - externa'!L150=0,0,'Perfil - interna'!L152+'Perfil - externa'!L150)</f>
        <v>4970481.3592740949</v>
      </c>
      <c r="M152" s="222">
        <f>IF('Perfil - interna'!M152+'Perfil - externa'!M150=0,0,'Perfil - interna'!M152+'Perfil - externa'!M150)</f>
        <v>4072015.6869073529</v>
      </c>
      <c r="N152" s="222">
        <f>IF('Perfil - interna'!N152+'Perfil - externa'!N150=0,0,'Perfil - interna'!N152+'Perfil - externa'!N150)</f>
        <v>3262394.274377353</v>
      </c>
      <c r="O152" s="222">
        <f>IF('Perfil - interna'!O152+'Perfil - externa'!O150=0,0,'Perfil - interna'!O152+'Perfil - externa'!O150)</f>
        <v>1888232.2167666922</v>
      </c>
      <c r="P152" s="222">
        <f>IF('Perfil - interna'!P152+'Perfil - externa'!P150=0,0,'Perfil - interna'!P152+'Perfil - externa'!P150)</f>
        <v>1460563.433540361</v>
      </c>
      <c r="Q152" s="222">
        <f>IF('Perfil - interna'!Q152+'Perfil - externa'!Q150=0,0,'Perfil - interna'!Q152+'Perfil - externa'!Q150)</f>
        <v>1114149.6225271816</v>
      </c>
      <c r="R152" s="222">
        <f>IF('Perfil - interna'!R152+'Perfil - externa'!R150=0,0,'Perfil - interna'!R152+'Perfil - externa'!R150)</f>
        <v>836969.01891339594</v>
      </c>
      <c r="S152" s="222">
        <f>IF('Perfil - interna'!S152+'Perfil - externa'!S150=0,0,'Perfil - interna'!S152+'Perfil - externa'!S150)</f>
        <v>757400.74979121203</v>
      </c>
      <c r="T152" s="222">
        <f>IF('Perfil - interna'!T152+'Perfil - externa'!T150=0,0,'Perfil - interna'!T152+'Perfil - externa'!T150)</f>
        <v>719084.69372185913</v>
      </c>
      <c r="U152" s="222">
        <f>IF('Perfil - interna'!U152+'Perfil - externa'!U150=0,0,'Perfil - interna'!U152+'Perfil - externa'!U150)</f>
        <v>692921.58087347937</v>
      </c>
      <c r="V152" s="222">
        <f>IF('Perfil - interna'!V152+'Perfil - externa'!V150=0,0,'Perfil - interna'!V152+'Perfil - externa'!V150)</f>
        <v>518069.43814831122</v>
      </c>
      <c r="W152" s="222">
        <f>IF('Perfil - interna'!W152+'Perfil - externa'!W150=0,0,'Perfil - interna'!W152+'Perfil - externa'!W150)</f>
        <v>347986.17228395765</v>
      </c>
      <c r="X152" s="222">
        <f>IF('Perfil - interna'!X152+'Perfil - externa'!X150=0,0,'Perfil - interna'!X152+'Perfil - externa'!X150)</f>
        <v>331053.03689022886</v>
      </c>
      <c r="Y152" s="222">
        <f>IF('Perfil - interna'!Y152+'Perfil - externa'!Y150=0,0,'Perfil - interna'!Y152+'Perfil - externa'!Y150)</f>
        <v>319579.65762402961</v>
      </c>
      <c r="Z152" s="222">
        <f>IF('Perfil - interna'!Z152+'Perfil - externa'!Z150=0,0,'Perfil - interna'!Z152+'Perfil - externa'!Z150)</f>
        <v>260861.23848654079</v>
      </c>
      <c r="AA152" s="222">
        <f>IF('Perfil - interna'!AA152+'Perfil - externa'!AA150=0,0,'Perfil - interna'!AA152+'Perfil - externa'!AA150)</f>
        <v>206359.58470334561</v>
      </c>
      <c r="AB152" s="222">
        <f>IF('Perfil - interna'!AB152+'Perfil - externa'!AB150=0,0,'Perfil - interna'!AB152+'Perfil - externa'!AB150)</f>
        <v>203889.431608796</v>
      </c>
      <c r="AC152" s="222">
        <f>IF('Perfil - interna'!AC152+'Perfil - externa'!AC150=0,0,'Perfil - interna'!AC152+'Perfil - externa'!AC150)</f>
        <v>181706.92960435443</v>
      </c>
      <c r="AD152" s="222">
        <f>IF('Perfil - interna'!AD152+'Perfil - externa'!AD150=0,0,'Perfil - interna'!AD152+'Perfil - externa'!AD150)</f>
        <v>158575.13910453682</v>
      </c>
      <c r="AE152" s="222">
        <f>IF('Perfil - interna'!AE152+'Perfil - externa'!AE150=0,0,'Perfil - interna'!AE152+'Perfil - externa'!AE150)</f>
        <v>156304.2507721872</v>
      </c>
      <c r="AF152" s="222">
        <f>IF('Perfil - interna'!AF152+'Perfil - externa'!AF150=0,0,'Perfil - interna'!AF152+'Perfil - externa'!AF150)</f>
        <v>156002.78439618877</v>
      </c>
      <c r="AG152" s="222">
        <f>IF('Perfil - interna'!AG152+'Perfil - externa'!AG150=0,0,'Perfil - interna'!AG152+'Perfil - externa'!AG150)</f>
        <v>156001.46526973759</v>
      </c>
      <c r="AH152" s="222">
        <f>IF('Perfil - interna'!AH152+'Perfil - externa'!AH150=0,0,'Perfil - interna'!AH152+'Perfil - externa'!AH150)</f>
        <v>156000.14621431919</v>
      </c>
      <c r="AI152" s="222">
        <f>IF('Perfil - interna'!AI152+'Perfil - externa'!AI150=0,0,'Perfil - interna'!AI152+'Perfil - externa'!AI150)</f>
        <v>78003.332885223208</v>
      </c>
      <c r="AJ152" s="222">
        <f>IF('Perfil - interna'!AJ152+'Perfil - externa'!AJ150=0,0,'Perfil - interna'!AJ152+'Perfil - externa'!AJ150)</f>
        <v>2.9679161272000005</v>
      </c>
      <c r="AK152" s="222">
        <f>IF('Perfil - interna'!AK152+'Perfil - externa'!AK150=0,0,'Perfil - interna'!AK152+'Perfil - externa'!AK150)</f>
        <v>0.98929748320000011</v>
      </c>
      <c r="AL152" s="222">
        <f>IF('Perfil - interna'!AL152+'Perfil - externa'!AL150=0,0,'Perfil - interna'!AL152+'Perfil - externa'!AL150)</f>
        <v>0</v>
      </c>
      <c r="AM152" s="222">
        <f>IF('Perfil - interna'!AM152+'Perfil - externa'!AM150=0,0,'Perfil - interna'!AM152+'Perfil - externa'!AM150)</f>
        <v>0</v>
      </c>
      <c r="AN152" s="222">
        <f>IF('Perfil - interna'!AN152+'Perfil - externa'!AN150=0,0,'Perfil - interna'!AN152+'Perfil - externa'!AN150)</f>
        <v>0</v>
      </c>
      <c r="AO152" s="222"/>
      <c r="AP152" s="222"/>
      <c r="AQ152" s="222"/>
      <c r="AR152" s="222"/>
      <c r="AS152" s="222"/>
      <c r="AT152" s="222"/>
      <c r="AU152" s="222"/>
      <c r="AV152" s="222"/>
      <c r="AW152" s="222"/>
      <c r="AX152" s="222"/>
      <c r="AY152" s="222"/>
      <c r="AZ152" s="222"/>
      <c r="BA152" s="222"/>
      <c r="BB152" s="222"/>
      <c r="BC152" s="222"/>
      <c r="BD152" s="222"/>
      <c r="BE152" s="222"/>
      <c r="BF152" s="222"/>
      <c r="BG152" s="222"/>
      <c r="BH152" s="222"/>
      <c r="BI152" s="222"/>
      <c r="BJ152" s="222"/>
      <c r="BK152" s="222"/>
    </row>
    <row r="153" spans="1:63">
      <c r="A153" s="171"/>
      <c r="B153" s="318" t="str">
        <f>Servicio_internaColumna_título_total</f>
        <v>Total</v>
      </c>
      <c r="C153" s="319"/>
      <c r="D153" s="320"/>
      <c r="E153" s="320"/>
      <c r="F153" s="320">
        <f>IF('Perfil - interna'!F153+'Perfil - externa'!F151=0,0,'Perfil - interna'!F153+'Perfil - externa'!F151)</f>
        <v>0</v>
      </c>
      <c r="G153" s="320">
        <f>IF('Perfil - interna'!G153+'Perfil - externa'!G151=0,0,'Perfil - interna'!G153+'Perfil - externa'!G151)</f>
        <v>27120883.239283212</v>
      </c>
      <c r="H153" s="320">
        <f>IF('Perfil - interna'!H153+'Perfil - externa'!H151=0,0,'Perfil - interna'!H153+'Perfil - externa'!H151)</f>
        <v>23800666.482093804</v>
      </c>
      <c r="I153" s="320">
        <f>IF('Perfil - interna'!I153+'Perfil - externa'!I151=0,0,'Perfil - interna'!I153+'Perfil - externa'!I151)</f>
        <v>27540918.081947654</v>
      </c>
      <c r="J153" s="320">
        <f>IF('Perfil - interna'!J153+'Perfil - externa'!J151=0,0,'Perfil - interna'!J153+'Perfil - externa'!J151)</f>
        <v>20968435.746844731</v>
      </c>
      <c r="K153" s="320">
        <f>IF('Perfil - interna'!K153+'Perfil - externa'!K151=0,0,'Perfil - interna'!K153+'Perfil - externa'!K151)</f>
        <v>15082272.36493383</v>
      </c>
      <c r="L153" s="320">
        <f>IF('Perfil - interna'!L153+'Perfil - externa'!L151=0,0,'Perfil - interna'!L153+'Perfil - externa'!L151)</f>
        <v>15037756.610119268</v>
      </c>
      <c r="M153" s="320">
        <f>IF('Perfil - interna'!M153+'Perfil - externa'!M151=0,0,'Perfil - interna'!M153+'Perfil - externa'!M151)</f>
        <v>12209284.11039333</v>
      </c>
      <c r="N153" s="320">
        <f>IF('Perfil - interna'!N153+'Perfil - externa'!N151=0,0,'Perfil - interna'!N153+'Perfil - externa'!N151)</f>
        <v>16226678.052740917</v>
      </c>
      <c r="O153" s="320">
        <f>IF('Perfil - interna'!O153+'Perfil - externa'!O151=0,0,'Perfil - interna'!O153+'Perfil - externa'!O151)</f>
        <v>7778765.3080707854</v>
      </c>
      <c r="P153" s="320">
        <f>IF('Perfil - interna'!P153+'Perfil - externa'!P151=0,0,'Perfil - interna'!P153+'Perfil - externa'!P151)</f>
        <v>6230755.0529317567</v>
      </c>
      <c r="Q153" s="320">
        <f>IF('Perfil - interna'!Q153+'Perfil - externa'!Q151=0,0,'Perfil - interna'!Q153+'Perfil - externa'!Q151)</f>
        <v>4478665.1528105559</v>
      </c>
      <c r="R153" s="320">
        <f>IF('Perfil - interna'!R153+'Perfil - externa'!R151=0,0,'Perfil - interna'!R153+'Perfil - externa'!R151)</f>
        <v>2501090.3699278301</v>
      </c>
      <c r="S153" s="320">
        <f>IF('Perfil - interna'!S153+'Perfil - externa'!S151=0,0,'Perfil - interna'!S153+'Perfil - externa'!S151)</f>
        <v>1537495.707126921</v>
      </c>
      <c r="T153" s="320">
        <f>IF('Perfil - interna'!T153+'Perfil - externa'!T151=0,0,'Perfil - interna'!T153+'Perfil - externa'!T151)</f>
        <v>1260402.8586016214</v>
      </c>
      <c r="U153" s="320">
        <f>IF('Perfil - interna'!U153+'Perfil - externa'!U151=0,0,'Perfil - interna'!U153+'Perfil - externa'!U151)</f>
        <v>1193634.1441604227</v>
      </c>
      <c r="V153" s="320">
        <f>IF('Perfil - interna'!V153+'Perfil - externa'!V151=0,0,'Perfil - interna'!V153+'Perfil - externa'!V151)</f>
        <v>3481063.1237663468</v>
      </c>
      <c r="W153" s="320">
        <f>IF('Perfil - interna'!W153+'Perfil - externa'!W151=0,0,'Perfil - interna'!W153+'Perfil - externa'!W151)</f>
        <v>723274.12132171192</v>
      </c>
      <c r="X153" s="320">
        <f>IF('Perfil - interna'!X153+'Perfil - externa'!X151=0,0,'Perfil - interna'!X153+'Perfil - externa'!X151)</f>
        <v>573333.92188406328</v>
      </c>
      <c r="Y153" s="320">
        <f>IF('Perfil - interna'!Y153+'Perfil - externa'!Y151=0,0,'Perfil - interna'!Y153+'Perfil - externa'!Y151)</f>
        <v>560667.2847965752</v>
      </c>
      <c r="Z153" s="320">
        <f>IF('Perfil - interna'!Z153+'Perfil - externa'!Z151=0,0,'Perfil - interna'!Z153+'Perfil - externa'!Z151)</f>
        <v>1613337.8653673569</v>
      </c>
      <c r="AA153" s="320">
        <f>IF('Perfil - interna'!AA153+'Perfil - externa'!AA151=0,0,'Perfil - interna'!AA153+'Perfil - externa'!AA151)</f>
        <v>266639.87008753442</v>
      </c>
      <c r="AB153" s="320">
        <f>IF('Perfil - interna'!AB153+'Perfil - externa'!AB151=0,0,'Perfil - interna'!AB153+'Perfil - externa'!AB151)</f>
        <v>254272.73467982962</v>
      </c>
      <c r="AC153" s="320">
        <f>IF('Perfil - interna'!AC153+'Perfil - externa'!AC151=0,0,'Perfil - interna'!AC153+'Perfil - externa'!AC151)</f>
        <v>707081.09189588006</v>
      </c>
      <c r="AD153" s="320">
        <f>IF('Perfil - interna'!AD153+'Perfil - externa'!AD151=0,0,'Perfil - interna'!AD153+'Perfil - externa'!AD151)</f>
        <v>206555.26394290003</v>
      </c>
      <c r="AE153" s="320">
        <f>IF('Perfil - interna'!AE153+'Perfil - externa'!AE151=0,0,'Perfil - interna'!AE153+'Perfil - externa'!AE151)</f>
        <v>173814.76939053441</v>
      </c>
      <c r="AF153" s="320">
        <f>IF('Perfil - interna'!AF153+'Perfil - externa'!AF151=0,0,'Perfil - interna'!AF153+'Perfil - externa'!AF151)</f>
        <v>162595.75690002556</v>
      </c>
      <c r="AG153" s="320">
        <f>IF('Perfil - interna'!AG153+'Perfil - externa'!AG151=0,0,'Perfil - interna'!AG153+'Perfil - externa'!AG151)</f>
        <v>162594.43777357438</v>
      </c>
      <c r="AH153" s="320">
        <f>IF('Perfil - interna'!AH153+'Perfil - externa'!AH151=0,0,'Perfil - interna'!AH153+'Perfil - externa'!AH151)</f>
        <v>161682.44180600718</v>
      </c>
      <c r="AI153" s="320">
        <f>IF('Perfil - interna'!AI153+'Perfil - externa'!AI151=0,0,'Perfil - interna'!AI153+'Perfil - externa'!AI151)</f>
        <v>1587213.2284769113</v>
      </c>
      <c r="AJ153" s="320">
        <f>IF('Perfil - interna'!AJ153+'Perfil - externa'!AJ151=0,0,'Perfil - interna'!AJ153+'Perfil - externa'!AJ151)</f>
        <v>5685.2635078151998</v>
      </c>
      <c r="AK153" s="320">
        <f>IF('Perfil - interna'!AK153+'Perfil - externa'!AK151=0,0,'Perfil - interna'!AK153+'Perfil - externa'!AK151)</f>
        <v>88.927785495200013</v>
      </c>
      <c r="AL153" s="320">
        <f>IF('Perfil - interna'!AL153+'Perfil - externa'!AL151=0,0,'Perfil - interna'!AL153+'Perfil - externa'!AL151)</f>
        <v>0</v>
      </c>
      <c r="AM153" s="320">
        <f>IF('Perfil - interna'!AM153+'Perfil - externa'!AM151=0,0,'Perfil - interna'!AM153+'Perfil - externa'!AM151)</f>
        <v>0</v>
      </c>
      <c r="AN153" s="320">
        <f>IF('Perfil - interna'!AN153+'Perfil - externa'!AN151=0,0,'Perfil - interna'!AN153+'Perfil - externa'!AN151)</f>
        <v>0</v>
      </c>
      <c r="AO153" s="320"/>
      <c r="AP153" s="320"/>
      <c r="AQ153" s="320"/>
      <c r="AR153" s="320"/>
      <c r="AS153" s="320"/>
      <c r="AT153" s="320"/>
      <c r="AU153" s="320"/>
      <c r="AV153" s="320"/>
      <c r="AW153" s="320"/>
      <c r="AX153" s="320"/>
      <c r="AY153" s="320"/>
      <c r="AZ153" s="320"/>
      <c r="BA153" s="320"/>
      <c r="BB153" s="320"/>
      <c r="BC153" s="320"/>
      <c r="BD153" s="320"/>
      <c r="BE153" s="320"/>
      <c r="BF153" s="320"/>
      <c r="BG153" s="320"/>
      <c r="BH153" s="320"/>
      <c r="BI153" s="320"/>
      <c r="BJ153" s="320"/>
      <c r="BK153" s="320"/>
    </row>
    <row r="154" spans="1:63">
      <c r="A154" s="167"/>
      <c r="B154" s="217" t="str">
        <f>Servicio_internaColumna_título_amortizaciones</f>
        <v>Amortizaciones</v>
      </c>
      <c r="C154" s="218"/>
      <c r="D154" s="219"/>
      <c r="E154" s="219"/>
      <c r="F154" s="219">
        <f>IF('Perfil - interna'!F154+'Perfil - externa'!F152=0,0,'Perfil - interna'!F154+'Perfil - externa'!F152)</f>
        <v>0</v>
      </c>
      <c r="G154" s="219">
        <f>IF('Perfil - interna'!G154+'Perfil - externa'!G152=0,0,'Perfil - interna'!G154+'Perfil - externa'!G152)</f>
        <v>15458081.952516843</v>
      </c>
      <c r="H154" s="219">
        <f>IF('Perfil - interna'!H154+'Perfil - externa'!H152=0,0,'Perfil - interna'!H154+'Perfil - externa'!H152)</f>
        <v>13813002.065243971</v>
      </c>
      <c r="I154" s="219">
        <f>IF('Perfil - interna'!I154+'Perfil - externa'!I152=0,0,'Perfil - interna'!I154+'Perfil - externa'!I152)</f>
        <v>18835110.049301252</v>
      </c>
      <c r="J154" s="219">
        <f>IF('Perfil - interna'!J154+'Perfil - externa'!J152=0,0,'Perfil - interna'!J154+'Perfil - externa'!J152)</f>
        <v>13712653.996994331</v>
      </c>
      <c r="K154" s="219">
        <f>IF('Perfil - interna'!K154+'Perfil - externa'!K152=0,0,'Perfil - interna'!K154+'Perfil - externa'!K152)</f>
        <v>9650729.147183083</v>
      </c>
      <c r="L154" s="219">
        <f>IF('Perfil - interna'!L154+'Perfil - externa'!L152=0,0,'Perfil - interna'!L154+'Perfil - externa'!L152)</f>
        <v>10615097.054989971</v>
      </c>
      <c r="M154" s="219">
        <f>IF('Perfil - interna'!M154+'Perfil - externa'!M152=0,0,'Perfil - interna'!M154+'Perfil - externa'!M152)</f>
        <v>8104594.388313082</v>
      </c>
      <c r="N154" s="219">
        <f>IF('Perfil - interna'!N154+'Perfil - externa'!N152=0,0,'Perfil - interna'!N154+'Perfil - externa'!N152)</f>
        <v>12929076.669193642</v>
      </c>
      <c r="O154" s="219">
        <f>IF('Perfil - interna'!O154+'Perfil - externa'!O152=0,0,'Perfil - interna'!O154+'Perfil - externa'!O152)</f>
        <v>5837220.4122675527</v>
      </c>
      <c r="P154" s="219">
        <f>IF('Perfil - interna'!P154+'Perfil - externa'!P152=0,0,'Perfil - interna'!P154+'Perfil - externa'!P152)</f>
        <v>5097585.0544890389</v>
      </c>
      <c r="Q154" s="219">
        <f>IF('Perfil - interna'!Q154+'Perfil - externa'!Q152=0,0,'Perfil - interna'!Q154+'Perfil - externa'!Q152)</f>
        <v>4178669.285433474</v>
      </c>
      <c r="R154" s="219">
        <f>IF('Perfil - interna'!R154+'Perfil - externa'!R152=0,0,'Perfil - interna'!R154+'Perfil - externa'!R152)</f>
        <v>1639893.7904703675</v>
      </c>
      <c r="S154" s="219">
        <f>IF('Perfil - interna'!S154+'Perfil - externa'!S152=0,0,'Perfil - interna'!S154+'Perfil - externa'!S152)</f>
        <v>770452.09417062462</v>
      </c>
      <c r="T154" s="219">
        <f>IF('Perfil - interna'!T154+'Perfil - externa'!T152=0,0,'Perfil - interna'!T154+'Perfil - externa'!T152)</f>
        <v>531708.54124652699</v>
      </c>
      <c r="U154" s="219">
        <f>IF('Perfil - interna'!U154+'Perfil - externa'!U152=0,0,'Perfil - interna'!U154+'Perfil - externa'!U152)</f>
        <v>491898.14422434574</v>
      </c>
      <c r="V154" s="219">
        <f>IF('Perfil - interna'!V154+'Perfil - externa'!V152=0,0,'Perfil - interna'!V154+'Perfil - externa'!V152)</f>
        <v>2908433.1830962421</v>
      </c>
      <c r="W154" s="219">
        <f>IF('Perfil - interna'!W154+'Perfil - externa'!W152=0,0,'Perfil - interna'!W154+'Perfil - externa'!W152)</f>
        <v>368803.76140943303</v>
      </c>
      <c r="X154" s="219">
        <f>IF('Perfil - interna'!X154+'Perfil - externa'!X152=0,0,'Perfil - interna'!X154+'Perfil - externa'!X152)</f>
        <v>237863.18145902612</v>
      </c>
      <c r="Y154" s="219">
        <f>IF('Perfil - interna'!Y154+'Perfil - externa'!Y152=0,0,'Perfil - interna'!Y154+'Perfil - externa'!Y152)</f>
        <v>236608.52256763619</v>
      </c>
      <c r="Z154" s="219">
        <f>IF('Perfil - interna'!Z154+'Perfil - externa'!Z152=0,0,'Perfil - interna'!Z154+'Perfil - externa'!Z152)</f>
        <v>1327349.313801582</v>
      </c>
      <c r="AA154" s="219">
        <f>IF('Perfil - interna'!AA154+'Perfil - externa'!AA152=0,0,'Perfil - interna'!AA154+'Perfil - externa'!AA152)</f>
        <v>59160.35356928761</v>
      </c>
      <c r="AB154" s="219">
        <f>IF('Perfil - interna'!AB154+'Perfil - externa'!AB152=0,0,'Perfil - interna'!AB154+'Perfil - externa'!AB152)</f>
        <v>49447.2447280872</v>
      </c>
      <c r="AC154" s="219">
        <f>IF('Perfil - interna'!AC154+'Perfil - externa'!AC152=0,0,'Perfil - interna'!AC154+'Perfil - externa'!AC152)</f>
        <v>515613.37175565865</v>
      </c>
      <c r="AD154" s="219">
        <f>IF('Perfil - interna'!AD154+'Perfil - externa'!AD152=0,0,'Perfil - interna'!AD154+'Perfil - externa'!AD152)</f>
        <v>47088.714521591406</v>
      </c>
      <c r="AE154" s="219">
        <f>IF('Perfil - interna'!AE154+'Perfil - externa'!AE152=0,0,'Perfil - interna'!AE154+'Perfil - externa'!AE152)</f>
        <v>17185.195226609401</v>
      </c>
      <c r="AF154" s="219">
        <f>IF('Perfil - interna'!AF154+'Perfil - externa'!AF152=0,0,'Perfil - interna'!AF154+'Perfil - externa'!AF152)</f>
        <v>6470.4833746836002</v>
      </c>
      <c r="AG154" s="219">
        <f>IF('Perfil - interna'!AG154+'Perfil - externa'!AG152=0,0,'Perfil - interna'!AG154+'Perfil - externa'!AG152)</f>
        <v>6470.4833746836002</v>
      </c>
      <c r="AH154" s="219">
        <f>IF('Perfil - interna'!AH154+'Perfil - externa'!AH152=0,0,'Perfil - interna'!AH154+'Perfil - externa'!AH152)</f>
        <v>5576.7256931009997</v>
      </c>
      <c r="AI154" s="219">
        <f>IF('Perfil - interna'!AI154+'Perfil - externa'!AI152=0,0,'Perfil - interna'!AI154+'Perfil - externa'!AI152)</f>
        <v>1481170.675693101</v>
      </c>
      <c r="AJ154" s="219">
        <f>IF('Perfil - interna'!AJ154+'Perfil - externa'!AJ152=0,0,'Perfil - interna'!AJ154+'Perfil - externa'!AJ152)</f>
        <v>5576.7256931009997</v>
      </c>
      <c r="AK154" s="219">
        <f>IF('Perfil - interna'!AK154+'Perfil - externa'!AK152=0,0,'Perfil - interna'!AK154+'Perfil - externa'!AK152)</f>
        <v>172.60940322299999</v>
      </c>
      <c r="AL154" s="219">
        <f>IF('Perfil - interna'!AL154+'Perfil - externa'!AL152=0,0,'Perfil - interna'!AL154+'Perfil - externa'!AL152)</f>
        <v>0</v>
      </c>
      <c r="AM154" s="219">
        <f>IF('Perfil - interna'!AM154+'Perfil - externa'!AM152=0,0,'Perfil - interna'!AM154+'Perfil - externa'!AM152)</f>
        <v>0</v>
      </c>
      <c r="AN154" s="219">
        <f>IF('Perfil - interna'!AN154+'Perfil - externa'!AN152=0,0,'Perfil - interna'!AN154+'Perfil - externa'!AN152)</f>
        <v>0</v>
      </c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</row>
    <row r="155" spans="1:63">
      <c r="A155" s="170">
        <v>38411</v>
      </c>
      <c r="B155" s="220" t="str">
        <f>Servicio_internaColumna_título_intereses</f>
        <v>Intereses</v>
      </c>
      <c r="C155" s="221"/>
      <c r="D155" s="222"/>
      <c r="E155" s="222"/>
      <c r="F155" s="222">
        <f>IF('Perfil - interna'!F155+'Perfil - externa'!F153=0,0,'Perfil - interna'!F155+'Perfil - externa'!F153)</f>
        <v>0</v>
      </c>
      <c r="G155" s="222">
        <f>IF('Perfil - interna'!G155+'Perfil - externa'!G153=0,0,'Perfil - interna'!G155+'Perfil - externa'!G153)</f>
        <v>10690498.598537356</v>
      </c>
      <c r="H155" s="222">
        <f>IF('Perfil - interna'!H155+'Perfil - externa'!H153=0,0,'Perfil - interna'!H155+'Perfil - externa'!H153)</f>
        <v>10613724.852815825</v>
      </c>
      <c r="I155" s="222">
        <f>IF('Perfil - interna'!I155+'Perfil - externa'!I153=0,0,'Perfil - interna'!I155+'Perfil - externa'!I153)</f>
        <v>9201286.4528475683</v>
      </c>
      <c r="J155" s="222">
        <f>IF('Perfil - interna'!J155+'Perfil - externa'!J153=0,0,'Perfil - interna'!J155+'Perfil - externa'!J153)</f>
        <v>7358570.2223189194</v>
      </c>
      <c r="K155" s="222">
        <f>IF('Perfil - interna'!K155+'Perfil - externa'!K153=0,0,'Perfil - interna'!K155+'Perfil - externa'!K153)</f>
        <v>5991634.2180872597</v>
      </c>
      <c r="L155" s="222">
        <f>IF('Perfil - interna'!L155+'Perfil - externa'!L153=0,0,'Perfil - interna'!L155+'Perfil - externa'!L153)</f>
        <v>5134877.6228342485</v>
      </c>
      <c r="M155" s="222">
        <f>IF('Perfil - interna'!M155+'Perfil - externa'!M153=0,0,'Perfil - interna'!M155+'Perfil - externa'!M153)</f>
        <v>4172912.137311521</v>
      </c>
      <c r="N155" s="222">
        <f>IF('Perfil - interna'!N155+'Perfil - externa'!N153=0,0,'Perfil - interna'!N155+'Perfil - externa'!N153)</f>
        <v>3370975.8023500657</v>
      </c>
      <c r="O155" s="222">
        <f>IF('Perfil - interna'!O155+'Perfil - externa'!O153=0,0,'Perfil - interna'!O155+'Perfil - externa'!O153)</f>
        <v>2003523.5734564629</v>
      </c>
      <c r="P155" s="222">
        <f>IF('Perfil - interna'!P155+'Perfil - externa'!P153=0,0,'Perfil - interna'!P155+'Perfil - externa'!P153)</f>
        <v>1580909.3809724615</v>
      </c>
      <c r="Q155" s="222">
        <f>IF('Perfil - interna'!Q155+'Perfil - externa'!Q153=0,0,'Perfil - interna'!Q155+'Perfil - externa'!Q153)</f>
        <v>1188268.8542686752</v>
      </c>
      <c r="R155" s="222">
        <f>IF('Perfil - interna'!R155+'Perfil - externa'!R153=0,0,'Perfil - interna'!R155+'Perfil - externa'!R153)</f>
        <v>821908.30061959999</v>
      </c>
      <c r="S155" s="222">
        <f>IF('Perfil - interna'!S155+'Perfil - externa'!S153=0,0,'Perfil - interna'!S155+'Perfil - externa'!S153)</f>
        <v>743513.93384547113</v>
      </c>
      <c r="T155" s="222">
        <f>IF('Perfil - interna'!T155+'Perfil - externa'!T153=0,0,'Perfil - interna'!T155+'Perfil - externa'!T153)</f>
        <v>705723.76573806407</v>
      </c>
      <c r="U155" s="222">
        <f>IF('Perfil - interna'!U155+'Perfil - externa'!U153=0,0,'Perfil - interna'!U155+'Perfil - externa'!U153)</f>
        <v>680033.18949358491</v>
      </c>
      <c r="V155" s="222">
        <f>IF('Perfil - interna'!V155+'Perfil - externa'!V153=0,0,'Perfil - interna'!V155+'Perfil - externa'!V153)</f>
        <v>508412.36812906619</v>
      </c>
      <c r="W155" s="222">
        <f>IF('Perfil - interna'!W155+'Perfil - externa'!W153=0,0,'Perfil - interna'!W155+'Perfil - externa'!W153)</f>
        <v>341480.9034472137</v>
      </c>
      <c r="X155" s="222">
        <f>IF('Perfil - interna'!X155+'Perfil - externa'!X153=0,0,'Perfil - interna'!X155+'Perfil - externa'!X153)</f>
        <v>324855.20929481433</v>
      </c>
      <c r="Y155" s="222">
        <f>IF('Perfil - interna'!Y155+'Perfil - externa'!Y153=0,0,'Perfil - interna'!Y155+'Perfil - externa'!Y153)</f>
        <v>313595.30591196148</v>
      </c>
      <c r="Z155" s="222">
        <f>IF('Perfil - interna'!Z155+'Perfil - externa'!Z153=0,0,'Perfil - interna'!Z155+'Perfil - externa'!Z153)</f>
        <v>255968.65420644148</v>
      </c>
      <c r="AA155" s="222">
        <f>IF('Perfil - interna'!AA155+'Perfil - externa'!AA153=0,0,'Perfil - interna'!AA155+'Perfil - externa'!AA153)</f>
        <v>202525.68340798619</v>
      </c>
      <c r="AB155" s="222">
        <f>IF('Perfil - interna'!AB155+'Perfil - externa'!AB153=0,0,'Perfil - interna'!AB155+'Perfil - externa'!AB153)</f>
        <v>200101.42264822946</v>
      </c>
      <c r="AC155" s="222">
        <f>IF('Perfil - interna'!AC155+'Perfil - externa'!AC153=0,0,'Perfil - interna'!AC155+'Perfil - externa'!AC153)</f>
        <v>178331.0436052263</v>
      </c>
      <c r="AD155" s="222">
        <f>IF('Perfil - interna'!AD155+'Perfil - externa'!AD153=0,0,'Perfil - interna'!AD155+'Perfil - externa'!AD153)</f>
        <v>155629.01265202111</v>
      </c>
      <c r="AE155" s="222">
        <f>IF('Perfil - interna'!AE155+'Perfil - externa'!AE153=0,0,'Perfil - interna'!AE155+'Perfil - externa'!AE153)</f>
        <v>153400.31456603939</v>
      </c>
      <c r="AF155" s="222">
        <f>IF('Perfil - interna'!AF155+'Perfil - externa'!AF153=0,0,'Perfil - interna'!AF155+'Perfil - externa'!AF153)</f>
        <v>153104.44905578755</v>
      </c>
      <c r="AG155" s="222">
        <f>IF('Perfil - interna'!AG155+'Perfil - externa'!AG153=0,0,'Perfil - interna'!AG155+'Perfil - externa'!AG153)</f>
        <v>153103.15443704516</v>
      </c>
      <c r="AH155" s="222">
        <f>IF('Perfil - interna'!AH155+'Perfil - externa'!AH153=0,0,'Perfil - interna'!AH155+'Perfil - externa'!AH153)</f>
        <v>153101.85988801587</v>
      </c>
      <c r="AI155" s="222">
        <f>IF('Perfil - interna'!AI155+'Perfil - externa'!AI153=0,0,'Perfil - interna'!AI155+'Perfil - externa'!AI153)</f>
        <v>76554.129159498902</v>
      </c>
      <c r="AJ155" s="222">
        <f>IF('Perfil - interna'!AJ155+'Perfil - externa'!AJ153=0,0,'Perfil - interna'!AJ155+'Perfil - externa'!AJ153)</f>
        <v>2.9127759818999999</v>
      </c>
      <c r="AK155" s="222">
        <f>IF('Perfil - interna'!AK155+'Perfil - externa'!AK153=0,0,'Perfil - interna'!AK155+'Perfil - externa'!AK153)</f>
        <v>1.6182037148999999</v>
      </c>
      <c r="AL155" s="222">
        <f>IF('Perfil - interna'!AL155+'Perfil - externa'!AL153=0,0,'Perfil - interna'!AL155+'Perfil - externa'!AL153)</f>
        <v>0</v>
      </c>
      <c r="AM155" s="222">
        <f>IF('Perfil - interna'!AM155+'Perfil - externa'!AM153=0,0,'Perfil - interna'!AM155+'Perfil - externa'!AM153)</f>
        <v>0</v>
      </c>
      <c r="AN155" s="222">
        <f>IF('Perfil - interna'!AN155+'Perfil - externa'!AN153=0,0,'Perfil - interna'!AN155+'Perfil - externa'!AN153)</f>
        <v>0</v>
      </c>
      <c r="AO155" s="222"/>
      <c r="AP155" s="222"/>
      <c r="AQ155" s="222"/>
      <c r="AR155" s="222"/>
      <c r="AS155" s="222"/>
      <c r="AT155" s="222"/>
      <c r="AU155" s="222"/>
      <c r="AV155" s="222"/>
      <c r="AW155" s="222"/>
      <c r="AX155" s="222"/>
      <c r="AY155" s="222"/>
      <c r="AZ155" s="222"/>
      <c r="BA155" s="222"/>
      <c r="BB155" s="222"/>
      <c r="BC155" s="222"/>
      <c r="BD155" s="222"/>
      <c r="BE155" s="222"/>
      <c r="BF155" s="222"/>
      <c r="BG155" s="222"/>
      <c r="BH155" s="222"/>
      <c r="BI155" s="222"/>
      <c r="BJ155" s="222"/>
      <c r="BK155" s="222"/>
    </row>
    <row r="156" spans="1:63">
      <c r="A156" s="171"/>
      <c r="B156" s="318" t="str">
        <f>Servicio_internaColumna_título_total</f>
        <v>Total</v>
      </c>
      <c r="C156" s="319"/>
      <c r="D156" s="320"/>
      <c r="E156" s="320"/>
      <c r="F156" s="320">
        <f>IF('Perfil - interna'!F156+'Perfil - externa'!F154=0,0,'Perfil - interna'!F156+'Perfil - externa'!F154)</f>
        <v>0</v>
      </c>
      <c r="G156" s="320">
        <f>IF('Perfil - interna'!G156+'Perfil - externa'!G154=0,0,'Perfil - interna'!G156+'Perfil - externa'!G154)</f>
        <v>26148580.551054198</v>
      </c>
      <c r="H156" s="320">
        <f>IF('Perfil - interna'!H156+'Perfil - externa'!H154=0,0,'Perfil - interna'!H156+'Perfil - externa'!H154)</f>
        <v>24426726.918059796</v>
      </c>
      <c r="I156" s="320">
        <f>IF('Perfil - interna'!I156+'Perfil - externa'!I154=0,0,'Perfil - interna'!I156+'Perfil - externa'!I154)</f>
        <v>28036396.502148822</v>
      </c>
      <c r="J156" s="320">
        <f>IF('Perfil - interna'!J156+'Perfil - externa'!J154=0,0,'Perfil - interna'!J156+'Perfil - externa'!J154)</f>
        <v>21071224.219313249</v>
      </c>
      <c r="K156" s="320">
        <f>IF('Perfil - interna'!K156+'Perfil - externa'!K154=0,0,'Perfil - interna'!K156+'Perfil - externa'!K154)</f>
        <v>15642363.365270343</v>
      </c>
      <c r="L156" s="320">
        <f>IF('Perfil - interna'!L156+'Perfil - externa'!L154=0,0,'Perfil - interna'!L156+'Perfil - externa'!L154)</f>
        <v>15749974.677824222</v>
      </c>
      <c r="M156" s="320">
        <f>IF('Perfil - interna'!M156+'Perfil - externa'!M154=0,0,'Perfil - interna'!M156+'Perfil - externa'!M154)</f>
        <v>12277506.525624603</v>
      </c>
      <c r="N156" s="320">
        <f>IF('Perfil - interna'!N156+'Perfil - externa'!N154=0,0,'Perfil - interna'!N156+'Perfil - externa'!N154)</f>
        <v>16300052.471543707</v>
      </c>
      <c r="O156" s="320">
        <f>IF('Perfil - interna'!O156+'Perfil - externa'!O154=0,0,'Perfil - interna'!O156+'Perfil - externa'!O154)</f>
        <v>7840743.9857240152</v>
      </c>
      <c r="P156" s="320">
        <f>IF('Perfil - interna'!P156+'Perfil - externa'!P154=0,0,'Perfil - interna'!P156+'Perfil - externa'!P154)</f>
        <v>6678494.4354615007</v>
      </c>
      <c r="Q156" s="320">
        <f>IF('Perfil - interna'!Q156+'Perfil - externa'!Q154=0,0,'Perfil - interna'!Q156+'Perfil - externa'!Q154)</f>
        <v>5366938.1397021487</v>
      </c>
      <c r="R156" s="320">
        <f>IF('Perfil - interna'!R156+'Perfil - externa'!R154=0,0,'Perfil - interna'!R156+'Perfil - externa'!R154)</f>
        <v>2461802.0910899676</v>
      </c>
      <c r="S156" s="320">
        <f>IF('Perfil - interna'!S156+'Perfil - externa'!S154=0,0,'Perfil - interna'!S156+'Perfil - externa'!S154)</f>
        <v>1513966.0280160957</v>
      </c>
      <c r="T156" s="320">
        <f>IF('Perfil - interna'!T156+'Perfil - externa'!T154=0,0,'Perfil - interna'!T156+'Perfil - externa'!T154)</f>
        <v>1237432.3069845911</v>
      </c>
      <c r="U156" s="320">
        <f>IF('Perfil - interna'!U156+'Perfil - externa'!U154=0,0,'Perfil - interna'!U156+'Perfil - externa'!U154)</f>
        <v>1171931.3337179306</v>
      </c>
      <c r="V156" s="320">
        <f>IF('Perfil - interna'!V156+'Perfil - externa'!V154=0,0,'Perfil - interna'!V156+'Perfil - externa'!V154)</f>
        <v>3416845.5512253083</v>
      </c>
      <c r="W156" s="320">
        <f>IF('Perfil - interna'!W156+'Perfil - externa'!W154=0,0,'Perfil - interna'!W156+'Perfil - externa'!W154)</f>
        <v>710284.66485664668</v>
      </c>
      <c r="X156" s="320">
        <f>IF('Perfil - interna'!X156+'Perfil - externa'!X154=0,0,'Perfil - interna'!X156+'Perfil - externa'!X154)</f>
        <v>562718.39075384045</v>
      </c>
      <c r="Y156" s="320">
        <f>IF('Perfil - interna'!Y156+'Perfil - externa'!Y154=0,0,'Perfil - interna'!Y156+'Perfil - externa'!Y154)</f>
        <v>550203.82847959769</v>
      </c>
      <c r="Z156" s="320">
        <f>IF('Perfil - interna'!Z156+'Perfil - externa'!Z154=0,0,'Perfil - interna'!Z156+'Perfil - externa'!Z154)</f>
        <v>1583317.9680080235</v>
      </c>
      <c r="AA156" s="320">
        <f>IF('Perfil - interna'!AA156+'Perfil - externa'!AA154=0,0,'Perfil - interna'!AA156+'Perfil - externa'!AA154)</f>
        <v>261686.03697727379</v>
      </c>
      <c r="AB156" s="320">
        <f>IF('Perfil - interna'!AB156+'Perfil - externa'!AB154=0,0,'Perfil - interna'!AB156+'Perfil - externa'!AB154)</f>
        <v>249548.66737631668</v>
      </c>
      <c r="AC156" s="320">
        <f>IF('Perfil - interna'!AC156+'Perfil - externa'!AC154=0,0,'Perfil - interna'!AC156+'Perfil - externa'!AC154)</f>
        <v>693944.41536088497</v>
      </c>
      <c r="AD156" s="320">
        <f>IF('Perfil - interna'!AD156+'Perfil - externa'!AD154=0,0,'Perfil - interna'!AD156+'Perfil - externa'!AD154)</f>
        <v>202717.72717361251</v>
      </c>
      <c r="AE156" s="320">
        <f>IF('Perfil - interna'!AE156+'Perfil - externa'!AE154=0,0,'Perfil - interna'!AE156+'Perfil - externa'!AE154)</f>
        <v>170585.50979264878</v>
      </c>
      <c r="AF156" s="320">
        <f>IF('Perfil - interna'!AF156+'Perfil - externa'!AF154=0,0,'Perfil - interna'!AF156+'Perfil - externa'!AF154)</f>
        <v>159574.93243047115</v>
      </c>
      <c r="AG156" s="320">
        <f>IF('Perfil - interna'!AG156+'Perfil - externa'!AG154=0,0,'Perfil - interna'!AG156+'Perfil - externa'!AG154)</f>
        <v>159573.63781172875</v>
      </c>
      <c r="AH156" s="320">
        <f>IF('Perfil - interna'!AH156+'Perfil - externa'!AH154=0,0,'Perfil - interna'!AH156+'Perfil - externa'!AH154)</f>
        <v>158678.58558111687</v>
      </c>
      <c r="AI156" s="320">
        <f>IF('Perfil - interna'!AI156+'Perfil - externa'!AI154=0,0,'Perfil - interna'!AI156+'Perfil - externa'!AI154)</f>
        <v>1557724.8048526</v>
      </c>
      <c r="AJ156" s="320">
        <f>IF('Perfil - interna'!AJ156+'Perfil - externa'!AJ154=0,0,'Perfil - interna'!AJ156+'Perfil - externa'!AJ154)</f>
        <v>5579.6384690829</v>
      </c>
      <c r="AK156" s="320">
        <f>IF('Perfil - interna'!AK156+'Perfil - externa'!AK154=0,0,'Perfil - interna'!AK156+'Perfil - externa'!AK154)</f>
        <v>174.22760693789999</v>
      </c>
      <c r="AL156" s="320">
        <f>IF('Perfil - interna'!AL156+'Perfil - externa'!AL154=0,0,'Perfil - interna'!AL156+'Perfil - externa'!AL154)</f>
        <v>0</v>
      </c>
      <c r="AM156" s="320">
        <f>IF('Perfil - interna'!AM156+'Perfil - externa'!AM154=0,0,'Perfil - interna'!AM156+'Perfil - externa'!AM154)</f>
        <v>0</v>
      </c>
      <c r="AN156" s="320">
        <f>IF('Perfil - interna'!AN156+'Perfil - externa'!AN154=0,0,'Perfil - interna'!AN156+'Perfil - externa'!AN154)</f>
        <v>0</v>
      </c>
      <c r="AO156" s="320"/>
      <c r="AP156" s="320"/>
      <c r="AQ156" s="320"/>
      <c r="AR156" s="320"/>
      <c r="AS156" s="320"/>
      <c r="AT156" s="320"/>
      <c r="AU156" s="320"/>
      <c r="AV156" s="320"/>
      <c r="AW156" s="320"/>
      <c r="AX156" s="320"/>
      <c r="AY156" s="320"/>
      <c r="AZ156" s="320"/>
      <c r="BA156" s="320"/>
      <c r="BB156" s="320"/>
      <c r="BC156" s="320"/>
      <c r="BD156" s="320"/>
      <c r="BE156" s="320"/>
      <c r="BF156" s="320"/>
      <c r="BG156" s="320"/>
      <c r="BH156" s="320"/>
      <c r="BI156" s="320"/>
      <c r="BJ156" s="320"/>
      <c r="BK156" s="320"/>
    </row>
    <row r="157" spans="1:63">
      <c r="A157" s="167"/>
      <c r="B157" s="217" t="str">
        <f>Servicio_internaColumna_título_amortizaciones</f>
        <v>Amortizaciones</v>
      </c>
      <c r="C157" s="218"/>
      <c r="D157" s="219"/>
      <c r="E157" s="219"/>
      <c r="F157" s="219">
        <f>IF('Perfil - interna'!F157+'Perfil - externa'!F155=0,0,'Perfil - interna'!F157+'Perfil - externa'!F155)</f>
        <v>0</v>
      </c>
      <c r="G157" s="219">
        <f>IF('Perfil - interna'!G157+'Perfil - externa'!G155=0,0,'Perfil - interna'!G157+'Perfil - externa'!G155)</f>
        <v>15956198.162110206</v>
      </c>
      <c r="H157" s="219">
        <f>IF('Perfil - interna'!H157+'Perfil - externa'!H155=0,0,'Perfil - interna'!H157+'Perfil - externa'!H155)</f>
        <v>14296785.323650075</v>
      </c>
      <c r="I157" s="219">
        <f>IF('Perfil - interna'!I157+'Perfil - externa'!I155=0,0,'Perfil - interna'!I157+'Perfil - externa'!I155)</f>
        <v>18019576.193098709</v>
      </c>
      <c r="J157" s="219">
        <f>IF('Perfil - interna'!J157+'Perfil - externa'!J155=0,0,'Perfil - interna'!J157+'Perfil - externa'!J155)</f>
        <v>13287331.730478449</v>
      </c>
      <c r="K157" s="219">
        <f>IF('Perfil - interna'!K157+'Perfil - externa'!K155=0,0,'Perfil - interna'!K157+'Perfil - externa'!K155)</f>
        <v>11034276.949345959</v>
      </c>
      <c r="L157" s="219">
        <f>IF('Perfil - interna'!L157+'Perfil - externa'!L155=0,0,'Perfil - interna'!L157+'Perfil - externa'!L155)</f>
        <v>11319182.488823593</v>
      </c>
      <c r="M157" s="219">
        <f>IF('Perfil - interna'!M157+'Perfil - externa'!M155=0,0,'Perfil - interna'!M157+'Perfil - externa'!M155)</f>
        <v>8350004.805565225</v>
      </c>
      <c r="N157" s="219">
        <f>IF('Perfil - interna'!N157+'Perfil - externa'!N155=0,0,'Perfil - interna'!N157+'Perfil - externa'!N155)</f>
        <v>13115433.552644737</v>
      </c>
      <c r="O157" s="219">
        <f>IF('Perfil - interna'!O157+'Perfil - externa'!O155=0,0,'Perfil - interna'!O157+'Perfil - externa'!O155)</f>
        <v>5975029.1877156869</v>
      </c>
      <c r="P157" s="219">
        <f>IF('Perfil - interna'!P157+'Perfil - externa'!P155=0,0,'Perfil - interna'!P157+'Perfil - externa'!P155)</f>
        <v>5656788.8421729933</v>
      </c>
      <c r="Q157" s="219">
        <f>IF('Perfil - interna'!Q157+'Perfil - externa'!Q155=0,0,'Perfil - interna'!Q157+'Perfil - externa'!Q155)</f>
        <v>4340898.0189088304</v>
      </c>
      <c r="R157" s="219">
        <f>IF('Perfil - interna'!R157+'Perfil - externa'!R155=0,0,'Perfil - interna'!R157+'Perfil - externa'!R155)</f>
        <v>1695525.8055976802</v>
      </c>
      <c r="S157" s="219">
        <f>IF('Perfil - interna'!S157+'Perfil - externa'!S155=0,0,'Perfil - interna'!S157+'Perfil - externa'!S155)</f>
        <v>792653.64778852335</v>
      </c>
      <c r="T157" s="219">
        <f>IF('Perfil - interna'!T157+'Perfil - externa'!T155=0,0,'Perfil - interna'!T157+'Perfil - externa'!T155)</f>
        <v>544038.78254968324</v>
      </c>
      <c r="U157" s="219">
        <f>IF('Perfil - interna'!U157+'Perfil - externa'!U155=0,0,'Perfil - interna'!U157+'Perfil - externa'!U155)</f>
        <v>503011.73438390874</v>
      </c>
      <c r="V157" s="219">
        <f>IF('Perfil - interna'!V157+'Perfil - externa'!V155=0,0,'Perfil - interna'!V157+'Perfil - externa'!V155)</f>
        <v>2974355.6171724959</v>
      </c>
      <c r="W157" s="219">
        <f>IF('Perfil - interna'!W157+'Perfil - externa'!W155=0,0,'Perfil - interna'!W157+'Perfil - externa'!W155)</f>
        <v>377115.99496183667</v>
      </c>
      <c r="X157" s="219">
        <f>IF('Perfil - interna'!X157+'Perfil - externa'!X155=0,0,'Perfil - interna'!X157+'Perfil - externa'!X155)</f>
        <v>243254.83377931206</v>
      </c>
      <c r="Y157" s="219">
        <f>IF('Perfil - interna'!Y157+'Perfil - externa'!Y155=0,0,'Perfil - interna'!Y157+'Perfil - externa'!Y155)</f>
        <v>241978.22185144323</v>
      </c>
      <c r="Z157" s="219">
        <f>IF('Perfil - interna'!Z157+'Perfil - externa'!Z155=0,0,'Perfil - interna'!Z157+'Perfil - externa'!Z155)</f>
        <v>1357460.2512913824</v>
      </c>
      <c r="AA157" s="219">
        <f>IF('Perfil - interna'!AA157+'Perfil - externa'!AA155=0,0,'Perfil - interna'!AA157+'Perfil - externa'!AA155)</f>
        <v>60505.001755996804</v>
      </c>
      <c r="AB157" s="219">
        <f>IF('Perfil - interna'!AB157+'Perfil - externa'!AB155=0,0,'Perfil - interna'!AB157+'Perfil - externa'!AB155)</f>
        <v>50571.570780067188</v>
      </c>
      <c r="AC157" s="219">
        <f>IF('Perfil - interna'!AC157+'Perfil - externa'!AC155=0,0,'Perfil - interna'!AC157+'Perfil - externa'!AC155)</f>
        <v>527311.72903948312</v>
      </c>
      <c r="AD157" s="219">
        <f>IF('Perfil - interna'!AD157+'Perfil - externa'!AD155=0,0,'Perfil - interna'!AD157+'Perfil - externa'!AD155)</f>
        <v>48159.542108927999</v>
      </c>
      <c r="AE157" s="219">
        <f>IF('Perfil - interna'!AE157+'Perfil - externa'!AE155=0,0,'Perfil - interna'!AE157+'Perfil - externa'!AE155)</f>
        <v>17577.722249759998</v>
      </c>
      <c r="AF157" s="219">
        <f>IF('Perfil - interna'!AF157+'Perfil - externa'!AF155=0,0,'Perfil - interna'!AF157+'Perfil - externa'!AF155)</f>
        <v>6619.9689343007994</v>
      </c>
      <c r="AG157" s="219">
        <f>IF('Perfil - interna'!AG157+'Perfil - externa'!AG155=0,0,'Perfil - interna'!AG157+'Perfil - externa'!AG155)</f>
        <v>6619.9689343007994</v>
      </c>
      <c r="AH157" s="219">
        <f>IF('Perfil - interna'!AH157+'Perfil - externa'!AH155=0,0,'Perfil - interna'!AH157+'Perfil - externa'!AH155)</f>
        <v>5705.9381760383994</v>
      </c>
      <c r="AI157" s="219">
        <f>IF('Perfil - interna'!AI157+'Perfil - externa'!AI155=0,0,'Perfil - interna'!AI157+'Perfil - externa'!AI155)</f>
        <v>1514770.7381760385</v>
      </c>
      <c r="AJ157" s="219">
        <f>IF('Perfil - interna'!AJ157+'Perfil - externa'!AJ155=0,0,'Perfil - interna'!AJ157+'Perfil - externa'!AJ155)</f>
        <v>5705.9381760383994</v>
      </c>
      <c r="AK157" s="219">
        <f>IF('Perfil - interna'!AK157+'Perfil - externa'!AK155=0,0,'Perfil - interna'!AK157+'Perfil - externa'!AK155)</f>
        <v>89.620245283199992</v>
      </c>
      <c r="AL157" s="219">
        <f>IF('Perfil - interna'!AL157+'Perfil - externa'!AL155=0,0,'Perfil - interna'!AL157+'Perfil - externa'!AL155)</f>
        <v>0</v>
      </c>
      <c r="AM157" s="219">
        <f>IF('Perfil - interna'!AM157+'Perfil - externa'!AM155=0,0,'Perfil - interna'!AM157+'Perfil - externa'!AM155)</f>
        <v>0</v>
      </c>
      <c r="AN157" s="219">
        <f>IF('Perfil - interna'!AN157+'Perfil - externa'!AN155=0,0,'Perfil - interna'!AN157+'Perfil - externa'!AN155)</f>
        <v>0</v>
      </c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</row>
    <row r="158" spans="1:63">
      <c r="A158" s="170">
        <v>38442</v>
      </c>
      <c r="B158" s="220" t="str">
        <f>Servicio_internaColumna_título_intereses</f>
        <v>Intereses</v>
      </c>
      <c r="C158" s="221"/>
      <c r="D158" s="222"/>
      <c r="E158" s="222"/>
      <c r="F158" s="222">
        <f>IF('Perfil - interna'!F158+'Perfil - externa'!F156=0,0,'Perfil - interna'!F158+'Perfil - externa'!F156)</f>
        <v>0</v>
      </c>
      <c r="G158" s="222">
        <f>IF('Perfil - interna'!G158+'Perfil - externa'!G156=0,0,'Perfil - interna'!G158+'Perfil - externa'!G156)</f>
        <v>10587643.228939155</v>
      </c>
      <c r="H158" s="222">
        <f>IF('Perfil - interna'!H158+'Perfil - externa'!H156=0,0,'Perfil - interna'!H158+'Perfil - externa'!H156)</f>
        <v>10918240.697673488</v>
      </c>
      <c r="I158" s="222">
        <f>IF('Perfil - interna'!I158+'Perfil - externa'!I156=0,0,'Perfil - interna'!I158+'Perfil - externa'!I156)</f>
        <v>9552986.3221632671</v>
      </c>
      <c r="J158" s="222">
        <f>IF('Perfil - interna'!J158+'Perfil - externa'!J156=0,0,'Perfil - interna'!J158+'Perfil - externa'!J156)</f>
        <v>7767427.3587635178</v>
      </c>
      <c r="K158" s="222">
        <f>IF('Perfil - interna'!K158+'Perfil - externa'!K156=0,0,'Perfil - interna'!K158+'Perfil - externa'!K156)</f>
        <v>6337231.9525417238</v>
      </c>
      <c r="L158" s="222">
        <f>IF('Perfil - interna'!L158+'Perfil - externa'!L156=0,0,'Perfil - interna'!L158+'Perfil - externa'!L156)</f>
        <v>5357690.9518262902</v>
      </c>
      <c r="M158" s="222">
        <f>IF('Perfil - interna'!M158+'Perfil - externa'!M156=0,0,'Perfil - interna'!M158+'Perfil - externa'!M156)</f>
        <v>4314803.1497434024</v>
      </c>
      <c r="N158" s="222">
        <f>IF('Perfil - interna'!N158+'Perfil - externa'!N156=0,0,'Perfil - interna'!N158+'Perfil - externa'!N156)</f>
        <v>3488797.9790234091</v>
      </c>
      <c r="O158" s="222">
        <f>IF('Perfil - interna'!O158+'Perfil - externa'!O156=0,0,'Perfil - interna'!O158+'Perfil - externa'!O156)</f>
        <v>2106954.2478705347</v>
      </c>
      <c r="P158" s="222">
        <f>IF('Perfil - interna'!P158+'Perfil - externa'!P156=0,0,'Perfil - interna'!P158+'Perfil - externa'!P156)</f>
        <v>1675625.1162018711</v>
      </c>
      <c r="Q158" s="222">
        <f>IF('Perfil - interna'!Q158+'Perfil - externa'!Q156=0,0,'Perfil - interna'!Q158+'Perfil - externa'!Q156)</f>
        <v>1216582.6476567085</v>
      </c>
      <c r="R158" s="222">
        <f>IF('Perfil - interna'!R158+'Perfil - externa'!R156=0,0,'Perfil - interna'!R158+'Perfil - externa'!R156)</f>
        <v>841977.03428459994</v>
      </c>
      <c r="S158" s="222">
        <f>IF('Perfil - interna'!S158+'Perfil - externa'!S156=0,0,'Perfil - interna'!S158+'Perfil - externa'!S156)</f>
        <v>760583.68668116152</v>
      </c>
      <c r="T158" s="222">
        <f>IF('Perfil - interna'!T158+'Perfil - externa'!T156=0,0,'Perfil - interna'!T158+'Perfil - externa'!T156)</f>
        <v>721732.63531175023</v>
      </c>
      <c r="U158" s="222">
        <f>IF('Perfil - interna'!U158+'Perfil - externa'!U156=0,0,'Perfil - interna'!U158+'Perfil - externa'!U156)</f>
        <v>695456.70471542398</v>
      </c>
      <c r="V158" s="222">
        <f>IF('Perfil - interna'!V158+'Perfil - externa'!V156=0,0,'Perfil - interna'!V158+'Perfil - externa'!V156)</f>
        <v>519943.59548334242</v>
      </c>
      <c r="W158" s="222">
        <f>IF('Perfil - interna'!W158+'Perfil - externa'!W156=0,0,'Perfil - interna'!W158+'Perfil - externa'!W156)</f>
        <v>349226.31778410723</v>
      </c>
      <c r="X158" s="222">
        <f>IF('Perfil - interna'!X158+'Perfil - externa'!X156=0,0,'Perfil - interna'!X158+'Perfil - externa'!X156)</f>
        <v>332224.11537197762</v>
      </c>
      <c r="Y158" s="222">
        <f>IF('Perfil - interna'!Y158+'Perfil - externa'!Y156=0,0,'Perfil - interna'!Y158+'Perfil - externa'!Y156)</f>
        <v>320708.84802360961</v>
      </c>
      <c r="Z158" s="222">
        <f>IF('Perfil - interna'!Z158+'Perfil - externa'!Z156=0,0,'Perfil - interna'!Z158+'Perfil - externa'!Z156)</f>
        <v>261775.03246869598</v>
      </c>
      <c r="AA158" s="222">
        <f>IF('Perfil - interna'!AA158+'Perfil - externa'!AA156=0,0,'Perfil - interna'!AA158+'Perfil - externa'!AA156)</f>
        <v>207119.7960724656</v>
      </c>
      <c r="AB158" s="222">
        <f>IF('Perfil - interna'!AB158+'Perfil - externa'!AB156=0,0,'Perfil - interna'!AB158+'Perfil - externa'!AB156)</f>
        <v>204640.52554137597</v>
      </c>
      <c r="AC158" s="222">
        <f>IF('Perfil - interna'!AC158+'Perfil - externa'!AC156=0,0,'Perfil - interna'!AC158+'Perfil - externa'!AC156)</f>
        <v>182376.3093259056</v>
      </c>
      <c r="AD158" s="222">
        <f>IF('Perfil - interna'!AD158+'Perfil - externa'!AD156=0,0,'Perfil - interna'!AD158+'Perfil - externa'!AD156)</f>
        <v>159159.30856998722</v>
      </c>
      <c r="AE158" s="222">
        <f>IF('Perfil - interna'!AE158+'Perfil - externa'!AE156=0,0,'Perfil - interna'!AE158+'Perfil - externa'!AE156)</f>
        <v>156880.03663073276</v>
      </c>
      <c r="AF158" s="222">
        <f>IF('Perfil - interna'!AF158+'Perfil - externa'!AF156=0,0,'Perfil - interna'!AF158+'Perfil - externa'!AF156)</f>
        <v>156577.43964621596</v>
      </c>
      <c r="AG158" s="222">
        <f>IF('Perfil - interna'!AG158+'Perfil - externa'!AG156=0,0,'Perfil - interna'!AG158+'Perfil - externa'!AG156)</f>
        <v>156576.09527147998</v>
      </c>
      <c r="AH158" s="222">
        <f>IF('Perfil - interna'!AH158+'Perfil - externa'!AH156=0,0,'Perfil - interna'!AH158+'Perfil - externa'!AH156)</f>
        <v>156574.75099180316</v>
      </c>
      <c r="AI158" s="222">
        <f>IF('Perfil - interna'!AI158+'Perfil - externa'!AI156=0,0,'Perfil - interna'!AI158+'Perfil - externa'!AI156)</f>
        <v>78290.670212126395</v>
      </c>
      <c r="AJ158" s="222">
        <f>IF('Perfil - interna'!AJ158+'Perfil - externa'!AJ156=0,0,'Perfil - interna'!AJ158+'Perfil - externa'!AJ156)</f>
        <v>3.0246649200000002</v>
      </c>
      <c r="AK158" s="222">
        <f>IF('Perfil - interna'!AK158+'Perfil - externa'!AK156=0,0,'Perfil - interna'!AK158+'Perfil - externa'!AK156)</f>
        <v>1.0082216399999999</v>
      </c>
      <c r="AL158" s="222">
        <f>IF('Perfil - interna'!AL158+'Perfil - externa'!AL156=0,0,'Perfil - interna'!AL158+'Perfil - externa'!AL156)</f>
        <v>0</v>
      </c>
      <c r="AM158" s="222">
        <f>IF('Perfil - interna'!AM158+'Perfil - externa'!AM156=0,0,'Perfil - interna'!AM158+'Perfil - externa'!AM156)</f>
        <v>0</v>
      </c>
      <c r="AN158" s="222">
        <f>IF('Perfil - interna'!AN158+'Perfil - externa'!AN156=0,0,'Perfil - interna'!AN158+'Perfil - externa'!AN156)</f>
        <v>0</v>
      </c>
      <c r="AO158" s="222"/>
      <c r="AP158" s="222"/>
      <c r="AQ158" s="222"/>
      <c r="AR158" s="222"/>
      <c r="AS158" s="222"/>
      <c r="AT158" s="222"/>
      <c r="AU158" s="222"/>
      <c r="AV158" s="222"/>
      <c r="AW158" s="222"/>
      <c r="AX158" s="222"/>
      <c r="AY158" s="222"/>
      <c r="AZ158" s="222"/>
      <c r="BA158" s="222"/>
      <c r="BB158" s="222"/>
      <c r="BC158" s="222"/>
      <c r="BD158" s="222"/>
      <c r="BE158" s="222"/>
      <c r="BF158" s="222"/>
      <c r="BG158" s="222"/>
      <c r="BH158" s="222"/>
      <c r="BI158" s="222"/>
      <c r="BJ158" s="222"/>
      <c r="BK158" s="222"/>
    </row>
    <row r="159" spans="1:63">
      <c r="A159" s="171"/>
      <c r="B159" s="318" t="str">
        <f>Servicio_internaColumna_título_total</f>
        <v>Total</v>
      </c>
      <c r="C159" s="319"/>
      <c r="D159" s="320"/>
      <c r="E159" s="320"/>
      <c r="F159" s="320">
        <f>IF('Perfil - interna'!F159+'Perfil - externa'!F157=0,0,'Perfil - interna'!F159+'Perfil - externa'!F157)</f>
        <v>0</v>
      </c>
      <c r="G159" s="320">
        <f>IF('Perfil - interna'!G159+'Perfil - externa'!G157=0,0,'Perfil - interna'!G159+'Perfil - externa'!G157)</f>
        <v>26543841.391049363</v>
      </c>
      <c r="H159" s="320">
        <f>IF('Perfil - interna'!H159+'Perfil - externa'!H157=0,0,'Perfil - interna'!H159+'Perfil - externa'!H157)</f>
        <v>25215026.021323562</v>
      </c>
      <c r="I159" s="320">
        <f>IF('Perfil - interna'!I159+'Perfil - externa'!I157=0,0,'Perfil - interna'!I159+'Perfil - externa'!I157)</f>
        <v>27572562.515261978</v>
      </c>
      <c r="J159" s="320">
        <f>IF('Perfil - interna'!J159+'Perfil - externa'!J157=0,0,'Perfil - interna'!J159+'Perfil - externa'!J157)</f>
        <v>21054759.089241967</v>
      </c>
      <c r="K159" s="320">
        <f>IF('Perfil - interna'!K159+'Perfil - externa'!K157=0,0,'Perfil - interna'!K159+'Perfil - externa'!K157)</f>
        <v>17371508.901887685</v>
      </c>
      <c r="L159" s="320">
        <f>IF('Perfil - interna'!L159+'Perfil - externa'!L157=0,0,'Perfil - interna'!L159+'Perfil - externa'!L157)</f>
        <v>16676873.440649884</v>
      </c>
      <c r="M159" s="320">
        <f>IF('Perfil - interna'!M159+'Perfil - externa'!M157=0,0,'Perfil - interna'!M159+'Perfil - externa'!M157)</f>
        <v>12664807.955308627</v>
      </c>
      <c r="N159" s="320">
        <f>IF('Perfil - interna'!N159+'Perfil - externa'!N157=0,0,'Perfil - interna'!N159+'Perfil - externa'!N157)</f>
        <v>16604231.531668147</v>
      </c>
      <c r="O159" s="320">
        <f>IF('Perfil - interna'!O159+'Perfil - externa'!O157=0,0,'Perfil - interna'!O159+'Perfil - externa'!O157)</f>
        <v>8081983.4355862215</v>
      </c>
      <c r="P159" s="320">
        <f>IF('Perfil - interna'!P159+'Perfil - externa'!P157=0,0,'Perfil - interna'!P159+'Perfil - externa'!P157)</f>
        <v>7332413.9583748654</v>
      </c>
      <c r="Q159" s="320">
        <f>IF('Perfil - interna'!Q159+'Perfil - externa'!Q157=0,0,'Perfil - interna'!Q159+'Perfil - externa'!Q157)</f>
        <v>5557480.6665655393</v>
      </c>
      <c r="R159" s="320">
        <f>IF('Perfil - interna'!R159+'Perfil - externa'!R157=0,0,'Perfil - interna'!R159+'Perfil - externa'!R157)</f>
        <v>2537502.8398822802</v>
      </c>
      <c r="S159" s="320">
        <f>IF('Perfil - interna'!S159+'Perfil - externa'!S157=0,0,'Perfil - interna'!S159+'Perfil - externa'!S157)</f>
        <v>1553237.3344696849</v>
      </c>
      <c r="T159" s="320">
        <f>IF('Perfil - interna'!T159+'Perfil - externa'!T157=0,0,'Perfil - interna'!T159+'Perfil - externa'!T157)</f>
        <v>1265771.4178614335</v>
      </c>
      <c r="U159" s="320">
        <f>IF('Perfil - interna'!U159+'Perfil - externa'!U157=0,0,'Perfil - interna'!U159+'Perfil - externa'!U157)</f>
        <v>1198468.4390993328</v>
      </c>
      <c r="V159" s="320">
        <f>IF('Perfil - interna'!V159+'Perfil - externa'!V157=0,0,'Perfil - interna'!V159+'Perfil - externa'!V157)</f>
        <v>3494299.2126558386</v>
      </c>
      <c r="W159" s="320">
        <f>IF('Perfil - interna'!W159+'Perfil - externa'!W157=0,0,'Perfil - interna'!W159+'Perfil - externa'!W157)</f>
        <v>726342.3127459439</v>
      </c>
      <c r="X159" s="320">
        <f>IF('Perfil - interna'!X159+'Perfil - externa'!X157=0,0,'Perfil - interna'!X159+'Perfil - externa'!X157)</f>
        <v>575478.94915128965</v>
      </c>
      <c r="Y159" s="320">
        <f>IF('Perfil - interna'!Y159+'Perfil - externa'!Y157=0,0,'Perfil - interna'!Y159+'Perfil - externa'!Y157)</f>
        <v>562687.0698750529</v>
      </c>
      <c r="Z159" s="320">
        <f>IF('Perfil - interna'!Z159+'Perfil - externa'!Z157=0,0,'Perfil - interna'!Z159+'Perfil - externa'!Z157)</f>
        <v>1619235.2837600783</v>
      </c>
      <c r="AA159" s="320">
        <f>IF('Perfil - interna'!AA159+'Perfil - externa'!AA157=0,0,'Perfil - interna'!AA159+'Perfil - externa'!AA157)</f>
        <v>267624.79782846238</v>
      </c>
      <c r="AB159" s="320">
        <f>IF('Perfil - interna'!AB159+'Perfil - externa'!AB157=0,0,'Perfil - interna'!AB159+'Perfil - externa'!AB157)</f>
        <v>255212.09632144315</v>
      </c>
      <c r="AC159" s="320">
        <f>IF('Perfil - interna'!AC159+'Perfil - externa'!AC157=0,0,'Perfil - interna'!AC159+'Perfil - externa'!AC157)</f>
        <v>709688.03836538875</v>
      </c>
      <c r="AD159" s="320">
        <f>IF('Perfil - interna'!AD159+'Perfil - externa'!AD157=0,0,'Perfil - interna'!AD159+'Perfil - externa'!AD157)</f>
        <v>207318.85067891522</v>
      </c>
      <c r="AE159" s="320">
        <f>IF('Perfil - interna'!AE159+'Perfil - externa'!AE157=0,0,'Perfil - interna'!AE159+'Perfil - externa'!AE157)</f>
        <v>174457.75888049277</v>
      </c>
      <c r="AF159" s="320">
        <f>IF('Perfil - interna'!AF159+'Perfil - externa'!AF157=0,0,'Perfil - interna'!AF159+'Perfil - externa'!AF157)</f>
        <v>163197.40858051676</v>
      </c>
      <c r="AG159" s="320">
        <f>IF('Perfil - interna'!AG159+'Perfil - externa'!AG157=0,0,'Perfil - interna'!AG159+'Perfil - externa'!AG157)</f>
        <v>163196.06420578077</v>
      </c>
      <c r="AH159" s="320">
        <f>IF('Perfil - interna'!AH159+'Perfil - externa'!AH157=0,0,'Perfil - interna'!AH159+'Perfil - externa'!AH157)</f>
        <v>162280.68916784157</v>
      </c>
      <c r="AI159" s="320">
        <f>IF('Perfil - interna'!AI159+'Perfil - externa'!AI157=0,0,'Perfil - interna'!AI159+'Perfil - externa'!AI157)</f>
        <v>1593061.4083881648</v>
      </c>
      <c r="AJ159" s="320">
        <f>IF('Perfil - interna'!AJ159+'Perfil - externa'!AJ157=0,0,'Perfil - interna'!AJ159+'Perfil - externa'!AJ157)</f>
        <v>5708.9628409583993</v>
      </c>
      <c r="AK159" s="320">
        <f>IF('Perfil - interna'!AK159+'Perfil - externa'!AK157=0,0,'Perfil - interna'!AK159+'Perfil - externa'!AK157)</f>
        <v>90.628466923199994</v>
      </c>
      <c r="AL159" s="320">
        <f>IF('Perfil - interna'!AL159+'Perfil - externa'!AL157=0,0,'Perfil - interna'!AL159+'Perfil - externa'!AL157)</f>
        <v>0</v>
      </c>
      <c r="AM159" s="320">
        <f>IF('Perfil - interna'!AM159+'Perfil - externa'!AM157=0,0,'Perfil - interna'!AM159+'Perfil - externa'!AM157)</f>
        <v>0</v>
      </c>
      <c r="AN159" s="320">
        <f>IF('Perfil - interna'!AN159+'Perfil - externa'!AN157=0,0,'Perfil - interna'!AN159+'Perfil - externa'!AN157)</f>
        <v>0</v>
      </c>
      <c r="AO159" s="320"/>
      <c r="AP159" s="320"/>
      <c r="AQ159" s="320"/>
      <c r="AR159" s="320"/>
      <c r="AS159" s="320"/>
      <c r="AT159" s="320"/>
      <c r="AU159" s="320"/>
      <c r="AV159" s="320"/>
      <c r="AW159" s="320"/>
      <c r="AX159" s="320"/>
      <c r="AY159" s="320"/>
      <c r="AZ159" s="320"/>
      <c r="BA159" s="320"/>
      <c r="BB159" s="320"/>
      <c r="BC159" s="320"/>
      <c r="BD159" s="320"/>
      <c r="BE159" s="320"/>
      <c r="BF159" s="320"/>
      <c r="BG159" s="320"/>
      <c r="BH159" s="320"/>
      <c r="BI159" s="320"/>
      <c r="BJ159" s="320"/>
      <c r="BK159" s="320"/>
    </row>
    <row r="160" spans="1:63">
      <c r="A160" s="167"/>
      <c r="B160" s="217" t="str">
        <f>Servicio_internaColumna_título_amortizaciones</f>
        <v>Amortizaciones</v>
      </c>
      <c r="C160" s="218"/>
      <c r="D160" s="219"/>
      <c r="E160" s="219"/>
      <c r="F160" s="219">
        <f>IF('Perfil - interna'!F160+'Perfil - externa'!F158=0,0,'Perfil - interna'!F160+'Perfil - externa'!F158)</f>
        <v>0</v>
      </c>
      <c r="G160" s="219">
        <f>IF('Perfil - interna'!G160+'Perfil - externa'!G158=0,0,'Perfil - interna'!G160+'Perfil - externa'!G158)</f>
        <v>12119898.440365296</v>
      </c>
      <c r="H160" s="219">
        <f>IF('Perfil - interna'!H160+'Perfil - externa'!H158=0,0,'Perfil - interna'!H160+'Perfil - externa'!H158)</f>
        <v>15236612.677611042</v>
      </c>
      <c r="I160" s="219">
        <f>IF('Perfil - interna'!I160+'Perfil - externa'!I158=0,0,'Perfil - interna'!I160+'Perfil - externa'!I158)</f>
        <v>18444002.347019549</v>
      </c>
      <c r="J160" s="219">
        <f>IF('Perfil - interna'!J160+'Perfil - externa'!J158=0,0,'Perfil - interna'!J160+'Perfil - externa'!J158)</f>
        <v>13395828.380088998</v>
      </c>
      <c r="K160" s="219">
        <f>IF('Perfil - interna'!K160+'Perfil - externa'!K158=0,0,'Perfil - interna'!K160+'Perfil - externa'!K158)</f>
        <v>11652680.744254524</v>
      </c>
      <c r="L160" s="219">
        <f>IF('Perfil - interna'!L160+'Perfil - externa'!L158=0,0,'Perfil - interna'!L160+'Perfil - externa'!L158)</f>
        <v>11745571.123166487</v>
      </c>
      <c r="M160" s="219">
        <f>IF('Perfil - interna'!M160+'Perfil - externa'!M158=0,0,'Perfil - interna'!M160+'Perfil - externa'!M158)</f>
        <v>8339971.0463410821</v>
      </c>
      <c r="N160" s="219">
        <f>IF('Perfil - interna'!N160+'Perfil - externa'!N158=0,0,'Perfil - interna'!N160+'Perfil - externa'!N158)</f>
        <v>13102161.756343391</v>
      </c>
      <c r="O160" s="219">
        <f>IF('Perfil - interna'!O160+'Perfil - externa'!O158=0,0,'Perfil - interna'!O160+'Perfil - externa'!O158)</f>
        <v>5960110.4198650904</v>
      </c>
      <c r="P160" s="219">
        <f>IF('Perfil - interna'!P160+'Perfil - externa'!P158=0,0,'Perfil - interna'!P160+'Perfil - externa'!P158)</f>
        <v>6153120.6931363251</v>
      </c>
      <c r="Q160" s="219">
        <f>IF('Perfil - interna'!Q160+'Perfil - externa'!Q158=0,0,'Perfil - interna'!Q160+'Perfil - externa'!Q158)</f>
        <v>4508106.5990803894</v>
      </c>
      <c r="R160" s="219">
        <f>IF('Perfil - interna'!R160+'Perfil - externa'!R158=0,0,'Perfil - interna'!R160+'Perfil - externa'!R158)</f>
        <v>1724704.4736574255</v>
      </c>
      <c r="S160" s="219">
        <f>IF('Perfil - interna'!S160+'Perfil - externa'!S158=0,0,'Perfil - interna'!S160+'Perfil - externa'!S158)</f>
        <v>832473.16330636258</v>
      </c>
      <c r="T160" s="219">
        <f>IF('Perfil - interna'!T160+'Perfil - externa'!T158=0,0,'Perfil - interna'!T160+'Perfil - externa'!T158)</f>
        <v>563715.22988721263</v>
      </c>
      <c r="U160" s="219">
        <f>IF('Perfil - interna'!U160+'Perfil - externa'!U158=0,0,'Perfil - interna'!U160+'Perfil - externa'!U158)</f>
        <v>499755.38180804724</v>
      </c>
      <c r="V160" s="219">
        <f>IF('Perfil - interna'!V160+'Perfil - externa'!V158=0,0,'Perfil - interna'!V160+'Perfil - externa'!V158)</f>
        <v>2938226.9800665346</v>
      </c>
      <c r="W160" s="219">
        <f>IF('Perfil - interna'!W160+'Perfil - externa'!W158=0,0,'Perfil - interna'!W160+'Perfil - externa'!W158)</f>
        <v>375471.74361288123</v>
      </c>
      <c r="X160" s="219">
        <f>IF('Perfil - interna'!X160+'Perfil - externa'!X158=0,0,'Perfil - interna'!X160+'Perfil - externa'!X158)</f>
        <v>243294.88370239802</v>
      </c>
      <c r="Y160" s="219">
        <f>IF('Perfil - interna'!Y160+'Perfil - externa'!Y158=0,0,'Perfil - interna'!Y160+'Perfil - externa'!Y158)</f>
        <v>242028.12096034441</v>
      </c>
      <c r="Z160" s="219">
        <f>IF('Perfil - interna'!Z160+'Perfil - externa'!Z158=0,0,'Perfil - interna'!Z160+'Perfil - externa'!Z158)</f>
        <v>1342672.9176229842</v>
      </c>
      <c r="AA160" s="219">
        <f>IF('Perfil - interna'!AA160+'Perfil - externa'!AA158=0,0,'Perfil - interna'!AA160+'Perfil - externa'!AA158)</f>
        <v>62968.709728097798</v>
      </c>
      <c r="AB160" s="219">
        <f>IF('Perfil - interna'!AB160+'Perfil - externa'!AB158=0,0,'Perfil - interna'!AB160+'Perfil - externa'!AB158)</f>
        <v>53167.405154725391</v>
      </c>
      <c r="AC160" s="219">
        <f>IF('Perfil - interna'!AC160+'Perfil - externa'!AC158=0,0,'Perfil - interna'!AC160+'Perfil - externa'!AC158)</f>
        <v>523566.35439804185</v>
      </c>
      <c r="AD160" s="219">
        <f>IF('Perfil - interna'!AD160+'Perfil - externa'!AD158=0,0,'Perfil - interna'!AD160+'Perfil - externa'!AD158)</f>
        <v>50787.459323035597</v>
      </c>
      <c r="AE160" s="219">
        <f>IF('Perfil - interna'!AE160+'Perfil - externa'!AE158=0,0,'Perfil - interna'!AE160+'Perfil - externa'!AE158)</f>
        <v>20612.413905793597</v>
      </c>
      <c r="AF160" s="219">
        <f>IF('Perfil - interna'!AF160+'Perfil - externa'!AF158=0,0,'Perfil - interna'!AF160+'Perfil - externa'!AF158)</f>
        <v>8164.4558765483998</v>
      </c>
      <c r="AG160" s="219">
        <f>IF('Perfil - interna'!AG160+'Perfil - externa'!AG158=0,0,'Perfil - interna'!AG160+'Perfil - externa'!AG158)</f>
        <v>6528.5000593229997</v>
      </c>
      <c r="AH160" s="219">
        <f>IF('Perfil - interna'!AH160+'Perfil - externa'!AH158=0,0,'Perfil - interna'!AH160+'Perfil - externa'!AH158)</f>
        <v>5626.6269932223995</v>
      </c>
      <c r="AI160" s="219">
        <f>IF('Perfil - interna'!AI160+'Perfil - externa'!AI158=0,0,'Perfil - interna'!AI160+'Perfil - externa'!AI158)</f>
        <v>1494619.0769932223</v>
      </c>
      <c r="AJ160" s="219">
        <f>IF('Perfil - interna'!AJ160+'Perfil - externa'!AJ158=0,0,'Perfil - interna'!AJ160+'Perfil - externa'!AJ158)</f>
        <v>5626.6269932223995</v>
      </c>
      <c r="AK160" s="219">
        <f>IF('Perfil - interna'!AK160+'Perfil - externa'!AK158=0,0,'Perfil - interna'!AK160+'Perfil - externa'!AK158)</f>
        <v>86.720467902199985</v>
      </c>
      <c r="AL160" s="219">
        <f>IF('Perfil - interna'!AL160+'Perfil - externa'!AL158=0,0,'Perfil - interna'!AL160+'Perfil - externa'!AL158)</f>
        <v>0</v>
      </c>
      <c r="AM160" s="219">
        <f>IF('Perfil - interna'!AM160+'Perfil - externa'!AM158=0,0,'Perfil - interna'!AM160+'Perfil - externa'!AM158)</f>
        <v>0</v>
      </c>
      <c r="AN160" s="219">
        <f>IF('Perfil - interna'!AN160+'Perfil - externa'!AN158=0,0,'Perfil - interna'!AN160+'Perfil - externa'!AN158)</f>
        <v>0</v>
      </c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</row>
    <row r="161" spans="1:63">
      <c r="A161" s="170">
        <v>38472</v>
      </c>
      <c r="B161" s="220" t="str">
        <f>Servicio_internaColumna_título_intereses</f>
        <v>Intereses</v>
      </c>
      <c r="C161" s="221"/>
      <c r="D161" s="222"/>
      <c r="E161" s="222"/>
      <c r="F161" s="222">
        <f>IF('Perfil - interna'!F161+'Perfil - externa'!F159=0,0,'Perfil - interna'!F161+'Perfil - externa'!F159)</f>
        <v>0</v>
      </c>
      <c r="G161" s="222">
        <f>IF('Perfil - interna'!G161+'Perfil - externa'!G159=0,0,'Perfil - interna'!G161+'Perfil - externa'!G159)</f>
        <v>10594426.184216859</v>
      </c>
      <c r="H161" s="222">
        <f>IF('Perfil - interna'!H161+'Perfil - externa'!H159=0,0,'Perfil - interna'!H161+'Perfil - externa'!H159)</f>
        <v>11302268.174958751</v>
      </c>
      <c r="I161" s="222">
        <f>IF('Perfil - interna'!I161+'Perfil - externa'!I159=0,0,'Perfil - interna'!I161+'Perfil - externa'!I159)</f>
        <v>9853525.1110391021</v>
      </c>
      <c r="J161" s="222">
        <f>IF('Perfil - interna'!J161+'Perfil - externa'!J159=0,0,'Perfil - interna'!J161+'Perfil - externa'!J159)</f>
        <v>7969820.0237705447</v>
      </c>
      <c r="K161" s="222">
        <f>IF('Perfil - interna'!K161+'Perfil - externa'!K159=0,0,'Perfil - interna'!K161+'Perfil - externa'!K159)</f>
        <v>6528626.5351490928</v>
      </c>
      <c r="L161" s="222">
        <f>IF('Perfil - interna'!L161+'Perfil - externa'!L159=0,0,'Perfil - interna'!L161+'Perfil - externa'!L159)</f>
        <v>5469033.6535953917</v>
      </c>
      <c r="M161" s="222">
        <f>IF('Perfil - interna'!M161+'Perfil - externa'!M159=0,0,'Perfil - interna'!M161+'Perfil - externa'!M159)</f>
        <v>4378612.1358058983</v>
      </c>
      <c r="N161" s="222">
        <f>IF('Perfil - interna'!N161+'Perfil - externa'!N159=0,0,'Perfil - interna'!N161+'Perfil - externa'!N159)</f>
        <v>3555253.7888944605</v>
      </c>
      <c r="O161" s="222">
        <f>IF('Perfil - interna'!O161+'Perfil - externa'!O159=0,0,'Perfil - interna'!O161+'Perfil - externa'!O159)</f>
        <v>2177731.4144856003</v>
      </c>
      <c r="P161" s="222">
        <f>IF('Perfil - interna'!P161+'Perfil - externa'!P159=0,0,'Perfil - interna'!P161+'Perfil - externa'!P159)</f>
        <v>1747028.2191907323</v>
      </c>
      <c r="Q161" s="222">
        <f>IF('Perfil - interna'!Q161+'Perfil - externa'!Q159=0,0,'Perfil - interna'!Q161+'Perfil - externa'!Q159)</f>
        <v>1222826.120120506</v>
      </c>
      <c r="R161" s="222">
        <f>IF('Perfil - interna'!R161+'Perfil - externa'!R159=0,0,'Perfil - interna'!R161+'Perfil - externa'!R159)</f>
        <v>840282.2815928387</v>
      </c>
      <c r="S161" s="222">
        <f>IF('Perfil - interna'!S161+'Perfil - externa'!S159=0,0,'Perfil - interna'!S161+'Perfil - externa'!S159)</f>
        <v>756857.69346069184</v>
      </c>
      <c r="T161" s="222">
        <f>IF('Perfil - interna'!T161+'Perfil - externa'!T159=0,0,'Perfil - interna'!T161+'Perfil - externa'!T159)</f>
        <v>715380.27995759912</v>
      </c>
      <c r="U161" s="222">
        <f>IF('Perfil - interna'!U161+'Perfil - externa'!U159=0,0,'Perfil - interna'!U161+'Perfil - externa'!U159)</f>
        <v>688491.94399281451</v>
      </c>
      <c r="V161" s="222">
        <f>IF('Perfil - interna'!V161+'Perfil - externa'!V159=0,0,'Perfil - interna'!V161+'Perfil - externa'!V159)</f>
        <v>515089.37694449391</v>
      </c>
      <c r="W161" s="222">
        <f>IF('Perfil - interna'!W161+'Perfil - externa'!W159=0,0,'Perfil - interna'!W161+'Perfil - externa'!W159)</f>
        <v>346409.08039492695</v>
      </c>
      <c r="X161" s="222">
        <f>IF('Perfil - interna'!X161+'Perfil - externa'!X159=0,0,'Perfil - interna'!X161+'Perfil - externa'!X159)</f>
        <v>329414.4422981643</v>
      </c>
      <c r="Y161" s="222">
        <f>IF('Perfil - interna'!Y161+'Perfil - externa'!Y159=0,0,'Perfil - interna'!Y161+'Perfil - externa'!Y159)</f>
        <v>317837.73019069387</v>
      </c>
      <c r="Z161" s="222">
        <f>IF('Perfil - interna'!Z161+'Perfil - externa'!Z159=0,0,'Perfil - interna'!Z161+'Perfil - externa'!Z159)</f>
        <v>259476.65636371158</v>
      </c>
      <c r="AA161" s="222">
        <f>IF('Perfil - interna'!AA161+'Perfil - externa'!AA159=0,0,'Perfil - interna'!AA161+'Perfil - externa'!AA159)</f>
        <v>205330.46877520427</v>
      </c>
      <c r="AB161" s="222">
        <f>IF('Perfil - interna'!AB161+'Perfil - externa'!AB159=0,0,'Perfil - interna'!AB161+'Perfil - externa'!AB159)</f>
        <v>202669.63626562065</v>
      </c>
      <c r="AC161" s="222">
        <f>IF('Perfil - interna'!AC161+'Perfil - externa'!AC159=0,0,'Perfil - interna'!AC161+'Perfil - externa'!AC159)</f>
        <v>180473.33991484487</v>
      </c>
      <c r="AD161" s="222">
        <f>IF('Perfil - interna'!AD161+'Perfil - externa'!AD159=0,0,'Perfil - interna'!AD161+'Perfil - externa'!AD159)</f>
        <v>157405.08799083749</v>
      </c>
      <c r="AE161" s="222">
        <f>IF('Perfil - interna'!AE161+'Perfil - externa'!AE159=0,0,'Perfil - interna'!AE161+'Perfil - externa'!AE159)</f>
        <v>154994.16497262829</v>
      </c>
      <c r="AF161" s="222">
        <f>IF('Perfil - interna'!AF161+'Perfil - externa'!AF159=0,0,'Perfil - interna'!AF161+'Perfil - externa'!AF159)</f>
        <v>154534.72678511121</v>
      </c>
      <c r="AG161" s="222">
        <f>IF('Perfil - interna'!AG161+'Perfil - externa'!AG159=0,0,'Perfil - interna'!AG161+'Perfil - externa'!AG159)</f>
        <v>154493.31319188798</v>
      </c>
      <c r="AH161" s="222">
        <f>IF('Perfil - interna'!AH161+'Perfil - externa'!AH159=0,0,'Perfil - interna'!AH161+'Perfil - externa'!AH159)</f>
        <v>154492.01239870419</v>
      </c>
      <c r="AI161" s="222">
        <f>IF('Perfil - interna'!AI161+'Perfil - externa'!AI159=0,0,'Perfil - interna'!AI161+'Perfil - externa'!AI159)</f>
        <v>77249.228285219084</v>
      </c>
      <c r="AJ161" s="222">
        <f>IF('Perfil - interna'!AJ161+'Perfil - externa'!AJ159=0,0,'Perfil - interna'!AJ161+'Perfil - externa'!AJ159)</f>
        <v>2.9268198366</v>
      </c>
      <c r="AK161" s="222">
        <f>IF('Perfil - interna'!AK161+'Perfil - externa'!AK159=0,0,'Perfil - interna'!AK161+'Perfil - externa'!AK159)</f>
        <v>0.97558316349999996</v>
      </c>
      <c r="AL161" s="222">
        <f>IF('Perfil - interna'!AL161+'Perfil - externa'!AL159=0,0,'Perfil - interna'!AL161+'Perfil - externa'!AL159)</f>
        <v>0</v>
      </c>
      <c r="AM161" s="222">
        <f>IF('Perfil - interna'!AM161+'Perfil - externa'!AM159=0,0,'Perfil - interna'!AM161+'Perfil - externa'!AM159)</f>
        <v>0</v>
      </c>
      <c r="AN161" s="222">
        <f>IF('Perfil - interna'!AN161+'Perfil - externa'!AN159=0,0,'Perfil - interna'!AN161+'Perfil - externa'!AN159)</f>
        <v>0</v>
      </c>
      <c r="AO161" s="222"/>
      <c r="AP161" s="222"/>
      <c r="AQ161" s="222"/>
      <c r="AR161" s="222"/>
      <c r="AS161" s="222"/>
      <c r="AT161" s="222"/>
      <c r="AU161" s="222"/>
      <c r="AV161" s="222"/>
      <c r="AW161" s="222"/>
      <c r="AX161" s="222"/>
      <c r="AY161" s="222"/>
      <c r="AZ161" s="222"/>
      <c r="BA161" s="222"/>
      <c r="BB161" s="222"/>
      <c r="BC161" s="222"/>
      <c r="BD161" s="222"/>
      <c r="BE161" s="222"/>
      <c r="BF161" s="222"/>
      <c r="BG161" s="222"/>
      <c r="BH161" s="222"/>
      <c r="BI161" s="222"/>
      <c r="BJ161" s="222"/>
      <c r="BK161" s="222"/>
    </row>
    <row r="162" spans="1:63">
      <c r="A162" s="171"/>
      <c r="B162" s="318" t="str">
        <f>Servicio_internaColumna_título_total</f>
        <v>Total</v>
      </c>
      <c r="C162" s="319"/>
      <c r="D162" s="320"/>
      <c r="E162" s="320"/>
      <c r="F162" s="320">
        <f>IF('Perfil - interna'!F162+'Perfil - externa'!F160=0,0,'Perfil - interna'!F162+'Perfil - externa'!F160)</f>
        <v>0</v>
      </c>
      <c r="G162" s="320">
        <f>IF('Perfil - interna'!G162+'Perfil - externa'!G160=0,0,'Perfil - interna'!G162+'Perfil - externa'!G160)</f>
        <v>22714324.624582157</v>
      </c>
      <c r="H162" s="320">
        <f>IF('Perfil - interna'!H162+'Perfil - externa'!H160=0,0,'Perfil - interna'!H162+'Perfil - externa'!H160)</f>
        <v>26538880.852569789</v>
      </c>
      <c r="I162" s="320">
        <f>IF('Perfil - interna'!I162+'Perfil - externa'!I160=0,0,'Perfil - interna'!I162+'Perfil - externa'!I160)</f>
        <v>28297527.458058652</v>
      </c>
      <c r="J162" s="320">
        <f>IF('Perfil - interna'!J162+'Perfil - externa'!J160=0,0,'Perfil - interna'!J162+'Perfil - externa'!J160)</f>
        <v>21365648.403859541</v>
      </c>
      <c r="K162" s="320">
        <f>IF('Perfil - interna'!K162+'Perfil - externa'!K160=0,0,'Perfil - interna'!K162+'Perfil - externa'!K160)</f>
        <v>18181307.279403616</v>
      </c>
      <c r="L162" s="320">
        <f>IF('Perfil - interna'!L162+'Perfil - externa'!L160=0,0,'Perfil - interna'!L162+'Perfil - externa'!L160)</f>
        <v>17214604.776761875</v>
      </c>
      <c r="M162" s="320">
        <f>IF('Perfil - interna'!M162+'Perfil - externa'!M160=0,0,'Perfil - interna'!M162+'Perfil - externa'!M160)</f>
        <v>12718583.182146981</v>
      </c>
      <c r="N162" s="320">
        <f>IF('Perfil - interna'!N162+'Perfil - externa'!N160=0,0,'Perfil - interna'!N162+'Perfil - externa'!N160)</f>
        <v>16657415.54523785</v>
      </c>
      <c r="O162" s="320">
        <f>IF('Perfil - interna'!O162+'Perfil - externa'!O160=0,0,'Perfil - interna'!O162+'Perfil - externa'!O160)</f>
        <v>8137841.8343506912</v>
      </c>
      <c r="P162" s="320">
        <f>IF('Perfil - interna'!P162+'Perfil - externa'!P160=0,0,'Perfil - interna'!P162+'Perfil - externa'!P160)</f>
        <v>7900148.9123270568</v>
      </c>
      <c r="Q162" s="320">
        <f>IF('Perfil - interna'!Q162+'Perfil - externa'!Q160=0,0,'Perfil - interna'!Q162+'Perfil - externa'!Q160)</f>
        <v>5730932.7192008952</v>
      </c>
      <c r="R162" s="320">
        <f>IF('Perfil - interna'!R162+'Perfil - externa'!R160=0,0,'Perfil - interna'!R162+'Perfil - externa'!R160)</f>
        <v>2564986.755250264</v>
      </c>
      <c r="S162" s="320">
        <f>IF('Perfil - interna'!S162+'Perfil - externa'!S160=0,0,'Perfil - interna'!S162+'Perfil - externa'!S160)</f>
        <v>1589330.8567670544</v>
      </c>
      <c r="T162" s="320">
        <f>IF('Perfil - interna'!T162+'Perfil - externa'!T160=0,0,'Perfil - interna'!T162+'Perfil - externa'!T160)</f>
        <v>1279095.5098448116</v>
      </c>
      <c r="U162" s="320">
        <f>IF('Perfil - interna'!U162+'Perfil - externa'!U160=0,0,'Perfil - interna'!U162+'Perfil - externa'!U160)</f>
        <v>1188247.3258008617</v>
      </c>
      <c r="V162" s="320">
        <f>IF('Perfil - interna'!V162+'Perfil - externa'!V160=0,0,'Perfil - interna'!V162+'Perfil - externa'!V160)</f>
        <v>3453316.3570110286</v>
      </c>
      <c r="W162" s="320">
        <f>IF('Perfil - interna'!W162+'Perfil - externa'!W160=0,0,'Perfil - interna'!W162+'Perfil - externa'!W160)</f>
        <v>721880.82400780823</v>
      </c>
      <c r="X162" s="320">
        <f>IF('Perfil - interna'!X162+'Perfil - externa'!X160=0,0,'Perfil - interna'!X162+'Perfil - externa'!X160)</f>
        <v>572709.32600056229</v>
      </c>
      <c r="Y162" s="320">
        <f>IF('Perfil - interna'!Y162+'Perfil - externa'!Y160=0,0,'Perfil - interna'!Y162+'Perfil - externa'!Y160)</f>
        <v>559865.85115103831</v>
      </c>
      <c r="Z162" s="320">
        <f>IF('Perfil - interna'!Z162+'Perfil - externa'!Z160=0,0,'Perfil - interna'!Z162+'Perfil - externa'!Z160)</f>
        <v>1602149.5739866956</v>
      </c>
      <c r="AA162" s="320">
        <f>IF('Perfil - interna'!AA162+'Perfil - externa'!AA160=0,0,'Perfil - interna'!AA162+'Perfil - externa'!AA160)</f>
        <v>268299.17850330204</v>
      </c>
      <c r="AB162" s="320">
        <f>IF('Perfil - interna'!AB162+'Perfil - externa'!AB160=0,0,'Perfil - interna'!AB162+'Perfil - externa'!AB160)</f>
        <v>255837.04142034604</v>
      </c>
      <c r="AC162" s="320">
        <f>IF('Perfil - interna'!AC162+'Perfil - externa'!AC160=0,0,'Perfil - interna'!AC162+'Perfil - externa'!AC160)</f>
        <v>704039.69431288668</v>
      </c>
      <c r="AD162" s="320">
        <f>IF('Perfil - interna'!AD162+'Perfil - externa'!AD160=0,0,'Perfil - interna'!AD162+'Perfil - externa'!AD160)</f>
        <v>208192.54731387307</v>
      </c>
      <c r="AE162" s="320">
        <f>IF('Perfil - interna'!AE162+'Perfil - externa'!AE160=0,0,'Perfil - interna'!AE162+'Perfil - externa'!AE160)</f>
        <v>175606.57887842189</v>
      </c>
      <c r="AF162" s="320">
        <f>IF('Perfil - interna'!AF162+'Perfil - externa'!AF160=0,0,'Perfil - interna'!AF162+'Perfil - externa'!AF160)</f>
        <v>162699.18266165961</v>
      </c>
      <c r="AG162" s="320">
        <f>IF('Perfil - interna'!AG162+'Perfil - externa'!AG160=0,0,'Perfil - interna'!AG162+'Perfil - externa'!AG160)</f>
        <v>161021.81325121099</v>
      </c>
      <c r="AH162" s="320">
        <f>IF('Perfil - interna'!AH162+'Perfil - externa'!AH160=0,0,'Perfil - interna'!AH162+'Perfil - externa'!AH160)</f>
        <v>160118.63939192658</v>
      </c>
      <c r="AI162" s="320">
        <f>IF('Perfil - interna'!AI162+'Perfil - externa'!AI160=0,0,'Perfil - interna'!AI162+'Perfil - externa'!AI160)</f>
        <v>1571868.3052784414</v>
      </c>
      <c r="AJ162" s="320">
        <f>IF('Perfil - interna'!AJ162+'Perfil - externa'!AJ160=0,0,'Perfil - interna'!AJ162+'Perfil - externa'!AJ160)</f>
        <v>5629.5538130589994</v>
      </c>
      <c r="AK162" s="320">
        <f>IF('Perfil - interna'!AK162+'Perfil - externa'!AK160=0,0,'Perfil - interna'!AK162+'Perfil - externa'!AK160)</f>
        <v>87.69605106569999</v>
      </c>
      <c r="AL162" s="320">
        <f>IF('Perfil - interna'!AL162+'Perfil - externa'!AL160=0,0,'Perfil - interna'!AL162+'Perfil - externa'!AL160)</f>
        <v>0</v>
      </c>
      <c r="AM162" s="320">
        <f>IF('Perfil - interna'!AM162+'Perfil - externa'!AM160=0,0,'Perfil - interna'!AM162+'Perfil - externa'!AM160)</f>
        <v>0</v>
      </c>
      <c r="AN162" s="320">
        <f>IF('Perfil - interna'!AN162+'Perfil - externa'!AN160=0,0,'Perfil - interna'!AN162+'Perfil - externa'!AN160)</f>
        <v>0</v>
      </c>
      <c r="AO162" s="320"/>
      <c r="AP162" s="320"/>
      <c r="AQ162" s="320"/>
      <c r="AR162" s="320"/>
      <c r="AS162" s="320"/>
      <c r="AT162" s="320"/>
      <c r="AU162" s="320"/>
      <c r="AV162" s="320"/>
      <c r="AW162" s="320"/>
      <c r="AX162" s="320"/>
      <c r="AY162" s="320"/>
      <c r="AZ162" s="320"/>
      <c r="BA162" s="320"/>
      <c r="BB162" s="320"/>
      <c r="BC162" s="320"/>
      <c r="BD162" s="320"/>
      <c r="BE162" s="320"/>
      <c r="BF162" s="320"/>
      <c r="BG162" s="320"/>
      <c r="BH162" s="320"/>
      <c r="BI162" s="320"/>
      <c r="BJ162" s="320"/>
      <c r="BK162" s="320"/>
    </row>
    <row r="163" spans="1:63">
      <c r="A163" s="167"/>
      <c r="B163" s="217" t="str">
        <f>Servicio_internaColumna_título_amortizaciones</f>
        <v>Amortizaciones</v>
      </c>
      <c r="C163" s="218"/>
      <c r="D163" s="219"/>
      <c r="E163" s="219"/>
      <c r="F163" s="219">
        <f>IF('Perfil - interna'!F163+'Perfil - externa'!F161=0,0,'Perfil - interna'!F163+'Perfil - externa'!F161)</f>
        <v>0</v>
      </c>
      <c r="G163" s="219">
        <f>IF('Perfil - interna'!G163+'Perfil - externa'!G161=0,0,'Perfil - interna'!G163+'Perfil - externa'!G161)</f>
        <v>9710398.711717803</v>
      </c>
      <c r="H163" s="219">
        <f>IF('Perfil - interna'!H163+'Perfil - externa'!H161=0,0,'Perfil - interna'!H163+'Perfil - externa'!H161)</f>
        <v>16081510.014122309</v>
      </c>
      <c r="I163" s="219">
        <f>IF('Perfil - interna'!I163+'Perfil - externa'!I161=0,0,'Perfil - interna'!I163+'Perfil - externa'!I161)</f>
        <v>18295435.80719145</v>
      </c>
      <c r="J163" s="219">
        <f>IF('Perfil - interna'!J163+'Perfil - externa'!J161=0,0,'Perfil - interna'!J163+'Perfil - externa'!J161)</f>
        <v>13706283.68727522</v>
      </c>
      <c r="K163" s="219">
        <f>IF('Perfil - interna'!K163+'Perfil - externa'!K161=0,0,'Perfil - interna'!K163+'Perfil - externa'!K161)</f>
        <v>11766463.457704082</v>
      </c>
      <c r="L163" s="219">
        <f>IF('Perfil - interna'!L163+'Perfil - externa'!L161=0,0,'Perfil - interna'!L163+'Perfil - externa'!L161)</f>
        <v>12245338.165072991</v>
      </c>
      <c r="M163" s="219">
        <f>IF('Perfil - interna'!M163+'Perfil - externa'!M161=0,0,'Perfil - interna'!M163+'Perfil - externa'!M161)</f>
        <v>8712977.2479135394</v>
      </c>
      <c r="N163" s="219">
        <f>IF('Perfil - interna'!N163+'Perfil - externa'!N161=0,0,'Perfil - interna'!N163+'Perfil - externa'!N161)</f>
        <v>13190733.372236935</v>
      </c>
      <c r="O163" s="219">
        <f>IF('Perfil - interna'!O163+'Perfil - externa'!O161=0,0,'Perfil - interna'!O163+'Perfil - externa'!O161)</f>
        <v>6026645.0000141077</v>
      </c>
      <c r="P163" s="219">
        <f>IF('Perfil - interna'!P163+'Perfil - externa'!P161=0,0,'Perfil - interna'!P163+'Perfil - externa'!P161)</f>
        <v>6378221.276513407</v>
      </c>
      <c r="Q163" s="219">
        <f>IF('Perfil - interna'!Q163+'Perfil - externa'!Q161=0,0,'Perfil - interna'!Q163+'Perfil - externa'!Q161)</f>
        <v>4630699.3696392383</v>
      </c>
      <c r="R163" s="219">
        <f>IF('Perfil - interna'!R163+'Perfil - externa'!R161=0,0,'Perfil - interna'!R163+'Perfil - externa'!R161)</f>
        <v>1717545.5878438021</v>
      </c>
      <c r="S163" s="219">
        <f>IF('Perfil - interna'!S163+'Perfil - externa'!S161=0,0,'Perfil - interna'!S163+'Perfil - externa'!S161)</f>
        <v>831991.04734873236</v>
      </c>
      <c r="T163" s="219">
        <f>IF('Perfil - interna'!T163+'Perfil - externa'!T161=0,0,'Perfil - interna'!T163+'Perfil - externa'!T161)</f>
        <v>564619.09859773715</v>
      </c>
      <c r="U163" s="219">
        <f>IF('Perfil - interna'!U163+'Perfil - externa'!U161=0,0,'Perfil - interna'!U163+'Perfil - externa'!U161)</f>
        <v>501059.59458606405</v>
      </c>
      <c r="V163" s="219">
        <f>IF('Perfil - interna'!V163+'Perfil - externa'!V161=0,0,'Perfil - interna'!V163+'Perfil - externa'!V161)</f>
        <v>2926970.1892400486</v>
      </c>
      <c r="W163" s="219">
        <f>IF('Perfil - interna'!W163+'Perfil - externa'!W161=0,0,'Perfil - interna'!W163+'Perfil - externa'!W161)</f>
        <v>377418.29559471505</v>
      </c>
      <c r="X163" s="219">
        <f>IF('Perfil - interna'!X163+'Perfil - externa'!X161=0,0,'Perfil - interna'!X163+'Perfil - externa'!X161)</f>
        <v>246008.45260232073</v>
      </c>
      <c r="Y163" s="219">
        <f>IF('Perfil - interna'!Y163+'Perfil - externa'!Y161=0,0,'Perfil - interna'!Y163+'Perfil - externa'!Y161)</f>
        <v>244765.96766120044</v>
      </c>
      <c r="Z163" s="219">
        <f>IF('Perfil - interna'!Z163+'Perfil - externa'!Z161=0,0,'Perfil - interna'!Z163+'Perfil - externa'!Z161)</f>
        <v>1339740.6040798281</v>
      </c>
      <c r="AA163" s="219">
        <f>IF('Perfil - interna'!AA163+'Perfil - externa'!AA161=0,0,'Perfil - interna'!AA163+'Perfil - externa'!AA161)</f>
        <v>62645.047602308798</v>
      </c>
      <c r="AB163" s="219">
        <f>IF('Perfil - interna'!AB163+'Perfil - externa'!AB161=0,0,'Perfil - interna'!AB163+'Perfil - externa'!AB161)</f>
        <v>52894.236130577992</v>
      </c>
      <c r="AC163" s="219">
        <f>IF('Perfil - interna'!AC163+'Perfil - externa'!AC161=0,0,'Perfil - interna'!AC163+'Perfil - externa'!AC161)</f>
        <v>520869.84450345841</v>
      </c>
      <c r="AD163" s="219">
        <f>IF('Perfil - interna'!AD163+'Perfil - externa'!AD161=0,0,'Perfil - interna'!AD163+'Perfil - externa'!AD161)</f>
        <v>50526.550998051403</v>
      </c>
      <c r="AE163" s="219">
        <f>IF('Perfil - interna'!AE163+'Perfil - externa'!AE161=0,0,'Perfil - interna'!AE163+'Perfil - externa'!AE161)</f>
        <v>20506.957502937399</v>
      </c>
      <c r="AF163" s="219">
        <f>IF('Perfil - interna'!AF163+'Perfil - externa'!AF161=0,0,'Perfil - interna'!AF163+'Perfil - externa'!AF161)</f>
        <v>8123.1272645689996</v>
      </c>
      <c r="AG163" s="219">
        <f>IF('Perfil - interna'!AG163+'Perfil - externa'!AG161=0,0,'Perfil - interna'!AG163+'Perfil - externa'!AG161)</f>
        <v>6495.5993543371997</v>
      </c>
      <c r="AH163" s="219">
        <f>IF('Perfil - interna'!AH163+'Perfil - externa'!AH161=0,0,'Perfil - interna'!AH163+'Perfil - externa'!AH161)</f>
        <v>5598.372442027</v>
      </c>
      <c r="AI163" s="219">
        <f>IF('Perfil - interna'!AI163+'Perfil - externa'!AI161=0,0,'Perfil - interna'!AI163+'Perfil - externa'!AI161)</f>
        <v>1486920.022442027</v>
      </c>
      <c r="AJ163" s="219">
        <f>IF('Perfil - interna'!AJ163+'Perfil - externa'!AJ161=0,0,'Perfil - interna'!AJ163+'Perfil - externa'!AJ161)</f>
        <v>5598.372442027</v>
      </c>
      <c r="AK163" s="219">
        <f>IF('Perfil - interna'!AK163+'Perfil - externa'!AK161=0,0,'Perfil - interna'!AK163+'Perfil - externa'!AK161)</f>
        <v>86.6397039605</v>
      </c>
      <c r="AL163" s="219">
        <f>IF('Perfil - interna'!AL163+'Perfil - externa'!AL161=0,0,'Perfil - interna'!AL163+'Perfil - externa'!AL161)</f>
        <v>0</v>
      </c>
      <c r="AM163" s="219">
        <f>IF('Perfil - interna'!AM163+'Perfil - externa'!AM161=0,0,'Perfil - interna'!AM163+'Perfil - externa'!AM161)</f>
        <v>0</v>
      </c>
      <c r="AN163" s="219">
        <f>IF('Perfil - interna'!AN163+'Perfil - externa'!AN161=0,0,'Perfil - interna'!AN163+'Perfil - externa'!AN161)</f>
        <v>0</v>
      </c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J163" s="219"/>
      <c r="BK163" s="219"/>
    </row>
    <row r="164" spans="1:63">
      <c r="A164" s="170">
        <v>38503</v>
      </c>
      <c r="B164" s="220" t="str">
        <f>Servicio_internaColumna_título_intereses</f>
        <v>Intereses</v>
      </c>
      <c r="C164" s="221"/>
      <c r="D164" s="222"/>
      <c r="E164" s="222"/>
      <c r="F164" s="222">
        <f>IF('Perfil - interna'!F164+'Perfil - externa'!F162=0,0,'Perfil - interna'!F164+'Perfil - externa'!F162)</f>
        <v>0</v>
      </c>
      <c r="G164" s="222">
        <f>IF('Perfil - interna'!G164+'Perfil - externa'!G162=0,0,'Perfil - interna'!G164+'Perfil - externa'!G162)</f>
        <v>10192246.708602078</v>
      </c>
      <c r="H164" s="222">
        <f>IF('Perfil - interna'!H164+'Perfil - externa'!H162=0,0,'Perfil - interna'!H164+'Perfil - externa'!H162)</f>
        <v>11519530.606011182</v>
      </c>
      <c r="I164" s="222">
        <f>IF('Perfil - interna'!I164+'Perfil - externa'!I162=0,0,'Perfil - interna'!I164+'Perfil - externa'!I162)</f>
        <v>10005802.338054106</v>
      </c>
      <c r="J164" s="222">
        <f>IF('Perfil - interna'!J164+'Perfil - externa'!J162=0,0,'Perfil - interna'!J164+'Perfil - externa'!J162)</f>
        <v>8135187.7665657513</v>
      </c>
      <c r="K164" s="222">
        <f>IF('Perfil - interna'!K164+'Perfil - externa'!K162=0,0,'Perfil - interna'!K164+'Perfil - externa'!K162)</f>
        <v>6679805.1960031763</v>
      </c>
      <c r="L164" s="222">
        <f>IF('Perfil - interna'!L164+'Perfil - externa'!L162=0,0,'Perfil - interna'!L164+'Perfil - externa'!L162)</f>
        <v>5607348.5937248599</v>
      </c>
      <c r="M164" s="222">
        <f>IF('Perfil - interna'!M164+'Perfil - externa'!M162=0,0,'Perfil - interna'!M164+'Perfil - externa'!M162)</f>
        <v>4454024.0849226993</v>
      </c>
      <c r="N164" s="222">
        <f>IF('Perfil - interna'!N164+'Perfil - externa'!N162=0,0,'Perfil - interna'!N164+'Perfil - externa'!N162)</f>
        <v>3599102.1917315042</v>
      </c>
      <c r="O164" s="222">
        <f>IF('Perfil - interna'!O164+'Perfil - externa'!O162=0,0,'Perfil - interna'!O164+'Perfil - externa'!O162)</f>
        <v>2210241.2395543749</v>
      </c>
      <c r="P164" s="222">
        <f>IF('Perfil - interna'!P164+'Perfil - externa'!P162=0,0,'Perfil - interna'!P164+'Perfil - externa'!P162)</f>
        <v>1778640.2427925523</v>
      </c>
      <c r="Q164" s="222">
        <f>IF('Perfil - interna'!Q164+'Perfil - externa'!Q162=0,0,'Perfil - interna'!Q164+'Perfil - externa'!Q162)</f>
        <v>1223911.0891017029</v>
      </c>
      <c r="R164" s="222">
        <f>IF('Perfil - interna'!R164+'Perfil - externa'!R162=0,0,'Perfil - interna'!R164+'Perfil - externa'!R162)</f>
        <v>835859.02248997893</v>
      </c>
      <c r="S164" s="222">
        <f>IF('Perfil - interna'!S164+'Perfil - externa'!S162=0,0,'Perfil - interna'!S164+'Perfil - externa'!S162)</f>
        <v>752962.16755068942</v>
      </c>
      <c r="T164" s="222">
        <f>IF('Perfil - interna'!T164+'Perfil - externa'!T162=0,0,'Perfil - interna'!T164+'Perfil - externa'!T162)</f>
        <v>711701.5567364085</v>
      </c>
      <c r="U164" s="222">
        <f>IF('Perfil - interna'!U164+'Perfil - externa'!U162=0,0,'Perfil - interna'!U164+'Perfil - externa'!U162)</f>
        <v>684953.80413898942</v>
      </c>
      <c r="V164" s="222">
        <f>IF('Perfil - interna'!V164+'Perfil - externa'!V162=0,0,'Perfil - interna'!V164+'Perfil - externa'!V162)</f>
        <v>512445.82253069052</v>
      </c>
      <c r="W164" s="222">
        <f>IF('Perfil - interna'!W164+'Perfil - externa'!W162=0,0,'Perfil - interna'!W164+'Perfil - externa'!W162)</f>
        <v>344635.73269994446</v>
      </c>
      <c r="X164" s="222">
        <f>IF('Perfil - interna'!X164+'Perfil - externa'!X162=0,0,'Perfil - interna'!X164+'Perfil - externa'!X162)</f>
        <v>327729.52842727723</v>
      </c>
      <c r="Y164" s="222">
        <f>IF('Perfil - interna'!Y164+'Perfil - externa'!Y162=0,0,'Perfil - interna'!Y164+'Perfil - externa'!Y162)</f>
        <v>316211.77232372208</v>
      </c>
      <c r="Z164" s="222">
        <f>IF('Perfil - interna'!Z164+'Perfil - externa'!Z162=0,0,'Perfil - interna'!Z164+'Perfil - externa'!Z162)</f>
        <v>258150.49232978348</v>
      </c>
      <c r="AA164" s="222">
        <f>IF('Perfil - interna'!AA164+'Perfil - externa'!AA162=0,0,'Perfil - interna'!AA164+'Perfil - externa'!AA162)</f>
        <v>204272.7354190523</v>
      </c>
      <c r="AB164" s="222">
        <f>IF('Perfil - interna'!AB164+'Perfil - externa'!AB162=0,0,'Perfil - interna'!AB164+'Perfil - externa'!AB162)</f>
        <v>201625.60513914668</v>
      </c>
      <c r="AC164" s="222">
        <f>IF('Perfil - interna'!AC164+'Perfil - externa'!AC162=0,0,'Perfil - interna'!AC164+'Perfil - externa'!AC162)</f>
        <v>179543.6513341016</v>
      </c>
      <c r="AD164" s="222">
        <f>IF('Perfil - interna'!AD164+'Perfil - externa'!AD162=0,0,'Perfil - interna'!AD164+'Perfil - externa'!AD162)</f>
        <v>156594.23398451929</v>
      </c>
      <c r="AE164" s="222">
        <f>IF('Perfil - interna'!AE164+'Perfil - externa'!AE162=0,0,'Perfil - interna'!AE164+'Perfil - externa'!AE162)</f>
        <v>154195.72574437849</v>
      </c>
      <c r="AF164" s="222">
        <f>IF('Perfil - interna'!AF164+'Perfil - externa'!AF162=0,0,'Perfil - interna'!AF164+'Perfil - externa'!AF162)</f>
        <v>153738.64894943131</v>
      </c>
      <c r="AG164" s="222">
        <f>IF('Perfil - interna'!AG164+'Perfil - externa'!AG162=0,0,'Perfil - interna'!AG164+'Perfil - externa'!AG162)</f>
        <v>153697.4432233804</v>
      </c>
      <c r="AH164" s="222">
        <f>IF('Perfil - interna'!AH164+'Perfil - externa'!AH162=0,0,'Perfil - interna'!AH164+'Perfil - externa'!AH162)</f>
        <v>153696.14364939931</v>
      </c>
      <c r="AI164" s="222">
        <f>IF('Perfil - interna'!AI164+'Perfil - externa'!AI162=0,0,'Perfil - interna'!AI164+'Perfil - externa'!AI162)</f>
        <v>76851.283458340302</v>
      </c>
      <c r="AJ164" s="222">
        <f>IF('Perfil - interna'!AJ164+'Perfil - externa'!AJ162=0,0,'Perfil - interna'!AJ164+'Perfil - externa'!AJ162)</f>
        <v>2.9240822813</v>
      </c>
      <c r="AK164" s="222">
        <f>IF('Perfil - interna'!AK164+'Perfil - externa'!AK162=0,0,'Perfil - interna'!AK164+'Perfil - externa'!AK162)</f>
        <v>0.97468631780000003</v>
      </c>
      <c r="AL164" s="222">
        <f>IF('Perfil - interna'!AL164+'Perfil - externa'!AL162=0,0,'Perfil - interna'!AL164+'Perfil - externa'!AL162)</f>
        <v>0</v>
      </c>
      <c r="AM164" s="222">
        <f>IF('Perfil - interna'!AM164+'Perfil - externa'!AM162=0,0,'Perfil - interna'!AM164+'Perfil - externa'!AM162)</f>
        <v>0</v>
      </c>
      <c r="AN164" s="222">
        <f>IF('Perfil - interna'!AN164+'Perfil - externa'!AN162=0,0,'Perfil - interna'!AN164+'Perfil - externa'!AN162)</f>
        <v>0</v>
      </c>
      <c r="AO164" s="222"/>
      <c r="AP164" s="222"/>
      <c r="AQ164" s="222"/>
      <c r="AR164" s="222"/>
      <c r="AS164" s="222"/>
      <c r="AT164" s="222"/>
      <c r="AU164" s="222"/>
      <c r="AV164" s="222"/>
      <c r="AW164" s="222"/>
      <c r="AX164" s="222"/>
      <c r="AY164" s="222"/>
      <c r="AZ164" s="222"/>
      <c r="BA164" s="222"/>
      <c r="BB164" s="222"/>
      <c r="BC164" s="222"/>
      <c r="BD164" s="222"/>
      <c r="BE164" s="222"/>
      <c r="BF164" s="222"/>
      <c r="BG164" s="222"/>
      <c r="BH164" s="222"/>
      <c r="BI164" s="222"/>
      <c r="BJ164" s="222"/>
      <c r="BK164" s="222"/>
    </row>
    <row r="165" spans="1:63">
      <c r="A165" s="171"/>
      <c r="B165" s="318" t="str">
        <f>Servicio_internaColumna_título_total</f>
        <v>Total</v>
      </c>
      <c r="C165" s="319"/>
      <c r="D165" s="320"/>
      <c r="E165" s="320"/>
      <c r="F165" s="320">
        <f>IF('Perfil - interna'!F165+'Perfil - externa'!F163=0,0,'Perfil - interna'!F165+'Perfil - externa'!F163)</f>
        <v>0</v>
      </c>
      <c r="G165" s="320">
        <f>IF('Perfil - interna'!G165+'Perfil - externa'!G163=0,0,'Perfil - interna'!G165+'Perfil - externa'!G163)</f>
        <v>19902645.420319881</v>
      </c>
      <c r="H165" s="320">
        <f>IF('Perfil - interna'!H165+'Perfil - externa'!H163=0,0,'Perfil - interna'!H165+'Perfil - externa'!H163)</f>
        <v>27601040.620133489</v>
      </c>
      <c r="I165" s="320">
        <f>IF('Perfil - interna'!I165+'Perfil - externa'!I163=0,0,'Perfil - interna'!I165+'Perfil - externa'!I163)</f>
        <v>28301238.145245556</v>
      </c>
      <c r="J165" s="320">
        <f>IF('Perfil - interna'!J165+'Perfil - externa'!J163=0,0,'Perfil - interna'!J165+'Perfil - externa'!J163)</f>
        <v>21841471.453840971</v>
      </c>
      <c r="K165" s="320">
        <f>IF('Perfil - interna'!K165+'Perfil - externa'!K163=0,0,'Perfil - interna'!K165+'Perfil - externa'!K163)</f>
        <v>18446268.653707258</v>
      </c>
      <c r="L165" s="320">
        <f>IF('Perfil - interna'!L165+'Perfil - externa'!L163=0,0,'Perfil - interna'!L165+'Perfil - externa'!L163)</f>
        <v>17852686.75879785</v>
      </c>
      <c r="M165" s="320">
        <f>IF('Perfil - interna'!M165+'Perfil - externa'!M163=0,0,'Perfil - interna'!M165+'Perfil - externa'!M163)</f>
        <v>13167001.332836239</v>
      </c>
      <c r="N165" s="320">
        <f>IF('Perfil - interna'!N165+'Perfil - externa'!N163=0,0,'Perfil - interna'!N165+'Perfil - externa'!N163)</f>
        <v>16789835.563968442</v>
      </c>
      <c r="O165" s="320">
        <f>IF('Perfil - interna'!O165+'Perfil - externa'!O163=0,0,'Perfil - interna'!O165+'Perfil - externa'!O163)</f>
        <v>8236886.2395684831</v>
      </c>
      <c r="P165" s="320">
        <f>IF('Perfil - interna'!P165+'Perfil - externa'!P163=0,0,'Perfil - interna'!P165+'Perfil - externa'!P163)</f>
        <v>8156861.5193059593</v>
      </c>
      <c r="Q165" s="320">
        <f>IF('Perfil - interna'!Q165+'Perfil - externa'!Q163=0,0,'Perfil - interna'!Q165+'Perfil - externa'!Q163)</f>
        <v>5854610.4587409412</v>
      </c>
      <c r="R165" s="320">
        <f>IF('Perfil - interna'!R165+'Perfil - externa'!R163=0,0,'Perfil - interna'!R165+'Perfil - externa'!R163)</f>
        <v>2553404.6103337808</v>
      </c>
      <c r="S165" s="320">
        <f>IF('Perfil - interna'!S165+'Perfil - externa'!S163=0,0,'Perfil - interna'!S165+'Perfil - externa'!S163)</f>
        <v>1584953.2148994217</v>
      </c>
      <c r="T165" s="320">
        <f>IF('Perfil - interna'!T165+'Perfil - externa'!T163=0,0,'Perfil - interna'!T165+'Perfil - externa'!T163)</f>
        <v>1276320.6553341458</v>
      </c>
      <c r="U165" s="320">
        <f>IF('Perfil - interna'!U165+'Perfil - externa'!U163=0,0,'Perfil - interna'!U165+'Perfil - externa'!U163)</f>
        <v>1186013.3987250535</v>
      </c>
      <c r="V165" s="320">
        <f>IF('Perfil - interna'!V165+'Perfil - externa'!V163=0,0,'Perfil - interna'!V165+'Perfil - externa'!V163)</f>
        <v>3439416.0117707392</v>
      </c>
      <c r="W165" s="320">
        <f>IF('Perfil - interna'!W165+'Perfil - externa'!W163=0,0,'Perfil - interna'!W165+'Perfil - externa'!W163)</f>
        <v>722054.02829465945</v>
      </c>
      <c r="X165" s="320">
        <f>IF('Perfil - interna'!X165+'Perfil - externa'!X163=0,0,'Perfil - interna'!X165+'Perfil - externa'!X163)</f>
        <v>573737.98102959793</v>
      </c>
      <c r="Y165" s="320">
        <f>IF('Perfil - interna'!Y165+'Perfil - externa'!Y163=0,0,'Perfil - interna'!Y165+'Perfil - externa'!Y163)</f>
        <v>560977.73998492258</v>
      </c>
      <c r="Z165" s="320">
        <f>IF('Perfil - interna'!Z165+'Perfil - externa'!Z163=0,0,'Perfil - interna'!Z165+'Perfil - externa'!Z163)</f>
        <v>1597891.0964096116</v>
      </c>
      <c r="AA165" s="320">
        <f>IF('Perfil - interna'!AA165+'Perfil - externa'!AA163=0,0,'Perfil - interna'!AA165+'Perfil - externa'!AA163)</f>
        <v>266917.7830213611</v>
      </c>
      <c r="AB165" s="320">
        <f>IF('Perfil - interna'!AB165+'Perfil - externa'!AB163=0,0,'Perfil - interna'!AB165+'Perfil - externa'!AB163)</f>
        <v>254519.84126972465</v>
      </c>
      <c r="AC165" s="320">
        <f>IF('Perfil - interna'!AC165+'Perfil - externa'!AC163=0,0,'Perfil - interna'!AC165+'Perfil - externa'!AC163)</f>
        <v>700413.49583756004</v>
      </c>
      <c r="AD165" s="320">
        <f>IF('Perfil - interna'!AD165+'Perfil - externa'!AD163=0,0,'Perfil - interna'!AD165+'Perfil - externa'!AD163)</f>
        <v>207120.78498257068</v>
      </c>
      <c r="AE165" s="320">
        <f>IF('Perfil - interna'!AE165+'Perfil - externa'!AE163=0,0,'Perfil - interna'!AE165+'Perfil - externa'!AE163)</f>
        <v>174702.6832473159</v>
      </c>
      <c r="AF165" s="320">
        <f>IF('Perfil - interna'!AF165+'Perfil - externa'!AF163=0,0,'Perfil - interna'!AF165+'Perfil - externa'!AF163)</f>
        <v>161861.7762140003</v>
      </c>
      <c r="AG165" s="320">
        <f>IF('Perfil - interna'!AG165+'Perfil - externa'!AG163=0,0,'Perfil - interna'!AG165+'Perfil - externa'!AG163)</f>
        <v>160193.0425777176</v>
      </c>
      <c r="AH165" s="320">
        <f>IF('Perfil - interna'!AH165+'Perfil - externa'!AH163=0,0,'Perfil - interna'!AH165+'Perfil - externa'!AH163)</f>
        <v>159294.51609142631</v>
      </c>
      <c r="AI165" s="320">
        <f>IF('Perfil - interna'!AI165+'Perfil - externa'!AI163=0,0,'Perfil - interna'!AI165+'Perfil - externa'!AI163)</f>
        <v>1563771.3059003672</v>
      </c>
      <c r="AJ165" s="320">
        <f>IF('Perfil - interna'!AJ165+'Perfil - externa'!AJ163=0,0,'Perfil - interna'!AJ165+'Perfil - externa'!AJ163)</f>
        <v>5601.2965243082999</v>
      </c>
      <c r="AK165" s="320">
        <f>IF('Perfil - interna'!AK165+'Perfil - externa'!AK163=0,0,'Perfil - interna'!AK165+'Perfil - externa'!AK163)</f>
        <v>87.614390278300007</v>
      </c>
      <c r="AL165" s="320">
        <f>IF('Perfil - interna'!AL165+'Perfil - externa'!AL163=0,0,'Perfil - interna'!AL165+'Perfil - externa'!AL163)</f>
        <v>0</v>
      </c>
      <c r="AM165" s="320">
        <f>IF('Perfil - interna'!AM165+'Perfil - externa'!AM163=0,0,'Perfil - interna'!AM165+'Perfil - externa'!AM163)</f>
        <v>0</v>
      </c>
      <c r="AN165" s="320">
        <f>IF('Perfil - interna'!AN165+'Perfil - externa'!AN163=0,0,'Perfil - interna'!AN165+'Perfil - externa'!AN163)</f>
        <v>0</v>
      </c>
      <c r="AO165" s="320"/>
      <c r="AP165" s="320"/>
      <c r="AQ165" s="320"/>
      <c r="AR165" s="320"/>
      <c r="AS165" s="320"/>
      <c r="AT165" s="320"/>
      <c r="AU165" s="320"/>
      <c r="AV165" s="320"/>
      <c r="AW165" s="320"/>
      <c r="AX165" s="320"/>
      <c r="AY165" s="320"/>
      <c r="AZ165" s="320"/>
      <c r="BA165" s="320"/>
      <c r="BB165" s="320"/>
      <c r="BC165" s="320"/>
      <c r="BD165" s="320"/>
      <c r="BE165" s="320"/>
      <c r="BF165" s="320"/>
      <c r="BG165" s="320"/>
      <c r="BH165" s="320"/>
      <c r="BI165" s="320"/>
      <c r="BJ165" s="320"/>
      <c r="BK165" s="320"/>
    </row>
    <row r="166" spans="1:63">
      <c r="A166" s="167"/>
      <c r="B166" s="217" t="str">
        <f>Servicio_internaColumna_título_amortizaciones</f>
        <v>Amortizaciones</v>
      </c>
      <c r="C166" s="218"/>
      <c r="D166" s="219"/>
      <c r="E166" s="219"/>
      <c r="F166" s="219">
        <f>IF('Perfil - interna'!F166+'Perfil - externa'!F164=0,0,'Perfil - interna'!F166+'Perfil - externa'!F164)</f>
        <v>0</v>
      </c>
      <c r="G166" s="219">
        <f>IF('Perfil - interna'!G166+'Perfil - externa'!G164=0,0,'Perfil - interna'!G166+'Perfil - externa'!G164)</f>
        <v>7563579.3666185802</v>
      </c>
      <c r="H166" s="219">
        <f>IF('Perfil - interna'!H166+'Perfil - externa'!H164=0,0,'Perfil - interna'!H166+'Perfil - externa'!H164)</f>
        <v>16229911.45650431</v>
      </c>
      <c r="I166" s="219">
        <f>IF('Perfil - interna'!I166+'Perfil - externa'!I164=0,0,'Perfil - interna'!I166+'Perfil - externa'!I164)</f>
        <v>17929662.9133774</v>
      </c>
      <c r="J166" s="219">
        <f>IF('Perfil - interna'!J166+'Perfil - externa'!J164=0,0,'Perfil - interna'!J166+'Perfil - externa'!J164)</f>
        <v>13641377.531663351</v>
      </c>
      <c r="K166" s="219">
        <f>IF('Perfil - interna'!K166+'Perfil - externa'!K164=0,0,'Perfil - interna'!K166+'Perfil - externa'!K164)</f>
        <v>12177908.331533235</v>
      </c>
      <c r="L166" s="219">
        <f>IF('Perfil - interna'!L166+'Perfil - externa'!L164=0,0,'Perfil - interna'!L166+'Perfil - externa'!L164)</f>
        <v>12936234.040668648</v>
      </c>
      <c r="M166" s="219">
        <f>IF('Perfil - interna'!M166+'Perfil - externa'!M164=0,0,'Perfil - interna'!M166+'Perfil - externa'!M164)</f>
        <v>8646103.7743912227</v>
      </c>
      <c r="N166" s="219">
        <f>IF('Perfil - interna'!N166+'Perfil - externa'!N164=0,0,'Perfil - interna'!N166+'Perfil - externa'!N164)</f>
        <v>13239563.788344786</v>
      </c>
      <c r="O166" s="219">
        <f>IF('Perfil - interna'!O166+'Perfil - externa'!O164=0,0,'Perfil - interna'!O166+'Perfil - externa'!O164)</f>
        <v>6059812.5911160056</v>
      </c>
      <c r="P166" s="219">
        <f>IF('Perfil - interna'!P166+'Perfil - externa'!P164=0,0,'Perfil - interna'!P166+'Perfil - externa'!P164)</f>
        <v>7357136.9538329747</v>
      </c>
      <c r="Q166" s="219">
        <f>IF('Perfil - interna'!Q166+'Perfil - externa'!Q164=0,0,'Perfil - interna'!Q166+'Perfil - externa'!Q164)</f>
        <v>4847778.8494184781</v>
      </c>
      <c r="R166" s="219">
        <f>IF('Perfil - interna'!R166+'Perfil - externa'!R164=0,0,'Perfil - interna'!R166+'Perfil - externa'!R164)</f>
        <v>1752554.8377563849</v>
      </c>
      <c r="S166" s="219">
        <f>IF('Perfil - interna'!S166+'Perfil - externa'!S164=0,0,'Perfil - interna'!S166+'Perfil - externa'!S164)</f>
        <v>868356.85403365479</v>
      </c>
      <c r="T166" s="219">
        <f>IF('Perfil - interna'!T166+'Perfil - externa'!T164=0,0,'Perfil - interna'!T166+'Perfil - externa'!T164)</f>
        <v>597699.42945552454</v>
      </c>
      <c r="U166" s="219">
        <f>IF('Perfil - interna'!U166+'Perfil - externa'!U164=0,0,'Perfil - interna'!U166+'Perfil - externa'!U164)</f>
        <v>531867.66416103067</v>
      </c>
      <c r="V166" s="219">
        <f>IF('Perfil - interna'!V166+'Perfil - externa'!V164=0,0,'Perfil - interna'!V166+'Perfil - externa'!V164)</f>
        <v>2943703.5331630679</v>
      </c>
      <c r="W166" s="219">
        <f>IF('Perfil - interna'!W166+'Perfil - externa'!W164=0,0,'Perfil - interna'!W166+'Perfil - externa'!W164)</f>
        <v>389511.59818052431</v>
      </c>
      <c r="X166" s="219">
        <f>IF('Perfil - interna'!X166+'Perfil - externa'!X164=0,0,'Perfil - interna'!X166+'Perfil - externa'!X164)</f>
        <v>258338.29834846806</v>
      </c>
      <c r="Y166" s="219">
        <f>IF('Perfil - interna'!Y166+'Perfil - externa'!Y164=0,0,'Perfil - interna'!Y166+'Perfil - externa'!Y164)</f>
        <v>257133.72960685805</v>
      </c>
      <c r="Z166" s="219">
        <f>IF('Perfil - interna'!Z166+'Perfil - externa'!Z164=0,0,'Perfil - interna'!Z166+'Perfil - externa'!Z164)</f>
        <v>1351648.3695647286</v>
      </c>
      <c r="AA166" s="219">
        <f>IF('Perfil - interna'!AA166+'Perfil - externa'!AA164=0,0,'Perfil - interna'!AA166+'Perfil - externa'!AA164)</f>
        <v>75089.318149965606</v>
      </c>
      <c r="AB166" s="219">
        <f>IF('Perfil - interna'!AB166+'Perfil - externa'!AB164=0,0,'Perfil - interna'!AB166+'Perfil - externa'!AB164)</f>
        <v>65342.602972904395</v>
      </c>
      <c r="AC166" s="219">
        <f>IF('Perfil - interna'!AC166+'Perfil - externa'!AC164=0,0,'Perfil - interna'!AC166+'Perfil - externa'!AC164)</f>
        <v>533121.61581159383</v>
      </c>
      <c r="AD166" s="219">
        <f>IF('Perfil - interna'!AD166+'Perfil - externa'!AD164=0,0,'Perfil - interna'!AD166+'Perfil - externa'!AD164)</f>
        <v>62975.912499747006</v>
      </c>
      <c r="AE166" s="219">
        <f>IF('Perfil - interna'!AE166+'Perfil - externa'!AE164=0,0,'Perfil - interna'!AE166+'Perfil - externa'!AE164)</f>
        <v>32968.930170501</v>
      </c>
      <c r="AF166" s="219">
        <f>IF('Perfil - interna'!AF166+'Perfil - externa'!AF164=0,0,'Perfil - interna'!AF166+'Perfil - externa'!AF164)</f>
        <v>14352.710602253401</v>
      </c>
      <c r="AG166" s="219">
        <f>IF('Perfil - interna'!AG166+'Perfil - externa'!AG164=0,0,'Perfil - interna'!AG166+'Perfil - externa'!AG164)</f>
        <v>6488.2746629532003</v>
      </c>
      <c r="AH166" s="219">
        <f>IF('Perfil - interna'!AH166+'Perfil - externa'!AH164=0,0,'Perfil - interna'!AH166+'Perfil - externa'!AH164)</f>
        <v>5591.4246737153999</v>
      </c>
      <c r="AI166" s="219">
        <f>IF('Perfil - interna'!AI166+'Perfil - externa'!AI164=0,0,'Perfil - interna'!AI166+'Perfil - externa'!AI164)</f>
        <v>1486290.7746737155</v>
      </c>
      <c r="AJ166" s="219">
        <f>IF('Perfil - interna'!AJ166+'Perfil - externa'!AJ164=0,0,'Perfil - interna'!AJ166+'Perfil - externa'!AJ164)</f>
        <v>5591.4246737153999</v>
      </c>
      <c r="AK166" s="219">
        <f>IF('Perfil - interna'!AK166+'Perfil - externa'!AK164=0,0,'Perfil - interna'!AK166+'Perfil - externa'!AK164)</f>
        <v>84.3053546907</v>
      </c>
      <c r="AL166" s="219">
        <f>IF('Perfil - interna'!AL166+'Perfil - externa'!AL164=0,0,'Perfil - interna'!AL166+'Perfil - externa'!AL164)</f>
        <v>0</v>
      </c>
      <c r="AM166" s="219">
        <f>IF('Perfil - interna'!AM166+'Perfil - externa'!AM164=0,0,'Perfil - interna'!AM166+'Perfil - externa'!AM164)</f>
        <v>0</v>
      </c>
      <c r="AN166" s="219">
        <f>IF('Perfil - interna'!AN166+'Perfil - externa'!AN164=0,0,'Perfil - interna'!AN166+'Perfil - externa'!AN164)</f>
        <v>0</v>
      </c>
      <c r="AO166" s="219"/>
      <c r="AP166" s="219"/>
      <c r="AQ166" s="219"/>
      <c r="AR166" s="219"/>
      <c r="AS166" s="219"/>
      <c r="AT166" s="219"/>
      <c r="AU166" s="219"/>
      <c r="AV166" s="219"/>
      <c r="AW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J166" s="219"/>
      <c r="BK166" s="219"/>
    </row>
    <row r="167" spans="1:63">
      <c r="A167" s="170">
        <v>38533</v>
      </c>
      <c r="B167" s="220" t="str">
        <f>Servicio_internaColumna_título_intereses</f>
        <v>Intereses</v>
      </c>
      <c r="C167" s="221"/>
      <c r="D167" s="222"/>
      <c r="E167" s="222"/>
      <c r="F167" s="222">
        <f>IF('Perfil - interna'!F167+'Perfil - externa'!F165=0,0,'Perfil - interna'!F167+'Perfil - externa'!F165)</f>
        <v>0</v>
      </c>
      <c r="G167" s="222">
        <f>IF('Perfil - interna'!G167+'Perfil - externa'!G165=0,0,'Perfil - interna'!G167+'Perfil - externa'!G165)</f>
        <v>10044119.326421406</v>
      </c>
      <c r="H167" s="222">
        <f>IF('Perfil - interna'!H167+'Perfil - externa'!H165=0,0,'Perfil - interna'!H167+'Perfil - externa'!H165)</f>
        <v>11772647.096807513</v>
      </c>
      <c r="I167" s="222">
        <f>IF('Perfil - interna'!I167+'Perfil - externa'!I165=0,0,'Perfil - interna'!I167+'Perfil - externa'!I165)</f>
        <v>10264369.456719264</v>
      </c>
      <c r="J167" s="222">
        <f>IF('Perfil - interna'!J167+'Perfil - externa'!J165=0,0,'Perfil - interna'!J167+'Perfil - externa'!J165)</f>
        <v>8411746.7375966422</v>
      </c>
      <c r="K167" s="222">
        <f>IF('Perfil - interna'!K167+'Perfil - externa'!K165=0,0,'Perfil - interna'!K167+'Perfil - externa'!K165)</f>
        <v>6965517.214510479</v>
      </c>
      <c r="L167" s="222">
        <f>IF('Perfil - interna'!L167+'Perfil - externa'!L165=0,0,'Perfil - interna'!L167+'Perfil - externa'!L165)</f>
        <v>5842804.3448618408</v>
      </c>
      <c r="M167" s="222">
        <f>IF('Perfil - interna'!M167+'Perfil - externa'!M165=0,0,'Perfil - interna'!M167+'Perfil - externa'!M165)</f>
        <v>4600920.4514376111</v>
      </c>
      <c r="N167" s="222">
        <f>IF('Perfil - interna'!N167+'Perfil - externa'!N165=0,0,'Perfil - interna'!N167+'Perfil - externa'!N165)</f>
        <v>3755973.835213325</v>
      </c>
      <c r="O167" s="222">
        <f>IF('Perfil - interna'!O167+'Perfil - externa'!O165=0,0,'Perfil - interna'!O167+'Perfil - externa'!O165)</f>
        <v>2366089.7168278219</v>
      </c>
      <c r="P167" s="222">
        <f>IF('Perfil - interna'!P167+'Perfil - externa'!P165=0,0,'Perfil - interna'!P167+'Perfil - externa'!P165)</f>
        <v>1933405.2688165659</v>
      </c>
      <c r="Q167" s="222">
        <f>IF('Perfil - interna'!Q167+'Perfil - externa'!Q165=0,0,'Perfil - interna'!Q167+'Perfil - externa'!Q165)</f>
        <v>1249851.3804449919</v>
      </c>
      <c r="R167" s="222">
        <f>IF('Perfil - interna'!R167+'Perfil - externa'!R165=0,0,'Perfil - interna'!R167+'Perfil - externa'!R165)</f>
        <v>848710.02604836237</v>
      </c>
      <c r="S167" s="222">
        <f>IF('Perfil - interna'!S167+'Perfil - externa'!S165=0,0,'Perfil - interna'!S167+'Perfil - externa'!S165)</f>
        <v>763716.00930598355</v>
      </c>
      <c r="T167" s="222">
        <f>IF('Perfil - interna'!T167+'Perfil - externa'!T165=0,0,'Perfil - interna'!T167+'Perfil - externa'!T165)</f>
        <v>720727.9099614945</v>
      </c>
      <c r="U167" s="222">
        <f>IF('Perfil - interna'!U167+'Perfil - externa'!U165=0,0,'Perfil - interna'!U167+'Perfil - externa'!U165)</f>
        <v>692299.30552378832</v>
      </c>
      <c r="V167" s="222">
        <f>IF('Perfil - interna'!V167+'Perfil - externa'!V165=0,0,'Perfil - interna'!V167+'Perfil - externa'!V165)</f>
        <v>518390.14606982452</v>
      </c>
      <c r="W167" s="222">
        <f>IF('Perfil - interna'!W167+'Perfil - externa'!W165=0,0,'Perfil - interna'!W167+'Perfil - externa'!W165)</f>
        <v>349758.77743477712</v>
      </c>
      <c r="X167" s="222">
        <f>IF('Perfil - interna'!X167+'Perfil - externa'!X165=0,0,'Perfil - interna'!X167+'Perfil - externa'!X165)</f>
        <v>332371.19244965218</v>
      </c>
      <c r="Y167" s="222">
        <f>IF('Perfil - interna'!Y167+'Perfil - externa'!Y165=0,0,'Perfil - interna'!Y167+'Perfil - externa'!Y165)</f>
        <v>320366.49247046339</v>
      </c>
      <c r="Z167" s="222">
        <f>IF('Perfil - interna'!Z167+'Perfil - externa'!Z165=0,0,'Perfil - interna'!Z167+'Perfil - externa'!Z165)</f>
        <v>261860.76082467986</v>
      </c>
      <c r="AA167" s="222">
        <f>IF('Perfil - interna'!AA167+'Perfil - externa'!AA165=0,0,'Perfil - interna'!AA167+'Perfil - externa'!AA165)</f>
        <v>207462.9432957939</v>
      </c>
      <c r="AB167" s="222">
        <f>IF('Perfil - interna'!AB167+'Perfil - externa'!AB165=0,0,'Perfil - interna'!AB167+'Perfil - externa'!AB165)</f>
        <v>204203.50980371545</v>
      </c>
      <c r="AC167" s="222">
        <f>IF('Perfil - interna'!AC167+'Perfil - externa'!AC165=0,0,'Perfil - interna'!AC167+'Perfil - externa'!AC165)</f>
        <v>181517.41717363798</v>
      </c>
      <c r="AD167" s="222">
        <f>IF('Perfil - interna'!AD167+'Perfil - externa'!AD165=0,0,'Perfil - interna'!AD167+'Perfil - externa'!AD165)</f>
        <v>157968.42717696301</v>
      </c>
      <c r="AE167" s="222">
        <f>IF('Perfil - interna'!AE167+'Perfil - externa'!AE165=0,0,'Perfil - interna'!AE167+'Perfil - externa'!AE165)</f>
        <v>154953.30949736037</v>
      </c>
      <c r="AF167" s="222">
        <f>IF('Perfil - interna'!AF167+'Perfil - externa'!AF165=0,0,'Perfil - interna'!AF167+'Perfil - externa'!AF165)</f>
        <v>153826.79051711789</v>
      </c>
      <c r="AG167" s="222">
        <f>IF('Perfil - interna'!AG167+'Perfil - externa'!AG165=0,0,'Perfil - interna'!AG167+'Perfil - externa'!AG165)</f>
        <v>153632.69429034149</v>
      </c>
      <c r="AH167" s="222">
        <f>IF('Perfil - interna'!AH167+'Perfil - externa'!AH165=0,0,'Perfil - interna'!AH167+'Perfil - externa'!AH165)</f>
        <v>153631.4297264604</v>
      </c>
      <c r="AI167" s="222">
        <f>IF('Perfil - interna'!AI167+'Perfil - externa'!AI165=0,0,'Perfil - interna'!AI167+'Perfil - externa'!AI165)</f>
        <v>76818.88640464739</v>
      </c>
      <c r="AJ167" s="222">
        <f>IF('Perfil - interna'!AJ167+'Perfil - externa'!AJ165=0,0,'Perfil - interna'!AJ167+'Perfil - externa'!AJ165)</f>
        <v>2.8452978801</v>
      </c>
      <c r="AK167" s="222">
        <f>IF('Perfil - interna'!AK167+'Perfil - externa'!AK165=0,0,'Perfil - interna'!AK167+'Perfil - externa'!AK165)</f>
        <v>0.94841708130000002</v>
      </c>
      <c r="AL167" s="222">
        <f>IF('Perfil - interna'!AL167+'Perfil - externa'!AL165=0,0,'Perfil - interna'!AL167+'Perfil - externa'!AL165)</f>
        <v>0</v>
      </c>
      <c r="AM167" s="222">
        <f>IF('Perfil - interna'!AM167+'Perfil - externa'!AM165=0,0,'Perfil - interna'!AM167+'Perfil - externa'!AM165)</f>
        <v>0</v>
      </c>
      <c r="AN167" s="222">
        <f>IF('Perfil - interna'!AN167+'Perfil - externa'!AN165=0,0,'Perfil - interna'!AN167+'Perfil - externa'!AN165)</f>
        <v>0</v>
      </c>
      <c r="AO167" s="222"/>
      <c r="AP167" s="222"/>
      <c r="AQ167" s="222"/>
      <c r="AR167" s="222"/>
      <c r="AS167" s="222"/>
      <c r="AT167" s="222"/>
      <c r="AU167" s="222"/>
      <c r="AV167" s="222"/>
      <c r="AW167" s="222"/>
      <c r="AX167" s="222"/>
      <c r="AY167" s="222"/>
      <c r="AZ167" s="222"/>
      <c r="BA167" s="222"/>
      <c r="BB167" s="222"/>
      <c r="BC167" s="222"/>
      <c r="BD167" s="222"/>
      <c r="BE167" s="222"/>
      <c r="BF167" s="222"/>
      <c r="BG167" s="222"/>
      <c r="BH167" s="222"/>
      <c r="BI167" s="222"/>
      <c r="BJ167" s="222"/>
      <c r="BK167" s="222"/>
    </row>
    <row r="168" spans="1:63">
      <c r="A168" s="171"/>
      <c r="B168" s="318" t="str">
        <f>Servicio_internaColumna_título_total</f>
        <v>Total</v>
      </c>
      <c r="C168" s="319"/>
      <c r="D168" s="320"/>
      <c r="E168" s="320"/>
      <c r="F168" s="320">
        <f>IF('Perfil - interna'!F168+'Perfil - externa'!F166=0,0,'Perfil - interna'!F168+'Perfil - externa'!F166)</f>
        <v>0</v>
      </c>
      <c r="G168" s="320">
        <f>IF('Perfil - interna'!G168+'Perfil - externa'!G166=0,0,'Perfil - interna'!G168+'Perfil - externa'!G166)</f>
        <v>17607698.693039987</v>
      </c>
      <c r="H168" s="320">
        <f>IF('Perfil - interna'!H168+'Perfil - externa'!H166=0,0,'Perfil - interna'!H168+'Perfil - externa'!H166)</f>
        <v>28002558.553311825</v>
      </c>
      <c r="I168" s="320">
        <f>IF('Perfil - interna'!I168+'Perfil - externa'!I166=0,0,'Perfil - interna'!I168+'Perfil - externa'!I166)</f>
        <v>28194032.370096665</v>
      </c>
      <c r="J168" s="320">
        <f>IF('Perfil - interna'!J168+'Perfil - externa'!J166=0,0,'Perfil - interna'!J168+'Perfil - externa'!J166)</f>
        <v>22053124.269259993</v>
      </c>
      <c r="K168" s="320">
        <f>IF('Perfil - interna'!K168+'Perfil - externa'!K166=0,0,'Perfil - interna'!K168+'Perfil - externa'!K166)</f>
        <v>19143425.546043713</v>
      </c>
      <c r="L168" s="320">
        <f>IF('Perfil - interna'!L168+'Perfil - externa'!L166=0,0,'Perfil - interna'!L168+'Perfil - externa'!L166)</f>
        <v>18779038.385530487</v>
      </c>
      <c r="M168" s="320">
        <f>IF('Perfil - interna'!M168+'Perfil - externa'!M166=0,0,'Perfil - interna'!M168+'Perfil - externa'!M166)</f>
        <v>13247024.225828834</v>
      </c>
      <c r="N168" s="320">
        <f>IF('Perfil - interna'!N168+'Perfil - externa'!N166=0,0,'Perfil - interna'!N168+'Perfil - externa'!N166)</f>
        <v>16995537.623558111</v>
      </c>
      <c r="O168" s="320">
        <f>IF('Perfil - interna'!O168+'Perfil - externa'!O166=0,0,'Perfil - interna'!O168+'Perfil - externa'!O166)</f>
        <v>8425902.3079438284</v>
      </c>
      <c r="P168" s="320">
        <f>IF('Perfil - interna'!P168+'Perfil - externa'!P166=0,0,'Perfil - interna'!P168+'Perfil - externa'!P166)</f>
        <v>9290542.2226495408</v>
      </c>
      <c r="Q168" s="320">
        <f>IF('Perfil - interna'!Q168+'Perfil - externa'!Q166=0,0,'Perfil - interna'!Q168+'Perfil - externa'!Q166)</f>
        <v>6097630.2298634695</v>
      </c>
      <c r="R168" s="320">
        <f>IF('Perfil - interna'!R168+'Perfil - externa'!R166=0,0,'Perfil - interna'!R168+'Perfil - externa'!R166)</f>
        <v>2601264.8638047474</v>
      </c>
      <c r="S168" s="320">
        <f>IF('Perfil - interna'!S168+'Perfil - externa'!S166=0,0,'Perfil - interna'!S168+'Perfil - externa'!S166)</f>
        <v>1632072.8633396383</v>
      </c>
      <c r="T168" s="320">
        <f>IF('Perfil - interna'!T168+'Perfil - externa'!T166=0,0,'Perfil - interna'!T168+'Perfil - externa'!T166)</f>
        <v>1318427.3394170189</v>
      </c>
      <c r="U168" s="320">
        <f>IF('Perfil - interna'!U168+'Perfil - externa'!U166=0,0,'Perfil - interna'!U168+'Perfil - externa'!U166)</f>
        <v>1224166.969684819</v>
      </c>
      <c r="V168" s="320">
        <f>IF('Perfil - interna'!V168+'Perfil - externa'!V166=0,0,'Perfil - interna'!V168+'Perfil - externa'!V166)</f>
        <v>3462093.6792328926</v>
      </c>
      <c r="W168" s="320">
        <f>IF('Perfil - interna'!W168+'Perfil - externa'!W166=0,0,'Perfil - interna'!W168+'Perfil - externa'!W166)</f>
        <v>739270.37561530143</v>
      </c>
      <c r="X168" s="320">
        <f>IF('Perfil - interna'!X168+'Perfil - externa'!X166=0,0,'Perfil - interna'!X168+'Perfil - externa'!X166)</f>
        <v>590709.49079812027</v>
      </c>
      <c r="Y168" s="320">
        <f>IF('Perfil - interna'!Y168+'Perfil - externa'!Y166=0,0,'Perfil - interna'!Y168+'Perfil - externa'!Y166)</f>
        <v>577500.22207732149</v>
      </c>
      <c r="Z168" s="320">
        <f>IF('Perfil - interna'!Z168+'Perfil - externa'!Z166=0,0,'Perfil - interna'!Z168+'Perfil - externa'!Z166)</f>
        <v>1613509.1303894084</v>
      </c>
      <c r="AA168" s="320">
        <f>IF('Perfil - interna'!AA168+'Perfil - externa'!AA166=0,0,'Perfil - interna'!AA168+'Perfil - externa'!AA166)</f>
        <v>282552.2614457595</v>
      </c>
      <c r="AB168" s="320">
        <f>IF('Perfil - interna'!AB168+'Perfil - externa'!AB166=0,0,'Perfil - interna'!AB168+'Perfil - externa'!AB166)</f>
        <v>269546.11277661985</v>
      </c>
      <c r="AC168" s="320">
        <f>IF('Perfil - interna'!AC168+'Perfil - externa'!AC166=0,0,'Perfil - interna'!AC168+'Perfil - externa'!AC166)</f>
        <v>714639.03298523184</v>
      </c>
      <c r="AD168" s="320">
        <f>IF('Perfil - interna'!AD168+'Perfil - externa'!AD166=0,0,'Perfil - interna'!AD168+'Perfil - externa'!AD166)</f>
        <v>220944.33967671002</v>
      </c>
      <c r="AE168" s="320">
        <f>IF('Perfil - interna'!AE168+'Perfil - externa'!AE166=0,0,'Perfil - interna'!AE168+'Perfil - externa'!AE166)</f>
        <v>187922.23966786137</v>
      </c>
      <c r="AF168" s="320">
        <f>IF('Perfil - interna'!AF168+'Perfil - externa'!AF166=0,0,'Perfil - interna'!AF168+'Perfil - externa'!AF166)</f>
        <v>168179.5011193713</v>
      </c>
      <c r="AG168" s="320">
        <f>IF('Perfil - interna'!AG168+'Perfil - externa'!AG166=0,0,'Perfil - interna'!AG168+'Perfil - externa'!AG166)</f>
        <v>160120.96895329468</v>
      </c>
      <c r="AH168" s="320">
        <f>IF('Perfil - interna'!AH168+'Perfil - externa'!AH166=0,0,'Perfil - interna'!AH168+'Perfil - externa'!AH166)</f>
        <v>159222.8544001758</v>
      </c>
      <c r="AI168" s="320">
        <f>IF('Perfil - interna'!AI168+'Perfil - externa'!AI166=0,0,'Perfil - interna'!AI168+'Perfil - externa'!AI166)</f>
        <v>1563109.661078363</v>
      </c>
      <c r="AJ168" s="320">
        <f>IF('Perfil - interna'!AJ168+'Perfil - externa'!AJ166=0,0,'Perfil - interna'!AJ168+'Perfil - externa'!AJ166)</f>
        <v>5594.2699715954996</v>
      </c>
      <c r="AK168" s="320">
        <f>IF('Perfil - interna'!AK168+'Perfil - externa'!AK166=0,0,'Perfil - interna'!AK168+'Perfil - externa'!AK166)</f>
        <v>85.253771771999993</v>
      </c>
      <c r="AL168" s="320">
        <f>IF('Perfil - interna'!AL168+'Perfil - externa'!AL166=0,0,'Perfil - interna'!AL168+'Perfil - externa'!AL166)</f>
        <v>0</v>
      </c>
      <c r="AM168" s="320">
        <f>IF('Perfil - interna'!AM168+'Perfil - externa'!AM166=0,0,'Perfil - interna'!AM168+'Perfil - externa'!AM166)</f>
        <v>0</v>
      </c>
      <c r="AN168" s="320">
        <f>IF('Perfil - interna'!AN168+'Perfil - externa'!AN166=0,0,'Perfil - interna'!AN168+'Perfil - externa'!AN166)</f>
        <v>0</v>
      </c>
      <c r="AO168" s="320"/>
      <c r="AP168" s="320"/>
      <c r="AQ168" s="320"/>
      <c r="AR168" s="320"/>
      <c r="AS168" s="320"/>
      <c r="AT168" s="320"/>
      <c r="AU168" s="320"/>
      <c r="AV168" s="320"/>
      <c r="AW168" s="320"/>
      <c r="AX168" s="320"/>
      <c r="AY168" s="320"/>
      <c r="AZ168" s="320"/>
      <c r="BA168" s="320"/>
      <c r="BB168" s="320"/>
      <c r="BC168" s="320"/>
      <c r="BD168" s="320"/>
      <c r="BE168" s="320"/>
      <c r="BF168" s="320"/>
      <c r="BG168" s="320"/>
      <c r="BH168" s="320"/>
      <c r="BI168" s="320"/>
      <c r="BJ168" s="320"/>
      <c r="BK168" s="320"/>
    </row>
    <row r="169" spans="1:63">
      <c r="A169" s="167"/>
      <c r="B169" s="217" t="str">
        <f>Servicio_internaColumna_título_amortizaciones</f>
        <v>Amortizaciones</v>
      </c>
      <c r="C169" s="218"/>
      <c r="D169" s="219"/>
      <c r="E169" s="219"/>
      <c r="F169" s="219">
        <f>IF('Perfil - interna'!F169+'Perfil - externa'!F167=0,0,'Perfil - interna'!F169+'Perfil - externa'!F167)</f>
        <v>0</v>
      </c>
      <c r="G169" s="219">
        <f>IF('Perfil - interna'!G169+'Perfil - externa'!G167=0,0,'Perfil - interna'!G169+'Perfil - externa'!G167)</f>
        <v>7702073.2816684404</v>
      </c>
      <c r="H169" s="219">
        <f>IF('Perfil - interna'!H169+'Perfil - externa'!H167=0,0,'Perfil - interna'!H169+'Perfil - externa'!H167)</f>
        <v>16302216.235152787</v>
      </c>
      <c r="I169" s="219">
        <f>IF('Perfil - interna'!I169+'Perfil - externa'!I167=0,0,'Perfil - interna'!I169+'Perfil - externa'!I167)</f>
        <v>17908209.226817828</v>
      </c>
      <c r="J169" s="219">
        <f>IF('Perfil - interna'!J169+'Perfil - externa'!J167=0,0,'Perfil - interna'!J169+'Perfil - externa'!J167)</f>
        <v>13714246.420431079</v>
      </c>
      <c r="K169" s="219">
        <f>IF('Perfil - interna'!K169+'Perfil - externa'!K167=0,0,'Perfil - interna'!K169+'Perfil - externa'!K167)</f>
        <v>12329932.633011997</v>
      </c>
      <c r="L169" s="219">
        <f>IF('Perfil - interna'!L169+'Perfil - externa'!L167=0,0,'Perfil - interna'!L169+'Perfil - externa'!L167)</f>
        <v>13100842.516221583</v>
      </c>
      <c r="M169" s="219">
        <f>IF('Perfil - interna'!M169+'Perfil - externa'!M167=0,0,'Perfil - interna'!M169+'Perfil - externa'!M167)</f>
        <v>8647442.4744325206</v>
      </c>
      <c r="N169" s="219">
        <f>IF('Perfil - interna'!N169+'Perfil - externa'!N167=0,0,'Perfil - interna'!N169+'Perfil - externa'!N167)</f>
        <v>13263818.247709805</v>
      </c>
      <c r="O169" s="219">
        <f>IF('Perfil - interna'!O169+'Perfil - externa'!O167=0,0,'Perfil - interna'!O169+'Perfil - externa'!O167)</f>
        <v>6077906.8084400259</v>
      </c>
      <c r="P169" s="219">
        <f>IF('Perfil - interna'!P169+'Perfil - externa'!P167=0,0,'Perfil - interna'!P169+'Perfil - externa'!P167)</f>
        <v>8795112.6732674688</v>
      </c>
      <c r="Q169" s="219">
        <f>IF('Perfil - interna'!Q169+'Perfil - externa'!Q167=0,0,'Perfil - interna'!Q169+'Perfil - externa'!Q167)</f>
        <v>5000334.9338197624</v>
      </c>
      <c r="R169" s="219">
        <f>IF('Perfil - interna'!R169+'Perfil - externa'!R167=0,0,'Perfil - interna'!R169+'Perfil - externa'!R167)</f>
        <v>1786798.689920522</v>
      </c>
      <c r="S169" s="219">
        <f>IF('Perfil - interna'!S169+'Perfil - externa'!S167=0,0,'Perfil - interna'!S169+'Perfil - externa'!S167)</f>
        <v>910489.64325899037</v>
      </c>
      <c r="T169" s="219">
        <f>IF('Perfil - interna'!T169+'Perfil - externa'!T167=0,0,'Perfil - interna'!T169+'Perfil - externa'!T167)</f>
        <v>603860.06198785198</v>
      </c>
      <c r="U169" s="219">
        <f>IF('Perfil - interna'!U169+'Perfil - externa'!U167=0,0,'Perfil - interna'!U169+'Perfil - externa'!U167)</f>
        <v>534624.87642876757</v>
      </c>
      <c r="V169" s="219">
        <f>IF('Perfil - interna'!V169+'Perfil - externa'!V167=0,0,'Perfil - interna'!V169+'Perfil - externa'!V167)</f>
        <v>2990099.5173966875</v>
      </c>
      <c r="W169" s="219">
        <f>IF('Perfil - interna'!W169+'Perfil - externa'!W167=0,0,'Perfil - interna'!W169+'Perfil - externa'!W167)</f>
        <v>386578.86191646155</v>
      </c>
      <c r="X169" s="219">
        <f>IF('Perfil - interna'!X169+'Perfil - externa'!X167=0,0,'Perfil - interna'!X169+'Perfil - externa'!X167)</f>
        <v>256558.27896171223</v>
      </c>
      <c r="Y169" s="219">
        <f>IF('Perfil - interna'!Y169+'Perfil - externa'!Y167=0,0,'Perfil - interna'!Y169+'Perfil - externa'!Y167)</f>
        <v>255365.52972173764</v>
      </c>
      <c r="Z169" s="219">
        <f>IF('Perfil - interna'!Z169+'Perfil - externa'!Z167=0,0,'Perfil - interna'!Z169+'Perfil - externa'!Z167)</f>
        <v>1340314.1208324286</v>
      </c>
      <c r="AA169" s="219">
        <f>IF('Perfil - interna'!AA169+'Perfil - externa'!AA167=0,0,'Perfil - interna'!AA169+'Perfil - externa'!AA167)</f>
        <v>74912.184906420385</v>
      </c>
      <c r="AB169" s="219">
        <f>IF('Perfil - interna'!AB169+'Perfil - externa'!AB167=0,0,'Perfil - interna'!AB169+'Perfil - externa'!AB167)</f>
        <v>59078.39136259829</v>
      </c>
      <c r="AC169" s="219">
        <f>IF('Perfil - interna'!AC169+'Perfil - externa'!AC167=0,0,'Perfil - interna'!AC169+'Perfil - externa'!AC167)</f>
        <v>528460.0654514269</v>
      </c>
      <c r="AD169" s="219">
        <f>IF('Perfil - interna'!AD169+'Perfil - externa'!AD167=0,0,'Perfil - interna'!AD169+'Perfil - externa'!AD167)</f>
        <v>62423.431675046195</v>
      </c>
      <c r="AE169" s="219">
        <f>IF('Perfil - interna'!AE169+'Perfil - externa'!AE167=0,0,'Perfil - interna'!AE169+'Perfil - externa'!AE167)</f>
        <v>32678.710121708202</v>
      </c>
      <c r="AF169" s="219">
        <f>IF('Perfil - interna'!AF169+'Perfil - externa'!AF167=0,0,'Perfil - interna'!AF169+'Perfil - externa'!AF167)</f>
        <v>14225.1961576054</v>
      </c>
      <c r="AG169" s="219">
        <f>IF('Perfil - interna'!AG169+'Perfil - externa'!AG167=0,0,'Perfil - interna'!AG169+'Perfil - externa'!AG167)</f>
        <v>6429.4953229847997</v>
      </c>
      <c r="AH169" s="219">
        <f>IF('Perfil - interna'!AH169+'Perfil - externa'!AH167=0,0,'Perfil - interna'!AH169+'Perfil - externa'!AH167)</f>
        <v>5540.4837951913996</v>
      </c>
      <c r="AI169" s="219">
        <f>IF('Perfil - interna'!AI169+'Perfil - externa'!AI167=0,0,'Perfil - interna'!AI169+'Perfil - externa'!AI167)</f>
        <v>1473298.5337951914</v>
      </c>
      <c r="AJ169" s="219">
        <f>IF('Perfil - interna'!AJ169+'Perfil - externa'!AJ167=0,0,'Perfil - interna'!AJ169+'Perfil - externa'!AJ167)</f>
        <v>5540.4837951913996</v>
      </c>
      <c r="AK169" s="219">
        <f>IF('Perfil - interna'!AK169+'Perfil - externa'!AK167=0,0,'Perfil - interna'!AK169+'Perfil - externa'!AK167)</f>
        <v>165.06517978939999</v>
      </c>
      <c r="AL169" s="219">
        <f>IF('Perfil - interna'!AL169+'Perfil - externa'!AL167=0,0,'Perfil - interna'!AL169+'Perfil - externa'!AL167)</f>
        <v>0</v>
      </c>
      <c r="AM169" s="219">
        <f>IF('Perfil - interna'!AM169+'Perfil - externa'!AM167=0,0,'Perfil - interna'!AM169+'Perfil - externa'!AM167)</f>
        <v>0</v>
      </c>
      <c r="AN169" s="219">
        <f>IF('Perfil - interna'!AN169+'Perfil - externa'!AN167=0,0,'Perfil - interna'!AN169+'Perfil - externa'!AN167)</f>
        <v>0</v>
      </c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</row>
    <row r="170" spans="1:63">
      <c r="A170" s="170">
        <v>38564</v>
      </c>
      <c r="B170" s="220" t="str">
        <f>Servicio_internaColumna_título_intereses</f>
        <v>Intereses</v>
      </c>
      <c r="C170" s="221"/>
      <c r="D170" s="222"/>
      <c r="E170" s="222"/>
      <c r="F170" s="222">
        <f>IF('Perfil - interna'!F170+'Perfil - externa'!F168=0,0,'Perfil - interna'!F170+'Perfil - externa'!F168)</f>
        <v>0</v>
      </c>
      <c r="G170" s="222">
        <f>IF('Perfil - interna'!G170+'Perfil - externa'!G168=0,0,'Perfil - interna'!G170+'Perfil - externa'!G168)</f>
        <v>9763324.8419390321</v>
      </c>
      <c r="H170" s="222">
        <f>IF('Perfil - interna'!H170+'Perfil - externa'!H168=0,0,'Perfil - interna'!H170+'Perfil - externa'!H168)</f>
        <v>11962077.482786991</v>
      </c>
      <c r="I170" s="222">
        <f>IF('Perfil - interna'!I170+'Perfil - externa'!I168=0,0,'Perfil - interna'!I170+'Perfil - externa'!I168)</f>
        <v>10441643.82094118</v>
      </c>
      <c r="J170" s="222">
        <f>IF('Perfil - interna'!J170+'Perfil - externa'!J168=0,0,'Perfil - interna'!J170+'Perfil - externa'!J168)</f>
        <v>8594015.2678285092</v>
      </c>
      <c r="K170" s="222">
        <f>IF('Perfil - interna'!K170+'Perfil - externa'!K168=0,0,'Perfil - interna'!K170+'Perfil - externa'!K168)</f>
        <v>7139481.2431818191</v>
      </c>
      <c r="L170" s="222">
        <f>IF('Perfil - interna'!L170+'Perfil - externa'!L168=0,0,'Perfil - interna'!L170+'Perfil - externa'!L168)</f>
        <v>5996946.013994731</v>
      </c>
      <c r="M170" s="222">
        <f>IF('Perfil - interna'!M170+'Perfil - externa'!M168=0,0,'Perfil - interna'!M170+'Perfil - externa'!M168)</f>
        <v>4739815.0058563557</v>
      </c>
      <c r="N170" s="222">
        <f>IF('Perfil - interna'!N170+'Perfil - externa'!N168=0,0,'Perfil - interna'!N170+'Perfil - externa'!N168)</f>
        <v>3897312.7270026202</v>
      </c>
      <c r="O170" s="222">
        <f>IF('Perfil - interna'!O170+'Perfil - externa'!O168=0,0,'Perfil - interna'!O170+'Perfil - externa'!O168)</f>
        <v>2507806.198255199</v>
      </c>
      <c r="P170" s="222">
        <f>IF('Perfil - interna'!P170+'Perfil - externa'!P168=0,0,'Perfil - interna'!P170+'Perfil - externa'!P168)</f>
        <v>2074306.7796166749</v>
      </c>
      <c r="Q170" s="222">
        <f>IF('Perfil - interna'!Q170+'Perfil - externa'!Q168=0,0,'Perfil - interna'!Q170+'Perfil - externa'!Q168)</f>
        <v>1261105.6865829336</v>
      </c>
      <c r="R170" s="222">
        <f>IF('Perfil - interna'!R170+'Perfil - externa'!R168=0,0,'Perfil - interna'!R170+'Perfil - externa'!R168)</f>
        <v>853992.26079236413</v>
      </c>
      <c r="S170" s="222">
        <f>IF('Perfil - interna'!S170+'Perfil - externa'!S168=0,0,'Perfil - interna'!S170+'Perfil - externa'!S168)</f>
        <v>765580.53942382976</v>
      </c>
      <c r="T170" s="222">
        <f>IF('Perfil - interna'!T170+'Perfil - externa'!T168=0,0,'Perfil - interna'!T170+'Perfil - externa'!T168)</f>
        <v>720848.37448438187</v>
      </c>
      <c r="U170" s="222">
        <f>IF('Perfil - interna'!U170+'Perfil - externa'!U168=0,0,'Perfil - interna'!U170+'Perfil - externa'!U168)</f>
        <v>692413.4073585904</v>
      </c>
      <c r="V170" s="222">
        <f>IF('Perfil - interna'!V170+'Perfil - externa'!V168=0,0,'Perfil - interna'!V170+'Perfil - externa'!V168)</f>
        <v>520099.2422226083</v>
      </c>
      <c r="W170" s="222">
        <f>IF('Perfil - interna'!W170+'Perfil - externa'!W168=0,0,'Perfil - interna'!W170+'Perfil - externa'!W168)</f>
        <v>345344.0245837252</v>
      </c>
      <c r="X170" s="222">
        <f>IF('Perfil - interna'!X170+'Perfil - externa'!X168=0,0,'Perfil - interna'!X170+'Perfil - externa'!X168)</f>
        <v>328367.30275509157</v>
      </c>
      <c r="Y170" s="222">
        <f>IF('Perfil - interna'!Y170+'Perfil - externa'!Y168=0,0,'Perfil - interna'!Y170+'Perfil - externa'!Y168)</f>
        <v>316726.30567807017</v>
      </c>
      <c r="Z170" s="222">
        <f>IF('Perfil - interna'!Z170+'Perfil - externa'!Z168=0,0,'Perfil - interna'!Z170+'Perfil - externa'!Z168)</f>
        <v>258981.00632715627</v>
      </c>
      <c r="AA170" s="222">
        <f>IF('Perfil - interna'!AA170+'Perfil - externa'!AA168=0,0,'Perfil - interna'!AA170+'Perfil - externa'!AA168)</f>
        <v>205327.07015135259</v>
      </c>
      <c r="AB170" s="222">
        <f>IF('Perfil - interna'!AB170+'Perfil - externa'!AB168=0,0,'Perfil - interna'!AB170+'Perfil - externa'!AB168)</f>
        <v>202354.89282995136</v>
      </c>
      <c r="AC170" s="222">
        <f>IF('Perfil - interna'!AC170+'Perfil - externa'!AC168=0,0,'Perfil - interna'!AC170+'Perfil - externa'!AC168)</f>
        <v>179930.81273299656</v>
      </c>
      <c r="AD170" s="222">
        <f>IF('Perfil - interna'!AD170+'Perfil - externa'!AD168=0,0,'Perfil - interna'!AD170+'Perfil - externa'!AD168)</f>
        <v>156587.65622266688</v>
      </c>
      <c r="AE170" s="222">
        <f>IF('Perfil - interna'!AE170+'Perfil - externa'!AE168=0,0,'Perfil - interna'!AE170+'Perfil - externa'!AE168)</f>
        <v>153598.90620242298</v>
      </c>
      <c r="AF170" s="222">
        <f>IF('Perfil - interna'!AF170+'Perfil - externa'!AF168=0,0,'Perfil - interna'!AF170+'Perfil - externa'!AF168)</f>
        <v>152482.2485215051</v>
      </c>
      <c r="AG170" s="222">
        <f>IF('Perfil - interna'!AG170+'Perfil - externa'!AG168=0,0,'Perfil - interna'!AG170+'Perfil - externa'!AG168)</f>
        <v>152289.86425005979</v>
      </c>
      <c r="AH170" s="222">
        <f>IF('Perfil - interna'!AH170+'Perfil - externa'!AH168=0,0,'Perfil - interna'!AH170+'Perfil - externa'!AH168)</f>
        <v>152288.62627126608</v>
      </c>
      <c r="AI170" s="222">
        <f>IF('Perfil - interna'!AI170+'Perfil - externa'!AI168=0,0,'Perfil - interna'!AI170+'Perfil - externa'!AI168)</f>
        <v>76147.439448722376</v>
      </c>
      <c r="AJ170" s="222">
        <f>IF('Perfil - interna'!AJ170+'Perfil - externa'!AJ168=0,0,'Perfil - interna'!AJ170+'Perfil - externa'!AJ168)</f>
        <v>2.7854811787</v>
      </c>
      <c r="AK170" s="222">
        <f>IF('Perfil - interna'!AK170+'Perfil - externa'!AK168=0,0,'Perfil - interna'!AK170+'Perfil - externa'!AK168)</f>
        <v>1.5474561563999998</v>
      </c>
      <c r="AL170" s="222">
        <f>IF('Perfil - interna'!AL170+'Perfil - externa'!AL168=0,0,'Perfil - interna'!AL170+'Perfil - externa'!AL168)</f>
        <v>0</v>
      </c>
      <c r="AM170" s="222">
        <f>IF('Perfil - interna'!AM170+'Perfil - externa'!AM168=0,0,'Perfil - interna'!AM170+'Perfil - externa'!AM168)</f>
        <v>0</v>
      </c>
      <c r="AN170" s="222">
        <f>IF('Perfil - interna'!AN170+'Perfil - externa'!AN168=0,0,'Perfil - interna'!AN170+'Perfil - externa'!AN168)</f>
        <v>0</v>
      </c>
      <c r="AO170" s="222"/>
      <c r="AP170" s="222"/>
      <c r="AQ170" s="222"/>
      <c r="AR170" s="222"/>
      <c r="AS170" s="222"/>
      <c r="AT170" s="222"/>
      <c r="AU170" s="222"/>
      <c r="AV170" s="222"/>
      <c r="AW170" s="222"/>
      <c r="AX170" s="222"/>
      <c r="AY170" s="222"/>
      <c r="AZ170" s="222"/>
      <c r="BA170" s="222"/>
      <c r="BB170" s="222"/>
      <c r="BC170" s="222"/>
      <c r="BD170" s="222"/>
      <c r="BE170" s="222"/>
      <c r="BF170" s="222"/>
      <c r="BG170" s="222"/>
      <c r="BH170" s="222"/>
      <c r="BI170" s="222"/>
      <c r="BJ170" s="222"/>
      <c r="BK170" s="222"/>
    </row>
    <row r="171" spans="1:63">
      <c r="A171" s="171"/>
      <c r="B171" s="318" t="str">
        <f>Servicio_internaColumna_título_total</f>
        <v>Total</v>
      </c>
      <c r="C171" s="319"/>
      <c r="D171" s="320"/>
      <c r="E171" s="320"/>
      <c r="F171" s="320">
        <f>IF('Perfil - interna'!F171+'Perfil - externa'!F169=0,0,'Perfil - interna'!F171+'Perfil - externa'!F169)</f>
        <v>0</v>
      </c>
      <c r="G171" s="320">
        <f>IF('Perfil - interna'!G171+'Perfil - externa'!G169=0,0,'Perfil - interna'!G171+'Perfil - externa'!G169)</f>
        <v>17465398.123607472</v>
      </c>
      <c r="H171" s="320">
        <f>IF('Perfil - interna'!H171+'Perfil - externa'!H169=0,0,'Perfil - interna'!H171+'Perfil - externa'!H169)</f>
        <v>28264293.717939775</v>
      </c>
      <c r="I171" s="320">
        <f>IF('Perfil - interna'!I171+'Perfil - externa'!I169=0,0,'Perfil - interna'!I171+'Perfil - externa'!I169)</f>
        <v>28349853.047759004</v>
      </c>
      <c r="J171" s="320">
        <f>IF('Perfil - interna'!J171+'Perfil - externa'!J169=0,0,'Perfil - interna'!J171+'Perfil - externa'!J169)</f>
        <v>22308261.688259587</v>
      </c>
      <c r="K171" s="320">
        <f>IF('Perfil - interna'!K171+'Perfil - externa'!K169=0,0,'Perfil - interna'!K171+'Perfil - externa'!K169)</f>
        <v>19469413.876193818</v>
      </c>
      <c r="L171" s="320">
        <f>IF('Perfil - interna'!L171+'Perfil - externa'!L169=0,0,'Perfil - interna'!L171+'Perfil - externa'!L169)</f>
        <v>19097788.530216314</v>
      </c>
      <c r="M171" s="320">
        <f>IF('Perfil - interna'!M171+'Perfil - externa'!M169=0,0,'Perfil - interna'!M171+'Perfil - externa'!M169)</f>
        <v>13387257.480288878</v>
      </c>
      <c r="N171" s="320">
        <f>IF('Perfil - interna'!N171+'Perfil - externa'!N169=0,0,'Perfil - interna'!N171+'Perfil - externa'!N169)</f>
        <v>17161130.974712424</v>
      </c>
      <c r="O171" s="320">
        <f>IF('Perfil - interna'!O171+'Perfil - externa'!O169=0,0,'Perfil - interna'!O171+'Perfil - externa'!O169)</f>
        <v>8585713.0066952258</v>
      </c>
      <c r="P171" s="320">
        <f>IF('Perfil - interna'!P171+'Perfil - externa'!P169=0,0,'Perfil - interna'!P171+'Perfil - externa'!P169)</f>
        <v>10869419.452884145</v>
      </c>
      <c r="Q171" s="320">
        <f>IF('Perfil - interna'!Q171+'Perfil - externa'!Q169=0,0,'Perfil - interna'!Q171+'Perfil - externa'!Q169)</f>
        <v>6261440.6204026956</v>
      </c>
      <c r="R171" s="320">
        <f>IF('Perfil - interna'!R171+'Perfil - externa'!R169=0,0,'Perfil - interna'!R171+'Perfil - externa'!R169)</f>
        <v>2640790.9507128862</v>
      </c>
      <c r="S171" s="320">
        <f>IF('Perfil - interna'!S171+'Perfil - externa'!S169=0,0,'Perfil - interna'!S171+'Perfil - externa'!S169)</f>
        <v>1676070.1826828201</v>
      </c>
      <c r="T171" s="320">
        <f>IF('Perfil - interna'!T171+'Perfil - externa'!T169=0,0,'Perfil - interna'!T171+'Perfil - externa'!T169)</f>
        <v>1324708.4364722339</v>
      </c>
      <c r="U171" s="320">
        <f>IF('Perfil - interna'!U171+'Perfil - externa'!U169=0,0,'Perfil - interna'!U171+'Perfil - externa'!U169)</f>
        <v>1227038.2837873581</v>
      </c>
      <c r="V171" s="320">
        <f>IF('Perfil - interna'!V171+'Perfil - externa'!V169=0,0,'Perfil - interna'!V171+'Perfil - externa'!V169)</f>
        <v>3510198.7596192956</v>
      </c>
      <c r="W171" s="320">
        <f>IF('Perfil - interna'!W171+'Perfil - externa'!W169=0,0,'Perfil - interna'!W171+'Perfil - externa'!W169)</f>
        <v>731922.88650018675</v>
      </c>
      <c r="X171" s="320">
        <f>IF('Perfil - interna'!X171+'Perfil - externa'!X169=0,0,'Perfil - interna'!X171+'Perfil - externa'!X169)</f>
        <v>584925.58171680383</v>
      </c>
      <c r="Y171" s="320">
        <f>IF('Perfil - interna'!Y171+'Perfil - externa'!Y169=0,0,'Perfil - interna'!Y171+'Perfil - externa'!Y169)</f>
        <v>572091.83539980778</v>
      </c>
      <c r="Z171" s="320">
        <f>IF('Perfil - interna'!Z171+'Perfil - externa'!Z169=0,0,'Perfil - interna'!Z171+'Perfil - externa'!Z169)</f>
        <v>1599295.1271595848</v>
      </c>
      <c r="AA171" s="320">
        <f>IF('Perfil - interna'!AA171+'Perfil - externa'!AA169=0,0,'Perfil - interna'!AA171+'Perfil - externa'!AA169)</f>
        <v>280239.25505777297</v>
      </c>
      <c r="AB171" s="320">
        <f>IF('Perfil - interna'!AB171+'Perfil - externa'!AB169=0,0,'Perfil - interna'!AB171+'Perfil - externa'!AB169)</f>
        <v>261433.28419254965</v>
      </c>
      <c r="AC171" s="320">
        <f>IF('Perfil - interna'!AC171+'Perfil - externa'!AC169=0,0,'Perfil - interna'!AC171+'Perfil - externa'!AC169)</f>
        <v>708390.87818442343</v>
      </c>
      <c r="AD171" s="320">
        <f>IF('Perfil - interna'!AD171+'Perfil - externa'!AD169=0,0,'Perfil - interna'!AD171+'Perfil - externa'!AD169)</f>
        <v>219011.08789771306</v>
      </c>
      <c r="AE171" s="320">
        <f>IF('Perfil - interna'!AE171+'Perfil - externa'!AE169=0,0,'Perfil - interna'!AE171+'Perfil - externa'!AE169)</f>
        <v>186277.61632413117</v>
      </c>
      <c r="AF171" s="320">
        <f>IF('Perfil - interna'!AF171+'Perfil - externa'!AF169=0,0,'Perfil - interna'!AF171+'Perfil - externa'!AF169)</f>
        <v>166707.44467911049</v>
      </c>
      <c r="AG171" s="320">
        <f>IF('Perfil - interna'!AG171+'Perfil - externa'!AG169=0,0,'Perfil - interna'!AG171+'Perfil - externa'!AG169)</f>
        <v>158719.35957304458</v>
      </c>
      <c r="AH171" s="320">
        <f>IF('Perfil - interna'!AH171+'Perfil - externa'!AH169=0,0,'Perfil - interna'!AH171+'Perfil - externa'!AH169)</f>
        <v>157829.11006645748</v>
      </c>
      <c r="AI171" s="320">
        <f>IF('Perfil - interna'!AI171+'Perfil - externa'!AI169=0,0,'Perfil - interna'!AI171+'Perfil - externa'!AI169)</f>
        <v>1549445.9732439138</v>
      </c>
      <c r="AJ171" s="320">
        <f>IF('Perfil - interna'!AJ171+'Perfil - externa'!AJ169=0,0,'Perfil - interna'!AJ171+'Perfil - externa'!AJ169)</f>
        <v>5543.2692763700998</v>
      </c>
      <c r="AK171" s="320">
        <f>IF('Perfil - interna'!AK171+'Perfil - externa'!AK169=0,0,'Perfil - interna'!AK171+'Perfil - externa'!AK169)</f>
        <v>166.61263594579998</v>
      </c>
      <c r="AL171" s="320">
        <f>IF('Perfil - interna'!AL171+'Perfil - externa'!AL169=0,0,'Perfil - interna'!AL171+'Perfil - externa'!AL169)</f>
        <v>0</v>
      </c>
      <c r="AM171" s="320">
        <f>IF('Perfil - interna'!AM171+'Perfil - externa'!AM169=0,0,'Perfil - interna'!AM171+'Perfil - externa'!AM169)</f>
        <v>0</v>
      </c>
      <c r="AN171" s="320">
        <f>IF('Perfil - interna'!AN171+'Perfil - externa'!AN169=0,0,'Perfil - interna'!AN171+'Perfil - externa'!AN169)</f>
        <v>0</v>
      </c>
      <c r="AO171" s="320"/>
      <c r="AP171" s="320"/>
      <c r="AQ171" s="320"/>
      <c r="AR171" s="320"/>
      <c r="AS171" s="320"/>
      <c r="AT171" s="320"/>
      <c r="AU171" s="320"/>
      <c r="AV171" s="320"/>
      <c r="AW171" s="320"/>
      <c r="AX171" s="320"/>
      <c r="AY171" s="320"/>
      <c r="AZ171" s="320"/>
      <c r="BA171" s="320"/>
      <c r="BB171" s="320"/>
      <c r="BC171" s="320"/>
      <c r="BD171" s="320"/>
      <c r="BE171" s="320"/>
      <c r="BF171" s="320"/>
      <c r="BG171" s="320"/>
      <c r="BH171" s="320"/>
      <c r="BI171" s="320"/>
      <c r="BJ171" s="320"/>
      <c r="BK171" s="320"/>
    </row>
    <row r="172" spans="1:63">
      <c r="A172" s="167"/>
      <c r="B172" s="217" t="str">
        <f>Servicio_internaColumna_título_amortizaciones</f>
        <v>Amortizaciones</v>
      </c>
      <c r="C172" s="218"/>
      <c r="D172" s="219"/>
      <c r="E172" s="219"/>
      <c r="F172" s="219">
        <f>IF('Perfil - interna'!F172+'Perfil - externa'!F170=0,0,'Perfil - interna'!F172+'Perfil - externa'!F170)</f>
        <v>0</v>
      </c>
      <c r="G172" s="219">
        <f>IF('Perfil - interna'!G172+'Perfil - externa'!G170=0,0,'Perfil - interna'!G172+'Perfil - externa'!G170)</f>
        <v>6815303.4290314093</v>
      </c>
      <c r="H172" s="219">
        <f>IF('Perfil - interna'!H172+'Perfil - externa'!H170=0,0,'Perfil - interna'!H172+'Perfil - externa'!H170)</f>
        <v>17516740.515270278</v>
      </c>
      <c r="I172" s="219">
        <f>IF('Perfil - interna'!I172+'Perfil - externa'!I170=0,0,'Perfil - interna'!I172+'Perfil - externa'!I170)</f>
        <v>17903434.459624961</v>
      </c>
      <c r="J172" s="219">
        <f>IF('Perfil - interna'!J172+'Perfil - externa'!J170=0,0,'Perfil - interna'!J172+'Perfil - externa'!J170)</f>
        <v>13896248.755268767</v>
      </c>
      <c r="K172" s="219">
        <f>IF('Perfil - interna'!K172+'Perfil - externa'!K170=0,0,'Perfil - interna'!K172+'Perfil - externa'!K170)</f>
        <v>12617377.850070704</v>
      </c>
      <c r="L172" s="219">
        <f>IF('Perfil - interna'!L172+'Perfil - externa'!L170=0,0,'Perfil - interna'!L172+'Perfil - externa'!L170)</f>
        <v>13144476.689313475</v>
      </c>
      <c r="M172" s="219">
        <f>IF('Perfil - interna'!M172+'Perfil - externa'!M170=0,0,'Perfil - interna'!M172+'Perfil - externa'!M170)</f>
        <v>8678097.836902583</v>
      </c>
      <c r="N172" s="219">
        <f>IF('Perfil - interna'!N172+'Perfil - externa'!N170=0,0,'Perfil - interna'!N172+'Perfil - externa'!N170)</f>
        <v>13285000.265140451</v>
      </c>
      <c r="O172" s="219">
        <f>IF('Perfil - interna'!O172+'Perfil - externa'!O170=0,0,'Perfil - interna'!O172+'Perfil - externa'!O170)</f>
        <v>6091295.724616345</v>
      </c>
      <c r="P172" s="219">
        <f>IF('Perfil - interna'!P172+'Perfil - externa'!P170=0,0,'Perfil - interna'!P172+'Perfil - externa'!P170)</f>
        <v>8961395.7381270099</v>
      </c>
      <c r="Q172" s="219">
        <f>IF('Perfil - interna'!Q172+'Perfil - externa'!Q170=0,0,'Perfil - interna'!Q172+'Perfil - externa'!Q170)</f>
        <v>5134220.084018549</v>
      </c>
      <c r="R172" s="219">
        <f>IF('Perfil - interna'!R172+'Perfil - externa'!R170=0,0,'Perfil - interna'!R172+'Perfil - externa'!R170)</f>
        <v>1804124.189101551</v>
      </c>
      <c r="S172" s="219">
        <f>IF('Perfil - interna'!S172+'Perfil - externa'!S170=0,0,'Perfil - interna'!S172+'Perfil - externa'!S170)</f>
        <v>929699.93609394308</v>
      </c>
      <c r="T172" s="219">
        <f>IF('Perfil - interna'!T172+'Perfil - externa'!T170=0,0,'Perfil - interna'!T172+'Perfil - externa'!T170)</f>
        <v>613043.06735447422</v>
      </c>
      <c r="U172" s="219">
        <f>IF('Perfil - interna'!U172+'Perfil - externa'!U170=0,0,'Perfil - interna'!U172+'Perfil - externa'!U170)</f>
        <v>532992.94947041117</v>
      </c>
      <c r="V172" s="219">
        <f>IF('Perfil - interna'!V172+'Perfil - externa'!V170=0,0,'Perfil - interna'!V172+'Perfil - externa'!V170)</f>
        <v>3125226.7416193555</v>
      </c>
      <c r="W172" s="219">
        <f>IF('Perfil - interna'!W172+'Perfil - externa'!W170=0,0,'Perfil - interna'!W172+'Perfil - externa'!W170)</f>
        <v>385402.32786687306</v>
      </c>
      <c r="X172" s="219">
        <f>IF('Perfil - interna'!X172+'Perfil - externa'!X170=0,0,'Perfil - interna'!X172+'Perfil - externa'!X170)</f>
        <v>255729.59211844509</v>
      </c>
      <c r="Y172" s="219">
        <f>IF('Perfil - interna'!Y172+'Perfil - externa'!Y170=0,0,'Perfil - interna'!Y172+'Perfil - externa'!Y170)</f>
        <v>254529.54675904207</v>
      </c>
      <c r="Z172" s="219">
        <f>IF('Perfil - interna'!Z172+'Perfil - externa'!Z170=0,0,'Perfil - interna'!Z172+'Perfil - externa'!Z170)</f>
        <v>1336085.7520080302</v>
      </c>
      <c r="AA172" s="219">
        <f>IF('Perfil - interna'!AA172+'Perfil - externa'!AA170=0,0,'Perfil - interna'!AA172+'Perfil - externa'!AA170)</f>
        <v>74680.556014026006</v>
      </c>
      <c r="AB172" s="219">
        <f>IF('Perfil - interna'!AB172+'Perfil - externa'!AB170=0,0,'Perfil - interna'!AB172+'Perfil - externa'!AB170)</f>
        <v>58895.604506504998</v>
      </c>
      <c r="AC172" s="219">
        <f>IF('Perfil - interna'!AC172+'Perfil - externa'!AC170=0,0,'Perfil - interna'!AC172+'Perfil - externa'!AC170)</f>
        <v>526829.39077859104</v>
      </c>
      <c r="AD172" s="219">
        <f>IF('Perfil - interna'!AD172+'Perfil - externa'!AD170=0,0,'Perfil - interna'!AD172+'Perfil - externa'!AD170)</f>
        <v>62230.326471684013</v>
      </c>
      <c r="AE172" s="219">
        <f>IF('Perfil - interna'!AE172+'Perfil - externa'!AE170=0,0,'Perfil - interna'!AE172+'Perfil - externa'!AE170)</f>
        <v>32577.357584304002</v>
      </c>
      <c r="AF172" s="219">
        <f>IF('Perfil - interna'!AF172+'Perfil - externa'!AF170=0,0,'Perfil - interna'!AF172+'Perfil - externa'!AF170)</f>
        <v>14180.766630876</v>
      </c>
      <c r="AG172" s="219">
        <f>IF('Perfil - interna'!AG172+'Perfil - externa'!AG170=0,0,'Perfil - interna'!AG172+'Perfil - externa'!AG170)</f>
        <v>6409.1129648699998</v>
      </c>
      <c r="AH172" s="219">
        <f>IF('Perfil - interna'!AH172+'Perfil - externa'!AH170=0,0,'Perfil - interna'!AH172+'Perfil - externa'!AH170)</f>
        <v>5522.8437447359993</v>
      </c>
      <c r="AI172" s="219">
        <f>IF('Perfil - interna'!AI172+'Perfil - externa'!AI170=0,0,'Perfil - interna'!AI172+'Perfil - externa'!AI170)</f>
        <v>1468753.3437447362</v>
      </c>
      <c r="AJ172" s="219">
        <f>IF('Perfil - interna'!AJ172+'Perfil - externa'!AJ170=0,0,'Perfil - interna'!AJ172+'Perfil - externa'!AJ170)</f>
        <v>5522.8437447359993</v>
      </c>
      <c r="AK172" s="219">
        <f>IF('Perfil - interna'!AK172+'Perfil - externa'!AK170=0,0,'Perfil - interna'!AK172+'Perfil - externa'!AK170)</f>
        <v>164.006524716</v>
      </c>
      <c r="AL172" s="219">
        <f>IF('Perfil - interna'!AL172+'Perfil - externa'!AL170=0,0,'Perfil - interna'!AL172+'Perfil - externa'!AL170)</f>
        <v>0</v>
      </c>
      <c r="AM172" s="219">
        <f>IF('Perfil - interna'!AM172+'Perfil - externa'!AM170=0,0,'Perfil - interna'!AM172+'Perfil - externa'!AM170)</f>
        <v>0</v>
      </c>
      <c r="AN172" s="219">
        <f>IF('Perfil - interna'!AN172+'Perfil - externa'!AN170=0,0,'Perfil - interna'!AN172+'Perfil - externa'!AN170)</f>
        <v>0</v>
      </c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</row>
    <row r="173" spans="1:63">
      <c r="A173" s="170">
        <v>38595</v>
      </c>
      <c r="B173" s="220" t="str">
        <f>Servicio_internaColumna_título_intereses</f>
        <v>Intereses</v>
      </c>
      <c r="C173" s="221"/>
      <c r="D173" s="222"/>
      <c r="E173" s="222"/>
      <c r="F173" s="222">
        <f>IF('Perfil - interna'!F173+'Perfil - externa'!F171=0,0,'Perfil - interna'!F173+'Perfil - externa'!F171)</f>
        <v>0</v>
      </c>
      <c r="G173" s="222">
        <f>IF('Perfil - interna'!G173+'Perfil - externa'!G171=0,0,'Perfil - interna'!G173+'Perfil - externa'!G171)</f>
        <v>9568496.0581692457</v>
      </c>
      <c r="H173" s="222">
        <f>IF('Perfil - interna'!H173+'Perfil - externa'!H171=0,0,'Perfil - interna'!H173+'Perfil - externa'!H171)</f>
        <v>12188819.496036669</v>
      </c>
      <c r="I173" s="222">
        <f>IF('Perfil - interna'!I173+'Perfil - externa'!I171=0,0,'Perfil - interna'!I173+'Perfil - externa'!I171)</f>
        <v>10519396.929209735</v>
      </c>
      <c r="J173" s="222">
        <f>IF('Perfil - interna'!J173+'Perfil - externa'!J171=0,0,'Perfil - interna'!J173+'Perfil - externa'!J171)</f>
        <v>8697525.4739177078</v>
      </c>
      <c r="K173" s="222">
        <f>IF('Perfil - interna'!K173+'Perfil - externa'!K171=0,0,'Perfil - interna'!K173+'Perfil - externa'!K171)</f>
        <v>7202497.1370666763</v>
      </c>
      <c r="L173" s="222">
        <f>IF('Perfil - interna'!L173+'Perfil - externa'!L171=0,0,'Perfil - interna'!L173+'Perfil - externa'!L171)</f>
        <v>6015270.1820876747</v>
      </c>
      <c r="M173" s="222">
        <f>IF('Perfil - interna'!M173+'Perfil - externa'!M171=0,0,'Perfil - interna'!M173+'Perfil - externa'!M171)</f>
        <v>4787812.5113558816</v>
      </c>
      <c r="N173" s="222">
        <f>IF('Perfil - interna'!N173+'Perfil - externa'!N171=0,0,'Perfil - interna'!N173+'Perfil - externa'!N171)</f>
        <v>3943386.4142109929</v>
      </c>
      <c r="O173" s="222">
        <f>IF('Perfil - interna'!O173+'Perfil - externa'!O171=0,0,'Perfil - interna'!O173+'Perfil - externa'!O171)</f>
        <v>2553531.5004813327</v>
      </c>
      <c r="P173" s="222">
        <f>IF('Perfil - interna'!P173+'Perfil - externa'!P171=0,0,'Perfil - interna'!P173+'Perfil - externa'!P171)</f>
        <v>2119183.6077777348</v>
      </c>
      <c r="Q173" s="222">
        <f>IF('Perfil - interna'!Q173+'Perfil - externa'!Q171=0,0,'Perfil - interna'!Q173+'Perfil - externa'!Q171)</f>
        <v>1284542.048500977</v>
      </c>
      <c r="R173" s="222">
        <f>IF('Perfil - interna'!R173+'Perfil - externa'!R171=0,0,'Perfil - interna'!R173+'Perfil - externa'!R171)</f>
        <v>870998.63280445593</v>
      </c>
      <c r="S173" s="222">
        <f>IF('Perfil - interna'!S173+'Perfil - externa'!S171=0,0,'Perfil - interna'!S173+'Perfil - externa'!S171)</f>
        <v>781255.64281086402</v>
      </c>
      <c r="T173" s="222">
        <f>IF('Perfil - interna'!T173+'Perfil - externa'!T171=0,0,'Perfil - interna'!T173+'Perfil - externa'!T171)</f>
        <v>734923.42446159688</v>
      </c>
      <c r="U173" s="222">
        <f>IF('Perfil - interna'!U173+'Perfil - externa'!U171=0,0,'Perfil - interna'!U173+'Perfil - externa'!U171)</f>
        <v>706144.42529354198</v>
      </c>
      <c r="V173" s="222">
        <f>IF('Perfil - interna'!V173+'Perfil - externa'!V171=0,0,'Perfil - interna'!V173+'Perfil - externa'!V171)</f>
        <v>534362.84306870494</v>
      </c>
      <c r="W173" s="222">
        <f>IF('Perfil - interna'!W173+'Perfil - externa'!W171=0,0,'Perfil - interna'!W173+'Perfil - externa'!W171)</f>
        <v>344271.00496920897</v>
      </c>
      <c r="X173" s="222">
        <f>IF('Perfil - interna'!X173+'Perfil - externa'!X171=0,0,'Perfil - interna'!X173+'Perfil - externa'!X171)</f>
        <v>327347.94194857805</v>
      </c>
      <c r="Y173" s="222">
        <f>IF('Perfil - interna'!Y173+'Perfil - externa'!Y171=0,0,'Perfil - interna'!Y173+'Perfil - externa'!Y171)</f>
        <v>315745.11310874403</v>
      </c>
      <c r="Z173" s="222">
        <f>IF('Perfil - interna'!Z173+'Perfil - externa'!Z171=0,0,'Perfil - interna'!Z173+'Perfil - externa'!Z171)</f>
        <v>258180.309783003</v>
      </c>
      <c r="AA173" s="222">
        <f>IF('Perfil - interna'!AA173+'Perfil - externa'!AA171=0,0,'Perfil - interna'!AA173+'Perfil - externa'!AA171)</f>
        <v>204693.65740376699</v>
      </c>
      <c r="AB173" s="222">
        <f>IF('Perfil - interna'!AB173+'Perfil - externa'!AB171=0,0,'Perfil - interna'!AB173+'Perfil - externa'!AB171)</f>
        <v>201730.65239485199</v>
      </c>
      <c r="AC173" s="222">
        <f>IF('Perfil - interna'!AC173+'Perfil - externa'!AC171=0,0,'Perfil - interna'!AC173+'Perfil - externa'!AC171)</f>
        <v>179375.747321601</v>
      </c>
      <c r="AD173" s="222">
        <f>IF('Perfil - interna'!AD173+'Perfil - externa'!AD171=0,0,'Perfil - interna'!AD173+'Perfil - externa'!AD171)</f>
        <v>156104.60090594404</v>
      </c>
      <c r="AE173" s="222">
        <f>IF('Perfil - interna'!AE173+'Perfil - externa'!AE171=0,0,'Perfil - interna'!AE173+'Perfil - externa'!AE171)</f>
        <v>153125.07429645897</v>
      </c>
      <c r="AF173" s="222">
        <f>IF('Perfil - interna'!AF173+'Perfil - externa'!AF171=0,0,'Perfil - interna'!AF173+'Perfil - externa'!AF171)</f>
        <v>152011.86526127698</v>
      </c>
      <c r="AG173" s="222">
        <f>IF('Perfil - interna'!AG173+'Perfil - externa'!AG171=0,0,'Perfil - interna'!AG173+'Perfil - externa'!AG171)</f>
        <v>151820.07855662101</v>
      </c>
      <c r="AH173" s="222">
        <f>IF('Perfil - interna'!AH173+'Perfil - externa'!AH171=0,0,'Perfil - interna'!AH173+'Perfil - externa'!AH171)</f>
        <v>151818.848521281</v>
      </c>
      <c r="AI173" s="222">
        <f>IF('Perfil - interna'!AI173+'Perfil - externa'!AI171=0,0,'Perfil - interna'!AI173+'Perfil - externa'!AI171)</f>
        <v>75912.536298441002</v>
      </c>
      <c r="AJ173" s="222">
        <f>IF('Perfil - interna'!AJ173+'Perfil - externa'!AJ171=0,0,'Perfil - interna'!AJ173+'Perfil - externa'!AJ171)</f>
        <v>2.7676025580000001</v>
      </c>
      <c r="AK173" s="222">
        <f>IF('Perfil - interna'!AK173+'Perfil - externa'!AK171=0,0,'Perfil - interna'!AK173+'Perfil - externa'!AK171)</f>
        <v>1.5375441750000001</v>
      </c>
      <c r="AL173" s="222">
        <f>IF('Perfil - interna'!AL173+'Perfil - externa'!AL171=0,0,'Perfil - interna'!AL173+'Perfil - externa'!AL171)</f>
        <v>0</v>
      </c>
      <c r="AM173" s="222">
        <f>IF('Perfil - interna'!AM173+'Perfil - externa'!AM171=0,0,'Perfil - interna'!AM173+'Perfil - externa'!AM171)</f>
        <v>0</v>
      </c>
      <c r="AN173" s="222">
        <f>IF('Perfil - interna'!AN173+'Perfil - externa'!AN171=0,0,'Perfil - interna'!AN173+'Perfil - externa'!AN171)</f>
        <v>0</v>
      </c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222"/>
      <c r="BI173" s="222"/>
      <c r="BJ173" s="222"/>
      <c r="BK173" s="222"/>
    </row>
    <row r="174" spans="1:63">
      <c r="A174" s="171"/>
      <c r="B174" s="318" t="str">
        <f>Servicio_internaColumna_título_total</f>
        <v>Total</v>
      </c>
      <c r="C174" s="319"/>
      <c r="D174" s="320"/>
      <c r="E174" s="320"/>
      <c r="F174" s="320">
        <f>IF('Perfil - interna'!F174+'Perfil - externa'!F172=0,0,'Perfil - interna'!F174+'Perfil - externa'!F172)</f>
        <v>0</v>
      </c>
      <c r="G174" s="320">
        <f>IF('Perfil - interna'!G174+'Perfil - externa'!G172=0,0,'Perfil - interna'!G174+'Perfil - externa'!G172)</f>
        <v>16383799.487200657</v>
      </c>
      <c r="H174" s="320">
        <f>IF('Perfil - interna'!H174+'Perfil - externa'!H172=0,0,'Perfil - interna'!H174+'Perfil - externa'!H172)</f>
        <v>29705560.011306945</v>
      </c>
      <c r="I174" s="320">
        <f>IF('Perfil - interna'!I174+'Perfil - externa'!I172=0,0,'Perfil - interna'!I174+'Perfil - externa'!I172)</f>
        <v>28422831.3888347</v>
      </c>
      <c r="J174" s="320">
        <f>IF('Perfil - interna'!J174+'Perfil - externa'!J172=0,0,'Perfil - interna'!J174+'Perfil - externa'!J172)</f>
        <v>22593774.229186475</v>
      </c>
      <c r="K174" s="320">
        <f>IF('Perfil - interna'!K174+'Perfil - externa'!K172=0,0,'Perfil - interna'!K174+'Perfil - externa'!K172)</f>
        <v>19819874.987137377</v>
      </c>
      <c r="L174" s="320">
        <f>IF('Perfil - interna'!L174+'Perfil - externa'!L172=0,0,'Perfil - interna'!L174+'Perfil - externa'!L172)</f>
        <v>19159746.87140115</v>
      </c>
      <c r="M174" s="320">
        <f>IF('Perfil - interna'!M174+'Perfil - externa'!M172=0,0,'Perfil - interna'!M174+'Perfil - externa'!M172)</f>
        <v>13465910.348258466</v>
      </c>
      <c r="N174" s="320">
        <f>IF('Perfil - interna'!N174+'Perfil - externa'!N172=0,0,'Perfil - interna'!N174+'Perfil - externa'!N172)</f>
        <v>17228386.679351445</v>
      </c>
      <c r="O174" s="320">
        <f>IF('Perfil - interna'!O174+'Perfil - externa'!O172=0,0,'Perfil - interna'!O174+'Perfil - externa'!O172)</f>
        <v>8644827.2250976786</v>
      </c>
      <c r="P174" s="320">
        <f>IF('Perfil - interna'!P174+'Perfil - externa'!P172=0,0,'Perfil - interna'!P174+'Perfil - externa'!P172)</f>
        <v>11080579.345904745</v>
      </c>
      <c r="Q174" s="320">
        <f>IF('Perfil - interna'!Q174+'Perfil - externa'!Q172=0,0,'Perfil - interna'!Q174+'Perfil - externa'!Q172)</f>
        <v>6418762.1325195255</v>
      </c>
      <c r="R174" s="320">
        <f>IF('Perfil - interna'!R174+'Perfil - externa'!R172=0,0,'Perfil - interna'!R174+'Perfil - externa'!R172)</f>
        <v>2675122.8219060069</v>
      </c>
      <c r="S174" s="320">
        <f>IF('Perfil - interna'!S174+'Perfil - externa'!S172=0,0,'Perfil - interna'!S174+'Perfil - externa'!S172)</f>
        <v>1710955.5789048071</v>
      </c>
      <c r="T174" s="320">
        <f>IF('Perfil - interna'!T174+'Perfil - externa'!T172=0,0,'Perfil - interna'!T174+'Perfil - externa'!T172)</f>
        <v>1347966.4918160711</v>
      </c>
      <c r="U174" s="320">
        <f>IF('Perfil - interna'!U174+'Perfil - externa'!U172=0,0,'Perfil - interna'!U174+'Perfil - externa'!U172)</f>
        <v>1239137.374763953</v>
      </c>
      <c r="V174" s="320">
        <f>IF('Perfil - interna'!V174+'Perfil - externa'!V172=0,0,'Perfil - interna'!V174+'Perfil - externa'!V172)</f>
        <v>3659589.5846880605</v>
      </c>
      <c r="W174" s="320">
        <f>IF('Perfil - interna'!W174+'Perfil - externa'!W172=0,0,'Perfil - interna'!W174+'Perfil - externa'!W172)</f>
        <v>729673.33283608197</v>
      </c>
      <c r="X174" s="320">
        <f>IF('Perfil - interna'!X174+'Perfil - externa'!X172=0,0,'Perfil - interna'!X174+'Perfil - externa'!X172)</f>
        <v>583077.53406702308</v>
      </c>
      <c r="Y174" s="320">
        <f>IF('Perfil - interna'!Y174+'Perfil - externa'!Y172=0,0,'Perfil - interna'!Y174+'Perfil - externa'!Y172)</f>
        <v>570274.6598677861</v>
      </c>
      <c r="Z174" s="320">
        <f>IF('Perfil - interna'!Z174+'Perfil - externa'!Z172=0,0,'Perfil - interna'!Z174+'Perfil - externa'!Z172)</f>
        <v>1594266.0617910333</v>
      </c>
      <c r="AA174" s="320">
        <f>IF('Perfil - interna'!AA174+'Perfil - externa'!AA172=0,0,'Perfil - interna'!AA174+'Perfil - externa'!AA172)</f>
        <v>279374.21341779298</v>
      </c>
      <c r="AB174" s="320">
        <f>IF('Perfil - interna'!AB174+'Perfil - externa'!AB172=0,0,'Perfil - interna'!AB174+'Perfil - externa'!AB172)</f>
        <v>260626.25690135697</v>
      </c>
      <c r="AC174" s="320">
        <f>IF('Perfil - interna'!AC174+'Perfil - externa'!AC172=0,0,'Perfil - interna'!AC174+'Perfil - externa'!AC172)</f>
        <v>706205.13810019207</v>
      </c>
      <c r="AD174" s="320">
        <f>IF('Perfil - interna'!AD174+'Perfil - externa'!AD172=0,0,'Perfil - interna'!AD174+'Perfil - externa'!AD172)</f>
        <v>218334.92737762805</v>
      </c>
      <c r="AE174" s="320">
        <f>IF('Perfil - interna'!AE174+'Perfil - externa'!AE172=0,0,'Perfil - interna'!AE174+'Perfil - externa'!AE172)</f>
        <v>185702.43188076298</v>
      </c>
      <c r="AF174" s="320">
        <f>IF('Perfil - interna'!AF174+'Perfil - externa'!AF172=0,0,'Perfil - interna'!AF174+'Perfil - externa'!AF172)</f>
        <v>166192.63189215297</v>
      </c>
      <c r="AG174" s="320">
        <f>IF('Perfil - interna'!AG174+'Perfil - externa'!AG172=0,0,'Perfil - interna'!AG174+'Perfil - externa'!AG172)</f>
        <v>158229.19152149101</v>
      </c>
      <c r="AH174" s="320">
        <f>IF('Perfil - interna'!AH174+'Perfil - externa'!AH172=0,0,'Perfil - interna'!AH174+'Perfil - externa'!AH172)</f>
        <v>157341.69226601699</v>
      </c>
      <c r="AI174" s="320">
        <f>IF('Perfil - interna'!AI174+'Perfil - externa'!AI172=0,0,'Perfil - interna'!AI174+'Perfil - externa'!AI172)</f>
        <v>1544665.8800431772</v>
      </c>
      <c r="AJ174" s="320">
        <f>IF('Perfil - interna'!AJ174+'Perfil - externa'!AJ172=0,0,'Perfil - interna'!AJ174+'Perfil - externa'!AJ172)</f>
        <v>5525.6113472939996</v>
      </c>
      <c r="AK174" s="320">
        <f>IF('Perfil - interna'!AK174+'Perfil - externa'!AK172=0,0,'Perfil - interna'!AK174+'Perfil - externa'!AK172)</f>
        <v>165.54406889099999</v>
      </c>
      <c r="AL174" s="320">
        <f>IF('Perfil - interna'!AL174+'Perfil - externa'!AL172=0,0,'Perfil - interna'!AL174+'Perfil - externa'!AL172)</f>
        <v>0</v>
      </c>
      <c r="AM174" s="320">
        <f>IF('Perfil - interna'!AM174+'Perfil - externa'!AM172=0,0,'Perfil - interna'!AM174+'Perfil - externa'!AM172)</f>
        <v>0</v>
      </c>
      <c r="AN174" s="320">
        <f>IF('Perfil - interna'!AN174+'Perfil - externa'!AN172=0,0,'Perfil - interna'!AN174+'Perfil - externa'!AN172)</f>
        <v>0</v>
      </c>
      <c r="AO174" s="320"/>
      <c r="AP174" s="320"/>
      <c r="AQ174" s="320"/>
      <c r="AR174" s="320"/>
      <c r="AS174" s="320"/>
      <c r="AT174" s="320"/>
      <c r="AU174" s="320"/>
      <c r="AV174" s="320"/>
      <c r="AW174" s="320"/>
      <c r="AX174" s="320"/>
      <c r="AY174" s="320"/>
      <c r="AZ174" s="320"/>
      <c r="BA174" s="320"/>
      <c r="BB174" s="320"/>
      <c r="BC174" s="320"/>
      <c r="BD174" s="320"/>
      <c r="BE174" s="320"/>
      <c r="BF174" s="320"/>
      <c r="BG174" s="320"/>
      <c r="BH174" s="320"/>
      <c r="BI174" s="320"/>
      <c r="BJ174" s="320"/>
      <c r="BK174" s="320"/>
    </row>
    <row r="175" spans="1:63">
      <c r="A175" s="167"/>
      <c r="B175" s="217" t="str">
        <f>Servicio_internaColumna_título_amortizaciones</f>
        <v>Amortizaciones</v>
      </c>
      <c r="C175" s="218"/>
      <c r="D175" s="219"/>
      <c r="E175" s="219"/>
      <c r="F175" s="219">
        <f>IF('Perfil - interna'!F175+'Perfil - externa'!F173=0,0,'Perfil - interna'!F175+'Perfil - externa'!F173)</f>
        <v>0</v>
      </c>
      <c r="G175" s="219">
        <f>IF('Perfil - interna'!G175+'Perfil - externa'!G173=0,0,'Perfil - interna'!G175+'Perfil - externa'!G173)</f>
        <v>3422796.2756118667</v>
      </c>
      <c r="H175" s="219">
        <f>IF('Perfil - interna'!H175+'Perfil - externa'!H173=0,0,'Perfil - interna'!H175+'Perfil - externa'!H173)</f>
        <v>18265140.150954369</v>
      </c>
      <c r="I175" s="219">
        <f>IF('Perfil - interna'!I175+'Perfil - externa'!I173=0,0,'Perfil - interna'!I175+'Perfil - externa'!I173)</f>
        <v>17618328.631503213</v>
      </c>
      <c r="J175" s="219">
        <f>IF('Perfil - interna'!J175+'Perfil - externa'!J173=0,0,'Perfil - interna'!J175+'Perfil - externa'!J173)</f>
        <v>13385775.16461817</v>
      </c>
      <c r="K175" s="219">
        <f>IF('Perfil - interna'!K175+'Perfil - externa'!K173=0,0,'Perfil - interna'!K175+'Perfil - externa'!K173)</f>
        <v>12889037.156193193</v>
      </c>
      <c r="L175" s="219">
        <f>IF('Perfil - interna'!L175+'Perfil - externa'!L173=0,0,'Perfil - interna'!L175+'Perfil - externa'!L173)</f>
        <v>12884190.795471884</v>
      </c>
      <c r="M175" s="219">
        <f>IF('Perfil - interna'!M175+'Perfil - externa'!M173=0,0,'Perfil - interna'!M175+'Perfil - externa'!M173)</f>
        <v>8470617.5614986513</v>
      </c>
      <c r="N175" s="219">
        <f>IF('Perfil - interna'!N175+'Perfil - externa'!N173=0,0,'Perfil - interna'!N175+'Perfil - externa'!N173)</f>
        <v>13263580.74357019</v>
      </c>
      <c r="O175" s="219">
        <f>IF('Perfil - interna'!O175+'Perfil - externa'!O173=0,0,'Perfil - interna'!O175+'Perfil - externa'!O173)</f>
        <v>6128953.7697184915</v>
      </c>
      <c r="P175" s="219">
        <f>IF('Perfil - interna'!P175+'Perfil - externa'!P173=0,0,'Perfil - interna'!P175+'Perfil - externa'!P173)</f>
        <v>9259578.7041896693</v>
      </c>
      <c r="Q175" s="219">
        <f>IF('Perfil - interna'!Q175+'Perfil - externa'!Q173=0,0,'Perfil - interna'!Q175+'Perfil - externa'!Q173)</f>
        <v>5326497.2108436264</v>
      </c>
      <c r="R175" s="219">
        <f>IF('Perfil - interna'!R175+'Perfil - externa'!R173=0,0,'Perfil - interna'!R175+'Perfil - externa'!R173)</f>
        <v>1662915.2277620339</v>
      </c>
      <c r="S175" s="219">
        <f>IF('Perfil - interna'!S175+'Perfil - externa'!S173=0,0,'Perfil - interna'!S175+'Perfil - externa'!S173)</f>
        <v>982214.44228006655</v>
      </c>
      <c r="T175" s="219">
        <f>IF('Perfil - interna'!T175+'Perfil - externa'!T173=0,0,'Perfil - interna'!T175+'Perfil - externa'!T173)</f>
        <v>660706.71585423604</v>
      </c>
      <c r="U175" s="219">
        <f>IF('Perfil - interna'!U175+'Perfil - externa'!U173=0,0,'Perfil - interna'!U175+'Perfil - externa'!U173)</f>
        <v>529628.16075763619</v>
      </c>
      <c r="V175" s="219">
        <f>IF('Perfil - interna'!V175+'Perfil - externa'!V173=0,0,'Perfil - interna'!V175+'Perfil - externa'!V173)</f>
        <v>3267161.5132521442</v>
      </c>
      <c r="W175" s="219">
        <f>IF('Perfil - interna'!W175+'Perfil - externa'!W173=0,0,'Perfil - interna'!W175+'Perfil - externa'!W173)</f>
        <v>382977.80622140138</v>
      </c>
      <c r="X175" s="219">
        <f>IF('Perfil - interna'!X175+'Perfil - externa'!X173=0,0,'Perfil - interna'!X175+'Perfil - externa'!X173)</f>
        <v>254105.60041878768</v>
      </c>
      <c r="Y175" s="219">
        <f>IF('Perfil - interna'!Y175+'Perfil - externa'!Y173=0,0,'Perfil - interna'!Y175+'Perfil - externa'!Y173)</f>
        <v>252907.81526294586</v>
      </c>
      <c r="Z175" s="219">
        <f>IF('Perfil - interna'!Z175+'Perfil - externa'!Z173=0,0,'Perfil - interna'!Z175+'Perfil - externa'!Z173)</f>
        <v>2472374.0586340935</v>
      </c>
      <c r="AA175" s="219">
        <f>IF('Perfil - interna'!AA175+'Perfil - externa'!AA173=0,0,'Perfil - interna'!AA175+'Perfil - externa'!AA173)</f>
        <v>74205.368663242596</v>
      </c>
      <c r="AB175" s="219">
        <f>IF('Perfil - interna'!AB175+'Perfil - externa'!AB173=0,0,'Perfil - interna'!AB175+'Perfil - externa'!AB173)</f>
        <v>58521.046820975898</v>
      </c>
      <c r="AC175" s="219">
        <f>IF('Perfil - interna'!AC175+'Perfil - externa'!AC173=0,0,'Perfil - interna'!AC175+'Perfil - externa'!AC173)</f>
        <v>456173.23070696811</v>
      </c>
      <c r="AD175" s="219">
        <f>IF('Perfil - interna'!AD175+'Perfil - externa'!AD173=0,0,'Perfil - interna'!AD175+'Perfil - externa'!AD173)</f>
        <v>61834.509806999202</v>
      </c>
      <c r="AE175" s="219">
        <f>IF('Perfil - interna'!AE175+'Perfil - externa'!AE173=0,0,'Perfil - interna'!AE175+'Perfil - externa'!AE173)</f>
        <v>32370.579722273207</v>
      </c>
      <c r="AF175" s="219">
        <f>IF('Perfil - interna'!AF175+'Perfil - externa'!AF173=0,0,'Perfil - interna'!AF175+'Perfil - externa'!AF173)</f>
        <v>14091.267734737601</v>
      </c>
      <c r="AG175" s="219">
        <f>IF('Perfil - interna'!AG175+'Perfil - externa'!AG173=0,0,'Perfil - interna'!AG175+'Perfil - externa'!AG173)</f>
        <v>6369.1586559614007</v>
      </c>
      <c r="AH175" s="219">
        <f>IF('Perfil - interna'!AH175+'Perfil - externa'!AH173=0,0,'Perfil - interna'!AH175+'Perfil - externa'!AH173)</f>
        <v>5488.5394357596006</v>
      </c>
      <c r="AI175" s="219">
        <f>IF('Perfil - interna'!AI175+'Perfil - externa'!AI173=0,0,'Perfil - interna'!AI175+'Perfil - externa'!AI173)</f>
        <v>1159729.0222457596</v>
      </c>
      <c r="AJ175" s="219">
        <f>IF('Perfil - interna'!AJ175+'Perfil - externa'!AJ173=0,0,'Perfil - interna'!AJ175+'Perfil - externa'!AJ173)</f>
        <v>5488.5394357596006</v>
      </c>
      <c r="AK175" s="219">
        <f>IF('Perfil - interna'!AK175+'Perfil - externa'!AK173=0,0,'Perfil - interna'!AK175+'Perfil - externa'!AK173)</f>
        <v>163.86500650560001</v>
      </c>
      <c r="AL175" s="219">
        <f>IF('Perfil - interna'!AL175+'Perfil - externa'!AL173=0,0,'Perfil - interna'!AL175+'Perfil - externa'!AL173)</f>
        <v>0</v>
      </c>
      <c r="AM175" s="219">
        <f>IF('Perfil - interna'!AM175+'Perfil - externa'!AM173=0,0,'Perfil - interna'!AM175+'Perfil - externa'!AM173)</f>
        <v>0</v>
      </c>
      <c r="AN175" s="219">
        <f>IF('Perfil - interna'!AN175+'Perfil - externa'!AN173=0,0,'Perfil - interna'!AN175+'Perfil - externa'!AN173)</f>
        <v>0</v>
      </c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</row>
    <row r="176" spans="1:63">
      <c r="A176" s="170">
        <v>38625</v>
      </c>
      <c r="B176" s="220" t="str">
        <f>Servicio_internaColumna_título_intereses</f>
        <v>Intereses</v>
      </c>
      <c r="C176" s="221"/>
      <c r="D176" s="222"/>
      <c r="E176" s="222"/>
      <c r="F176" s="222">
        <f>IF('Perfil - interna'!F176+'Perfil - externa'!F174=0,0,'Perfil - interna'!F176+'Perfil - externa'!F174)</f>
        <v>0</v>
      </c>
      <c r="G176" s="222">
        <f>IF('Perfil - interna'!G176+'Perfil - externa'!G174=0,0,'Perfil - interna'!G176+'Perfil - externa'!G174)</f>
        <v>9384861.1461625826</v>
      </c>
      <c r="H176" s="222">
        <f>IF('Perfil - interna'!H176+'Perfil - externa'!H174=0,0,'Perfil - interna'!H176+'Perfil - externa'!H174)</f>
        <v>12251512.915529428</v>
      </c>
      <c r="I176" s="222">
        <f>IF('Perfil - interna'!I176+'Perfil - externa'!I174=0,0,'Perfil - interna'!I176+'Perfil - externa'!I174)</f>
        <v>10558974.408485711</v>
      </c>
      <c r="J176" s="222">
        <f>IF('Perfil - interna'!J176+'Perfil - externa'!J174=0,0,'Perfil - interna'!J176+'Perfil - externa'!J174)</f>
        <v>8741247.605873365</v>
      </c>
      <c r="K176" s="222">
        <f>IF('Perfil - interna'!K176+'Perfil - externa'!K174=0,0,'Perfil - interna'!K176+'Perfil - externa'!K174)</f>
        <v>7301660.3897126075</v>
      </c>
      <c r="L176" s="222">
        <f>IF('Perfil - interna'!L176+'Perfil - externa'!L174=0,0,'Perfil - interna'!L176+'Perfil - externa'!L174)</f>
        <v>6078016.3812005352</v>
      </c>
      <c r="M176" s="222">
        <f>IF('Perfil - interna'!M176+'Perfil - externa'!M174=0,0,'Perfil - interna'!M176+'Perfil - externa'!M174)</f>
        <v>4877589.6158033404</v>
      </c>
      <c r="N176" s="222">
        <f>IF('Perfil - interna'!N176+'Perfil - externa'!N174=0,0,'Perfil - interna'!N176+'Perfil - externa'!N174)</f>
        <v>4051673.2995407446</v>
      </c>
      <c r="O176" s="222">
        <f>IF('Perfil - interna'!O176+'Perfil - externa'!O174=0,0,'Perfil - interna'!O176+'Perfil - externa'!O174)</f>
        <v>2663199.9490256421</v>
      </c>
      <c r="P176" s="222">
        <f>IF('Perfil - interna'!P176+'Perfil - externa'!P174=0,0,'Perfil - interna'!P176+'Perfil - externa'!P174)</f>
        <v>2227592.789813431</v>
      </c>
      <c r="Q176" s="222">
        <f>IF('Perfil - interna'!Q176+'Perfil - externa'!Q174=0,0,'Perfil - interna'!Q176+'Perfil - externa'!Q174)</f>
        <v>1355998.0927494406</v>
      </c>
      <c r="R176" s="222">
        <f>IF('Perfil - interna'!R176+'Perfil - externa'!R174=0,0,'Perfil - interna'!R176+'Perfil - externa'!R174)</f>
        <v>939566.67257528298</v>
      </c>
      <c r="S176" s="222">
        <f>IF('Perfil - interna'!S176+'Perfil - externa'!S174=0,0,'Perfil - interna'!S176+'Perfil - externa'!S174)</f>
        <v>855540.4941864796</v>
      </c>
      <c r="T176" s="222">
        <f>IF('Perfil - interna'!T176+'Perfil - externa'!T174=0,0,'Perfil - interna'!T176+'Perfil - externa'!T174)</f>
        <v>806401.99086630414</v>
      </c>
      <c r="U176" s="222">
        <f>IF('Perfil - interna'!U176+'Perfil - externa'!U174=0,0,'Perfil - interna'!U176+'Perfil - externa'!U174)</f>
        <v>775792.46707962151</v>
      </c>
      <c r="V176" s="222">
        <f>IF('Perfil - interna'!V176+'Perfil - externa'!V174=0,0,'Perfil - interna'!V176+'Perfil - externa'!V174)</f>
        <v>605105.34372385195</v>
      </c>
      <c r="W176" s="222">
        <f>IF('Perfil - interna'!W176+'Perfil - externa'!W174=0,0,'Perfil - interna'!W176+'Perfil - externa'!W174)</f>
        <v>398423.90201942646</v>
      </c>
      <c r="X176" s="222">
        <f>IF('Perfil - interna'!X176+'Perfil - externa'!X174=0,0,'Perfil - interna'!X176+'Perfil - externa'!X174)</f>
        <v>381608.18723172165</v>
      </c>
      <c r="Y176" s="222">
        <f>IF('Perfil - interna'!Y176+'Perfil - externa'!Y174=0,0,'Perfil - interna'!Y176+'Perfil - externa'!Y174)</f>
        <v>370079.26545898966</v>
      </c>
      <c r="Z176" s="222">
        <f>IF('Perfil - interna'!Z176+'Perfil - externa'!Z174=0,0,'Perfil - interna'!Z176+'Perfil - externa'!Z174)</f>
        <v>266373.73003808333</v>
      </c>
      <c r="AA176" s="222">
        <f>IF('Perfil - interna'!AA176+'Perfil - externa'!AA174=0,0,'Perfil - interna'!AA176+'Perfil - externa'!AA174)</f>
        <v>166720.3471965405</v>
      </c>
      <c r="AB176" s="222">
        <f>IF('Perfil - interna'!AB176+'Perfil - externa'!AB174=0,0,'Perfil - interna'!AB176+'Perfil - externa'!AB174)</f>
        <v>163776.2246798244</v>
      </c>
      <c r="AC176" s="222">
        <f>IF('Perfil - interna'!AC176+'Perfil - externa'!AC174=0,0,'Perfil - interna'!AC176+'Perfil - externa'!AC174)</f>
        <v>144381.95117880791</v>
      </c>
      <c r="AD176" s="222">
        <f>IF('Perfil - interna'!AD176+'Perfil - externa'!AD174=0,0,'Perfil - interna'!AD176+'Perfil - externa'!AD174)</f>
        <v>124077.2774087352</v>
      </c>
      <c r="AE176" s="222">
        <f>IF('Perfil - interna'!AE176+'Perfil - externa'!AE174=0,0,'Perfil - interna'!AE176+'Perfil - externa'!AE174)</f>
        <v>121116.73861728009</v>
      </c>
      <c r="AF176" s="222">
        <f>IF('Perfil - interna'!AF176+'Perfil - externa'!AF174=0,0,'Perfil - interna'!AF176+'Perfil - externa'!AF174)</f>
        <v>120010.61955472309</v>
      </c>
      <c r="AG176" s="222">
        <f>IF('Perfil - interna'!AG176+'Perfil - externa'!AG174=0,0,'Perfil - interna'!AG176+'Perfil - externa'!AG174)</f>
        <v>119820.0486745541</v>
      </c>
      <c r="AH176" s="222">
        <f>IF('Perfil - interna'!AH176+'Perfil - externa'!AH174=0,0,'Perfil - interna'!AH176+'Perfil - externa'!AH174)</f>
        <v>119818.8197034905</v>
      </c>
      <c r="AI176" s="222">
        <f>IF('Perfil - interna'!AI176+'Perfil - externa'!AI174=0,0,'Perfil - interna'!AI176+'Perfil - externa'!AI174)</f>
        <v>59912.509674587898</v>
      </c>
      <c r="AJ176" s="222">
        <f>IF('Perfil - interna'!AJ176+'Perfil - externa'!AJ174=0,0,'Perfil - interna'!AJ176+'Perfil - externa'!AJ174)</f>
        <v>2.7652077892000002</v>
      </c>
      <c r="AK176" s="222">
        <f>IF('Perfil - interna'!AK176+'Perfil - externa'!AK174=0,0,'Perfil - interna'!AK176+'Perfil - externa'!AK174)</f>
        <v>1.5362138295000001</v>
      </c>
      <c r="AL176" s="222">
        <f>IF('Perfil - interna'!AL176+'Perfil - externa'!AL174=0,0,'Perfil - interna'!AL176+'Perfil - externa'!AL174)</f>
        <v>0</v>
      </c>
      <c r="AM176" s="222">
        <f>IF('Perfil - interna'!AM176+'Perfil - externa'!AM174=0,0,'Perfil - interna'!AM176+'Perfil - externa'!AM174)</f>
        <v>0</v>
      </c>
      <c r="AN176" s="222">
        <f>IF('Perfil - interna'!AN176+'Perfil - externa'!AN174=0,0,'Perfil - interna'!AN176+'Perfil - externa'!AN174)</f>
        <v>0</v>
      </c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  <c r="BJ176" s="222"/>
      <c r="BK176" s="222"/>
    </row>
    <row r="177" spans="1:63">
      <c r="A177" s="171"/>
      <c r="B177" s="318" t="str">
        <f>Servicio_internaColumna_título_total</f>
        <v>Total</v>
      </c>
      <c r="C177" s="319"/>
      <c r="D177" s="320"/>
      <c r="E177" s="320"/>
      <c r="F177" s="320">
        <f>IF('Perfil - interna'!F177+'Perfil - externa'!F175=0,0,'Perfil - interna'!F177+'Perfil - externa'!F175)</f>
        <v>0</v>
      </c>
      <c r="G177" s="320">
        <f>IF('Perfil - interna'!G177+'Perfil - externa'!G175=0,0,'Perfil - interna'!G177+'Perfil - externa'!G175)</f>
        <v>12807657.421774451</v>
      </c>
      <c r="H177" s="320">
        <f>IF('Perfil - interna'!H177+'Perfil - externa'!H175=0,0,'Perfil - interna'!H177+'Perfil - externa'!H175)</f>
        <v>30516653.066483796</v>
      </c>
      <c r="I177" s="320">
        <f>IF('Perfil - interna'!I177+'Perfil - externa'!I175=0,0,'Perfil - interna'!I177+'Perfil - externa'!I175)</f>
        <v>28177303.03998892</v>
      </c>
      <c r="J177" s="320">
        <f>IF('Perfil - interna'!J177+'Perfil - externa'!J175=0,0,'Perfil - interna'!J177+'Perfil - externa'!J175)</f>
        <v>22127022.770491533</v>
      </c>
      <c r="K177" s="320">
        <f>IF('Perfil - interna'!K177+'Perfil - externa'!K175=0,0,'Perfil - interna'!K177+'Perfil - externa'!K175)</f>
        <v>20190697.545905799</v>
      </c>
      <c r="L177" s="320">
        <f>IF('Perfil - interna'!L177+'Perfil - externa'!L175=0,0,'Perfil - interna'!L177+'Perfil - externa'!L175)</f>
        <v>18962207.176672421</v>
      </c>
      <c r="M177" s="320">
        <f>IF('Perfil - interna'!M177+'Perfil - externa'!M175=0,0,'Perfil - interna'!M177+'Perfil - externa'!M175)</f>
        <v>13348207.177301992</v>
      </c>
      <c r="N177" s="320">
        <f>IF('Perfil - interna'!N177+'Perfil - externa'!N175=0,0,'Perfil - interna'!N177+'Perfil - externa'!N175)</f>
        <v>17315254.043110937</v>
      </c>
      <c r="O177" s="320">
        <f>IF('Perfil - interna'!O177+'Perfil - externa'!O175=0,0,'Perfil - interna'!O177+'Perfil - externa'!O175)</f>
        <v>8792153.7187441327</v>
      </c>
      <c r="P177" s="320">
        <f>IF('Perfil - interna'!P177+'Perfil - externa'!P175=0,0,'Perfil - interna'!P177+'Perfil - externa'!P175)</f>
        <v>11487171.494003098</v>
      </c>
      <c r="Q177" s="320">
        <f>IF('Perfil - interna'!Q177+'Perfil - externa'!Q175=0,0,'Perfil - interna'!Q177+'Perfil - externa'!Q175)</f>
        <v>6682495.3035930675</v>
      </c>
      <c r="R177" s="320">
        <f>IF('Perfil - interna'!R177+'Perfil - externa'!R175=0,0,'Perfil - interna'!R177+'Perfil - externa'!R175)</f>
        <v>2602481.900337317</v>
      </c>
      <c r="S177" s="320">
        <f>IF('Perfil - interna'!S177+'Perfil - externa'!S175=0,0,'Perfil - interna'!S177+'Perfil - externa'!S175)</f>
        <v>1837754.9364665463</v>
      </c>
      <c r="T177" s="320">
        <f>IF('Perfil - interna'!T177+'Perfil - externa'!T175=0,0,'Perfil - interna'!T177+'Perfil - externa'!T175)</f>
        <v>1467108.7067205403</v>
      </c>
      <c r="U177" s="320">
        <f>IF('Perfil - interna'!U177+'Perfil - externa'!U175=0,0,'Perfil - interna'!U177+'Perfil - externa'!U175)</f>
        <v>1305420.6278372577</v>
      </c>
      <c r="V177" s="320">
        <f>IF('Perfil - interna'!V177+'Perfil - externa'!V175=0,0,'Perfil - interna'!V177+'Perfil - externa'!V175)</f>
        <v>3872266.8569759964</v>
      </c>
      <c r="W177" s="320">
        <f>IF('Perfil - interna'!W177+'Perfil - externa'!W175=0,0,'Perfil - interna'!W177+'Perfil - externa'!W175)</f>
        <v>781401.70824082778</v>
      </c>
      <c r="X177" s="320">
        <f>IF('Perfil - interna'!X177+'Perfil - externa'!X175=0,0,'Perfil - interna'!X177+'Perfil - externa'!X175)</f>
        <v>635713.78765050927</v>
      </c>
      <c r="Y177" s="320">
        <f>IF('Perfil - interna'!Y177+'Perfil - externa'!Y175=0,0,'Perfil - interna'!Y177+'Perfil - externa'!Y175)</f>
        <v>622987.08072193549</v>
      </c>
      <c r="Z177" s="320">
        <f>IF('Perfil - interna'!Z177+'Perfil - externa'!Z175=0,0,'Perfil - interna'!Z177+'Perfil - externa'!Z175)</f>
        <v>2738747.7886721767</v>
      </c>
      <c r="AA177" s="320">
        <f>IF('Perfil - interna'!AA177+'Perfil - externa'!AA175=0,0,'Perfil - interna'!AA177+'Perfil - externa'!AA175)</f>
        <v>240925.71585978311</v>
      </c>
      <c r="AB177" s="320">
        <f>IF('Perfil - interna'!AB177+'Perfil - externa'!AB175=0,0,'Perfil - interna'!AB177+'Perfil - externa'!AB175)</f>
        <v>222297.2715008003</v>
      </c>
      <c r="AC177" s="320">
        <f>IF('Perfil - interna'!AC177+'Perfil - externa'!AC175=0,0,'Perfil - interna'!AC177+'Perfil - externa'!AC175)</f>
        <v>600555.18188577599</v>
      </c>
      <c r="AD177" s="320">
        <f>IF('Perfil - interna'!AD177+'Perfil - externa'!AD175=0,0,'Perfil - interna'!AD177+'Perfil - externa'!AD175)</f>
        <v>185911.7872157344</v>
      </c>
      <c r="AE177" s="320">
        <f>IF('Perfil - interna'!AE177+'Perfil - externa'!AE175=0,0,'Perfil - interna'!AE177+'Perfil - externa'!AE175)</f>
        <v>153487.31833955331</v>
      </c>
      <c r="AF177" s="320">
        <f>IF('Perfil - interna'!AF177+'Perfil - externa'!AF175=0,0,'Perfil - interna'!AF177+'Perfil - externa'!AF175)</f>
        <v>134101.88728946069</v>
      </c>
      <c r="AG177" s="320">
        <f>IF('Perfil - interna'!AG177+'Perfil - externa'!AG175=0,0,'Perfil - interna'!AG177+'Perfil - externa'!AG175)</f>
        <v>126189.20733051549</v>
      </c>
      <c r="AH177" s="320">
        <f>IF('Perfil - interna'!AH177+'Perfil - externa'!AH175=0,0,'Perfil - interna'!AH177+'Perfil - externa'!AH175)</f>
        <v>125307.3591392501</v>
      </c>
      <c r="AI177" s="320">
        <f>IF('Perfil - interna'!AI177+'Perfil - externa'!AI175=0,0,'Perfil - interna'!AI177+'Perfil - externa'!AI175)</f>
        <v>1219641.5319203476</v>
      </c>
      <c r="AJ177" s="320">
        <f>IF('Perfil - interna'!AJ177+'Perfil - externa'!AJ175=0,0,'Perfil - interna'!AJ177+'Perfil - externa'!AJ175)</f>
        <v>5491.3046435488004</v>
      </c>
      <c r="AK177" s="320">
        <f>IF('Perfil - interna'!AK177+'Perfil - externa'!AK175=0,0,'Perfil - interna'!AK177+'Perfil - externa'!AK175)</f>
        <v>165.40122033510002</v>
      </c>
      <c r="AL177" s="320">
        <f>IF('Perfil - interna'!AL177+'Perfil - externa'!AL175=0,0,'Perfil - interna'!AL177+'Perfil - externa'!AL175)</f>
        <v>0</v>
      </c>
      <c r="AM177" s="320">
        <f>IF('Perfil - interna'!AM177+'Perfil - externa'!AM175=0,0,'Perfil - interna'!AM177+'Perfil - externa'!AM175)</f>
        <v>0</v>
      </c>
      <c r="AN177" s="320">
        <f>IF('Perfil - interna'!AN177+'Perfil - externa'!AN175=0,0,'Perfil - interna'!AN177+'Perfil - externa'!AN175)</f>
        <v>0</v>
      </c>
      <c r="AO177" s="320"/>
      <c r="AP177" s="320"/>
      <c r="AQ177" s="320"/>
      <c r="AR177" s="320"/>
      <c r="AS177" s="320"/>
      <c r="AT177" s="320"/>
      <c r="AU177" s="320"/>
      <c r="AV177" s="320"/>
      <c r="AW177" s="320"/>
      <c r="AX177" s="320"/>
      <c r="AY177" s="320"/>
      <c r="AZ177" s="320"/>
      <c r="BA177" s="320"/>
      <c r="BB177" s="320"/>
      <c r="BC177" s="320"/>
      <c r="BD177" s="320"/>
      <c r="BE177" s="320"/>
      <c r="BF177" s="320"/>
      <c r="BG177" s="320"/>
      <c r="BH177" s="320"/>
      <c r="BI177" s="320"/>
      <c r="BJ177" s="320"/>
      <c r="BK177" s="320"/>
    </row>
    <row r="178" spans="1:63">
      <c r="A178" s="167"/>
      <c r="B178" s="217" t="str">
        <f>Servicio_internaColumna_título_amortizaciones</f>
        <v>Amortizaciones</v>
      </c>
      <c r="C178" s="218"/>
      <c r="D178" s="219"/>
      <c r="E178" s="219"/>
      <c r="F178" s="219">
        <f>IF('Perfil - interna'!F178+'Perfil - externa'!F176=0,0,'Perfil - interna'!F178+'Perfil - externa'!F176)</f>
        <v>0</v>
      </c>
      <c r="G178" s="219">
        <f>IF('Perfil - interna'!G178+'Perfil - externa'!G176=0,0,'Perfil - interna'!G178+'Perfil - externa'!G176)</f>
        <v>1875282.3864816257</v>
      </c>
      <c r="H178" s="219">
        <f>IF('Perfil - interna'!H178+'Perfil - externa'!H176=0,0,'Perfil - interna'!H178+'Perfil - externa'!H176)</f>
        <v>19488875.327611119</v>
      </c>
      <c r="I178" s="219">
        <f>IF('Perfil - interna'!I178+'Perfil - externa'!I176=0,0,'Perfil - interna'!I178+'Perfil - externa'!I176)</f>
        <v>17625350.124701194</v>
      </c>
      <c r="J178" s="219">
        <f>IF('Perfil - interna'!J178+'Perfil - externa'!J176=0,0,'Perfil - interna'!J178+'Perfil - externa'!J176)</f>
        <v>13865474.493423842</v>
      </c>
      <c r="K178" s="219">
        <f>IF('Perfil - interna'!K178+'Perfil - externa'!K176=0,0,'Perfil - interna'!K178+'Perfil - externa'!K176)</f>
        <v>13294229.234052721</v>
      </c>
      <c r="L178" s="219">
        <f>IF('Perfil - interna'!L178+'Perfil - externa'!L176=0,0,'Perfil - interna'!L178+'Perfil - externa'!L176)</f>
        <v>12902578.088502023</v>
      </c>
      <c r="M178" s="219">
        <f>IF('Perfil - interna'!M178+'Perfil - externa'!M176=0,0,'Perfil - interna'!M178+'Perfil - externa'!M176)</f>
        <v>8474139.9574888367</v>
      </c>
      <c r="N178" s="219">
        <f>IF('Perfil - interna'!N178+'Perfil - externa'!N176=0,0,'Perfil - interna'!N178+'Perfil - externa'!N176)</f>
        <v>13274021.624955913</v>
      </c>
      <c r="O178" s="219">
        <f>IF('Perfil - interna'!O178+'Perfil - externa'!O176=0,0,'Perfil - interna'!O178+'Perfil - externa'!O176)</f>
        <v>6189668.5380539978</v>
      </c>
      <c r="P178" s="219">
        <f>IF('Perfil - interna'!P178+'Perfil - externa'!P176=0,0,'Perfil - interna'!P178+'Perfil - externa'!P176)</f>
        <v>10075089.569166664</v>
      </c>
      <c r="Q178" s="219">
        <f>IF('Perfil - interna'!Q178+'Perfil - externa'!Q176=0,0,'Perfil - interna'!Q178+'Perfil - externa'!Q176)</f>
        <v>5488419.3147243783</v>
      </c>
      <c r="R178" s="219">
        <f>IF('Perfil - interna'!R178+'Perfil - externa'!R176=0,0,'Perfil - interna'!R178+'Perfil - externa'!R176)</f>
        <v>1758132.2882602012</v>
      </c>
      <c r="S178" s="219">
        <f>IF('Perfil - interna'!S178+'Perfil - externa'!S176=0,0,'Perfil - interna'!S178+'Perfil - externa'!S176)</f>
        <v>1077443.3947735606</v>
      </c>
      <c r="T178" s="219">
        <f>IF('Perfil - interna'!T178+'Perfil - externa'!T176=0,0,'Perfil - interna'!T178+'Perfil - externa'!T176)</f>
        <v>755941.28515978856</v>
      </c>
      <c r="U178" s="219">
        <f>IF('Perfil - interna'!U178+'Perfil - externa'!U176=0,0,'Perfil - interna'!U178+'Perfil - externa'!U176)</f>
        <v>589147.72803493217</v>
      </c>
      <c r="V178" s="219">
        <f>IF('Perfil - interna'!V178+'Perfil - externa'!V176=0,0,'Perfil - interna'!V178+'Perfil - externa'!V176)</f>
        <v>3602101.4077789281</v>
      </c>
      <c r="W178" s="219">
        <f>IF('Perfil - interna'!W178+'Perfil - externa'!W176=0,0,'Perfil - interna'!W178+'Perfil - externa'!W176)</f>
        <v>382971.11551326816</v>
      </c>
      <c r="X178" s="219">
        <f>IF('Perfil - interna'!X178+'Perfil - externa'!X176=0,0,'Perfil - interna'!X178+'Perfil - externa'!X176)</f>
        <v>254101.16113698127</v>
      </c>
      <c r="Y178" s="219">
        <f>IF('Perfil - interna'!Y178+'Perfil - externa'!Y176=0,0,'Perfil - interna'!Y178+'Perfil - externa'!Y176)</f>
        <v>252903.39690671468</v>
      </c>
      <c r="Z178" s="219">
        <f>IF('Perfil - interna'!Z178+'Perfil - externa'!Z176=0,0,'Perfil - interna'!Z178+'Perfil - externa'!Z176)</f>
        <v>2472330.8657050161</v>
      </c>
      <c r="AA178" s="219">
        <f>IF('Perfil - interna'!AA178+'Perfil - externa'!AA176=0,0,'Perfil - interna'!AA178+'Perfil - externa'!AA176)</f>
        <v>74204.072278816195</v>
      </c>
      <c r="AB178" s="219">
        <f>IF('Perfil - interna'!AB178+'Perfil - externa'!AB176=0,0,'Perfil - interna'!AB178+'Perfil - externa'!AB176)</f>
        <v>58520.024445168296</v>
      </c>
      <c r="AC178" s="219">
        <f>IF('Perfil - interna'!AC178+'Perfil - externa'!AC176=0,0,'Perfil - interna'!AC178+'Perfil - externa'!AC176)</f>
        <v>456165.26125835971</v>
      </c>
      <c r="AD178" s="219">
        <f>IF('Perfil - interna'!AD178+'Perfil - externa'!AD176=0,0,'Perfil - interna'!AD178+'Perfil - externa'!AD176)</f>
        <v>61833.429544250408</v>
      </c>
      <c r="AE178" s="219">
        <f>IF('Perfil - interna'!AE178+'Perfil - externa'!AE176=0,0,'Perfil - interna'!AE178+'Perfil - externa'!AE176)</f>
        <v>32370.014200988408</v>
      </c>
      <c r="AF178" s="219">
        <f>IF('Perfil - interna'!AF178+'Perfil - externa'!AF176=0,0,'Perfil - interna'!AF178+'Perfil - externa'!AF176)</f>
        <v>14091.021557131202</v>
      </c>
      <c r="AG178" s="219">
        <f>IF('Perfil - interna'!AG178+'Perfil - externa'!AG176=0,0,'Perfil - interna'!AG178+'Perfil - externa'!AG176)</f>
        <v>6369.0473853318008</v>
      </c>
      <c r="AH178" s="219">
        <f>IF('Perfil - interna'!AH178+'Perfil - externa'!AH176=0,0,'Perfil - interna'!AH178+'Perfil - externa'!AH176)</f>
        <v>5488.4435497452005</v>
      </c>
      <c r="AI178" s="219">
        <f>IF('Perfil - interna'!AI178+'Perfil - externa'!AI176=0,0,'Perfil - interna'!AI178+'Perfil - externa'!AI176)</f>
        <v>1159708.7615197452</v>
      </c>
      <c r="AJ178" s="219">
        <f>IF('Perfil - interna'!AJ178+'Perfil - externa'!AJ176=0,0,'Perfil - interna'!AJ178+'Perfil - externa'!AJ176)</f>
        <v>5488.4435497452005</v>
      </c>
      <c r="AK178" s="219">
        <f>IF('Perfil - interna'!AK178+'Perfil - externa'!AK176=0,0,'Perfil - interna'!AK178+'Perfil - externa'!AK176)</f>
        <v>163.86214374720001</v>
      </c>
      <c r="AL178" s="219">
        <f>IF('Perfil - interna'!AL178+'Perfil - externa'!AL176=0,0,'Perfil - interna'!AL178+'Perfil - externa'!AL176)</f>
        <v>0</v>
      </c>
      <c r="AM178" s="219">
        <f>IF('Perfil - interna'!AM178+'Perfil - externa'!AM176=0,0,'Perfil - interna'!AM178+'Perfil - externa'!AM176)</f>
        <v>0</v>
      </c>
      <c r="AN178" s="219">
        <f>IF('Perfil - interna'!AN178+'Perfil - externa'!AN176=0,0,'Perfil - interna'!AN178+'Perfil - externa'!AN176)</f>
        <v>0</v>
      </c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</row>
    <row r="179" spans="1:63">
      <c r="A179" s="170">
        <v>38656</v>
      </c>
      <c r="B179" s="220" t="str">
        <f>Servicio_internaColumna_título_intereses</f>
        <v>Intereses</v>
      </c>
      <c r="C179" s="221"/>
      <c r="D179" s="222"/>
      <c r="E179" s="222"/>
      <c r="F179" s="222">
        <f>IF('Perfil - interna'!F179+'Perfil - externa'!F177=0,0,'Perfil - interna'!F179+'Perfil - externa'!F177)</f>
        <v>0</v>
      </c>
      <c r="G179" s="222">
        <f>IF('Perfil - interna'!G179+'Perfil - externa'!G177=0,0,'Perfil - interna'!G179+'Perfil - externa'!G177)</f>
        <v>1213815.5676447144</v>
      </c>
      <c r="H179" s="222">
        <f>IF('Perfil - interna'!H179+'Perfil - externa'!H177=0,0,'Perfil - interna'!H179+'Perfil - externa'!H177)</f>
        <v>11022164.492682748</v>
      </c>
      <c r="I179" s="222">
        <f>IF('Perfil - interna'!I179+'Perfil - externa'!I177=0,0,'Perfil - interna'!I179+'Perfil - externa'!I177)</f>
        <v>9054331.2758149616</v>
      </c>
      <c r="J179" s="222">
        <f>IF('Perfil - interna'!J179+'Perfil - externa'!J177=0,0,'Perfil - interna'!J179+'Perfil - externa'!J177)</f>
        <v>7146072.0212293025</v>
      </c>
      <c r="K179" s="222">
        <f>IF('Perfil - interna'!K179+'Perfil - externa'!K177=0,0,'Perfil - interna'!K179+'Perfil - externa'!K177)</f>
        <v>6223763.4262172189</v>
      </c>
      <c r="L179" s="222">
        <f>IF('Perfil - interna'!L179+'Perfil - externa'!L177=0,0,'Perfil - interna'!L179+'Perfil - externa'!L177)</f>
        <v>4736651.8191064168</v>
      </c>
      <c r="M179" s="222">
        <f>IF('Perfil - interna'!M179+'Perfil - externa'!M177=0,0,'Perfil - interna'!M179+'Perfil - externa'!M177)</f>
        <v>4328525.2015448045</v>
      </c>
      <c r="N179" s="222">
        <f>IF('Perfil - interna'!N179+'Perfil - externa'!N177=0,0,'Perfil - interna'!N179+'Perfil - externa'!N177)</f>
        <v>3641202.3943626671</v>
      </c>
      <c r="O179" s="222">
        <f>IF('Perfil - interna'!O179+'Perfil - externa'!O177=0,0,'Perfil - interna'!O179+'Perfil - externa'!O177)</f>
        <v>2264669.5144449947</v>
      </c>
      <c r="P179" s="222">
        <f>IF('Perfil - interna'!P179+'Perfil - externa'!P177=0,0,'Perfil - interna'!P179+'Perfil - externa'!P177)</f>
        <v>1800109.0042162065</v>
      </c>
      <c r="Q179" s="222">
        <f>IF('Perfil - interna'!Q179+'Perfil - externa'!Q177=0,0,'Perfil - interna'!Q179+'Perfil - externa'!Q177)</f>
        <v>852190.82462598034</v>
      </c>
      <c r="R179" s="222">
        <f>IF('Perfil - interna'!R179+'Perfil - externa'!R177=0,0,'Perfil - interna'!R179+'Perfil - externa'!R177)</f>
        <v>993732.18594701774</v>
      </c>
      <c r="S179" s="222">
        <f>IF('Perfil - interna'!S179+'Perfil - externa'!S177=0,0,'Perfil - interna'!S179+'Perfil - externa'!S177)</f>
        <v>904677.43416965415</v>
      </c>
      <c r="T179" s="222">
        <f>IF('Perfil - interna'!T179+'Perfil - externa'!T177=0,0,'Perfil - interna'!T179+'Perfil - externa'!T177)</f>
        <v>850473.9135619083</v>
      </c>
      <c r="U179" s="222">
        <f>IF('Perfil - interna'!U179+'Perfil - externa'!U177=0,0,'Perfil - interna'!U179+'Perfil - externa'!U177)</f>
        <v>814267.41085718595</v>
      </c>
      <c r="V179" s="222">
        <f>IF('Perfil - interna'!V179+'Perfil - externa'!V177=0,0,'Perfil - interna'!V179+'Perfil - externa'!V177)</f>
        <v>641944.43938063679</v>
      </c>
      <c r="W179" s="222">
        <f>IF('Perfil - interna'!W179+'Perfil - externa'!W177=0,0,'Perfil - interna'!W179+'Perfil - externa'!W177)</f>
        <v>398416.94146453688</v>
      </c>
      <c r="X179" s="222">
        <f>IF('Perfil - interna'!X179+'Perfil - externa'!X177=0,0,'Perfil - interna'!X179+'Perfil - externa'!X177)</f>
        <v>381601.52045113925</v>
      </c>
      <c r="Y179" s="222">
        <f>IF('Perfil - interna'!Y179+'Perfil - externa'!Y177=0,0,'Perfil - interna'!Y179+'Perfil - externa'!Y177)</f>
        <v>370072.80009125528</v>
      </c>
      <c r="Z179" s="222">
        <f>IF('Perfil - interna'!Z179+'Perfil - externa'!Z177=0,0,'Perfil - interna'!Z179+'Perfil - externa'!Z177)</f>
        <v>266369.07642930211</v>
      </c>
      <c r="AA179" s="222">
        <f>IF('Perfil - interna'!AA179+'Perfil - externa'!AA177=0,0,'Perfil - interna'!AA179+'Perfil - externa'!AA177)</f>
        <v>166717.4345546985</v>
      </c>
      <c r="AB179" s="222">
        <f>IF('Perfil - interna'!AB179+'Perfil - externa'!AB177=0,0,'Perfil - interna'!AB179+'Perfil - externa'!AB177)</f>
        <v>163773.36347246281</v>
      </c>
      <c r="AC179" s="222">
        <f>IF('Perfil - interna'!AC179+'Perfil - externa'!AC177=0,0,'Perfil - interna'!AC179+'Perfil - externa'!AC177)</f>
        <v>144379.4287937523</v>
      </c>
      <c r="AD179" s="222">
        <f>IF('Perfil - interna'!AD179+'Perfil - externa'!AD177=0,0,'Perfil - interna'!AD179+'Perfil - externa'!AD177)</f>
        <v>124075.1097508824</v>
      </c>
      <c r="AE179" s="222">
        <f>IF('Perfil - interna'!AE179+'Perfil - externa'!AE177=0,0,'Perfil - interna'!AE179+'Perfil - externa'!AE177)</f>
        <v>121114.62268070369</v>
      </c>
      <c r="AF179" s="222">
        <f>IF('Perfil - interna'!AF179+'Perfil - externa'!AF177=0,0,'Perfil - interna'!AF179+'Perfil - externa'!AF177)</f>
        <v>120008.52294229469</v>
      </c>
      <c r="AG179" s="222">
        <f>IF('Perfil - interna'!AG179+'Perfil - externa'!AG177=0,0,'Perfil - interna'!AG179+'Perfil - externa'!AG177)</f>
        <v>119817.95539144169</v>
      </c>
      <c r="AH179" s="222">
        <f>IF('Perfil - interna'!AH179+'Perfil - externa'!AH177=0,0,'Perfil - interna'!AH179+'Perfil - externa'!AH177)</f>
        <v>119816.7264418485</v>
      </c>
      <c r="AI179" s="222">
        <f>IF('Perfil - interna'!AI179+'Perfil - externa'!AI177=0,0,'Perfil - interna'!AI179+'Perfil - externa'!AI177)</f>
        <v>59911.462989612301</v>
      </c>
      <c r="AJ179" s="222">
        <f>IF('Perfil - interna'!AJ179+'Perfil - externa'!AJ177=0,0,'Perfil - interna'!AJ179+'Perfil - externa'!AJ177)</f>
        <v>2.7651594804000004</v>
      </c>
      <c r="AK179" s="222">
        <f>IF('Perfil - interna'!AK179+'Perfil - externa'!AK177=0,0,'Perfil - interna'!AK179+'Perfil - externa'!AK177)</f>
        <v>1.5361869915000002</v>
      </c>
      <c r="AL179" s="222">
        <f>IF('Perfil - interna'!AL179+'Perfil - externa'!AL177=0,0,'Perfil - interna'!AL179+'Perfil - externa'!AL177)</f>
        <v>0</v>
      </c>
      <c r="AM179" s="222">
        <f>IF('Perfil - interna'!AM179+'Perfil - externa'!AM177=0,0,'Perfil - interna'!AM179+'Perfil - externa'!AM177)</f>
        <v>0</v>
      </c>
      <c r="AN179" s="222">
        <f>IF('Perfil - interna'!AN179+'Perfil - externa'!AN177=0,0,'Perfil - interna'!AN179+'Perfil - externa'!AN177)</f>
        <v>0</v>
      </c>
      <c r="AO179" s="222"/>
      <c r="AP179" s="222"/>
      <c r="AQ179" s="222"/>
      <c r="AR179" s="222"/>
      <c r="AS179" s="222"/>
      <c r="AT179" s="222"/>
      <c r="AU179" s="222"/>
      <c r="AV179" s="222"/>
      <c r="AW179" s="222"/>
      <c r="AX179" s="222"/>
      <c r="AY179" s="222"/>
      <c r="AZ179" s="222"/>
      <c r="BA179" s="222"/>
      <c r="BB179" s="222"/>
      <c r="BC179" s="222"/>
      <c r="BD179" s="222"/>
      <c r="BE179" s="222"/>
      <c r="BF179" s="222"/>
      <c r="BG179" s="222"/>
      <c r="BH179" s="222"/>
      <c r="BI179" s="222"/>
      <c r="BJ179" s="222"/>
      <c r="BK179" s="222"/>
    </row>
    <row r="180" spans="1:63">
      <c r="A180" s="171"/>
      <c r="B180" s="318" t="str">
        <f>Servicio_internaColumna_título_total</f>
        <v>Total</v>
      </c>
      <c r="C180" s="319"/>
      <c r="D180" s="320"/>
      <c r="E180" s="320"/>
      <c r="F180" s="320">
        <f>IF('Perfil - interna'!F180+'Perfil - externa'!F178=0,0,'Perfil - interna'!F180+'Perfil - externa'!F178)</f>
        <v>0</v>
      </c>
      <c r="G180" s="320">
        <f>IF('Perfil - interna'!G180+'Perfil - externa'!G178=0,0,'Perfil - interna'!G180+'Perfil - externa'!G178)</f>
        <v>3089097.9541263399</v>
      </c>
      <c r="H180" s="320">
        <f>IF('Perfil - interna'!H180+'Perfil - externa'!H178=0,0,'Perfil - interna'!H180+'Perfil - externa'!H178)</f>
        <v>30511039.820293866</v>
      </c>
      <c r="I180" s="320">
        <f>IF('Perfil - interna'!I180+'Perfil - externa'!I178=0,0,'Perfil - interna'!I180+'Perfil - externa'!I178)</f>
        <v>26679681.40051616</v>
      </c>
      <c r="J180" s="320">
        <f>IF('Perfil - interna'!J180+'Perfil - externa'!J178=0,0,'Perfil - interna'!J180+'Perfil - externa'!J178)</f>
        <v>21011546.514653146</v>
      </c>
      <c r="K180" s="320">
        <f>IF('Perfil - interna'!K180+'Perfil - externa'!K178=0,0,'Perfil - interna'!K180+'Perfil - externa'!K178)</f>
        <v>19517992.660269938</v>
      </c>
      <c r="L180" s="320">
        <f>IF('Perfil - interna'!L180+'Perfil - externa'!L178=0,0,'Perfil - interna'!L180+'Perfil - externa'!L178)</f>
        <v>17639229.907608442</v>
      </c>
      <c r="M180" s="320">
        <f>IF('Perfil - interna'!M180+'Perfil - externa'!M178=0,0,'Perfil - interna'!M180+'Perfil - externa'!M178)</f>
        <v>12802665.159033641</v>
      </c>
      <c r="N180" s="320">
        <f>IF('Perfil - interna'!N180+'Perfil - externa'!N178=0,0,'Perfil - interna'!N180+'Perfil - externa'!N178)</f>
        <v>16915224.019318581</v>
      </c>
      <c r="O180" s="320">
        <f>IF('Perfil - interna'!O180+'Perfil - externa'!O178=0,0,'Perfil - interna'!O180+'Perfil - externa'!O178)</f>
        <v>8454338.0524989925</v>
      </c>
      <c r="P180" s="320">
        <f>IF('Perfil - interna'!P180+'Perfil - externa'!P178=0,0,'Perfil - interna'!P180+'Perfil - externa'!P178)</f>
        <v>11875198.573382871</v>
      </c>
      <c r="Q180" s="320">
        <f>IF('Perfil - interna'!Q180+'Perfil - externa'!Q178=0,0,'Perfil - interna'!Q180+'Perfil - externa'!Q178)</f>
        <v>6340610.1393503584</v>
      </c>
      <c r="R180" s="320">
        <f>IF('Perfil - interna'!R180+'Perfil - externa'!R178=0,0,'Perfil - interna'!R180+'Perfil - externa'!R178)</f>
        <v>2751864.4742072192</v>
      </c>
      <c r="S180" s="320">
        <f>IF('Perfil - interna'!S180+'Perfil - externa'!S178=0,0,'Perfil - interna'!S180+'Perfil - externa'!S178)</f>
        <v>1982120.8289432146</v>
      </c>
      <c r="T180" s="320">
        <f>IF('Perfil - interna'!T180+'Perfil - externa'!T178=0,0,'Perfil - interna'!T180+'Perfil - externa'!T178)</f>
        <v>1606415.1987216969</v>
      </c>
      <c r="U180" s="320">
        <f>IF('Perfil - interna'!U180+'Perfil - externa'!U178=0,0,'Perfil - interna'!U180+'Perfil - externa'!U178)</f>
        <v>1403415.1388921181</v>
      </c>
      <c r="V180" s="320">
        <f>IF('Perfil - interna'!V180+'Perfil - externa'!V178=0,0,'Perfil - interna'!V180+'Perfil - externa'!V178)</f>
        <v>4244045.8471595645</v>
      </c>
      <c r="W180" s="320">
        <f>IF('Perfil - interna'!W180+'Perfil - externa'!W178=0,0,'Perfil - interna'!W180+'Perfil - externa'!W178)</f>
        <v>781388.05697780498</v>
      </c>
      <c r="X180" s="320">
        <f>IF('Perfil - interna'!X180+'Perfil - externa'!X178=0,0,'Perfil - interna'!X180+'Perfil - externa'!X178)</f>
        <v>635702.68158812053</v>
      </c>
      <c r="Y180" s="320">
        <f>IF('Perfil - interna'!Y180+'Perfil - externa'!Y178=0,0,'Perfil - interna'!Y180+'Perfil - externa'!Y178)</f>
        <v>622976.19699796999</v>
      </c>
      <c r="Z180" s="320">
        <f>IF('Perfil - interna'!Z180+'Perfil - externa'!Z178=0,0,'Perfil - interna'!Z180+'Perfil - externa'!Z178)</f>
        <v>2738699.9421343179</v>
      </c>
      <c r="AA180" s="320">
        <f>IF('Perfil - interna'!AA180+'Perfil - externa'!AA178=0,0,'Perfil - interna'!AA180+'Perfil - externa'!AA178)</f>
        <v>240921.50683351469</v>
      </c>
      <c r="AB180" s="320">
        <f>IF('Perfil - interna'!AB180+'Perfil - externa'!AB178=0,0,'Perfil - interna'!AB180+'Perfil - externa'!AB178)</f>
        <v>222293.3879176311</v>
      </c>
      <c r="AC180" s="320">
        <f>IF('Perfil - interna'!AC180+'Perfil - externa'!AC178=0,0,'Perfil - interna'!AC180+'Perfil - externa'!AC178)</f>
        <v>600544.69005211198</v>
      </c>
      <c r="AD180" s="320">
        <f>IF('Perfil - interna'!AD180+'Perfil - externa'!AD178=0,0,'Perfil - interna'!AD180+'Perfil - externa'!AD178)</f>
        <v>185908.5392951328</v>
      </c>
      <c r="AE180" s="320">
        <f>IF('Perfil - interna'!AE180+'Perfil - externa'!AE178=0,0,'Perfil - interna'!AE180+'Perfil - externa'!AE178)</f>
        <v>153484.6368816921</v>
      </c>
      <c r="AF180" s="320">
        <f>IF('Perfil - interna'!AF180+'Perfil - externa'!AF178=0,0,'Perfil - interna'!AF180+'Perfil - externa'!AF178)</f>
        <v>134099.54449942589</v>
      </c>
      <c r="AG180" s="320">
        <f>IF('Perfil - interna'!AG180+'Perfil - externa'!AG178=0,0,'Perfil - interna'!AG180+'Perfil - externa'!AG178)</f>
        <v>126187.00277677349</v>
      </c>
      <c r="AH180" s="320">
        <f>IF('Perfil - interna'!AH180+'Perfil - externa'!AH178=0,0,'Perfil - interna'!AH180+'Perfil - externa'!AH178)</f>
        <v>125305.16999159371</v>
      </c>
      <c r="AI180" s="320">
        <f>IF('Perfil - interna'!AI180+'Perfil - externa'!AI178=0,0,'Perfil - interna'!AI180+'Perfil - externa'!AI178)</f>
        <v>1219620.2245093575</v>
      </c>
      <c r="AJ180" s="320">
        <f>IF('Perfil - interna'!AJ180+'Perfil - externa'!AJ178=0,0,'Perfil - interna'!AJ180+'Perfil - externa'!AJ178)</f>
        <v>5491.2087092256006</v>
      </c>
      <c r="AK180" s="320">
        <f>IF('Perfil - interna'!AK180+'Perfil - externa'!AK178=0,0,'Perfil - interna'!AK180+'Perfil - externa'!AK178)</f>
        <v>165.3983307387</v>
      </c>
      <c r="AL180" s="320">
        <f>IF('Perfil - interna'!AL180+'Perfil - externa'!AL178=0,0,'Perfil - interna'!AL180+'Perfil - externa'!AL178)</f>
        <v>0</v>
      </c>
      <c r="AM180" s="320">
        <f>IF('Perfil - interna'!AM180+'Perfil - externa'!AM178=0,0,'Perfil - interna'!AM180+'Perfil - externa'!AM178)</f>
        <v>0</v>
      </c>
      <c r="AN180" s="320">
        <f>IF('Perfil - interna'!AN180+'Perfil - externa'!AN178=0,0,'Perfil - interna'!AN180+'Perfil - externa'!AN178)</f>
        <v>0</v>
      </c>
      <c r="AO180" s="320"/>
      <c r="AP180" s="320"/>
      <c r="AQ180" s="320"/>
      <c r="AR180" s="320"/>
      <c r="AS180" s="320"/>
      <c r="AT180" s="320"/>
      <c r="AU180" s="320"/>
      <c r="AV180" s="320"/>
      <c r="AW180" s="320"/>
      <c r="AX180" s="320"/>
      <c r="AY180" s="320"/>
      <c r="AZ180" s="320"/>
      <c r="BA180" s="320"/>
      <c r="BB180" s="320"/>
      <c r="BC180" s="320"/>
      <c r="BD180" s="320"/>
      <c r="BE180" s="320"/>
      <c r="BF180" s="320"/>
      <c r="BG180" s="320"/>
      <c r="BH180" s="320"/>
      <c r="BI180" s="320"/>
      <c r="BJ180" s="320"/>
      <c r="BK180" s="320"/>
    </row>
    <row r="181" spans="1:63">
      <c r="A181" s="167"/>
      <c r="B181" s="217" t="str">
        <f>Servicio_internaColumna_título_amortizaciones</f>
        <v>Amortizaciones</v>
      </c>
      <c r="C181" s="218"/>
      <c r="D181" s="219"/>
      <c r="E181" s="219"/>
      <c r="F181" s="219">
        <f>IF('Perfil - interna'!F181+'Perfil - externa'!F179=0,0,'Perfil - interna'!F181+'Perfil - externa'!F179)</f>
        <v>0</v>
      </c>
      <c r="G181" s="219">
        <f>IF('Perfil - interna'!G181+'Perfil - externa'!G179=0,0,'Perfil - interna'!G181+'Perfil - externa'!G179)</f>
        <v>834959.84787201509</v>
      </c>
      <c r="H181" s="219">
        <f>IF('Perfil - interna'!H181+'Perfil - externa'!H179=0,0,'Perfil - interna'!H181+'Perfil - externa'!H179)</f>
        <v>19304085.072517723</v>
      </c>
      <c r="I181" s="219">
        <f>IF('Perfil - interna'!I181+'Perfil - externa'!I179=0,0,'Perfil - interna'!I181+'Perfil - externa'!I179)</f>
        <v>17085896.835576613</v>
      </c>
      <c r="J181" s="219">
        <f>IF('Perfil - interna'!J181+'Perfil - externa'!J179=0,0,'Perfil - interna'!J181+'Perfil - externa'!J179)</f>
        <v>14043650.892547848</v>
      </c>
      <c r="K181" s="219">
        <f>IF('Perfil - interna'!K181+'Perfil - externa'!K179=0,0,'Perfil - interna'!K181+'Perfil - externa'!K179)</f>
        <v>12951804.242930271</v>
      </c>
      <c r="L181" s="219">
        <f>IF('Perfil - interna'!L181+'Perfil - externa'!L179=0,0,'Perfil - interna'!L181+'Perfil - externa'!L179)</f>
        <v>13394232.798560616</v>
      </c>
      <c r="M181" s="219">
        <f>IF('Perfil - interna'!M181+'Perfil - externa'!M179=0,0,'Perfil - interna'!M181+'Perfil - externa'!M179)</f>
        <v>8428452.5119143799</v>
      </c>
      <c r="N181" s="219">
        <f>IF('Perfil - interna'!N181+'Perfil - externa'!N179=0,0,'Perfil - interna'!N181+'Perfil - externa'!N179)</f>
        <v>13180962.177532405</v>
      </c>
      <c r="O181" s="219">
        <f>IF('Perfil - interna'!O181+'Perfil - externa'!O179=0,0,'Perfil - interna'!O181+'Perfil - externa'!O179)</f>
        <v>6166674.1841530679</v>
      </c>
      <c r="P181" s="219">
        <f>IF('Perfil - interna'!P181+'Perfil - externa'!P179=0,0,'Perfil - interna'!P181+'Perfil - externa'!P179)</f>
        <v>10866569.478052165</v>
      </c>
      <c r="Q181" s="219">
        <f>IF('Perfil - interna'!Q181+'Perfil - externa'!Q179=0,0,'Perfil - interna'!Q181+'Perfil - externa'!Q179)</f>
        <v>6841802.4439682458</v>
      </c>
      <c r="R181" s="219">
        <f>IF('Perfil - interna'!R181+'Perfil - externa'!R179=0,0,'Perfil - interna'!R181+'Perfil - externa'!R179)</f>
        <v>1748795.708574496</v>
      </c>
      <c r="S181" s="219">
        <f>IF('Perfil - interna'!S181+'Perfil - externa'!S179=0,0,'Perfil - interna'!S181+'Perfil - externa'!S179)</f>
        <v>1070122.7242117352</v>
      </c>
      <c r="T181" s="219">
        <f>IF('Perfil - interna'!T181+'Perfil - externa'!T179=0,0,'Perfil - interna'!T181+'Perfil - externa'!T179)</f>
        <v>750801.08568629052</v>
      </c>
      <c r="U181" s="219">
        <f>IF('Perfil - interna'!U181+'Perfil - externa'!U179=0,0,'Perfil - interna'!U181+'Perfil - externa'!U179)</f>
        <v>585142.54354774184</v>
      </c>
      <c r="V181" s="219">
        <f>IF('Perfil - interna'!V181+'Perfil - externa'!V179=0,0,'Perfil - interna'!V181+'Perfil - externa'!V179)</f>
        <v>3708015.3074997417</v>
      </c>
      <c r="W181" s="219">
        <f>IF('Perfil - interna'!W181+'Perfil - externa'!W179=0,0,'Perfil - interna'!W181+'Perfil - externa'!W179)</f>
        <v>380364.55899463565</v>
      </c>
      <c r="X181" s="219">
        <f>IF('Perfil - interna'!X181+'Perfil - externa'!X179=0,0,'Perfil - interna'!X181+'Perfil - externa'!X179)</f>
        <v>252374.78332118609</v>
      </c>
      <c r="Y181" s="219">
        <f>IF('Perfil - interna'!Y181+'Perfil - externa'!Y179=0,0,'Perfil - interna'!Y181+'Perfil - externa'!Y179)</f>
        <v>251186.39364446167</v>
      </c>
      <c r="Z181" s="219">
        <f>IF('Perfil - interna'!Z181+'Perfil - externa'!Z179=0,0,'Perfil - interna'!Z181+'Perfil - externa'!Z179)</f>
        <v>2455559.6345351483</v>
      </c>
      <c r="AA181" s="219">
        <f>IF('Perfil - interna'!AA181+'Perfil - externa'!AA179=0,0,'Perfil - interna'!AA181+'Perfil - externa'!AA179)</f>
        <v>73699.174569776791</v>
      </c>
      <c r="AB181" s="219">
        <f>IF('Perfil - interna'!AB181+'Perfil - externa'!AB179=0,0,'Perfil - interna'!AB181+'Perfil - externa'!AB179)</f>
        <v>58121.510582377996</v>
      </c>
      <c r="AC181" s="219">
        <f>IF('Perfil - interna'!AC181+'Perfil - externa'!AC179=0,0,'Perfil - interna'!AC181+'Perfil - externa'!AC179)</f>
        <v>453069.54638065875</v>
      </c>
      <c r="AD181" s="219">
        <f>IF('Perfil - interna'!AD181+'Perfil - externa'!AD179=0,0,'Perfil - interna'!AD181+'Perfil - externa'!AD179)</f>
        <v>61412.441076539209</v>
      </c>
      <c r="AE181" s="219">
        <f>IF('Perfil - interna'!AE181+'Perfil - externa'!AE179=0,0,'Perfil - interna'!AE181+'Perfil - externa'!AE179)</f>
        <v>32148.874106675205</v>
      </c>
      <c r="AF181" s="219">
        <f>IF('Perfil - interna'!AF181+'Perfil - externa'!AF179=0,0,'Perfil - interna'!AF181+'Perfil - externa'!AF179)</f>
        <v>13993.866645956799</v>
      </c>
      <c r="AG181" s="219">
        <f>IF('Perfil - interna'!AG181+'Perfil - externa'!AG179=0,0,'Perfil - interna'!AG181+'Perfil - externa'!AG179)</f>
        <v>6324.2701078999999</v>
      </c>
      <c r="AH181" s="219">
        <f>IF('Perfil - interna'!AH181+'Perfil - externa'!AH179=0,0,'Perfil - interna'!AH181+'Perfil - externa'!AH179)</f>
        <v>5449.6393491647996</v>
      </c>
      <c r="AI181" s="219">
        <f>IF('Perfil - interna'!AI181+'Perfil - externa'!AI179=0,0,'Perfil - interna'!AI181+'Perfil - externa'!AI179)</f>
        <v>1151840.9581891648</v>
      </c>
      <c r="AJ181" s="219">
        <f>IF('Perfil - interna'!AJ181+'Perfil - externa'!AJ179=0,0,'Perfil - interna'!AJ181+'Perfil - externa'!AJ179)</f>
        <v>5449.6393491647996</v>
      </c>
      <c r="AK181" s="219">
        <f>IF('Perfil - interna'!AK181+'Perfil - externa'!AK179=0,0,'Perfil - interna'!AK181+'Perfil - externa'!AK179)</f>
        <v>161.17422230880001</v>
      </c>
      <c r="AL181" s="219">
        <f>IF('Perfil - interna'!AL181+'Perfil - externa'!AL179=0,0,'Perfil - interna'!AL181+'Perfil - externa'!AL179)</f>
        <v>0</v>
      </c>
      <c r="AM181" s="219">
        <f>IF('Perfil - interna'!AM181+'Perfil - externa'!AM179=0,0,'Perfil - interna'!AM181+'Perfil - externa'!AM179)</f>
        <v>0</v>
      </c>
      <c r="AN181" s="219">
        <f>IF('Perfil - interna'!AN181+'Perfil - externa'!AN179=0,0,'Perfil - interna'!AN181+'Perfil - externa'!AN179)</f>
        <v>0</v>
      </c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</row>
    <row r="182" spans="1:63">
      <c r="A182" s="170">
        <v>38686</v>
      </c>
      <c r="B182" s="220" t="str">
        <f>Servicio_internaColumna_título_intereses</f>
        <v>Intereses</v>
      </c>
      <c r="C182" s="221"/>
      <c r="D182" s="222"/>
      <c r="E182" s="222"/>
      <c r="F182" s="222">
        <f>IF('Perfil - interna'!F182+'Perfil - externa'!F180=0,0,'Perfil - interna'!F182+'Perfil - externa'!F180)</f>
        <v>0</v>
      </c>
      <c r="G182" s="222">
        <f>IF('Perfil - interna'!G182+'Perfil - externa'!G180=0,0,'Perfil - interna'!G182+'Perfil - externa'!G180)</f>
        <v>600218.53400160908</v>
      </c>
      <c r="H182" s="222">
        <f>IF('Perfil - interna'!H182+'Perfil - externa'!H180=0,0,'Perfil - interna'!H182+'Perfil - externa'!H180)</f>
        <v>12683252.077648938</v>
      </c>
      <c r="I182" s="222">
        <f>IF('Perfil - interna'!I182+'Perfil - externa'!I180=0,0,'Perfil - interna'!I182+'Perfil - externa'!I180)</f>
        <v>11003428.558535965</v>
      </c>
      <c r="J182" s="222">
        <f>IF('Perfil - interna'!J182+'Perfil - externa'!J180=0,0,'Perfil - interna'!J182+'Perfil - externa'!J180)</f>
        <v>9217267.1756747533</v>
      </c>
      <c r="K182" s="222">
        <f>IF('Perfil - interna'!K182+'Perfil - externa'!K180=0,0,'Perfil - interna'!K182+'Perfil - externa'!K180)</f>
        <v>7721354.7726503285</v>
      </c>
      <c r="L182" s="222">
        <f>IF('Perfil - interna'!L182+'Perfil - externa'!L180=0,0,'Perfil - interna'!L182+'Perfil - externa'!L180)</f>
        <v>6478626.3432591045</v>
      </c>
      <c r="M182" s="222">
        <f>IF('Perfil - interna'!M182+'Perfil - externa'!M180=0,0,'Perfil - interna'!M182+'Perfil - externa'!M180)</f>
        <v>5238914.4885083139</v>
      </c>
      <c r="N182" s="222">
        <f>IF('Perfil - interna'!N182+'Perfil - externa'!N180=0,0,'Perfil - interna'!N182+'Perfil - externa'!N180)</f>
        <v>4426473.9828169672</v>
      </c>
      <c r="O182" s="222">
        <f>IF('Perfil - interna'!O182+'Perfil - externa'!O180=0,0,'Perfil - interna'!O182+'Perfil - externa'!O180)</f>
        <v>3062526.8831767067</v>
      </c>
      <c r="P182" s="222">
        <f>IF('Perfil - interna'!P182+'Perfil - externa'!P180=0,0,'Perfil - interna'!P182+'Perfil - externa'!P180)</f>
        <v>2631808.9131877725</v>
      </c>
      <c r="Q182" s="222">
        <f>IF('Perfil - interna'!Q182+'Perfil - externa'!Q180=0,0,'Perfil - interna'!Q182+'Perfil - externa'!Q180)</f>
        <v>1550676.3970259249</v>
      </c>
      <c r="R182" s="222">
        <f>IF('Perfil - interna'!R182+'Perfil - externa'!R180=0,0,'Perfil - interna'!R182+'Perfil - externa'!R180)</f>
        <v>1001376.3151869869</v>
      </c>
      <c r="S182" s="222">
        <f>IF('Perfil - interna'!S182+'Perfil - externa'!S180=0,0,'Perfil - interna'!S182+'Perfil - externa'!S180)</f>
        <v>912879.08874200354</v>
      </c>
      <c r="T182" s="222">
        <f>IF('Perfil - interna'!T182+'Perfil - externa'!T180=0,0,'Perfil - interna'!T182+'Perfil - externa'!T180)</f>
        <v>859043.49559466797</v>
      </c>
      <c r="U182" s="222">
        <f>IF('Perfil - interna'!U182+'Perfil - externa'!U180=0,0,'Perfil - interna'!U182+'Perfil - externa'!U180)</f>
        <v>823082.77560497308</v>
      </c>
      <c r="V182" s="222">
        <f>IF('Perfil - interna'!V182+'Perfil - externa'!V180=0,0,'Perfil - interna'!V182+'Perfil - externa'!V180)</f>
        <v>651928.82155792764</v>
      </c>
      <c r="W182" s="222">
        <f>IF('Perfil - interna'!W182+'Perfil - externa'!W180=0,0,'Perfil - interna'!W182+'Perfil - externa'!W180)</f>
        <v>395714.19009627245</v>
      </c>
      <c r="X182" s="222">
        <f>IF('Perfil - interna'!X182+'Perfil - externa'!X180=0,0,'Perfil - interna'!X182+'Perfil - externa'!X180)</f>
        <v>379012.96176273644</v>
      </c>
      <c r="Y182" s="222">
        <f>IF('Perfil - interna'!Y182+'Perfil - externa'!Y180=0,0,'Perfil - interna'!Y182+'Perfil - externa'!Y180)</f>
        <v>367562.4644324992</v>
      </c>
      <c r="Z182" s="222">
        <f>IF('Perfil - interna'!Z182+'Perfil - externa'!Z180=0,0,'Perfil - interna'!Z182+'Perfil - externa'!Z180)</f>
        <v>264562.16796365322</v>
      </c>
      <c r="AA182" s="222">
        <f>IF('Perfil - interna'!AA182+'Perfil - externa'!AA180=0,0,'Perfil - interna'!AA182+'Perfil - externa'!AA180)</f>
        <v>165586.468328202</v>
      </c>
      <c r="AB182" s="222">
        <f>IF('Perfil - interna'!AB182+'Perfil - externa'!AB180=0,0,'Perfil - interna'!AB182+'Perfil - externa'!AB180)</f>
        <v>162662.37850798958</v>
      </c>
      <c r="AC182" s="222">
        <f>IF('Perfil - interna'!AC182+'Perfil - externa'!AC180=0,0,'Perfil - interna'!AC182+'Perfil - externa'!AC180)</f>
        <v>143400.0034145916</v>
      </c>
      <c r="AD182" s="222">
        <f>IF('Perfil - interna'!AD182+'Perfil - externa'!AD180=0,0,'Perfil - interna'!AD182+'Perfil - externa'!AD180)</f>
        <v>123233.41903321678</v>
      </c>
      <c r="AE182" s="222">
        <f>IF('Perfil - interna'!AE182+'Perfil - externa'!AE180=0,0,'Perfil - interna'!AE182+'Perfil - externa'!AE180)</f>
        <v>120293.02457360839</v>
      </c>
      <c r="AF182" s="222">
        <f>IF('Perfil - interna'!AF182+'Perfil - externa'!AF180=0,0,'Perfil - interna'!AF182+'Perfil - externa'!AF180)</f>
        <v>119194.4392606684</v>
      </c>
      <c r="AG182" s="222">
        <f>IF('Perfil - interna'!AG182+'Perfil - externa'!AG180=0,0,'Perfil - interna'!AG182+'Perfil - externa'!AG180)</f>
        <v>119005.17614176038</v>
      </c>
      <c r="AH182" s="222">
        <f>IF('Perfil - interna'!AH182+'Perfil - externa'!AH180=0,0,'Perfil - interna'!AH182+'Perfil - externa'!AH180)</f>
        <v>119003.96735305799</v>
      </c>
      <c r="AI182" s="222">
        <f>IF('Perfil - interna'!AI182+'Perfil - externa'!AI180=0,0,'Perfil - interna'!AI182+'Perfil - externa'!AI180)</f>
        <v>59505.049116559596</v>
      </c>
      <c r="AJ182" s="222">
        <f>IF('Perfil - interna'!AJ182+'Perfil - externa'!AJ180=0,0,'Perfil - interna'!AJ182+'Perfil - externa'!AJ180)</f>
        <v>2.7197973207999997</v>
      </c>
      <c r="AK182" s="222">
        <f>IF('Perfil - interna'!AK182+'Perfil - externa'!AK180=0,0,'Perfil - interna'!AK182+'Perfil - externa'!AK180)</f>
        <v>1.5109858780000001</v>
      </c>
      <c r="AL182" s="222">
        <f>IF('Perfil - interna'!AL182+'Perfil - externa'!AL180=0,0,'Perfil - interna'!AL182+'Perfil - externa'!AL180)</f>
        <v>0</v>
      </c>
      <c r="AM182" s="222">
        <f>IF('Perfil - interna'!AM182+'Perfil - externa'!AM180=0,0,'Perfil - interna'!AM182+'Perfil - externa'!AM180)</f>
        <v>0</v>
      </c>
      <c r="AN182" s="222">
        <f>IF('Perfil - interna'!AN182+'Perfil - externa'!AN180=0,0,'Perfil - interna'!AN182+'Perfil - externa'!AN180)</f>
        <v>0</v>
      </c>
      <c r="AO182" s="222"/>
      <c r="AP182" s="222"/>
      <c r="AQ182" s="222"/>
      <c r="AR182" s="222"/>
      <c r="AS182" s="222"/>
      <c r="AT182" s="222"/>
      <c r="AU182" s="222"/>
      <c r="AV182" s="222"/>
      <c r="AW182" s="222"/>
      <c r="AX182" s="222"/>
      <c r="AY182" s="222"/>
      <c r="AZ182" s="222"/>
      <c r="BA182" s="222"/>
      <c r="BB182" s="222"/>
      <c r="BC182" s="222"/>
      <c r="BD182" s="222"/>
      <c r="BE182" s="222"/>
      <c r="BF182" s="222"/>
      <c r="BG182" s="222"/>
      <c r="BH182" s="222"/>
      <c r="BI182" s="222"/>
      <c r="BJ182" s="222"/>
      <c r="BK182" s="222"/>
    </row>
    <row r="183" spans="1:63">
      <c r="A183" s="171"/>
      <c r="B183" s="318" t="str">
        <f>Servicio_internaColumna_título_total</f>
        <v>Total</v>
      </c>
      <c r="C183" s="319"/>
      <c r="D183" s="320"/>
      <c r="E183" s="320"/>
      <c r="F183" s="320">
        <f>IF('Perfil - interna'!F183+'Perfil - externa'!F181=0,0,'Perfil - interna'!F183+'Perfil - externa'!F181)</f>
        <v>0</v>
      </c>
      <c r="G183" s="320">
        <f>IF('Perfil - interna'!G183+'Perfil - externa'!G181=0,0,'Perfil - interna'!G183+'Perfil - externa'!G181)</f>
        <v>1435178.3818736242</v>
      </c>
      <c r="H183" s="320">
        <f>IF('Perfil - interna'!H183+'Perfil - externa'!H181=0,0,'Perfil - interna'!H183+'Perfil - externa'!H181)</f>
        <v>31987337.150166661</v>
      </c>
      <c r="I183" s="320">
        <f>IF('Perfil - interna'!I183+'Perfil - externa'!I181=0,0,'Perfil - interna'!I183+'Perfil - externa'!I181)</f>
        <v>28089325.39411258</v>
      </c>
      <c r="J183" s="320">
        <f>IF('Perfil - interna'!J183+'Perfil - externa'!J181=0,0,'Perfil - interna'!J183+'Perfil - externa'!J181)</f>
        <v>23260918.068222601</v>
      </c>
      <c r="K183" s="320">
        <f>IF('Perfil - interna'!K183+'Perfil - externa'!K181=0,0,'Perfil - interna'!K183+'Perfil - externa'!K181)</f>
        <v>20673159.015580598</v>
      </c>
      <c r="L183" s="320">
        <f>IF('Perfil - interna'!L183+'Perfil - externa'!L181=0,0,'Perfil - interna'!L183+'Perfil - externa'!L181)</f>
        <v>19872859.141819723</v>
      </c>
      <c r="M183" s="320">
        <f>IF('Perfil - interna'!M183+'Perfil - externa'!M181=0,0,'Perfil - interna'!M183+'Perfil - externa'!M181)</f>
        <v>13667367.000422694</v>
      </c>
      <c r="N183" s="320">
        <f>IF('Perfil - interna'!N183+'Perfil - externa'!N181=0,0,'Perfil - interna'!N183+'Perfil - externa'!N181)</f>
        <v>17607436.160349373</v>
      </c>
      <c r="O183" s="320">
        <f>IF('Perfil - interna'!O183+'Perfil - externa'!O181=0,0,'Perfil - interna'!O183+'Perfil - externa'!O181)</f>
        <v>9229201.0673297755</v>
      </c>
      <c r="P183" s="320">
        <f>IF('Perfil - interna'!P183+'Perfil - externa'!P181=0,0,'Perfil - interna'!P183+'Perfil - externa'!P181)</f>
        <v>13498378.391239939</v>
      </c>
      <c r="Q183" s="320">
        <f>IF('Perfil - interna'!Q183+'Perfil - externa'!Q181=0,0,'Perfil - interna'!Q183+'Perfil - externa'!Q181)</f>
        <v>8392478.8409941699</v>
      </c>
      <c r="R183" s="320">
        <f>IF('Perfil - interna'!R183+'Perfil - externa'!R181=0,0,'Perfil - interna'!R183+'Perfil - externa'!R181)</f>
        <v>2750172.0237614829</v>
      </c>
      <c r="S183" s="320">
        <f>IF('Perfil - interna'!S183+'Perfil - externa'!S181=0,0,'Perfil - interna'!S183+'Perfil - externa'!S181)</f>
        <v>1983001.8129537385</v>
      </c>
      <c r="T183" s="320">
        <f>IF('Perfil - interna'!T183+'Perfil - externa'!T181=0,0,'Perfil - interna'!T183+'Perfil - externa'!T181)</f>
        <v>1609844.5812809584</v>
      </c>
      <c r="U183" s="320">
        <f>IF('Perfil - interna'!U183+'Perfil - externa'!U181=0,0,'Perfil - interna'!U183+'Perfil - externa'!U181)</f>
        <v>1408225.3191527149</v>
      </c>
      <c r="V183" s="320">
        <f>IF('Perfil - interna'!V183+'Perfil - externa'!V181=0,0,'Perfil - interna'!V183+'Perfil - externa'!V181)</f>
        <v>4359944.1290576691</v>
      </c>
      <c r="W183" s="320">
        <f>IF('Perfil - interna'!W183+'Perfil - externa'!W181=0,0,'Perfil - interna'!W183+'Perfil - externa'!W181)</f>
        <v>776078.7490909081</v>
      </c>
      <c r="X183" s="320">
        <f>IF('Perfil - interna'!X183+'Perfil - externa'!X181=0,0,'Perfil - interna'!X183+'Perfil - externa'!X181)</f>
        <v>631387.74508392252</v>
      </c>
      <c r="Y183" s="320">
        <f>IF('Perfil - interna'!Y183+'Perfil - externa'!Y181=0,0,'Perfil - interna'!Y183+'Perfil - externa'!Y181)</f>
        <v>618748.8580769609</v>
      </c>
      <c r="Z183" s="320">
        <f>IF('Perfil - interna'!Z183+'Perfil - externa'!Z181=0,0,'Perfil - interna'!Z183+'Perfil - externa'!Z181)</f>
        <v>2720121.8024988016</v>
      </c>
      <c r="AA183" s="320">
        <f>IF('Perfil - interna'!AA183+'Perfil - externa'!AA181=0,0,'Perfil - interna'!AA183+'Perfil - externa'!AA181)</f>
        <v>239285.64289797877</v>
      </c>
      <c r="AB183" s="320">
        <f>IF('Perfil - interna'!AB183+'Perfil - externa'!AB181=0,0,'Perfil - interna'!AB183+'Perfil - externa'!AB181)</f>
        <v>220783.88909036756</v>
      </c>
      <c r="AC183" s="320">
        <f>IF('Perfil - interna'!AC183+'Perfil - externa'!AC181=0,0,'Perfil - interna'!AC183+'Perfil - externa'!AC181)</f>
        <v>596469.54979525041</v>
      </c>
      <c r="AD183" s="320">
        <f>IF('Perfil - interna'!AD183+'Perfil - externa'!AD181=0,0,'Perfil - interna'!AD183+'Perfil - externa'!AD181)</f>
        <v>184645.860109756</v>
      </c>
      <c r="AE183" s="320">
        <f>IF('Perfil - interna'!AE183+'Perfil - externa'!AE181=0,0,'Perfil - interna'!AE183+'Perfil - externa'!AE181)</f>
        <v>152441.8986802836</v>
      </c>
      <c r="AF183" s="320">
        <f>IF('Perfil - interna'!AF183+'Perfil - externa'!AF181=0,0,'Perfil - interna'!AF183+'Perfil - externa'!AF181)</f>
        <v>133188.3059066252</v>
      </c>
      <c r="AG183" s="320">
        <f>IF('Perfil - interna'!AG183+'Perfil - externa'!AG181=0,0,'Perfil - interna'!AG183+'Perfil - externa'!AG181)</f>
        <v>125329.44624966038</v>
      </c>
      <c r="AH183" s="320">
        <f>IF('Perfil - interna'!AH183+'Perfil - externa'!AH181=0,0,'Perfil - interna'!AH183+'Perfil - externa'!AH181)</f>
        <v>124453.60670222279</v>
      </c>
      <c r="AI183" s="320">
        <f>IF('Perfil - interna'!AI183+'Perfil - externa'!AI181=0,0,'Perfil - interna'!AI183+'Perfil - externa'!AI181)</f>
        <v>1211346.0073057243</v>
      </c>
      <c r="AJ183" s="320">
        <f>IF('Perfil - interna'!AJ183+'Perfil - externa'!AJ181=0,0,'Perfil - interna'!AJ183+'Perfil - externa'!AJ181)</f>
        <v>5452.3591464855999</v>
      </c>
      <c r="AK183" s="320">
        <f>IF('Perfil - interna'!AK183+'Perfil - externa'!AK181=0,0,'Perfil - interna'!AK183+'Perfil - externa'!AK181)</f>
        <v>162.68520818680003</v>
      </c>
      <c r="AL183" s="320">
        <f>IF('Perfil - interna'!AL183+'Perfil - externa'!AL181=0,0,'Perfil - interna'!AL183+'Perfil - externa'!AL181)</f>
        <v>0</v>
      </c>
      <c r="AM183" s="320">
        <f>IF('Perfil - interna'!AM183+'Perfil - externa'!AM181=0,0,'Perfil - interna'!AM183+'Perfil - externa'!AM181)</f>
        <v>0</v>
      </c>
      <c r="AN183" s="320">
        <f>IF('Perfil - interna'!AN183+'Perfil - externa'!AN181=0,0,'Perfil - interna'!AN183+'Perfil - externa'!AN181)</f>
        <v>0</v>
      </c>
      <c r="AO183" s="320"/>
      <c r="AP183" s="320"/>
      <c r="AQ183" s="320"/>
      <c r="AR183" s="320"/>
      <c r="AS183" s="320"/>
      <c r="AT183" s="320"/>
      <c r="AU183" s="320"/>
      <c r="AV183" s="320"/>
      <c r="AW183" s="320"/>
      <c r="AX183" s="320"/>
      <c r="AY183" s="320"/>
      <c r="AZ183" s="320"/>
      <c r="BA183" s="320"/>
      <c r="BB183" s="320"/>
      <c r="BC183" s="320"/>
      <c r="BD183" s="320"/>
      <c r="BE183" s="320"/>
      <c r="BF183" s="320"/>
      <c r="BG183" s="320"/>
      <c r="BH183" s="320"/>
      <c r="BI183" s="320"/>
      <c r="BJ183" s="320"/>
      <c r="BK183" s="320"/>
    </row>
    <row r="184" spans="1:63">
      <c r="A184" s="167"/>
      <c r="B184" s="217" t="str">
        <f>Servicio_internaColumna_título_amortizaciones</f>
        <v>Amortizaciones</v>
      </c>
      <c r="C184" s="218"/>
      <c r="D184" s="219"/>
      <c r="E184" s="219"/>
      <c r="F184" s="219">
        <f>IF('Perfil - interna'!F184+'Perfil - externa'!F182=0,0,'Perfil - interna'!F184+'Perfil - externa'!F182)</f>
        <v>0</v>
      </c>
      <c r="G184" s="219">
        <f>IF('Perfil - interna'!G184+'Perfil - externa'!G182=0,0,'Perfil - interna'!G184+'Perfil - externa'!G182)</f>
        <v>0</v>
      </c>
      <c r="H184" s="219">
        <f>IF('Perfil - interna'!H184+'Perfil - externa'!H182=0,0,'Perfil - interna'!H184+'Perfil - externa'!H182)</f>
        <v>19133333.165929273</v>
      </c>
      <c r="I184" s="219">
        <f>IF('Perfil - interna'!I184+'Perfil - externa'!I182=0,0,'Perfil - interna'!I184+'Perfil - externa'!I182)</f>
        <v>16924687.911744308</v>
      </c>
      <c r="J184" s="219">
        <f>IF('Perfil - interna'!J184+'Perfil - externa'!J182=0,0,'Perfil - interna'!J184+'Perfil - externa'!J182)</f>
        <v>13887288.52004794</v>
      </c>
      <c r="K184" s="219">
        <f>IF('Perfil - interna'!K184+'Perfil - externa'!K182=0,0,'Perfil - interna'!K184+'Perfil - externa'!K182)</f>
        <v>13840343.618233327</v>
      </c>
      <c r="L184" s="219">
        <f>IF('Perfil - interna'!L184+'Perfil - externa'!L182=0,0,'Perfil - interna'!L184+'Perfil - externa'!L182)</f>
        <v>13189933.151147902</v>
      </c>
      <c r="M184" s="219">
        <f>IF('Perfil - interna'!M184+'Perfil - externa'!M182=0,0,'Perfil - interna'!M184+'Perfil - externa'!M182)</f>
        <v>9278513.5031583644</v>
      </c>
      <c r="N184" s="219">
        <f>IF('Perfil - interna'!N184+'Perfil - externa'!N182=0,0,'Perfil - interna'!N184+'Perfil - externa'!N182)</f>
        <v>14006125.076444082</v>
      </c>
      <c r="O184" s="219">
        <f>IF('Perfil - interna'!O184+'Perfil - externa'!O182=0,0,'Perfil - interna'!O184+'Perfil - externa'!O182)</f>
        <v>6292917.4173921701</v>
      </c>
      <c r="P184" s="219">
        <f>IF('Perfil - interna'!P184+'Perfil - externa'!P182=0,0,'Perfil - interna'!P184+'Perfil - externa'!P182)</f>
        <v>11243082.541636083</v>
      </c>
      <c r="Q184" s="219">
        <f>IF('Perfil - interna'!Q184+'Perfil - externa'!Q182=0,0,'Perfil - interna'!Q184+'Perfil - externa'!Q182)</f>
        <v>7568686.9122421257</v>
      </c>
      <c r="R184" s="219">
        <f>IF('Perfil - interna'!R184+'Perfil - externa'!R182=0,0,'Perfil - interna'!R184+'Perfil - externa'!R182)</f>
        <v>2579220.8611761471</v>
      </c>
      <c r="S184" s="219">
        <f>IF('Perfil - interna'!S184+'Perfil - externa'!S182=0,0,'Perfil - interna'!S184+'Perfil - externa'!S182)</f>
        <v>1207045.3514174826</v>
      </c>
      <c r="T184" s="219">
        <f>IF('Perfil - interna'!T184+'Perfil - externa'!T182=0,0,'Perfil - interna'!T184+'Perfil - externa'!T182)</f>
        <v>873034.09083380573</v>
      </c>
      <c r="U184" s="219">
        <f>IF('Perfil - interna'!U184+'Perfil - externa'!U182=0,0,'Perfil - interna'!U184+'Perfil - externa'!U182)</f>
        <v>691830.35995944845</v>
      </c>
      <c r="V184" s="219">
        <f>IF('Perfil - interna'!V184+'Perfil - externa'!V182=0,0,'Perfil - interna'!V184+'Perfil - externa'!V182)</f>
        <v>3905201.686050239</v>
      </c>
      <c r="W184" s="219">
        <f>IF('Perfil - interna'!W184+'Perfil - externa'!W182=0,0,'Perfil - interna'!W184+'Perfil - externa'!W182)</f>
        <v>466401.68784833152</v>
      </c>
      <c r="X184" s="219">
        <f>IF('Perfil - interna'!X184+'Perfil - externa'!X182=0,0,'Perfil - interna'!X184+'Perfil - externa'!X182)</f>
        <v>337452.16630570788</v>
      </c>
      <c r="Y184" s="219">
        <f>IF('Perfil - interna'!Y184+'Perfil - externa'!Y182=0,0,'Perfil - interna'!Y184+'Perfil - externa'!Y182)</f>
        <v>289103.76071867201</v>
      </c>
      <c r="Z184" s="219">
        <f>IF('Perfil - interna'!Z184+'Perfil - externa'!Z182=0,0,'Perfil - interna'!Z184+'Perfil - externa'!Z182)</f>
        <v>2503345.1303987671</v>
      </c>
      <c r="AA184" s="219">
        <f>IF('Perfil - interna'!AA184+'Perfil - externa'!AA182=0,0,'Perfil - interna'!AA184+'Perfil - externa'!AA182)</f>
        <v>110821.99981966561</v>
      </c>
      <c r="AB184" s="219">
        <f>IF('Perfil - interna'!AB184+'Perfil - externa'!AB182=0,0,'Perfil - interna'!AB184+'Perfil - externa'!AB182)</f>
        <v>64040.682015939994</v>
      </c>
      <c r="AC184" s="219">
        <f>IF('Perfil - interna'!AC184+'Perfil - externa'!AC182=0,0,'Perfil - interna'!AC184+'Perfil - externa'!AC182)</f>
        <v>460079.09590107697</v>
      </c>
      <c r="AD184" s="219">
        <f>IF('Perfil - interna'!AD184+'Perfil - externa'!AD182=0,0,'Perfil - interna'!AD184+'Perfil - externa'!AD182)</f>
        <v>66668.692795689189</v>
      </c>
      <c r="AE184" s="219">
        <f>IF('Perfil - interna'!AE184+'Perfil - externa'!AE182=0,0,'Perfil - interna'!AE184+'Perfil - externa'!AE182)</f>
        <v>37274.12412323719</v>
      </c>
      <c r="AF184" s="219">
        <f>IF('Perfil - interna'!AF184+'Perfil - externa'!AF182=0,0,'Perfil - interna'!AF184+'Perfil - externa'!AF182)</f>
        <v>19037.843696365999</v>
      </c>
      <c r="AG184" s="219">
        <f>IF('Perfil - interna'!AG184+'Perfil - externa'!AG182=0,0,'Perfil - interna'!AG184+'Perfil - externa'!AG182)</f>
        <v>6350.1606095939987</v>
      </c>
      <c r="AH184" s="219">
        <f>IF('Perfil - interna'!AH184+'Perfil - externa'!AH182=0,0,'Perfil - interna'!AH184+'Perfil - externa'!AH182)</f>
        <v>5471.6144662903989</v>
      </c>
      <c r="AI184" s="219">
        <f>IF('Perfil - interna'!AI184+'Perfil - externa'!AI182=0,0,'Perfil - interna'!AI184+'Perfil - externa'!AI182)</f>
        <v>1156994.8850862903</v>
      </c>
      <c r="AJ184" s="219">
        <f>IF('Perfil - interna'!AJ184+'Perfil - externa'!AJ182=0,0,'Perfil - interna'!AJ184+'Perfil - externa'!AJ182)</f>
        <v>5471.6144662903989</v>
      </c>
      <c r="AK184" s="219">
        <f>IF('Perfil - interna'!AK184+'Perfil - externa'!AK182=0,0,'Perfil - interna'!AK184+'Perfil - externa'!AK182)</f>
        <v>159.47492078240001</v>
      </c>
      <c r="AL184" s="219">
        <f>IF('Perfil - interna'!AL184+'Perfil - externa'!AL182=0,0,'Perfil - interna'!AL184+'Perfil - externa'!AL182)</f>
        <v>0</v>
      </c>
      <c r="AM184" s="219">
        <f>IF('Perfil - interna'!AM184+'Perfil - externa'!AM182=0,0,'Perfil - interna'!AM184+'Perfil - externa'!AM182)</f>
        <v>0</v>
      </c>
      <c r="AN184" s="219">
        <f>IF('Perfil - interna'!AN184+'Perfil - externa'!AN182=0,0,'Perfil - interna'!AN184+'Perfil - externa'!AN182)</f>
        <v>0</v>
      </c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</row>
    <row r="185" spans="1:63">
      <c r="A185" s="170">
        <v>38717</v>
      </c>
      <c r="B185" s="220" t="str">
        <f>Servicio_internaColumna_título_intereses</f>
        <v>Intereses</v>
      </c>
      <c r="C185" s="221"/>
      <c r="D185" s="222"/>
      <c r="E185" s="222"/>
      <c r="F185" s="222">
        <f>IF('Perfil - interna'!F185+'Perfil - externa'!F183=0,0,'Perfil - interna'!F185+'Perfil - externa'!F183)</f>
        <v>0</v>
      </c>
      <c r="G185" s="222">
        <f>IF('Perfil - interna'!G185+'Perfil - externa'!G183=0,0,'Perfil - interna'!G185+'Perfil - externa'!G183)</f>
        <v>0</v>
      </c>
      <c r="H185" s="222">
        <f>IF('Perfil - interna'!H185+'Perfil - externa'!H183=0,0,'Perfil - interna'!H185+'Perfil - externa'!H183)</f>
        <v>12886261.478465641</v>
      </c>
      <c r="I185" s="222">
        <f>IF('Perfil - interna'!I185+'Perfil - externa'!I183=0,0,'Perfil - interna'!I185+'Perfil - externa'!I183)</f>
        <v>11231694.415771434</v>
      </c>
      <c r="J185" s="222">
        <f>IF('Perfil - interna'!J185+'Perfil - externa'!J183=0,0,'Perfil - interna'!J185+'Perfil - externa'!J183)</f>
        <v>9471231.6106102876</v>
      </c>
      <c r="K185" s="222">
        <f>IF('Perfil - interna'!K185+'Perfil - externa'!K183=0,0,'Perfil - interna'!K185+'Perfil - externa'!K183)</f>
        <v>7978616.3380174562</v>
      </c>
      <c r="L185" s="222">
        <f>IF('Perfil - interna'!L185+'Perfil - externa'!L183=0,0,'Perfil - interna'!L185+'Perfil - externa'!L183)</f>
        <v>6754909.6595343649</v>
      </c>
      <c r="M185" s="222">
        <f>IF('Perfil - interna'!M185+'Perfil - externa'!M183=0,0,'Perfil - interna'!M185+'Perfil - externa'!M183)</f>
        <v>5472377.7191907987</v>
      </c>
      <c r="N185" s="222">
        <f>IF('Perfil - interna'!N185+'Perfil - externa'!N183=0,0,'Perfil - interna'!N185+'Perfil - externa'!N183)</f>
        <v>4630401.9774947017</v>
      </c>
      <c r="O185" s="222">
        <f>IF('Perfil - interna'!O185+'Perfil - externa'!O183=0,0,'Perfil - interna'!O185+'Perfil - externa'!O183)</f>
        <v>3258492.6926949201</v>
      </c>
      <c r="P185" s="222">
        <f>IF('Perfil - interna'!P185+'Perfil - externa'!P183=0,0,'Perfil - interna'!P185+'Perfil - externa'!P183)</f>
        <v>2815571.7192669567</v>
      </c>
      <c r="Q185" s="222">
        <f>IF('Perfil - interna'!Q185+'Perfil - externa'!Q183=0,0,'Perfil - interna'!Q185+'Perfil - externa'!Q183)</f>
        <v>1679229.1785918644</v>
      </c>
      <c r="R185" s="222">
        <f>IF('Perfil - interna'!R185+'Perfil - externa'!R183=0,0,'Perfil - interna'!R185+'Perfil - externa'!R183)</f>
        <v>1050703.3185037316</v>
      </c>
      <c r="S185" s="222">
        <f>IF('Perfil - interna'!S185+'Perfil - externa'!S183=0,0,'Perfil - interna'!S185+'Perfil - externa'!S183)</f>
        <v>962714.93479088589</v>
      </c>
      <c r="T185" s="222">
        <f>IF('Perfil - interna'!T185+'Perfil - externa'!T183=0,0,'Perfil - interna'!T185+'Perfil - externa'!T183)</f>
        <v>903026.42440145765</v>
      </c>
      <c r="U185" s="222">
        <f>IF('Perfil - interna'!U185+'Perfil - externa'!U183=0,0,'Perfil - interna'!U185+'Perfil - externa'!U183)</f>
        <v>861810.0889676821</v>
      </c>
      <c r="V185" s="222">
        <f>IF('Perfil - interna'!V185+'Perfil - externa'!V183=0,0,'Perfil - interna'!V185+'Perfil - externa'!V183)</f>
        <v>684842.85211354354</v>
      </c>
      <c r="W185" s="222">
        <f>IF('Perfil - interna'!W185+'Perfil - externa'!W183=0,0,'Perfil - interna'!W185+'Perfil - externa'!W183)</f>
        <v>412321.88005091739</v>
      </c>
      <c r="X185" s="222">
        <f>IF('Perfil - interna'!X185+'Perfil - externa'!X183=0,0,'Perfil - interna'!X185+'Perfil - externa'!X183)</f>
        <v>390815.32728318195</v>
      </c>
      <c r="Y185" s="222">
        <f>IF('Perfil - interna'!Y185+'Perfil - externa'!Y183=0,0,'Perfil - interna'!Y185+'Perfil - externa'!Y183)</f>
        <v>375383.0303586346</v>
      </c>
      <c r="Z185" s="222">
        <f>IF('Perfil - interna'!Z185+'Perfil - externa'!Z183=0,0,'Perfil - interna'!Z185+'Perfil - externa'!Z183)</f>
        <v>270145.12972883659</v>
      </c>
      <c r="AA185" s="222">
        <f>IF('Perfil - interna'!AA185+'Perfil - externa'!AA183=0,0,'Perfil - interna'!AA185+'Perfil - externa'!AA183)</f>
        <v>168924.24297255359</v>
      </c>
      <c r="AB185" s="222">
        <f>IF('Perfil - interna'!AB185+'Perfil - externa'!AB183=0,0,'Perfil - interna'!AB185+'Perfil - externa'!AB183)</f>
        <v>164565.0099083338</v>
      </c>
      <c r="AC185" s="222">
        <f>IF('Perfil - interna'!AC185+'Perfil - externa'!AC183=0,0,'Perfil - interna'!AC185+'Perfil - externa'!AC183)</f>
        <v>144953.04524051497</v>
      </c>
      <c r="AD185" s="222">
        <f>IF('Perfil - interna'!AD185+'Perfil - externa'!AD183=0,0,'Perfil - interna'!AD185+'Perfil - externa'!AD183)</f>
        <v>124455.15071108479</v>
      </c>
      <c r="AE185" s="222">
        <f>IF('Perfil - interna'!AE185+'Perfil - externa'!AE183=0,0,'Perfil - interna'!AE185+'Perfil - externa'!AE183)</f>
        <v>121256.56582817217</v>
      </c>
      <c r="AF185" s="222">
        <f>IF('Perfil - interna'!AF185+'Perfil - externa'!AF183=0,0,'Perfil - interna'!AF185+'Perfil - externa'!AF183)</f>
        <v>119910.03280286459</v>
      </c>
      <c r="AG185" s="222">
        <f>IF('Perfil - interna'!AG185+'Perfil - externa'!AG183=0,0,'Perfil - interna'!AG185+'Perfil - externa'!AG183)</f>
        <v>119537.82111829378</v>
      </c>
      <c r="AH185" s="222">
        <f>IF('Perfil - interna'!AH185+'Perfil - externa'!AH183=0,0,'Perfil - interna'!AH185+'Perfil - externa'!AH183)</f>
        <v>119536.62507785957</v>
      </c>
      <c r="AI185" s="222">
        <f>IF('Perfil - interna'!AI185+'Perfil - externa'!AI183=0,0,'Perfil - interna'!AI185+'Perfil - externa'!AI183)</f>
        <v>59771.371269405186</v>
      </c>
      <c r="AJ185" s="222">
        <f>IF('Perfil - interna'!AJ185+'Perfil - externa'!AJ183=0,0,'Perfil - interna'!AJ185+'Perfil - externa'!AJ183)</f>
        <v>2.6911309507999999</v>
      </c>
      <c r="AK185" s="222">
        <f>IF('Perfil - interna'!AK185+'Perfil - externa'!AK183=0,0,'Perfil - interna'!AK185+'Perfil - externa'!AK183)</f>
        <v>1.4950676744</v>
      </c>
      <c r="AL185" s="222">
        <f>IF('Perfil - interna'!AL185+'Perfil - externa'!AL183=0,0,'Perfil - interna'!AL185+'Perfil - externa'!AL183)</f>
        <v>0</v>
      </c>
      <c r="AM185" s="222">
        <f>IF('Perfil - interna'!AM185+'Perfil - externa'!AM183=0,0,'Perfil - interna'!AM185+'Perfil - externa'!AM183)</f>
        <v>0</v>
      </c>
      <c r="AN185" s="222">
        <f>IF('Perfil - interna'!AN185+'Perfil - externa'!AN183=0,0,'Perfil - interna'!AN185+'Perfil - externa'!AN183)</f>
        <v>0</v>
      </c>
      <c r="AO185" s="222"/>
      <c r="AP185" s="222"/>
      <c r="AQ185" s="222"/>
      <c r="AR185" s="222"/>
      <c r="AS185" s="222"/>
      <c r="AT185" s="222"/>
      <c r="AU185" s="222"/>
      <c r="AV185" s="222"/>
      <c r="AW185" s="222"/>
      <c r="AX185" s="222"/>
      <c r="AY185" s="222"/>
      <c r="AZ185" s="222"/>
      <c r="BA185" s="222"/>
      <c r="BB185" s="222"/>
      <c r="BC185" s="222"/>
      <c r="BD185" s="222"/>
      <c r="BE185" s="222"/>
      <c r="BF185" s="222"/>
      <c r="BG185" s="222"/>
      <c r="BH185" s="222"/>
      <c r="BI185" s="222"/>
      <c r="BJ185" s="222"/>
      <c r="BK185" s="222"/>
    </row>
    <row r="186" spans="1:63">
      <c r="A186" s="171"/>
      <c r="B186" s="318" t="str">
        <f>Servicio_internaColumna_título_total</f>
        <v>Total</v>
      </c>
      <c r="C186" s="319"/>
      <c r="D186" s="320"/>
      <c r="E186" s="320"/>
      <c r="F186" s="320">
        <f>IF('Perfil - interna'!F186+'Perfil - externa'!F184=0,0,'Perfil - interna'!F186+'Perfil - externa'!F184)</f>
        <v>0</v>
      </c>
      <c r="G186" s="320">
        <f>IF('Perfil - interna'!G186+'Perfil - externa'!G184=0,0,'Perfil - interna'!G186+'Perfil - externa'!G184)</f>
        <v>0</v>
      </c>
      <c r="H186" s="320">
        <f>IF('Perfil - interna'!H186+'Perfil - externa'!H184=0,0,'Perfil - interna'!H186+'Perfil - externa'!H184)</f>
        <v>32019594.644394912</v>
      </c>
      <c r="I186" s="320">
        <f>IF('Perfil - interna'!I186+'Perfil - externa'!I184=0,0,'Perfil - interna'!I186+'Perfil - externa'!I184)</f>
        <v>28156382.327515744</v>
      </c>
      <c r="J186" s="320">
        <f>IF('Perfil - interna'!J186+'Perfil - externa'!J184=0,0,'Perfil - interna'!J186+'Perfil - externa'!J184)</f>
        <v>23358520.130658232</v>
      </c>
      <c r="K186" s="320">
        <f>IF('Perfil - interna'!K186+'Perfil - externa'!K184=0,0,'Perfil - interna'!K186+'Perfil - externa'!K184)</f>
        <v>21818959.956250783</v>
      </c>
      <c r="L186" s="320">
        <f>IF('Perfil - interna'!L186+'Perfil - externa'!L184=0,0,'Perfil - interna'!L186+'Perfil - externa'!L184)</f>
        <v>19944842.810682267</v>
      </c>
      <c r="M186" s="320">
        <f>IF('Perfil - interna'!M186+'Perfil - externa'!M184=0,0,'Perfil - interna'!M186+'Perfil - externa'!M184)</f>
        <v>14750891.222349163</v>
      </c>
      <c r="N186" s="320">
        <f>IF('Perfil - interna'!N186+'Perfil - externa'!N184=0,0,'Perfil - interna'!N186+'Perfil - externa'!N184)</f>
        <v>18636527.053938784</v>
      </c>
      <c r="O186" s="320">
        <f>IF('Perfil - interna'!O186+'Perfil - externa'!O184=0,0,'Perfil - interna'!O186+'Perfil - externa'!O184)</f>
        <v>9551410.1100870892</v>
      </c>
      <c r="P186" s="320">
        <f>IF('Perfil - interna'!P186+'Perfil - externa'!P184=0,0,'Perfil - interna'!P186+'Perfil - externa'!P184)</f>
        <v>14058654.26090304</v>
      </c>
      <c r="Q186" s="320">
        <f>IF('Perfil - interna'!Q186+'Perfil - externa'!Q184=0,0,'Perfil - interna'!Q186+'Perfil - externa'!Q184)</f>
        <v>9247916.0908339899</v>
      </c>
      <c r="R186" s="320">
        <f>IF('Perfil - interna'!R186+'Perfil - externa'!R184=0,0,'Perfil - interna'!R186+'Perfil - externa'!R184)</f>
        <v>3629924.1796798785</v>
      </c>
      <c r="S186" s="320">
        <f>IF('Perfil - interna'!S186+'Perfil - externa'!S184=0,0,'Perfil - interna'!S186+'Perfil - externa'!S184)</f>
        <v>2169760.2862083684</v>
      </c>
      <c r="T186" s="320">
        <f>IF('Perfil - interna'!T186+'Perfil - externa'!T184=0,0,'Perfil - interna'!T186+'Perfil - externa'!T184)</f>
        <v>1776060.5152352634</v>
      </c>
      <c r="U186" s="320">
        <f>IF('Perfil - interna'!U186+'Perfil - externa'!U184=0,0,'Perfil - interna'!U186+'Perfil - externa'!U184)</f>
        <v>1553640.4489271306</v>
      </c>
      <c r="V186" s="320">
        <f>IF('Perfil - interna'!V186+'Perfil - externa'!V184=0,0,'Perfil - interna'!V186+'Perfil - externa'!V184)</f>
        <v>4590044.538163783</v>
      </c>
      <c r="W186" s="320">
        <f>IF('Perfil - interna'!W186+'Perfil - externa'!W184=0,0,'Perfil - interna'!W186+'Perfil - externa'!W184)</f>
        <v>878723.56789924891</v>
      </c>
      <c r="X186" s="320">
        <f>IF('Perfil - interna'!X186+'Perfil - externa'!X184=0,0,'Perfil - interna'!X186+'Perfil - externa'!X184)</f>
        <v>728267.49358888983</v>
      </c>
      <c r="Y186" s="320">
        <f>IF('Perfil - interna'!Y186+'Perfil - externa'!Y184=0,0,'Perfil - interna'!Y186+'Perfil - externa'!Y184)</f>
        <v>664486.79107730661</v>
      </c>
      <c r="Z186" s="320">
        <f>IF('Perfil - interna'!Z186+'Perfil - externa'!Z184=0,0,'Perfil - interna'!Z186+'Perfil - externa'!Z184)</f>
        <v>2773490.2601276035</v>
      </c>
      <c r="AA186" s="320">
        <f>IF('Perfil - interna'!AA186+'Perfil - externa'!AA184=0,0,'Perfil - interna'!AA186+'Perfil - externa'!AA184)</f>
        <v>279746.24279221921</v>
      </c>
      <c r="AB186" s="320">
        <f>IF('Perfil - interna'!AB186+'Perfil - externa'!AB184=0,0,'Perfil - interna'!AB186+'Perfil - externa'!AB184)</f>
        <v>228605.69192427379</v>
      </c>
      <c r="AC186" s="320">
        <f>IF('Perfil - interna'!AC186+'Perfil - externa'!AC184=0,0,'Perfil - interna'!AC186+'Perfil - externa'!AC184)</f>
        <v>605032.14114159194</v>
      </c>
      <c r="AD186" s="320">
        <f>IF('Perfil - interna'!AD186+'Perfil - externa'!AD184=0,0,'Perfil - interna'!AD186+'Perfil - externa'!AD184)</f>
        <v>191123.84350677399</v>
      </c>
      <c r="AE186" s="320">
        <f>IF('Perfil - interna'!AE186+'Perfil - externa'!AE184=0,0,'Perfil - interna'!AE186+'Perfil - externa'!AE184)</f>
        <v>158530.68995140935</v>
      </c>
      <c r="AF186" s="320">
        <f>IF('Perfil - interna'!AF186+'Perfil - externa'!AF184=0,0,'Perfil - interna'!AF186+'Perfil - externa'!AF184)</f>
        <v>138947.8764992306</v>
      </c>
      <c r="AG186" s="320">
        <f>IF('Perfil - interna'!AG186+'Perfil - externa'!AG184=0,0,'Perfil - interna'!AG186+'Perfil - externa'!AG184)</f>
        <v>125887.98172788777</v>
      </c>
      <c r="AH186" s="320">
        <f>IF('Perfil - interna'!AH186+'Perfil - externa'!AH184=0,0,'Perfil - interna'!AH186+'Perfil - externa'!AH184)</f>
        <v>125008.23954414997</v>
      </c>
      <c r="AI186" s="320">
        <f>IF('Perfil - interna'!AI186+'Perfil - externa'!AI184=0,0,'Perfil - interna'!AI186+'Perfil - externa'!AI184)</f>
        <v>1216766.2563556954</v>
      </c>
      <c r="AJ186" s="320">
        <f>IF('Perfil - interna'!AJ186+'Perfil - externa'!AJ184=0,0,'Perfil - interna'!AJ186+'Perfil - externa'!AJ184)</f>
        <v>5474.3055972411985</v>
      </c>
      <c r="AK186" s="320">
        <f>IF('Perfil - interna'!AK186+'Perfil - externa'!AK184=0,0,'Perfil - interna'!AK186+'Perfil - externa'!AK184)</f>
        <v>160.9699884568</v>
      </c>
      <c r="AL186" s="320">
        <f>IF('Perfil - interna'!AL186+'Perfil - externa'!AL184=0,0,'Perfil - interna'!AL186+'Perfil - externa'!AL184)</f>
        <v>0</v>
      </c>
      <c r="AM186" s="320">
        <f>IF('Perfil - interna'!AM186+'Perfil - externa'!AM184=0,0,'Perfil - interna'!AM186+'Perfil - externa'!AM184)</f>
        <v>0</v>
      </c>
      <c r="AN186" s="320">
        <f>IF('Perfil - interna'!AN186+'Perfil - externa'!AN184=0,0,'Perfil - interna'!AN186+'Perfil - externa'!AN184)</f>
        <v>0</v>
      </c>
      <c r="AO186" s="320"/>
      <c r="AP186" s="320"/>
      <c r="AQ186" s="320"/>
      <c r="AR186" s="320"/>
      <c r="AS186" s="320"/>
      <c r="AT186" s="320"/>
      <c r="AU186" s="320"/>
      <c r="AV186" s="320"/>
      <c r="AW186" s="320"/>
      <c r="AX186" s="320"/>
      <c r="AY186" s="320"/>
      <c r="AZ186" s="320"/>
      <c r="BA186" s="320"/>
      <c r="BB186" s="320"/>
      <c r="BC186" s="320"/>
      <c r="BD186" s="320"/>
      <c r="BE186" s="320"/>
      <c r="BF186" s="320"/>
      <c r="BG186" s="320"/>
      <c r="BH186" s="320"/>
      <c r="BI186" s="320"/>
      <c r="BJ186" s="320"/>
      <c r="BK186" s="320"/>
    </row>
    <row r="187" spans="1:63">
      <c r="A187" s="167"/>
      <c r="B187" s="217" t="str">
        <f>Servicio_internaColumna_título_amortizaciones</f>
        <v>Amortizaciones</v>
      </c>
      <c r="C187" s="218"/>
      <c r="D187" s="219"/>
      <c r="E187" s="219"/>
      <c r="F187" s="219">
        <f>IF('Perfil - interna'!F187+'Perfil - externa'!F185=0,0,'Perfil - interna'!F187+'Perfil - externa'!F185)</f>
        <v>0</v>
      </c>
      <c r="G187" s="219">
        <f>IF('Perfil - interna'!G187+'Perfil - externa'!G185=0,0,'Perfil - interna'!G187+'Perfil - externa'!G185)</f>
        <v>0</v>
      </c>
      <c r="H187" s="219">
        <f>IF('Perfil - interna'!H187+'Perfil - externa'!H185=0,0,'Perfil - interna'!H187+'Perfil - externa'!H185)</f>
        <v>20048409.483388361</v>
      </c>
      <c r="I187" s="219">
        <f>IF('Perfil - interna'!I187+'Perfil - externa'!I185=0,0,'Perfil - interna'!I187+'Perfil - externa'!I185)</f>
        <v>17178856.173472267</v>
      </c>
      <c r="J187" s="219">
        <f>IF('Perfil - interna'!J187+'Perfil - externa'!J185=0,0,'Perfil - interna'!J187+'Perfil - externa'!J185)</f>
        <v>14380530.4823629</v>
      </c>
      <c r="K187" s="219">
        <f>IF('Perfil - interna'!K187+'Perfil - externa'!K185=0,0,'Perfil - interna'!K187+'Perfil - externa'!K185)</f>
        <v>12830880.737991257</v>
      </c>
      <c r="L187" s="219">
        <f>IF('Perfil - interna'!L187+'Perfil - externa'!L185=0,0,'Perfil - interna'!L187+'Perfil - externa'!L185)</f>
        <v>14047113.616738882</v>
      </c>
      <c r="M187" s="219">
        <f>IF('Perfil - interna'!M187+'Perfil - externa'!M185=0,0,'Perfil - interna'!M187+'Perfil - externa'!M185)</f>
        <v>8494401.1378972307</v>
      </c>
      <c r="N187" s="219">
        <f>IF('Perfil - interna'!N187+'Perfil - externa'!N185=0,0,'Perfil - interna'!N187+'Perfil - externa'!N185)</f>
        <v>14398152.724728499</v>
      </c>
      <c r="O187" s="219">
        <f>IF('Perfil - interna'!O187+'Perfil - externa'!O185=0,0,'Perfil - interna'!O187+'Perfil - externa'!O185)</f>
        <v>6252212.3842429258</v>
      </c>
      <c r="P187" s="219">
        <f>IF('Perfil - interna'!P187+'Perfil - externa'!P185=0,0,'Perfil - interna'!P187+'Perfil - externa'!P185)</f>
        <v>11635435.510704368</v>
      </c>
      <c r="Q187" s="219">
        <f>IF('Perfil - interna'!Q187+'Perfil - externa'!Q185=0,0,'Perfil - interna'!Q187+'Perfil - externa'!Q185)</f>
        <v>7803344.7112967502</v>
      </c>
      <c r="R187" s="219">
        <f>IF('Perfil - interna'!R187+'Perfil - externa'!R185=0,0,'Perfil - interna'!R187+'Perfil - externa'!R185)</f>
        <v>1936041.3431270281</v>
      </c>
      <c r="S187" s="219">
        <f>IF('Perfil - interna'!S187+'Perfil - externa'!S185=0,0,'Perfil - interna'!S187+'Perfil - externa'!S185)</f>
        <v>1197254.616290427</v>
      </c>
      <c r="T187" s="219">
        <f>IF('Perfil - interna'!T187+'Perfil - externa'!T185=0,0,'Perfil - interna'!T187+'Perfil - externa'!T185)</f>
        <v>865958.82478978415</v>
      </c>
      <c r="U187" s="219">
        <f>IF('Perfil - interna'!U187+'Perfil - externa'!U185=0,0,'Perfil - interna'!U187+'Perfil - externa'!U185)</f>
        <v>686219.18359332206</v>
      </c>
      <c r="V187" s="219">
        <f>IF('Perfil - interna'!V187+'Perfil - externa'!V185=0,0,'Perfil - interna'!V187+'Perfil - externa'!V185)</f>
        <v>4124524.5331865037</v>
      </c>
      <c r="W187" s="219">
        <f>IF('Perfil - interna'!W187+'Perfil - externa'!W185=0,0,'Perfil - interna'!W187+'Perfil - externa'!W185)</f>
        <v>462622.92972185113</v>
      </c>
      <c r="X187" s="219">
        <f>IF('Perfil - interna'!X187+'Perfil - externa'!X185=0,0,'Perfil - interna'!X187+'Perfil - externa'!X185)</f>
        <v>334711.46618261759</v>
      </c>
      <c r="Y187" s="219">
        <f>IF('Perfil - interna'!Y187+'Perfil - externa'!Y185=0,0,'Perfil - interna'!Y187+'Perfil - externa'!Y185)</f>
        <v>286754.00201748905</v>
      </c>
      <c r="Z187" s="219">
        <f>IF('Perfil - interna'!Z187+'Perfil - externa'!Z185=0,0,'Perfil - interna'!Z187+'Perfil - externa'!Z185)</f>
        <v>2482994.2762536434</v>
      </c>
      <c r="AA187" s="219">
        <f>IF('Perfil - interna'!AA187+'Perfil - externa'!AA185=0,0,'Perfil - interna'!AA187+'Perfil - externa'!AA185)</f>
        <v>109921.61652886102</v>
      </c>
      <c r="AB187" s="219">
        <f>IF('Perfil - interna'!AB187+'Perfil - externa'!AB185=0,0,'Perfil - interna'!AB187+'Perfil - externa'!AB185)</f>
        <v>63520.616326599004</v>
      </c>
      <c r="AC187" s="219">
        <f>IF('Perfil - interna'!AC187+'Perfil - externa'!AC185=0,0,'Perfil - interna'!AC187+'Perfil - externa'!AC185)</f>
        <v>456339.36076402647</v>
      </c>
      <c r="AD187" s="219">
        <f>IF('Perfil - interna'!AD187+'Perfil - externa'!AD185=0,0,'Perfil - interna'!AD187+'Perfil - externa'!AD185)</f>
        <v>66127.262193957999</v>
      </c>
      <c r="AE187" s="219">
        <f>IF('Perfil - interna'!AE187+'Perfil - externa'!AE185=0,0,'Perfil - interna'!AE187+'Perfil - externa'!AE185)</f>
        <v>36971.662246168002</v>
      </c>
      <c r="AF187" s="219">
        <f>IF('Perfil - interna'!AF187+'Perfil - externa'!AF185=0,0,'Perfil - interna'!AF187+'Perfil - externa'!AF185)</f>
        <v>18883.637121993997</v>
      </c>
      <c r="AG187" s="219">
        <f>IF('Perfil - interna'!AG187+'Perfil - externa'!AG185=0,0,'Perfil - interna'!AG187+'Perfil - externa'!AG185)</f>
        <v>6299.1009628040001</v>
      </c>
      <c r="AH187" s="219">
        <f>IF('Perfil - interna'!AH187+'Perfil - externa'!AH185=0,0,'Perfil - interna'!AH187+'Perfil - externa'!AH185)</f>
        <v>5427.6971271069997</v>
      </c>
      <c r="AI187" s="219">
        <f>IF('Perfil - interna'!AI187+'Perfil - externa'!AI185=0,0,'Perfil - interna'!AI187+'Perfil - externa'!AI185)</f>
        <v>1147589.4407771069</v>
      </c>
      <c r="AJ187" s="219">
        <f>IF('Perfil - interna'!AJ187+'Perfil - externa'!AJ185=0,0,'Perfil - interna'!AJ187+'Perfil - externa'!AJ185)</f>
        <v>5427.6971271069997</v>
      </c>
      <c r="AK187" s="219">
        <f>IF('Perfil - interna'!AK187+'Perfil - externa'!AK185=0,0,'Perfil - interna'!AK187+'Perfil - externa'!AK185)</f>
        <v>158.74362819700002</v>
      </c>
      <c r="AL187" s="219">
        <f>IF('Perfil - interna'!AL187+'Perfil - externa'!AL185=0,0,'Perfil - interna'!AL187+'Perfil - externa'!AL185)</f>
        <v>0</v>
      </c>
      <c r="AM187" s="219">
        <f>IF('Perfil - interna'!AM187+'Perfil - externa'!AM185=0,0,'Perfil - interna'!AM187+'Perfil - externa'!AM185)</f>
        <v>0</v>
      </c>
      <c r="AN187" s="219">
        <f>IF('Perfil - interna'!AN187+'Perfil - externa'!AN185=0,0,'Perfil - interna'!AN187+'Perfil - externa'!AN185)</f>
        <v>0</v>
      </c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</row>
    <row r="188" spans="1:63">
      <c r="A188" s="170">
        <v>38748</v>
      </c>
      <c r="B188" s="220" t="str">
        <f>Servicio_internaColumna_título_intereses</f>
        <v>Intereses</v>
      </c>
      <c r="C188" s="221"/>
      <c r="D188" s="222"/>
      <c r="E188" s="222"/>
      <c r="F188" s="222">
        <f>IF('Perfil - interna'!F188+'Perfil - externa'!F186=0,0,'Perfil - interna'!F188+'Perfil - externa'!F186)</f>
        <v>0</v>
      </c>
      <c r="G188" s="222">
        <f>IF('Perfil - interna'!G188+'Perfil - externa'!G186=0,0,'Perfil - interna'!G188+'Perfil - externa'!G186)</f>
        <v>0</v>
      </c>
      <c r="H188" s="222">
        <f>IF('Perfil - interna'!H188+'Perfil - externa'!H186=0,0,'Perfil - interna'!H188+'Perfil - externa'!H186)</f>
        <v>12147654.593419742</v>
      </c>
      <c r="I188" s="222">
        <f>IF('Perfil - interna'!I188+'Perfil - externa'!I186=0,0,'Perfil - interna'!I188+'Perfil - externa'!I186)</f>
        <v>11339860.155196186</v>
      </c>
      <c r="J188" s="222">
        <f>IF('Perfil - interna'!J188+'Perfil - externa'!J186=0,0,'Perfil - interna'!J188+'Perfil - externa'!J186)</f>
        <v>9570247.1944522914</v>
      </c>
      <c r="K188" s="222">
        <f>IF('Perfil - interna'!K188+'Perfil - externa'!K186=0,0,'Perfil - interna'!K188+'Perfil - externa'!K186)</f>
        <v>8061778.5235281438</v>
      </c>
      <c r="L188" s="222">
        <f>IF('Perfil - interna'!L188+'Perfil - externa'!L186=0,0,'Perfil - interna'!L188+'Perfil - externa'!L186)</f>
        <v>6851618.02201105</v>
      </c>
      <c r="M188" s="222">
        <f>IF('Perfil - interna'!M188+'Perfil - externa'!M186=0,0,'Perfil - interna'!M188+'Perfil - externa'!M186)</f>
        <v>5560304.2992877215</v>
      </c>
      <c r="N188" s="222">
        <f>IF('Perfil - interna'!N188+'Perfil - externa'!N186=0,0,'Perfil - interna'!N188+'Perfil - externa'!N186)</f>
        <v>4751104.0583815221</v>
      </c>
      <c r="O188" s="222">
        <f>IF('Perfil - interna'!O188+'Perfil - externa'!O186=0,0,'Perfil - interna'!O188+'Perfil - externa'!O186)</f>
        <v>3340075.6452406058</v>
      </c>
      <c r="P188" s="222">
        <f>IF('Perfil - interna'!P188+'Perfil - externa'!P186=0,0,'Perfil - interna'!P188+'Perfil - externa'!P186)</f>
        <v>2899388.4237330807</v>
      </c>
      <c r="Q188" s="222">
        <f>IF('Perfil - interna'!Q188+'Perfil - externa'!Q186=0,0,'Perfil - interna'!Q188+'Perfil - externa'!Q186)</f>
        <v>1711414.3249973357</v>
      </c>
      <c r="R188" s="222">
        <f>IF('Perfil - interna'!R188+'Perfil - externa'!R186=0,0,'Perfil - interna'!R188+'Perfil - externa'!R186)</f>
        <v>1069737.8182097571</v>
      </c>
      <c r="S188" s="222">
        <f>IF('Perfil - interna'!S188+'Perfil - externa'!S186=0,0,'Perfil - interna'!S188+'Perfil - externa'!S186)</f>
        <v>982496.25451734895</v>
      </c>
      <c r="T188" s="222">
        <f>IF('Perfil - interna'!T188+'Perfil - externa'!T186=0,0,'Perfil - interna'!T188+'Perfil - externa'!T186)</f>
        <v>923292.52908269479</v>
      </c>
      <c r="U188" s="222">
        <f>IF('Perfil - interna'!U188+'Perfil - externa'!U186=0,0,'Perfil - interna'!U188+'Perfil - externa'!U186)</f>
        <v>882410.9304795966</v>
      </c>
      <c r="V188" s="222">
        <f>IF('Perfil - interna'!V188+'Perfil - externa'!V186=0,0,'Perfil - interna'!V188+'Perfil - externa'!V186)</f>
        <v>706882.12358059408</v>
      </c>
      <c r="W188" s="222">
        <f>IF('Perfil - interna'!W188+'Perfil - externa'!W186=0,0,'Perfil - interna'!W188+'Perfil - externa'!W186)</f>
        <v>408960.04314946954</v>
      </c>
      <c r="X188" s="222">
        <f>IF('Perfil - interna'!X188+'Perfil - externa'!X186=0,0,'Perfil - interna'!X188+'Perfil - externa'!X186)</f>
        <v>387628.11960204295</v>
      </c>
      <c r="Y188" s="222">
        <f>IF('Perfil - interna'!Y188+'Perfil - externa'!Y186=0,0,'Perfil - interna'!Y188+'Perfil - externa'!Y186)</f>
        <v>372321.25679434306</v>
      </c>
      <c r="Z188" s="222">
        <f>IF('Perfil - interna'!Z188+'Perfil - externa'!Z186=0,0,'Perfil - interna'!Z188+'Perfil - externa'!Z186)</f>
        <v>267938.90343614906</v>
      </c>
      <c r="AA188" s="222">
        <f>IF('Perfil - interna'!AA188+'Perfil - externa'!AA186=0,0,'Perfil - interna'!AA188+'Perfil - externa'!AA186)</f>
        <v>167540.90682950453</v>
      </c>
      <c r="AB188" s="222">
        <f>IF('Perfil - interna'!AB188+'Perfil - externa'!AB186=0,0,'Perfil - interna'!AB188+'Perfil - externa'!AB186)</f>
        <v>163222.14981228049</v>
      </c>
      <c r="AC188" s="222">
        <f>IF('Perfil - interna'!AC188+'Perfil - externa'!AC186=0,0,'Perfil - interna'!AC188+'Perfil - externa'!AC186)</f>
        <v>143774.6611451075</v>
      </c>
      <c r="AD188" s="222">
        <f>IF('Perfil - interna'!AD188+'Perfil - externa'!AD186=0,0,'Perfil - interna'!AD188+'Perfil - externa'!AD186)</f>
        <v>123443.40392533199</v>
      </c>
      <c r="AE188" s="222">
        <f>IF('Perfil - interna'!AE188+'Perfil - externa'!AE186=0,0,'Perfil - interna'!AE188+'Perfil - externa'!AE186)</f>
        <v>120270.81830850198</v>
      </c>
      <c r="AF188" s="222">
        <f>IF('Perfil - interna'!AF188+'Perfil - externa'!AF186=0,0,'Perfil - interna'!AF188+'Perfil - externa'!AF186)</f>
        <v>118935.22794220949</v>
      </c>
      <c r="AG188" s="222">
        <f>IF('Perfil - interna'!AG188+'Perfil - externa'!AG186=0,0,'Perfil - interna'!AG188+'Perfil - externa'!AG186)</f>
        <v>118566.03796374651</v>
      </c>
      <c r="AH188" s="222">
        <f>IF('Perfil - interna'!AH188+'Perfil - externa'!AH186=0,0,'Perfil - interna'!AH188+'Perfil - externa'!AH186)</f>
        <v>118564.8474099845</v>
      </c>
      <c r="AI188" s="222">
        <f>IF('Perfil - interna'!AI188+'Perfil - externa'!AI186=0,0,'Perfil - interna'!AI188+'Perfil - externa'!AI186)</f>
        <v>59285.462360787496</v>
      </c>
      <c r="AJ188" s="222">
        <f>IF('Perfil - interna'!AJ188+'Perfil - externa'!AJ186=0,0,'Perfil - interna'!AJ188+'Perfil - externa'!AJ186)</f>
        <v>2.6787912775000002</v>
      </c>
      <c r="AK188" s="222">
        <f>IF('Perfil - interna'!AK188+'Perfil - externa'!AK186=0,0,'Perfil - interna'!AK188+'Perfil - externa'!AK186)</f>
        <v>1.4881922025000003</v>
      </c>
      <c r="AL188" s="222">
        <f>IF('Perfil - interna'!AL188+'Perfil - externa'!AL186=0,0,'Perfil - interna'!AL188+'Perfil - externa'!AL186)</f>
        <v>0</v>
      </c>
      <c r="AM188" s="222">
        <f>IF('Perfil - interna'!AM188+'Perfil - externa'!AM186=0,0,'Perfil - interna'!AM188+'Perfil - externa'!AM186)</f>
        <v>0</v>
      </c>
      <c r="AN188" s="222">
        <f>IF('Perfil - interna'!AN188+'Perfil - externa'!AN186=0,0,'Perfil - interna'!AN188+'Perfil - externa'!AN186)</f>
        <v>0</v>
      </c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  <c r="BJ188" s="222"/>
      <c r="BK188" s="222"/>
    </row>
    <row r="189" spans="1:63">
      <c r="A189" s="171"/>
      <c r="B189" s="318" t="str">
        <f>Servicio_internaColumna_título_total</f>
        <v>Total</v>
      </c>
      <c r="C189" s="319"/>
      <c r="D189" s="320"/>
      <c r="E189" s="320"/>
      <c r="F189" s="320">
        <f>IF('Perfil - interna'!F189+'Perfil - externa'!F187=0,0,'Perfil - interna'!F189+'Perfil - externa'!F187)</f>
        <v>0</v>
      </c>
      <c r="G189" s="320">
        <f>IF('Perfil - interna'!G189+'Perfil - externa'!G187=0,0,'Perfil - interna'!G189+'Perfil - externa'!G187)</f>
        <v>0</v>
      </c>
      <c r="H189" s="320">
        <f>IF('Perfil - interna'!H189+'Perfil - externa'!H187=0,0,'Perfil - interna'!H189+'Perfil - externa'!H187)</f>
        <v>32196064.076808102</v>
      </c>
      <c r="I189" s="320">
        <f>IF('Perfil - interna'!I189+'Perfil - externa'!I187=0,0,'Perfil - interna'!I189+'Perfil - externa'!I187)</f>
        <v>28518716.328668453</v>
      </c>
      <c r="J189" s="320">
        <f>IF('Perfil - interna'!J189+'Perfil - externa'!J187=0,0,'Perfil - interna'!J189+'Perfil - externa'!J187)</f>
        <v>23950777.676815189</v>
      </c>
      <c r="K189" s="320">
        <f>IF('Perfil - interna'!K189+'Perfil - externa'!K187=0,0,'Perfil - interna'!K189+'Perfil - externa'!K187)</f>
        <v>20892659.261519402</v>
      </c>
      <c r="L189" s="320">
        <f>IF('Perfil - interna'!L189+'Perfil - externa'!L187=0,0,'Perfil - interna'!L189+'Perfil - externa'!L187)</f>
        <v>20898731.638749931</v>
      </c>
      <c r="M189" s="320">
        <f>IF('Perfil - interna'!M189+'Perfil - externa'!M187=0,0,'Perfil - interna'!M189+'Perfil - externa'!M187)</f>
        <v>14054705.437184952</v>
      </c>
      <c r="N189" s="320">
        <f>IF('Perfil - interna'!N189+'Perfil - externa'!N187=0,0,'Perfil - interna'!N189+'Perfil - externa'!N187)</f>
        <v>19149256.783110023</v>
      </c>
      <c r="O189" s="320">
        <f>IF('Perfil - interna'!O189+'Perfil - externa'!O187=0,0,'Perfil - interna'!O189+'Perfil - externa'!O187)</f>
        <v>9592288.0294835307</v>
      </c>
      <c r="P189" s="320">
        <f>IF('Perfil - interna'!P189+'Perfil - externa'!P187=0,0,'Perfil - interna'!P189+'Perfil - externa'!P187)</f>
        <v>14534823.934437448</v>
      </c>
      <c r="Q189" s="320">
        <f>IF('Perfil - interna'!Q189+'Perfil - externa'!Q187=0,0,'Perfil - interna'!Q189+'Perfil - externa'!Q187)</f>
        <v>9514759.0362940859</v>
      </c>
      <c r="R189" s="320">
        <f>IF('Perfil - interna'!R189+'Perfil - externa'!R187=0,0,'Perfil - interna'!R189+'Perfil - externa'!R187)</f>
        <v>3005779.1613367852</v>
      </c>
      <c r="S189" s="320">
        <f>IF('Perfil - interna'!S189+'Perfil - externa'!S187=0,0,'Perfil - interna'!S189+'Perfil - externa'!S187)</f>
        <v>2179750.8708077758</v>
      </c>
      <c r="T189" s="320">
        <f>IF('Perfil - interna'!T189+'Perfil - externa'!T187=0,0,'Perfil - interna'!T189+'Perfil - externa'!T187)</f>
        <v>1789251.3538724792</v>
      </c>
      <c r="U189" s="320">
        <f>IF('Perfil - interna'!U189+'Perfil - externa'!U187=0,0,'Perfil - interna'!U189+'Perfil - externa'!U187)</f>
        <v>1568630.1140729187</v>
      </c>
      <c r="V189" s="320">
        <f>IF('Perfil - interna'!V189+'Perfil - externa'!V187=0,0,'Perfil - interna'!V189+'Perfil - externa'!V187)</f>
        <v>4831406.6567670982</v>
      </c>
      <c r="W189" s="320">
        <f>IF('Perfil - interna'!W189+'Perfil - externa'!W187=0,0,'Perfil - interna'!W189+'Perfil - externa'!W187)</f>
        <v>871582.97287132067</v>
      </c>
      <c r="X189" s="320">
        <f>IF('Perfil - interna'!X189+'Perfil - externa'!X187=0,0,'Perfil - interna'!X189+'Perfil - externa'!X187)</f>
        <v>722339.58578466054</v>
      </c>
      <c r="Y189" s="320">
        <f>IF('Perfil - interna'!Y189+'Perfil - externa'!Y187=0,0,'Perfil - interna'!Y189+'Perfil - externa'!Y187)</f>
        <v>659075.25881183217</v>
      </c>
      <c r="Z189" s="320">
        <f>IF('Perfil - interna'!Z189+'Perfil - externa'!Z187=0,0,'Perfil - interna'!Z189+'Perfil - externa'!Z187)</f>
        <v>2750933.1796897925</v>
      </c>
      <c r="AA189" s="320">
        <f>IF('Perfil - interna'!AA189+'Perfil - externa'!AA187=0,0,'Perfil - interna'!AA189+'Perfil - externa'!AA187)</f>
        <v>277462.52335836552</v>
      </c>
      <c r="AB189" s="320">
        <f>IF('Perfil - interna'!AB189+'Perfil - externa'!AB187=0,0,'Perfil - interna'!AB189+'Perfil - externa'!AB187)</f>
        <v>226742.76613887949</v>
      </c>
      <c r="AC189" s="320">
        <f>IF('Perfil - interna'!AC189+'Perfil - externa'!AC187=0,0,'Perfil - interna'!AC189+'Perfil - externa'!AC187)</f>
        <v>600114.021909134</v>
      </c>
      <c r="AD189" s="320">
        <f>IF('Perfil - interna'!AD189+'Perfil - externa'!AD187=0,0,'Perfil - interna'!AD189+'Perfil - externa'!AD187)</f>
        <v>189570.66611928999</v>
      </c>
      <c r="AE189" s="320">
        <f>IF('Perfil - interna'!AE189+'Perfil - externa'!AE187=0,0,'Perfil - interna'!AE189+'Perfil - externa'!AE187)</f>
        <v>157242.48055466998</v>
      </c>
      <c r="AF189" s="320">
        <f>IF('Perfil - interna'!AF189+'Perfil - externa'!AF187=0,0,'Perfil - interna'!AF189+'Perfil - externa'!AF187)</f>
        <v>137818.86506420348</v>
      </c>
      <c r="AG189" s="320">
        <f>IF('Perfil - interna'!AG189+'Perfil - externa'!AG187=0,0,'Perfil - interna'!AG189+'Perfil - externa'!AG187)</f>
        <v>124865.13892655051</v>
      </c>
      <c r="AH189" s="320">
        <f>IF('Perfil - interna'!AH189+'Perfil - externa'!AH187=0,0,'Perfil - interna'!AH189+'Perfil - externa'!AH187)</f>
        <v>123992.54453709151</v>
      </c>
      <c r="AI189" s="320">
        <f>IF('Perfil - interna'!AI189+'Perfil - externa'!AI187=0,0,'Perfil - interna'!AI189+'Perfil - externa'!AI187)</f>
        <v>1206874.9031378943</v>
      </c>
      <c r="AJ189" s="320">
        <f>IF('Perfil - interna'!AJ189+'Perfil - externa'!AJ187=0,0,'Perfil - interna'!AJ189+'Perfil - externa'!AJ187)</f>
        <v>5430.3759183844995</v>
      </c>
      <c r="AK189" s="320">
        <f>IF('Perfil - interna'!AK189+'Perfil - externa'!AK187=0,0,'Perfil - interna'!AK189+'Perfil - externa'!AK187)</f>
        <v>160.23182039950001</v>
      </c>
      <c r="AL189" s="320">
        <f>IF('Perfil - interna'!AL189+'Perfil - externa'!AL187=0,0,'Perfil - interna'!AL189+'Perfil - externa'!AL187)</f>
        <v>0</v>
      </c>
      <c r="AM189" s="320">
        <f>IF('Perfil - interna'!AM189+'Perfil - externa'!AM187=0,0,'Perfil - interna'!AM189+'Perfil - externa'!AM187)</f>
        <v>0</v>
      </c>
      <c r="AN189" s="320">
        <f>IF('Perfil - interna'!AN189+'Perfil - externa'!AN187=0,0,'Perfil - interna'!AN189+'Perfil - externa'!AN187)</f>
        <v>0</v>
      </c>
      <c r="AO189" s="320"/>
      <c r="AP189" s="320"/>
      <c r="AQ189" s="320"/>
      <c r="AR189" s="320"/>
      <c r="AS189" s="320"/>
      <c r="AT189" s="320"/>
      <c r="AU189" s="320"/>
      <c r="AV189" s="320"/>
      <c r="AW189" s="320"/>
      <c r="AX189" s="320"/>
      <c r="AY189" s="320"/>
      <c r="AZ189" s="320"/>
      <c r="BA189" s="320"/>
      <c r="BB189" s="320"/>
      <c r="BC189" s="320"/>
      <c r="BD189" s="320"/>
      <c r="BE189" s="320"/>
      <c r="BF189" s="320"/>
      <c r="BG189" s="320"/>
      <c r="BH189" s="320"/>
      <c r="BI189" s="320"/>
      <c r="BJ189" s="320"/>
      <c r="BK189" s="320"/>
    </row>
    <row r="190" spans="1:63">
      <c r="A190" s="167"/>
      <c r="B190" s="217" t="str">
        <f>Servicio_internaColumna_título_amortizaciones</f>
        <v>Amortizaciones</v>
      </c>
      <c r="C190" s="218"/>
      <c r="D190" s="219"/>
      <c r="E190" s="219"/>
      <c r="F190" s="219">
        <f>IF('Perfil - interna'!F190+'Perfil - externa'!F188=0,0,'Perfil - interna'!F190+'Perfil - externa'!F188)</f>
        <v>0</v>
      </c>
      <c r="G190" s="219">
        <f>IF('Perfil - interna'!G190+'Perfil - externa'!G188=0,0,'Perfil - interna'!G190+'Perfil - externa'!G188)</f>
        <v>0</v>
      </c>
      <c r="H190" s="219">
        <f>IF('Perfil - interna'!H190+'Perfil - externa'!H188=0,0,'Perfil - interna'!H190+'Perfil - externa'!H188)</f>
        <v>20323806.088989906</v>
      </c>
      <c r="I190" s="219">
        <f>IF('Perfil - interna'!I190+'Perfil - externa'!I188=0,0,'Perfil - interna'!I190+'Perfil - externa'!I188)</f>
        <v>17163687.626948263</v>
      </c>
      <c r="J190" s="219">
        <f>IF('Perfil - interna'!J190+'Perfil - externa'!J188=0,0,'Perfil - interna'!J190+'Perfil - externa'!J188)</f>
        <v>14763722.022962028</v>
      </c>
      <c r="K190" s="219">
        <f>IF('Perfil - interna'!K190+'Perfil - externa'!K188=0,0,'Perfil - interna'!K190+'Perfil - externa'!K188)</f>
        <v>12798477.616666593</v>
      </c>
      <c r="L190" s="219">
        <f>IF('Perfil - interna'!L190+'Perfil - externa'!L188=0,0,'Perfil - interna'!L190+'Perfil - externa'!L188)</f>
        <v>14394806.449930068</v>
      </c>
      <c r="M190" s="219">
        <f>IF('Perfil - interna'!M190+'Perfil - externa'!M188=0,0,'Perfil - interna'!M190+'Perfil - externa'!M188)</f>
        <v>8506117.9168237504</v>
      </c>
      <c r="N190" s="219">
        <f>IF('Perfil - interna'!N190+'Perfil - externa'!N188=0,0,'Perfil - interna'!N190+'Perfil - externa'!N188)</f>
        <v>14378151.374381607</v>
      </c>
      <c r="O190" s="219">
        <f>IF('Perfil - interna'!O190+'Perfil - externa'!O188=0,0,'Perfil - interna'!O190+'Perfil - externa'!O188)</f>
        <v>6228564.7694883412</v>
      </c>
      <c r="P190" s="219">
        <f>IF('Perfil - interna'!P190+'Perfil - externa'!P188=0,0,'Perfil - interna'!P190+'Perfil - externa'!P188)</f>
        <v>11582334.270044981</v>
      </c>
      <c r="Q190" s="219">
        <f>IF('Perfil - interna'!Q190+'Perfil - externa'!Q188=0,0,'Perfil - interna'!Q190+'Perfil - externa'!Q188)</f>
        <v>8268636.3597982414</v>
      </c>
      <c r="R190" s="219">
        <f>IF('Perfil - interna'!R190+'Perfil - externa'!R188=0,0,'Perfil - interna'!R190+'Perfil - externa'!R188)</f>
        <v>1902721.7712739559</v>
      </c>
      <c r="S190" s="219">
        <f>IF('Perfil - interna'!S190+'Perfil - externa'!S188=0,0,'Perfil - interna'!S190+'Perfil - externa'!S188)</f>
        <v>1185578.2214011722</v>
      </c>
      <c r="T190" s="219">
        <f>IF('Perfil - interna'!T190+'Perfil - externa'!T188=0,0,'Perfil - interna'!T190+'Perfil - externa'!T188)</f>
        <v>858831.77859675547</v>
      </c>
      <c r="U190" s="219">
        <f>IF('Perfil - interna'!U190+'Perfil - externa'!U188=0,0,'Perfil - interna'!U190+'Perfil - externa'!U188)</f>
        <v>680749.97978170658</v>
      </c>
      <c r="V190" s="219">
        <f>IF('Perfil - interna'!V190+'Perfil - externa'!V188=0,0,'Perfil - interna'!V190+'Perfil - externa'!V188)</f>
        <v>4486874.8522301223</v>
      </c>
      <c r="W190" s="219">
        <f>IF('Perfil - interna'!W190+'Perfil - externa'!W188=0,0,'Perfil - interna'!W190+'Perfil - externa'!W188)</f>
        <v>458961.1213106236</v>
      </c>
      <c r="X190" s="219">
        <f>IF('Perfil - interna'!X190+'Perfil - externa'!X188=0,0,'Perfil - interna'!X190+'Perfil - externa'!X188)</f>
        <v>332018.84450462006</v>
      </c>
      <c r="Y190" s="219">
        <f>IF('Perfil - interna'!Y190+'Perfil - externa'!Y188=0,0,'Perfil - interna'!Y190+'Perfil - externa'!Y188)</f>
        <v>284435.8330278733</v>
      </c>
      <c r="Z190" s="219">
        <f>IF('Perfil - interna'!Z190+'Perfil - externa'!Z188=0,0,'Perfil - interna'!Z190+'Perfil - externa'!Z188)</f>
        <v>2462907.725522304</v>
      </c>
      <c r="AA190" s="219">
        <f>IF('Perfil - interna'!AA190+'Perfil - externa'!AA188=0,0,'Perfil - interna'!AA190+'Perfil - externa'!AA188)</f>
        <v>109034.08578339389</v>
      </c>
      <c r="AB190" s="219">
        <f>IF('Perfil - interna'!AB190+'Perfil - externa'!AB188=0,0,'Perfil - interna'!AB190+'Perfil - externa'!AB188)</f>
        <v>63008.486530865557</v>
      </c>
      <c r="AC190" s="219">
        <f>IF('Perfil - interna'!AC190+'Perfil - externa'!AC188=0,0,'Perfil - interna'!AC190+'Perfil - externa'!AC188)</f>
        <v>452649.18460954644</v>
      </c>
      <c r="AD190" s="219">
        <f>IF('Perfil - interna'!AD190+'Perfil - externa'!AD188=0,0,'Perfil - interna'!AD190+'Perfil - externa'!AD188)</f>
        <v>65594.043686128702</v>
      </c>
      <c r="AE190" s="219">
        <f>IF('Perfil - interna'!AE190+'Perfil - externa'!AE188=0,0,'Perfil - interna'!AE190+'Perfil - externa'!AE188)</f>
        <v>36674.323134531573</v>
      </c>
      <c r="AF190" s="219">
        <f>IF('Perfil - interna'!AF190+'Perfil - externa'!AF188=0,0,'Perfil - interna'!AF190+'Perfil - externa'!AF188)</f>
        <v>18732.63670523102</v>
      </c>
      <c r="AG190" s="219">
        <f>IF('Perfil - interna'!AG190+'Perfil - externa'!AG188=0,0,'Perfil - interna'!AG190+'Perfil - externa'!AG188)</f>
        <v>6249.9140156973772</v>
      </c>
      <c r="AH190" s="219">
        <f>IF('Perfil - interna'!AH190+'Perfil - externa'!AH188=0,0,'Perfil - interna'!AH190+'Perfil - externa'!AH188)</f>
        <v>5385.5601536237109</v>
      </c>
      <c r="AI190" s="219">
        <f>IF('Perfil - interna'!AI190+'Perfil - externa'!AI188=0,0,'Perfil - interna'!AI190+'Perfil - externa'!AI188)</f>
        <v>1138306.8003350201</v>
      </c>
      <c r="AJ190" s="219">
        <f>IF('Perfil - interna'!AJ190+'Perfil - externa'!AJ188=0,0,'Perfil - interna'!AJ190+'Perfil - externa'!AJ188)</f>
        <v>5385.5601536237109</v>
      </c>
      <c r="AK190" s="219">
        <f>IF('Perfil - interna'!AK190+'Perfil - externa'!AK188=0,0,'Perfil - interna'!AK190+'Perfil - externa'!AK188)</f>
        <v>159.23440280041993</v>
      </c>
      <c r="AL190" s="219">
        <f>IF('Perfil - interna'!AL190+'Perfil - externa'!AL188=0,0,'Perfil - interna'!AL190+'Perfil - externa'!AL188)</f>
        <v>0</v>
      </c>
      <c r="AM190" s="219">
        <f>IF('Perfil - interna'!AM190+'Perfil - externa'!AM188=0,0,'Perfil - interna'!AM190+'Perfil - externa'!AM188)</f>
        <v>0</v>
      </c>
      <c r="AN190" s="219">
        <f>IF('Perfil - interna'!AN190+'Perfil - externa'!AN188=0,0,'Perfil - interna'!AN190+'Perfil - externa'!AN188)</f>
        <v>0</v>
      </c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</row>
    <row r="191" spans="1:63">
      <c r="A191" s="170">
        <v>38776</v>
      </c>
      <c r="B191" s="220" t="str">
        <f>Servicio_internaColumna_título_intereses</f>
        <v>Intereses</v>
      </c>
      <c r="C191" s="221"/>
      <c r="D191" s="222"/>
      <c r="E191" s="222"/>
      <c r="F191" s="222">
        <f>IF('Perfil - interna'!F191+'Perfil - externa'!F189=0,0,'Perfil - interna'!F191+'Perfil - externa'!F189)</f>
        <v>0</v>
      </c>
      <c r="G191" s="222">
        <f>IF('Perfil - interna'!G191+'Perfil - externa'!G189=0,0,'Perfil - interna'!G191+'Perfil - externa'!G189)</f>
        <v>0</v>
      </c>
      <c r="H191" s="222">
        <f>IF('Perfil - interna'!H191+'Perfil - externa'!H189=0,0,'Perfil - interna'!H191+'Perfil - externa'!H189)</f>
        <v>10571781.580109417</v>
      </c>
      <c r="I191" s="222">
        <f>IF('Perfil - interna'!I191+'Perfil - externa'!I189=0,0,'Perfil - interna'!I191+'Perfil - externa'!I189)</f>
        <v>11512509.463971358</v>
      </c>
      <c r="J191" s="222">
        <f>IF('Perfil - interna'!J191+'Perfil - externa'!J189=0,0,'Perfil - interna'!J191+'Perfil - externa'!J189)</f>
        <v>9724389.9788243566</v>
      </c>
      <c r="K191" s="222">
        <f>IF('Perfil - interna'!K191+'Perfil - externa'!K189=0,0,'Perfil - interna'!K191+'Perfil - externa'!K189)</f>
        <v>8175491.4064431228</v>
      </c>
      <c r="L191" s="222">
        <f>IF('Perfil - interna'!L191+'Perfil - externa'!L189=0,0,'Perfil - interna'!L191+'Perfil - externa'!L189)</f>
        <v>6965461.9419109765</v>
      </c>
      <c r="M191" s="222">
        <f>IF('Perfil - interna'!M191+'Perfil - externa'!M189=0,0,'Perfil - interna'!M191+'Perfil - externa'!M189)</f>
        <v>5647113.5719437897</v>
      </c>
      <c r="N191" s="222">
        <f>IF('Perfil - interna'!N191+'Perfil - externa'!N189=0,0,'Perfil - interna'!N191+'Perfil - externa'!N189)</f>
        <v>4836349.9518829715</v>
      </c>
      <c r="O191" s="222">
        <f>IF('Perfil - interna'!O191+'Perfil - externa'!O189=0,0,'Perfil - interna'!O191+'Perfil - externa'!O189)</f>
        <v>3427087.8023717329</v>
      </c>
      <c r="P191" s="222">
        <f>IF('Perfil - interna'!P191+'Perfil - externa'!P189=0,0,'Perfil - interna'!P191+'Perfil - externa'!P189)</f>
        <v>2987274.6347757438</v>
      </c>
      <c r="Q191" s="222">
        <f>IF('Perfil - interna'!Q191+'Perfil - externa'!Q189=0,0,'Perfil - interna'!Q191+'Perfil - externa'!Q189)</f>
        <v>1793821.7237917215</v>
      </c>
      <c r="R191" s="222">
        <f>IF('Perfil - interna'!R191+'Perfil - externa'!R189=0,0,'Perfil - interna'!R191+'Perfil - externa'!R189)</f>
        <v>1102755.2566075658</v>
      </c>
      <c r="S191" s="222">
        <f>IF('Perfil - interna'!S191+'Perfil - externa'!S189=0,0,'Perfil - interna'!S191+'Perfil - externa'!S189)</f>
        <v>1017638.9419709072</v>
      </c>
      <c r="T191" s="222">
        <f>IF('Perfil - interna'!T191+'Perfil - externa'!T189=0,0,'Perfil - interna'!T191+'Perfil - externa'!T189)</f>
        <v>959350.01213352045</v>
      </c>
      <c r="U191" s="222">
        <f>IF('Perfil - interna'!U191+'Perfil - externa'!U189=0,0,'Perfil - interna'!U191+'Perfil - externa'!U189)</f>
        <v>918796.95688378054</v>
      </c>
      <c r="V191" s="222">
        <f>IF('Perfil - interna'!V191+'Perfil - externa'!V189=0,0,'Perfil - interna'!V191+'Perfil - externa'!V189)</f>
        <v>744686.59955291625</v>
      </c>
      <c r="W191" s="222">
        <f>IF('Perfil - interna'!W191+'Perfil - externa'!W189=0,0,'Perfil - interna'!W191+'Perfil - externa'!W189)</f>
        <v>405653.07991581876</v>
      </c>
      <c r="X191" s="222">
        <f>IF('Perfil - interna'!X191+'Perfil - externa'!X189=0,0,'Perfil - interna'!X191+'Perfil - externa'!X189)</f>
        <v>384492.39411179489</v>
      </c>
      <c r="Y191" s="222">
        <f>IF('Perfil - interna'!Y191+'Perfil - externa'!Y189=0,0,'Perfil - interna'!Y191+'Perfil - externa'!Y189)</f>
        <v>369309.21897226287</v>
      </c>
      <c r="Z191" s="222">
        <f>IF('Perfil - interna'!Z191+'Perfil - externa'!Z189=0,0,'Perfil - interna'!Z191+'Perfil - externa'!Z189)</f>
        <v>265771.34342714562</v>
      </c>
      <c r="AA191" s="222">
        <f>IF('Perfil - interna'!AA191+'Perfil - externa'!AA189=0,0,'Perfil - interna'!AA191+'Perfil - externa'!AA189)</f>
        <v>166185.58978483477</v>
      </c>
      <c r="AB191" s="222">
        <f>IF('Perfil - interna'!AB191+'Perfil - externa'!AB189=0,0,'Perfil - interna'!AB191+'Perfil - externa'!AB189)</f>
        <v>161901.75977680684</v>
      </c>
      <c r="AC191" s="222">
        <f>IF('Perfil - interna'!AC191+'Perfil - externa'!AC189=0,0,'Perfil - interna'!AC191+'Perfil - externa'!AC189)</f>
        <v>142611.59505434646</v>
      </c>
      <c r="AD191" s="222">
        <f>IF('Perfil - interna'!AD191+'Perfil - externa'!AD189=0,0,'Perfil - interna'!AD191+'Perfil - externa'!AD189)</f>
        <v>122444.81176548569</v>
      </c>
      <c r="AE191" s="222">
        <f>IF('Perfil - interna'!AE191+'Perfil - externa'!AE189=0,0,'Perfil - interna'!AE191+'Perfil - externa'!AE189)</f>
        <v>119297.88019233018</v>
      </c>
      <c r="AF191" s="222">
        <f>IF('Perfil - interna'!AF191+'Perfil - externa'!AF189=0,0,'Perfil - interna'!AF191+'Perfil - externa'!AF189)</f>
        <v>117973.08193320384</v>
      </c>
      <c r="AG191" s="222">
        <f>IF('Perfil - interna'!AG191+'Perfil - externa'!AG189=0,0,'Perfil - interna'!AG191+'Perfil - externa'!AG189)</f>
        <v>117606.8655316634</v>
      </c>
      <c r="AH191" s="222">
        <f>IF('Perfil - interna'!AH191+'Perfil - externa'!AH189=0,0,'Perfil - interna'!AH191+'Perfil - externa'!AH189)</f>
        <v>117605.67130577906</v>
      </c>
      <c r="AI191" s="222">
        <f>IF('Perfil - interna'!AI191+'Perfil - externa'!AI189=0,0,'Perfil - interna'!AI191+'Perfil - externa'!AI189)</f>
        <v>58805.864692007075</v>
      </c>
      <c r="AJ191" s="222">
        <f>IF('Perfil - interna'!AJ191+'Perfil - externa'!AJ189=0,0,'Perfil - interna'!AJ191+'Perfil - externa'!AJ189)</f>
        <v>2.6870756593359375</v>
      </c>
      <c r="AK191" s="222">
        <f>IF('Perfil - interna'!AK191+'Perfil - externa'!AK189=0,0,'Perfil - interna'!AK191+'Perfil - externa'!AK189)</f>
        <v>1.4927823554077149</v>
      </c>
      <c r="AL191" s="222">
        <f>IF('Perfil - interna'!AL191+'Perfil - externa'!AL189=0,0,'Perfil - interna'!AL191+'Perfil - externa'!AL189)</f>
        <v>0</v>
      </c>
      <c r="AM191" s="222">
        <f>IF('Perfil - interna'!AM191+'Perfil - externa'!AM189=0,0,'Perfil - interna'!AM191+'Perfil - externa'!AM189)</f>
        <v>0</v>
      </c>
      <c r="AN191" s="222">
        <f>IF('Perfil - interna'!AN191+'Perfil - externa'!AN189=0,0,'Perfil - interna'!AN191+'Perfil - externa'!AN189)</f>
        <v>0</v>
      </c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2"/>
      <c r="BK191" s="222"/>
    </row>
    <row r="192" spans="1:63">
      <c r="A192" s="171"/>
      <c r="B192" s="318" t="str">
        <f>Servicio_internaColumna_título_total</f>
        <v>Total</v>
      </c>
      <c r="C192" s="319"/>
      <c r="D192" s="320"/>
      <c r="E192" s="320"/>
      <c r="F192" s="320">
        <f>IF('Perfil - interna'!F192+'Perfil - externa'!F190=0,0,'Perfil - interna'!F192+'Perfil - externa'!F190)</f>
        <v>0</v>
      </c>
      <c r="G192" s="320">
        <f>IF('Perfil - interna'!G192+'Perfil - externa'!G190=0,0,'Perfil - interna'!G192+'Perfil - externa'!G190)</f>
        <v>0</v>
      </c>
      <c r="H192" s="320">
        <f>IF('Perfil - interna'!H192+'Perfil - externa'!H190=0,0,'Perfil - interna'!H192+'Perfil - externa'!H190)</f>
        <v>30895587.669099323</v>
      </c>
      <c r="I192" s="320">
        <f>IF('Perfil - interna'!I192+'Perfil - externa'!I190=0,0,'Perfil - interna'!I192+'Perfil - externa'!I190)</f>
        <v>28676197.090919621</v>
      </c>
      <c r="J192" s="320">
        <f>IF('Perfil - interna'!J192+'Perfil - externa'!J190=0,0,'Perfil - interna'!J192+'Perfil - externa'!J190)</f>
        <v>24488112.001786385</v>
      </c>
      <c r="K192" s="320">
        <f>IF('Perfil - interna'!K192+'Perfil - externa'!K190=0,0,'Perfil - interna'!K192+'Perfil - externa'!K190)</f>
        <v>20973969.023109715</v>
      </c>
      <c r="L192" s="320">
        <f>IF('Perfil - interna'!L192+'Perfil - externa'!L190=0,0,'Perfil - interna'!L192+'Perfil - externa'!L190)</f>
        <v>21360268.391841047</v>
      </c>
      <c r="M192" s="320">
        <f>IF('Perfil - interna'!M192+'Perfil - externa'!M190=0,0,'Perfil - interna'!M192+'Perfil - externa'!M190)</f>
        <v>14153231.48876754</v>
      </c>
      <c r="N192" s="320">
        <f>IF('Perfil - interna'!N192+'Perfil - externa'!N190=0,0,'Perfil - interna'!N192+'Perfil - externa'!N190)</f>
        <v>19214501.326264579</v>
      </c>
      <c r="O192" s="320">
        <f>IF('Perfil - interna'!O192+'Perfil - externa'!O190=0,0,'Perfil - interna'!O192+'Perfil - externa'!O190)</f>
        <v>9655652.571860075</v>
      </c>
      <c r="P192" s="320">
        <f>IF('Perfil - interna'!P192+'Perfil - externa'!P190=0,0,'Perfil - interna'!P192+'Perfil - externa'!P190)</f>
        <v>14569608.904820725</v>
      </c>
      <c r="Q192" s="320">
        <f>IF('Perfil - interna'!Q192+'Perfil - externa'!Q190=0,0,'Perfil - interna'!Q192+'Perfil - externa'!Q190)</f>
        <v>10062458.083589964</v>
      </c>
      <c r="R192" s="320">
        <f>IF('Perfil - interna'!R192+'Perfil - externa'!R190=0,0,'Perfil - interna'!R192+'Perfil - externa'!R190)</f>
        <v>3005477.0278815217</v>
      </c>
      <c r="S192" s="320">
        <f>IF('Perfil - interna'!S192+'Perfil - externa'!S190=0,0,'Perfil - interna'!S192+'Perfil - externa'!S190)</f>
        <v>2203217.1633720794</v>
      </c>
      <c r="T192" s="320">
        <f>IF('Perfil - interna'!T192+'Perfil - externa'!T190=0,0,'Perfil - interna'!T192+'Perfil - externa'!T190)</f>
        <v>1818181.7907302759</v>
      </c>
      <c r="U192" s="320">
        <f>IF('Perfil - interna'!U192+'Perfil - externa'!U190=0,0,'Perfil - interna'!U192+'Perfil - externa'!U190)</f>
        <v>1599546.936665487</v>
      </c>
      <c r="V192" s="320">
        <f>IF('Perfil - interna'!V192+'Perfil - externa'!V190=0,0,'Perfil - interna'!V192+'Perfil - externa'!V190)</f>
        <v>5231561.4517830387</v>
      </c>
      <c r="W192" s="320">
        <f>IF('Perfil - interna'!W192+'Perfil - externa'!W190=0,0,'Perfil - interna'!W192+'Perfil - externa'!W190)</f>
        <v>864614.20122644235</v>
      </c>
      <c r="X192" s="320">
        <f>IF('Perfil - interna'!X192+'Perfil - externa'!X190=0,0,'Perfil - interna'!X192+'Perfil - externa'!X190)</f>
        <v>716511.23861641495</v>
      </c>
      <c r="Y192" s="320">
        <f>IF('Perfil - interna'!Y192+'Perfil - externa'!Y190=0,0,'Perfil - interna'!Y192+'Perfil - externa'!Y190)</f>
        <v>653745.05200013611</v>
      </c>
      <c r="Z192" s="320">
        <f>IF('Perfil - interna'!Z192+'Perfil - externa'!Z190=0,0,'Perfil - interna'!Z192+'Perfil - externa'!Z190)</f>
        <v>2728679.0689494498</v>
      </c>
      <c r="AA192" s="320">
        <f>IF('Perfil - interna'!AA192+'Perfil - externa'!AA190=0,0,'Perfil - interna'!AA192+'Perfil - externa'!AA190)</f>
        <v>275219.67556822865</v>
      </c>
      <c r="AB192" s="320">
        <f>IF('Perfil - interna'!AB192+'Perfil - externa'!AB190=0,0,'Perfil - interna'!AB192+'Perfil - externa'!AB190)</f>
        <v>224910.24630767241</v>
      </c>
      <c r="AC192" s="320">
        <f>IF('Perfil - interna'!AC192+'Perfil - externa'!AC190=0,0,'Perfil - interna'!AC192+'Perfil - externa'!AC190)</f>
        <v>595260.77966389293</v>
      </c>
      <c r="AD192" s="320">
        <f>IF('Perfil - interna'!AD192+'Perfil - externa'!AD190=0,0,'Perfil - interna'!AD192+'Perfil - externa'!AD190)</f>
        <v>188038.85545161439</v>
      </c>
      <c r="AE192" s="320">
        <f>IF('Perfil - interna'!AE192+'Perfil - externa'!AE190=0,0,'Perfil - interna'!AE192+'Perfil - externa'!AE190)</f>
        <v>155972.20332686175</v>
      </c>
      <c r="AF192" s="320">
        <f>IF('Perfil - interna'!AF192+'Perfil - externa'!AF190=0,0,'Perfil - interna'!AF192+'Perfil - externa'!AF190)</f>
        <v>136705.71863843486</v>
      </c>
      <c r="AG192" s="320">
        <f>IF('Perfil - interna'!AG192+'Perfil - externa'!AG190=0,0,'Perfil - interna'!AG192+'Perfil - externa'!AG190)</f>
        <v>123856.77954736077</v>
      </c>
      <c r="AH192" s="320">
        <f>IF('Perfil - interna'!AH192+'Perfil - externa'!AH190=0,0,'Perfil - interna'!AH192+'Perfil - externa'!AH190)</f>
        <v>122991.23145940277</v>
      </c>
      <c r="AI192" s="320">
        <f>IF('Perfil - interna'!AI192+'Perfil - externa'!AI190=0,0,'Perfil - interna'!AI192+'Perfil - externa'!AI190)</f>
        <v>1197112.665027027</v>
      </c>
      <c r="AJ192" s="320">
        <f>IF('Perfil - interna'!AJ192+'Perfil - externa'!AJ190=0,0,'Perfil - interna'!AJ192+'Perfil - externa'!AJ190)</f>
        <v>5388.2472292830471</v>
      </c>
      <c r="AK192" s="320">
        <f>IF('Perfil - interna'!AK192+'Perfil - externa'!AK190=0,0,'Perfil - interna'!AK192+'Perfil - externa'!AK190)</f>
        <v>160.72718515582764</v>
      </c>
      <c r="AL192" s="320">
        <f>IF('Perfil - interna'!AL192+'Perfil - externa'!AL190=0,0,'Perfil - interna'!AL192+'Perfil - externa'!AL190)</f>
        <v>0</v>
      </c>
      <c r="AM192" s="320">
        <f>IF('Perfil - interna'!AM192+'Perfil - externa'!AM190=0,0,'Perfil - interna'!AM192+'Perfil - externa'!AM190)</f>
        <v>0</v>
      </c>
      <c r="AN192" s="320">
        <f>IF('Perfil - interna'!AN192+'Perfil - externa'!AN190=0,0,'Perfil - interna'!AN192+'Perfil - externa'!AN190)</f>
        <v>0</v>
      </c>
      <c r="AO192" s="320"/>
      <c r="AP192" s="320"/>
      <c r="AQ192" s="320"/>
      <c r="AR192" s="320"/>
      <c r="AS192" s="320"/>
      <c r="AT192" s="320"/>
      <c r="AU192" s="320"/>
      <c r="AV192" s="320"/>
      <c r="AW192" s="320"/>
      <c r="AX192" s="320"/>
      <c r="AY192" s="320"/>
      <c r="AZ192" s="320"/>
      <c r="BA192" s="320"/>
      <c r="BB192" s="320"/>
      <c r="BC192" s="320"/>
      <c r="BD192" s="320"/>
      <c r="BE192" s="320"/>
      <c r="BF192" s="320"/>
      <c r="BG192" s="320"/>
      <c r="BH192" s="320"/>
      <c r="BI192" s="320"/>
      <c r="BJ192" s="320"/>
      <c r="BK192" s="320"/>
    </row>
    <row r="193" spans="1:63">
      <c r="A193" s="167"/>
      <c r="B193" s="217" t="str">
        <f>Servicio_internaColumna_título_amortizaciones</f>
        <v>Amortizaciones</v>
      </c>
      <c r="C193" s="218"/>
      <c r="D193" s="219"/>
      <c r="E193" s="219"/>
      <c r="F193" s="219">
        <f>IF('Perfil - interna'!F193+'Perfil - externa'!F191=0,0,'Perfil - interna'!F193+'Perfil - externa'!F191)</f>
        <v>0</v>
      </c>
      <c r="G193" s="219">
        <f>IF('Perfil - interna'!G193+'Perfil - externa'!G191=0,0,'Perfil - interna'!G193+'Perfil - externa'!G191)</f>
        <v>0</v>
      </c>
      <c r="H193" s="219">
        <f>IF('Perfil - interna'!H193+'Perfil - externa'!H191=0,0,'Perfil - interna'!H193+'Perfil - externa'!H191)</f>
        <v>19601752.392886408</v>
      </c>
      <c r="I193" s="219">
        <f>IF('Perfil - interna'!I193+'Perfil - externa'!I191=0,0,'Perfil - interna'!I193+'Perfil - externa'!I191)</f>
        <v>17453516.039050855</v>
      </c>
      <c r="J193" s="219">
        <f>IF('Perfil - interna'!J193+'Perfil - externa'!J191=0,0,'Perfil - interna'!J193+'Perfil - externa'!J191)</f>
        <v>14812257.841262981</v>
      </c>
      <c r="K193" s="219">
        <f>IF('Perfil - interna'!K193+'Perfil - externa'!K191=0,0,'Perfil - interna'!K193+'Perfil - externa'!K191)</f>
        <v>12843895.378227387</v>
      </c>
      <c r="L193" s="219">
        <f>IF('Perfil - interna'!L193+'Perfil - externa'!L191=0,0,'Perfil - interna'!L193+'Perfil - externa'!L191)</f>
        <v>14939593.870784355</v>
      </c>
      <c r="M193" s="219">
        <f>IF('Perfil - interna'!M193+'Perfil - externa'!M191=0,0,'Perfil - interna'!M193+'Perfil - externa'!M191)</f>
        <v>8035202.837678628</v>
      </c>
      <c r="N193" s="219">
        <f>IF('Perfil - interna'!N193+'Perfil - externa'!N191=0,0,'Perfil - interna'!N193+'Perfil - externa'!N191)</f>
        <v>13821767.205335505</v>
      </c>
      <c r="O193" s="219">
        <f>IF('Perfil - interna'!O193+'Perfil - externa'!O191=0,0,'Perfil - interna'!O193+'Perfil - externa'!O191)</f>
        <v>6359268.5590216704</v>
      </c>
      <c r="P193" s="219">
        <f>IF('Perfil - interna'!P193+'Perfil - externa'!P191=0,0,'Perfil - interna'!P193+'Perfil - externa'!P191)</f>
        <v>11828242.947994493</v>
      </c>
      <c r="Q193" s="219">
        <f>IF('Perfil - interna'!Q193+'Perfil - externa'!Q191=0,0,'Perfil - interna'!Q193+'Perfil - externa'!Q191)</f>
        <v>9488832.1756984554</v>
      </c>
      <c r="R193" s="219">
        <f>IF('Perfil - interna'!R193+'Perfil - externa'!R191=0,0,'Perfil - interna'!R193+'Perfil - externa'!R191)</f>
        <v>1941468.021244108</v>
      </c>
      <c r="S193" s="219">
        <f>IF('Perfil - interna'!S193+'Perfil - externa'!S191=0,0,'Perfil - interna'!S193+'Perfil - externa'!S191)</f>
        <v>1207666.1314887251</v>
      </c>
      <c r="T193" s="219">
        <f>IF('Perfil - interna'!T193+'Perfil - externa'!T191=0,0,'Perfil - interna'!T193+'Perfil - externa'!T191)</f>
        <v>875047.31189885258</v>
      </c>
      <c r="U193" s="219">
        <f>IF('Perfil - interna'!U193+'Perfil - externa'!U191=0,0,'Perfil - interna'!U193+'Perfil - externa'!U191)</f>
        <v>693637.79151371331</v>
      </c>
      <c r="V193" s="219">
        <f>IF('Perfil - interna'!V193+'Perfil - externa'!V191=0,0,'Perfil - interna'!V193+'Perfil - externa'!V191)</f>
        <v>4918380.5386356749</v>
      </c>
      <c r="W193" s="219">
        <f>IF('Perfil - interna'!W193+'Perfil - externa'!W191=0,0,'Perfil - interna'!W193+'Perfil - externa'!W191)</f>
        <v>467590.23657630908</v>
      </c>
      <c r="X193" s="219">
        <f>IF('Perfil - interna'!X193+'Perfil - externa'!X191=0,0,'Perfil - interna'!X193+'Perfil - externa'!X191)</f>
        <v>338304.72545377206</v>
      </c>
      <c r="Y193" s="219">
        <f>IF('Perfil - interna'!Y193+'Perfil - externa'!Y191=0,0,'Perfil - interna'!Y193+'Perfil - externa'!Y191)</f>
        <v>289832.17006876448</v>
      </c>
      <c r="Z193" s="219">
        <f>IF('Perfil - interna'!Z193+'Perfil - externa'!Z191=0,0,'Perfil - interna'!Z193+'Perfil - externa'!Z191)</f>
        <v>2509657.078238741</v>
      </c>
      <c r="AA193" s="219">
        <f>IF('Perfil - interna'!AA193+'Perfil - externa'!AA191=0,0,'Perfil - interna'!AA193+'Perfil - externa'!AA191)</f>
        <v>111100.84522986681</v>
      </c>
      <c r="AB193" s="219">
        <f>IF('Perfil - interna'!AB193+'Perfil - externa'!AB191=0,0,'Perfil - interna'!AB193+'Perfil - externa'!AB191)</f>
        <v>64201.561384976398</v>
      </c>
      <c r="AC193" s="219">
        <f>IF('Perfil - interna'!AC193+'Perfil - externa'!AC191=0,0,'Perfil - interna'!AC193+'Perfil - externa'!AC191)</f>
        <v>461278.37170964776</v>
      </c>
      <c r="AD193" s="219">
        <f>IF('Perfil - interna'!AD193+'Perfil - externa'!AD191=0,0,'Perfil - interna'!AD193+'Perfil - externa'!AD191)</f>
        <v>66838.0468233016</v>
      </c>
      <c r="AE193" s="219">
        <f>IF('Perfil - interna'!AE193+'Perfil - externa'!AE191=0,0,'Perfil - interna'!AE193+'Perfil - externa'!AE191)</f>
        <v>37369.355380033594</v>
      </c>
      <c r="AF193" s="219">
        <f>IF('Perfil - interna'!AF193+'Perfil - externa'!AF191=0,0,'Perfil - interna'!AF193+'Perfil - externa'!AF191)</f>
        <v>19087.089555071998</v>
      </c>
      <c r="AG193" s="219">
        <f>IF('Perfil - interna'!AG193+'Perfil - externa'!AG191=0,0,'Perfil - interna'!AG193+'Perfil - externa'!AG191)</f>
        <v>6367.4124993248006</v>
      </c>
      <c r="AH193" s="219">
        <f>IF('Perfil - interna'!AH193+'Perfil - externa'!AH191=0,0,'Perfil - interna'!AH193+'Perfil - externa'!AH191)</f>
        <v>5486.6509714324002</v>
      </c>
      <c r="AI193" s="219">
        <f>IF('Perfil - interna'!AI193+'Perfil - externa'!AI191=0,0,'Perfil - interna'!AI193+'Perfil - externa'!AI191)</f>
        <v>1159913.6585514322</v>
      </c>
      <c r="AJ193" s="219">
        <f>IF('Perfil - interna'!AJ193+'Perfil - externa'!AJ191=0,0,'Perfil - interna'!AJ193+'Perfil - externa'!AJ191)</f>
        <v>5486.6509714324002</v>
      </c>
      <c r="AK193" s="219">
        <f>IF('Perfil - interna'!AK193+'Perfil - externa'!AK191=0,0,'Perfil - interna'!AK193+'Perfil - externa'!AK191)</f>
        <v>161.11607706039999</v>
      </c>
      <c r="AL193" s="219">
        <f>IF('Perfil - interna'!AL193+'Perfil - externa'!AL191=0,0,'Perfil - interna'!AL193+'Perfil - externa'!AL191)</f>
        <v>0</v>
      </c>
      <c r="AM193" s="219">
        <f>IF('Perfil - interna'!AM193+'Perfil - externa'!AM191=0,0,'Perfil - interna'!AM193+'Perfil - externa'!AM191)</f>
        <v>0</v>
      </c>
      <c r="AN193" s="219">
        <f>IF('Perfil - interna'!AN193+'Perfil - externa'!AN191=0,0,'Perfil - interna'!AN193+'Perfil - externa'!AN191)</f>
        <v>0</v>
      </c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</row>
    <row r="194" spans="1:63">
      <c r="A194" s="170">
        <v>38807</v>
      </c>
      <c r="B194" s="220" t="str">
        <f>Servicio_internaColumna_título_intereses</f>
        <v>Intereses</v>
      </c>
      <c r="C194" s="221"/>
      <c r="D194" s="222"/>
      <c r="E194" s="222"/>
      <c r="F194" s="222">
        <f>IF('Perfil - interna'!F194+'Perfil - externa'!F192=0,0,'Perfil - interna'!F194+'Perfil - externa'!F192)</f>
        <v>0</v>
      </c>
      <c r="G194" s="222">
        <f>IF('Perfil - interna'!G194+'Perfil - externa'!G192=0,0,'Perfil - interna'!G194+'Perfil - externa'!G192)</f>
        <v>0</v>
      </c>
      <c r="H194" s="222">
        <f>IF('Perfil - interna'!H194+'Perfil - externa'!H192=0,0,'Perfil - interna'!H194+'Perfil - externa'!H192)</f>
        <v>9806462.6852955855</v>
      </c>
      <c r="I194" s="222">
        <f>IF('Perfil - interna'!I194+'Perfil - externa'!I192=0,0,'Perfil - interna'!I194+'Perfil - externa'!I192)</f>
        <v>11809991.965827715</v>
      </c>
      <c r="J194" s="222">
        <f>IF('Perfil - interna'!J194+'Perfil - externa'!J192=0,0,'Perfil - interna'!J194+'Perfil - externa'!J192)</f>
        <v>9971359.9542640802</v>
      </c>
      <c r="K194" s="222">
        <f>IF('Perfil - interna'!K194+'Perfil - externa'!K192=0,0,'Perfil - interna'!K194+'Perfil - externa'!K192)</f>
        <v>8381985.7397952471</v>
      </c>
      <c r="L194" s="222">
        <f>IF('Perfil - interna'!L194+'Perfil - externa'!L192=0,0,'Perfil - interna'!L194+'Perfil - externa'!L192)</f>
        <v>7160945.5870086616</v>
      </c>
      <c r="M194" s="222">
        <f>IF('Perfil - interna'!M194+'Perfil - externa'!M192=0,0,'Perfil - interna'!M194+'Perfil - externa'!M192)</f>
        <v>5792921.103546638</v>
      </c>
      <c r="N194" s="222">
        <f>IF('Perfil - interna'!N194+'Perfil - externa'!N192=0,0,'Perfil - interna'!N194+'Perfil - externa'!N192)</f>
        <v>5027526.5493516102</v>
      </c>
      <c r="O194" s="222">
        <f>IF('Perfil - interna'!O194+'Perfil - externa'!O192=0,0,'Perfil - interna'!O194+'Perfil - externa'!O192)</f>
        <v>3617960.3584412122</v>
      </c>
      <c r="P194" s="222">
        <f>IF('Perfil - interna'!P194+'Perfil - externa'!P192=0,0,'Perfil - interna'!P194+'Perfil - externa'!P192)</f>
        <v>3170878.6658945084</v>
      </c>
      <c r="Q194" s="222">
        <f>IF('Perfil - interna'!Q194+'Perfil - externa'!Q192=0,0,'Perfil - interna'!Q194+'Perfil - externa'!Q192)</f>
        <v>1967318.0038763364</v>
      </c>
      <c r="R194" s="222">
        <f>IF('Perfil - interna'!R194+'Perfil - externa'!R192=0,0,'Perfil - interna'!R194+'Perfil - externa'!R192)</f>
        <v>1161190.696508579</v>
      </c>
      <c r="S194" s="222">
        <f>IF('Perfil - interna'!S194+'Perfil - externa'!S192=0,0,'Perfil - interna'!S194+'Perfil - externa'!S192)</f>
        <v>1074434.2779940746</v>
      </c>
      <c r="T194" s="222">
        <f>IF('Perfil - interna'!T194+'Perfil - externa'!T192=0,0,'Perfil - interna'!T194+'Perfil - externa'!T192)</f>
        <v>1015150.2809867627</v>
      </c>
      <c r="U194" s="222">
        <f>IF('Perfil - interna'!U194+'Perfil - externa'!U192=0,0,'Perfil - interna'!U194+'Perfil - externa'!U192)</f>
        <v>973915.61651958199</v>
      </c>
      <c r="V194" s="222">
        <f>IF('Perfil - interna'!V194+'Perfil - externa'!V192=0,0,'Perfil - interna'!V194+'Perfil - externa'!V192)</f>
        <v>796585.12848249485</v>
      </c>
      <c r="W194" s="222">
        <f>IF('Perfil - interna'!W194+'Perfil - externa'!W192=0,0,'Perfil - interna'!W194+'Perfil - externa'!W192)</f>
        <v>413120.90351216297</v>
      </c>
      <c r="X194" s="222">
        <f>IF('Perfil - interna'!X194+'Perfil - externa'!X192=0,0,'Perfil - interna'!X194+'Perfil - externa'!X192)</f>
        <v>391656.5302786752</v>
      </c>
      <c r="Y194" s="222">
        <f>IF('Perfil - interna'!Y194+'Perfil - externa'!Y192=0,0,'Perfil - interna'!Y194+'Perfil - externa'!Y192)</f>
        <v>376280.97305089061</v>
      </c>
      <c r="Z194" s="222">
        <f>IF('Perfil - interna'!Z194+'Perfil - externa'!Z192=0,0,'Perfil - interna'!Z194+'Perfil - externa'!Z192)</f>
        <v>270867.6561815532</v>
      </c>
      <c r="AA194" s="222">
        <f>IF('Perfil - interna'!AA194+'Perfil - externa'!AA192=0,0,'Perfil - interna'!AA194+'Perfil - externa'!AA192)</f>
        <v>169191.8192883842</v>
      </c>
      <c r="AB194" s="222">
        <f>IF('Perfil - interna'!AB194+'Perfil - externa'!AB192=0,0,'Perfil - interna'!AB194+'Perfil - externa'!AB192)</f>
        <v>164852.50096649179</v>
      </c>
      <c r="AC194" s="222">
        <f>IF('Perfil - interna'!AC194+'Perfil - externa'!AC192=0,0,'Perfil - interna'!AC194+'Perfil - externa'!AC192)</f>
        <v>145221.98901280839</v>
      </c>
      <c r="AD194" s="222">
        <f>IF('Perfil - interna'!AD194+'Perfil - externa'!AD192=0,0,'Perfil - interna'!AD194+'Perfil - externa'!AD192)</f>
        <v>124696.2152633736</v>
      </c>
      <c r="AE194" s="222">
        <f>IF('Perfil - interna'!AE194+'Perfil - externa'!AE192=0,0,'Perfil - interna'!AE194+'Perfil - externa'!AE192)</f>
        <v>121517.37929737559</v>
      </c>
      <c r="AF194" s="222">
        <f>IF('Perfil - interna'!AF194+'Perfil - externa'!AF192=0,0,'Perfil - interna'!AF194+'Perfil - externa'!AF192)</f>
        <v>120193.262779513</v>
      </c>
      <c r="AG194" s="222">
        <f>IF('Perfil - interna'!AG194+'Perfil - externa'!AG192=0,0,'Perfil - interna'!AG194+'Perfil - externa'!AG192)</f>
        <v>119839.302288398</v>
      </c>
      <c r="AH194" s="222">
        <f>IF('Perfil - interna'!AH194+'Perfil - externa'!AH192=0,0,'Perfil - interna'!AH194+'Perfil - externa'!AH192)</f>
        <v>119838.09391175158</v>
      </c>
      <c r="AI194" s="222">
        <f>IF('Perfil - interna'!AI194+'Perfil - externa'!AI192=0,0,'Perfil - interna'!AI194+'Perfil - externa'!AI192)</f>
        <v>59922.123887502799</v>
      </c>
      <c r="AJ194" s="222">
        <f>IF('Perfil - interna'!AJ194+'Perfil - externa'!AJ192=0,0,'Perfil - interna'!AJ194+'Perfil - externa'!AJ192)</f>
        <v>2.7188245546000003</v>
      </c>
      <c r="AK194" s="222">
        <f>IF('Perfil - interna'!AK194+'Perfil - externa'!AK192=0,0,'Perfil - interna'!AK194+'Perfil - externa'!AK192)</f>
        <v>1.5104250083999999</v>
      </c>
      <c r="AL194" s="222">
        <f>IF('Perfil - interna'!AL194+'Perfil - externa'!AL192=0,0,'Perfil - interna'!AL194+'Perfil - externa'!AL192)</f>
        <v>0</v>
      </c>
      <c r="AM194" s="222">
        <f>IF('Perfil - interna'!AM194+'Perfil - externa'!AM192=0,0,'Perfil - interna'!AM194+'Perfil - externa'!AM192)</f>
        <v>0</v>
      </c>
      <c r="AN194" s="222">
        <f>IF('Perfil - interna'!AN194+'Perfil - externa'!AN192=0,0,'Perfil - interna'!AN194+'Perfil - externa'!AN192)</f>
        <v>0</v>
      </c>
      <c r="AO194" s="222"/>
      <c r="AP194" s="222"/>
      <c r="AQ194" s="222"/>
      <c r="AR194" s="222"/>
      <c r="AS194" s="222"/>
      <c r="AT194" s="222"/>
      <c r="AU194" s="222"/>
      <c r="AV194" s="222"/>
      <c r="AW194" s="222"/>
      <c r="AX194" s="222"/>
      <c r="AY194" s="222"/>
      <c r="AZ194" s="222"/>
      <c r="BA194" s="222"/>
      <c r="BB194" s="222"/>
      <c r="BC194" s="222"/>
      <c r="BD194" s="222"/>
      <c r="BE194" s="222"/>
      <c r="BF194" s="222"/>
      <c r="BG194" s="222"/>
      <c r="BH194" s="222"/>
      <c r="BI194" s="222"/>
      <c r="BJ194" s="222"/>
      <c r="BK194" s="222"/>
    </row>
    <row r="195" spans="1:63">
      <c r="A195" s="171"/>
      <c r="B195" s="318" t="str">
        <f>Servicio_internaColumna_título_total</f>
        <v>Total</v>
      </c>
      <c r="C195" s="319"/>
      <c r="D195" s="320"/>
      <c r="E195" s="320"/>
      <c r="F195" s="320">
        <f>IF('Perfil - interna'!F195+'Perfil - externa'!F193=0,0,'Perfil - interna'!F195+'Perfil - externa'!F193)</f>
        <v>0</v>
      </c>
      <c r="G195" s="320">
        <f>IF('Perfil - interna'!G195+'Perfil - externa'!G193=0,0,'Perfil - interna'!G195+'Perfil - externa'!G193)</f>
        <v>0</v>
      </c>
      <c r="H195" s="320">
        <f>IF('Perfil - interna'!H195+'Perfil - externa'!H193=0,0,'Perfil - interna'!H195+'Perfil - externa'!H193)</f>
        <v>29408215.078181993</v>
      </c>
      <c r="I195" s="320">
        <f>IF('Perfil - interna'!I195+'Perfil - externa'!I193=0,0,'Perfil - interna'!I195+'Perfil - externa'!I193)</f>
        <v>29263508.004878569</v>
      </c>
      <c r="J195" s="320">
        <f>IF('Perfil - interna'!J195+'Perfil - externa'!J193=0,0,'Perfil - interna'!J195+'Perfil - externa'!J193)</f>
        <v>24783617.795527063</v>
      </c>
      <c r="K195" s="320">
        <f>IF('Perfil - interna'!K195+'Perfil - externa'!K193=0,0,'Perfil - interna'!K195+'Perfil - externa'!K193)</f>
        <v>21225881.118022636</v>
      </c>
      <c r="L195" s="320">
        <f>IF('Perfil - interna'!L195+'Perfil - externa'!L193=0,0,'Perfil - interna'!L195+'Perfil - externa'!L193)</f>
        <v>22100539.457793016</v>
      </c>
      <c r="M195" s="320">
        <f>IF('Perfil - interna'!M195+'Perfil - externa'!M193=0,0,'Perfil - interna'!M195+'Perfil - externa'!M193)</f>
        <v>13828123.941225266</v>
      </c>
      <c r="N195" s="320">
        <f>IF('Perfil - interna'!N195+'Perfil - externa'!N193=0,0,'Perfil - interna'!N195+'Perfil - externa'!N193)</f>
        <v>18849293.754687116</v>
      </c>
      <c r="O195" s="320">
        <f>IF('Perfil - interna'!O195+'Perfil - externa'!O193=0,0,'Perfil - interna'!O195+'Perfil - externa'!O193)</f>
        <v>9977228.9174628817</v>
      </c>
      <c r="P195" s="320">
        <f>IF('Perfil - interna'!P195+'Perfil - externa'!P193=0,0,'Perfil - interna'!P195+'Perfil - externa'!P193)</f>
        <v>14999121.613889001</v>
      </c>
      <c r="Q195" s="320">
        <f>IF('Perfil - interna'!Q195+'Perfil - externa'!Q193=0,0,'Perfil - interna'!Q195+'Perfil - externa'!Q193)</f>
        <v>11456150.179574791</v>
      </c>
      <c r="R195" s="320">
        <f>IF('Perfil - interna'!R195+'Perfil - externa'!R193=0,0,'Perfil - interna'!R195+'Perfil - externa'!R193)</f>
        <v>3102658.7177526867</v>
      </c>
      <c r="S195" s="320">
        <f>IF('Perfil - interna'!S195+'Perfil - externa'!S193=0,0,'Perfil - interna'!S195+'Perfil - externa'!S193)</f>
        <v>2282100.4094827995</v>
      </c>
      <c r="T195" s="320">
        <f>IF('Perfil - interna'!T195+'Perfil - externa'!T193=0,0,'Perfil - interna'!T195+'Perfil - externa'!T193)</f>
        <v>1890197.5928856153</v>
      </c>
      <c r="U195" s="320">
        <f>IF('Perfil - interna'!U195+'Perfil - externa'!U193=0,0,'Perfil - interna'!U195+'Perfil - externa'!U193)</f>
        <v>1667553.4080332951</v>
      </c>
      <c r="V195" s="320">
        <f>IF('Perfil - interna'!V195+'Perfil - externa'!V193=0,0,'Perfil - interna'!V195+'Perfil - externa'!V193)</f>
        <v>5714965.6671181703</v>
      </c>
      <c r="W195" s="320">
        <f>IF('Perfil - interna'!W195+'Perfil - externa'!W193=0,0,'Perfil - interna'!W195+'Perfil - externa'!W193)</f>
        <v>880711.14008847205</v>
      </c>
      <c r="X195" s="320">
        <f>IF('Perfil - interna'!X195+'Perfil - externa'!X193=0,0,'Perfil - interna'!X195+'Perfil - externa'!X193)</f>
        <v>729961.25573244726</v>
      </c>
      <c r="Y195" s="320">
        <f>IF('Perfil - interna'!Y195+'Perfil - externa'!Y193=0,0,'Perfil - interna'!Y195+'Perfil - externa'!Y193)</f>
        <v>666113.14311965508</v>
      </c>
      <c r="Z195" s="320">
        <f>IF('Perfil - interna'!Z195+'Perfil - externa'!Z193=0,0,'Perfil - interna'!Z195+'Perfil - externa'!Z193)</f>
        <v>2780524.7344202944</v>
      </c>
      <c r="AA195" s="320">
        <f>IF('Perfil - interna'!AA195+'Perfil - externa'!AA193=0,0,'Perfil - interna'!AA195+'Perfil - externa'!AA193)</f>
        <v>280292.66451825103</v>
      </c>
      <c r="AB195" s="320">
        <f>IF('Perfil - interna'!AB195+'Perfil - externa'!AB193=0,0,'Perfil - interna'!AB195+'Perfil - externa'!AB193)</f>
        <v>229054.06235146819</v>
      </c>
      <c r="AC195" s="320">
        <f>IF('Perfil - interna'!AC195+'Perfil - externa'!AC193=0,0,'Perfil - interna'!AC195+'Perfil - externa'!AC193)</f>
        <v>606500.36072245613</v>
      </c>
      <c r="AD195" s="320">
        <f>IF('Perfil - interna'!AD195+'Perfil - externa'!AD193=0,0,'Perfil - interna'!AD195+'Perfil - externa'!AD193)</f>
        <v>191534.26208667521</v>
      </c>
      <c r="AE195" s="320">
        <f>IF('Perfil - interna'!AE195+'Perfil - externa'!AE193=0,0,'Perfil - interna'!AE195+'Perfil - externa'!AE193)</f>
        <v>158886.73467740917</v>
      </c>
      <c r="AF195" s="320">
        <f>IF('Perfil - interna'!AF195+'Perfil - externa'!AF193=0,0,'Perfil - interna'!AF195+'Perfil - externa'!AF193)</f>
        <v>139280.35233458498</v>
      </c>
      <c r="AG195" s="320">
        <f>IF('Perfil - interna'!AG195+'Perfil - externa'!AG193=0,0,'Perfil - interna'!AG195+'Perfil - externa'!AG193)</f>
        <v>126206.7147877228</v>
      </c>
      <c r="AH195" s="320">
        <f>IF('Perfil - interna'!AH195+'Perfil - externa'!AH193=0,0,'Perfil - interna'!AH195+'Perfil - externa'!AH193)</f>
        <v>125324.74488318399</v>
      </c>
      <c r="AI195" s="320">
        <f>IF('Perfil - interna'!AI195+'Perfil - externa'!AI193=0,0,'Perfil - interna'!AI195+'Perfil - externa'!AI193)</f>
        <v>1219835.782438935</v>
      </c>
      <c r="AJ195" s="320">
        <f>IF('Perfil - interna'!AJ195+'Perfil - externa'!AJ193=0,0,'Perfil - interna'!AJ195+'Perfil - externa'!AJ193)</f>
        <v>5489.3697959870005</v>
      </c>
      <c r="AK195" s="320">
        <f>IF('Perfil - interna'!AK195+'Perfil - externa'!AK193=0,0,'Perfil - interna'!AK195+'Perfil - externa'!AK193)</f>
        <v>162.62650206879999</v>
      </c>
      <c r="AL195" s="320">
        <f>IF('Perfil - interna'!AL195+'Perfil - externa'!AL193=0,0,'Perfil - interna'!AL195+'Perfil - externa'!AL193)</f>
        <v>0</v>
      </c>
      <c r="AM195" s="320">
        <f>IF('Perfil - interna'!AM195+'Perfil - externa'!AM193=0,0,'Perfil - interna'!AM195+'Perfil - externa'!AM193)</f>
        <v>0</v>
      </c>
      <c r="AN195" s="320">
        <f>IF('Perfil - interna'!AN195+'Perfil - externa'!AN193=0,0,'Perfil - interna'!AN195+'Perfil - externa'!AN193)</f>
        <v>0</v>
      </c>
      <c r="AO195" s="320"/>
      <c r="AP195" s="320"/>
      <c r="AQ195" s="320"/>
      <c r="AR195" s="320"/>
      <c r="AS195" s="320"/>
      <c r="AT195" s="320"/>
      <c r="AU195" s="320"/>
      <c r="AV195" s="320"/>
      <c r="AW195" s="320"/>
      <c r="AX195" s="320"/>
      <c r="AY195" s="320"/>
      <c r="AZ195" s="320"/>
      <c r="BA195" s="320"/>
      <c r="BB195" s="320"/>
      <c r="BC195" s="320"/>
      <c r="BD195" s="320"/>
      <c r="BE195" s="320"/>
      <c r="BF195" s="320"/>
      <c r="BG195" s="320"/>
      <c r="BH195" s="320"/>
      <c r="BI195" s="320"/>
      <c r="BJ195" s="320"/>
      <c r="BK195" s="320"/>
    </row>
    <row r="196" spans="1:63">
      <c r="A196" s="167"/>
      <c r="B196" s="217" t="str">
        <f>Servicio_internaColumna_título_amortizaciones</f>
        <v>Amortizaciones</v>
      </c>
      <c r="C196" s="218"/>
      <c r="D196" s="219"/>
      <c r="E196" s="219"/>
      <c r="F196" s="219">
        <f>IF('Perfil - interna'!F196+'Perfil - externa'!F194=0,0,'Perfil - interna'!F196+'Perfil - externa'!F194)</f>
        <v>0</v>
      </c>
      <c r="G196" s="219">
        <f>IF('Perfil - interna'!G196+'Perfil - externa'!G194=0,0,'Perfil - interna'!G196+'Perfil - externa'!G194)</f>
        <v>0</v>
      </c>
      <c r="H196" s="219">
        <f>IF('Perfil - interna'!H196+'Perfil - externa'!H194=0,0,'Perfil - interna'!H196+'Perfil - externa'!H194)</f>
        <v>14326131.135319276</v>
      </c>
      <c r="I196" s="219">
        <f>IF('Perfil - interna'!I196+'Perfil - externa'!I194=0,0,'Perfil - interna'!I196+'Perfil - externa'!I194)</f>
        <v>19029744.903126016</v>
      </c>
      <c r="J196" s="219">
        <f>IF('Perfil - interna'!J196+'Perfil - externa'!J194=0,0,'Perfil - interna'!J196+'Perfil - externa'!J194)</f>
        <v>15426816.765748851</v>
      </c>
      <c r="K196" s="219">
        <f>IF('Perfil - interna'!K196+'Perfil - externa'!K194=0,0,'Perfil - interna'!K196+'Perfil - externa'!K194)</f>
        <v>13002492.457674846</v>
      </c>
      <c r="L196" s="219">
        <f>IF('Perfil - interna'!L196+'Perfil - externa'!L194=0,0,'Perfil - interna'!L196+'Perfil - externa'!L194)</f>
        <v>15519957.74257493</v>
      </c>
      <c r="M196" s="219">
        <f>IF('Perfil - interna'!M196+'Perfil - externa'!M194=0,0,'Perfil - interna'!M196+'Perfil - externa'!M194)</f>
        <v>8161675.0687724082</v>
      </c>
      <c r="N196" s="219">
        <f>IF('Perfil - interna'!N196+'Perfil - externa'!N194=0,0,'Perfil - interna'!N196+'Perfil - externa'!N194)</f>
        <v>14005068.276864694</v>
      </c>
      <c r="O196" s="219">
        <f>IF('Perfil - interna'!O196+'Perfil - externa'!O194=0,0,'Perfil - interna'!O196+'Perfil - externa'!O194)</f>
        <v>6500097.4478078736</v>
      </c>
      <c r="P196" s="219">
        <f>IF('Perfil - interna'!P196+'Perfil - externa'!P194=0,0,'Perfil - interna'!P196+'Perfil - externa'!P194)</f>
        <v>12000769.562958259</v>
      </c>
      <c r="Q196" s="219">
        <f>IF('Perfil - interna'!Q196+'Perfil - externa'!Q194=0,0,'Perfil - interna'!Q196+'Perfil - externa'!Q194)</f>
        <v>9817343.7353260443</v>
      </c>
      <c r="R196" s="219">
        <f>IF('Perfil - interna'!R196+'Perfil - externa'!R194=0,0,'Perfil - interna'!R196+'Perfil - externa'!R194)</f>
        <v>2011722.701832769</v>
      </c>
      <c r="S196" s="219">
        <f>IF('Perfil - interna'!S196+'Perfil - externa'!S194=0,0,'Perfil - interna'!S196+'Perfil - externa'!S194)</f>
        <v>1252645.6012356898</v>
      </c>
      <c r="T196" s="219">
        <f>IF('Perfil - interna'!T196+'Perfil - externa'!T194=0,0,'Perfil - interna'!T196+'Perfil - externa'!T194)</f>
        <v>907673.75889042043</v>
      </c>
      <c r="U196" s="219">
        <f>IF('Perfil - interna'!U196+'Perfil - externa'!U194=0,0,'Perfil - interna'!U196+'Perfil - externa'!U194)</f>
        <v>719475.40073177963</v>
      </c>
      <c r="V196" s="219">
        <f>IF('Perfil - interna'!V196+'Perfil - externa'!V194=0,0,'Perfil - interna'!V196+'Perfil - externa'!V194)</f>
        <v>5169984.8576983623</v>
      </c>
      <c r="W196" s="219">
        <f>IF('Perfil - interna'!W196+'Perfil - externa'!W194=0,0,'Perfil - interna'!W196+'Perfil - externa'!W194)</f>
        <v>485030.95505566185</v>
      </c>
      <c r="X196" s="219">
        <f>IF('Perfil - interna'!X196+'Perfil - externa'!X194=0,0,'Perfil - interna'!X196+'Perfil - externa'!X194)</f>
        <v>350882.6402120362</v>
      </c>
      <c r="Y196" s="219">
        <f>IF('Perfil - interna'!Y196+'Perfil - externa'!Y194=0,0,'Perfil - interna'!Y196+'Perfil - externa'!Y194)</f>
        <v>300597.20493686391</v>
      </c>
      <c r="Z196" s="219">
        <f>IF('Perfil - interna'!Z196+'Perfil - externa'!Z194=0,0,'Perfil - interna'!Z196+'Perfil - externa'!Z194)</f>
        <v>2602866.5486214994</v>
      </c>
      <c r="AA196" s="219">
        <f>IF('Perfil - interna'!AA196+'Perfil - externa'!AA194=0,0,'Perfil - interna'!AA196+'Perfil - externa'!AA194)</f>
        <v>115227.78754801021</v>
      </c>
      <c r="AB196" s="219">
        <f>IF('Perfil - interna'!AB196+'Perfil - externa'!AB194=0,0,'Perfil - interna'!AB196+'Perfil - externa'!AB194)</f>
        <v>66586.661376545802</v>
      </c>
      <c r="AC196" s="219">
        <f>IF('Perfil - interna'!AC196+'Perfil - externa'!AC194=0,0,'Perfil - interna'!AC196+'Perfil - externa'!AC194)</f>
        <v>478410.9291978387</v>
      </c>
      <c r="AD196" s="219">
        <f>IF('Perfil - interna'!AD196+'Perfil - externa'!AD194=0,0,'Perfil - interna'!AD196+'Perfil - externa'!AD194)</f>
        <v>69321.066048458</v>
      </c>
      <c r="AE196" s="219">
        <f>IF('Perfil - interna'!AE196+'Perfil - externa'!AE194=0,0,'Perfil - interna'!AE196+'Perfil - externa'!AE194)</f>
        <v>38757.905567360009</v>
      </c>
      <c r="AF196" s="219">
        <f>IF('Perfil - interna'!AF196+'Perfil - externa'!AF194=0,0,'Perfil - interna'!AF196+'Perfil - externa'!AF194)</f>
        <v>19796.635249602397</v>
      </c>
      <c r="AG196" s="219">
        <f>IF('Perfil - interna'!AG196+'Perfil - externa'!AG194=0,0,'Perfil - interna'!AG196+'Perfil - externa'!AG194)</f>
        <v>6604.5485948232008</v>
      </c>
      <c r="AH196" s="219">
        <f>IF('Perfil - interna'!AH196+'Perfil - externa'!AH194=0,0,'Perfil - interna'!AH196+'Perfil - externa'!AH194)</f>
        <v>5691.0755288618002</v>
      </c>
      <c r="AI196" s="219">
        <f>IF('Perfil - interna'!AI196+'Perfil - externa'!AI194=0,0,'Perfil - interna'!AI196+'Perfil - externa'!AI194)</f>
        <v>1202993.5741588618</v>
      </c>
      <c r="AJ196" s="219">
        <f>IF('Perfil - interna'!AJ196+'Perfil - externa'!AJ194=0,0,'Perfil - interna'!AJ196+'Perfil - externa'!AJ194)</f>
        <v>5691.0755288618002</v>
      </c>
      <c r="AK196" s="219">
        <f>IF('Perfil - interna'!AK196+'Perfil - externa'!AK194=0,0,'Perfil - interna'!AK196+'Perfil - externa'!AK194)</f>
        <v>167.74993641980001</v>
      </c>
      <c r="AL196" s="219">
        <f>IF('Perfil - interna'!AL196+'Perfil - externa'!AL194=0,0,'Perfil - interna'!AL196+'Perfil - externa'!AL194)</f>
        <v>0</v>
      </c>
      <c r="AM196" s="219">
        <f>IF('Perfil - interna'!AM196+'Perfil - externa'!AM194=0,0,'Perfil - interna'!AM196+'Perfil - externa'!AM194)</f>
        <v>0</v>
      </c>
      <c r="AN196" s="219">
        <f>IF('Perfil - interna'!AN196+'Perfil - externa'!AN194=0,0,'Perfil - interna'!AN196+'Perfil - externa'!AN194)</f>
        <v>0</v>
      </c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</row>
    <row r="197" spans="1:63">
      <c r="A197" s="170">
        <v>38837</v>
      </c>
      <c r="B197" s="220" t="str">
        <f>Servicio_internaColumna_título_intereses</f>
        <v>Intereses</v>
      </c>
      <c r="C197" s="221"/>
      <c r="D197" s="222"/>
      <c r="E197" s="222"/>
      <c r="F197" s="222">
        <f>IF('Perfil - interna'!F197+'Perfil - externa'!F195=0,0,'Perfil - interna'!F197+'Perfil - externa'!F195)</f>
        <v>0</v>
      </c>
      <c r="G197" s="222">
        <f>IF('Perfil - interna'!G197+'Perfil - externa'!G195=0,0,'Perfil - interna'!G197+'Perfil - externa'!G195)</f>
        <v>0</v>
      </c>
      <c r="H197" s="222">
        <f>IF('Perfil - interna'!H197+'Perfil - externa'!H195=0,0,'Perfil - interna'!H197+'Perfil - externa'!H195)</f>
        <v>8386524.4731858</v>
      </c>
      <c r="I197" s="222">
        <f>IF('Perfil - interna'!I197+'Perfil - externa'!I195=0,0,'Perfil - interna'!I197+'Perfil - externa'!I195)</f>
        <v>12213629.210539512</v>
      </c>
      <c r="J197" s="222">
        <f>IF('Perfil - interna'!J197+'Perfil - externa'!J195=0,0,'Perfil - interna'!J197+'Perfil - externa'!J195)</f>
        <v>10160142.505732726</v>
      </c>
      <c r="K197" s="222">
        <f>IF('Perfil - interna'!K197+'Perfil - externa'!K195=0,0,'Perfil - interna'!K197+'Perfil - externa'!K195)</f>
        <v>8500907.4912326485</v>
      </c>
      <c r="L197" s="222">
        <f>IF('Perfil - interna'!L197+'Perfil - externa'!L195=0,0,'Perfil - interna'!L197+'Perfil - externa'!L195)</f>
        <v>7273264.2098988015</v>
      </c>
      <c r="M197" s="222">
        <f>IF('Perfil - interna'!M197+'Perfil - externa'!M195=0,0,'Perfil - interna'!M197+'Perfil - externa'!M195)</f>
        <v>5869213.7640830129</v>
      </c>
      <c r="N197" s="222">
        <f>IF('Perfil - interna'!N197+'Perfil - externa'!N195=0,0,'Perfil - interna'!N197+'Perfil - externa'!N195)</f>
        <v>5091961.4303884422</v>
      </c>
      <c r="O197" s="222">
        <f>IF('Perfil - interna'!O197+'Perfil - externa'!O195=0,0,'Perfil - interna'!O197+'Perfil - externa'!O195)</f>
        <v>3713926.3784204791</v>
      </c>
      <c r="P197" s="222">
        <f>IF('Perfil - interna'!P197+'Perfil - externa'!P195=0,0,'Perfil - interna'!P197+'Perfil - externa'!P195)</f>
        <v>3259389.0777252559</v>
      </c>
      <c r="Q197" s="222">
        <f>IF('Perfil - interna'!Q197+'Perfil - externa'!Q195=0,0,'Perfil - interna'!Q197+'Perfil - externa'!Q195)</f>
        <v>2044403.8121367048</v>
      </c>
      <c r="R197" s="222">
        <f>IF('Perfil - interna'!R197+'Perfil - externa'!R195=0,0,'Perfil - interna'!R197+'Perfil - externa'!R195)</f>
        <v>1211925.2392396077</v>
      </c>
      <c r="S197" s="222">
        <f>IF('Perfil - interna'!S197+'Perfil - externa'!S195=0,0,'Perfil - interna'!S197+'Perfil - externa'!S195)</f>
        <v>1121922.653277948</v>
      </c>
      <c r="T197" s="222">
        <f>IF('Perfil - interna'!T197+'Perfil - externa'!T195=0,0,'Perfil - interna'!T197+'Perfil - externa'!T195)</f>
        <v>1060434.1079165936</v>
      </c>
      <c r="U197" s="222">
        <f>IF('Perfil - interna'!U197+'Perfil - externa'!U195=0,0,'Perfil - interna'!U197+'Perfil - externa'!U195)</f>
        <v>1017665.9908420704</v>
      </c>
      <c r="V197" s="222">
        <f>IF('Perfil - interna'!V197+'Perfil - externa'!V195=0,0,'Perfil - interna'!V197+'Perfil - externa'!V195)</f>
        <v>833747.91592948209</v>
      </c>
      <c r="W197" s="222">
        <f>IF('Perfil - interna'!W197+'Perfil - externa'!W195=0,0,'Perfil - interna'!W197+'Perfil - externa'!W195)</f>
        <v>428465.68165347038</v>
      </c>
      <c r="X197" s="222">
        <f>IF('Perfil - interna'!X197+'Perfil - externa'!X195=0,0,'Perfil - interna'!X197+'Perfil - externa'!X195)</f>
        <v>406202.87538762746</v>
      </c>
      <c r="Y197" s="222">
        <f>IF('Perfil - interna'!Y197+'Perfil - externa'!Y195=0,0,'Perfil - interna'!Y197+'Perfil - externa'!Y195)</f>
        <v>390256.13643142983</v>
      </c>
      <c r="Z197" s="222">
        <f>IF('Perfil - interna'!Z197+'Perfil - externa'!Z195=0,0,'Perfil - interna'!Z197+'Perfil - externa'!Z195)</f>
        <v>280927.7575313244</v>
      </c>
      <c r="AA197" s="222">
        <f>IF('Perfil - interna'!AA197+'Perfil - externa'!AA195=0,0,'Perfil - interna'!AA197+'Perfil - externa'!AA195)</f>
        <v>175475.66884676641</v>
      </c>
      <c r="AB197" s="222">
        <f>IF('Perfil - interna'!AB197+'Perfil - externa'!AB195=0,0,'Perfil - interna'!AB197+'Perfil - externa'!AB195)</f>
        <v>170975.1830792432</v>
      </c>
      <c r="AC197" s="222">
        <f>IF('Perfil - interna'!AC197+'Perfil - externa'!AC195=0,0,'Perfil - interna'!AC197+'Perfil - externa'!AC195)</f>
        <v>150615.58784240711</v>
      </c>
      <c r="AD197" s="222">
        <f>IF('Perfil - interna'!AD197+'Perfil - externa'!AD195=0,0,'Perfil - interna'!AD197+'Perfil - externa'!AD195)</f>
        <v>129327.4807071478</v>
      </c>
      <c r="AE197" s="222">
        <f>IF('Perfil - interna'!AE197+'Perfil - externa'!AE195=0,0,'Perfil - interna'!AE197+'Perfil - externa'!AE195)</f>
        <v>126030.57770633329</v>
      </c>
      <c r="AF197" s="222">
        <f>IF('Perfil - interna'!AF197+'Perfil - externa'!AF195=0,0,'Perfil - interna'!AF197+'Perfil - externa'!AF195)</f>
        <v>124657.2785258654</v>
      </c>
      <c r="AG197" s="222">
        <f>IF('Perfil - interna'!AG197+'Perfil - externa'!AG195=0,0,'Perfil - interna'!AG197+'Perfil - externa'!AG195)</f>
        <v>124290.1670274761</v>
      </c>
      <c r="AH197" s="222">
        <f>IF('Perfil - interna'!AH197+'Perfil - externa'!AH195=0,0,'Perfil - interna'!AH197+'Perfil - externa'!AH195)</f>
        <v>124288.90892658451</v>
      </c>
      <c r="AI197" s="222">
        <f>IF('Perfil - interna'!AI197+'Perfil - externa'!AI195=0,0,'Perfil - interna'!AI197+'Perfil - externa'!AI195)</f>
        <v>62147.651146795899</v>
      </c>
      <c r="AJ197" s="222">
        <f>IF('Perfil - interna'!AJ197+'Perfil - externa'!AJ195=0,0,'Perfil - interna'!AJ197+'Perfil - externa'!AJ195)</f>
        <v>2.8307745067000005</v>
      </c>
      <c r="AK197" s="222">
        <f>IF('Perfil - interna'!AK197+'Perfil - externa'!AK195=0,0,'Perfil - interna'!AK197+'Perfil - externa'!AK195)</f>
        <v>1.5726261145000002</v>
      </c>
      <c r="AL197" s="222">
        <f>IF('Perfil - interna'!AL197+'Perfil - externa'!AL195=0,0,'Perfil - interna'!AL197+'Perfil - externa'!AL195)</f>
        <v>0</v>
      </c>
      <c r="AM197" s="222">
        <f>IF('Perfil - interna'!AM197+'Perfil - externa'!AM195=0,0,'Perfil - interna'!AM197+'Perfil - externa'!AM195)</f>
        <v>0</v>
      </c>
      <c r="AN197" s="222">
        <f>IF('Perfil - interna'!AN197+'Perfil - externa'!AN195=0,0,'Perfil - interna'!AN197+'Perfil - externa'!AN195)</f>
        <v>0</v>
      </c>
      <c r="AO197" s="222"/>
      <c r="AP197" s="222"/>
      <c r="AQ197" s="222"/>
      <c r="AR197" s="222"/>
      <c r="AS197" s="222"/>
      <c r="AT197" s="222"/>
      <c r="AU197" s="222"/>
      <c r="AV197" s="222"/>
      <c r="AW197" s="222"/>
      <c r="AX197" s="222"/>
      <c r="AY197" s="222"/>
      <c r="AZ197" s="222"/>
      <c r="BA197" s="222"/>
      <c r="BB197" s="222"/>
      <c r="BC197" s="222"/>
      <c r="BD197" s="222"/>
      <c r="BE197" s="222"/>
      <c r="BF197" s="222"/>
      <c r="BG197" s="222"/>
      <c r="BH197" s="222"/>
      <c r="BI197" s="222"/>
      <c r="BJ197" s="222"/>
      <c r="BK197" s="222"/>
    </row>
    <row r="198" spans="1:63">
      <c r="A198" s="171"/>
      <c r="B198" s="318" t="str">
        <f>Servicio_internaColumna_título_total</f>
        <v>Total</v>
      </c>
      <c r="C198" s="319"/>
      <c r="D198" s="320"/>
      <c r="E198" s="320"/>
      <c r="F198" s="320">
        <f>IF('Perfil - interna'!F198+'Perfil - externa'!F196=0,0,'Perfil - interna'!F198+'Perfil - externa'!F196)</f>
        <v>0</v>
      </c>
      <c r="G198" s="320">
        <f>IF('Perfil - interna'!G198+'Perfil - externa'!G196=0,0,'Perfil - interna'!G198+'Perfil - externa'!G196)</f>
        <v>0</v>
      </c>
      <c r="H198" s="320">
        <f>IF('Perfil - interna'!H198+'Perfil - externa'!H196=0,0,'Perfil - interna'!H198+'Perfil - externa'!H196)</f>
        <v>22712655.608505078</v>
      </c>
      <c r="I198" s="320">
        <f>IF('Perfil - interna'!I198+'Perfil - externa'!I196=0,0,'Perfil - interna'!I198+'Perfil - externa'!I196)</f>
        <v>31243374.113665529</v>
      </c>
      <c r="J198" s="320">
        <f>IF('Perfil - interna'!J198+'Perfil - externa'!J196=0,0,'Perfil - interna'!J198+'Perfil - externa'!J196)</f>
        <v>25586959.271481581</v>
      </c>
      <c r="K198" s="320">
        <f>IF('Perfil - interna'!K198+'Perfil - externa'!K196=0,0,'Perfil - interna'!K198+'Perfil - externa'!K196)</f>
        <v>21503399.948907495</v>
      </c>
      <c r="L198" s="320">
        <f>IF('Perfil - interna'!L198+'Perfil - externa'!L196=0,0,'Perfil - interna'!L198+'Perfil - externa'!L196)</f>
        <v>22793221.95247373</v>
      </c>
      <c r="M198" s="320">
        <f>IF('Perfil - interna'!M198+'Perfil - externa'!M196=0,0,'Perfil - interna'!M198+'Perfil - externa'!M196)</f>
        <v>14030888.83285542</v>
      </c>
      <c r="N198" s="320">
        <f>IF('Perfil - interna'!N198+'Perfil - externa'!N196=0,0,'Perfil - interna'!N198+'Perfil - externa'!N196)</f>
        <v>19097029.707253136</v>
      </c>
      <c r="O198" s="320">
        <f>IF('Perfil - interna'!O198+'Perfil - externa'!O196=0,0,'Perfil - interna'!O198+'Perfil - externa'!O196)</f>
        <v>10214023.826228354</v>
      </c>
      <c r="P198" s="320">
        <f>IF('Perfil - interna'!P198+'Perfil - externa'!P196=0,0,'Perfil - interna'!P198+'Perfil - externa'!P196)</f>
        <v>15260158.640683513</v>
      </c>
      <c r="Q198" s="320">
        <f>IF('Perfil - interna'!Q198+'Perfil - externa'!Q196=0,0,'Perfil - interna'!Q198+'Perfil - externa'!Q196)</f>
        <v>11861747.547462748</v>
      </c>
      <c r="R198" s="320">
        <f>IF('Perfil - interna'!R198+'Perfil - externa'!R196=0,0,'Perfil - interna'!R198+'Perfil - externa'!R196)</f>
        <v>3223647.9410723764</v>
      </c>
      <c r="S198" s="320">
        <f>IF('Perfil - interna'!S198+'Perfil - externa'!S196=0,0,'Perfil - interna'!S198+'Perfil - externa'!S196)</f>
        <v>2374568.2545136376</v>
      </c>
      <c r="T198" s="320">
        <f>IF('Perfil - interna'!T198+'Perfil - externa'!T196=0,0,'Perfil - interna'!T198+'Perfil - externa'!T196)</f>
        <v>1968107.8668070142</v>
      </c>
      <c r="U198" s="320">
        <f>IF('Perfil - interna'!U198+'Perfil - externa'!U196=0,0,'Perfil - interna'!U198+'Perfil - externa'!U196)</f>
        <v>1737141.3915738501</v>
      </c>
      <c r="V198" s="320">
        <f>IF('Perfil - interna'!V198+'Perfil - externa'!V196=0,0,'Perfil - interna'!V198+'Perfil - externa'!V196)</f>
        <v>6003732.7736278456</v>
      </c>
      <c r="W198" s="320">
        <f>IF('Perfil - interna'!W198+'Perfil - externa'!W196=0,0,'Perfil - interna'!W198+'Perfil - externa'!W196)</f>
        <v>913496.63670913223</v>
      </c>
      <c r="X198" s="320">
        <f>IF('Perfil - interna'!X198+'Perfil - externa'!X196=0,0,'Perfil - interna'!X198+'Perfil - externa'!X196)</f>
        <v>757085.5155996636</v>
      </c>
      <c r="Y198" s="320">
        <f>IF('Perfil - interna'!Y198+'Perfil - externa'!Y196=0,0,'Perfil - interna'!Y198+'Perfil - externa'!Y196)</f>
        <v>690853.34136829374</v>
      </c>
      <c r="Z198" s="320">
        <f>IF('Perfil - interna'!Z198+'Perfil - externa'!Z196=0,0,'Perfil - interna'!Z198+'Perfil - externa'!Z196)</f>
        <v>2883794.3061528238</v>
      </c>
      <c r="AA198" s="320">
        <f>IF('Perfil - interna'!AA198+'Perfil - externa'!AA196=0,0,'Perfil - interna'!AA198+'Perfil - externa'!AA196)</f>
        <v>290703.45639477659</v>
      </c>
      <c r="AB198" s="320">
        <f>IF('Perfil - interna'!AB198+'Perfil - externa'!AB196=0,0,'Perfil - interna'!AB198+'Perfil - externa'!AB196)</f>
        <v>237561.84445578902</v>
      </c>
      <c r="AC198" s="320">
        <f>IF('Perfil - interna'!AC198+'Perfil - externa'!AC196=0,0,'Perfil - interna'!AC198+'Perfil - externa'!AC196)</f>
        <v>629026.51704024582</v>
      </c>
      <c r="AD198" s="320">
        <f>IF('Perfil - interna'!AD198+'Perfil - externa'!AD196=0,0,'Perfil - interna'!AD198+'Perfil - externa'!AD196)</f>
        <v>198648.54675560578</v>
      </c>
      <c r="AE198" s="320">
        <f>IF('Perfil - interna'!AE198+'Perfil - externa'!AE196=0,0,'Perfil - interna'!AE198+'Perfil - externa'!AE196)</f>
        <v>164788.4832736933</v>
      </c>
      <c r="AF198" s="320">
        <f>IF('Perfil - interna'!AF198+'Perfil - externa'!AF196=0,0,'Perfil - interna'!AF198+'Perfil - externa'!AF196)</f>
        <v>144453.91377546781</v>
      </c>
      <c r="AG198" s="320">
        <f>IF('Perfil - interna'!AG198+'Perfil - externa'!AG196=0,0,'Perfil - interna'!AG198+'Perfil - externa'!AG196)</f>
        <v>130894.71562229929</v>
      </c>
      <c r="AH198" s="320">
        <f>IF('Perfil - interna'!AH198+'Perfil - externa'!AH196=0,0,'Perfil - interna'!AH198+'Perfil - externa'!AH196)</f>
        <v>129979.98445544631</v>
      </c>
      <c r="AI198" s="320">
        <f>IF('Perfil - interna'!AI198+'Perfil - externa'!AI196=0,0,'Perfil - interna'!AI198+'Perfil - externa'!AI196)</f>
        <v>1265141.2253056576</v>
      </c>
      <c r="AJ198" s="320">
        <f>IF('Perfil - interna'!AJ198+'Perfil - externa'!AJ196=0,0,'Perfil - interna'!AJ198+'Perfil - externa'!AJ196)</f>
        <v>5693.9063033685006</v>
      </c>
      <c r="AK198" s="320">
        <f>IF('Perfil - interna'!AK198+'Perfil - externa'!AK196=0,0,'Perfil - interna'!AK198+'Perfil - externa'!AK196)</f>
        <v>169.3225625343</v>
      </c>
      <c r="AL198" s="320">
        <f>IF('Perfil - interna'!AL198+'Perfil - externa'!AL196=0,0,'Perfil - interna'!AL198+'Perfil - externa'!AL196)</f>
        <v>0</v>
      </c>
      <c r="AM198" s="320">
        <f>IF('Perfil - interna'!AM198+'Perfil - externa'!AM196=0,0,'Perfil - interna'!AM198+'Perfil - externa'!AM196)</f>
        <v>0</v>
      </c>
      <c r="AN198" s="320">
        <f>IF('Perfil - interna'!AN198+'Perfil - externa'!AN196=0,0,'Perfil - interna'!AN198+'Perfil - externa'!AN196)</f>
        <v>0</v>
      </c>
      <c r="AO198" s="320"/>
      <c r="AP198" s="320"/>
      <c r="AQ198" s="320"/>
      <c r="AR198" s="320"/>
      <c r="AS198" s="320"/>
      <c r="AT198" s="320"/>
      <c r="AU198" s="320"/>
      <c r="AV198" s="320"/>
      <c r="AW198" s="320"/>
      <c r="AX198" s="320"/>
      <c r="AY198" s="320"/>
      <c r="AZ198" s="320"/>
      <c r="BA198" s="320"/>
      <c r="BB198" s="320"/>
      <c r="BC198" s="320"/>
      <c r="BD198" s="320"/>
      <c r="BE198" s="320"/>
      <c r="BF198" s="320"/>
      <c r="BG198" s="320"/>
      <c r="BH198" s="320"/>
      <c r="BI198" s="320"/>
      <c r="BJ198" s="320"/>
      <c r="BK198" s="320"/>
    </row>
    <row r="199" spans="1:63">
      <c r="A199" s="167"/>
      <c r="B199" s="217" t="str">
        <f>Servicio_internaColumna_título_amortizaciones</f>
        <v>Amortizaciones</v>
      </c>
      <c r="C199" s="218"/>
      <c r="D199" s="219"/>
      <c r="E199" s="219"/>
      <c r="F199" s="219">
        <f>IF('Perfil - interna'!F199+'Perfil - externa'!F197=0,0,'Perfil - interna'!F199+'Perfil - externa'!F197)</f>
        <v>0</v>
      </c>
      <c r="G199" s="219">
        <f>IF('Perfil - interna'!G199+'Perfil - externa'!G197=0,0,'Perfil - interna'!G199+'Perfil - externa'!G197)</f>
        <v>0</v>
      </c>
      <c r="H199" s="219">
        <f>IF('Perfil - interna'!H199+'Perfil - externa'!H197=0,0,'Perfil - interna'!H199+'Perfil - externa'!H197)</f>
        <v>12569345.942969661</v>
      </c>
      <c r="I199" s="219">
        <f>IF('Perfil - interna'!I199+'Perfil - externa'!I197=0,0,'Perfil - interna'!I199+'Perfil - externa'!I197)</f>
        <v>19518262.825949717</v>
      </c>
      <c r="J199" s="219">
        <f>IF('Perfil - interna'!J199+'Perfil - externa'!J197=0,0,'Perfil - interna'!J199+'Perfil - externa'!J197)</f>
        <v>16343954.862549361</v>
      </c>
      <c r="K199" s="219">
        <f>IF('Perfil - interna'!K199+'Perfil - externa'!K197=0,0,'Perfil - interna'!K199+'Perfil - externa'!K197)</f>
        <v>13143289.688861854</v>
      </c>
      <c r="L199" s="219">
        <f>IF('Perfil - interna'!L199+'Perfil - externa'!L197=0,0,'Perfil - interna'!L199+'Perfil - externa'!L197)</f>
        <v>15844119.310991786</v>
      </c>
      <c r="M199" s="219">
        <f>IF('Perfil - interna'!M199+'Perfil - externa'!M197=0,0,'Perfil - interna'!M199+'Perfil - externa'!M197)</f>
        <v>8286607.5258780103</v>
      </c>
      <c r="N199" s="219">
        <f>IF('Perfil - interna'!N199+'Perfil - externa'!N197=0,0,'Perfil - interna'!N199+'Perfil - externa'!N197)</f>
        <v>14246352.795811836</v>
      </c>
      <c r="O199" s="219">
        <f>IF('Perfil - interna'!O199+'Perfil - externa'!O197=0,0,'Perfil - interna'!O199+'Perfil - externa'!O197)</f>
        <v>6544725.300219154</v>
      </c>
      <c r="P199" s="219">
        <f>IF('Perfil - interna'!P199+'Perfil - externa'!P197=0,0,'Perfil - interna'!P199+'Perfil - externa'!P197)</f>
        <v>12226618.364601836</v>
      </c>
      <c r="Q199" s="219">
        <f>IF('Perfil - interna'!Q199+'Perfil - externa'!Q197=0,0,'Perfil - interna'!Q199+'Perfil - externa'!Q197)</f>
        <v>10176907.469213983</v>
      </c>
      <c r="R199" s="219">
        <f>IF('Perfil - interna'!R199+'Perfil - externa'!R197=0,0,'Perfil - interna'!R199+'Perfil - externa'!R197)</f>
        <v>2115396.6902194731</v>
      </c>
      <c r="S199" s="219">
        <f>IF('Perfil - interna'!S199+'Perfil - externa'!S197=0,0,'Perfil - interna'!S199+'Perfil - externa'!S197)</f>
        <v>1317013.6936072286</v>
      </c>
      <c r="T199" s="219">
        <f>IF('Perfil - interna'!T199+'Perfil - externa'!T197=0,0,'Perfil - interna'!T199+'Perfil - externa'!T197)</f>
        <v>953961.09032975731</v>
      </c>
      <c r="U199" s="219">
        <f>IF('Perfil - interna'!U199+'Perfil - externa'!U197=0,0,'Perfil - interna'!U199+'Perfil - externa'!U197)</f>
        <v>754383.33349215682</v>
      </c>
      <c r="V199" s="219">
        <f>IF('Perfil - interna'!V199+'Perfil - externa'!V197=0,0,'Perfil - interna'!V199+'Perfil - externa'!V197)</f>
        <v>5552334.9775208905</v>
      </c>
      <c r="W199" s="219">
        <f>IF('Perfil - interna'!W199+'Perfil - externa'!W197=0,0,'Perfil - interna'!W199+'Perfil - externa'!W197)</f>
        <v>509327.82232671994</v>
      </c>
      <c r="X199" s="219">
        <f>IF('Perfil - interna'!X199+'Perfil - externa'!X197=0,0,'Perfil - interna'!X199+'Perfil - externa'!X197)</f>
        <v>368642.58608876163</v>
      </c>
      <c r="Y199" s="219">
        <f>IF('Perfil - interna'!Y199+'Perfil - externa'!Y197=0,0,'Perfil - interna'!Y199+'Perfil - externa'!Y197)</f>
        <v>315986.3516379738</v>
      </c>
      <c r="Z199" s="219">
        <f>IF('Perfil - interna'!Z199+'Perfil - externa'!Z197=0,0,'Perfil - interna'!Z199+'Perfil - externa'!Z197)</f>
        <v>2722346.0361287696</v>
      </c>
      <c r="AA199" s="219">
        <f>IF('Perfil - interna'!AA199+'Perfil - externa'!AA197=0,0,'Perfil - interna'!AA199+'Perfil - externa'!AA197)</f>
        <v>121408.5640379346</v>
      </c>
      <c r="AB199" s="219">
        <f>IF('Perfil - interna'!AB199+'Perfil - externa'!AB197=0,0,'Perfil - interna'!AB199+'Perfil - externa'!AB197)</f>
        <v>70407.686764421989</v>
      </c>
      <c r="AC199" s="219">
        <f>IF('Perfil - interna'!AC199+'Perfil - externa'!AC197=0,0,'Perfil - interna'!AC199+'Perfil - externa'!AC197)</f>
        <v>500045.381417108</v>
      </c>
      <c r="AD199" s="219">
        <f>IF('Perfil - interna'!AD199+'Perfil - externa'!AD197=0,0,'Perfil - interna'!AD199+'Perfil - externa'!AD197)</f>
        <v>72459.722633575191</v>
      </c>
      <c r="AE199" s="219">
        <f>IF('Perfil - interna'!AE199+'Perfil - externa'!AE197=0,0,'Perfil - interna'!AE199+'Perfil - externa'!AE197)</f>
        <v>40514.738692369196</v>
      </c>
      <c r="AF199" s="219">
        <f>IF('Perfil - interna'!AF199+'Perfil - externa'!AF197=0,0,'Perfil - interna'!AF199+'Perfil - externa'!AF197)</f>
        <v>20696.190274241999</v>
      </c>
      <c r="AG199" s="219">
        <f>IF('Perfil - interna'!AG199+'Perfil - externa'!AG197=0,0,'Perfil - interna'!AG199+'Perfil - externa'!AG197)</f>
        <v>6907.6621997795992</v>
      </c>
      <c r="AH199" s="219">
        <f>IF('Perfil - interna'!AH199+'Perfil - externa'!AH197=0,0,'Perfil - interna'!AH199+'Perfil - externa'!AH197)</f>
        <v>5952.8891343137993</v>
      </c>
      <c r="AI199" s="219">
        <f>IF('Perfil - interna'!AI199+'Perfil - externa'!AI197=0,0,'Perfil - interna'!AI199+'Perfil - externa'!AI197)</f>
        <v>1257387.9007443136</v>
      </c>
      <c r="AJ199" s="219">
        <f>IF('Perfil - interna'!AJ199+'Perfil - externa'!AJ197=0,0,'Perfil - interna'!AJ199+'Perfil - externa'!AJ197)</f>
        <v>5952.8891343137993</v>
      </c>
      <c r="AK199" s="219">
        <f>IF('Perfil - interna'!AK199+'Perfil - externa'!AK197=0,0,'Perfil - interna'!AK199+'Perfil - externa'!AK197)</f>
        <v>179.8426111398</v>
      </c>
      <c r="AL199" s="219">
        <f>IF('Perfil - interna'!AL199+'Perfil - externa'!AL197=0,0,'Perfil - interna'!AL199+'Perfil - externa'!AL197)</f>
        <v>0</v>
      </c>
      <c r="AM199" s="219">
        <f>IF('Perfil - interna'!AM199+'Perfil - externa'!AM197=0,0,'Perfil - interna'!AM199+'Perfil - externa'!AM197)</f>
        <v>0</v>
      </c>
      <c r="AN199" s="219">
        <f>IF('Perfil - interna'!AN199+'Perfil - externa'!AN197=0,0,'Perfil - interna'!AN199+'Perfil - externa'!AN197)</f>
        <v>0</v>
      </c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</row>
    <row r="200" spans="1:63">
      <c r="A200" s="170">
        <v>38868</v>
      </c>
      <c r="B200" s="220" t="str">
        <f>Servicio_internaColumna_título_intereses</f>
        <v>Intereses</v>
      </c>
      <c r="C200" s="221"/>
      <c r="D200" s="222"/>
      <c r="E200" s="222"/>
      <c r="F200" s="222">
        <f>IF('Perfil - interna'!F200+'Perfil - externa'!F198=0,0,'Perfil - interna'!F200+'Perfil - externa'!F198)</f>
        <v>0</v>
      </c>
      <c r="G200" s="222">
        <f>IF('Perfil - interna'!G200+'Perfil - externa'!G198=0,0,'Perfil - interna'!G200+'Perfil - externa'!G198)</f>
        <v>0</v>
      </c>
      <c r="H200" s="222">
        <f>IF('Perfil - interna'!H200+'Perfil - externa'!H198=0,0,'Perfil - interna'!H200+'Perfil - externa'!H198)</f>
        <v>8071044.5817628838</v>
      </c>
      <c r="I200" s="222">
        <f>IF('Perfil - interna'!I200+'Perfil - externa'!I198=0,0,'Perfil - interna'!I200+'Perfil - externa'!I198)</f>
        <v>12608290.985837512</v>
      </c>
      <c r="J200" s="222">
        <f>IF('Perfil - interna'!J200+'Perfil - externa'!J198=0,0,'Perfil - interna'!J200+'Perfil - externa'!J198)</f>
        <v>10496064.044343349</v>
      </c>
      <c r="K200" s="222">
        <f>IF('Perfil - interna'!K200+'Perfil - externa'!K198=0,0,'Perfil - interna'!K200+'Perfil - externa'!K198)</f>
        <v>8668485.6787490677</v>
      </c>
      <c r="L200" s="222">
        <f>IF('Perfil - interna'!L200+'Perfil - externa'!L198=0,0,'Perfil - interna'!L200+'Perfil - externa'!L198)</f>
        <v>7441124.11078237</v>
      </c>
      <c r="M200" s="222">
        <f>IF('Perfil - interna'!M200+'Perfil - externa'!M198=0,0,'Perfil - interna'!M200+'Perfil - externa'!M198)</f>
        <v>6013108.9334676722</v>
      </c>
      <c r="N200" s="222">
        <f>IF('Perfil - interna'!N200+'Perfil - externa'!N198=0,0,'Perfil - interna'!N200+'Perfil - externa'!N198)</f>
        <v>5221635.1388237122</v>
      </c>
      <c r="O200" s="222">
        <f>IF('Perfil - interna'!O200+'Perfil - externa'!O198=0,0,'Perfil - interna'!O200+'Perfil - externa'!O198)</f>
        <v>3835308.3934395043</v>
      </c>
      <c r="P200" s="222">
        <f>IF('Perfil - interna'!P200+'Perfil - externa'!P198=0,0,'Perfil - interna'!P200+'Perfil - externa'!P198)</f>
        <v>3371711.5332563538</v>
      </c>
      <c r="Q200" s="222">
        <f>IF('Perfil - interna'!Q200+'Perfil - externa'!Q198=0,0,'Perfil - interna'!Q200+'Perfil - externa'!Q198)</f>
        <v>2141271.1475526942</v>
      </c>
      <c r="R200" s="222">
        <f>IF('Perfil - interna'!R200+'Perfil - externa'!R198=0,0,'Perfil - interna'!R200+'Perfil - externa'!R198)</f>
        <v>1291557.4736664852</v>
      </c>
      <c r="S200" s="222">
        <f>IF('Perfil - interna'!S200+'Perfil - externa'!S198=0,0,'Perfil - interna'!S200+'Perfil - externa'!S198)</f>
        <v>1189440.6813108162</v>
      </c>
      <c r="T200" s="222">
        <f>IF('Perfil - interna'!T200+'Perfil - externa'!T198=0,0,'Perfil - interna'!T200+'Perfil - externa'!T198)</f>
        <v>1125189.9499713411</v>
      </c>
      <c r="U200" s="222">
        <f>IF('Perfil - interna'!U200+'Perfil - externa'!U198=0,0,'Perfil - interna'!U200+'Perfil - externa'!U198)</f>
        <v>1081096.5317123495</v>
      </c>
      <c r="V200" s="222">
        <f>IF('Perfil - interna'!V200+'Perfil - externa'!V198=0,0,'Perfil - interna'!V200+'Perfil - externa'!V198)</f>
        <v>889581.42114860122</v>
      </c>
      <c r="W200" s="222">
        <f>IF('Perfil - interna'!W200+'Perfil - externa'!W198=0,0,'Perfil - interna'!W200+'Perfil - externa'!W198)</f>
        <v>449685.05901397043</v>
      </c>
      <c r="X200" s="222">
        <f>IF('Perfil - interna'!X200+'Perfil - externa'!X198=0,0,'Perfil - interna'!X200+'Perfil - externa'!X198)</f>
        <v>426471.87482139654</v>
      </c>
      <c r="Y200" s="222">
        <f>IF('Perfil - interna'!Y200+'Perfil - externa'!Y198=0,0,'Perfil - interna'!Y200+'Perfil - externa'!Y198)</f>
        <v>409691.47631026863</v>
      </c>
      <c r="Z200" s="222">
        <f>IF('Perfil - interna'!Z200+'Perfil - externa'!Z198=0,0,'Perfil - interna'!Z200+'Perfil - externa'!Z198)</f>
        <v>294949.61661481252</v>
      </c>
      <c r="AA200" s="222">
        <f>IF('Perfil - interna'!AA200+'Perfil - externa'!AA198=0,0,'Perfil - interna'!AA200+'Perfil - externa'!AA198)</f>
        <v>184236.02995635176</v>
      </c>
      <c r="AB200" s="222">
        <f>IF('Perfil - interna'!AB200+'Perfil - externa'!AB198=0,0,'Perfil - interna'!AB200+'Perfil - externa'!AB198)</f>
        <v>178844.09696752197</v>
      </c>
      <c r="AC200" s="222">
        <f>IF('Perfil - interna'!AC200+'Perfil - externa'!AC198=0,0,'Perfil - interna'!AC200+'Perfil - externa'!AC198)</f>
        <v>157425.54166788957</v>
      </c>
      <c r="AD200" s="222">
        <f>IF('Perfil - interna'!AD200+'Perfil - externa'!AD198=0,0,'Perfil - interna'!AD200+'Perfil - externa'!AD198)</f>
        <v>135174.92153491828</v>
      </c>
      <c r="AE200" s="222">
        <f>IF('Perfil - interna'!AE200+'Perfil - externa'!AE198=0,0,'Perfil - interna'!AE200+'Perfil - externa'!AE198)</f>
        <v>131728.92492098847</v>
      </c>
      <c r="AF200" s="222">
        <f>IF('Perfil - interna'!AF200+'Perfil - externa'!AF198=0,0,'Perfil - interna'!AF200+'Perfil - externa'!AF198)</f>
        <v>130293.50226931709</v>
      </c>
      <c r="AG200" s="222">
        <f>IF('Perfil - interna'!AG200+'Perfil - externa'!AG198=0,0,'Perfil - interna'!AG200+'Perfil - externa'!AG198)</f>
        <v>129909.75909323579</v>
      </c>
      <c r="AH200" s="222">
        <f>IF('Perfil - interna'!AH200+'Perfil - externa'!AH198=0,0,'Perfil - interna'!AH200+'Perfil - externa'!AH198)</f>
        <v>129908.41030058639</v>
      </c>
      <c r="AI200" s="222">
        <f>IF('Perfil - interna'!AI200+'Perfil - externa'!AI198=0,0,'Perfil - interna'!AI200+'Perfil - externa'!AI198)</f>
        <v>64957.584380553897</v>
      </c>
      <c r="AJ200" s="222">
        <f>IF('Perfil - interna'!AJ200+'Perfil - externa'!AJ198=0,0,'Perfil - interna'!AJ200+'Perfil - externa'!AJ198)</f>
        <v>3.0348206972999994</v>
      </c>
      <c r="AK200" s="222">
        <f>IF('Perfil - interna'!AK200+'Perfil - externa'!AK198=0,0,'Perfil - interna'!AK200+'Perfil - externa'!AK198)</f>
        <v>1.6860032237999998</v>
      </c>
      <c r="AL200" s="222">
        <f>IF('Perfil - interna'!AL200+'Perfil - externa'!AL198=0,0,'Perfil - interna'!AL200+'Perfil - externa'!AL198)</f>
        <v>0</v>
      </c>
      <c r="AM200" s="222">
        <f>IF('Perfil - interna'!AM200+'Perfil - externa'!AM198=0,0,'Perfil - interna'!AM200+'Perfil - externa'!AM198)</f>
        <v>0</v>
      </c>
      <c r="AN200" s="222">
        <f>IF('Perfil - interna'!AN200+'Perfil - externa'!AN198=0,0,'Perfil - interna'!AN200+'Perfil - externa'!AN198)</f>
        <v>0</v>
      </c>
      <c r="AO200" s="222"/>
      <c r="AP200" s="222"/>
      <c r="AQ200" s="222"/>
      <c r="AR200" s="222"/>
      <c r="AS200" s="222"/>
      <c r="AT200" s="222"/>
      <c r="AU200" s="222"/>
      <c r="AV200" s="222"/>
      <c r="AW200" s="222"/>
      <c r="AX200" s="222"/>
      <c r="AY200" s="222"/>
      <c r="AZ200" s="222"/>
      <c r="BA200" s="222"/>
      <c r="BB200" s="222"/>
      <c r="BC200" s="222"/>
      <c r="BD200" s="222"/>
      <c r="BE200" s="222"/>
      <c r="BF200" s="222"/>
      <c r="BG200" s="222"/>
      <c r="BH200" s="222"/>
      <c r="BI200" s="222"/>
      <c r="BJ200" s="222"/>
      <c r="BK200" s="222"/>
    </row>
    <row r="201" spans="1:63">
      <c r="A201" s="171"/>
      <c r="B201" s="318" t="str">
        <f>Servicio_internaColumna_título_total</f>
        <v>Total</v>
      </c>
      <c r="C201" s="319"/>
      <c r="D201" s="320"/>
      <c r="E201" s="320"/>
      <c r="F201" s="320">
        <f>IF('Perfil - interna'!F201+'Perfil - externa'!F199=0,0,'Perfil - interna'!F201+'Perfil - externa'!F199)</f>
        <v>0</v>
      </c>
      <c r="G201" s="320">
        <f>IF('Perfil - interna'!G201+'Perfil - externa'!G199=0,0,'Perfil - interna'!G201+'Perfil - externa'!G199)</f>
        <v>0</v>
      </c>
      <c r="H201" s="320">
        <f>IF('Perfil - interna'!H201+'Perfil - externa'!H199=0,0,'Perfil - interna'!H201+'Perfil - externa'!H199)</f>
        <v>20640390.524732545</v>
      </c>
      <c r="I201" s="320">
        <f>IF('Perfil - interna'!I201+'Perfil - externa'!I199=0,0,'Perfil - interna'!I201+'Perfil - externa'!I199)</f>
        <v>32126553.811787229</v>
      </c>
      <c r="J201" s="320">
        <f>IF('Perfil - interna'!J201+'Perfil - externa'!J199=0,0,'Perfil - interna'!J201+'Perfil - externa'!J199)</f>
        <v>26840018.906892709</v>
      </c>
      <c r="K201" s="320">
        <f>IF('Perfil - interna'!K201+'Perfil - externa'!K199=0,0,'Perfil - interna'!K201+'Perfil - externa'!K199)</f>
        <v>21811775.367610924</v>
      </c>
      <c r="L201" s="320">
        <f>IF('Perfil - interna'!L201+'Perfil - externa'!L199=0,0,'Perfil - interna'!L201+'Perfil - externa'!L199)</f>
        <v>23285243.421774156</v>
      </c>
      <c r="M201" s="320">
        <f>IF('Perfil - interna'!M201+'Perfil - externa'!M199=0,0,'Perfil - interna'!M201+'Perfil - externa'!M199)</f>
        <v>14299716.459345682</v>
      </c>
      <c r="N201" s="320">
        <f>IF('Perfil - interna'!N201+'Perfil - externa'!N199=0,0,'Perfil - interna'!N201+'Perfil - externa'!N199)</f>
        <v>19467987.934635546</v>
      </c>
      <c r="O201" s="320">
        <f>IF('Perfil - interna'!O201+'Perfil - externa'!O199=0,0,'Perfil - interna'!O201+'Perfil - externa'!O199)</f>
        <v>10380033.693658657</v>
      </c>
      <c r="P201" s="320">
        <f>IF('Perfil - interna'!P201+'Perfil - externa'!P199=0,0,'Perfil - interna'!P201+'Perfil - externa'!P199)</f>
        <v>15598329.897858189</v>
      </c>
      <c r="Q201" s="320">
        <f>IF('Perfil - interna'!Q201+'Perfil - externa'!Q199=0,0,'Perfil - interna'!Q201+'Perfil - externa'!Q199)</f>
        <v>12318178.616766676</v>
      </c>
      <c r="R201" s="320">
        <f>IF('Perfil - interna'!R201+'Perfil - externa'!R199=0,0,'Perfil - interna'!R201+'Perfil - externa'!R199)</f>
        <v>3406954.163885958</v>
      </c>
      <c r="S201" s="320">
        <f>IF('Perfil - interna'!S201+'Perfil - externa'!S199=0,0,'Perfil - interna'!S201+'Perfil - externa'!S199)</f>
        <v>2506454.374918045</v>
      </c>
      <c r="T201" s="320">
        <f>IF('Perfil - interna'!T201+'Perfil - externa'!T199=0,0,'Perfil - interna'!T201+'Perfil - externa'!T199)</f>
        <v>2079151.0403010985</v>
      </c>
      <c r="U201" s="320">
        <f>IF('Perfil - interna'!U201+'Perfil - externa'!U199=0,0,'Perfil - interna'!U201+'Perfil - externa'!U199)</f>
        <v>1835479.8652045061</v>
      </c>
      <c r="V201" s="320">
        <f>IF('Perfil - interna'!V201+'Perfil - externa'!V199=0,0,'Perfil - interna'!V201+'Perfil - externa'!V199)</f>
        <v>6441916.3986694925</v>
      </c>
      <c r="W201" s="320">
        <f>IF('Perfil - interna'!W201+'Perfil - externa'!W199=0,0,'Perfil - interna'!W201+'Perfil - externa'!W199)</f>
        <v>959012.88134069042</v>
      </c>
      <c r="X201" s="320">
        <f>IF('Perfil - interna'!X201+'Perfil - externa'!X199=0,0,'Perfil - interna'!X201+'Perfil - externa'!X199)</f>
        <v>795114.46091015823</v>
      </c>
      <c r="Y201" s="320">
        <f>IF('Perfil - interna'!Y201+'Perfil - externa'!Y199=0,0,'Perfil - interna'!Y201+'Perfil - externa'!Y199)</f>
        <v>725677.82794824243</v>
      </c>
      <c r="Z201" s="320">
        <f>IF('Perfil - interna'!Z201+'Perfil - externa'!Z199=0,0,'Perfil - interna'!Z201+'Perfil - externa'!Z199)</f>
        <v>3017295.6527435821</v>
      </c>
      <c r="AA201" s="320">
        <f>IF('Perfil - interna'!AA201+'Perfil - externa'!AA199=0,0,'Perfil - interna'!AA201+'Perfil - externa'!AA199)</f>
        <v>305644.59399428638</v>
      </c>
      <c r="AB201" s="320">
        <f>IF('Perfil - interna'!AB201+'Perfil - externa'!AB199=0,0,'Perfil - interna'!AB201+'Perfil - externa'!AB199)</f>
        <v>249251.78373194396</v>
      </c>
      <c r="AC201" s="320">
        <f>IF('Perfil - interna'!AC201+'Perfil - externa'!AC199=0,0,'Perfil - interna'!AC201+'Perfil - externa'!AC199)</f>
        <v>657470.92308499757</v>
      </c>
      <c r="AD201" s="320">
        <f>IF('Perfil - interna'!AD201+'Perfil - externa'!AD199=0,0,'Perfil - interna'!AD201+'Perfil - externa'!AD199)</f>
        <v>207634.64416849345</v>
      </c>
      <c r="AE201" s="320">
        <f>IF('Perfil - interna'!AE201+'Perfil - externa'!AE199=0,0,'Perfil - interna'!AE201+'Perfil - externa'!AE199)</f>
        <v>172243.66361335767</v>
      </c>
      <c r="AF201" s="320">
        <f>IF('Perfil - interna'!AF201+'Perfil - externa'!AF199=0,0,'Perfil - interna'!AF201+'Perfil - externa'!AF199)</f>
        <v>150989.6925435591</v>
      </c>
      <c r="AG201" s="320">
        <f>IF('Perfil - interna'!AG201+'Perfil - externa'!AG199=0,0,'Perfil - interna'!AG201+'Perfil - externa'!AG199)</f>
        <v>136817.42129301539</v>
      </c>
      <c r="AH201" s="320">
        <f>IF('Perfil - interna'!AH201+'Perfil - externa'!AH199=0,0,'Perfil - interna'!AH201+'Perfil - externa'!AH199)</f>
        <v>135861.2994349002</v>
      </c>
      <c r="AI201" s="320">
        <f>IF('Perfil - interna'!AI201+'Perfil - externa'!AI199=0,0,'Perfil - interna'!AI201+'Perfil - externa'!AI199)</f>
        <v>1322345.4851248674</v>
      </c>
      <c r="AJ201" s="320">
        <f>IF('Perfil - interna'!AJ201+'Perfil - externa'!AJ199=0,0,'Perfil - interna'!AJ201+'Perfil - externa'!AJ199)</f>
        <v>5955.9239550110997</v>
      </c>
      <c r="AK201" s="320">
        <f>IF('Perfil - interna'!AK201+'Perfil - externa'!AK199=0,0,'Perfil - interna'!AK201+'Perfil - externa'!AK199)</f>
        <v>181.52861436359998</v>
      </c>
      <c r="AL201" s="320">
        <f>IF('Perfil - interna'!AL201+'Perfil - externa'!AL199=0,0,'Perfil - interna'!AL201+'Perfil - externa'!AL199)</f>
        <v>0</v>
      </c>
      <c r="AM201" s="320">
        <f>IF('Perfil - interna'!AM201+'Perfil - externa'!AM199=0,0,'Perfil - interna'!AM201+'Perfil - externa'!AM199)</f>
        <v>0</v>
      </c>
      <c r="AN201" s="320">
        <f>IF('Perfil - interna'!AN201+'Perfil - externa'!AN199=0,0,'Perfil - interna'!AN201+'Perfil - externa'!AN199)</f>
        <v>0</v>
      </c>
      <c r="AO201" s="320"/>
      <c r="AP201" s="320"/>
      <c r="AQ201" s="320"/>
      <c r="AR201" s="320"/>
      <c r="AS201" s="320"/>
      <c r="AT201" s="320"/>
      <c r="AU201" s="320"/>
      <c r="AV201" s="320"/>
      <c r="AW201" s="320"/>
      <c r="AX201" s="320"/>
      <c r="AY201" s="320"/>
      <c r="AZ201" s="320"/>
      <c r="BA201" s="320"/>
      <c r="BB201" s="320"/>
      <c r="BC201" s="320"/>
      <c r="BD201" s="320"/>
      <c r="BE201" s="320"/>
      <c r="BF201" s="320"/>
      <c r="BG201" s="320"/>
      <c r="BH201" s="320"/>
      <c r="BI201" s="320"/>
      <c r="BJ201" s="320"/>
      <c r="BK201" s="320"/>
    </row>
    <row r="202" spans="1:63">
      <c r="A202" s="167"/>
      <c r="B202" s="217" t="str">
        <f>Servicio_internaColumna_título_amortizaciones</f>
        <v>Amortizaciones</v>
      </c>
      <c r="C202" s="218"/>
      <c r="D202" s="219"/>
      <c r="E202" s="219"/>
      <c r="F202" s="219">
        <f>IF('Perfil - interna'!F202+'Perfil - externa'!F200=0,0,'Perfil - interna'!F202+'Perfil - externa'!F200)</f>
        <v>0</v>
      </c>
      <c r="G202" s="219">
        <f>IF('Perfil - interna'!G202+'Perfil - externa'!G200=0,0,'Perfil - interna'!G202+'Perfil - externa'!G200)</f>
        <v>0</v>
      </c>
      <c r="H202" s="219">
        <f>IF('Perfil - interna'!H202+'Perfil - externa'!H200=0,0,'Perfil - interna'!H202+'Perfil - externa'!H200)</f>
        <v>11217859.187607981</v>
      </c>
      <c r="I202" s="219">
        <f>IF('Perfil - interna'!I202+'Perfil - externa'!I200=0,0,'Perfil - interna'!I202+'Perfil - externa'!I200)</f>
        <v>20362446.652788255</v>
      </c>
      <c r="J202" s="219">
        <f>IF('Perfil - interna'!J202+'Perfil - externa'!J200=0,0,'Perfil - interna'!J202+'Perfil - externa'!J200)</f>
        <v>17743574.162514232</v>
      </c>
      <c r="K202" s="219">
        <f>IF('Perfil - interna'!K202+'Perfil - externa'!K200=0,0,'Perfil - interna'!K202+'Perfil - externa'!K200)</f>
        <v>13417225.778854877</v>
      </c>
      <c r="L202" s="219">
        <f>IF('Perfil - interna'!L202+'Perfil - externa'!L200=0,0,'Perfil - interna'!L202+'Perfil - externa'!L200)</f>
        <v>16304002.962788273</v>
      </c>
      <c r="M202" s="219">
        <f>IF('Perfil - interna'!M202+'Perfil - externa'!M200=0,0,'Perfil - interna'!M202+'Perfil - externa'!M200)</f>
        <v>8492872.0705705173</v>
      </c>
      <c r="N202" s="219">
        <f>IF('Perfil - interna'!N202+'Perfil - externa'!N200=0,0,'Perfil - interna'!N202+'Perfil - externa'!N200)</f>
        <v>14556845.061946139</v>
      </c>
      <c r="O202" s="219">
        <f>IF('Perfil - interna'!O202+'Perfil - externa'!O200=0,0,'Perfil - interna'!O202+'Perfil - externa'!O200)</f>
        <v>6747444.5986789493</v>
      </c>
      <c r="P202" s="219">
        <f>IF('Perfil - interna'!P202+'Perfil - externa'!P200=0,0,'Perfil - interna'!P202+'Perfil - externa'!P200)</f>
        <v>12509143.423683207</v>
      </c>
      <c r="Q202" s="219">
        <f>IF('Perfil - interna'!Q202+'Perfil - externa'!Q200=0,0,'Perfil - interna'!Q202+'Perfil - externa'!Q200)</f>
        <v>10962914.967687383</v>
      </c>
      <c r="R202" s="219">
        <f>IF('Perfil - interna'!R202+'Perfil - externa'!R200=0,0,'Perfil - interna'!R202+'Perfil - externa'!R200)</f>
        <v>2229257.513060607</v>
      </c>
      <c r="S202" s="219">
        <f>IF('Perfil - interna'!S202+'Perfil - externa'!S200=0,0,'Perfil - interna'!S202+'Perfil - externa'!S200)</f>
        <v>1397152.3240596207</v>
      </c>
      <c r="T202" s="219">
        <f>IF('Perfil - interna'!T202+'Perfil - externa'!T200=0,0,'Perfil - interna'!T202+'Perfil - externa'!T200)</f>
        <v>1012058.0299546529</v>
      </c>
      <c r="U202" s="219">
        <f>IF('Perfil - interna'!U202+'Perfil - externa'!U200=0,0,'Perfil - interna'!U202+'Perfil - externa'!U200)</f>
        <v>800569.96463146084</v>
      </c>
      <c r="V202" s="219">
        <f>IF('Perfil - interna'!V202+'Perfil - externa'!V200=0,0,'Perfil - interna'!V202+'Perfil - externa'!V200)</f>
        <v>6431527.6824337821</v>
      </c>
      <c r="W202" s="219">
        <f>IF('Perfil - interna'!W202+'Perfil - externa'!W200=0,0,'Perfil - interna'!W202+'Perfil - externa'!W200)</f>
        <v>540642.90142718237</v>
      </c>
      <c r="X202" s="219">
        <f>IF('Perfil - interna'!X202+'Perfil - externa'!X200=0,0,'Perfil - interna'!X202+'Perfil - externa'!X200)</f>
        <v>391667.7714909456</v>
      </c>
      <c r="Y202" s="219">
        <f>IF('Perfil - interna'!Y202+'Perfil - externa'!Y200=0,0,'Perfil - interna'!Y202+'Perfil - externa'!Y200)</f>
        <v>335866.9805406048</v>
      </c>
      <c r="Z202" s="219">
        <f>IF('Perfil - interna'!Z202+'Perfil - externa'!Z200=0,0,'Perfil - interna'!Z202+'Perfil - externa'!Z200)</f>
        <v>2889151.0653589917</v>
      </c>
      <c r="AA202" s="219">
        <f>IF('Perfil - interna'!AA202+'Perfil - externa'!AA200=0,0,'Perfil - interna'!AA202+'Perfil - externa'!AA200)</f>
        <v>129516.74751323843</v>
      </c>
      <c r="AB202" s="219">
        <f>IF('Perfil - interna'!AB202+'Perfil - externa'!AB200=0,0,'Perfil - interna'!AB202+'Perfil - externa'!AB200)</f>
        <v>75419.547628275206</v>
      </c>
      <c r="AC202" s="219">
        <f>IF('Perfil - interna'!AC202+'Perfil - externa'!AC200=0,0,'Perfil - interna'!AC202+'Perfil - externa'!AC200)</f>
        <v>530404.8242548944</v>
      </c>
      <c r="AD202" s="219">
        <f>IF('Perfil - interna'!AD202+'Perfil - externa'!AD200=0,0,'Perfil - interna'!AD202+'Perfil - externa'!AD200)</f>
        <v>76859.942524601604</v>
      </c>
      <c r="AE202" s="219">
        <f>IF('Perfil - interna'!AE202+'Perfil - externa'!AE200=0,0,'Perfil - interna'!AE202+'Perfil - externa'!AE200)</f>
        <v>42975.541432409598</v>
      </c>
      <c r="AF202" s="219">
        <f>IF('Perfil - interna'!AF202+'Perfil - externa'!AF200=0,0,'Perfil - interna'!AF202+'Perfil - externa'!AF200)</f>
        <v>21953.785876019196</v>
      </c>
      <c r="AG202" s="219">
        <f>IF('Perfil - interna'!AG202+'Perfil - externa'!AG200=0,0,'Perfil - interna'!AG202+'Perfil - externa'!AG200)</f>
        <v>7328.1402157823995</v>
      </c>
      <c r="AH202" s="219">
        <f>IF('Perfil - interna'!AH202+'Perfil - externa'!AH200=0,0,'Perfil - interna'!AH202+'Perfil - externa'!AH200)</f>
        <v>6315.4017663967988</v>
      </c>
      <c r="AI202" s="219">
        <f>IF('Perfil - interna'!AI202+'Perfil - externa'!AI200=0,0,'Perfil - interna'!AI202+'Perfil - externa'!AI200)</f>
        <v>1333726.4892863967</v>
      </c>
      <c r="AJ202" s="219">
        <f>IF('Perfil - interna'!AJ202+'Perfil - externa'!AJ200=0,0,'Perfil - interna'!AJ202+'Perfil - externa'!AJ200)</f>
        <v>6315.4017663967988</v>
      </c>
      <c r="AK202" s="219">
        <f>IF('Perfil - interna'!AK202+'Perfil - externa'!AK200=0,0,'Perfil - interna'!AK202+'Perfil - externa'!AK200)</f>
        <v>191.86687042879998</v>
      </c>
      <c r="AL202" s="219">
        <f>IF('Perfil - interna'!AL202+'Perfil - externa'!AL200=0,0,'Perfil - interna'!AL202+'Perfil - externa'!AL200)</f>
        <v>0</v>
      </c>
      <c r="AM202" s="219">
        <f>IF('Perfil - interna'!AM202+'Perfil - externa'!AM200=0,0,'Perfil - interna'!AM202+'Perfil - externa'!AM200)</f>
        <v>0</v>
      </c>
      <c r="AN202" s="219">
        <f>IF('Perfil - interna'!AN202+'Perfil - externa'!AN200=0,0,'Perfil - interna'!AN202+'Perfil - externa'!AN200)</f>
        <v>0</v>
      </c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</row>
    <row r="203" spans="1:63">
      <c r="A203" s="170">
        <v>38898</v>
      </c>
      <c r="B203" s="220" t="str">
        <f>Servicio_internaColumna_título_intereses</f>
        <v>Intereses</v>
      </c>
      <c r="C203" s="221"/>
      <c r="D203" s="222"/>
      <c r="E203" s="222"/>
      <c r="F203" s="222">
        <f>IF('Perfil - interna'!F203+'Perfil - externa'!F201=0,0,'Perfil - interna'!F203+'Perfil - externa'!F201)</f>
        <v>0</v>
      </c>
      <c r="G203" s="222">
        <f>IF('Perfil - interna'!G203+'Perfil - externa'!G201=0,0,'Perfil - interna'!G203+'Perfil - externa'!G201)</f>
        <v>0</v>
      </c>
      <c r="H203" s="222">
        <f>IF('Perfil - interna'!H203+'Perfil - externa'!H201=0,0,'Perfil - interna'!H203+'Perfil - externa'!H201)</f>
        <v>7280220.781414466</v>
      </c>
      <c r="I203" s="222">
        <f>IF('Perfil - interna'!I203+'Perfil - externa'!I201=0,0,'Perfil - interna'!I203+'Perfil - externa'!I201)</f>
        <v>13188287.871043457</v>
      </c>
      <c r="J203" s="222">
        <f>IF('Perfil - interna'!J203+'Perfil - externa'!J201=0,0,'Perfil - interna'!J203+'Perfil - externa'!J201)</f>
        <v>10955145.235099079</v>
      </c>
      <c r="K203" s="222">
        <f>IF('Perfil - interna'!K203+'Perfil - externa'!K201=0,0,'Perfil - interna'!K203+'Perfil - externa'!K201)</f>
        <v>8988141.6818582676</v>
      </c>
      <c r="L203" s="222">
        <f>IF('Perfil - interna'!L203+'Perfil - externa'!L201=0,0,'Perfil - interna'!L203+'Perfil - externa'!L201)</f>
        <v>7746382.2216481892</v>
      </c>
      <c r="M203" s="222">
        <f>IF('Perfil - interna'!M203+'Perfil - externa'!M201=0,0,'Perfil - interna'!M203+'Perfil - externa'!M201)</f>
        <v>6284639.0178031502</v>
      </c>
      <c r="N203" s="222">
        <f>IF('Perfil - interna'!N203+'Perfil - externa'!N201=0,0,'Perfil - interna'!N203+'Perfil - externa'!N201)</f>
        <v>5471945.3540105065</v>
      </c>
      <c r="O203" s="222">
        <f>IF('Perfil - interna'!O203+'Perfil - externa'!O201=0,0,'Perfil - interna'!O203+'Perfil - externa'!O201)</f>
        <v>4067396.3413088811</v>
      </c>
      <c r="P203" s="222">
        <f>IF('Perfil - interna'!P203+'Perfil - externa'!P201=0,0,'Perfil - interna'!P203+'Perfil - externa'!P201)</f>
        <v>3590341.3211385375</v>
      </c>
      <c r="Q203" s="222">
        <f>IF('Perfil - interna'!Q203+'Perfil - externa'!Q201=0,0,'Perfil - interna'!Q203+'Perfil - externa'!Q201)</f>
        <v>2340607.1431087977</v>
      </c>
      <c r="R203" s="222">
        <f>IF('Perfil - interna'!R203+'Perfil - externa'!R201=0,0,'Perfil - interna'!R203+'Perfil - externa'!R201)</f>
        <v>1429394.384018403</v>
      </c>
      <c r="S203" s="222">
        <f>IF('Perfil - interna'!S203+'Perfil - externa'!S201=0,0,'Perfil - interna'!S203+'Perfil - externa'!S201)</f>
        <v>1321486.7904723263</v>
      </c>
      <c r="T203" s="222">
        <f>IF('Perfil - interna'!T203+'Perfil - externa'!T201=0,0,'Perfil - interna'!T203+'Perfil - externa'!T201)</f>
        <v>1253314.2078935823</v>
      </c>
      <c r="U203" s="222">
        <f>IF('Perfil - interna'!U203+'Perfil - externa'!U201=0,0,'Perfil - interna'!U203+'Perfil - externa'!U201)</f>
        <v>1206519.6445350237</v>
      </c>
      <c r="V203" s="222">
        <f>IF('Perfil - interna'!V203+'Perfil - externa'!V201=0,0,'Perfil - interna'!V203+'Perfil - externa'!V201)</f>
        <v>1003353.8692610349</v>
      </c>
      <c r="W203" s="222">
        <f>IF('Perfil - interna'!W203+'Perfil - externa'!W201=0,0,'Perfil - interna'!W203+'Perfil - externa'!W201)</f>
        <v>477133.38388853759</v>
      </c>
      <c r="X203" s="222">
        <f>IF('Perfil - interna'!X203+'Perfil - externa'!X201=0,0,'Perfil - interna'!X203+'Perfil - externa'!X201)</f>
        <v>452483.54225785757</v>
      </c>
      <c r="Y203" s="222">
        <f>IF('Perfil - interna'!Y203+'Perfil - externa'!Y201=0,0,'Perfil - interna'!Y203+'Perfil - externa'!Y201)</f>
        <v>434651.99353005918</v>
      </c>
      <c r="Z203" s="222">
        <f>IF('Perfil - interna'!Z203+'Perfil - externa'!Z201=0,0,'Perfil - interna'!Z203+'Perfil - externa'!Z201)</f>
        <v>312898.73955261597</v>
      </c>
      <c r="AA203" s="222">
        <f>IF('Perfil - interna'!AA203+'Perfil - externa'!AA201=0,0,'Perfil - interna'!AA203+'Perfil - externa'!AA201)</f>
        <v>195415.21259554557</v>
      </c>
      <c r="AB203" s="222">
        <f>IF('Perfil - interna'!AB203+'Perfil - externa'!AB201=0,0,'Perfil - interna'!AB203+'Perfil - externa'!AB201)</f>
        <v>189661.3541606784</v>
      </c>
      <c r="AC203" s="222">
        <f>IF('Perfil - interna'!AC203+'Perfil - externa'!AC201=0,0,'Perfil - interna'!AC203+'Perfil - externa'!AC201)</f>
        <v>166916.73568096798</v>
      </c>
      <c r="AD203" s="222">
        <f>IF('Perfil - interna'!AD203+'Perfil - externa'!AD201=0,0,'Perfil - interna'!AD203+'Perfil - externa'!AD201)</f>
        <v>143315.2462112784</v>
      </c>
      <c r="AE203" s="222">
        <f>IF('Perfil - interna'!AE203+'Perfil - externa'!AE201=0,0,'Perfil - interna'!AE203+'Perfil - externa'!AE201)</f>
        <v>139660.03086464797</v>
      </c>
      <c r="AF203" s="222">
        <f>IF('Perfil - interna'!AF203+'Perfil - externa'!AF201=0,0,'Perfil - interna'!AF203+'Perfil - externa'!AF201)</f>
        <v>138137.45373899519</v>
      </c>
      <c r="AG203" s="222">
        <f>IF('Perfil - interna'!AG203+'Perfil - externa'!AG201=0,0,'Perfil - interna'!AG203+'Perfil - externa'!AG201)</f>
        <v>137730.40477378559</v>
      </c>
      <c r="AH203" s="222">
        <f>IF('Perfil - interna'!AH203+'Perfil - externa'!AH201=0,0,'Perfil - interna'!AH203+'Perfil - externa'!AH201)</f>
        <v>137728.9657737056</v>
      </c>
      <c r="AI203" s="222">
        <f>IF('Perfil - interna'!AI203+'Perfil - externa'!AI201=0,0,'Perfil - interna'!AI203+'Perfil - externa'!AI201)</f>
        <v>68868.076621691187</v>
      </c>
      <c r="AJ203" s="222">
        <f>IF('Perfil - interna'!AJ203+'Perfil - externa'!AJ201=0,0,'Perfil - interna'!AJ203+'Perfil - externa'!AJ201)</f>
        <v>3.2377370143999995</v>
      </c>
      <c r="AK203" s="222">
        <f>IF('Perfil - interna'!AK203+'Perfil - externa'!AK201=0,0,'Perfil - interna'!AK203+'Perfil - externa'!AK201)</f>
        <v>1.7987369343999997</v>
      </c>
      <c r="AL203" s="222">
        <f>IF('Perfil - interna'!AL203+'Perfil - externa'!AL201=0,0,'Perfil - interna'!AL203+'Perfil - externa'!AL201)</f>
        <v>0</v>
      </c>
      <c r="AM203" s="222">
        <f>IF('Perfil - interna'!AM203+'Perfil - externa'!AM201=0,0,'Perfil - interna'!AM203+'Perfil - externa'!AM201)</f>
        <v>0</v>
      </c>
      <c r="AN203" s="222">
        <f>IF('Perfil - interna'!AN203+'Perfil - externa'!AN201=0,0,'Perfil - interna'!AN203+'Perfil - externa'!AN201)</f>
        <v>0</v>
      </c>
      <c r="AO203" s="222"/>
      <c r="AP203" s="222"/>
      <c r="AQ203" s="222"/>
      <c r="AR203" s="222"/>
      <c r="AS203" s="222"/>
      <c r="AT203" s="222"/>
      <c r="AU203" s="222"/>
      <c r="AV203" s="222"/>
      <c r="AW203" s="222"/>
      <c r="AX203" s="222"/>
      <c r="AY203" s="222"/>
      <c r="AZ203" s="222"/>
      <c r="BA203" s="222"/>
      <c r="BB203" s="222"/>
      <c r="BC203" s="222"/>
      <c r="BD203" s="222"/>
      <c r="BE203" s="222"/>
      <c r="BF203" s="222"/>
      <c r="BG203" s="222"/>
      <c r="BH203" s="222"/>
      <c r="BI203" s="222"/>
      <c r="BJ203" s="222"/>
      <c r="BK203" s="222"/>
    </row>
    <row r="204" spans="1:63">
      <c r="A204" s="171"/>
      <c r="B204" s="318" t="str">
        <f>Servicio_internaColumna_título_total</f>
        <v>Total</v>
      </c>
      <c r="C204" s="319"/>
      <c r="D204" s="320"/>
      <c r="E204" s="320"/>
      <c r="F204" s="320">
        <f>IF('Perfil - interna'!F204+'Perfil - externa'!F202=0,0,'Perfil - interna'!F204+'Perfil - externa'!F202)</f>
        <v>0</v>
      </c>
      <c r="G204" s="320">
        <f>IF('Perfil - interna'!G204+'Perfil - externa'!G202=0,0,'Perfil - interna'!G204+'Perfil - externa'!G202)</f>
        <v>0</v>
      </c>
      <c r="H204" s="320">
        <f>IF('Perfil - interna'!H204+'Perfil - externa'!H202=0,0,'Perfil - interna'!H204+'Perfil - externa'!H202)</f>
        <v>18498079.969022445</v>
      </c>
      <c r="I204" s="320">
        <f>IF('Perfil - interna'!I204+'Perfil - externa'!I202=0,0,'Perfil - interna'!I204+'Perfil - externa'!I202)</f>
        <v>33550734.523831714</v>
      </c>
      <c r="J204" s="320">
        <f>IF('Perfil - interna'!J204+'Perfil - externa'!J202=0,0,'Perfil - interna'!J204+'Perfil - externa'!J202)</f>
        <v>28698719.397613309</v>
      </c>
      <c r="K204" s="320">
        <f>IF('Perfil - interna'!K204+'Perfil - externa'!K202=0,0,'Perfil - interna'!K204+'Perfil - externa'!K202)</f>
        <v>22405367.460713144</v>
      </c>
      <c r="L204" s="320">
        <f>IF('Perfil - interna'!L204+'Perfil - externa'!L202=0,0,'Perfil - interna'!L204+'Perfil - externa'!L202)</f>
        <v>24050385.184436463</v>
      </c>
      <c r="M204" s="320">
        <f>IF('Perfil - interna'!M204+'Perfil - externa'!M202=0,0,'Perfil - interna'!M204+'Perfil - externa'!M202)</f>
        <v>14777511.088373668</v>
      </c>
      <c r="N204" s="320">
        <f>IF('Perfil - interna'!N204+'Perfil - externa'!N202=0,0,'Perfil - interna'!N204+'Perfil - externa'!N202)</f>
        <v>20028790.415956646</v>
      </c>
      <c r="O204" s="320">
        <f>IF('Perfil - interna'!O204+'Perfil - externa'!O202=0,0,'Perfil - interna'!O204+'Perfil - externa'!O202)</f>
        <v>10814840.939987831</v>
      </c>
      <c r="P204" s="320">
        <f>IF('Perfil - interna'!P204+'Perfil - externa'!P202=0,0,'Perfil - interna'!P204+'Perfil - externa'!P202)</f>
        <v>16099484.744821746</v>
      </c>
      <c r="Q204" s="320">
        <f>IF('Perfil - interna'!Q204+'Perfil - externa'!Q202=0,0,'Perfil - interna'!Q204+'Perfil - externa'!Q202)</f>
        <v>13303522.110796183</v>
      </c>
      <c r="R204" s="320">
        <f>IF('Perfil - interna'!R204+'Perfil - externa'!R202=0,0,'Perfil - interna'!R204+'Perfil - externa'!R202)</f>
        <v>3658651.8970790105</v>
      </c>
      <c r="S204" s="320">
        <f>IF('Perfil - interna'!S204+'Perfil - externa'!S202=0,0,'Perfil - interna'!S204+'Perfil - externa'!S202)</f>
        <v>2718639.1145319468</v>
      </c>
      <c r="T204" s="320">
        <f>IF('Perfil - interna'!T204+'Perfil - externa'!T202=0,0,'Perfil - interna'!T204+'Perfil - externa'!T202)</f>
        <v>2265372.2378482348</v>
      </c>
      <c r="U204" s="320">
        <f>IF('Perfil - interna'!U204+'Perfil - externa'!U202=0,0,'Perfil - interna'!U204+'Perfil - externa'!U202)</f>
        <v>2007089.6091664846</v>
      </c>
      <c r="V204" s="320">
        <f>IF('Perfil - interna'!V204+'Perfil - externa'!V202=0,0,'Perfil - interna'!V204+'Perfil - externa'!V202)</f>
        <v>7434881.551694816</v>
      </c>
      <c r="W204" s="320">
        <f>IF('Perfil - interna'!W204+'Perfil - externa'!W202=0,0,'Perfil - interna'!W204+'Perfil - externa'!W202)</f>
        <v>1017776.2853157199</v>
      </c>
      <c r="X204" s="320">
        <f>IF('Perfil - interna'!X204+'Perfil - externa'!X202=0,0,'Perfil - interna'!X204+'Perfil - externa'!X202)</f>
        <v>844151.31374880322</v>
      </c>
      <c r="Y204" s="320">
        <f>IF('Perfil - interna'!Y204+'Perfil - externa'!Y202=0,0,'Perfil - interna'!Y204+'Perfil - externa'!Y202)</f>
        <v>770518.97407066403</v>
      </c>
      <c r="Z204" s="320">
        <f>IF('Perfil - interna'!Z204+'Perfil - externa'!Z202=0,0,'Perfil - interna'!Z204+'Perfil - externa'!Z202)</f>
        <v>3202049.8049116079</v>
      </c>
      <c r="AA204" s="320">
        <f>IF('Perfil - interna'!AA204+'Perfil - externa'!AA202=0,0,'Perfil - interna'!AA204+'Perfil - externa'!AA202)</f>
        <v>324931.96010878403</v>
      </c>
      <c r="AB204" s="320">
        <f>IF('Perfil - interna'!AB204+'Perfil - externa'!AB202=0,0,'Perfil - interna'!AB204+'Perfil - externa'!AB202)</f>
        <v>265080.90178895358</v>
      </c>
      <c r="AC204" s="320">
        <f>IF('Perfil - interna'!AC204+'Perfil - externa'!AC202=0,0,'Perfil - interna'!AC204+'Perfil - externa'!AC202)</f>
        <v>697321.55993586243</v>
      </c>
      <c r="AD204" s="320">
        <f>IF('Perfil - interna'!AD204+'Perfil - externa'!AD202=0,0,'Perfil - interna'!AD204+'Perfil - externa'!AD202)</f>
        <v>220175.18873588002</v>
      </c>
      <c r="AE204" s="320">
        <f>IF('Perfil - interna'!AE204+'Perfil - externa'!AE202=0,0,'Perfil - interna'!AE204+'Perfil - externa'!AE202)</f>
        <v>182635.57229705757</v>
      </c>
      <c r="AF204" s="320">
        <f>IF('Perfil - interna'!AF204+'Perfil - externa'!AF202=0,0,'Perfil - interna'!AF204+'Perfil - externa'!AF202)</f>
        <v>160091.23961501438</v>
      </c>
      <c r="AG204" s="320">
        <f>IF('Perfil - interna'!AG204+'Perfil - externa'!AG202=0,0,'Perfil - interna'!AG204+'Perfil - externa'!AG202)</f>
        <v>145058.54498956798</v>
      </c>
      <c r="AH204" s="320">
        <f>IF('Perfil - interna'!AH204+'Perfil - externa'!AH202=0,0,'Perfil - interna'!AH204+'Perfil - externa'!AH202)</f>
        <v>144044.36754010239</v>
      </c>
      <c r="AI204" s="320">
        <f>IF('Perfil - interna'!AI204+'Perfil - externa'!AI202=0,0,'Perfil - interna'!AI204+'Perfil - externa'!AI202)</f>
        <v>1402594.5659080879</v>
      </c>
      <c r="AJ204" s="320">
        <f>IF('Perfil - interna'!AJ204+'Perfil - externa'!AJ202=0,0,'Perfil - interna'!AJ204+'Perfil - externa'!AJ202)</f>
        <v>6318.6395034111993</v>
      </c>
      <c r="AK204" s="320">
        <f>IF('Perfil - interna'!AK204+'Perfil - externa'!AK202=0,0,'Perfil - interna'!AK204+'Perfil - externa'!AK202)</f>
        <v>193.6656073632</v>
      </c>
      <c r="AL204" s="320">
        <f>IF('Perfil - interna'!AL204+'Perfil - externa'!AL202=0,0,'Perfil - interna'!AL204+'Perfil - externa'!AL202)</f>
        <v>0</v>
      </c>
      <c r="AM204" s="320">
        <f>IF('Perfil - interna'!AM204+'Perfil - externa'!AM202=0,0,'Perfil - interna'!AM204+'Perfil - externa'!AM202)</f>
        <v>0</v>
      </c>
      <c r="AN204" s="320">
        <f>IF('Perfil - interna'!AN204+'Perfil - externa'!AN202=0,0,'Perfil - interna'!AN204+'Perfil - externa'!AN202)</f>
        <v>0</v>
      </c>
      <c r="AO204" s="320"/>
      <c r="AP204" s="320"/>
      <c r="AQ204" s="320"/>
      <c r="AR204" s="320"/>
      <c r="AS204" s="320"/>
      <c r="AT204" s="320"/>
      <c r="AU204" s="320"/>
      <c r="AV204" s="320"/>
      <c r="AW204" s="320"/>
      <c r="AX204" s="320"/>
      <c r="AY204" s="320"/>
      <c r="AZ204" s="320"/>
      <c r="BA204" s="320"/>
      <c r="BB204" s="320"/>
      <c r="BC204" s="320"/>
      <c r="BD204" s="320"/>
      <c r="BE204" s="320"/>
      <c r="BF204" s="320"/>
      <c r="BG204" s="320"/>
      <c r="BH204" s="320"/>
      <c r="BI204" s="320"/>
      <c r="BJ204" s="320"/>
      <c r="BK204" s="320"/>
    </row>
    <row r="205" spans="1:63">
      <c r="A205" s="167"/>
      <c r="B205" s="217" t="str">
        <f>Servicio_internaColumna_título_amortizaciones</f>
        <v>Amortizaciones</v>
      </c>
      <c r="C205" s="218"/>
      <c r="D205" s="219"/>
      <c r="E205" s="219"/>
      <c r="F205" s="219">
        <f>IF('Perfil - interna'!F205+'Perfil - externa'!F203=0,0,'Perfil - interna'!F205+'Perfil - externa'!F203)</f>
        <v>0</v>
      </c>
      <c r="G205" s="219">
        <f>IF('Perfil - interna'!G205+'Perfil - externa'!G203=0,0,'Perfil - interna'!G205+'Perfil - externa'!G203)</f>
        <v>0</v>
      </c>
      <c r="H205" s="219">
        <f>IF('Perfil - interna'!H205+'Perfil - externa'!H203=0,0,'Perfil - interna'!H205+'Perfil - externa'!H203)</f>
        <v>6536556.0033551622</v>
      </c>
      <c r="I205" s="219">
        <f>IF('Perfil - interna'!I205+'Perfil - externa'!I203=0,0,'Perfil - interna'!I205+'Perfil - externa'!I203)</f>
        <v>20451199.212851357</v>
      </c>
      <c r="J205" s="219">
        <f>IF('Perfil - interna'!J205+'Perfil - externa'!J203=0,0,'Perfil - interna'!J205+'Perfil - externa'!J203)</f>
        <v>18093678.352933794</v>
      </c>
      <c r="K205" s="219">
        <f>IF('Perfil - interna'!K205+'Perfil - externa'!K203=0,0,'Perfil - interna'!K205+'Perfil - externa'!K203)</f>
        <v>12919858.694958776</v>
      </c>
      <c r="L205" s="219">
        <f>IF('Perfil - interna'!L205+'Perfil - externa'!L203=0,0,'Perfil - interna'!L205+'Perfil - externa'!L203)</f>
        <v>16616077.282968875</v>
      </c>
      <c r="M205" s="219">
        <f>IF('Perfil - interna'!M205+'Perfil - externa'!M203=0,0,'Perfil - interna'!M205+'Perfil - externa'!M203)</f>
        <v>8247935.038436316</v>
      </c>
      <c r="N205" s="219">
        <f>IF('Perfil - interna'!N205+'Perfil - externa'!N203=0,0,'Perfil - interna'!N205+'Perfil - externa'!N203)</f>
        <v>14053261.536513686</v>
      </c>
      <c r="O205" s="219">
        <f>IF('Perfil - interna'!O205+'Perfil - externa'!O203=0,0,'Perfil - interna'!O205+'Perfil - externa'!O203)</f>
        <v>6452713.0562530849</v>
      </c>
      <c r="P205" s="219">
        <f>IF('Perfil - interna'!P205+'Perfil - externa'!P203=0,0,'Perfil - interna'!P205+'Perfil - externa'!P203)</f>
        <v>11683969.079237208</v>
      </c>
      <c r="Q205" s="219">
        <f>IF('Perfil - interna'!Q205+'Perfil - externa'!Q203=0,0,'Perfil - interna'!Q205+'Perfil - externa'!Q203)</f>
        <v>11189968.052067291</v>
      </c>
      <c r="R205" s="219">
        <f>IF('Perfil - interna'!R205+'Perfil - externa'!R203=0,0,'Perfil - interna'!R205+'Perfil - externa'!R203)</f>
        <v>2099196.2302552261</v>
      </c>
      <c r="S205" s="219">
        <f>IF('Perfil - interna'!S205+'Perfil - externa'!S203=0,0,'Perfil - interna'!S205+'Perfil - externa'!S203)</f>
        <v>3750101.9581033606</v>
      </c>
      <c r="T205" s="219">
        <f>IF('Perfil - interna'!T205+'Perfil - externa'!T203=0,0,'Perfil - interna'!T205+'Perfil - externa'!T203)</f>
        <v>969784.61846252007</v>
      </c>
      <c r="U205" s="219">
        <f>IF('Perfil - interna'!U205+'Perfil - externa'!U203=0,0,'Perfil - interna'!U205+'Perfil - externa'!U203)</f>
        <v>775429.00322259997</v>
      </c>
      <c r="V205" s="219">
        <f>IF('Perfil - interna'!V205+'Perfil - externa'!V203=0,0,'Perfil - interna'!V205+'Perfil - externa'!V203)</f>
        <v>6584974.9990323801</v>
      </c>
      <c r="W205" s="219">
        <f>IF('Perfil - interna'!W205+'Perfil - externa'!W203=0,0,'Perfil - interna'!W205+'Perfil - externa'!W203)</f>
        <v>535948.05933637999</v>
      </c>
      <c r="X205" s="219">
        <f>IF('Perfil - interna'!X205+'Perfil - externa'!X203=0,0,'Perfil - interna'!X205+'Perfil - externa'!X203)</f>
        <v>398706.91428224009</v>
      </c>
      <c r="Y205" s="219">
        <f>IF('Perfil - interna'!Y205+'Perfil - externa'!Y203=0,0,'Perfil - interna'!Y205+'Perfil - externa'!Y203)</f>
        <v>347298.61742044002</v>
      </c>
      <c r="Z205" s="219">
        <f>IF('Perfil - interna'!Z205+'Perfil - externa'!Z203=0,0,'Perfil - interna'!Z205+'Perfil - externa'!Z203)</f>
        <v>2699742.5583609999</v>
      </c>
      <c r="AA205" s="219">
        <f>IF('Perfil - interna'!AA205+'Perfil - externa'!AA203=0,0,'Perfil - interna'!AA205+'Perfil - externa'!AA203)</f>
        <v>157179.79817771999</v>
      </c>
      <c r="AB205" s="219">
        <f>IF('Perfil - interna'!AB205+'Perfil - externa'!AB203=0,0,'Perfil - interna'!AB205+'Perfil - externa'!AB203)</f>
        <v>107337.85898736</v>
      </c>
      <c r="AC205" s="219">
        <f>IF('Perfil - interna'!AC205+'Perfil - externa'!AC203=0,0,'Perfil - interna'!AC205+'Perfil - externa'!AC203)</f>
        <v>494196.22592645994</v>
      </c>
      <c r="AD205" s="219">
        <f>IF('Perfil - interna'!AD205+'Perfil - externa'!AD203=0,0,'Perfil - interna'!AD205+'Perfil - externa'!AD203)</f>
        <v>76326.974590520011</v>
      </c>
      <c r="AE205" s="219">
        <f>IF('Perfil - interna'!AE205+'Perfil - externa'!AE203=0,0,'Perfil - interna'!AE205+'Perfil - externa'!AE203)</f>
        <v>45107.904798920004</v>
      </c>
      <c r="AF205" s="219">
        <f>IF('Perfil - interna'!AF205+'Perfil - externa'!AF203=0,0,'Perfil - interna'!AF205+'Perfil - externa'!AF203)</f>
        <v>25739.710800999997</v>
      </c>
      <c r="AG205" s="219">
        <f>IF('Perfil - interna'!AG205+'Perfil - externa'!AG203=0,0,'Perfil - interna'!AG205+'Perfil - externa'!AG203)</f>
        <v>12264.5116321</v>
      </c>
      <c r="AH205" s="219">
        <f>IF('Perfil - interna'!AH205+'Perfil - externa'!AH203=0,0,'Perfil - interna'!AH205+'Perfil - externa'!AH203)</f>
        <v>5817.7983631999996</v>
      </c>
      <c r="AI205" s="219">
        <f>IF('Perfil - interna'!AI205+'Perfil - externa'!AI203=0,0,'Perfil - interna'!AI205+'Perfil - externa'!AI203)</f>
        <v>1228815.3443632</v>
      </c>
      <c r="AJ205" s="219">
        <f>IF('Perfil - interna'!AJ205+'Perfil - externa'!AJ203=0,0,'Perfil - interna'!AJ205+'Perfil - externa'!AJ203)</f>
        <v>5817.7983631999996</v>
      </c>
      <c r="AK205" s="219">
        <f>IF('Perfil - interna'!AK205+'Perfil - externa'!AK203=0,0,'Perfil - interna'!AK205+'Perfil - externa'!AK203)</f>
        <v>175.9378868</v>
      </c>
      <c r="AL205" s="219">
        <f>IF('Perfil - interna'!AL205+'Perfil - externa'!AL203=0,0,'Perfil - interna'!AL205+'Perfil - externa'!AL203)</f>
        <v>0</v>
      </c>
      <c r="AM205" s="219">
        <f>IF('Perfil - interna'!AM205+'Perfil - externa'!AM203=0,0,'Perfil - interna'!AM205+'Perfil - externa'!AM203)</f>
        <v>0</v>
      </c>
      <c r="AN205" s="219">
        <f>IF('Perfil - interna'!AN205+'Perfil - externa'!AN203=0,0,'Perfil - interna'!AN205+'Perfil - externa'!AN203)</f>
        <v>0</v>
      </c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</row>
    <row r="206" spans="1:63">
      <c r="A206" s="170">
        <v>38929</v>
      </c>
      <c r="B206" s="220" t="str">
        <f>Servicio_internaColumna_título_intereses</f>
        <v>Intereses</v>
      </c>
      <c r="C206" s="221"/>
      <c r="D206" s="222"/>
      <c r="E206" s="222"/>
      <c r="F206" s="222">
        <f>IF('Perfil - interna'!F206+'Perfil - externa'!F204=0,0,'Perfil - interna'!F206+'Perfil - externa'!F204)</f>
        <v>0</v>
      </c>
      <c r="G206" s="222">
        <f>IF('Perfil - interna'!G206+'Perfil - externa'!G204=0,0,'Perfil - interna'!G206+'Perfil - externa'!G204)</f>
        <v>0</v>
      </c>
      <c r="H206" s="222">
        <f>IF('Perfil - interna'!H206+'Perfil - externa'!H204=0,0,'Perfil - interna'!H206+'Perfil - externa'!H204)</f>
        <v>4793751.0167755224</v>
      </c>
      <c r="I206" s="222">
        <f>IF('Perfil - interna'!I206+'Perfil - externa'!I204=0,0,'Perfil - interna'!I206+'Perfil - externa'!I204)</f>
        <v>13183155.350749036</v>
      </c>
      <c r="J206" s="222">
        <f>IF('Perfil - interna'!J206+'Perfil - externa'!J204=0,0,'Perfil - interna'!J206+'Perfil - externa'!J204)</f>
        <v>10917996.723039053</v>
      </c>
      <c r="K206" s="222">
        <f>IF('Perfil - interna'!K206+'Perfil - externa'!K204=0,0,'Perfil - interna'!K206+'Perfil - externa'!K204)</f>
        <v>8972227.9251735099</v>
      </c>
      <c r="L206" s="222">
        <f>IF('Perfil - interna'!L206+'Perfil - externa'!L204=0,0,'Perfil - interna'!L206+'Perfil - externa'!L204)</f>
        <v>7758041.3087702012</v>
      </c>
      <c r="M206" s="222">
        <f>IF('Perfil - interna'!M206+'Perfil - externa'!M204=0,0,'Perfil - interna'!M206+'Perfil - externa'!M204)</f>
        <v>6277134.8352006972</v>
      </c>
      <c r="N206" s="222">
        <f>IF('Perfil - interna'!N206+'Perfil - externa'!N204=0,0,'Perfil - interna'!N206+'Perfil - externa'!N204)</f>
        <v>5494349.1383974385</v>
      </c>
      <c r="O206" s="222">
        <f>IF('Perfil - interna'!O206+'Perfil - externa'!O204=0,0,'Perfil - interna'!O206+'Perfil - externa'!O204)</f>
        <v>4139330.3103047451</v>
      </c>
      <c r="P206" s="222">
        <f>IF('Perfil - interna'!P206+'Perfil - externa'!P204=0,0,'Perfil - interna'!P206+'Perfil - externa'!P204)</f>
        <v>3680018.7927410258</v>
      </c>
      <c r="Q206" s="222">
        <f>IF('Perfil - interna'!Q206+'Perfil - externa'!Q204=0,0,'Perfil - interna'!Q206+'Perfil - externa'!Q204)</f>
        <v>2519795.1799924886</v>
      </c>
      <c r="R206" s="222">
        <f>IF('Perfil - interna'!R206+'Perfil - externa'!R204=0,0,'Perfil - interna'!R206+'Perfil - externa'!R204)</f>
        <v>1586659.1843233798</v>
      </c>
      <c r="S206" s="222">
        <f>IF('Perfil - interna'!S206+'Perfil - externa'!S204=0,0,'Perfil - interna'!S206+'Perfil - externa'!S204)</f>
        <v>1395757.4804702199</v>
      </c>
      <c r="T206" s="222">
        <f>IF('Perfil - interna'!T206+'Perfil - externa'!T204=0,0,'Perfil - interna'!T206+'Perfil - externa'!T204)</f>
        <v>1241612.82546802</v>
      </c>
      <c r="U206" s="222">
        <f>IF('Perfil - interna'!U206+'Perfil - externa'!U204=0,0,'Perfil - interna'!U206+'Perfil - externa'!U204)</f>
        <v>1196563.0852321</v>
      </c>
      <c r="V206" s="222">
        <f>IF('Perfil - interna'!V206+'Perfil - externa'!V204=0,0,'Perfil - interna'!V206+'Perfil - externa'!V204)</f>
        <v>1007464.0024354199</v>
      </c>
      <c r="W206" s="222">
        <f>IF('Perfil - interna'!W206+'Perfil - externa'!W204=0,0,'Perfil - interna'!W206+'Perfil - externa'!W204)</f>
        <v>452277.25620626006</v>
      </c>
      <c r="X206" s="222">
        <f>IF('Perfil - interna'!X206+'Perfil - externa'!X204=0,0,'Perfil - interna'!X206+'Perfil - externa'!X204)</f>
        <v>427613.32871038001</v>
      </c>
      <c r="Y206" s="222">
        <f>IF('Perfil - interna'!Y206+'Perfil - externa'!Y204=0,0,'Perfil - interna'!Y206+'Perfil - externa'!Y204)</f>
        <v>409231.08694936003</v>
      </c>
      <c r="Z206" s="222">
        <f>IF('Perfil - interna'!Z206+'Perfil - externa'!Z204=0,0,'Perfil - interna'!Z206+'Perfil - externa'!Z204)</f>
        <v>295118.86328155996</v>
      </c>
      <c r="AA206" s="222">
        <f>IF('Perfil - interna'!AA206+'Perfil - externa'!AA204=0,0,'Perfil - interna'!AA206+'Perfil - externa'!AA204)</f>
        <v>184905.86702679997</v>
      </c>
      <c r="AB206" s="222">
        <f>IF('Perfil - interna'!AB206+'Perfil - externa'!AB204=0,0,'Perfil - interna'!AB206+'Perfil - externa'!AB204)</f>
        <v>177651.25771822</v>
      </c>
      <c r="AC206" s="222">
        <f>IF('Perfil - interna'!AC206+'Perfil - externa'!AC204=0,0,'Perfil - interna'!AC206+'Perfil - externa'!AC204)</f>
        <v>155155.18230371998</v>
      </c>
      <c r="AD206" s="222">
        <f>IF('Perfil - interna'!AD206+'Perfil - externa'!AD204=0,0,'Perfil - interna'!AD206+'Perfil - externa'!AD204)</f>
        <v>133125.04595334001</v>
      </c>
      <c r="AE206" s="222">
        <f>IF('Perfil - interna'!AE206+'Perfil - externa'!AE204=0,0,'Perfil - interna'!AE206+'Perfil - externa'!AE204)</f>
        <v>129466.69770571998</v>
      </c>
      <c r="AF206" s="222">
        <f>IF('Perfil - interna'!AF206+'Perfil - externa'!AF204=0,0,'Perfil - interna'!AF206+'Perfil - externa'!AF204)</f>
        <v>127775.99601077999</v>
      </c>
      <c r="AG206" s="222">
        <f>IF('Perfil - interna'!AG206+'Perfil - externa'!AG204=0,0,'Perfil - interna'!AG206+'Perfil - externa'!AG204)</f>
        <v>127113.07554769998</v>
      </c>
      <c r="AH206" s="222">
        <f>IF('Perfil - interna'!AH206+'Perfil - externa'!AH204=0,0,'Perfil - interna'!AH206+'Perfil - externa'!AH204)</f>
        <v>126895.24243613999</v>
      </c>
      <c r="AI206" s="222">
        <f>IF('Perfil - interna'!AI206+'Perfil - externa'!AI204=0,0,'Perfil - interna'!AI206+'Perfil - externa'!AI204)</f>
        <v>63450.925199599995</v>
      </c>
      <c r="AJ206" s="222">
        <f>IF('Perfil - interna'!AJ206+'Perfil - externa'!AJ204=0,0,'Perfil - interna'!AJ206+'Perfil - externa'!AJ204)</f>
        <v>2.9689630599999997</v>
      </c>
      <c r="AK206" s="222">
        <f>IF('Perfil - interna'!AK206+'Perfil - externa'!AK204=0,0,'Perfil - interna'!AK206+'Perfil - externa'!AK204)</f>
        <v>1.6493888800000001</v>
      </c>
      <c r="AL206" s="222">
        <f>IF('Perfil - interna'!AL206+'Perfil - externa'!AL204=0,0,'Perfil - interna'!AL206+'Perfil - externa'!AL204)</f>
        <v>0</v>
      </c>
      <c r="AM206" s="222">
        <f>IF('Perfil - interna'!AM206+'Perfil - externa'!AM204=0,0,'Perfil - interna'!AM206+'Perfil - externa'!AM204)</f>
        <v>0</v>
      </c>
      <c r="AN206" s="222">
        <f>IF('Perfil - interna'!AN206+'Perfil - externa'!AN204=0,0,'Perfil - interna'!AN206+'Perfil - externa'!AN204)</f>
        <v>0</v>
      </c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2"/>
      <c r="BC206" s="222"/>
      <c r="BD206" s="222"/>
      <c r="BE206" s="222"/>
      <c r="BF206" s="222"/>
      <c r="BG206" s="222"/>
      <c r="BH206" s="222"/>
      <c r="BI206" s="222"/>
      <c r="BJ206" s="222"/>
      <c r="BK206" s="222"/>
    </row>
    <row r="207" spans="1:63">
      <c r="A207" s="171"/>
      <c r="B207" s="318" t="str">
        <f>Servicio_internaColumna_título_total</f>
        <v>Total</v>
      </c>
      <c r="C207" s="319"/>
      <c r="D207" s="320"/>
      <c r="E207" s="320"/>
      <c r="F207" s="320">
        <f>IF('Perfil - interna'!F207+'Perfil - externa'!F205=0,0,'Perfil - interna'!F207+'Perfil - externa'!F205)</f>
        <v>0</v>
      </c>
      <c r="G207" s="320">
        <f>IF('Perfil - interna'!G207+'Perfil - externa'!G205=0,0,'Perfil - interna'!G207+'Perfil - externa'!G205)</f>
        <v>0</v>
      </c>
      <c r="H207" s="320">
        <f>IF('Perfil - interna'!H207+'Perfil - externa'!H205=0,0,'Perfil - interna'!H207+'Perfil - externa'!H205)</f>
        <v>11330307.020130685</v>
      </c>
      <c r="I207" s="320">
        <f>IF('Perfil - interna'!I207+'Perfil - externa'!I205=0,0,'Perfil - interna'!I207+'Perfil - externa'!I205)</f>
        <v>33634354.563600391</v>
      </c>
      <c r="J207" s="320">
        <f>IF('Perfil - interna'!J207+'Perfil - externa'!J205=0,0,'Perfil - interna'!J207+'Perfil - externa'!J205)</f>
        <v>29011675.075972848</v>
      </c>
      <c r="K207" s="320">
        <f>IF('Perfil - interna'!K207+'Perfil - externa'!K205=0,0,'Perfil - interna'!K207+'Perfil - externa'!K205)</f>
        <v>21892086.620132286</v>
      </c>
      <c r="L207" s="320">
        <f>IF('Perfil - interna'!L207+'Perfil - externa'!L205=0,0,'Perfil - interna'!L207+'Perfil - externa'!L205)</f>
        <v>24374118.591739073</v>
      </c>
      <c r="M207" s="320">
        <f>IF('Perfil - interna'!M207+'Perfil - externa'!M205=0,0,'Perfil - interna'!M207+'Perfil - externa'!M205)</f>
        <v>14525069.873637013</v>
      </c>
      <c r="N207" s="320">
        <f>IF('Perfil - interna'!N207+'Perfil - externa'!N205=0,0,'Perfil - interna'!N207+'Perfil - externa'!N205)</f>
        <v>19547610.674911126</v>
      </c>
      <c r="O207" s="320">
        <f>IF('Perfil - interna'!O207+'Perfil - externa'!O205=0,0,'Perfil - interna'!O207+'Perfil - externa'!O205)</f>
        <v>10592043.366557829</v>
      </c>
      <c r="P207" s="320">
        <f>IF('Perfil - interna'!P207+'Perfil - externa'!P205=0,0,'Perfil - interna'!P207+'Perfil - externa'!P205)</f>
        <v>15363987.871978233</v>
      </c>
      <c r="Q207" s="320">
        <f>IF('Perfil - interna'!Q207+'Perfil - externa'!Q205=0,0,'Perfil - interna'!Q207+'Perfil - externa'!Q205)</f>
        <v>13709763.232059781</v>
      </c>
      <c r="R207" s="320">
        <f>IF('Perfil - interna'!R207+'Perfil - externa'!R205=0,0,'Perfil - interna'!R207+'Perfil - externa'!R205)</f>
        <v>3685855.4145786054</v>
      </c>
      <c r="S207" s="320">
        <f>IF('Perfil - interna'!S207+'Perfil - externa'!S205=0,0,'Perfil - interna'!S207+'Perfil - externa'!S205)</f>
        <v>5145859.4385735802</v>
      </c>
      <c r="T207" s="320">
        <f>IF('Perfil - interna'!T207+'Perfil - externa'!T205=0,0,'Perfil - interna'!T207+'Perfil - externa'!T205)</f>
        <v>2211397.4439305402</v>
      </c>
      <c r="U207" s="320">
        <f>IF('Perfil - interna'!U207+'Perfil - externa'!U205=0,0,'Perfil - interna'!U207+'Perfil - externa'!U205)</f>
        <v>1971992.0884547001</v>
      </c>
      <c r="V207" s="320">
        <f>IF('Perfil - interna'!V207+'Perfil - externa'!V205=0,0,'Perfil - interna'!V207+'Perfil - externa'!V205)</f>
        <v>7592439.0014677998</v>
      </c>
      <c r="W207" s="320">
        <f>IF('Perfil - interna'!W207+'Perfil - externa'!W205=0,0,'Perfil - interna'!W207+'Perfil - externa'!W205)</f>
        <v>988225.31554264005</v>
      </c>
      <c r="X207" s="320">
        <f>IF('Perfil - interna'!X207+'Perfil - externa'!X205=0,0,'Perfil - interna'!X207+'Perfil - externa'!X205)</f>
        <v>826320.2429926201</v>
      </c>
      <c r="Y207" s="320">
        <f>IF('Perfil - interna'!Y207+'Perfil - externa'!Y205=0,0,'Perfil - interna'!Y207+'Perfil - externa'!Y205)</f>
        <v>756529.70436980005</v>
      </c>
      <c r="Z207" s="320">
        <f>IF('Perfil - interna'!Z207+'Perfil - externa'!Z205=0,0,'Perfil - interna'!Z207+'Perfil - externa'!Z205)</f>
        <v>2994861.42164256</v>
      </c>
      <c r="AA207" s="320">
        <f>IF('Perfil - interna'!AA207+'Perfil - externa'!AA205=0,0,'Perfil - interna'!AA207+'Perfil - externa'!AA205)</f>
        <v>342085.66520451999</v>
      </c>
      <c r="AB207" s="320">
        <f>IF('Perfil - interna'!AB207+'Perfil - externa'!AB205=0,0,'Perfil - interna'!AB207+'Perfil - externa'!AB205)</f>
        <v>284989.11670558003</v>
      </c>
      <c r="AC207" s="320">
        <f>IF('Perfil - interna'!AC207+'Perfil - externa'!AC205=0,0,'Perfil - interna'!AC207+'Perfil - externa'!AC205)</f>
        <v>649351.40823017992</v>
      </c>
      <c r="AD207" s="320">
        <f>IF('Perfil - interna'!AD207+'Perfil - externa'!AD205=0,0,'Perfil - interna'!AD207+'Perfil - externa'!AD205)</f>
        <v>209452.02054386004</v>
      </c>
      <c r="AE207" s="320">
        <f>IF('Perfil - interna'!AE207+'Perfil - externa'!AE205=0,0,'Perfil - interna'!AE207+'Perfil - externa'!AE205)</f>
        <v>174574.60250464</v>
      </c>
      <c r="AF207" s="320">
        <f>IF('Perfil - interna'!AF207+'Perfil - externa'!AF205=0,0,'Perfil - interna'!AF207+'Perfil - externa'!AF205)</f>
        <v>153515.70681177999</v>
      </c>
      <c r="AG207" s="320">
        <f>IF('Perfil - interna'!AG207+'Perfil - externa'!AG205=0,0,'Perfil - interna'!AG207+'Perfil - externa'!AG205)</f>
        <v>139377.58717979997</v>
      </c>
      <c r="AH207" s="320">
        <f>IF('Perfil - interna'!AH207+'Perfil - externa'!AH205=0,0,'Perfil - interna'!AH207+'Perfil - externa'!AH205)</f>
        <v>132713.04079934</v>
      </c>
      <c r="AI207" s="320">
        <f>IF('Perfil - interna'!AI207+'Perfil - externa'!AI205=0,0,'Perfil - interna'!AI207+'Perfil - externa'!AI205)</f>
        <v>1292266.2695627999</v>
      </c>
      <c r="AJ207" s="320">
        <f>IF('Perfil - interna'!AJ207+'Perfil - externa'!AJ205=0,0,'Perfil - interna'!AJ207+'Perfil - externa'!AJ205)</f>
        <v>5820.7673262599992</v>
      </c>
      <c r="AK207" s="320">
        <f>IF('Perfil - interna'!AK207+'Perfil - externa'!AK205=0,0,'Perfil - interna'!AK207+'Perfil - externa'!AK205)</f>
        <v>177.58727568</v>
      </c>
      <c r="AL207" s="320">
        <f>IF('Perfil - interna'!AL207+'Perfil - externa'!AL205=0,0,'Perfil - interna'!AL207+'Perfil - externa'!AL205)</f>
        <v>0</v>
      </c>
      <c r="AM207" s="320">
        <f>IF('Perfil - interna'!AM207+'Perfil - externa'!AM205=0,0,'Perfil - interna'!AM207+'Perfil - externa'!AM205)</f>
        <v>0</v>
      </c>
      <c r="AN207" s="320">
        <f>IF('Perfil - interna'!AN207+'Perfil - externa'!AN205=0,0,'Perfil - interna'!AN207+'Perfil - externa'!AN205)</f>
        <v>0</v>
      </c>
      <c r="AO207" s="320"/>
      <c r="AP207" s="320"/>
      <c r="AQ207" s="320"/>
      <c r="AR207" s="320"/>
      <c r="AS207" s="320"/>
      <c r="AT207" s="320"/>
      <c r="AU207" s="320"/>
      <c r="AV207" s="320"/>
      <c r="AW207" s="320"/>
      <c r="AX207" s="320"/>
      <c r="AY207" s="320"/>
      <c r="AZ207" s="320"/>
      <c r="BA207" s="320"/>
      <c r="BB207" s="320"/>
      <c r="BC207" s="320"/>
      <c r="BD207" s="320"/>
      <c r="BE207" s="320"/>
      <c r="BF207" s="320"/>
      <c r="BG207" s="320"/>
      <c r="BH207" s="320"/>
      <c r="BI207" s="320"/>
      <c r="BJ207" s="320"/>
      <c r="BK207" s="320"/>
    </row>
    <row r="208" spans="1:63">
      <c r="A208" s="167"/>
      <c r="B208" s="217" t="str">
        <f>Servicio_internaColumna_título_amortizaciones</f>
        <v>Amortizaciones</v>
      </c>
      <c r="C208" s="218"/>
      <c r="D208" s="219"/>
      <c r="E208" s="219"/>
      <c r="F208" s="219">
        <f>IF('Perfil - interna'!F208+'Perfil - externa'!F206=0,0,'Perfil - interna'!F208+'Perfil - externa'!F206)</f>
        <v>0</v>
      </c>
      <c r="G208" s="219">
        <f>IF('Perfil - interna'!G208+'Perfil - externa'!G206=0,0,'Perfil - interna'!G208+'Perfil - externa'!G206)</f>
        <v>0</v>
      </c>
      <c r="H208" s="219">
        <f>IF('Perfil - interna'!H208+'Perfil - externa'!H206=0,0,'Perfil - interna'!H208+'Perfil - externa'!H206)</f>
        <v>6430161.8444538768</v>
      </c>
      <c r="I208" s="219">
        <f>IF('Perfil - interna'!I208+'Perfil - externa'!I206=0,0,'Perfil - interna'!I208+'Perfil - externa'!I206)</f>
        <v>21417694.800515942</v>
      </c>
      <c r="J208" s="219">
        <f>IF('Perfil - interna'!J208+'Perfil - externa'!J206=0,0,'Perfil - interna'!J208+'Perfil - externa'!J206)</f>
        <v>18474160.267508835</v>
      </c>
      <c r="K208" s="219">
        <f>IF('Perfil - interna'!K208+'Perfil - externa'!K206=0,0,'Perfil - interna'!K208+'Perfil - externa'!K206)</f>
        <v>12868590.087687796</v>
      </c>
      <c r="L208" s="219">
        <f>IF('Perfil - interna'!L208+'Perfil - externa'!L206=0,0,'Perfil - interna'!L208+'Perfil - externa'!L206)</f>
        <v>16908637.93614345</v>
      </c>
      <c r="M208" s="219">
        <f>IF('Perfil - interna'!M208+'Perfil - externa'!M206=0,0,'Perfil - interna'!M208+'Perfil - externa'!M206)</f>
        <v>8231805.3746485636</v>
      </c>
      <c r="N208" s="219">
        <f>IF('Perfil - interna'!N208+'Perfil - externa'!N206=0,0,'Perfil - interna'!N208+'Perfil - externa'!N206)</f>
        <v>14037814.627870053</v>
      </c>
      <c r="O208" s="219">
        <f>IF('Perfil - interna'!O208+'Perfil - externa'!O206=0,0,'Perfil - interna'!O208+'Perfil - externa'!O206)</f>
        <v>6430274.683702793</v>
      </c>
      <c r="P208" s="219">
        <f>IF('Perfil - interna'!P208+'Perfil - externa'!P206=0,0,'Perfil - interna'!P208+'Perfil - externa'!P206)</f>
        <v>11650142.932623424</v>
      </c>
      <c r="Q208" s="219">
        <f>IF('Perfil - interna'!Q208+'Perfil - externa'!Q206=0,0,'Perfil - interna'!Q208+'Perfil - externa'!Q206)</f>
        <v>11960552.476508919</v>
      </c>
      <c r="R208" s="219">
        <f>IF('Perfil - interna'!R208+'Perfil - externa'!R206=0,0,'Perfil - interna'!R208+'Perfil - externa'!R206)</f>
        <v>2242585.9058833667</v>
      </c>
      <c r="S208" s="219">
        <f>IF('Perfil - interna'!S208+'Perfil - externa'!S206=0,0,'Perfil - interna'!S208+'Perfil - externa'!S206)</f>
        <v>3872461.3174137366</v>
      </c>
      <c r="T208" s="219">
        <f>IF('Perfil - interna'!T208+'Perfil - externa'!T206=0,0,'Perfil - interna'!T208+'Perfil - externa'!T206)</f>
        <v>1125642.3924859529</v>
      </c>
      <c r="U208" s="219">
        <f>IF('Perfil - interna'!U208+'Perfil - externa'!U206=0,0,'Perfil - interna'!U208+'Perfil - externa'!U206)</f>
        <v>873889.49924601219</v>
      </c>
      <c r="V208" s="219">
        <f>IF('Perfil - interna'!V208+'Perfil - externa'!V206=0,0,'Perfil - interna'!V208+'Perfil - externa'!V206)</f>
        <v>6746002.0094127171</v>
      </c>
      <c r="W208" s="219">
        <f>IF('Perfil - interna'!W208+'Perfil - externa'!W206=0,0,'Perfil - interna'!W208+'Perfil - externa'!W206)</f>
        <v>577392.13404013682</v>
      </c>
      <c r="X208" s="219">
        <f>IF('Perfil - interna'!X208+'Perfil - externa'!X206=0,0,'Perfil - interna'!X208+'Perfil - externa'!X206)</f>
        <v>441812.61914748553</v>
      </c>
      <c r="Y208" s="219">
        <f>IF('Perfil - interna'!Y208+'Perfil - externa'!Y206=0,0,'Perfil - interna'!Y208+'Perfil - externa'!Y206)</f>
        <v>414992.99953353225</v>
      </c>
      <c r="Z208" s="219">
        <f>IF('Perfil - interna'!Z208+'Perfil - externa'!Z206=0,0,'Perfil - interna'!Z208+'Perfil - externa'!Z206)</f>
        <v>2738957.4357150551</v>
      </c>
      <c r="AA208" s="219">
        <f>IF('Perfil - interna'!AA208+'Perfil - externa'!AA206=0,0,'Perfil - interna'!AA208+'Perfil - externa'!AA206)</f>
        <v>156076.00923307863</v>
      </c>
      <c r="AB208" s="219">
        <f>IF('Perfil - interna'!AB208+'Perfil - externa'!AB206=0,0,'Perfil - interna'!AB208+'Perfil - externa'!AB206)</f>
        <v>106038.38952385681</v>
      </c>
      <c r="AC208" s="219">
        <f>IF('Perfil - interna'!AC208+'Perfil - externa'!AC206=0,0,'Perfil - interna'!AC208+'Perfil - externa'!AC206)</f>
        <v>488213.31448562728</v>
      </c>
      <c r="AD208" s="219">
        <f>IF('Perfil - interna'!AD208+'Perfil - externa'!AD206=0,0,'Perfil - interna'!AD208+'Perfil - externa'!AD206)</f>
        <v>75402.933682142611</v>
      </c>
      <c r="AE208" s="219">
        <f>IF('Perfil - interna'!AE208+'Perfil - externa'!AE206=0,0,'Perfil - interna'!AE208+'Perfil - externa'!AE206)</f>
        <v>44561.812810484604</v>
      </c>
      <c r="AF208" s="219">
        <f>IF('Perfil - interna'!AF208+'Perfil - externa'!AF206=0,0,'Perfil - interna'!AF208+'Perfil - externa'!AF206)</f>
        <v>25428.096907254996</v>
      </c>
      <c r="AG208" s="219">
        <f>IF('Perfil - interna'!AG208+'Perfil - externa'!AG206=0,0,'Perfil - interna'!AG208+'Perfil - externa'!AG206)</f>
        <v>12116.0331874855</v>
      </c>
      <c r="AH208" s="219">
        <f>IF('Perfil - interna'!AH208+'Perfil - externa'!AH206=0,0,'Perfil - interna'!AH208+'Perfil - externa'!AH206)</f>
        <v>5747.3660722160002</v>
      </c>
      <c r="AI208" s="219">
        <f>IF('Perfil - interna'!AI208+'Perfil - externa'!AI206=0,0,'Perfil - interna'!AI208+'Perfil - externa'!AI206)</f>
        <v>1213938.8783022161</v>
      </c>
      <c r="AJ208" s="219">
        <f>IF('Perfil - interna'!AJ208+'Perfil - externa'!AJ206=0,0,'Perfil - interna'!AJ208+'Perfil - externa'!AJ206)</f>
        <v>5747.3660722160002</v>
      </c>
      <c r="AK208" s="219">
        <f>IF('Perfil - interna'!AK208+'Perfil - externa'!AK206=0,0,'Perfil - interna'!AK208+'Perfil - externa'!AK206)</f>
        <v>173.807921534</v>
      </c>
      <c r="AL208" s="219">
        <f>IF('Perfil - interna'!AL208+'Perfil - externa'!AL206=0,0,'Perfil - interna'!AL208+'Perfil - externa'!AL206)</f>
        <v>0</v>
      </c>
      <c r="AM208" s="219">
        <f>IF('Perfil - interna'!AM208+'Perfil - externa'!AM206=0,0,'Perfil - interna'!AM208+'Perfil - externa'!AM206)</f>
        <v>0</v>
      </c>
      <c r="AN208" s="219">
        <f>IF('Perfil - interna'!AN208+'Perfil - externa'!AN206=0,0,'Perfil - interna'!AN208+'Perfil - externa'!AN206)</f>
        <v>0</v>
      </c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</row>
    <row r="209" spans="1:63">
      <c r="A209" s="170">
        <v>38960</v>
      </c>
      <c r="B209" s="220" t="str">
        <f>Servicio_internaColumna_título_intereses</f>
        <v>Intereses</v>
      </c>
      <c r="C209" s="221"/>
      <c r="D209" s="222"/>
      <c r="E209" s="222"/>
      <c r="F209" s="222">
        <f>IF('Perfil - interna'!F209+'Perfil - externa'!F207=0,0,'Perfil - interna'!F209+'Perfil - externa'!F207)</f>
        <v>0</v>
      </c>
      <c r="G209" s="222">
        <f>IF('Perfil - interna'!G209+'Perfil - externa'!G207=0,0,'Perfil - interna'!G209+'Perfil - externa'!G207)</f>
        <v>0</v>
      </c>
      <c r="H209" s="222">
        <f>IF('Perfil - interna'!H209+'Perfil - externa'!H207=0,0,'Perfil - interna'!H209+'Perfil - externa'!H207)</f>
        <v>3912943.8374845684</v>
      </c>
      <c r="I209" s="222">
        <f>IF('Perfil - interna'!I209+'Perfil - externa'!I207=0,0,'Perfil - interna'!I209+'Perfil - externa'!I207)</f>
        <v>12818724.120418075</v>
      </c>
      <c r="J209" s="222">
        <f>IF('Perfil - interna'!J209+'Perfil - externa'!J207=0,0,'Perfil - interna'!J209+'Perfil - externa'!J207)</f>
        <v>10457520.718606841</v>
      </c>
      <c r="K209" s="222">
        <f>IF('Perfil - interna'!K209+'Perfil - externa'!K207=0,0,'Perfil - interna'!K209+'Perfil - externa'!K207)</f>
        <v>9132821.6055345926</v>
      </c>
      <c r="L209" s="222">
        <f>IF('Perfil - interna'!L209+'Perfil - externa'!L207=0,0,'Perfil - interna'!L209+'Perfil - externa'!L207)</f>
        <v>7924722.0675346069</v>
      </c>
      <c r="M209" s="222">
        <f>IF('Perfil - interna'!M209+'Perfil - externa'!M207=0,0,'Perfil - interna'!M209+'Perfil - externa'!M207)</f>
        <v>6418348.0943202265</v>
      </c>
      <c r="N209" s="222">
        <f>IF('Perfil - interna'!N209+'Perfil - externa'!N207=0,0,'Perfil - interna'!N209+'Perfil - externa'!N207)</f>
        <v>5635915.0653067715</v>
      </c>
      <c r="O209" s="222">
        <f>IF('Perfil - interna'!O209+'Perfil - externa'!O207=0,0,'Perfil - interna'!O209+'Perfil - externa'!O207)</f>
        <v>4282022.9633515896</v>
      </c>
      <c r="P209" s="222">
        <f>IF('Perfil - interna'!P209+'Perfil - externa'!P207=0,0,'Perfil - interna'!P209+'Perfil - externa'!P207)</f>
        <v>3823813.4166752375</v>
      </c>
      <c r="Q209" s="222">
        <f>IF('Perfil - interna'!Q209+'Perfil - externa'!Q207=0,0,'Perfil - interna'!Q209+'Perfil - externa'!Q207)</f>
        <v>2666278.5851854822</v>
      </c>
      <c r="R209" s="222">
        <f>IF('Perfil - interna'!R209+'Perfil - externa'!R207=0,0,'Perfil - interna'!R209+'Perfil - externa'!R207)</f>
        <v>1645868.812989586</v>
      </c>
      <c r="S209" s="222">
        <f>IF('Perfil - interna'!S209+'Perfil - externa'!S207=0,0,'Perfil - interna'!S209+'Perfil - externa'!S207)</f>
        <v>1445954.9955893205</v>
      </c>
      <c r="T209" s="222">
        <f>IF('Perfil - interna'!T209+'Perfil - externa'!T207=0,0,'Perfil - interna'!T209+'Perfil - externa'!T207)</f>
        <v>1283361.0486405026</v>
      </c>
      <c r="U209" s="222">
        <f>IF('Perfil - interna'!U209+'Perfil - externa'!U207=0,0,'Perfil - interna'!U209+'Perfil - externa'!U207)</f>
        <v>1227484.2135241916</v>
      </c>
      <c r="V209" s="222">
        <f>IF('Perfil - interna'!V209+'Perfil - externa'!V207=0,0,'Perfil - interna'!V209+'Perfil - externa'!V207)</f>
        <v>1035152.0402223781</v>
      </c>
      <c r="W209" s="222">
        <f>IF('Perfil - interna'!W209+'Perfil - externa'!W207=0,0,'Perfil - interna'!W209+'Perfil - externa'!W207)</f>
        <v>461842.99013912206</v>
      </c>
      <c r="X209" s="222">
        <f>IF('Perfil - interna'!X209+'Perfil - externa'!X207=0,0,'Perfil - interna'!X209+'Perfil - externa'!X207)</f>
        <v>434316.59973663907</v>
      </c>
      <c r="Y209" s="222">
        <f>IF('Perfil - interna'!Y209+'Perfil - externa'!Y207=0,0,'Perfil - interna'!Y209+'Perfil - externa'!Y207)</f>
        <v>412295.56663286081</v>
      </c>
      <c r="Z209" s="222">
        <f>IF('Perfil - interna'!Z209+'Perfil - externa'!Z207=0,0,'Perfil - interna'!Z209+'Perfil - externa'!Z207)</f>
        <v>294969.85519651551</v>
      </c>
      <c r="AA209" s="222">
        <f>IF('Perfil - interna'!AA209+'Perfil - externa'!AA207=0,0,'Perfil - interna'!AA209+'Perfil - externa'!AA207)</f>
        <v>182693.21371926696</v>
      </c>
      <c r="AB209" s="222">
        <f>IF('Perfil - interna'!AB209+'Perfil - externa'!AB207=0,0,'Perfil - interna'!AB209+'Perfil - externa'!AB207)</f>
        <v>175500.54978780611</v>
      </c>
      <c r="AC209" s="222">
        <f>IF('Perfil - interna'!AC209+'Perfil - externa'!AC207=0,0,'Perfil - interna'!AC209+'Perfil - externa'!AC207)</f>
        <v>153276.81968860858</v>
      </c>
      <c r="AD209" s="222">
        <f>IF('Perfil - interna'!AD209+'Perfil - externa'!AD207=0,0,'Perfil - interna'!AD209+'Perfil - externa'!AD207)</f>
        <v>131513.38783312173</v>
      </c>
      <c r="AE209" s="222">
        <f>IF('Perfil - interna'!AE209+'Perfil - externa'!AE207=0,0,'Perfil - interna'!AE209+'Perfil - externa'!AE207)</f>
        <v>127899.32882211859</v>
      </c>
      <c r="AF209" s="222">
        <f>IF('Perfil - interna'!AF209+'Perfil - externa'!AF207=0,0,'Perfil - interna'!AF209+'Perfil - externa'!AF207)</f>
        <v>126229.09535008889</v>
      </c>
      <c r="AG209" s="222">
        <f>IF('Perfil - interna'!AG209+'Perfil - externa'!AG207=0,0,'Perfil - interna'!AG209+'Perfil - externa'!AG207)</f>
        <v>125574.20043276349</v>
      </c>
      <c r="AH209" s="222">
        <f>IF('Perfil - interna'!AH209+'Perfil - externa'!AH207=0,0,'Perfil - interna'!AH209+'Perfil - externa'!AH207)</f>
        <v>125359.00448463569</v>
      </c>
      <c r="AI209" s="222">
        <f>IF('Perfil - interna'!AI209+'Perfil - externa'!AI207=0,0,'Perfil - interna'!AI209+'Perfil - externa'!AI207)</f>
        <v>62682.766224697996</v>
      </c>
      <c r="AJ209" s="222">
        <f>IF('Perfil - interna'!AJ209+'Perfil - externa'!AJ207=0,0,'Perfil - interna'!AJ209+'Perfil - externa'!AJ207)</f>
        <v>2.9330197602999997</v>
      </c>
      <c r="AK209" s="222">
        <f>IF('Perfil - interna'!AK209+'Perfil - externa'!AK207=0,0,'Perfil - interna'!AK209+'Perfil - externa'!AK207)</f>
        <v>1.6294208044</v>
      </c>
      <c r="AL209" s="222">
        <f>IF('Perfil - interna'!AL209+'Perfil - externa'!AL207=0,0,'Perfil - interna'!AL209+'Perfil - externa'!AL207)</f>
        <v>0</v>
      </c>
      <c r="AM209" s="222">
        <f>IF('Perfil - interna'!AM209+'Perfil - externa'!AM207=0,0,'Perfil - interna'!AM209+'Perfil - externa'!AM207)</f>
        <v>0</v>
      </c>
      <c r="AN209" s="222">
        <f>IF('Perfil - interna'!AN209+'Perfil - externa'!AN207=0,0,'Perfil - interna'!AN209+'Perfil - externa'!AN207)</f>
        <v>0</v>
      </c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  <c r="BJ209" s="222"/>
      <c r="BK209" s="222"/>
    </row>
    <row r="210" spans="1:63">
      <c r="A210" s="171"/>
      <c r="B210" s="318" t="str">
        <f>Servicio_internaColumna_título_total</f>
        <v>Total</v>
      </c>
      <c r="C210" s="319"/>
      <c r="D210" s="320"/>
      <c r="E210" s="320"/>
      <c r="F210" s="320">
        <f>IF('Perfil - interna'!F210+'Perfil - externa'!F208=0,0,'Perfil - interna'!F210+'Perfil - externa'!F208)</f>
        <v>0</v>
      </c>
      <c r="G210" s="320">
        <f>IF('Perfil - interna'!G210+'Perfil - externa'!G208=0,0,'Perfil - interna'!G210+'Perfil - externa'!G208)</f>
        <v>0</v>
      </c>
      <c r="H210" s="320">
        <f>IF('Perfil - interna'!H210+'Perfil - externa'!H208=0,0,'Perfil - interna'!H210+'Perfil - externa'!H208)</f>
        <v>10343105.681938445</v>
      </c>
      <c r="I210" s="320">
        <f>IF('Perfil - interna'!I210+'Perfil - externa'!I208=0,0,'Perfil - interna'!I210+'Perfil - externa'!I208)</f>
        <v>34236418.920934021</v>
      </c>
      <c r="J210" s="320">
        <f>IF('Perfil - interna'!J210+'Perfil - externa'!J208=0,0,'Perfil - interna'!J210+'Perfil - externa'!J208)</f>
        <v>28931680.986115672</v>
      </c>
      <c r="K210" s="320">
        <f>IF('Perfil - interna'!K210+'Perfil - externa'!K208=0,0,'Perfil - interna'!K210+'Perfil - externa'!K208)</f>
        <v>22001411.693222389</v>
      </c>
      <c r="L210" s="320">
        <f>IF('Perfil - interna'!L210+'Perfil - externa'!L208=0,0,'Perfil - interna'!L210+'Perfil - externa'!L208)</f>
        <v>24833360.003678057</v>
      </c>
      <c r="M210" s="320">
        <f>IF('Perfil - interna'!M210+'Perfil - externa'!M208=0,0,'Perfil - interna'!M210+'Perfil - externa'!M208)</f>
        <v>14650153.46896879</v>
      </c>
      <c r="N210" s="320">
        <f>IF('Perfil - interna'!N210+'Perfil - externa'!N208=0,0,'Perfil - interna'!N210+'Perfil - externa'!N208)</f>
        <v>19673729.693176825</v>
      </c>
      <c r="O210" s="320">
        <f>IF('Perfil - interna'!O210+'Perfil - externa'!O208=0,0,'Perfil - interna'!O210+'Perfil - externa'!O208)</f>
        <v>10712297.647054382</v>
      </c>
      <c r="P210" s="320">
        <f>IF('Perfil - interna'!P210+'Perfil - externa'!P208=0,0,'Perfil - interna'!P210+'Perfil - externa'!P208)</f>
        <v>15473956.349298662</v>
      </c>
      <c r="Q210" s="320">
        <f>IF('Perfil - interna'!Q210+'Perfil - externa'!Q208=0,0,'Perfil - interna'!Q210+'Perfil - externa'!Q208)</f>
        <v>14626831.0616944</v>
      </c>
      <c r="R210" s="320">
        <f>IF('Perfil - interna'!R210+'Perfil - externa'!R208=0,0,'Perfil - interna'!R210+'Perfil - externa'!R208)</f>
        <v>3888454.7188729527</v>
      </c>
      <c r="S210" s="320">
        <f>IF('Perfil - interna'!S210+'Perfil - externa'!S208=0,0,'Perfil - interna'!S210+'Perfil - externa'!S208)</f>
        <v>5318416.3130030567</v>
      </c>
      <c r="T210" s="320">
        <f>IF('Perfil - interna'!T210+'Perfil - externa'!T208=0,0,'Perfil - interna'!T210+'Perfil - externa'!T208)</f>
        <v>2409003.4411264556</v>
      </c>
      <c r="U210" s="320">
        <f>IF('Perfil - interna'!U210+'Perfil - externa'!U208=0,0,'Perfil - interna'!U210+'Perfil - externa'!U208)</f>
        <v>2101373.7127702041</v>
      </c>
      <c r="V210" s="320">
        <f>IF('Perfil - interna'!V210+'Perfil - externa'!V208=0,0,'Perfil - interna'!V210+'Perfil - externa'!V208)</f>
        <v>7781154.0496350946</v>
      </c>
      <c r="W210" s="320">
        <f>IF('Perfil - interna'!W210+'Perfil - externa'!W208=0,0,'Perfil - interna'!W210+'Perfil - externa'!W208)</f>
        <v>1039235.1241792589</v>
      </c>
      <c r="X210" s="320">
        <f>IF('Perfil - interna'!X210+'Perfil - externa'!X208=0,0,'Perfil - interna'!X210+'Perfil - externa'!X208)</f>
        <v>876129.21888412465</v>
      </c>
      <c r="Y210" s="320">
        <f>IF('Perfil - interna'!Y210+'Perfil - externa'!Y208=0,0,'Perfil - interna'!Y210+'Perfil - externa'!Y208)</f>
        <v>827288.56616639299</v>
      </c>
      <c r="Z210" s="320">
        <f>IF('Perfil - interna'!Z210+'Perfil - externa'!Z208=0,0,'Perfil - interna'!Z210+'Perfil - externa'!Z208)</f>
        <v>3033927.2909115707</v>
      </c>
      <c r="AA210" s="320">
        <f>IF('Perfil - interna'!AA210+'Perfil - externa'!AA208=0,0,'Perfil - interna'!AA210+'Perfil - externa'!AA208)</f>
        <v>338769.22295234562</v>
      </c>
      <c r="AB210" s="320">
        <f>IF('Perfil - interna'!AB210+'Perfil - externa'!AB208=0,0,'Perfil - interna'!AB210+'Perfil - externa'!AB208)</f>
        <v>281538.93931166292</v>
      </c>
      <c r="AC210" s="320">
        <f>IF('Perfil - interna'!AC210+'Perfil - externa'!AC208=0,0,'Perfil - interna'!AC210+'Perfil - externa'!AC208)</f>
        <v>641490.13417423586</v>
      </c>
      <c r="AD210" s="320">
        <f>IF('Perfil - interna'!AD210+'Perfil - externa'!AD208=0,0,'Perfil - interna'!AD210+'Perfil - externa'!AD208)</f>
        <v>206916.32151526434</v>
      </c>
      <c r="AE210" s="320">
        <f>IF('Perfil - interna'!AE210+'Perfil - externa'!AE208=0,0,'Perfil - interna'!AE210+'Perfil - externa'!AE208)</f>
        <v>172461.14163260319</v>
      </c>
      <c r="AF210" s="320">
        <f>IF('Perfil - interna'!AF210+'Perfil - externa'!AF208=0,0,'Perfil - interna'!AF210+'Perfil - externa'!AF208)</f>
        <v>151657.19225734388</v>
      </c>
      <c r="AG210" s="320">
        <f>IF('Perfil - interna'!AG210+'Perfil - externa'!AG208=0,0,'Perfil - interna'!AG210+'Perfil - externa'!AG208)</f>
        <v>137690.233620249</v>
      </c>
      <c r="AH210" s="320">
        <f>IF('Perfil - interna'!AH210+'Perfil - externa'!AH208=0,0,'Perfil - interna'!AH210+'Perfil - externa'!AH208)</f>
        <v>131106.3705568517</v>
      </c>
      <c r="AI210" s="320">
        <f>IF('Perfil - interna'!AI210+'Perfil - externa'!AI208=0,0,'Perfil - interna'!AI210+'Perfil - externa'!AI208)</f>
        <v>1276621.644526914</v>
      </c>
      <c r="AJ210" s="320">
        <f>IF('Perfil - interna'!AJ210+'Perfil - externa'!AJ208=0,0,'Perfil - interna'!AJ210+'Perfil - externa'!AJ208)</f>
        <v>5750.2990919763006</v>
      </c>
      <c r="AK210" s="320">
        <f>IF('Perfil - interna'!AK210+'Perfil - externa'!AK208=0,0,'Perfil - interna'!AK210+'Perfil - externa'!AK208)</f>
        <v>175.43734233840001</v>
      </c>
      <c r="AL210" s="320">
        <f>IF('Perfil - interna'!AL210+'Perfil - externa'!AL208=0,0,'Perfil - interna'!AL210+'Perfil - externa'!AL208)</f>
        <v>0</v>
      </c>
      <c r="AM210" s="320">
        <f>IF('Perfil - interna'!AM210+'Perfil - externa'!AM208=0,0,'Perfil - interna'!AM210+'Perfil - externa'!AM208)</f>
        <v>0</v>
      </c>
      <c r="AN210" s="320">
        <f>IF('Perfil - interna'!AN210+'Perfil - externa'!AN208=0,0,'Perfil - interna'!AN210+'Perfil - externa'!AN208)</f>
        <v>0</v>
      </c>
      <c r="AO210" s="320"/>
      <c r="AP210" s="320"/>
      <c r="AQ210" s="320"/>
      <c r="AR210" s="320"/>
      <c r="AS210" s="320"/>
      <c r="AT210" s="320"/>
      <c r="AU210" s="320"/>
      <c r="AV210" s="320"/>
      <c r="AW210" s="320"/>
      <c r="AX210" s="320"/>
      <c r="AY210" s="320"/>
      <c r="AZ210" s="320"/>
      <c r="BA210" s="320"/>
      <c r="BB210" s="320"/>
      <c r="BC210" s="320"/>
      <c r="BD210" s="320"/>
      <c r="BE210" s="320"/>
      <c r="BF210" s="320"/>
      <c r="BG210" s="320"/>
      <c r="BH210" s="320"/>
      <c r="BI210" s="320"/>
      <c r="BJ210" s="320"/>
      <c r="BK210" s="320"/>
    </row>
    <row r="211" spans="1:63">
      <c r="A211" s="167"/>
      <c r="B211" s="217" t="str">
        <f>Servicio_internaColumna_título_amortizaciones</f>
        <v>Amortizaciones</v>
      </c>
      <c r="C211" s="218"/>
      <c r="D211" s="219"/>
      <c r="E211" s="219"/>
      <c r="F211" s="219">
        <f>IF('Perfil - interna'!F211+'Perfil - externa'!F209=0,0,'Perfil - interna'!F211+'Perfil - externa'!F209)</f>
        <v>0</v>
      </c>
      <c r="G211" s="219">
        <f>IF('Perfil - interna'!G211+'Perfil - externa'!G209=0,0,'Perfil - interna'!G211+'Perfil - externa'!G209)</f>
        <v>0</v>
      </c>
      <c r="H211" s="219">
        <f>IF('Perfil - interna'!H211+'Perfil - externa'!H209=0,0,'Perfil - interna'!H211+'Perfil - externa'!H209)</f>
        <v>2602927.1932703103</v>
      </c>
      <c r="I211" s="219">
        <f>IF('Perfil - interna'!I211+'Perfil - externa'!I209=0,0,'Perfil - interna'!I211+'Perfil - externa'!I209)</f>
        <v>21657921.140909098</v>
      </c>
      <c r="J211" s="219">
        <f>IF('Perfil - interna'!J211+'Perfil - externa'!J209=0,0,'Perfil - interna'!J211+'Perfil - externa'!J209)</f>
        <v>18779783.978546992</v>
      </c>
      <c r="K211" s="219">
        <f>IF('Perfil - interna'!K211+'Perfil - externa'!K209=0,0,'Perfil - interna'!K211+'Perfil - externa'!K209)</f>
        <v>12772111.924487833</v>
      </c>
      <c r="L211" s="219">
        <f>IF('Perfil - interna'!L211+'Perfil - externa'!L209=0,0,'Perfil - interna'!L211+'Perfil - externa'!L209)</f>
        <v>17475197.347354762</v>
      </c>
      <c r="M211" s="219">
        <f>IF('Perfil - interna'!M211+'Perfil - externa'!M209=0,0,'Perfil - interna'!M211+'Perfil - externa'!M209)</f>
        <v>8226782.7727848943</v>
      </c>
      <c r="N211" s="219">
        <f>IF('Perfil - interna'!N211+'Perfil - externa'!N209=0,0,'Perfil - interna'!N211+'Perfil - externa'!N209)</f>
        <v>13990964.023670942</v>
      </c>
      <c r="O211" s="219">
        <f>IF('Perfil - interna'!O211+'Perfil - externa'!O209=0,0,'Perfil - interna'!O211+'Perfil - externa'!O209)</f>
        <v>6122461.6141330134</v>
      </c>
      <c r="P211" s="219">
        <f>IF('Perfil - interna'!P211+'Perfil - externa'!P209=0,0,'Perfil - interna'!P211+'Perfil - externa'!P209)</f>
        <v>11618178.633478288</v>
      </c>
      <c r="Q211" s="219">
        <f>IF('Perfil - interna'!Q211+'Perfil - externa'!Q209=0,0,'Perfil - interna'!Q211+'Perfil - externa'!Q209)</f>
        <v>12581379.779739063</v>
      </c>
      <c r="R211" s="219">
        <f>IF('Perfil - interna'!R211+'Perfil - externa'!R209=0,0,'Perfil - interna'!R211+'Perfil - externa'!R209)</f>
        <v>2245237.5605551065</v>
      </c>
      <c r="S211" s="219">
        <f>IF('Perfil - interna'!S211+'Perfil - externa'!S209=0,0,'Perfil - interna'!S211+'Perfil - externa'!S209)</f>
        <v>3869149.8551238002</v>
      </c>
      <c r="T211" s="219">
        <f>IF('Perfil - interna'!T211+'Perfil - externa'!T209=0,0,'Perfil - interna'!T211+'Perfil - externa'!T209)</f>
        <v>1125740.8498884225</v>
      </c>
      <c r="U211" s="219">
        <f>IF('Perfil - interna'!U211+'Perfil - externa'!U209=0,0,'Perfil - interna'!U211+'Perfil - externa'!U209)</f>
        <v>873965.88079585345</v>
      </c>
      <c r="V211" s="219">
        <f>IF('Perfil - interna'!V211+'Perfil - externa'!V209=0,0,'Perfil - interna'!V211+'Perfil - externa'!V209)</f>
        <v>6331850.5090165641</v>
      </c>
      <c r="W211" s="219">
        <f>IF('Perfil - interna'!W211+'Perfil - externa'!W209=0,0,'Perfil - interna'!W211+'Perfil - externa'!W209)</f>
        <v>577415.14303909661</v>
      </c>
      <c r="X211" s="219">
        <f>IF('Perfil - interna'!X211+'Perfil - externa'!X209=0,0,'Perfil - interna'!X211+'Perfil - externa'!X209)</f>
        <v>441858.44101676036</v>
      </c>
      <c r="Y211" s="219">
        <f>IF('Perfil - interna'!Y211+'Perfil - externa'!Y209=0,0,'Perfil - interna'!Y211+'Perfil - externa'!Y209)</f>
        <v>415043.74836575304</v>
      </c>
      <c r="Z211" s="219">
        <f>IF('Perfil - interna'!Z211+'Perfil - externa'!Z209=0,0,'Perfil - interna'!Z211+'Perfil - externa'!Z209)</f>
        <v>2739434.8435548954</v>
      </c>
      <c r="AA211" s="219">
        <f>IF('Perfil - interna'!AA211+'Perfil - externa'!AA209=0,0,'Perfil - interna'!AA211+'Perfil - externa'!AA209)</f>
        <v>156079.22296383561</v>
      </c>
      <c r="AB211" s="219">
        <f>IF('Perfil - interna'!AB211+'Perfil - externa'!AB209=0,0,'Perfil - interna'!AB211+'Perfil - externa'!AB209)</f>
        <v>106032.41679167542</v>
      </c>
      <c r="AC211" s="219">
        <f>IF('Perfil - interna'!AC211+'Perfil - externa'!AC209=0,0,'Perfil - interna'!AC211+'Perfil - externa'!AC209)</f>
        <v>426322.99395923776</v>
      </c>
      <c r="AD211" s="219">
        <f>IF('Perfil - interna'!AD211+'Perfil - externa'!AD209=0,0,'Perfil - interna'!AD211+'Perfil - externa'!AD209)</f>
        <v>75417.86382316942</v>
      </c>
      <c r="AE211" s="219">
        <f>IF('Perfil - interna'!AE211+'Perfil - externa'!AE209=0,0,'Perfil - interna'!AE211+'Perfil - externa'!AE209)</f>
        <v>44571.079980403607</v>
      </c>
      <c r="AF211" s="219">
        <f>IF('Perfil - interna'!AF211+'Perfil - externa'!AF209=0,0,'Perfil - interna'!AF211+'Perfil - externa'!AF209)</f>
        <v>25433.851967908806</v>
      </c>
      <c r="AG211" s="219">
        <f>IF('Perfil - interna'!AG211+'Perfil - externa'!AG209=0,0,'Perfil - interna'!AG211+'Perfil - externa'!AG209)</f>
        <v>12119.3444151975</v>
      </c>
      <c r="AH211" s="219">
        <f>IF('Perfil - interna'!AH211+'Perfil - externa'!AH209=0,0,'Perfil - interna'!AH211+'Perfil - externa'!AH209)</f>
        <v>5749.5080691620005</v>
      </c>
      <c r="AI211" s="219">
        <f>IF('Perfil - interna'!AI211+'Perfil - externa'!AI209=0,0,'Perfil - interna'!AI211+'Perfil - externa'!AI209)</f>
        <v>821978.210839162</v>
      </c>
      <c r="AJ211" s="219">
        <f>IF('Perfil - interna'!AJ211+'Perfil - externa'!AJ209=0,0,'Perfil - interna'!AJ211+'Perfil - externa'!AJ209)</f>
        <v>5749.5080691620005</v>
      </c>
      <c r="AK211" s="219">
        <f>IF('Perfil - interna'!AK211+'Perfil - externa'!AK209=0,0,'Perfil - interna'!AK211+'Perfil - externa'!AK209)</f>
        <v>174.92666266400002</v>
      </c>
      <c r="AL211" s="219">
        <f>IF('Perfil - interna'!AL211+'Perfil - externa'!AL209=0,0,'Perfil - interna'!AL211+'Perfil - externa'!AL209)</f>
        <v>0</v>
      </c>
      <c r="AM211" s="219">
        <f>IF('Perfil - interna'!AM211+'Perfil - externa'!AM209=0,0,'Perfil - interna'!AM211+'Perfil - externa'!AM209)</f>
        <v>0</v>
      </c>
      <c r="AN211" s="219">
        <f>IF('Perfil - interna'!AN211+'Perfil - externa'!AN209=0,0,'Perfil - interna'!AN211+'Perfil - externa'!AN209)</f>
        <v>0</v>
      </c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</row>
    <row r="212" spans="1:63">
      <c r="A212" s="170">
        <v>38990</v>
      </c>
      <c r="B212" s="220" t="str">
        <f>Servicio_internaColumna_título_intereses</f>
        <v>Intereses</v>
      </c>
      <c r="C212" s="221"/>
      <c r="D212" s="222"/>
      <c r="E212" s="222"/>
      <c r="F212" s="222">
        <f>IF('Perfil - interna'!F212+'Perfil - externa'!F210=0,0,'Perfil - interna'!F212+'Perfil - externa'!F210)</f>
        <v>0</v>
      </c>
      <c r="G212" s="222">
        <f>IF('Perfil - interna'!G212+'Perfil - externa'!G210=0,0,'Perfil - interna'!G212+'Perfil - externa'!G210)</f>
        <v>0</v>
      </c>
      <c r="H212" s="222">
        <f>IF('Perfil - interna'!H212+'Perfil - externa'!H210=0,0,'Perfil - interna'!H212+'Perfil - externa'!H210)</f>
        <v>2344885.9185918309</v>
      </c>
      <c r="I212" s="222">
        <f>IF('Perfil - interna'!I212+'Perfil - externa'!I210=0,0,'Perfil - interna'!I212+'Perfil - externa'!I210)</f>
        <v>12992966.925894333</v>
      </c>
      <c r="J212" s="222">
        <f>IF('Perfil - interna'!J212+'Perfil - externa'!J210=0,0,'Perfil - interna'!J212+'Perfil - externa'!J210)</f>
        <v>10649957.876430932</v>
      </c>
      <c r="K212" s="222">
        <f>IF('Perfil - interna'!K212+'Perfil - externa'!K210=0,0,'Perfil - interna'!K212+'Perfil - externa'!K210)</f>
        <v>9236036.4899314679</v>
      </c>
      <c r="L212" s="222">
        <f>IF('Perfil - interna'!L212+'Perfil - externa'!L210=0,0,'Perfil - interna'!L212+'Perfil - externa'!L210)</f>
        <v>8038487.3781359531</v>
      </c>
      <c r="M212" s="222">
        <f>IF('Perfil - interna'!M212+'Perfil - externa'!M210=0,0,'Perfil - interna'!M212+'Perfil - externa'!M210)</f>
        <v>6493743.9026468247</v>
      </c>
      <c r="N212" s="222">
        <f>IF('Perfil - interna'!N212+'Perfil - externa'!N210=0,0,'Perfil - interna'!N212+'Perfil - externa'!N210)</f>
        <v>5712612.5695527643</v>
      </c>
      <c r="O212" s="222">
        <f>IF('Perfil - interna'!O212+'Perfil - externa'!O210=0,0,'Perfil - interna'!O212+'Perfil - externa'!O210)</f>
        <v>4368784.1594314724</v>
      </c>
      <c r="P212" s="222">
        <f>IF('Perfil - interna'!P212+'Perfil - externa'!P210=0,0,'Perfil - interna'!P212+'Perfil - externa'!P210)</f>
        <v>3941691.1632491583</v>
      </c>
      <c r="Q212" s="222">
        <f>IF('Perfil - interna'!Q212+'Perfil - externa'!Q210=0,0,'Perfil - interna'!Q212+'Perfil - externa'!Q210)</f>
        <v>2798127.0988485655</v>
      </c>
      <c r="R212" s="222">
        <f>IF('Perfil - interna'!R212+'Perfil - externa'!R210=0,0,'Perfil - interna'!R212+'Perfil - externa'!R210)</f>
        <v>1728756.5203608307</v>
      </c>
      <c r="S212" s="222">
        <f>IF('Perfil - interna'!S212+'Perfil - externa'!S210=0,0,'Perfil - interna'!S212+'Perfil - externa'!S210)</f>
        <v>1527651.2871614834</v>
      </c>
      <c r="T212" s="222">
        <f>IF('Perfil - interna'!T212+'Perfil - externa'!T210=0,0,'Perfil - interna'!T212+'Perfil - externa'!T210)</f>
        <v>1363775.4083935474</v>
      </c>
      <c r="U212" s="222">
        <f>IF('Perfil - interna'!U212+'Perfil - externa'!U210=0,0,'Perfil - interna'!U212+'Perfil - externa'!U210)</f>
        <v>1307892.3626463641</v>
      </c>
      <c r="V212" s="222">
        <f>IF('Perfil - interna'!V212+'Perfil - externa'!V210=0,0,'Perfil - interna'!V212+'Perfil - externa'!V210)</f>
        <v>1154809.3770808852</v>
      </c>
      <c r="W212" s="222">
        <f>IF('Perfil - interna'!W212+'Perfil - externa'!W210=0,0,'Perfil - interna'!W212+'Perfil - externa'!W210)</f>
        <v>592816.40192625369</v>
      </c>
      <c r="X212" s="222">
        <f>IF('Perfil - interna'!X212+'Perfil - externa'!X210=0,0,'Perfil - interna'!X212+'Perfil - externa'!X210)</f>
        <v>565288.40814547008</v>
      </c>
      <c r="Y212" s="222">
        <f>IF('Perfil - interna'!Y212+'Perfil - externa'!Y210=0,0,'Perfil - interna'!Y212+'Perfil - externa'!Y210)</f>
        <v>543265.91887763911</v>
      </c>
      <c r="Z212" s="222">
        <f>IF('Perfil - interna'!Z212+'Perfil - externa'!Z210=0,0,'Perfil - interna'!Z212+'Perfil - externa'!Z210)</f>
        <v>425920.37402788253</v>
      </c>
      <c r="AA212" s="222">
        <f>IF('Perfil - interna'!AA212+'Perfil - externa'!AA210=0,0,'Perfil - interna'!AA212+'Perfil - externa'!AA210)</f>
        <v>313626.38899130112</v>
      </c>
      <c r="AB212" s="222">
        <f>IF('Perfil - interna'!AB212+'Perfil - externa'!AB210=0,0,'Perfil - interna'!AB212+'Perfil - externa'!AB210)</f>
        <v>306434.89256540674</v>
      </c>
      <c r="AC212" s="222">
        <f>IF('Perfil - interna'!AC212+'Perfil - externa'!AC210=0,0,'Perfil - interna'!AC212+'Perfil - externa'!AC210)</f>
        <v>286804.33728745236</v>
      </c>
      <c r="AD212" s="222">
        <f>IF('Perfil - interna'!AD212+'Perfil - externa'!AD210=0,0,'Perfil - interna'!AD212+'Perfil - externa'!AD210)</f>
        <v>267632.35765674978</v>
      </c>
      <c r="AE212" s="222">
        <f>IF('Perfil - interna'!AE212+'Perfil - externa'!AE210=0,0,'Perfil - interna'!AE212+'Perfil - externa'!AE210)</f>
        <v>264017.62701051659</v>
      </c>
      <c r="AF212" s="222">
        <f>IF('Perfil - interna'!AF212+'Perfil - externa'!AF210=0,0,'Perfil - interna'!AF212+'Perfil - externa'!AF210)</f>
        <v>262347.0787244346</v>
      </c>
      <c r="AG212" s="222">
        <f>IF('Perfil - interna'!AG212+'Perfil - externa'!AG210=0,0,'Perfil - interna'!AG212+'Perfil - externa'!AG210)</f>
        <v>261692.05544814671</v>
      </c>
      <c r="AH212" s="222">
        <f>IF('Perfil - interna'!AH212+'Perfil - externa'!AH210=0,0,'Perfil - interna'!AH212+'Perfil - externa'!AH210)</f>
        <v>261476.81181794382</v>
      </c>
      <c r="AI212" s="222">
        <f>IF('Perfil - interna'!AI212+'Perfil - externa'!AI210=0,0,'Perfil - interna'!AI212+'Perfil - externa'!AI210)</f>
        <v>219133.63590938301</v>
      </c>
      <c r="AJ212" s="222">
        <f>IF('Perfil - interna'!AJ212+'Perfil - externa'!AJ210=0,0,'Perfil - interna'!AJ212+'Perfil - externa'!AJ210)</f>
        <v>176786.86439582222</v>
      </c>
      <c r="AK212" s="222">
        <f>IF('Perfil - interna'!AK212+'Perfil - externa'!AK210=0,0,'Perfil - interna'!AK212+'Perfil - externa'!AK210)</f>
        <v>176785.55240749911</v>
      </c>
      <c r="AL212" s="222">
        <f>IF('Perfil - interna'!AL212+'Perfil - externa'!AL210=0,0,'Perfil - interna'!AL212+'Perfil - externa'!AL210)</f>
        <v>0</v>
      </c>
      <c r="AM212" s="222">
        <f>IF('Perfil - interna'!AM212+'Perfil - externa'!AM210=0,0,'Perfil - interna'!AM212+'Perfil - externa'!AM210)</f>
        <v>0</v>
      </c>
      <c r="AN212" s="222">
        <f>IF('Perfil - interna'!AN212+'Perfil - externa'!AN210=0,0,'Perfil - interna'!AN212+'Perfil - externa'!AN210)</f>
        <v>0</v>
      </c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</row>
    <row r="213" spans="1:63">
      <c r="A213" s="171"/>
      <c r="B213" s="318" t="str">
        <f>Servicio_internaColumna_título_total</f>
        <v>Total</v>
      </c>
      <c r="C213" s="319"/>
      <c r="D213" s="320"/>
      <c r="E213" s="320"/>
      <c r="F213" s="320">
        <f>IF('Perfil - interna'!F213+'Perfil - externa'!F211=0,0,'Perfil - interna'!F213+'Perfil - externa'!F211)</f>
        <v>0</v>
      </c>
      <c r="G213" s="320">
        <f>IF('Perfil - interna'!G213+'Perfil - externa'!G211=0,0,'Perfil - interna'!G213+'Perfil - externa'!G211)</f>
        <v>0</v>
      </c>
      <c r="H213" s="320">
        <f>IF('Perfil - interna'!H213+'Perfil - externa'!H211=0,0,'Perfil - interna'!H213+'Perfil - externa'!H211)</f>
        <v>4947813.1118621416</v>
      </c>
      <c r="I213" s="320">
        <f>IF('Perfil - interna'!I213+'Perfil - externa'!I211=0,0,'Perfil - interna'!I213+'Perfil - externa'!I211)</f>
        <v>34650888.066803433</v>
      </c>
      <c r="J213" s="320">
        <f>IF('Perfil - interna'!J213+'Perfil - externa'!J211=0,0,'Perfil - interna'!J213+'Perfil - externa'!J211)</f>
        <v>29429741.854977924</v>
      </c>
      <c r="K213" s="320">
        <f>IF('Perfil - interna'!K213+'Perfil - externa'!K211=0,0,'Perfil - interna'!K213+'Perfil - externa'!K211)</f>
        <v>22008148.414419301</v>
      </c>
      <c r="L213" s="320">
        <f>IF('Perfil - interna'!L213+'Perfil - externa'!L211=0,0,'Perfil - interna'!L213+'Perfil - externa'!L211)</f>
        <v>25513684.725490712</v>
      </c>
      <c r="M213" s="320">
        <f>IF('Perfil - interna'!M213+'Perfil - externa'!M211=0,0,'Perfil - interna'!M213+'Perfil - externa'!M211)</f>
        <v>14720526.675431719</v>
      </c>
      <c r="N213" s="320">
        <f>IF('Perfil - interna'!N213+'Perfil - externa'!N211=0,0,'Perfil - interna'!N213+'Perfil - externa'!N211)</f>
        <v>19703576.593223706</v>
      </c>
      <c r="O213" s="320">
        <f>IF('Perfil - interna'!O213+'Perfil - externa'!O211=0,0,'Perfil - interna'!O213+'Perfil - externa'!O211)</f>
        <v>10491245.773564486</v>
      </c>
      <c r="P213" s="320">
        <f>IF('Perfil - interna'!P213+'Perfil - externa'!P211=0,0,'Perfil - interna'!P213+'Perfil - externa'!P211)</f>
        <v>15559869.796727445</v>
      </c>
      <c r="Q213" s="320">
        <f>IF('Perfil - interna'!Q213+'Perfil - externa'!Q211=0,0,'Perfil - interna'!Q213+'Perfil - externa'!Q211)</f>
        <v>15379506.87858763</v>
      </c>
      <c r="R213" s="320">
        <f>IF('Perfil - interna'!R213+'Perfil - externa'!R211=0,0,'Perfil - interna'!R213+'Perfil - externa'!R211)</f>
        <v>3973994.0809159372</v>
      </c>
      <c r="S213" s="320">
        <f>IF('Perfil - interna'!S213+'Perfil - externa'!S211=0,0,'Perfil - interna'!S213+'Perfil - externa'!S211)</f>
        <v>5396801.1422852837</v>
      </c>
      <c r="T213" s="320">
        <f>IF('Perfil - interna'!T213+'Perfil - externa'!T211=0,0,'Perfil - interna'!T213+'Perfil - externa'!T211)</f>
        <v>2489516.2582819699</v>
      </c>
      <c r="U213" s="320">
        <f>IF('Perfil - interna'!U213+'Perfil - externa'!U211=0,0,'Perfil - interna'!U213+'Perfil - externa'!U211)</f>
        <v>2181858.2434422178</v>
      </c>
      <c r="V213" s="320">
        <f>IF('Perfil - interna'!V213+'Perfil - externa'!V211=0,0,'Perfil - interna'!V213+'Perfil - externa'!V211)</f>
        <v>7486659.8860974489</v>
      </c>
      <c r="W213" s="320">
        <f>IF('Perfil - interna'!W213+'Perfil - externa'!W211=0,0,'Perfil - interna'!W213+'Perfil - externa'!W211)</f>
        <v>1170231.5449653503</v>
      </c>
      <c r="X213" s="320">
        <f>IF('Perfil - interna'!X213+'Perfil - externa'!X211=0,0,'Perfil - interna'!X213+'Perfil - externa'!X211)</f>
        <v>1007146.8491622305</v>
      </c>
      <c r="Y213" s="320">
        <f>IF('Perfil - interna'!Y213+'Perfil - externa'!Y211=0,0,'Perfil - interna'!Y213+'Perfil - externa'!Y211)</f>
        <v>958309.66724339221</v>
      </c>
      <c r="Z213" s="320">
        <f>IF('Perfil - interna'!Z213+'Perfil - externa'!Z211=0,0,'Perfil - interna'!Z213+'Perfil - externa'!Z211)</f>
        <v>3165355.2175827781</v>
      </c>
      <c r="AA213" s="320">
        <f>IF('Perfil - interna'!AA213+'Perfil - externa'!AA211=0,0,'Perfil - interna'!AA213+'Perfil - externa'!AA211)</f>
        <v>469705.61195513676</v>
      </c>
      <c r="AB213" s="320">
        <f>IF('Perfil - interna'!AB213+'Perfil - externa'!AB211=0,0,'Perfil - interna'!AB213+'Perfil - externa'!AB211)</f>
        <v>412467.30935708218</v>
      </c>
      <c r="AC213" s="320">
        <f>IF('Perfil - interna'!AC213+'Perfil - externa'!AC211=0,0,'Perfil - interna'!AC213+'Perfil - externa'!AC211)</f>
        <v>713127.33124669013</v>
      </c>
      <c r="AD213" s="320">
        <f>IF('Perfil - interna'!AD213+'Perfil - externa'!AD211=0,0,'Perfil - interna'!AD213+'Perfil - externa'!AD211)</f>
        <v>343050.22147991922</v>
      </c>
      <c r="AE213" s="320">
        <f>IF('Perfil - interna'!AE213+'Perfil - externa'!AE211=0,0,'Perfil - interna'!AE213+'Perfil - externa'!AE211)</f>
        <v>308588.70699092018</v>
      </c>
      <c r="AF213" s="320">
        <f>IF('Perfil - interna'!AF213+'Perfil - externa'!AF211=0,0,'Perfil - interna'!AF213+'Perfil - externa'!AF211)</f>
        <v>287780.93069234339</v>
      </c>
      <c r="AG213" s="320">
        <f>IF('Perfil - interna'!AG213+'Perfil - externa'!AG211=0,0,'Perfil - interna'!AG213+'Perfil - externa'!AG211)</f>
        <v>273811.39986334421</v>
      </c>
      <c r="AH213" s="320">
        <f>IF('Perfil - interna'!AH213+'Perfil - externa'!AH211=0,0,'Perfil - interna'!AH213+'Perfil - externa'!AH211)</f>
        <v>267226.31988710584</v>
      </c>
      <c r="AI213" s="320">
        <f>IF('Perfil - interna'!AI213+'Perfil - externa'!AI211=0,0,'Perfil - interna'!AI213+'Perfil - externa'!AI211)</f>
        <v>1041111.8467485451</v>
      </c>
      <c r="AJ213" s="320">
        <f>IF('Perfil - interna'!AJ213+'Perfil - externa'!AJ211=0,0,'Perfil - interna'!AJ213+'Perfil - externa'!AJ211)</f>
        <v>182536.37246498422</v>
      </c>
      <c r="AK213" s="320">
        <f>IF('Perfil - interna'!AK213+'Perfil - externa'!AK211=0,0,'Perfil - interna'!AK213+'Perfil - externa'!AK211)</f>
        <v>176960.4790701631</v>
      </c>
      <c r="AL213" s="320">
        <f>IF('Perfil - interna'!AL213+'Perfil - externa'!AL211=0,0,'Perfil - interna'!AL213+'Perfil - externa'!AL211)</f>
        <v>0</v>
      </c>
      <c r="AM213" s="320">
        <f>IF('Perfil - interna'!AM213+'Perfil - externa'!AM211=0,0,'Perfil - interna'!AM213+'Perfil - externa'!AM211)</f>
        <v>0</v>
      </c>
      <c r="AN213" s="320">
        <f>IF('Perfil - interna'!AN213+'Perfil - externa'!AN211=0,0,'Perfil - interna'!AN213+'Perfil - externa'!AN211)</f>
        <v>0</v>
      </c>
      <c r="AO213" s="320"/>
      <c r="AP213" s="320"/>
      <c r="AQ213" s="320"/>
      <c r="AR213" s="320"/>
      <c r="AS213" s="320"/>
      <c r="AT213" s="320"/>
      <c r="AU213" s="320"/>
      <c r="AV213" s="320"/>
      <c r="AW213" s="320"/>
      <c r="AX213" s="320"/>
      <c r="AY213" s="320"/>
      <c r="AZ213" s="320"/>
      <c r="BA213" s="320"/>
      <c r="BB213" s="320"/>
      <c r="BC213" s="320"/>
      <c r="BD213" s="320"/>
      <c r="BE213" s="320"/>
      <c r="BF213" s="320"/>
      <c r="BG213" s="320"/>
      <c r="BH213" s="320"/>
      <c r="BI213" s="320"/>
      <c r="BJ213" s="320"/>
      <c r="BK213" s="320"/>
    </row>
    <row r="214" spans="1:63">
      <c r="A214" s="167"/>
      <c r="B214" s="217" t="str">
        <f>Servicio_internaColumna_título_amortizaciones</f>
        <v>Amortizaciones</v>
      </c>
      <c r="C214" s="218"/>
      <c r="D214" s="219"/>
      <c r="E214" s="219"/>
      <c r="F214" s="219">
        <f>IF('Perfil - interna'!F214+'Perfil - externa'!F212=0,0,'Perfil - interna'!F214+'Perfil - externa'!F212)</f>
        <v>0</v>
      </c>
      <c r="G214" s="219">
        <f>IF('Perfil - interna'!G214+'Perfil - externa'!G212=0,0,'Perfil - interna'!G214+'Perfil - externa'!G212)</f>
        <v>0</v>
      </c>
      <c r="H214" s="219">
        <f>IF('Perfil - interna'!H214+'Perfil - externa'!H212=0,0,'Perfil - interna'!H214+'Perfil - externa'!H212)</f>
        <v>2047169.0481057724</v>
      </c>
      <c r="I214" s="219">
        <f>IF('Perfil - interna'!I214+'Perfil - externa'!I212=0,0,'Perfil - interna'!I214+'Perfil - externa'!I212)</f>
        <v>22156190.852209877</v>
      </c>
      <c r="J214" s="219">
        <f>IF('Perfil - interna'!J214+'Perfil - externa'!J212=0,0,'Perfil - interna'!J214+'Perfil - externa'!J212)</f>
        <v>18782614.757734504</v>
      </c>
      <c r="K214" s="219">
        <f>IF('Perfil - interna'!K214+'Perfil - externa'!K212=0,0,'Perfil - interna'!K214+'Perfil - externa'!K212)</f>
        <v>12625661.157919869</v>
      </c>
      <c r="L214" s="219">
        <f>IF('Perfil - interna'!L214+'Perfil - externa'!L212=0,0,'Perfil - interna'!L214+'Perfil - externa'!L212)</f>
        <v>17501623.997272573</v>
      </c>
      <c r="M214" s="219">
        <f>IF('Perfil - interna'!M214+'Perfil - externa'!M212=0,0,'Perfil - interna'!M214+'Perfil - externa'!M212)</f>
        <v>8119286.5251959059</v>
      </c>
      <c r="N214" s="219">
        <f>IF('Perfil - interna'!N214+'Perfil - externa'!N212=0,0,'Perfil - interna'!N214+'Perfil - externa'!N212)</f>
        <v>13835129.594920095</v>
      </c>
      <c r="O214" s="219">
        <f>IF('Perfil - interna'!O214+'Perfil - externa'!O212=0,0,'Perfil - interna'!O214+'Perfil - externa'!O212)</f>
        <v>5985056.6357041039</v>
      </c>
      <c r="P214" s="219">
        <f>IF('Perfil - interna'!P214+'Perfil - externa'!P212=0,0,'Perfil - interna'!P214+'Perfil - externa'!P212)</f>
        <v>11427452.904799361</v>
      </c>
      <c r="Q214" s="219">
        <f>IF('Perfil - interna'!Q214+'Perfil - externa'!Q212=0,0,'Perfil - interna'!Q214+'Perfil - externa'!Q212)</f>
        <v>12363013.811439164</v>
      </c>
      <c r="R214" s="219">
        <f>IF('Perfil - interna'!R214+'Perfil - externa'!R212=0,0,'Perfil - interna'!R214+'Perfil - externa'!R212)</f>
        <v>2161450.5229343809</v>
      </c>
      <c r="S214" s="219">
        <f>IF('Perfil - interna'!S214+'Perfil - externa'!S212=0,0,'Perfil - interna'!S214+'Perfil - externa'!S212)</f>
        <v>3734717.7684639473</v>
      </c>
      <c r="T214" s="219">
        <f>IF('Perfil - interna'!T214+'Perfil - externa'!T212=0,0,'Perfil - interna'!T214+'Perfil - externa'!T212)</f>
        <v>1087219.2606568993</v>
      </c>
      <c r="U214" s="219">
        <f>IF('Perfil - interna'!U214+'Perfil - externa'!U212=0,0,'Perfil - interna'!U214+'Perfil - externa'!U212)</f>
        <v>844071.79147989827</v>
      </c>
      <c r="V214" s="219">
        <f>IF('Perfil - interna'!V214+'Perfil - externa'!V212=0,0,'Perfil - interna'!V214+'Perfil - externa'!V212)</f>
        <v>6364898.899373414</v>
      </c>
      <c r="W214" s="219">
        <f>IF('Perfil - interna'!W214+'Perfil - externa'!W212=0,0,'Perfil - interna'!W214+'Perfil - externa'!W212)</f>
        <v>557628.70838638779</v>
      </c>
      <c r="X214" s="219">
        <f>IF('Perfil - interna'!X214+'Perfil - externa'!X212=0,0,'Perfil - interna'!X214+'Perfil - externa'!X212)</f>
        <v>426752.81361139787</v>
      </c>
      <c r="Y214" s="219">
        <f>IF('Perfil - interna'!Y214+'Perfil - externa'!Y212=0,0,'Perfil - interna'!Y214+'Perfil - externa'!Y212)</f>
        <v>400864.5462425588</v>
      </c>
      <c r="Z214" s="219">
        <f>IF('Perfil - interna'!Z214+'Perfil - externa'!Z212=0,0,'Perfil - interna'!Z214+'Perfil - externa'!Z212)</f>
        <v>2646042.473453294</v>
      </c>
      <c r="AA214" s="219">
        <f>IF('Perfil - interna'!AA214+'Perfil - externa'!AA212=0,0,'Perfil - interna'!AA214+'Perfil - externa'!AA212)</f>
        <v>150725.30006906719</v>
      </c>
      <c r="AB214" s="219">
        <f>IF('Perfil - interna'!AB214+'Perfil - externa'!AB212=0,0,'Perfil - interna'!AB214+'Perfil - externa'!AB212)</f>
        <v>102384.04425472041</v>
      </c>
      <c r="AC214" s="219">
        <f>IF('Perfil - interna'!AC214+'Perfil - externa'!AC212=0,0,'Perfil - interna'!AC214+'Perfil - externa'!AC212)</f>
        <v>411793.3126856758</v>
      </c>
      <c r="AD214" s="219">
        <f>IF('Perfil - interna'!AD214+'Perfil - externa'!AD212=0,0,'Perfil - interna'!AD214+'Perfil - externa'!AD212)</f>
        <v>72846.715292003602</v>
      </c>
      <c r="AE214" s="219">
        <f>IF('Perfil - interna'!AE214+'Perfil - externa'!AE212=0,0,'Perfil - interna'!AE214+'Perfil - externa'!AE212)</f>
        <v>43051.162231866409</v>
      </c>
      <c r="AF214" s="219">
        <f>IF('Perfil - interna'!AF214+'Perfil - externa'!AF212=0,0,'Perfil - interna'!AF214+'Perfil - externa'!AF212)</f>
        <v>24566.113820443203</v>
      </c>
      <c r="AG214" s="219">
        <f>IF('Perfil - interna'!AG214+'Perfil - externa'!AG212=0,0,'Perfil - interna'!AG214+'Perfil - externa'!AG212)</f>
        <v>11705.352767409</v>
      </c>
      <c r="AH214" s="219">
        <f>IF('Perfil - interna'!AH214+'Perfil - externa'!AH212=0,0,'Perfil - interna'!AH214+'Perfil - externa'!AH212)</f>
        <v>5552.594742452</v>
      </c>
      <c r="AI214" s="219">
        <f>IF('Perfil - interna'!AI214+'Perfil - externa'!AI212=0,0,'Perfil - interna'!AI214+'Perfil - externa'!AI212)</f>
        <v>793964.95392245206</v>
      </c>
      <c r="AJ214" s="219">
        <f>IF('Perfil - interna'!AJ214+'Perfil - externa'!AJ212=0,0,'Perfil - interna'!AJ214+'Perfil - externa'!AJ212)</f>
        <v>5552.594742452</v>
      </c>
      <c r="AK214" s="219">
        <f>IF('Perfil - interna'!AK214+'Perfil - externa'!AK212=0,0,'Perfil - interna'!AK214+'Perfil - externa'!AK212)</f>
        <v>167.99008051999999</v>
      </c>
      <c r="AL214" s="219">
        <f>IF('Perfil - interna'!AL214+'Perfil - externa'!AL212=0,0,'Perfil - interna'!AL214+'Perfil - externa'!AL212)</f>
        <v>83.994391953600001</v>
      </c>
      <c r="AM214" s="219">
        <f>IF('Perfil - interna'!AM214+'Perfil - externa'!AM212=0,0,'Perfil - interna'!AM214+'Perfil - externa'!AM212)</f>
        <v>2315380</v>
      </c>
      <c r="AN214" s="219">
        <f>IF('Perfil - interna'!AN214+'Perfil - externa'!AN212=0,0,'Perfil - interna'!AN214+'Perfil - externa'!AN212)</f>
        <v>0</v>
      </c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</row>
    <row r="215" spans="1:63">
      <c r="A215" s="170">
        <v>39021</v>
      </c>
      <c r="B215" s="220" t="str">
        <f>Servicio_internaColumna_título_intereses</f>
        <v>Intereses</v>
      </c>
      <c r="C215" s="221"/>
      <c r="D215" s="222"/>
      <c r="E215" s="222"/>
      <c r="F215" s="222">
        <f>IF('Perfil - interna'!F215+'Perfil - externa'!F213=0,0,'Perfil - interna'!F215+'Perfil - externa'!F213)</f>
        <v>0</v>
      </c>
      <c r="G215" s="222">
        <f>IF('Perfil - interna'!G215+'Perfil - externa'!G213=0,0,'Perfil - interna'!G215+'Perfil - externa'!G213)</f>
        <v>0</v>
      </c>
      <c r="H215" s="222">
        <f>IF('Perfil - interna'!H215+'Perfil - externa'!H213=0,0,'Perfil - interna'!H215+'Perfil - externa'!H213)</f>
        <v>1614899.248592566</v>
      </c>
      <c r="I215" s="222">
        <f>IF('Perfil - interna'!I215+'Perfil - externa'!I213=0,0,'Perfil - interna'!I215+'Perfil - externa'!I213)</f>
        <v>13568323.964868415</v>
      </c>
      <c r="J215" s="222">
        <f>IF('Perfil - interna'!J215+'Perfil - externa'!J213=0,0,'Perfil - interna'!J215+'Perfil - externa'!J213)</f>
        <v>11211420.633653315</v>
      </c>
      <c r="K215" s="222">
        <f>IF('Perfil - interna'!K215+'Perfil - externa'!K213=0,0,'Perfil - interna'!K215+'Perfil - externa'!K213)</f>
        <v>9133416.5350122601</v>
      </c>
      <c r="L215" s="222">
        <f>IF('Perfil - interna'!L215+'Perfil - externa'!L213=0,0,'Perfil - interna'!L215+'Perfil - externa'!L213)</f>
        <v>7933047.3488209955</v>
      </c>
      <c r="M215" s="222">
        <f>IF('Perfil - interna'!M215+'Perfil - externa'!M213=0,0,'Perfil - interna'!M215+'Perfil - externa'!M213)</f>
        <v>6398289.8669645451</v>
      </c>
      <c r="N215" s="222">
        <f>IF('Perfil - interna'!N215+'Perfil - externa'!N213=0,0,'Perfil - interna'!N215+'Perfil - externa'!N213)</f>
        <v>5622544.9983495101</v>
      </c>
      <c r="O215" s="222">
        <f>IF('Perfil - interna'!O215+'Perfil - externa'!O213=0,0,'Perfil - interna'!O215+'Perfil - externa'!O213)</f>
        <v>4289815.6693169903</v>
      </c>
      <c r="P215" s="222">
        <f>IF('Perfil - interna'!P215+'Perfil - externa'!P213=0,0,'Perfil - interna'!P215+'Perfil - externa'!P213)</f>
        <v>3871745.1921703424</v>
      </c>
      <c r="Q215" s="222">
        <f>IF('Perfil - interna'!Q215+'Perfil - externa'!Q213=0,0,'Perfil - interna'!Q215+'Perfil - externa'!Q213)</f>
        <v>2741227.1482399544</v>
      </c>
      <c r="R215" s="222">
        <f>IF('Perfil - interna'!R215+'Perfil - externa'!R213=0,0,'Perfil - interna'!R215+'Perfil - externa'!R213)</f>
        <v>1696567.2163140986</v>
      </c>
      <c r="S215" s="222">
        <f>IF('Perfil - interna'!S215+'Perfil - externa'!S213=0,0,'Perfil - interna'!S215+'Perfil - externa'!S213)</f>
        <v>1502789.5848620341</v>
      </c>
      <c r="T215" s="222">
        <f>IF('Perfil - interna'!T215+'Perfil - externa'!T213=0,0,'Perfil - interna'!T215+'Perfil - externa'!T213)</f>
        <v>1344662.865603579</v>
      </c>
      <c r="U215" s="222">
        <f>IF('Perfil - interna'!U215+'Perfil - externa'!U213=0,0,'Perfil - interna'!U215+'Perfil - externa'!U213)</f>
        <v>1290687.829488612</v>
      </c>
      <c r="V215" s="222">
        <f>IF('Perfil - interna'!V215+'Perfil - externa'!V213=0,0,'Perfil - interna'!V215+'Perfil - externa'!V213)</f>
        <v>1142824.8083807628</v>
      </c>
      <c r="W215" s="222">
        <f>IF('Perfil - interna'!W215+'Perfil - externa'!W213=0,0,'Perfil - interna'!W215+'Perfil - externa'!W213)</f>
        <v>572603.50603215641</v>
      </c>
      <c r="X215" s="222">
        <f>IF('Perfil - interna'!X215+'Perfil - externa'!X213=0,0,'Perfil - interna'!X215+'Perfil - externa'!X213)</f>
        <v>546016.40694395558</v>
      </c>
      <c r="Y215" s="222">
        <f>IF('Perfil - interna'!Y215+'Perfil - externa'!Y213=0,0,'Perfil - interna'!Y215+'Perfil - externa'!Y213)</f>
        <v>524746.08383104764</v>
      </c>
      <c r="Z215" s="222">
        <f>IF('Perfil - interna'!Z215+'Perfil - externa'!Z213=0,0,'Perfil - interna'!Z215+'Perfil - externa'!Z213)</f>
        <v>411401.103266644</v>
      </c>
      <c r="AA215" s="222">
        <f>IF('Perfil - interna'!AA215+'Perfil - externa'!AA213=0,0,'Perfil - interna'!AA215+'Perfil - externa'!AA213)</f>
        <v>302935.52987859718</v>
      </c>
      <c r="AB215" s="222">
        <f>IF('Perfil - interna'!AB215+'Perfil - externa'!AB213=0,0,'Perfil - interna'!AB215+'Perfil - externa'!AB213)</f>
        <v>295990.64638901554</v>
      </c>
      <c r="AC215" s="222">
        <f>IF('Perfil - interna'!AC215+'Perfil - externa'!AC213=0,0,'Perfil - interna'!AC215+'Perfil - externa'!AC213)</f>
        <v>277030.2345106242</v>
      </c>
      <c r="AD215" s="222">
        <f>IF('Perfil - interna'!AD215+'Perfil - externa'!AD213=0,0,'Perfil - interna'!AD215+'Perfil - externa'!AD213)</f>
        <v>258511.62612479037</v>
      </c>
      <c r="AE215" s="222">
        <f>IF('Perfil - interna'!AE215+'Perfil - externa'!AE213=0,0,'Perfil - interna'!AE215+'Perfil - externa'!AE213)</f>
        <v>255020.08955690858</v>
      </c>
      <c r="AF215" s="222">
        <f>IF('Perfil - interna'!AF215+'Perfil - externa'!AF213=0,0,'Perfil - interna'!AF215+'Perfil - externa'!AF213)</f>
        <v>253406.47940087519</v>
      </c>
      <c r="AG215" s="222">
        <f>IF('Perfil - interna'!AG215+'Perfil - externa'!AG213=0,0,'Perfil - interna'!AG215+'Perfil - externa'!AG213)</f>
        <v>252773.78602498359</v>
      </c>
      <c r="AH215" s="222">
        <f>IF('Perfil - interna'!AH215+'Perfil - externa'!AH213=0,0,'Perfil - interna'!AH215+'Perfil - externa'!AH213)</f>
        <v>252565.88504478958</v>
      </c>
      <c r="AI215" s="222">
        <f>IF('Perfil - interna'!AI215+'Perfil - externa'!AI213=0,0,'Perfil - interna'!AI215+'Perfil - externa'!AI213)</f>
        <v>211665.73398672321</v>
      </c>
      <c r="AJ215" s="222">
        <f>IF('Perfil - interna'!AJ215+'Perfil - externa'!AJ213=0,0,'Perfil - interna'!AJ215+'Perfil - externa'!AJ213)</f>
        <v>170762.10983550301</v>
      </c>
      <c r="AK215" s="222">
        <f>IF('Perfil - interna'!AK215+'Perfil - externa'!AK213=0,0,'Perfil - interna'!AK215+'Perfil - externa'!AK213)</f>
        <v>170760.84987516841</v>
      </c>
      <c r="AL215" s="222">
        <f>IF('Perfil - interna'!AL215+'Perfil - externa'!AL213=0,0,'Perfil - interna'!AL215+'Perfil - externa'!AL213)</f>
        <v>170759.58998429522</v>
      </c>
      <c r="AM215" s="222">
        <f>IF('Perfil - interna'!AM215+'Perfil - externa'!AM213=0,0,'Perfil - interna'!AM215+'Perfil - externa'!AM213)</f>
        <v>170759.27499999999</v>
      </c>
      <c r="AN215" s="222">
        <f>IF('Perfil - interna'!AN215+'Perfil - externa'!AN213=0,0,'Perfil - interna'!AN215+'Perfil - externa'!AN213)</f>
        <v>0</v>
      </c>
      <c r="AO215" s="222"/>
      <c r="AP215" s="222"/>
      <c r="AQ215" s="222"/>
      <c r="AR215" s="222"/>
      <c r="AS215" s="222"/>
      <c r="AT215" s="222"/>
      <c r="AU215" s="222"/>
      <c r="AV215" s="222"/>
      <c r="AW215" s="222"/>
      <c r="AX215" s="222"/>
      <c r="AY215" s="222"/>
      <c r="AZ215" s="222"/>
      <c r="BA215" s="222"/>
      <c r="BB215" s="222"/>
      <c r="BC215" s="222"/>
      <c r="BD215" s="222"/>
      <c r="BE215" s="222"/>
      <c r="BF215" s="222"/>
      <c r="BG215" s="222"/>
      <c r="BH215" s="222"/>
      <c r="BI215" s="222"/>
      <c r="BJ215" s="222"/>
      <c r="BK215" s="222"/>
    </row>
    <row r="216" spans="1:63">
      <c r="A216" s="171"/>
      <c r="B216" s="318" t="str">
        <f>Servicio_internaColumna_título_total</f>
        <v>Total</v>
      </c>
      <c r="C216" s="319"/>
      <c r="D216" s="320"/>
      <c r="E216" s="320"/>
      <c r="F216" s="320">
        <f>IF('Perfil - interna'!F216+'Perfil - externa'!F214=0,0,'Perfil - interna'!F216+'Perfil - externa'!F214)</f>
        <v>0</v>
      </c>
      <c r="G216" s="320">
        <f>IF('Perfil - interna'!G216+'Perfil - externa'!G214=0,0,'Perfil - interna'!G216+'Perfil - externa'!G214)</f>
        <v>0</v>
      </c>
      <c r="H216" s="320">
        <f>IF('Perfil - interna'!H216+'Perfil - externa'!H214=0,0,'Perfil - interna'!H216+'Perfil - externa'!H214)</f>
        <v>3662068.2966983384</v>
      </c>
      <c r="I216" s="320">
        <f>IF('Perfil - interna'!I216+'Perfil - externa'!I214=0,0,'Perfil - interna'!I216+'Perfil - externa'!I214)</f>
        <v>35724514.817078292</v>
      </c>
      <c r="J216" s="320">
        <f>IF('Perfil - interna'!J216+'Perfil - externa'!J214=0,0,'Perfil - interna'!J216+'Perfil - externa'!J214)</f>
        <v>29994035.391387817</v>
      </c>
      <c r="K216" s="320">
        <f>IF('Perfil - interna'!K216+'Perfil - externa'!K214=0,0,'Perfil - interna'!K216+'Perfil - externa'!K214)</f>
        <v>21759077.692932129</v>
      </c>
      <c r="L216" s="320">
        <f>IF('Perfil - interna'!L216+'Perfil - externa'!L214=0,0,'Perfil - interna'!L216+'Perfil - externa'!L214)</f>
        <v>25434671.346093569</v>
      </c>
      <c r="M216" s="320">
        <f>IF('Perfil - interna'!M216+'Perfil - externa'!M214=0,0,'Perfil - interna'!M216+'Perfil - externa'!M214)</f>
        <v>14517576.392160453</v>
      </c>
      <c r="N216" s="320">
        <f>IF('Perfil - interna'!N216+'Perfil - externa'!N214=0,0,'Perfil - interna'!N216+'Perfil - externa'!N214)</f>
        <v>19457674.593269605</v>
      </c>
      <c r="O216" s="320">
        <f>IF('Perfil - interna'!O216+'Perfil - externa'!O214=0,0,'Perfil - interna'!O216+'Perfil - externa'!O214)</f>
        <v>10274872.305021094</v>
      </c>
      <c r="P216" s="320">
        <f>IF('Perfil - interna'!P216+'Perfil - externa'!P214=0,0,'Perfil - interna'!P216+'Perfil - externa'!P214)</f>
        <v>15299198.096969705</v>
      </c>
      <c r="Q216" s="320">
        <f>IF('Perfil - interna'!Q216+'Perfil - externa'!Q214=0,0,'Perfil - interna'!Q216+'Perfil - externa'!Q214)</f>
        <v>15104240.959679119</v>
      </c>
      <c r="R216" s="320">
        <f>IF('Perfil - interna'!R216+'Perfil - externa'!R214=0,0,'Perfil - interna'!R216+'Perfil - externa'!R214)</f>
        <v>3858017.7392484788</v>
      </c>
      <c r="S216" s="320">
        <f>IF('Perfil - interna'!S216+'Perfil - externa'!S214=0,0,'Perfil - interna'!S216+'Perfil - externa'!S214)</f>
        <v>5237507.3533259807</v>
      </c>
      <c r="T216" s="320">
        <f>IF('Perfil - interna'!T216+'Perfil - externa'!T214=0,0,'Perfil - interna'!T216+'Perfil - externa'!T214)</f>
        <v>2431882.126260478</v>
      </c>
      <c r="U216" s="320">
        <f>IF('Perfil - interna'!U216+'Perfil - externa'!U214=0,0,'Perfil - interna'!U216+'Perfil - externa'!U214)</f>
        <v>2134759.6209685104</v>
      </c>
      <c r="V216" s="320">
        <f>IF('Perfil - interna'!V216+'Perfil - externa'!V214=0,0,'Perfil - interna'!V216+'Perfil - externa'!V214)</f>
        <v>7507723.707754177</v>
      </c>
      <c r="W216" s="320">
        <f>IF('Perfil - interna'!W216+'Perfil - externa'!W214=0,0,'Perfil - interna'!W216+'Perfil - externa'!W214)</f>
        <v>1130232.2144185442</v>
      </c>
      <c r="X216" s="320">
        <f>IF('Perfil - interna'!X216+'Perfil - externa'!X214=0,0,'Perfil - interna'!X216+'Perfil - externa'!X214)</f>
        <v>972769.22055535344</v>
      </c>
      <c r="Y216" s="320">
        <f>IF('Perfil - interna'!Y216+'Perfil - externa'!Y214=0,0,'Perfil - interna'!Y216+'Perfil - externa'!Y214)</f>
        <v>925610.6300736065</v>
      </c>
      <c r="Z216" s="320">
        <f>IF('Perfil - interna'!Z216+'Perfil - externa'!Z214=0,0,'Perfil - interna'!Z216+'Perfil - externa'!Z214)</f>
        <v>3057443.5767199378</v>
      </c>
      <c r="AA216" s="320">
        <f>IF('Perfil - interna'!AA216+'Perfil - externa'!AA214=0,0,'Perfil - interna'!AA216+'Perfil - externa'!AA214)</f>
        <v>453660.8299476644</v>
      </c>
      <c r="AB216" s="320">
        <f>IF('Perfil - interna'!AB216+'Perfil - externa'!AB214=0,0,'Perfil - interna'!AB216+'Perfil - externa'!AB214)</f>
        <v>398374.69064373593</v>
      </c>
      <c r="AC216" s="320">
        <f>IF('Perfil - interna'!AC216+'Perfil - externa'!AC214=0,0,'Perfil - interna'!AC216+'Perfil - externa'!AC214)</f>
        <v>688823.5471963</v>
      </c>
      <c r="AD216" s="320">
        <f>IF('Perfil - interna'!AD216+'Perfil - externa'!AD214=0,0,'Perfil - interna'!AD216+'Perfil - externa'!AD214)</f>
        <v>331358.34141679399</v>
      </c>
      <c r="AE216" s="320">
        <f>IF('Perfil - interna'!AE216+'Perfil - externa'!AE214=0,0,'Perfil - interna'!AE216+'Perfil - externa'!AE214)</f>
        <v>298071.25178877497</v>
      </c>
      <c r="AF216" s="320">
        <f>IF('Perfil - interna'!AF216+'Perfil - externa'!AF214=0,0,'Perfil - interna'!AF216+'Perfil - externa'!AF214)</f>
        <v>277972.59322131838</v>
      </c>
      <c r="AG216" s="320">
        <f>IF('Perfil - interna'!AG216+'Perfil - externa'!AG214=0,0,'Perfil - interna'!AG216+'Perfil - externa'!AG214)</f>
        <v>264479.13879239256</v>
      </c>
      <c r="AH216" s="320">
        <f>IF('Perfil - interna'!AH216+'Perfil - externa'!AH214=0,0,'Perfil - interna'!AH216+'Perfil - externa'!AH214)</f>
        <v>258118.47978724158</v>
      </c>
      <c r="AI216" s="320">
        <f>IF('Perfil - interna'!AI216+'Perfil - externa'!AI214=0,0,'Perfil - interna'!AI216+'Perfil - externa'!AI214)</f>
        <v>1005630.6879091753</v>
      </c>
      <c r="AJ216" s="320">
        <f>IF('Perfil - interna'!AJ216+'Perfil - externa'!AJ214=0,0,'Perfil - interna'!AJ216+'Perfil - externa'!AJ214)</f>
        <v>176314.70457795501</v>
      </c>
      <c r="AK216" s="320">
        <f>IF('Perfil - interna'!AK216+'Perfil - externa'!AK214=0,0,'Perfil - interna'!AK216+'Perfil - externa'!AK214)</f>
        <v>170928.8399556884</v>
      </c>
      <c r="AL216" s="320">
        <f>IF('Perfil - interna'!AL216+'Perfil - externa'!AL214=0,0,'Perfil - interna'!AL216+'Perfil - externa'!AL214)</f>
        <v>170843.58437624882</v>
      </c>
      <c r="AM216" s="320">
        <f>IF('Perfil - interna'!AM216+'Perfil - externa'!AM214=0,0,'Perfil - interna'!AM216+'Perfil - externa'!AM214)</f>
        <v>2486139.2749999999</v>
      </c>
      <c r="AN216" s="320">
        <f>IF('Perfil - interna'!AN216+'Perfil - externa'!AN214=0,0,'Perfil - interna'!AN216+'Perfil - externa'!AN214)</f>
        <v>0</v>
      </c>
      <c r="AO216" s="320"/>
      <c r="AP216" s="320"/>
      <c r="AQ216" s="320"/>
      <c r="AR216" s="320"/>
      <c r="AS216" s="320"/>
      <c r="AT216" s="320"/>
      <c r="AU216" s="320"/>
      <c r="AV216" s="320"/>
      <c r="AW216" s="320"/>
      <c r="AX216" s="320"/>
      <c r="AY216" s="320"/>
      <c r="AZ216" s="320"/>
      <c r="BA216" s="320"/>
      <c r="BB216" s="320"/>
      <c r="BC216" s="320"/>
      <c r="BD216" s="320"/>
      <c r="BE216" s="320"/>
      <c r="BF216" s="320"/>
      <c r="BG216" s="320"/>
      <c r="BH216" s="320"/>
      <c r="BI216" s="320"/>
      <c r="BJ216" s="320"/>
      <c r="BK216" s="320"/>
    </row>
    <row r="217" spans="1:63">
      <c r="A217" s="167"/>
      <c r="B217" s="217" t="str">
        <f>Servicio_internaColumna_título_amortizaciones</f>
        <v>Amortizaciones</v>
      </c>
      <c r="C217" s="218"/>
      <c r="D217" s="219"/>
      <c r="E217" s="219"/>
      <c r="F217" s="219">
        <f>IF('Perfil - interna'!F217+'Perfil - externa'!F215=0,0,'Perfil - interna'!F217+'Perfil - externa'!F215)</f>
        <v>0</v>
      </c>
      <c r="G217" s="219">
        <f>IF('Perfil - interna'!G217+'Perfil - externa'!G215=0,0,'Perfil - interna'!G217+'Perfil - externa'!G215)</f>
        <v>0</v>
      </c>
      <c r="H217" s="219">
        <f>IF('Perfil - interna'!H217+'Perfil - externa'!H215=0,0,'Perfil - interna'!H217+'Perfil - externa'!H215)</f>
        <v>915909.71084061544</v>
      </c>
      <c r="I217" s="219">
        <f>IF('Perfil - interna'!I217+'Perfil - externa'!I215=0,0,'Perfil - interna'!I217+'Perfil - externa'!I215)</f>
        <v>22307511.874462597</v>
      </c>
      <c r="J217" s="219">
        <f>IF('Perfil - interna'!J217+'Perfil - externa'!J215=0,0,'Perfil - interna'!J217+'Perfil - externa'!J215)</f>
        <v>19446691.731155269</v>
      </c>
      <c r="K217" s="219">
        <f>IF('Perfil - interna'!K217+'Perfil - externa'!K215=0,0,'Perfil - interna'!K217+'Perfil - externa'!K215)</f>
        <v>12599189.497283911</v>
      </c>
      <c r="L217" s="219">
        <f>IF('Perfil - interna'!L217+'Perfil - externa'!L215=0,0,'Perfil - interna'!L217+'Perfil - externa'!L215)</f>
        <v>18011536.545041949</v>
      </c>
      <c r="M217" s="219">
        <f>IF('Perfil - interna'!M217+'Perfil - externa'!M215=0,0,'Perfil - interna'!M217+'Perfil - externa'!M215)</f>
        <v>7651496.6751011126</v>
      </c>
      <c r="N217" s="219">
        <f>IF('Perfil - interna'!N217+'Perfil - externa'!N215=0,0,'Perfil - interna'!N217+'Perfil - externa'!N215)</f>
        <v>12264658.989843586</v>
      </c>
      <c r="O217" s="219">
        <f>IF('Perfil - interna'!O217+'Perfil - externa'!O215=0,0,'Perfil - interna'!O217+'Perfil - externa'!O215)</f>
        <v>5955303.2324683471</v>
      </c>
      <c r="P217" s="219">
        <f>IF('Perfil - interna'!P217+'Perfil - externa'!P215=0,0,'Perfil - interna'!P217+'Perfil - externa'!P215)</f>
        <v>11397369.184104968</v>
      </c>
      <c r="Q217" s="219">
        <f>IF('Perfil - interna'!Q217+'Perfil - externa'!Q215=0,0,'Perfil - interna'!Q217+'Perfil - externa'!Q215)</f>
        <v>13911621.499470014</v>
      </c>
      <c r="R217" s="219">
        <f>IF('Perfil - interna'!R217+'Perfil - externa'!R215=0,0,'Perfil - interna'!R217+'Perfil - externa'!R215)</f>
        <v>2148760.2399976561</v>
      </c>
      <c r="S217" s="219">
        <f>IF('Perfil - interna'!S217+'Perfil - externa'!S215=0,0,'Perfil - interna'!S217+'Perfil - externa'!S215)</f>
        <v>3711906.7936295606</v>
      </c>
      <c r="T217" s="219">
        <f>IF('Perfil - interna'!T217+'Perfil - externa'!T215=0,0,'Perfil - interna'!T217+'Perfil - externa'!T215)</f>
        <v>1081157.5278093207</v>
      </c>
      <c r="U217" s="219">
        <f>IF('Perfil - interna'!U217+'Perfil - externa'!U215=0,0,'Perfil - interna'!U217+'Perfil - externa'!U215)</f>
        <v>839099.50500968262</v>
      </c>
      <c r="V217" s="219">
        <f>IF('Perfil - interna'!V217+'Perfil - externa'!V215=0,0,'Perfil - interna'!V217+'Perfil - externa'!V215)</f>
        <v>6951892.5355237238</v>
      </c>
      <c r="W217" s="219">
        <f>IF('Perfil - interna'!W217+'Perfil - externa'!W215=0,0,'Perfil - interna'!W217+'Perfil - externa'!W215)</f>
        <v>554506.60506971658</v>
      </c>
      <c r="X217" s="219">
        <f>IF('Perfil - interna'!X217+'Perfil - externa'!X215=0,0,'Perfil - interna'!X217+'Perfil - externa'!X215)</f>
        <v>424452.76867126249</v>
      </c>
      <c r="Y217" s="219">
        <f>IF('Perfil - interna'!Y217+'Perfil - externa'!Y215=0,0,'Perfil - interna'!Y217+'Perfil - externa'!Y215)</f>
        <v>398726.91545245762</v>
      </c>
      <c r="Z217" s="219">
        <f>IF('Perfil - interna'!Z217+'Perfil - externa'!Z215=0,0,'Perfil - interna'!Z217+'Perfil - externa'!Z215)</f>
        <v>2629398.4282555911</v>
      </c>
      <c r="AA217" s="219">
        <f>IF('Perfil - interna'!AA217+'Perfil - externa'!AA215=0,0,'Perfil - interna'!AA217+'Perfil - externa'!AA215)</f>
        <v>150203.85458019321</v>
      </c>
      <c r="AB217" s="219">
        <f>IF('Perfil - interna'!AB217+'Perfil - externa'!AB215=0,0,'Perfil - interna'!AB217+'Perfil - externa'!AB215)</f>
        <v>102174.93850575201</v>
      </c>
      <c r="AC217" s="219">
        <f>IF('Perfil - interna'!AC217+'Perfil - externa'!AC215=0,0,'Perfil - interna'!AC217+'Perfil - externa'!AC215)</f>
        <v>409997.66674488498</v>
      </c>
      <c r="AD217" s="219">
        <f>IF('Perfil - interna'!AD217+'Perfil - externa'!AD215=0,0,'Perfil - interna'!AD217+'Perfil - externa'!AD215)</f>
        <v>73241.051599055208</v>
      </c>
      <c r="AE217" s="219">
        <f>IF('Perfil - interna'!AE217+'Perfil - externa'!AE215=0,0,'Perfil - interna'!AE217+'Perfil - externa'!AE215)</f>
        <v>43638.011851540403</v>
      </c>
      <c r="AF217" s="219">
        <f>IF('Perfil - interna'!AF217+'Perfil - externa'!AF215=0,0,'Perfil - interna'!AF217+'Perfil - externa'!AF215)</f>
        <v>25272.3979710516</v>
      </c>
      <c r="AG217" s="219">
        <f>IF('Perfil - interna'!AG217+'Perfil - externa'!AG215=0,0,'Perfil - interna'!AG217+'Perfil - externa'!AG215)</f>
        <v>12494.732127163801</v>
      </c>
      <c r="AH217" s="219">
        <f>IF('Perfil - interna'!AH217+'Perfil - externa'!AH215=0,0,'Perfil - interna'!AH217+'Perfil - externa'!AH215)</f>
        <v>6381.7279482508002</v>
      </c>
      <c r="AI217" s="219">
        <f>IF('Perfil - interna'!AI217+'Perfil - externa'!AI215=0,0,'Perfil - interna'!AI217+'Perfil - externa'!AI215)</f>
        <v>789700.04256825079</v>
      </c>
      <c r="AJ217" s="219">
        <f>IF('Perfil - interna'!AJ217+'Perfil - externa'!AJ215=0,0,'Perfil - interna'!AJ217+'Perfil - externa'!AJ215)</f>
        <v>6381.7279482508002</v>
      </c>
      <c r="AK217" s="219">
        <f>IF('Perfil - interna'!AK217+'Perfil - externa'!AK215=0,0,'Perfil - interna'!AK217+'Perfil - externa'!AK215)</f>
        <v>1031.9139840628</v>
      </c>
      <c r="AL217" s="219">
        <f>IF('Perfil - interna'!AL217+'Perfil - externa'!AL215=0,0,'Perfil - interna'!AL217+'Perfil - externa'!AL215)</f>
        <v>830.4771086536</v>
      </c>
      <c r="AM217" s="219">
        <f>IF('Perfil - interna'!AM217+'Perfil - externa'!AM215=0,0,'Perfil - interna'!AM217+'Perfil - externa'!AM215)</f>
        <v>3377936.7280000001</v>
      </c>
      <c r="AN217" s="219">
        <f>IF('Perfil - interna'!AN217+'Perfil - externa'!AN215=0,0,'Perfil - interna'!AN217+'Perfil - externa'!AN215)</f>
        <v>0</v>
      </c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</row>
    <row r="218" spans="1:63">
      <c r="A218" s="170">
        <v>39051</v>
      </c>
      <c r="B218" s="220" t="str">
        <f>Servicio_internaColumna_título_intereses</f>
        <v>Intereses</v>
      </c>
      <c r="C218" s="221"/>
      <c r="D218" s="222"/>
      <c r="E218" s="222"/>
      <c r="F218" s="222">
        <f>IF('Perfil - interna'!F218+'Perfil - externa'!F216=0,0,'Perfil - interna'!F218+'Perfil - externa'!F216)</f>
        <v>0</v>
      </c>
      <c r="G218" s="222">
        <f>IF('Perfil - interna'!G218+'Perfil - externa'!G216=0,0,'Perfil - interna'!G218+'Perfil - externa'!G216)</f>
        <v>0</v>
      </c>
      <c r="H218" s="222">
        <f>IF('Perfil - interna'!H218+'Perfil - externa'!H216=0,0,'Perfil - interna'!H218+'Perfil - externa'!H216)</f>
        <v>520162.76651628257</v>
      </c>
      <c r="I218" s="222">
        <f>IF('Perfil - interna'!I218+'Perfil - externa'!I216=0,0,'Perfil - interna'!I218+'Perfil - externa'!I216)</f>
        <v>13757159.084587846</v>
      </c>
      <c r="J218" s="222">
        <f>IF('Perfil - interna'!J218+'Perfil - externa'!J216=0,0,'Perfil - interna'!J218+'Perfil - externa'!J216)</f>
        <v>11463441.495472163</v>
      </c>
      <c r="K218" s="222">
        <f>IF('Perfil - interna'!K218+'Perfil - externa'!K216=0,0,'Perfil - interna'!K218+'Perfil - externa'!K216)</f>
        <v>9267232.1613883935</v>
      </c>
      <c r="L218" s="222">
        <f>IF('Perfil - interna'!L218+'Perfil - externa'!L216=0,0,'Perfil - interna'!L218+'Perfil - externa'!L216)</f>
        <v>8066769.753148512</v>
      </c>
      <c r="M218" s="222">
        <f>IF('Perfil - interna'!M218+'Perfil - externa'!M216=0,0,'Perfil - interna'!M218+'Perfil - externa'!M216)</f>
        <v>6485462.1731997645</v>
      </c>
      <c r="N218" s="222">
        <f>IF('Perfil - interna'!N218+'Perfil - externa'!N216=0,0,'Perfil - interna'!N218+'Perfil - externa'!N216)</f>
        <v>5753738.7616659133</v>
      </c>
      <c r="O218" s="222">
        <f>IF('Perfil - interna'!O218+'Perfil - externa'!O216=0,0,'Perfil - interna'!O218+'Perfil - externa'!O216)</f>
        <v>4558445.5189678781</v>
      </c>
      <c r="P218" s="222">
        <f>IF('Perfil - interna'!P218+'Perfil - externa'!P216=0,0,'Perfil - interna'!P218+'Perfil - externa'!P216)</f>
        <v>4146241.0725509389</v>
      </c>
      <c r="Q218" s="222">
        <f>IF('Perfil - interna'!Q218+'Perfil - externa'!Q216=0,0,'Perfil - interna'!Q218+'Perfil - externa'!Q216)</f>
        <v>3022081.7018576926</v>
      </c>
      <c r="R218" s="222">
        <f>IF('Perfil - interna'!R218+'Perfil - externa'!R216=0,0,'Perfil - interna'!R218+'Perfil - externa'!R216)</f>
        <v>1834265.1381774014</v>
      </c>
      <c r="S218" s="222">
        <f>IF('Perfil - interna'!S218+'Perfil - externa'!S216=0,0,'Perfil - interna'!S218+'Perfil - externa'!S216)</f>
        <v>1641743.93230874</v>
      </c>
      <c r="T218" s="222">
        <f>IF('Perfil - interna'!T218+'Perfil - externa'!T216=0,0,'Perfil - interna'!T218+'Perfil - externa'!T216)</f>
        <v>1484645.9579331724</v>
      </c>
      <c r="U218" s="222">
        <f>IF('Perfil - interna'!U218+'Perfil - externa'!U216=0,0,'Perfil - interna'!U218+'Perfil - externa'!U216)</f>
        <v>1431020.1734834961</v>
      </c>
      <c r="V218" s="222">
        <f>IF('Perfil - interna'!V218+'Perfil - externa'!V216=0,0,'Perfil - interna'!V218+'Perfil - externa'!V216)</f>
        <v>1284113.2128238832</v>
      </c>
      <c r="W218" s="222">
        <f>IF('Perfil - interna'!W218+'Perfil - externa'!W216=0,0,'Perfil - interna'!W218+'Perfil - externa'!W216)</f>
        <v>648536.81408858462</v>
      </c>
      <c r="X218" s="222">
        <f>IF('Perfil - interna'!X218+'Perfil - externa'!X216=0,0,'Perfil - interna'!X218+'Perfil - externa'!X216)</f>
        <v>622122.29768385354</v>
      </c>
      <c r="Y218" s="222">
        <f>IF('Perfil - interna'!Y218+'Perfil - externa'!Y216=0,0,'Perfil - interna'!Y218+'Perfil - externa'!Y216)</f>
        <v>600990.63061521982</v>
      </c>
      <c r="Z218" s="222">
        <f>IF('Perfil - interna'!Z218+'Perfil - externa'!Z216=0,0,'Perfil - interna'!Z218+'Perfil - externa'!Z216)</f>
        <v>488379.2622035644</v>
      </c>
      <c r="AA218" s="222">
        <f>IF('Perfil - interna'!AA218+'Perfil - externa'!AA216=0,0,'Perfil - interna'!AA218+'Perfil - externa'!AA216)</f>
        <v>380615.77453846118</v>
      </c>
      <c r="AB218" s="222">
        <f>IF('Perfil - interna'!AB218+'Perfil - externa'!AB216=0,0,'Perfil - interna'!AB218+'Perfil - externa'!AB216)</f>
        <v>373717.03701800376</v>
      </c>
      <c r="AC218" s="222">
        <f>IF('Perfil - interna'!AC218+'Perfil - externa'!AC216=0,0,'Perfil - interna'!AC218+'Perfil - externa'!AC216)</f>
        <v>354875.76347678318</v>
      </c>
      <c r="AD218" s="222">
        <f>IF('Perfil - interna'!AD218+'Perfil - externa'!AD216=0,0,'Perfil - interna'!AD218+'Perfil - externa'!AD216)</f>
        <v>336459.51371743082</v>
      </c>
      <c r="AE218" s="222">
        <f>IF('Perfil - interna'!AE218+'Perfil - externa'!AE216=0,0,'Perfil - interna'!AE218+'Perfil - externa'!AE216)</f>
        <v>332973.24370144214</v>
      </c>
      <c r="AF218" s="222">
        <f>IF('Perfil - interna'!AF218+'Perfil - externa'!AF216=0,0,'Perfil - interna'!AF218+'Perfil - externa'!AF216)</f>
        <v>331352.76654724916</v>
      </c>
      <c r="AG218" s="222">
        <f>IF('Perfil - interna'!AG218+'Perfil - externa'!AG216=0,0,'Perfil - interna'!AG218+'Perfil - externa'!AG216)</f>
        <v>330706.86833015241</v>
      </c>
      <c r="AH218" s="222">
        <f>IF('Perfil - interna'!AH218+'Perfil - externa'!AH216=0,0,'Perfil - interna'!AH218+'Perfil - externa'!AH216)</f>
        <v>330483.01791058236</v>
      </c>
      <c r="AI218" s="222">
        <f>IF('Perfil - interna'!AI218+'Perfil - externa'!AI216=0,0,'Perfil - interna'!AI218+'Perfil - externa'!AI216)</f>
        <v>289829.83579139237</v>
      </c>
      <c r="AJ218" s="222">
        <f>IF('Perfil - interna'!AJ218+'Perfil - externa'!AJ216=0,0,'Perfil - interna'!AJ218+'Perfil - externa'!AJ216)</f>
        <v>249173.20301919823</v>
      </c>
      <c r="AK218" s="222">
        <f>IF('Perfil - interna'!AK218+'Perfil - externa'!AK216=0,0,'Perfil - interna'!AK218+'Perfil - externa'!AK216)</f>
        <v>249154.65845941863</v>
      </c>
      <c r="AL218" s="222">
        <f>IF('Perfil - interna'!AL218+'Perfil - externa'!AL216=0,0,'Perfil - interna'!AL218+'Perfil - externa'!AL216)</f>
        <v>249134.9370967838</v>
      </c>
      <c r="AM218" s="222">
        <f>IF('Perfil - interna'!AM218+'Perfil - externa'!AM216=0,0,'Perfil - interna'!AM218+'Perfil - externa'!AM216)</f>
        <v>249122.83369</v>
      </c>
      <c r="AN218" s="222">
        <f>IF('Perfil - interna'!AN218+'Perfil - externa'!AN216=0,0,'Perfil - interna'!AN218+'Perfil - externa'!AN216)</f>
        <v>0</v>
      </c>
      <c r="AO218" s="222"/>
      <c r="AP218" s="222"/>
      <c r="AQ218" s="222"/>
      <c r="AR218" s="222"/>
      <c r="AS218" s="222"/>
      <c r="AT218" s="222"/>
      <c r="AU218" s="222"/>
      <c r="AV218" s="222"/>
      <c r="AW218" s="222"/>
      <c r="AX218" s="222"/>
      <c r="AY218" s="222"/>
      <c r="AZ218" s="222"/>
      <c r="BA218" s="222"/>
      <c r="BB218" s="222"/>
      <c r="BC218" s="222"/>
      <c r="BD218" s="222"/>
      <c r="BE218" s="222"/>
      <c r="BF218" s="222"/>
      <c r="BG218" s="222"/>
      <c r="BH218" s="222"/>
      <c r="BI218" s="222"/>
      <c r="BJ218" s="222"/>
      <c r="BK218" s="222"/>
    </row>
    <row r="219" spans="1:63">
      <c r="A219" s="171"/>
      <c r="B219" s="318" t="str">
        <f>Servicio_internaColumna_título_total</f>
        <v>Total</v>
      </c>
      <c r="C219" s="319"/>
      <c r="D219" s="320"/>
      <c r="E219" s="320"/>
      <c r="F219" s="320">
        <f>IF('Perfil - interna'!F219+'Perfil - externa'!F217=0,0,'Perfil - interna'!F219+'Perfil - externa'!F217)</f>
        <v>0</v>
      </c>
      <c r="G219" s="320">
        <f>IF('Perfil - interna'!G219+'Perfil - externa'!G217=0,0,'Perfil - interna'!G219+'Perfil - externa'!G217)</f>
        <v>0</v>
      </c>
      <c r="H219" s="320">
        <f>IF('Perfil - interna'!H219+'Perfil - externa'!H217=0,0,'Perfil - interna'!H219+'Perfil - externa'!H217)</f>
        <v>1436072.4773568981</v>
      </c>
      <c r="I219" s="320">
        <f>IF('Perfil - interna'!I219+'Perfil - externa'!I217=0,0,'Perfil - interna'!I219+'Perfil - externa'!I217)</f>
        <v>36064670.959050447</v>
      </c>
      <c r="J219" s="320">
        <f>IF('Perfil - interna'!J219+'Perfil - externa'!J217=0,0,'Perfil - interna'!J219+'Perfil - externa'!J217)</f>
        <v>30910133.226627432</v>
      </c>
      <c r="K219" s="320">
        <f>IF('Perfil - interna'!K219+'Perfil - externa'!K217=0,0,'Perfil - interna'!K219+'Perfil - externa'!K217)</f>
        <v>21866421.658672303</v>
      </c>
      <c r="L219" s="320">
        <f>IF('Perfil - interna'!L219+'Perfil - externa'!L217=0,0,'Perfil - interna'!L219+'Perfil - externa'!L217)</f>
        <v>26078306.29819046</v>
      </c>
      <c r="M219" s="320">
        <f>IF('Perfil - interna'!M219+'Perfil - externa'!M217=0,0,'Perfil - interna'!M219+'Perfil - externa'!M217)</f>
        <v>14136958.848300878</v>
      </c>
      <c r="N219" s="320">
        <f>IF('Perfil - interna'!N219+'Perfil - externa'!N217=0,0,'Perfil - interna'!N219+'Perfil - externa'!N217)</f>
        <v>18018397.751509499</v>
      </c>
      <c r="O219" s="320">
        <f>IF('Perfil - interna'!O219+'Perfil - externa'!O217=0,0,'Perfil - interna'!O219+'Perfil - externa'!O217)</f>
        <v>10513748.751436224</v>
      </c>
      <c r="P219" s="320">
        <f>IF('Perfil - interna'!P219+'Perfil - externa'!P217=0,0,'Perfil - interna'!P219+'Perfil - externa'!P217)</f>
        <v>15543610.256655907</v>
      </c>
      <c r="Q219" s="320">
        <f>IF('Perfil - interna'!Q219+'Perfil - externa'!Q217=0,0,'Perfil - interna'!Q219+'Perfil - externa'!Q217)</f>
        <v>16933703.201327708</v>
      </c>
      <c r="R219" s="320">
        <f>IF('Perfil - interna'!R219+'Perfil - externa'!R217=0,0,'Perfil - interna'!R219+'Perfil - externa'!R217)</f>
        <v>3983025.3781750575</v>
      </c>
      <c r="S219" s="320">
        <f>IF('Perfil - interna'!S219+'Perfil - externa'!S217=0,0,'Perfil - interna'!S219+'Perfil - externa'!S217)</f>
        <v>5353650.7259383006</v>
      </c>
      <c r="T219" s="320">
        <f>IF('Perfil - interna'!T219+'Perfil - externa'!T217=0,0,'Perfil - interna'!T219+'Perfil - externa'!T217)</f>
        <v>2565803.4857424931</v>
      </c>
      <c r="U219" s="320">
        <f>IF('Perfil - interna'!U219+'Perfil - externa'!U217=0,0,'Perfil - interna'!U219+'Perfil - externa'!U217)</f>
        <v>2270119.6784931789</v>
      </c>
      <c r="V219" s="320">
        <f>IF('Perfil - interna'!V219+'Perfil - externa'!V217=0,0,'Perfil - interna'!V219+'Perfil - externa'!V217)</f>
        <v>8236005.7483476074</v>
      </c>
      <c r="W219" s="320">
        <f>IF('Perfil - interna'!W219+'Perfil - externa'!W217=0,0,'Perfil - interna'!W219+'Perfil - externa'!W217)</f>
        <v>1203043.4191583013</v>
      </c>
      <c r="X219" s="320">
        <f>IF('Perfil - interna'!X219+'Perfil - externa'!X217=0,0,'Perfil - interna'!X219+'Perfil - externa'!X217)</f>
        <v>1046575.066355116</v>
      </c>
      <c r="Y219" s="320">
        <f>IF('Perfil - interna'!Y219+'Perfil - externa'!Y217=0,0,'Perfil - interna'!Y219+'Perfil - externa'!Y217)</f>
        <v>999717.54606767744</v>
      </c>
      <c r="Z219" s="320">
        <f>IF('Perfil - interna'!Z219+'Perfil - externa'!Z217=0,0,'Perfil - interna'!Z219+'Perfil - externa'!Z217)</f>
        <v>3117777.6904591555</v>
      </c>
      <c r="AA219" s="320">
        <f>IF('Perfil - interna'!AA219+'Perfil - externa'!AA217=0,0,'Perfil - interna'!AA219+'Perfil - externa'!AA217)</f>
        <v>530819.62911865441</v>
      </c>
      <c r="AB219" s="320">
        <f>IF('Perfil - interna'!AB219+'Perfil - externa'!AB217=0,0,'Perfil - interna'!AB219+'Perfil - externa'!AB217)</f>
        <v>475891.97552375577</v>
      </c>
      <c r="AC219" s="320">
        <f>IF('Perfil - interna'!AC219+'Perfil - externa'!AC217=0,0,'Perfil - interna'!AC219+'Perfil - externa'!AC217)</f>
        <v>764873.43022166821</v>
      </c>
      <c r="AD219" s="320">
        <f>IF('Perfil - interna'!AD219+'Perfil - externa'!AD217=0,0,'Perfil - interna'!AD219+'Perfil - externa'!AD217)</f>
        <v>409700.56531648606</v>
      </c>
      <c r="AE219" s="320">
        <f>IF('Perfil - interna'!AE219+'Perfil - externa'!AE217=0,0,'Perfil - interna'!AE219+'Perfil - externa'!AE217)</f>
        <v>376611.25555298256</v>
      </c>
      <c r="AF219" s="320">
        <f>IF('Perfil - interna'!AF219+'Perfil - externa'!AF217=0,0,'Perfil - interna'!AF219+'Perfil - externa'!AF217)</f>
        <v>356625.16451830079</v>
      </c>
      <c r="AG219" s="320">
        <f>IF('Perfil - interna'!AG219+'Perfil - externa'!AG217=0,0,'Perfil - interna'!AG219+'Perfil - externa'!AG217)</f>
        <v>343201.60045731621</v>
      </c>
      <c r="AH219" s="320">
        <f>IF('Perfil - interna'!AH219+'Perfil - externa'!AH217=0,0,'Perfil - interna'!AH219+'Perfil - externa'!AH217)</f>
        <v>336864.74585883314</v>
      </c>
      <c r="AI219" s="320">
        <f>IF('Perfil - interna'!AI219+'Perfil - externa'!AI217=0,0,'Perfil - interna'!AI219+'Perfil - externa'!AI217)</f>
        <v>1079529.8783596433</v>
      </c>
      <c r="AJ219" s="320">
        <f>IF('Perfil - interna'!AJ219+'Perfil - externa'!AJ217=0,0,'Perfil - interna'!AJ219+'Perfil - externa'!AJ217)</f>
        <v>255554.93096744904</v>
      </c>
      <c r="AK219" s="320">
        <f>IF('Perfil - interna'!AK219+'Perfil - externa'!AK217=0,0,'Perfil - interna'!AK219+'Perfil - externa'!AK217)</f>
        <v>250186.57244348142</v>
      </c>
      <c r="AL219" s="320">
        <f>IF('Perfil - interna'!AL219+'Perfil - externa'!AL217=0,0,'Perfil - interna'!AL219+'Perfil - externa'!AL217)</f>
        <v>249965.41420543741</v>
      </c>
      <c r="AM219" s="320">
        <f>IF('Perfil - interna'!AM219+'Perfil - externa'!AM217=0,0,'Perfil - interna'!AM219+'Perfil - externa'!AM217)</f>
        <v>3627059.5616899999</v>
      </c>
      <c r="AN219" s="320">
        <f>IF('Perfil - interna'!AN219+'Perfil - externa'!AN217=0,0,'Perfil - interna'!AN219+'Perfil - externa'!AN217)</f>
        <v>0</v>
      </c>
      <c r="AO219" s="320"/>
      <c r="AP219" s="320"/>
      <c r="AQ219" s="320"/>
      <c r="AR219" s="320"/>
      <c r="AS219" s="320"/>
      <c r="AT219" s="320"/>
      <c r="AU219" s="320"/>
      <c r="AV219" s="320"/>
      <c r="AW219" s="320"/>
      <c r="AX219" s="320"/>
      <c r="AY219" s="320"/>
      <c r="AZ219" s="320"/>
      <c r="BA219" s="320"/>
      <c r="BB219" s="320"/>
      <c r="BC219" s="320"/>
      <c r="BD219" s="320"/>
      <c r="BE219" s="320"/>
      <c r="BF219" s="320"/>
      <c r="BG219" s="320"/>
      <c r="BH219" s="320"/>
      <c r="BI219" s="320"/>
      <c r="BJ219" s="320"/>
      <c r="BK219" s="320"/>
    </row>
    <row r="220" spans="1:63">
      <c r="A220" s="167"/>
      <c r="B220" s="217" t="str">
        <f>Servicio_internaColumna_título_amortizaciones</f>
        <v>Amortizaciones</v>
      </c>
      <c r="C220" s="218"/>
      <c r="D220" s="219"/>
      <c r="E220" s="219"/>
      <c r="F220" s="219">
        <f>IF('Perfil - interna'!F220+'Perfil - externa'!F218=0,0,'Perfil - interna'!F220+'Perfil - externa'!F218)</f>
        <v>0</v>
      </c>
      <c r="G220" s="219">
        <f>IF('Perfil - interna'!G220+'Perfil - externa'!G218=0,0,'Perfil - interna'!G220+'Perfil - externa'!G218)</f>
        <v>0</v>
      </c>
      <c r="H220" s="219">
        <f>IF('Perfil - interna'!H220+'Perfil - externa'!H218=0,0,'Perfil - interna'!H220+'Perfil - externa'!H218)</f>
        <v>0</v>
      </c>
      <c r="I220" s="219">
        <f>IF('Perfil - interna'!I220+'Perfil - externa'!I218=0,0,'Perfil - interna'!I220+'Perfil - externa'!I218)</f>
        <v>23018627.059116624</v>
      </c>
      <c r="J220" s="219">
        <f>IF('Perfil - interna'!J220+'Perfil - externa'!J218=0,0,'Perfil - interna'!J220+'Perfil - externa'!J218)</f>
        <v>19633774.496347271</v>
      </c>
      <c r="K220" s="219">
        <f>IF('Perfil - interna'!K220+'Perfil - externa'!K218=0,0,'Perfil - interna'!K220+'Perfil - externa'!K218)</f>
        <v>12491955.963713273</v>
      </c>
      <c r="L220" s="219">
        <f>IF('Perfil - interna'!L220+'Perfil - externa'!L218=0,0,'Perfil - interna'!L220+'Perfil - externa'!L218)</f>
        <v>18083336.492118299</v>
      </c>
      <c r="M220" s="219">
        <f>IF('Perfil - interna'!M220+'Perfil - externa'!M218=0,0,'Perfil - interna'!M220+'Perfil - externa'!M218)</f>
        <v>7603742.6106109228</v>
      </c>
      <c r="N220" s="219">
        <f>IF('Perfil - interna'!N220+'Perfil - externa'!N218=0,0,'Perfil - interna'!N220+'Perfil - externa'!N218)</f>
        <v>12162059.226835694</v>
      </c>
      <c r="O220" s="219">
        <f>IF('Perfil - interna'!O220+'Perfil - externa'!O218=0,0,'Perfil - interna'!O220+'Perfil - externa'!O218)</f>
        <v>6189093.6661322415</v>
      </c>
      <c r="P220" s="219">
        <f>IF('Perfil - interna'!P220+'Perfil - externa'!P218=0,0,'Perfil - interna'!P220+'Perfil - externa'!P218)</f>
        <v>11293809.673547154</v>
      </c>
      <c r="Q220" s="219">
        <f>IF('Perfil - interna'!Q220+'Perfil - externa'!Q218=0,0,'Perfil - interna'!Q220+'Perfil - externa'!Q218)</f>
        <v>13792892.426628828</v>
      </c>
      <c r="R220" s="219">
        <f>IF('Perfil - interna'!R220+'Perfil - externa'!R218=0,0,'Perfil - interna'!R220+'Perfil - externa'!R218)</f>
        <v>2205574.6453228705</v>
      </c>
      <c r="S220" s="219">
        <f>IF('Perfil - interna'!S220+'Perfil - externa'!S218=0,0,'Perfil - interna'!S220+'Perfil - externa'!S218)</f>
        <v>3722736.1211884273</v>
      </c>
      <c r="T220" s="219">
        <f>IF('Perfil - interna'!T220+'Perfil - externa'!T218=0,0,'Perfil - interna'!T220+'Perfil - externa'!T218)</f>
        <v>1209550.9623679556</v>
      </c>
      <c r="U220" s="219">
        <f>IF('Perfil - interna'!U220+'Perfil - externa'!U218=0,0,'Perfil - interna'!U220+'Perfil - externa'!U218)</f>
        <v>975744.90297252906</v>
      </c>
      <c r="V220" s="219">
        <f>IF('Perfil - interna'!V220+'Perfil - externa'!V218=0,0,'Perfil - interna'!V220+'Perfil - externa'!V218)</f>
        <v>6956246.9853948075</v>
      </c>
      <c r="W220" s="219">
        <f>IF('Perfil - interna'!W220+'Perfil - externa'!W218=0,0,'Perfil - interna'!W220+'Perfil - externa'!W218)</f>
        <v>586879.69389747456</v>
      </c>
      <c r="X220" s="219">
        <f>IF('Perfil - interna'!X220+'Perfil - externa'!X218=0,0,'Perfil - interna'!X220+'Perfil - externa'!X218)</f>
        <v>460225.07838843536</v>
      </c>
      <c r="Y220" s="219">
        <f>IF('Perfil - interna'!Y220+'Perfil - externa'!Y218=0,0,'Perfil - interna'!Y220+'Perfil - externa'!Y218)</f>
        <v>435036.58989595977</v>
      </c>
      <c r="Z220" s="219">
        <f>IF('Perfil - interna'!Z220+'Perfil - externa'!Z218=0,0,'Perfil - interna'!Z220+'Perfil - externa'!Z218)</f>
        <v>2583648.3692763331</v>
      </c>
      <c r="AA220" s="219">
        <f>IF('Perfil - interna'!AA220+'Perfil - externa'!AA218=0,0,'Perfil - interna'!AA220+'Perfil - externa'!AA218)</f>
        <v>170873.30228911201</v>
      </c>
      <c r="AB220" s="219">
        <f>IF('Perfil - interna'!AB220+'Perfil - externa'!AB218=0,0,'Perfil - interna'!AB220+'Perfil - externa'!AB218)</f>
        <v>122639.05339239258</v>
      </c>
      <c r="AC220" s="219">
        <f>IF('Perfil - interna'!AC220+'Perfil - externa'!AC218=0,0,'Perfil - interna'!AC220+'Perfil - externa'!AC218)</f>
        <v>421817.40975315229</v>
      </c>
      <c r="AD220" s="219">
        <f>IF('Perfil - interna'!AD220+'Perfil - externa'!AD218=0,0,'Perfil - interna'!AD220+'Perfil - externa'!AD218)</f>
        <v>93690.959054451014</v>
      </c>
      <c r="AE220" s="219">
        <f>IF('Perfil - interna'!AE220+'Perfil - externa'!AE218=0,0,'Perfil - interna'!AE220+'Perfil - externa'!AE218)</f>
        <v>64881.007238548402</v>
      </c>
      <c r="AF220" s="219">
        <f>IF('Perfil - interna'!AF220+'Perfil - externa'!AF218=0,0,'Perfil - interna'!AF220+'Perfil - externa'!AF218)</f>
        <v>47007.422110832791</v>
      </c>
      <c r="AG220" s="219">
        <f>IF('Perfil - interna'!AG220+'Perfil - externa'!AG218=0,0,'Perfil - interna'!AG220+'Perfil - externa'!AG218)</f>
        <v>34572.079645266698</v>
      </c>
      <c r="AH220" s="219">
        <f>IF('Perfil - interna'!AH220+'Perfil - externa'!AH218=0,0,'Perfil - interna'!AH220+'Perfil - externa'!AH218)</f>
        <v>6234.9474938731992</v>
      </c>
      <c r="AI220" s="219">
        <f>IF('Perfil - interna'!AI220+'Perfil - externa'!AI218=0,0,'Perfil - interna'!AI220+'Perfil - externa'!AI218)</f>
        <v>768567.56918387313</v>
      </c>
      <c r="AJ220" s="219">
        <f>IF('Perfil - interna'!AJ220+'Perfil - externa'!AJ218=0,0,'Perfil - interna'!AJ220+'Perfil - externa'!AJ218)</f>
        <v>6234.9474938731992</v>
      </c>
      <c r="AK220" s="219">
        <f>IF('Perfil - interna'!AK220+'Perfil - externa'!AK218=0,0,'Perfil - interna'!AK220+'Perfil - externa'!AK218)</f>
        <v>1028.4591113672</v>
      </c>
      <c r="AL220" s="219">
        <f>IF('Perfil - interna'!AL220+'Perfil - externa'!AL218=0,0,'Perfil - interna'!AL220+'Perfil - externa'!AL218)</f>
        <v>945.28470468219996</v>
      </c>
      <c r="AM220" s="219">
        <f>IF('Perfil - interna'!AM220+'Perfil - externa'!AM218=0,0,'Perfil - interna'!AM220+'Perfil - externa'!AM218)</f>
        <v>3287733.0867471336</v>
      </c>
      <c r="AN220" s="219">
        <f>IF('Perfil - interna'!AN220+'Perfil - externa'!AN218=0,0,'Perfil - interna'!AN220+'Perfil - externa'!AN218)</f>
        <v>0</v>
      </c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</row>
    <row r="221" spans="1:63">
      <c r="A221" s="170">
        <v>39082</v>
      </c>
      <c r="B221" s="220" t="str">
        <f>Servicio_internaColumna_título_intereses</f>
        <v>Intereses</v>
      </c>
      <c r="C221" s="221"/>
      <c r="D221" s="222"/>
      <c r="E221" s="222"/>
      <c r="F221" s="222">
        <f>IF('Perfil - interna'!F221+'Perfil - externa'!F219=0,0,'Perfil - interna'!F221+'Perfil - externa'!F219)</f>
        <v>0</v>
      </c>
      <c r="G221" s="222">
        <f>IF('Perfil - interna'!G221+'Perfil - externa'!G219=0,0,'Perfil - interna'!G221+'Perfil - externa'!G219)</f>
        <v>0</v>
      </c>
      <c r="H221" s="222">
        <f>IF('Perfil - interna'!H221+'Perfil - externa'!H219=0,0,'Perfil - interna'!H221+'Perfil - externa'!H219)</f>
        <v>0</v>
      </c>
      <c r="I221" s="222">
        <f>IF('Perfil - interna'!I221+'Perfil - externa'!I219=0,0,'Perfil - interna'!I221+'Perfil - externa'!I219)</f>
        <v>13747428.727908857</v>
      </c>
      <c r="J221" s="222">
        <f>IF('Perfil - interna'!J221+'Perfil - externa'!J219=0,0,'Perfil - interna'!J221+'Perfil - externa'!J219)</f>
        <v>11508344.991240036</v>
      </c>
      <c r="K221" s="222">
        <f>IF('Perfil - interna'!K221+'Perfil - externa'!K219=0,0,'Perfil - interna'!K221+'Perfil - externa'!K219)</f>
        <v>9293599.6609793343</v>
      </c>
      <c r="L221" s="222">
        <f>IF('Perfil - interna'!L221+'Perfil - externa'!L219=0,0,'Perfil - interna'!L221+'Perfil - externa'!L219)</f>
        <v>8130184.9003646681</v>
      </c>
      <c r="M221" s="222">
        <f>IF('Perfil - interna'!M221+'Perfil - externa'!M219=0,0,'Perfil - interna'!M221+'Perfil - externa'!M219)</f>
        <v>6508823.1390117854</v>
      </c>
      <c r="N221" s="222">
        <f>IF('Perfil - interna'!N221+'Perfil - externa'!N219=0,0,'Perfil - interna'!N221+'Perfil - externa'!N219)</f>
        <v>5751946.9078651266</v>
      </c>
      <c r="O221" s="222">
        <f>IF('Perfil - interna'!O221+'Perfil - externa'!O219=0,0,'Perfil - interna'!O221+'Perfil - externa'!O219)</f>
        <v>4552592.082342295</v>
      </c>
      <c r="P221" s="222">
        <f>IF('Perfil - interna'!P221+'Perfil - externa'!P219=0,0,'Perfil - interna'!P221+'Perfil - externa'!P219)</f>
        <v>4141365.2134973365</v>
      </c>
      <c r="Q221" s="222">
        <f>IF('Perfil - interna'!Q221+'Perfil - externa'!Q219=0,0,'Perfil - interna'!Q221+'Perfil - externa'!Q219)</f>
        <v>3024441.2348557529</v>
      </c>
      <c r="R221" s="222">
        <f>IF('Perfil - interna'!R221+'Perfil - externa'!R219=0,0,'Perfil - interna'!R221+'Perfil - externa'!R219)</f>
        <v>1848945.3046500194</v>
      </c>
      <c r="S221" s="222">
        <f>IF('Perfil - interna'!S221+'Perfil - externa'!S219=0,0,'Perfil - interna'!S221+'Perfil - externa'!S219)</f>
        <v>1655084.782777875</v>
      </c>
      <c r="T221" s="222">
        <f>IF('Perfil - interna'!T221+'Perfil - externa'!T219=0,0,'Perfil - interna'!T221+'Perfil - externa'!T219)</f>
        <v>1494696.1625855574</v>
      </c>
      <c r="U221" s="222">
        <f>IF('Perfil - interna'!U221+'Perfil - externa'!U219=0,0,'Perfil - interna'!U221+'Perfil - externa'!U219)</f>
        <v>1433854.5110998966</v>
      </c>
      <c r="V221" s="222">
        <f>IF('Perfil - interna'!V221+'Perfil - externa'!V219=0,0,'Perfil - interna'!V221+'Perfil - externa'!V219)</f>
        <v>1283108.4620637116</v>
      </c>
      <c r="W221" s="222">
        <f>IF('Perfil - interna'!W221+'Perfil - externa'!W219=0,0,'Perfil - interna'!W221+'Perfil - externa'!W219)</f>
        <v>647678.98758827476</v>
      </c>
      <c r="X221" s="222">
        <f>IF('Perfil - interna'!X221+'Perfil - externa'!X219=0,0,'Perfil - interna'!X221+'Perfil - externa'!X219)</f>
        <v>619473.80609264143</v>
      </c>
      <c r="Y221" s="222">
        <f>IF('Perfil - interna'!Y221+'Perfil - externa'!Y219=0,0,'Perfil - interna'!Y221+'Perfil - externa'!Y219)</f>
        <v>596324.10816116713</v>
      </c>
      <c r="Z221" s="222">
        <f>IF('Perfil - interna'!Z221+'Perfil - externa'!Z219=0,0,'Perfil - interna'!Z221+'Perfil - externa'!Z219)</f>
        <v>484494.63423451781</v>
      </c>
      <c r="AA221" s="222">
        <f>IF('Perfil - interna'!AA221+'Perfil - externa'!AA219=0,0,'Perfil - interna'!AA221+'Perfil - externa'!AA219)</f>
        <v>378354.66628960054</v>
      </c>
      <c r="AB221" s="222">
        <f>IF('Perfil - interna'!AB221+'Perfil - externa'!AB219=0,0,'Perfil - interna'!AB221+'Perfil - externa'!AB219)</f>
        <v>370412.65239079832</v>
      </c>
      <c r="AC221" s="222">
        <f>IF('Perfil - interna'!AC221+'Perfil - externa'!AC219=0,0,'Perfil - interna'!AC221+'Perfil - externa'!AC219)</f>
        <v>350866.74699089333</v>
      </c>
      <c r="AD221" s="222">
        <f>IF('Perfil - interna'!AD221+'Perfil - externa'!AD219=0,0,'Perfil - interna'!AD221+'Perfil - externa'!AD219)</f>
        <v>331781.64802029682</v>
      </c>
      <c r="AE221" s="222">
        <f>IF('Perfil - interna'!AE221+'Perfil - externa'!AE219=0,0,'Perfil - interna'!AE221+'Perfil - externa'!AE219)</f>
        <v>327235.35888355982</v>
      </c>
      <c r="AF221" s="222">
        <f>IF('Perfil - interna'!AF221+'Perfil - externa'!AF219=0,0,'Perfil - interna'!AF221+'Perfil - externa'!AF219)</f>
        <v>324504.87655516912</v>
      </c>
      <c r="AG221" s="222">
        <f>IF('Perfil - interna'!AG221+'Perfil - externa'!AG219=0,0,'Perfil - interna'!AG221+'Perfil - externa'!AG219)</f>
        <v>322722.86349829624</v>
      </c>
      <c r="AH221" s="222">
        <f>IF('Perfil - interna'!AH221+'Perfil - externa'!AH219=0,0,'Perfil - interna'!AH221+'Perfil - externa'!AH219)</f>
        <v>321639.8353806684</v>
      </c>
      <c r="AI221" s="222">
        <f>IF('Perfil - interna'!AI221+'Perfil - externa'!AI219=0,0,'Perfil - interna'!AI221+'Perfil - externa'!AI219)</f>
        <v>282075.34081090207</v>
      </c>
      <c r="AJ221" s="222">
        <f>IF('Perfil - interna'!AJ221+'Perfil - externa'!AJ219=0,0,'Perfil - interna'!AJ221+'Perfil - externa'!AJ219)</f>
        <v>242507.48801135999</v>
      </c>
      <c r="AK221" s="222">
        <f>IF('Perfil - interna'!AK221+'Perfil - externa'!AK219=0,0,'Perfil - interna'!AK221+'Perfil - externa'!AK219)</f>
        <v>242488.99815818062</v>
      </c>
      <c r="AL221" s="222">
        <f>IF('Perfil - interna'!AL221+'Perfil - externa'!AL219=0,0,'Perfil - interna'!AL221+'Perfil - externa'!AL219)</f>
        <v>242470.50832738908</v>
      </c>
      <c r="AM221" s="222">
        <f>IF('Perfil - interna'!AM221+'Perfil - externa'!AM219=0,0,'Perfil - interna'!AM221+'Perfil - externa'!AM219)</f>
        <v>242451.58215642659</v>
      </c>
      <c r="AN221" s="222">
        <f>IF('Perfil - interna'!AN221+'Perfil - externa'!AN219=0,0,'Perfil - interna'!AN221+'Perfil - externa'!AN219)</f>
        <v>0</v>
      </c>
      <c r="AO221" s="222"/>
      <c r="AP221" s="222"/>
      <c r="AQ221" s="222"/>
      <c r="AR221" s="222"/>
      <c r="AS221" s="222"/>
      <c r="AT221" s="222"/>
      <c r="AU221" s="222"/>
      <c r="AV221" s="222"/>
      <c r="AW221" s="222"/>
      <c r="AX221" s="222"/>
      <c r="AY221" s="222"/>
      <c r="AZ221" s="222"/>
      <c r="BA221" s="222"/>
      <c r="BB221" s="222"/>
      <c r="BC221" s="222"/>
      <c r="BD221" s="222"/>
      <c r="BE221" s="222"/>
      <c r="BF221" s="222"/>
      <c r="BG221" s="222"/>
      <c r="BH221" s="222"/>
      <c r="BI221" s="222"/>
      <c r="BJ221" s="222"/>
      <c r="BK221" s="222"/>
    </row>
    <row r="222" spans="1:63">
      <c r="A222" s="171"/>
      <c r="B222" s="318" t="str">
        <f>Servicio_internaColumna_título_total</f>
        <v>Total</v>
      </c>
      <c r="C222" s="319"/>
      <c r="D222" s="320"/>
      <c r="E222" s="320"/>
      <c r="F222" s="320">
        <f>IF('Perfil - interna'!F222+'Perfil - externa'!F220=0,0,'Perfil - interna'!F222+'Perfil - externa'!F220)</f>
        <v>0</v>
      </c>
      <c r="G222" s="320">
        <f>IF('Perfil - interna'!G222+'Perfil - externa'!G220=0,0,'Perfil - interna'!G222+'Perfil - externa'!G220)</f>
        <v>0</v>
      </c>
      <c r="H222" s="320">
        <f>IF('Perfil - interna'!H222+'Perfil - externa'!H220=0,0,'Perfil - interna'!H222+'Perfil - externa'!H220)</f>
        <v>0</v>
      </c>
      <c r="I222" s="320">
        <f>IF('Perfil - interna'!I222+'Perfil - externa'!I220=0,0,'Perfil - interna'!I222+'Perfil - externa'!I220)</f>
        <v>36766055.787025481</v>
      </c>
      <c r="J222" s="320">
        <f>IF('Perfil - interna'!J222+'Perfil - externa'!J220=0,0,'Perfil - interna'!J222+'Perfil - externa'!J220)</f>
        <v>31142119.487587307</v>
      </c>
      <c r="K222" s="320">
        <f>IF('Perfil - interna'!K222+'Perfil - externa'!K220=0,0,'Perfil - interna'!K222+'Perfil - externa'!K220)</f>
        <v>21785555.624692611</v>
      </c>
      <c r="L222" s="320">
        <f>IF('Perfil - interna'!L222+'Perfil - externa'!L220=0,0,'Perfil - interna'!L222+'Perfil - externa'!L220)</f>
        <v>26213521.392482966</v>
      </c>
      <c r="M222" s="320">
        <f>IF('Perfil - interna'!M222+'Perfil - externa'!M220=0,0,'Perfil - interna'!M222+'Perfil - externa'!M220)</f>
        <v>14112565.749622708</v>
      </c>
      <c r="N222" s="320">
        <f>IF('Perfil - interna'!N222+'Perfil - externa'!N220=0,0,'Perfil - interna'!N222+'Perfil - externa'!N220)</f>
        <v>17914006.13470082</v>
      </c>
      <c r="O222" s="320">
        <f>IF('Perfil - interna'!O222+'Perfil - externa'!O220=0,0,'Perfil - interna'!O222+'Perfil - externa'!O220)</f>
        <v>10741685.748474536</v>
      </c>
      <c r="P222" s="320">
        <f>IF('Perfil - interna'!P222+'Perfil - externa'!P220=0,0,'Perfil - interna'!P222+'Perfil - externa'!P220)</f>
        <v>15435174.887044491</v>
      </c>
      <c r="Q222" s="320">
        <f>IF('Perfil - interna'!Q222+'Perfil - externa'!Q220=0,0,'Perfil - interna'!Q222+'Perfil - externa'!Q220)</f>
        <v>16817333.661484584</v>
      </c>
      <c r="R222" s="320">
        <f>IF('Perfil - interna'!R222+'Perfil - externa'!R220=0,0,'Perfil - interna'!R222+'Perfil - externa'!R220)</f>
        <v>4054519.9499728899</v>
      </c>
      <c r="S222" s="320">
        <f>IF('Perfil - interna'!S222+'Perfil - externa'!S220=0,0,'Perfil - interna'!S222+'Perfil - externa'!S220)</f>
        <v>5377820.9039663021</v>
      </c>
      <c r="T222" s="320">
        <f>IF('Perfil - interna'!T222+'Perfil - externa'!T220=0,0,'Perfil - interna'!T222+'Perfil - externa'!T220)</f>
        <v>2704247.1249535135</v>
      </c>
      <c r="U222" s="320">
        <f>IF('Perfil - interna'!U222+'Perfil - externa'!U220=0,0,'Perfil - interna'!U222+'Perfil - externa'!U220)</f>
        <v>2409599.4140724256</v>
      </c>
      <c r="V222" s="320">
        <f>IF('Perfil - interna'!V222+'Perfil - externa'!V220=0,0,'Perfil - interna'!V222+'Perfil - externa'!V220)</f>
        <v>8239355.4474585196</v>
      </c>
      <c r="W222" s="320">
        <f>IF('Perfil - interna'!W222+'Perfil - externa'!W220=0,0,'Perfil - interna'!W222+'Perfil - externa'!W220)</f>
        <v>1234558.6814857493</v>
      </c>
      <c r="X222" s="320">
        <f>IF('Perfil - interna'!X222+'Perfil - externa'!X220=0,0,'Perfil - interna'!X222+'Perfil - externa'!X220)</f>
        <v>1079698.8844810768</v>
      </c>
      <c r="Y222" s="320">
        <f>IF('Perfil - interna'!Y222+'Perfil - externa'!Y220=0,0,'Perfil - interna'!Y222+'Perfil - externa'!Y220)</f>
        <v>1031360.698057127</v>
      </c>
      <c r="Z222" s="320">
        <f>IF('Perfil - interna'!Z222+'Perfil - externa'!Z220=0,0,'Perfil - interna'!Z222+'Perfil - externa'!Z220)</f>
        <v>3068143.0035108509</v>
      </c>
      <c r="AA222" s="320">
        <f>IF('Perfil - interna'!AA222+'Perfil - externa'!AA220=0,0,'Perfil - interna'!AA222+'Perfil - externa'!AA220)</f>
        <v>549227.96857871255</v>
      </c>
      <c r="AB222" s="320">
        <f>IF('Perfil - interna'!AB222+'Perfil - externa'!AB220=0,0,'Perfil - interna'!AB222+'Perfil - externa'!AB220)</f>
        <v>493051.7057831909</v>
      </c>
      <c r="AC222" s="320">
        <f>IF('Perfil - interna'!AC222+'Perfil - externa'!AC220=0,0,'Perfil - interna'!AC222+'Perfil - externa'!AC220)</f>
        <v>772684.15674404567</v>
      </c>
      <c r="AD222" s="320">
        <f>IF('Perfil - interna'!AD222+'Perfil - externa'!AD220=0,0,'Perfil - interna'!AD222+'Perfil - externa'!AD220)</f>
        <v>425472.60707474785</v>
      </c>
      <c r="AE222" s="320">
        <f>IF('Perfil - interna'!AE222+'Perfil - externa'!AE220=0,0,'Perfil - interna'!AE222+'Perfil - externa'!AE220)</f>
        <v>392116.36612210824</v>
      </c>
      <c r="AF222" s="320">
        <f>IF('Perfil - interna'!AF222+'Perfil - externa'!AF220=0,0,'Perfil - interna'!AF222+'Perfil - externa'!AF220)</f>
        <v>371512.29866600188</v>
      </c>
      <c r="AG222" s="320">
        <f>IF('Perfil - interna'!AG222+'Perfil - externa'!AG220=0,0,'Perfil - interna'!AG222+'Perfil - externa'!AG220)</f>
        <v>357294.94314356294</v>
      </c>
      <c r="AH222" s="320">
        <f>IF('Perfil - interna'!AH222+'Perfil - externa'!AH220=0,0,'Perfil - interna'!AH222+'Perfil - externa'!AH220)</f>
        <v>327874.78287454159</v>
      </c>
      <c r="AI222" s="320">
        <f>IF('Perfil - interna'!AI222+'Perfil - externa'!AI220=0,0,'Perfil - interna'!AI222+'Perfil - externa'!AI220)</f>
        <v>1050642.9099947752</v>
      </c>
      <c r="AJ222" s="320">
        <f>IF('Perfil - interna'!AJ222+'Perfil - externa'!AJ220=0,0,'Perfil - interna'!AJ222+'Perfil - externa'!AJ220)</f>
        <v>248742.43550523318</v>
      </c>
      <c r="AK222" s="320">
        <f>IF('Perfil - interna'!AK222+'Perfil - externa'!AK220=0,0,'Perfil - interna'!AK222+'Perfil - externa'!AK220)</f>
        <v>243517.45726954783</v>
      </c>
      <c r="AL222" s="320">
        <f>IF('Perfil - interna'!AL222+'Perfil - externa'!AL220=0,0,'Perfil - interna'!AL222+'Perfil - externa'!AL220)</f>
        <v>243415.79303207129</v>
      </c>
      <c r="AM222" s="320">
        <f>IF('Perfil - interna'!AM222+'Perfil - externa'!AM220=0,0,'Perfil - interna'!AM222+'Perfil - externa'!AM220)</f>
        <v>3530184.6689035604</v>
      </c>
      <c r="AN222" s="320">
        <f>IF('Perfil - interna'!AN222+'Perfil - externa'!AN220=0,0,'Perfil - interna'!AN222+'Perfil - externa'!AN220)</f>
        <v>0</v>
      </c>
      <c r="AO222" s="320"/>
      <c r="AP222" s="320"/>
      <c r="AQ222" s="320"/>
      <c r="AR222" s="320"/>
      <c r="AS222" s="320"/>
      <c r="AT222" s="320"/>
      <c r="AU222" s="320"/>
      <c r="AV222" s="320"/>
      <c r="AW222" s="320"/>
      <c r="AX222" s="320"/>
      <c r="AY222" s="320"/>
      <c r="AZ222" s="320"/>
      <c r="BA222" s="320"/>
      <c r="BB222" s="320"/>
      <c r="BC222" s="320"/>
      <c r="BD222" s="320"/>
      <c r="BE222" s="320"/>
      <c r="BF222" s="320"/>
      <c r="BG222" s="320"/>
      <c r="BH222" s="320"/>
      <c r="BI222" s="320"/>
      <c r="BJ222" s="320"/>
      <c r="BK222" s="320"/>
    </row>
    <row r="223" spans="1:63">
      <c r="A223" s="167"/>
      <c r="B223" s="217" t="str">
        <f>Servicio_internaColumna_título_amortizaciones</f>
        <v>Amortizaciones</v>
      </c>
      <c r="C223" s="218"/>
      <c r="D223" s="219"/>
      <c r="E223" s="219"/>
      <c r="F223" s="219">
        <f>IF('Perfil - interna'!F223+'Perfil - externa'!F221=0,0,'Perfil - interna'!F223+'Perfil - externa'!F221)</f>
        <v>0</v>
      </c>
      <c r="G223" s="219">
        <f>IF('Perfil - interna'!G223+'Perfil - externa'!G221=0,0,'Perfil - interna'!G223+'Perfil - externa'!G221)</f>
        <v>0</v>
      </c>
      <c r="H223" s="219">
        <f>IF('Perfil - interna'!H223+'Perfil - externa'!H221=0,0,'Perfil - interna'!H223+'Perfil - externa'!H221)</f>
        <v>0</v>
      </c>
      <c r="I223" s="219">
        <f>IF('Perfil - interna'!I223+'Perfil - externa'!I221=0,0,'Perfil - interna'!I223+'Perfil - externa'!I221)</f>
        <v>22068996.680080008</v>
      </c>
      <c r="J223" s="219">
        <f>IF('Perfil - interna'!J223+'Perfil - externa'!J221=0,0,'Perfil - interna'!J223+'Perfil - externa'!J221)</f>
        <v>20247599.808271576</v>
      </c>
      <c r="K223" s="219">
        <f>IF('Perfil - interna'!K223+'Perfil - externa'!K221=0,0,'Perfil - interna'!K223+'Perfil - externa'!K221)</f>
        <v>12532701.72838814</v>
      </c>
      <c r="L223" s="219">
        <f>IF('Perfil - interna'!L223+'Perfil - externa'!L221=0,0,'Perfil - interna'!L223+'Perfil - externa'!L221)</f>
        <v>18779635.552716337</v>
      </c>
      <c r="M223" s="219">
        <f>IF('Perfil - interna'!M223+'Perfil - externa'!M221=0,0,'Perfil - interna'!M223+'Perfil - externa'!M221)</f>
        <v>7617763.6094855499</v>
      </c>
      <c r="N223" s="219">
        <f>IF('Perfil - interna'!N223+'Perfil - externa'!N221=0,0,'Perfil - interna'!N223+'Perfil - externa'!N221)</f>
        <v>12199293.20781276</v>
      </c>
      <c r="O223" s="219">
        <f>IF('Perfil - interna'!O223+'Perfil - externa'!O221=0,0,'Perfil - interna'!O223+'Perfil - externa'!O221)</f>
        <v>6228313.8703775927</v>
      </c>
      <c r="P223" s="219">
        <f>IF('Perfil - interna'!P223+'Perfil - externa'!P221=0,0,'Perfil - interna'!P223+'Perfil - externa'!P221)</f>
        <v>11366645.192520346</v>
      </c>
      <c r="Q223" s="219">
        <f>IF('Perfil - interna'!Q223+'Perfil - externa'!Q221=0,0,'Perfil - interna'!Q223+'Perfil - externa'!Q221)</f>
        <v>14063265.098731693</v>
      </c>
      <c r="R223" s="219">
        <f>IF('Perfil - interna'!R223+'Perfil - externa'!R221=0,0,'Perfil - interna'!R223+'Perfil - externa'!R221)</f>
        <v>2231106.8116521756</v>
      </c>
      <c r="S223" s="219">
        <f>IF('Perfil - interna'!S223+'Perfil - externa'!S221=0,0,'Perfil - interna'!S223+'Perfil - externa'!S221)</f>
        <v>3759178.0960719283</v>
      </c>
      <c r="T223" s="219">
        <f>IF('Perfil - interna'!T223+'Perfil - externa'!T221=0,0,'Perfil - interna'!T223+'Perfil - externa'!T221)</f>
        <v>1219556.879272314</v>
      </c>
      <c r="U223" s="219">
        <f>IF('Perfil - interna'!U223+'Perfil - externa'!U221=0,0,'Perfil - interna'!U223+'Perfil - externa'!U221)</f>
        <v>983170.13862824626</v>
      </c>
      <c r="V223" s="219">
        <f>IF('Perfil - interna'!V223+'Perfil - externa'!V221=0,0,'Perfil - interna'!V223+'Perfil - externa'!V221)</f>
        <v>7614539.237442906</v>
      </c>
      <c r="W223" s="219">
        <f>IF('Perfil - interna'!W223+'Perfil - externa'!W221=0,0,'Perfil - interna'!W223+'Perfil - externa'!W221)</f>
        <v>590670.6426880667</v>
      </c>
      <c r="X223" s="219">
        <f>IF('Perfil - interna'!X223+'Perfil - externa'!X221=0,0,'Perfil - interna'!X223+'Perfil - externa'!X221)</f>
        <v>462879.19506099954</v>
      </c>
      <c r="Y223" s="219">
        <f>IF('Perfil - interna'!Y223+'Perfil - externa'!Y221=0,0,'Perfil - interna'!Y223+'Perfil - externa'!Y221)</f>
        <v>746219.36756883026</v>
      </c>
      <c r="Z223" s="219">
        <f>IF('Perfil - interna'!Z223+'Perfil - externa'!Z221=0,0,'Perfil - interna'!Z223+'Perfil - externa'!Z221)</f>
        <v>2606163.6812983411</v>
      </c>
      <c r="AA223" s="219">
        <f>IF('Perfil - interna'!AA223+'Perfil - externa'!AA221=0,0,'Perfil - interna'!AA223+'Perfil - externa'!AA221)</f>
        <v>170832.06271313995</v>
      </c>
      <c r="AB223" s="219">
        <f>IF('Perfil - interna'!AB223+'Perfil - externa'!AB221=0,0,'Perfil - interna'!AB223+'Perfil - externa'!AB221)</f>
        <v>122146.88241838317</v>
      </c>
      <c r="AC223" s="219">
        <f>IF('Perfil - interna'!AC223+'Perfil - externa'!AC221=0,0,'Perfil - interna'!AC223+'Perfil - externa'!AC221)</f>
        <v>424517.66056079639</v>
      </c>
      <c r="AD223" s="219">
        <f>IF('Perfil - interna'!AD223+'Perfil - externa'!AD221=0,0,'Perfil - interna'!AD223+'Perfil - externa'!AD221)</f>
        <v>93719.085353949602</v>
      </c>
      <c r="AE223" s="219">
        <f>IF('Perfil - interna'!AE223+'Perfil - externa'!AE221=0,0,'Perfil - interna'!AE223+'Perfil - externa'!AE221)</f>
        <v>64639.795059892807</v>
      </c>
      <c r="AF223" s="219">
        <f>IF('Perfil - interna'!AF223+'Perfil - externa'!AF221=0,0,'Perfil - interna'!AF223+'Perfil - externa'!AF221)</f>
        <v>46599.113359151997</v>
      </c>
      <c r="AG223" s="219">
        <f>IF('Perfil - interna'!AG223+'Perfil - externa'!AG221=0,0,'Perfil - interna'!AG223+'Perfil - externa'!AG221)</f>
        <v>34047.515363677194</v>
      </c>
      <c r="AH223" s="219">
        <f>IF('Perfil - interna'!AH223+'Perfil - externa'!AH221=0,0,'Perfil - interna'!AH223+'Perfil - externa'!AH221)</f>
        <v>5445.4650306191998</v>
      </c>
      <c r="AI223" s="219">
        <f>IF('Perfil - interna'!AI223+'Perfil - externa'!AI221=0,0,'Perfil - interna'!AI223+'Perfil - externa'!AI221)</f>
        <v>774904.98195061914</v>
      </c>
      <c r="AJ223" s="219">
        <f>IF('Perfil - interna'!AJ223+'Perfil - externa'!AJ221=0,0,'Perfil - interna'!AJ223+'Perfil - externa'!AJ221)</f>
        <v>5445.4650306191998</v>
      </c>
      <c r="AK223" s="219">
        <f>IF('Perfil - interna'!AK223+'Perfil - externa'!AK221=0,0,'Perfil - interna'!AK223+'Perfil - externa'!AK221)</f>
        <v>190.30222941119999</v>
      </c>
      <c r="AL223" s="219">
        <f>IF('Perfil - interna'!AL223+'Perfil - externa'!AL221=0,0,'Perfil - interna'!AL223+'Perfil - externa'!AL221)</f>
        <v>95.151114705599994</v>
      </c>
      <c r="AM223" s="219">
        <f>IF('Perfil - interna'!AM223+'Perfil - externa'!AM221=0,0,'Perfil - interna'!AM223+'Perfil - externa'!AM221)</f>
        <v>3318172.8479999998</v>
      </c>
      <c r="AN223" s="219">
        <f>IF('Perfil - interna'!AN223+'Perfil - externa'!AN221=0,0,'Perfil - interna'!AN223+'Perfil - externa'!AN221)</f>
        <v>0</v>
      </c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</row>
    <row r="224" spans="1:63">
      <c r="A224" s="170">
        <v>39113</v>
      </c>
      <c r="B224" s="220" t="str">
        <f>Servicio_internaColumna_título_intereses</f>
        <v>Intereses</v>
      </c>
      <c r="C224" s="221"/>
      <c r="D224" s="222"/>
      <c r="E224" s="222"/>
      <c r="F224" s="222">
        <f>IF('Perfil - interna'!F224+'Perfil - externa'!F222=0,0,'Perfil - interna'!F224+'Perfil - externa'!F222)</f>
        <v>0</v>
      </c>
      <c r="G224" s="222">
        <f>IF('Perfil - interna'!G224+'Perfil - externa'!G222=0,0,'Perfil - interna'!G224+'Perfil - externa'!G222)</f>
        <v>0</v>
      </c>
      <c r="H224" s="222">
        <f>IF('Perfil - interna'!H224+'Perfil - externa'!H222=0,0,'Perfil - interna'!H224+'Perfil - externa'!H222)</f>
        <v>0</v>
      </c>
      <c r="I224" s="222">
        <f>IF('Perfil - interna'!I224+'Perfil - externa'!I222=0,0,'Perfil - interna'!I224+'Perfil - externa'!I222)</f>
        <v>13092394.367441243</v>
      </c>
      <c r="J224" s="222">
        <f>IF('Perfil - interna'!J224+'Perfil - externa'!J222=0,0,'Perfil - interna'!J224+'Perfil - externa'!J222)</f>
        <v>11833398.20294849</v>
      </c>
      <c r="K224" s="222">
        <f>IF('Perfil - interna'!K224+'Perfil - externa'!K222=0,0,'Perfil - interna'!K224+'Perfil - externa'!K222)</f>
        <v>9522470.822651105</v>
      </c>
      <c r="L224" s="222">
        <f>IF('Perfil - interna'!L224+'Perfil - externa'!L222=0,0,'Perfil - interna'!L224+'Perfil - externa'!L222)</f>
        <v>8337793.3183646332</v>
      </c>
      <c r="M224" s="222">
        <f>IF('Perfil - interna'!M224+'Perfil - externa'!M222=0,0,'Perfil - interna'!M224+'Perfil - externa'!M222)</f>
        <v>6643999.3913237527</v>
      </c>
      <c r="N224" s="222">
        <f>IF('Perfil - interna'!N224+'Perfil - externa'!N222=0,0,'Perfil - interna'!N224+'Perfil - externa'!N222)</f>
        <v>5885796.4194739144</v>
      </c>
      <c r="O224" s="222">
        <f>IF('Perfil - interna'!O224+'Perfil - externa'!O222=0,0,'Perfil - interna'!O224+'Perfil - externa'!O222)</f>
        <v>4684823.9188090563</v>
      </c>
      <c r="P224" s="222">
        <f>IF('Perfil - interna'!P224+'Perfil - externa'!P222=0,0,'Perfil - interna'!P224+'Perfil - externa'!P222)</f>
        <v>4272229.9353097025</v>
      </c>
      <c r="Q224" s="222">
        <f>IF('Perfil - interna'!Q224+'Perfil - externa'!Q222=0,0,'Perfil - interna'!Q224+'Perfil - externa'!Q222)</f>
        <v>3150759.2902257093</v>
      </c>
      <c r="R224" s="222">
        <f>IF('Perfil - interna'!R224+'Perfil - externa'!R222=0,0,'Perfil - interna'!R224+'Perfil - externa'!R222)</f>
        <v>1951163.1391212237</v>
      </c>
      <c r="S224" s="222">
        <f>IF('Perfil - interna'!S224+'Perfil - externa'!S222=0,0,'Perfil - interna'!S224+'Perfil - externa'!S222)</f>
        <v>1755781.8712753614</v>
      </c>
      <c r="T224" s="222">
        <f>IF('Perfil - interna'!T224+'Perfil - externa'!T222=0,0,'Perfil - interna'!T224+'Perfil - externa'!T222)</f>
        <v>1594382.8826846892</v>
      </c>
      <c r="U224" s="222">
        <f>IF('Perfil - interna'!U224+'Perfil - externa'!U222=0,0,'Perfil - interna'!U224+'Perfil - externa'!U222)</f>
        <v>1533675.4139727917</v>
      </c>
      <c r="V224" s="222">
        <f>IF('Perfil - interna'!V224+'Perfil - externa'!V222=0,0,'Perfil - interna'!V224+'Perfil - externa'!V222)</f>
        <v>1382258.2510979958</v>
      </c>
      <c r="W224" s="222">
        <f>IF('Perfil - interna'!W224+'Perfil - externa'!W222=0,0,'Perfil - interna'!W224+'Perfil - externa'!W222)</f>
        <v>676200.79162429937</v>
      </c>
      <c r="X224" s="222">
        <f>IF('Perfil - interna'!X224+'Perfil - externa'!X222=0,0,'Perfil - interna'!X224+'Perfil - externa'!X222)</f>
        <v>648509.66599464591</v>
      </c>
      <c r="Y224" s="222">
        <f>IF('Perfil - interna'!Y224+'Perfil - externa'!Y222=0,0,'Perfil - interna'!Y224+'Perfil - externa'!Y222)</f>
        <v>625941.24793152115</v>
      </c>
      <c r="Z224" s="222">
        <f>IF('Perfil - interna'!Z224+'Perfil - externa'!Z222=0,0,'Perfil - interna'!Z224+'Perfil - externa'!Z222)</f>
        <v>488612.36494541512</v>
      </c>
      <c r="AA224" s="222">
        <f>IF('Perfil - interna'!AA224+'Perfil - externa'!AA222=0,0,'Perfil - interna'!AA224+'Perfil - externa'!AA222)</f>
        <v>381563.00481677393</v>
      </c>
      <c r="AB224" s="222">
        <f>IF('Perfil - interna'!AB224+'Perfil - externa'!AB222=0,0,'Perfil - interna'!AB224+'Perfil - externa'!AB222)</f>
        <v>373661.67929895717</v>
      </c>
      <c r="AC224" s="222">
        <f>IF('Perfil - interna'!AC224+'Perfil - externa'!AC222=0,0,'Perfil - interna'!AC224+'Perfil - externa'!AC222)</f>
        <v>353961.38728073158</v>
      </c>
      <c r="AD224" s="222">
        <f>IF('Perfil - interna'!AD224+'Perfil - externa'!AD222=0,0,'Perfil - interna'!AD224+'Perfil - externa'!AD222)</f>
        <v>334724.01083582756</v>
      </c>
      <c r="AE224" s="222">
        <f>IF('Perfil - interna'!AE224+'Perfil - externa'!AE222=0,0,'Perfil - interna'!AE224+'Perfil - externa'!AE222)</f>
        <v>330152.4032336711</v>
      </c>
      <c r="AF224" s="222">
        <f>IF('Perfil - interna'!AF224+'Perfil - externa'!AF222=0,0,'Perfil - interna'!AF224+'Perfil - externa'!AF222)</f>
        <v>327413.60978105874</v>
      </c>
      <c r="AG224" s="222">
        <f>IF('Perfil - interna'!AG224+'Perfil - externa'!AG222=0,0,'Perfil - interna'!AG224+'Perfil - externa'!AG222)</f>
        <v>325632.15267210716</v>
      </c>
      <c r="AH224" s="222">
        <f>IF('Perfil - interna'!AH224+'Perfil - externa'!AH222=0,0,'Perfil - interna'!AH224+'Perfil - externa'!AH222)</f>
        <v>324556.23094566114</v>
      </c>
      <c r="AI224" s="222">
        <f>IF('Perfil - interna'!AI224+'Perfil - externa'!AI222=0,0,'Perfil - interna'!AI224+'Perfil - externa'!AI222)</f>
        <v>284639.05559660395</v>
      </c>
      <c r="AJ224" s="222">
        <f>IF('Perfil - interna'!AJ224+'Perfil - externa'!AJ222=0,0,'Perfil - interna'!AJ224+'Perfil - externa'!AJ222)</f>
        <v>244718.50648558678</v>
      </c>
      <c r="AK224" s="222">
        <f>IF('Perfil - interna'!AK224+'Perfil - externa'!AK222=0,0,'Perfil - interna'!AK224+'Perfil - externa'!AK222)</f>
        <v>244717.05936089877</v>
      </c>
      <c r="AL224" s="222">
        <f>IF('Perfil - interna'!AL224+'Perfil - externa'!AL222=0,0,'Perfil - interna'!AL224+'Perfil - externa'!AL222)</f>
        <v>244715.61228140519</v>
      </c>
      <c r="AM224" s="222">
        <f>IF('Perfil - interna'!AM224+'Perfil - externa'!AM222=0,0,'Perfil - interna'!AM224+'Perfil - externa'!AM222)</f>
        <v>244715.24753999998</v>
      </c>
      <c r="AN224" s="222">
        <f>IF('Perfil - interna'!AN224+'Perfil - externa'!AN222=0,0,'Perfil - interna'!AN224+'Perfil - externa'!AN222)</f>
        <v>0</v>
      </c>
      <c r="AO224" s="222"/>
      <c r="AP224" s="222"/>
      <c r="AQ224" s="222"/>
      <c r="AR224" s="222"/>
      <c r="AS224" s="222"/>
      <c r="AT224" s="222"/>
      <c r="AU224" s="222"/>
      <c r="AV224" s="222"/>
      <c r="AW224" s="222"/>
      <c r="AX224" s="222"/>
      <c r="AY224" s="222"/>
      <c r="AZ224" s="222"/>
      <c r="BA224" s="222"/>
      <c r="BB224" s="222"/>
      <c r="BC224" s="222"/>
      <c r="BD224" s="222"/>
      <c r="BE224" s="222"/>
      <c r="BF224" s="222"/>
      <c r="BG224" s="222"/>
      <c r="BH224" s="222"/>
      <c r="BI224" s="222"/>
      <c r="BJ224" s="222"/>
      <c r="BK224" s="222"/>
    </row>
    <row r="225" spans="1:63">
      <c r="A225" s="171"/>
      <c r="B225" s="318" t="str">
        <f>Servicio_internaColumna_título_total</f>
        <v>Total</v>
      </c>
      <c r="C225" s="319"/>
      <c r="D225" s="320"/>
      <c r="E225" s="320"/>
      <c r="F225" s="320">
        <f>IF('Perfil - interna'!F225+'Perfil - externa'!F223=0,0,'Perfil - interna'!F225+'Perfil - externa'!F223)</f>
        <v>0</v>
      </c>
      <c r="G225" s="320">
        <f>IF('Perfil - interna'!G225+'Perfil - externa'!G223=0,0,'Perfil - interna'!G225+'Perfil - externa'!G223)</f>
        <v>0</v>
      </c>
      <c r="H225" s="320">
        <f>IF('Perfil - interna'!H225+'Perfil - externa'!H223=0,0,'Perfil - interna'!H225+'Perfil - externa'!H223)</f>
        <v>0</v>
      </c>
      <c r="I225" s="320">
        <f>IF('Perfil - interna'!I225+'Perfil - externa'!I223=0,0,'Perfil - interna'!I225+'Perfil - externa'!I223)</f>
        <v>35161391.047521248</v>
      </c>
      <c r="J225" s="320">
        <f>IF('Perfil - interna'!J225+'Perfil - externa'!J223=0,0,'Perfil - interna'!J225+'Perfil - externa'!J223)</f>
        <v>32080998.011220068</v>
      </c>
      <c r="K225" s="320">
        <f>IF('Perfil - interna'!K225+'Perfil - externa'!K223=0,0,'Perfil - interna'!K225+'Perfil - externa'!K223)</f>
        <v>22055172.551039245</v>
      </c>
      <c r="L225" s="320">
        <f>IF('Perfil - interna'!L225+'Perfil - externa'!L223=0,0,'Perfil - interna'!L225+'Perfil - externa'!L223)</f>
        <v>27117428.871080969</v>
      </c>
      <c r="M225" s="320">
        <f>IF('Perfil - interna'!M225+'Perfil - externa'!M223=0,0,'Perfil - interna'!M225+'Perfil - externa'!M223)</f>
        <v>14261763.000809303</v>
      </c>
      <c r="N225" s="320">
        <f>IF('Perfil - interna'!N225+'Perfil - externa'!N223=0,0,'Perfil - interna'!N225+'Perfil - externa'!N223)</f>
        <v>18085089.627286673</v>
      </c>
      <c r="O225" s="320">
        <f>IF('Perfil - interna'!O225+'Perfil - externa'!O223=0,0,'Perfil - interna'!O225+'Perfil - externa'!O223)</f>
        <v>10913137.789186649</v>
      </c>
      <c r="P225" s="320">
        <f>IF('Perfil - interna'!P225+'Perfil - externa'!P223=0,0,'Perfil - interna'!P225+'Perfil - externa'!P223)</f>
        <v>15638875.127830051</v>
      </c>
      <c r="Q225" s="320">
        <f>IF('Perfil - interna'!Q225+'Perfil - externa'!Q223=0,0,'Perfil - interna'!Q225+'Perfil - externa'!Q223)</f>
        <v>17214024.388957404</v>
      </c>
      <c r="R225" s="320">
        <f>IF('Perfil - interna'!R225+'Perfil - externa'!R223=0,0,'Perfil - interna'!R225+'Perfil - externa'!R223)</f>
        <v>4182269.9507733993</v>
      </c>
      <c r="S225" s="320">
        <f>IF('Perfil - interna'!S225+'Perfil - externa'!S223=0,0,'Perfil - interna'!S225+'Perfil - externa'!S223)</f>
        <v>5514959.9673472904</v>
      </c>
      <c r="T225" s="320">
        <f>IF('Perfil - interna'!T225+'Perfil - externa'!T223=0,0,'Perfil - interna'!T225+'Perfil - externa'!T223)</f>
        <v>2813939.7619570033</v>
      </c>
      <c r="U225" s="320">
        <f>IF('Perfil - interna'!U225+'Perfil - externa'!U223=0,0,'Perfil - interna'!U225+'Perfil - externa'!U223)</f>
        <v>2516845.552601038</v>
      </c>
      <c r="V225" s="320">
        <f>IF('Perfil - interna'!V225+'Perfil - externa'!V223=0,0,'Perfil - interna'!V225+'Perfil - externa'!V223)</f>
        <v>8996797.4885409027</v>
      </c>
      <c r="W225" s="320">
        <f>IF('Perfil - interna'!W225+'Perfil - externa'!W223=0,0,'Perfil - interna'!W225+'Perfil - externa'!W223)</f>
        <v>1266871.4343123659</v>
      </c>
      <c r="X225" s="320">
        <f>IF('Perfil - interna'!X225+'Perfil - externa'!X223=0,0,'Perfil - interna'!X225+'Perfil - externa'!X223)</f>
        <v>1111388.8610556454</v>
      </c>
      <c r="Y225" s="320">
        <f>IF('Perfil - interna'!Y225+'Perfil - externa'!Y223=0,0,'Perfil - interna'!Y225+'Perfil - externa'!Y223)</f>
        <v>1372160.6155003514</v>
      </c>
      <c r="Z225" s="320">
        <f>IF('Perfil - interna'!Z225+'Perfil - externa'!Z223=0,0,'Perfil - interna'!Z225+'Perfil - externa'!Z223)</f>
        <v>3094776.0462437561</v>
      </c>
      <c r="AA225" s="320">
        <f>IF('Perfil - interna'!AA225+'Perfil - externa'!AA223=0,0,'Perfil - interna'!AA225+'Perfil - externa'!AA223)</f>
        <v>552395.06752991385</v>
      </c>
      <c r="AB225" s="320">
        <f>IF('Perfil - interna'!AB225+'Perfil - externa'!AB223=0,0,'Perfil - interna'!AB225+'Perfil - externa'!AB223)</f>
        <v>495808.56171734037</v>
      </c>
      <c r="AC225" s="320">
        <f>IF('Perfil - interna'!AC225+'Perfil - externa'!AC223=0,0,'Perfil - interna'!AC225+'Perfil - externa'!AC223)</f>
        <v>778479.04784152796</v>
      </c>
      <c r="AD225" s="320">
        <f>IF('Perfil - interna'!AD225+'Perfil - externa'!AD223=0,0,'Perfil - interna'!AD225+'Perfil - externa'!AD223)</f>
        <v>428443.09618977713</v>
      </c>
      <c r="AE225" s="320">
        <f>IF('Perfil - interna'!AE225+'Perfil - externa'!AE223=0,0,'Perfil - interna'!AE225+'Perfil - externa'!AE223)</f>
        <v>394792.19829356391</v>
      </c>
      <c r="AF225" s="320">
        <f>IF('Perfil - interna'!AF225+'Perfil - externa'!AF223=0,0,'Perfil - interna'!AF225+'Perfil - externa'!AF223)</f>
        <v>374012.72314021073</v>
      </c>
      <c r="AG225" s="320">
        <f>IF('Perfil - interna'!AG225+'Perfil - externa'!AG223=0,0,'Perfil - interna'!AG225+'Perfil - externa'!AG223)</f>
        <v>359679.66803578433</v>
      </c>
      <c r="AH225" s="320">
        <f>IF('Perfil - interna'!AH225+'Perfil - externa'!AH223=0,0,'Perfil - interna'!AH225+'Perfil - externa'!AH223)</f>
        <v>330001.69597628032</v>
      </c>
      <c r="AI225" s="320">
        <f>IF('Perfil - interna'!AI225+'Perfil - externa'!AI223=0,0,'Perfil - interna'!AI225+'Perfil - externa'!AI223)</f>
        <v>1059544.037547223</v>
      </c>
      <c r="AJ225" s="320">
        <f>IF('Perfil - interna'!AJ225+'Perfil - externa'!AJ223=0,0,'Perfil - interna'!AJ225+'Perfil - externa'!AJ223)</f>
        <v>250163.97151620599</v>
      </c>
      <c r="AK225" s="320">
        <f>IF('Perfil - interna'!AK225+'Perfil - externa'!AK223=0,0,'Perfil - interna'!AK225+'Perfil - externa'!AK223)</f>
        <v>244907.36159030997</v>
      </c>
      <c r="AL225" s="320">
        <f>IF('Perfil - interna'!AL225+'Perfil - externa'!AL223=0,0,'Perfil - interna'!AL225+'Perfil - externa'!AL223)</f>
        <v>244810.76339611079</v>
      </c>
      <c r="AM225" s="320">
        <f>IF('Perfil - interna'!AM225+'Perfil - externa'!AM223=0,0,'Perfil - interna'!AM225+'Perfil - externa'!AM223)</f>
        <v>3562888.0955399997</v>
      </c>
      <c r="AN225" s="320">
        <f>IF('Perfil - interna'!AN225+'Perfil - externa'!AN223=0,0,'Perfil - interna'!AN225+'Perfil - externa'!AN223)</f>
        <v>0</v>
      </c>
      <c r="AO225" s="320"/>
      <c r="AP225" s="320"/>
      <c r="AQ225" s="320"/>
      <c r="AR225" s="320"/>
      <c r="AS225" s="320"/>
      <c r="AT225" s="320"/>
      <c r="AU225" s="320"/>
      <c r="AV225" s="320"/>
      <c r="AW225" s="320"/>
      <c r="AX225" s="320"/>
      <c r="AY225" s="320"/>
      <c r="AZ225" s="320"/>
      <c r="BA225" s="320"/>
      <c r="BB225" s="320"/>
      <c r="BC225" s="320"/>
      <c r="BD225" s="320"/>
      <c r="BE225" s="320"/>
      <c r="BF225" s="320"/>
      <c r="BG225" s="320"/>
      <c r="BH225" s="320"/>
      <c r="BI225" s="320"/>
      <c r="BJ225" s="320"/>
      <c r="BK225" s="320"/>
    </row>
    <row r="226" spans="1:63">
      <c r="A226" s="167"/>
      <c r="B226" s="217" t="str">
        <f>Servicio_internaColumna_título_amortizaciones</f>
        <v>Amortizaciones</v>
      </c>
      <c r="C226" s="218"/>
      <c r="D226" s="219"/>
      <c r="E226" s="219"/>
      <c r="F226" s="219">
        <f>IF('Perfil - interna'!F226+'Perfil - externa'!F224=0,0,'Perfil - interna'!F226+'Perfil - externa'!F224)</f>
        <v>0</v>
      </c>
      <c r="G226" s="219">
        <f>IF('Perfil - interna'!G226+'Perfil - externa'!G224=0,0,'Perfil - interna'!G226+'Perfil - externa'!G224)</f>
        <v>0</v>
      </c>
      <c r="H226" s="219">
        <f>IF('Perfil - interna'!H226+'Perfil - externa'!H224=0,0,'Perfil - interna'!H226+'Perfil - externa'!H224)</f>
        <v>0</v>
      </c>
      <c r="I226" s="219">
        <f>IF('Perfil - interna'!I226+'Perfil - externa'!I224=0,0,'Perfil - interna'!I226+'Perfil - externa'!I224)</f>
        <v>20035546.527663782</v>
      </c>
      <c r="J226" s="219">
        <f>IF('Perfil - interna'!J226+'Perfil - externa'!J224=0,0,'Perfil - interna'!J226+'Perfil - externa'!J224)</f>
        <v>21009495.781274743</v>
      </c>
      <c r="K226" s="219">
        <f>IF('Perfil - interna'!K226+'Perfil - externa'!K224=0,0,'Perfil - interna'!K226+'Perfil - externa'!K224)</f>
        <v>12881602.191776991</v>
      </c>
      <c r="L226" s="219">
        <f>IF('Perfil - interna'!L226+'Perfil - externa'!L224=0,0,'Perfil - interna'!L226+'Perfil - externa'!L224)</f>
        <v>19207963.249831326</v>
      </c>
      <c r="M226" s="219">
        <f>IF('Perfil - interna'!M226+'Perfil - externa'!M224=0,0,'Perfil - interna'!M226+'Perfil - externa'!M224)</f>
        <v>7570164.0310465572</v>
      </c>
      <c r="N226" s="219">
        <f>IF('Perfil - interna'!N226+'Perfil - externa'!N224=0,0,'Perfil - interna'!N226+'Perfil - externa'!N224)</f>
        <v>12142802.737139579</v>
      </c>
      <c r="O226" s="219">
        <f>IF('Perfil - interna'!O226+'Perfil - externa'!O224=0,0,'Perfil - interna'!O226+'Perfil - externa'!O224)</f>
        <v>6166584.0565130059</v>
      </c>
      <c r="P226" s="219">
        <f>IF('Perfil - interna'!P226+'Perfil - externa'!P224=0,0,'Perfil - interna'!P226+'Perfil - externa'!P224)</f>
        <v>11279879.358260795</v>
      </c>
      <c r="Q226" s="219">
        <f>IF('Perfil - interna'!Q226+'Perfil - externa'!Q224=0,0,'Perfil - interna'!Q226+'Perfil - externa'!Q224)</f>
        <v>13989829.86339879</v>
      </c>
      <c r="R226" s="219">
        <f>IF('Perfil - interna'!R226+'Perfil - externa'!R224=0,0,'Perfil - interna'!R226+'Perfil - externa'!R224)</f>
        <v>2185761.3205099255</v>
      </c>
      <c r="S226" s="219">
        <f>IF('Perfil - interna'!S226+'Perfil - externa'!S224=0,0,'Perfil - interna'!S226+'Perfil - externa'!S224)</f>
        <v>3696034.9009725442</v>
      </c>
      <c r="T226" s="219">
        <f>IF('Perfil - interna'!T226+'Perfil - externa'!T224=0,0,'Perfil - interna'!T226+'Perfil - externa'!T224)</f>
        <v>1199661.2117781858</v>
      </c>
      <c r="U226" s="219">
        <f>IF('Perfil - interna'!U226+'Perfil - externa'!U224=0,0,'Perfil - interna'!U226+'Perfil - externa'!U224)</f>
        <v>967649.02461394318</v>
      </c>
      <c r="V226" s="219">
        <f>IF('Perfil - interna'!V226+'Perfil - externa'!V224=0,0,'Perfil - interna'!V226+'Perfil - externa'!V224)</f>
        <v>8064218.6560739633</v>
      </c>
      <c r="W226" s="219">
        <f>IF('Perfil - interna'!W226+'Perfil - externa'!W224=0,0,'Perfil - interna'!W226+'Perfil - externa'!W224)</f>
        <v>581333.63733434922</v>
      </c>
      <c r="X226" s="219">
        <f>IF('Perfil - interna'!X226+'Perfil - externa'!X224=0,0,'Perfil - interna'!X226+'Perfil - externa'!X224)</f>
        <v>455580.68058912002</v>
      </c>
      <c r="Y226" s="219">
        <f>IF('Perfil - interna'!Y226+'Perfil - externa'!Y224=0,0,'Perfil - interna'!Y226+'Perfil - externa'!Y224)</f>
        <v>946552.55480157677</v>
      </c>
      <c r="Z226" s="219">
        <f>IF('Perfil - interna'!Z226+'Perfil - externa'!Z224=0,0,'Perfil - interna'!Z226+'Perfil - externa'!Z224)</f>
        <v>2565104.7138055121</v>
      </c>
      <c r="AA226" s="219">
        <f>IF('Perfil - interna'!AA226+'Perfil - externa'!AA224=0,0,'Perfil - interna'!AA226+'Perfil - externa'!AA224)</f>
        <v>168139.70950067841</v>
      </c>
      <c r="AB226" s="219">
        <f>IF('Perfil - interna'!AB226+'Perfil - externa'!AB224=0,0,'Perfil - interna'!AB226+'Perfil - externa'!AB224)</f>
        <v>120221.52353198559</v>
      </c>
      <c r="AC226" s="219">
        <f>IF('Perfil - interna'!AC226+'Perfil - externa'!AC224=0,0,'Perfil - interna'!AC226+'Perfil - externa'!AC224)</f>
        <v>417828.70277636271</v>
      </c>
      <c r="AD226" s="219">
        <f>IF('Perfil - interna'!AD226+'Perfil - externa'!AD224=0,0,'Perfil - interna'!AD226+'Perfil - externa'!AD224)</f>
        <v>92241.582651279998</v>
      </c>
      <c r="AE226" s="219">
        <f>IF('Perfil - interna'!AE226+'Perfil - externa'!AE224=0,0,'Perfil - interna'!AE226+'Perfil - externa'!AE224)</f>
        <v>63620.412272287205</v>
      </c>
      <c r="AF226" s="219">
        <f>IF('Perfil - interna'!AF226+'Perfil - externa'!AF224=0,0,'Perfil - interna'!AF226+'Perfil - externa'!AF224)</f>
        <v>45863.946433930396</v>
      </c>
      <c r="AG226" s="219">
        <f>IF('Perfil - interna'!AG226+'Perfil - externa'!AG224=0,0,'Perfil - interna'!AG226+'Perfil - externa'!AG224)</f>
        <v>33510.088374659594</v>
      </c>
      <c r="AH226" s="219">
        <f>IF('Perfil - interna'!AH226+'Perfil - externa'!AH224=0,0,'Perfil - interna'!AH226+'Perfil - externa'!AH224)</f>
        <v>5358.6394399415994</v>
      </c>
      <c r="AI226" s="219">
        <f>IF('Perfil - interna'!AI226+'Perfil - externa'!AI224=0,0,'Perfil - interna'!AI226+'Perfil - externa'!AI224)</f>
        <v>762695.96475994156</v>
      </c>
      <c r="AJ226" s="219">
        <f>IF('Perfil - interna'!AJ226+'Perfil - externa'!AJ224=0,0,'Perfil - interna'!AJ226+'Perfil - externa'!AJ224)</f>
        <v>5358.6394399415994</v>
      </c>
      <c r="AK226" s="219">
        <f>IF('Perfil - interna'!AK226+'Perfil - externa'!AK224=0,0,'Perfil - interna'!AK226+'Perfil - externa'!AK224)</f>
        <v>186.26733657359998</v>
      </c>
      <c r="AL226" s="219">
        <f>IF('Perfil - interna'!AL226+'Perfil - externa'!AL224=0,0,'Perfil - interna'!AL226+'Perfil - externa'!AL224)</f>
        <v>93.133668286799988</v>
      </c>
      <c r="AM226" s="219">
        <f>IF('Perfil - interna'!AM226+'Perfil - externa'!AM224=0,0,'Perfil - interna'!AM226+'Perfil - externa'!AM224)</f>
        <v>3265897.8080000002</v>
      </c>
      <c r="AN226" s="219">
        <f>IF('Perfil - interna'!AN226+'Perfil - externa'!AN224=0,0,'Perfil - interna'!AN226+'Perfil - externa'!AN224)</f>
        <v>0</v>
      </c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</row>
    <row r="227" spans="1:63">
      <c r="A227" s="170">
        <v>39141</v>
      </c>
      <c r="B227" s="220" t="str">
        <f>Servicio_internaColumna_título_intereses</f>
        <v>Intereses</v>
      </c>
      <c r="C227" s="221"/>
      <c r="D227" s="222"/>
      <c r="E227" s="222"/>
      <c r="F227" s="222">
        <f>IF('Perfil - interna'!F227+'Perfil - externa'!F225=0,0,'Perfil - interna'!F227+'Perfil - externa'!F225)</f>
        <v>0</v>
      </c>
      <c r="G227" s="222">
        <f>IF('Perfil - interna'!G227+'Perfil - externa'!G225=0,0,'Perfil - interna'!G227+'Perfil - externa'!G225)</f>
        <v>0</v>
      </c>
      <c r="H227" s="222">
        <f>IF('Perfil - interna'!H227+'Perfil - externa'!H225=0,0,'Perfil - interna'!H227+'Perfil - externa'!H225)</f>
        <v>0</v>
      </c>
      <c r="I227" s="222">
        <f>IF('Perfil - interna'!I227+'Perfil - externa'!I225=0,0,'Perfil - interna'!I227+'Perfil - externa'!I225)</f>
        <v>11317645.156166874</v>
      </c>
      <c r="J227" s="222">
        <f>IF('Perfil - interna'!J227+'Perfil - externa'!J225=0,0,'Perfil - interna'!J227+'Perfil - externa'!J225)</f>
        <v>11965330.105813967</v>
      </c>
      <c r="K227" s="222">
        <f>IF('Perfil - interna'!K227+'Perfil - externa'!K225=0,0,'Perfil - interna'!K227+'Perfil - externa'!K225)</f>
        <v>9589459.0556633957</v>
      </c>
      <c r="L227" s="222">
        <f>IF('Perfil - interna'!L227+'Perfil - externa'!L225=0,0,'Perfil - interna'!L227+'Perfil - externa'!L225)</f>
        <v>8366399.5902782027</v>
      </c>
      <c r="M227" s="222">
        <f>IF('Perfil - interna'!M227+'Perfil - externa'!M225=0,0,'Perfil - interna'!M227+'Perfil - externa'!M225)</f>
        <v>6647264.1758265151</v>
      </c>
      <c r="N227" s="222">
        <f>IF('Perfil - interna'!N227+'Perfil - externa'!N225=0,0,'Perfil - interna'!N227+'Perfil - externa'!N225)</f>
        <v>5895585.0621879622</v>
      </c>
      <c r="O227" s="222">
        <f>IF('Perfil - interna'!O227+'Perfil - externa'!O225=0,0,'Perfil - interna'!O227+'Perfil - externa'!O225)</f>
        <v>4699607.4201568123</v>
      </c>
      <c r="P227" s="222">
        <f>IF('Perfil - interna'!P227+'Perfil - externa'!P225=0,0,'Perfil - interna'!P227+'Perfil - externa'!P225)</f>
        <v>4294407.3798137652</v>
      </c>
      <c r="Q227" s="222">
        <f>IF('Perfil - interna'!Q227+'Perfil - externa'!Q225=0,0,'Perfil - interna'!Q227+'Perfil - externa'!Q225)</f>
        <v>3180031.8297318313</v>
      </c>
      <c r="R227" s="222">
        <f>IF('Perfil - interna'!R227+'Perfil - externa'!R225=0,0,'Perfil - interna'!R227+'Perfil - externa'!R225)</f>
        <v>1995765.3076000279</v>
      </c>
      <c r="S227" s="222">
        <f>IF('Perfil - interna'!S227+'Perfil - externa'!S225=0,0,'Perfil - interna'!S227+'Perfil - externa'!S225)</f>
        <v>1804431.9496053304</v>
      </c>
      <c r="T227" s="222">
        <f>IF('Perfil - interna'!T227+'Perfil - externa'!T225=0,0,'Perfil - interna'!T227+'Perfil - externa'!T225)</f>
        <v>1646273.7693559972</v>
      </c>
      <c r="U227" s="222">
        <f>IF('Perfil - interna'!U227+'Perfil - externa'!U225=0,0,'Perfil - interna'!U227+'Perfil - externa'!U225)</f>
        <v>1586981.168523307</v>
      </c>
      <c r="V227" s="222">
        <f>IF('Perfil - interna'!V227+'Perfil - externa'!V225=0,0,'Perfil - interna'!V227+'Perfil - externa'!V225)</f>
        <v>1438394.2497708357</v>
      </c>
      <c r="W227" s="222">
        <f>IF('Perfil - interna'!W227+'Perfil - externa'!W225=0,0,'Perfil - interna'!W227+'Perfil - externa'!W225)</f>
        <v>681254.34229234362</v>
      </c>
      <c r="X227" s="222">
        <f>IF('Perfil - interna'!X227+'Perfil - externa'!X225=0,0,'Perfil - interna'!X227+'Perfil - externa'!X225)</f>
        <v>654471.20003490115</v>
      </c>
      <c r="Y227" s="222">
        <f>IF('Perfil - interna'!Y227+'Perfil - externa'!Y225=0,0,'Perfil - interna'!Y227+'Perfil - externa'!Y225)</f>
        <v>632743.74135609833</v>
      </c>
      <c r="Z227" s="222">
        <f>IF('Perfil - interna'!Z227+'Perfil - externa'!Z225=0,0,'Perfil - interna'!Z227+'Perfil - externa'!Z225)</f>
        <v>480914.58866373438</v>
      </c>
      <c r="AA227" s="222">
        <f>IF('Perfil - interna'!AA227+'Perfil - externa'!AA225=0,0,'Perfil - interna'!AA227+'Perfil - externa'!AA225)</f>
        <v>375551.70985360711</v>
      </c>
      <c r="AB227" s="222">
        <f>IF('Perfil - interna'!AB227+'Perfil - externa'!AB225=0,0,'Perfil - interna'!AB227+'Perfil - externa'!AB225)</f>
        <v>367774.87101128034</v>
      </c>
      <c r="AC227" s="222">
        <f>IF('Perfil - interna'!AC227+'Perfil - externa'!AC225=0,0,'Perfil - interna'!AC227+'Perfil - externa'!AC225)</f>
        <v>348384.94850232761</v>
      </c>
      <c r="AD227" s="222">
        <f>IF('Perfil - interna'!AD227+'Perfil - externa'!AD225=0,0,'Perfil - interna'!AD227+'Perfil - externa'!AD225)</f>
        <v>329450.64858528122</v>
      </c>
      <c r="AE227" s="222">
        <f>IF('Perfil - interna'!AE227+'Perfil - externa'!AE225=0,0,'Perfil - interna'!AE227+'Perfil - externa'!AE225)</f>
        <v>324951.07086916995</v>
      </c>
      <c r="AF227" s="222">
        <f>IF('Perfil - interna'!AF227+'Perfil - externa'!AF225=0,0,'Perfil - interna'!AF227+'Perfil - externa'!AF225)</f>
        <v>322255.43269179435</v>
      </c>
      <c r="AG227" s="222">
        <f>IF('Perfil - interna'!AG227+'Perfil - externa'!AG225=0,0,'Perfil - interna'!AG227+'Perfil - externa'!AG225)</f>
        <v>320502.04884633678</v>
      </c>
      <c r="AH227" s="222">
        <f>IF('Perfil - interna'!AH227+'Perfil - externa'!AH225=0,0,'Perfil - interna'!AH227+'Perfil - externa'!AH225)</f>
        <v>319443.08517413196</v>
      </c>
      <c r="AI227" s="222">
        <f>IF('Perfil - interna'!AI227+'Perfil - externa'!AI225=0,0,'Perfil - interna'!AI227+'Perfil - externa'!AI225)</f>
        <v>280154.77950133913</v>
      </c>
      <c r="AJ227" s="222">
        <f>IF('Perfil - interna'!AJ227+'Perfil - externa'!AJ225=0,0,'Perfil - interna'!AJ227+'Perfil - externa'!AJ225)</f>
        <v>240863.15317290399</v>
      </c>
      <c r="AK227" s="222">
        <f>IF('Perfil - interna'!AK227+'Perfil - externa'!AK225=0,0,'Perfil - interna'!AK227+'Perfil - externa'!AK225)</f>
        <v>240861.73674208199</v>
      </c>
      <c r="AL227" s="222">
        <f>IF('Perfil - interna'!AL227+'Perfil - externa'!AL225=0,0,'Perfil - interna'!AL227+'Perfil - externa'!AL225)</f>
        <v>240860.32035574238</v>
      </c>
      <c r="AM227" s="222">
        <f>IF('Perfil - interna'!AM227+'Perfil - externa'!AM225=0,0,'Perfil - interna'!AM227+'Perfil - externa'!AM225)</f>
        <v>240859.96333999999</v>
      </c>
      <c r="AN227" s="222">
        <f>IF('Perfil - interna'!AN227+'Perfil - externa'!AN225=0,0,'Perfil - interna'!AN227+'Perfil - externa'!AN225)</f>
        <v>0</v>
      </c>
      <c r="AO227" s="222"/>
      <c r="AP227" s="222"/>
      <c r="AQ227" s="222"/>
      <c r="AR227" s="222"/>
      <c r="AS227" s="222"/>
      <c r="AT227" s="222"/>
      <c r="AU227" s="222"/>
      <c r="AV227" s="222"/>
      <c r="AW227" s="222"/>
      <c r="AX227" s="222"/>
      <c r="AY227" s="222"/>
      <c r="AZ227" s="222"/>
      <c r="BA227" s="222"/>
      <c r="BB227" s="222"/>
      <c r="BC227" s="222"/>
      <c r="BD227" s="222"/>
      <c r="BE227" s="222"/>
      <c r="BF227" s="222"/>
      <c r="BG227" s="222"/>
      <c r="BH227" s="222"/>
      <c r="BI227" s="222"/>
      <c r="BJ227" s="222"/>
      <c r="BK227" s="222"/>
    </row>
    <row r="228" spans="1:63">
      <c r="A228" s="171"/>
      <c r="B228" s="318" t="str">
        <f>Servicio_internaColumna_título_total</f>
        <v>Total</v>
      </c>
      <c r="C228" s="319"/>
      <c r="D228" s="320"/>
      <c r="E228" s="320"/>
      <c r="F228" s="320">
        <f>IF('Perfil - interna'!F228+'Perfil - externa'!F226=0,0,'Perfil - interna'!F228+'Perfil - externa'!F226)</f>
        <v>0</v>
      </c>
      <c r="G228" s="320">
        <f>IF('Perfil - interna'!G228+'Perfil - externa'!G226=0,0,'Perfil - interna'!G228+'Perfil - externa'!G226)</f>
        <v>0</v>
      </c>
      <c r="H228" s="320">
        <f>IF('Perfil - interna'!H228+'Perfil - externa'!H226=0,0,'Perfil - interna'!H228+'Perfil - externa'!H226)</f>
        <v>0</v>
      </c>
      <c r="I228" s="320">
        <f>IF('Perfil - interna'!I228+'Perfil - externa'!I226=0,0,'Perfil - interna'!I228+'Perfil - externa'!I226)</f>
        <v>31353191.683830656</v>
      </c>
      <c r="J228" s="320">
        <f>IF('Perfil - interna'!J228+'Perfil - externa'!J226=0,0,'Perfil - interna'!J228+'Perfil - externa'!J226)</f>
        <v>32974825.887088709</v>
      </c>
      <c r="K228" s="320">
        <f>IF('Perfil - interna'!K228+'Perfil - externa'!K226=0,0,'Perfil - interna'!K228+'Perfil - externa'!K226)</f>
        <v>22471061.24744039</v>
      </c>
      <c r="L228" s="320">
        <f>IF('Perfil - interna'!L228+'Perfil - externa'!L226=0,0,'Perfil - interna'!L228+'Perfil - externa'!L226)</f>
        <v>27574362.840109527</v>
      </c>
      <c r="M228" s="320">
        <f>IF('Perfil - interna'!M228+'Perfil - externa'!M226=0,0,'Perfil - interna'!M228+'Perfil - externa'!M226)</f>
        <v>14217428.206873072</v>
      </c>
      <c r="N228" s="320">
        <f>IF('Perfil - interna'!N228+'Perfil - externa'!N226=0,0,'Perfil - interna'!N228+'Perfil - externa'!N226)</f>
        <v>18038387.799327541</v>
      </c>
      <c r="O228" s="320">
        <f>IF('Perfil - interna'!O228+'Perfil - externa'!O226=0,0,'Perfil - interna'!O228+'Perfil - externa'!O226)</f>
        <v>10866191.476669818</v>
      </c>
      <c r="P228" s="320">
        <f>IF('Perfil - interna'!P228+'Perfil - externa'!P226=0,0,'Perfil - interna'!P228+'Perfil - externa'!P226)</f>
        <v>15574286.73807456</v>
      </c>
      <c r="Q228" s="320">
        <f>IF('Perfil - interna'!Q228+'Perfil - externa'!Q226=0,0,'Perfil - interna'!Q228+'Perfil - externa'!Q226)</f>
        <v>17169861.69313062</v>
      </c>
      <c r="R228" s="320">
        <f>IF('Perfil - interna'!R228+'Perfil - externa'!R226=0,0,'Perfil - interna'!R228+'Perfil - externa'!R226)</f>
        <v>4181526.6281099534</v>
      </c>
      <c r="S228" s="320">
        <f>IF('Perfil - interna'!S228+'Perfil - externa'!S226=0,0,'Perfil - interna'!S228+'Perfil - externa'!S226)</f>
        <v>5500466.8505778741</v>
      </c>
      <c r="T228" s="320">
        <f>IF('Perfil - interna'!T228+'Perfil - externa'!T226=0,0,'Perfil - interna'!T228+'Perfil - externa'!T226)</f>
        <v>2845934.9811341828</v>
      </c>
      <c r="U228" s="320">
        <f>IF('Perfil - interna'!U228+'Perfil - externa'!U226=0,0,'Perfil - interna'!U228+'Perfil - externa'!U226)</f>
        <v>2554630.1931372499</v>
      </c>
      <c r="V228" s="320">
        <f>IF('Perfil - interna'!V228+'Perfil - externa'!V226=0,0,'Perfil - interna'!V228+'Perfil - externa'!V226)</f>
        <v>9502612.9058448002</v>
      </c>
      <c r="W228" s="320">
        <f>IF('Perfil - interna'!W228+'Perfil - externa'!W226=0,0,'Perfil - interna'!W228+'Perfil - externa'!W226)</f>
        <v>1262587.9796266928</v>
      </c>
      <c r="X228" s="320">
        <f>IF('Perfil - interna'!X228+'Perfil - externa'!X226=0,0,'Perfil - interna'!X228+'Perfil - externa'!X226)</f>
        <v>1110051.8806240209</v>
      </c>
      <c r="Y228" s="320">
        <f>IF('Perfil - interna'!Y228+'Perfil - externa'!Y226=0,0,'Perfil - interna'!Y228+'Perfil - externa'!Y226)</f>
        <v>1579296.2961576749</v>
      </c>
      <c r="Z228" s="320">
        <f>IF('Perfil - interna'!Z228+'Perfil - externa'!Z226=0,0,'Perfil - interna'!Z228+'Perfil - externa'!Z226)</f>
        <v>3046019.3024692466</v>
      </c>
      <c r="AA228" s="320">
        <f>IF('Perfil - interna'!AA228+'Perfil - externa'!AA226=0,0,'Perfil - interna'!AA228+'Perfil - externa'!AA226)</f>
        <v>543691.41935428558</v>
      </c>
      <c r="AB228" s="320">
        <f>IF('Perfil - interna'!AB228+'Perfil - externa'!AB226=0,0,'Perfil - interna'!AB228+'Perfil - externa'!AB226)</f>
        <v>487996.39454326592</v>
      </c>
      <c r="AC228" s="320">
        <f>IF('Perfil - interna'!AC228+'Perfil - externa'!AC226=0,0,'Perfil - interna'!AC228+'Perfil - externa'!AC226)</f>
        <v>766213.65127869032</v>
      </c>
      <c r="AD228" s="320">
        <f>IF('Perfil - interna'!AD228+'Perfil - externa'!AD226=0,0,'Perfil - interna'!AD228+'Perfil - externa'!AD226)</f>
        <v>421692.2312365612</v>
      </c>
      <c r="AE228" s="320">
        <f>IF('Perfil - interna'!AE228+'Perfil - externa'!AE226=0,0,'Perfil - interna'!AE228+'Perfil - externa'!AE226)</f>
        <v>388571.48314145714</v>
      </c>
      <c r="AF228" s="320">
        <f>IF('Perfil - interna'!AF228+'Perfil - externa'!AF226=0,0,'Perfil - interna'!AF228+'Perfil - externa'!AF226)</f>
        <v>368119.37912572478</v>
      </c>
      <c r="AG228" s="320">
        <f>IF('Perfil - interna'!AG228+'Perfil - externa'!AG226=0,0,'Perfil - interna'!AG228+'Perfil - externa'!AG226)</f>
        <v>354012.13722099637</v>
      </c>
      <c r="AH228" s="320">
        <f>IF('Perfil - interna'!AH228+'Perfil - externa'!AH226=0,0,'Perfil - interna'!AH228+'Perfil - externa'!AH226)</f>
        <v>324801.72461407358</v>
      </c>
      <c r="AI228" s="320">
        <f>IF('Perfil - interna'!AI228+'Perfil - externa'!AI226=0,0,'Perfil - interna'!AI228+'Perfil - externa'!AI226)</f>
        <v>1042850.7442612806</v>
      </c>
      <c r="AJ228" s="320">
        <f>IF('Perfil - interna'!AJ228+'Perfil - externa'!AJ226=0,0,'Perfil - interna'!AJ228+'Perfil - externa'!AJ226)</f>
        <v>246221.79261284557</v>
      </c>
      <c r="AK228" s="320">
        <f>IF('Perfil - interna'!AK228+'Perfil - externa'!AK226=0,0,'Perfil - interna'!AK228+'Perfil - externa'!AK226)</f>
        <v>241048.00407865559</v>
      </c>
      <c r="AL228" s="320">
        <f>IF('Perfil - interna'!AL228+'Perfil - externa'!AL226=0,0,'Perfil - interna'!AL228+'Perfil - externa'!AL226)</f>
        <v>240953.4540240292</v>
      </c>
      <c r="AM228" s="320">
        <f>IF('Perfil - interna'!AM228+'Perfil - externa'!AM226=0,0,'Perfil - interna'!AM228+'Perfil - externa'!AM226)</f>
        <v>3506757.77134</v>
      </c>
      <c r="AN228" s="320">
        <f>IF('Perfil - interna'!AN228+'Perfil - externa'!AN226=0,0,'Perfil - interna'!AN228+'Perfil - externa'!AN226)</f>
        <v>0</v>
      </c>
      <c r="AO228" s="320"/>
      <c r="AP228" s="320"/>
      <c r="AQ228" s="320"/>
      <c r="AR228" s="320"/>
      <c r="AS228" s="320"/>
      <c r="AT228" s="320"/>
      <c r="AU228" s="320"/>
      <c r="AV228" s="320"/>
      <c r="AW228" s="320"/>
      <c r="AX228" s="320"/>
      <c r="AY228" s="320"/>
      <c r="AZ228" s="320"/>
      <c r="BA228" s="320"/>
      <c r="BB228" s="320"/>
      <c r="BC228" s="320"/>
      <c r="BD228" s="320"/>
      <c r="BE228" s="320"/>
      <c r="BF228" s="320"/>
      <c r="BG228" s="320"/>
      <c r="BH228" s="320"/>
      <c r="BI228" s="320"/>
      <c r="BJ228" s="320"/>
      <c r="BK228" s="320"/>
    </row>
    <row r="229" spans="1:63">
      <c r="A229" s="167"/>
      <c r="B229" s="217" t="str">
        <f>Servicio_internaColumna_título_amortizaciones</f>
        <v>Amortizaciones</v>
      </c>
      <c r="C229" s="218"/>
      <c r="D229" s="219"/>
      <c r="E229" s="219"/>
      <c r="F229" s="219">
        <f>IF('Perfil - interna'!F229+'Perfil - externa'!F227=0,0,'Perfil - interna'!F229+'Perfil - externa'!F227)</f>
        <v>0</v>
      </c>
      <c r="G229" s="219">
        <f>IF('Perfil - interna'!G229+'Perfil - externa'!G227=0,0,'Perfil - interna'!G229+'Perfil - externa'!G227)</f>
        <v>0</v>
      </c>
      <c r="H229" s="219">
        <f>IF('Perfil - interna'!H229+'Perfil - externa'!H227=0,0,'Perfil - interna'!H229+'Perfil - externa'!H227)</f>
        <v>0</v>
      </c>
      <c r="I229" s="219">
        <f>IF('Perfil - interna'!I229+'Perfil - externa'!I227=0,0,'Perfil - interna'!I229+'Perfil - externa'!I227)</f>
        <v>12577218.734934408</v>
      </c>
      <c r="J229" s="219">
        <f>IF('Perfil - interna'!J229+'Perfil - externa'!J227=0,0,'Perfil - interna'!J229+'Perfil - externa'!J227)</f>
        <v>22938079.954536434</v>
      </c>
      <c r="K229" s="219">
        <f>IF('Perfil - interna'!K229+'Perfil - externa'!K227=0,0,'Perfil - interna'!K229+'Perfil - externa'!K227)</f>
        <v>13358425.281147035</v>
      </c>
      <c r="L229" s="219">
        <f>IF('Perfil - interna'!L229+'Perfil - externa'!L227=0,0,'Perfil - interna'!L229+'Perfil - externa'!L227)</f>
        <v>19737516.606124423</v>
      </c>
      <c r="M229" s="219">
        <f>IF('Perfil - interna'!M229+'Perfil - externa'!M227=0,0,'Perfil - interna'!M229+'Perfil - externa'!M227)</f>
        <v>7440461.4530701023</v>
      </c>
      <c r="N229" s="219">
        <f>IF('Perfil - interna'!N229+'Perfil - externa'!N227=0,0,'Perfil - interna'!N229+'Perfil - externa'!N227)</f>
        <v>12056625.074711328</v>
      </c>
      <c r="O229" s="219">
        <f>IF('Perfil - interna'!O229+'Perfil - externa'!O227=0,0,'Perfil - interna'!O229+'Perfil - externa'!O227)</f>
        <v>6057775.3325508488</v>
      </c>
      <c r="P229" s="219">
        <f>IF('Perfil - interna'!P229+'Perfil - externa'!P227=0,0,'Perfil - interna'!P229+'Perfil - externa'!P227)</f>
        <v>11159316.960966241</v>
      </c>
      <c r="Q229" s="219">
        <f>IF('Perfil - interna'!Q229+'Perfil - externa'!Q227=0,0,'Perfil - interna'!Q229+'Perfil - externa'!Q227)</f>
        <v>14170586.479293823</v>
      </c>
      <c r="R229" s="219">
        <f>IF('Perfil - interna'!R229+'Perfil - externa'!R227=0,0,'Perfil - interna'!R229+'Perfil - externa'!R227)</f>
        <v>2128556.9976946441</v>
      </c>
      <c r="S229" s="219">
        <f>IF('Perfil - interna'!S229+'Perfil - externa'!S227=0,0,'Perfil - interna'!S229+'Perfil - externa'!S227)</f>
        <v>3585916.0136701744</v>
      </c>
      <c r="T229" s="219">
        <f>IF('Perfil - interna'!T229+'Perfil - externa'!T227=0,0,'Perfil - interna'!T229+'Perfil - externa'!T227)</f>
        <v>1165550.2461891277</v>
      </c>
      <c r="U229" s="219">
        <f>IF('Perfil - interna'!U229+'Perfil - externa'!U227=0,0,'Perfil - interna'!U229+'Perfil - externa'!U227)</f>
        <v>940528.4303401456</v>
      </c>
      <c r="V229" s="219">
        <f>IF('Perfil - interna'!V229+'Perfil - externa'!V227=0,0,'Perfil - interna'!V229+'Perfil - externa'!V227)</f>
        <v>8253545.2182685621</v>
      </c>
      <c r="W229" s="219">
        <f>IF('Perfil - interna'!W229+'Perfil - externa'!W227=0,0,'Perfil - interna'!W229+'Perfil - externa'!W227)</f>
        <v>566207.79210843495</v>
      </c>
      <c r="X229" s="219">
        <f>IF('Perfil - interna'!X229+'Perfil - externa'!X227=0,0,'Perfil - interna'!X229+'Perfil - externa'!X227)</f>
        <v>444337.47971275658</v>
      </c>
      <c r="Y229" s="219">
        <f>IF('Perfil - interna'!Y229+'Perfil - externa'!Y227=0,0,'Perfil - interna'!Y229+'Perfil - externa'!Y227)</f>
        <v>1035890.4839491516</v>
      </c>
      <c r="Z229" s="219">
        <f>IF('Perfil - interna'!Z229+'Perfil - externa'!Z227=0,0,'Perfil - interna'!Z229+'Perfil - externa'!Z227)</f>
        <v>2488355.2293277988</v>
      </c>
      <c r="AA229" s="219">
        <f>IF('Perfil - interna'!AA229+'Perfil - externa'!AA227=0,0,'Perfil - interna'!AA229+'Perfil - externa'!AA227)</f>
        <v>165817.14587134239</v>
      </c>
      <c r="AB229" s="219">
        <f>IF('Perfil - interna'!AB229+'Perfil - externa'!AB227=0,0,'Perfil - interna'!AB229+'Perfil - externa'!AB227)</f>
        <v>119386.84271607597</v>
      </c>
      <c r="AC229" s="219">
        <f>IF('Perfil - interna'!AC229+'Perfil - externa'!AC227=0,0,'Perfil - interna'!AC229+'Perfil - externa'!AC227)</f>
        <v>404819.46194215334</v>
      </c>
      <c r="AD229" s="219">
        <f>IF('Perfil - interna'!AD229+'Perfil - externa'!AD227=0,0,'Perfil - interna'!AD229+'Perfil - externa'!AD227)</f>
        <v>89378.496222731192</v>
      </c>
      <c r="AE229" s="219">
        <f>IF('Perfil - interna'!AE229+'Perfil - externa'!AE227=0,0,'Perfil - interna'!AE229+'Perfil - externa'!AE227)</f>
        <v>61646.027004814809</v>
      </c>
      <c r="AF229" s="219">
        <f>IF('Perfil - interna'!AF229+'Perfil - externa'!AF227=0,0,'Perfil - interna'!AF229+'Perfil - externa'!AF227)</f>
        <v>44440.908005116398</v>
      </c>
      <c r="AG229" s="219">
        <f>IF('Perfil - interna'!AG229+'Perfil - externa'!AG227=0,0,'Perfil - interna'!AG229+'Perfil - externa'!AG227)</f>
        <v>32470.643204110995</v>
      </c>
      <c r="AH229" s="219">
        <f>IF('Perfil - interna'!AH229+'Perfil - externa'!AH227=0,0,'Perfil - interna'!AH229+'Perfil - externa'!AH227)</f>
        <v>5193.3103528019992</v>
      </c>
      <c r="AI229" s="219">
        <f>IF('Perfil - interna'!AI229+'Perfil - externa'!AI227=0,0,'Perfil - interna'!AI229+'Perfil - externa'!AI227)</f>
        <v>739014.94601280196</v>
      </c>
      <c r="AJ229" s="219">
        <f>IF('Perfil - interna'!AJ229+'Perfil - externa'!AJ227=0,0,'Perfil - interna'!AJ229+'Perfil - externa'!AJ227)</f>
        <v>5193.3103528019992</v>
      </c>
      <c r="AK229" s="219">
        <f>IF('Perfil - interna'!AK229+'Perfil - externa'!AK227=0,0,'Perfil - interna'!AK229+'Perfil - externa'!AK227)</f>
        <v>181.54290091800002</v>
      </c>
      <c r="AL229" s="219">
        <f>IF('Perfil - interna'!AL229+'Perfil - externa'!AL227=0,0,'Perfil - interna'!AL229+'Perfil - externa'!AL227)</f>
        <v>90.771450459000008</v>
      </c>
      <c r="AM229" s="219">
        <f>IF('Perfil - interna'!AM229+'Perfil - externa'!AM227=0,0,'Perfil - interna'!AM229+'Perfil - externa'!AM227)</f>
        <v>3164490.1040000003</v>
      </c>
      <c r="AN229" s="219">
        <f>IF('Perfil - interna'!AN229+'Perfil - externa'!AN227=0,0,'Perfil - interna'!AN229+'Perfil - externa'!AN227)</f>
        <v>0</v>
      </c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</row>
    <row r="230" spans="1:63">
      <c r="A230" s="170">
        <v>39172</v>
      </c>
      <c r="B230" s="220" t="str">
        <f>Servicio_internaColumna_título_intereses</f>
        <v>Intereses</v>
      </c>
      <c r="C230" s="221"/>
      <c r="D230" s="222"/>
      <c r="E230" s="222"/>
      <c r="F230" s="222">
        <f>IF('Perfil - interna'!F230+'Perfil - externa'!F228=0,0,'Perfil - interna'!F230+'Perfil - externa'!F228)</f>
        <v>0</v>
      </c>
      <c r="G230" s="222">
        <f>IF('Perfil - interna'!G230+'Perfil - externa'!G228=0,0,'Perfil - interna'!G230+'Perfil - externa'!G228)</f>
        <v>0</v>
      </c>
      <c r="H230" s="222">
        <f>IF('Perfil - interna'!H230+'Perfil - externa'!H228=0,0,'Perfil - interna'!H230+'Perfil - externa'!H228)</f>
        <v>0</v>
      </c>
      <c r="I230" s="222">
        <f>IF('Perfil - interna'!I230+'Perfil - externa'!I228=0,0,'Perfil - interna'!I230+'Perfil - externa'!I228)</f>
        <v>10168177.17202737</v>
      </c>
      <c r="J230" s="222">
        <f>IF('Perfil - interna'!J230+'Perfil - externa'!J228=0,0,'Perfil - interna'!J230+'Perfil - externa'!J228)</f>
        <v>12236220.676947948</v>
      </c>
      <c r="K230" s="222">
        <f>IF('Perfil - interna'!K230+'Perfil - externa'!K228=0,0,'Perfil - interna'!K230+'Perfil - externa'!K228)</f>
        <v>9680634.8360367455</v>
      </c>
      <c r="L230" s="222">
        <f>IF('Perfil - interna'!L230+'Perfil - externa'!L228=0,0,'Perfil - interna'!L230+'Perfil - externa'!L228)</f>
        <v>8412404.8276286274</v>
      </c>
      <c r="M230" s="222">
        <f>IF('Perfil - interna'!M230+'Perfil - externa'!M228=0,0,'Perfil - interna'!M230+'Perfil - externa'!M228)</f>
        <v>6659917.3154558297</v>
      </c>
      <c r="N230" s="222">
        <f>IF('Perfil - interna'!N230+'Perfil - externa'!N228=0,0,'Perfil - interna'!N230+'Perfil - externa'!N228)</f>
        <v>5921104.7713884432</v>
      </c>
      <c r="O230" s="222">
        <f>IF('Perfil - interna'!O230+'Perfil - externa'!O228=0,0,'Perfil - interna'!O230+'Perfil - externa'!O228)</f>
        <v>4735236.1374571593</v>
      </c>
      <c r="P230" s="222">
        <f>IF('Perfil - interna'!P230+'Perfil - externa'!P228=0,0,'Perfil - interna'!P230+'Perfil - externa'!P228)</f>
        <v>4290494.955000665</v>
      </c>
      <c r="Q230" s="222">
        <f>IF('Perfil - interna'!Q230+'Perfil - externa'!Q228=0,0,'Perfil - interna'!Q230+'Perfil - externa'!Q228)</f>
        <v>3185321.6868904196</v>
      </c>
      <c r="R230" s="222">
        <f>IF('Perfil - interna'!R230+'Perfil - externa'!R228=0,0,'Perfil - interna'!R230+'Perfil - externa'!R228)</f>
        <v>1991053.1632158472</v>
      </c>
      <c r="S230" s="222">
        <f>IF('Perfil - interna'!S230+'Perfil - externa'!S228=0,0,'Perfil - interna'!S230+'Perfil - externa'!S228)</f>
        <v>1805424.5962646145</v>
      </c>
      <c r="T230" s="222">
        <f>IF('Perfil - interna'!T230+'Perfil - externa'!T228=0,0,'Perfil - interna'!T230+'Perfil - externa'!T228)</f>
        <v>1652134.416485148</v>
      </c>
      <c r="U230" s="222">
        <f>IF('Perfil - interna'!U230+'Perfil - externa'!U228=0,0,'Perfil - interna'!U230+'Perfil - externa'!U228)</f>
        <v>1594742.4593931308</v>
      </c>
      <c r="V230" s="222">
        <f>IF('Perfil - interna'!V230+'Perfil - externa'!V228=0,0,'Perfil - interna'!V230+'Perfil - externa'!V228)</f>
        <v>1450828.5416419352</v>
      </c>
      <c r="W230" s="222">
        <f>IF('Perfil - interna'!W230+'Perfil - externa'!W228=0,0,'Perfil - interna'!W230+'Perfil - externa'!W228)</f>
        <v>669216.6555934475</v>
      </c>
      <c r="X230" s="222">
        <f>IF('Perfil - interna'!X230+'Perfil - externa'!X228=0,0,'Perfil - interna'!X230+'Perfil - externa'!X228)</f>
        <v>643364.18220949417</v>
      </c>
      <c r="Y230" s="222">
        <f>IF('Perfil - interna'!Y230+'Perfil - externa'!Y228=0,0,'Perfil - interna'!Y230+'Perfil - externa'!Y228)</f>
        <v>622392.2380871583</v>
      </c>
      <c r="Z230" s="222">
        <f>IF('Perfil - interna'!Z230+'Perfil - externa'!Z228=0,0,'Perfil - interna'!Z230+'Perfil - externa'!Z228)</f>
        <v>466435.9716935649</v>
      </c>
      <c r="AA230" s="222">
        <f>IF('Perfil - interna'!AA230+'Perfil - externa'!AA228=0,0,'Perfil - interna'!AA230+'Perfil - externa'!AA228)</f>
        <v>364178.52768127428</v>
      </c>
      <c r="AB230" s="222">
        <f>IF('Perfil - interna'!AB230+'Perfil - externa'!AB228=0,0,'Perfil - interna'!AB230+'Perfil - externa'!AB228)</f>
        <v>356480.96638373937</v>
      </c>
      <c r="AC230" s="222">
        <f>IF('Perfil - interna'!AC230+'Perfil - externa'!AC228=0,0,'Perfil - interna'!AC230+'Perfil - externa'!AC228)</f>
        <v>337572.40188694454</v>
      </c>
      <c r="AD230" s="222">
        <f>IF('Perfil - interna'!AD230+'Perfil - externa'!AD228=0,0,'Perfil - interna'!AD230+'Perfil - externa'!AD228)</f>
        <v>319224.3460835258</v>
      </c>
      <c r="AE230" s="222">
        <f>IF('Perfil - interna'!AE230+'Perfil - externa'!AE228=0,0,'Perfil - interna'!AE230+'Perfil - externa'!AE228)</f>
        <v>314864.47421751154</v>
      </c>
      <c r="AF230" s="222">
        <f>IF('Perfil - interna'!AF230+'Perfil - externa'!AF228=0,0,'Perfil - interna'!AF230+'Perfil - externa'!AF228)</f>
        <v>312252.52884730935</v>
      </c>
      <c r="AG230" s="222">
        <f>IF('Perfil - interna'!AG230+'Perfil - externa'!AG228=0,0,'Perfil - interna'!AG230+'Perfil - externa'!AG228)</f>
        <v>310553.58035701618</v>
      </c>
      <c r="AH230" s="222">
        <f>IF('Perfil - interna'!AH230+'Perfil - externa'!AH228=0,0,'Perfil - interna'!AH230+'Perfil - externa'!AH228)</f>
        <v>309527.49006602238</v>
      </c>
      <c r="AI230" s="222">
        <f>IF('Perfil - interna'!AI230+'Perfil - externa'!AI228=0,0,'Perfil - interna'!AI230+'Perfil - externa'!AI228)</f>
        <v>271459.09711007919</v>
      </c>
      <c r="AJ230" s="222">
        <f>IF('Perfil - interna'!AJ230+'Perfil - externa'!AJ228=0,0,'Perfil - interna'!AJ230+'Perfil - externa'!AJ228)</f>
        <v>233387.48669265723</v>
      </c>
      <c r="AK230" s="222">
        <f>IF('Perfil - interna'!AK230+'Perfil - externa'!AK228=0,0,'Perfil - interna'!AK230+'Perfil - externa'!AK228)</f>
        <v>233386.10618277182</v>
      </c>
      <c r="AL230" s="222">
        <f>IF('Perfil - interna'!AL230+'Perfil - externa'!AL228=0,0,'Perfil - interna'!AL230+'Perfil - externa'!AL228)</f>
        <v>233384.72571598762</v>
      </c>
      <c r="AM230" s="222">
        <f>IF('Perfil - interna'!AM230+'Perfil - externa'!AM228=0,0,'Perfil - interna'!AM230+'Perfil - externa'!AM228)</f>
        <v>233381.14517</v>
      </c>
      <c r="AN230" s="222">
        <f>IF('Perfil - interna'!AN230+'Perfil - externa'!AN228=0,0,'Perfil - interna'!AN230+'Perfil - externa'!AN228)</f>
        <v>0</v>
      </c>
      <c r="AO230" s="222"/>
      <c r="AP230" s="222"/>
      <c r="AQ230" s="222"/>
      <c r="AR230" s="222"/>
      <c r="AS230" s="222"/>
      <c r="AT230" s="222"/>
      <c r="AU230" s="222"/>
      <c r="AV230" s="222"/>
      <c r="AW230" s="222"/>
      <c r="AX230" s="222"/>
      <c r="AY230" s="222"/>
      <c r="AZ230" s="222"/>
      <c r="BA230" s="222"/>
      <c r="BB230" s="222"/>
      <c r="BC230" s="222"/>
      <c r="BD230" s="222"/>
      <c r="BE230" s="222"/>
      <c r="BF230" s="222"/>
      <c r="BG230" s="222"/>
      <c r="BH230" s="222"/>
      <c r="BI230" s="222"/>
      <c r="BJ230" s="222"/>
      <c r="BK230" s="222"/>
    </row>
    <row r="231" spans="1:63">
      <c r="A231" s="171"/>
      <c r="B231" s="318" t="str">
        <f>Servicio_internaColumna_título_total</f>
        <v>Total</v>
      </c>
      <c r="C231" s="319"/>
      <c r="D231" s="320"/>
      <c r="E231" s="320"/>
      <c r="F231" s="320">
        <f>IF('Perfil - interna'!F231+'Perfil - externa'!F229=0,0,'Perfil - interna'!F231+'Perfil - externa'!F229)</f>
        <v>0</v>
      </c>
      <c r="G231" s="320">
        <f>IF('Perfil - interna'!G231+'Perfil - externa'!G229=0,0,'Perfil - interna'!G231+'Perfil - externa'!G229)</f>
        <v>0</v>
      </c>
      <c r="H231" s="320">
        <f>IF('Perfil - interna'!H231+'Perfil - externa'!H229=0,0,'Perfil - interna'!H231+'Perfil - externa'!H229)</f>
        <v>0</v>
      </c>
      <c r="I231" s="320">
        <f>IF('Perfil - interna'!I231+'Perfil - externa'!I229=0,0,'Perfil - interna'!I231+'Perfil - externa'!I229)</f>
        <v>22745395.90696178</v>
      </c>
      <c r="J231" s="320">
        <f>IF('Perfil - interna'!J231+'Perfil - externa'!J229=0,0,'Perfil - interna'!J231+'Perfil - externa'!J229)</f>
        <v>35174300.631484382</v>
      </c>
      <c r="K231" s="320">
        <f>IF('Perfil - interna'!K231+'Perfil - externa'!K229=0,0,'Perfil - interna'!K231+'Perfil - externa'!K229)</f>
        <v>23039060.117183782</v>
      </c>
      <c r="L231" s="320">
        <f>IF('Perfil - interna'!L231+'Perfil - externa'!L229=0,0,'Perfil - interna'!L231+'Perfil - externa'!L229)</f>
        <v>28149921.433753051</v>
      </c>
      <c r="M231" s="320">
        <f>IF('Perfil - interna'!M231+'Perfil - externa'!M229=0,0,'Perfil - interna'!M231+'Perfil - externa'!M229)</f>
        <v>14100378.768525932</v>
      </c>
      <c r="N231" s="320">
        <f>IF('Perfil - interna'!N231+'Perfil - externa'!N229=0,0,'Perfil - interna'!N231+'Perfil - externa'!N229)</f>
        <v>17977729.846099772</v>
      </c>
      <c r="O231" s="320">
        <f>IF('Perfil - interna'!O231+'Perfil - externa'!O229=0,0,'Perfil - interna'!O231+'Perfil - externa'!O229)</f>
        <v>10793011.470008008</v>
      </c>
      <c r="P231" s="320">
        <f>IF('Perfil - interna'!P231+'Perfil - externa'!P229=0,0,'Perfil - interna'!P231+'Perfil - externa'!P229)</f>
        <v>15449811.915966906</v>
      </c>
      <c r="Q231" s="320">
        <f>IF('Perfil - interna'!Q231+'Perfil - externa'!Q229=0,0,'Perfil - interna'!Q231+'Perfil - externa'!Q229)</f>
        <v>17355908.166184243</v>
      </c>
      <c r="R231" s="320">
        <f>IF('Perfil - interna'!R231+'Perfil - externa'!R229=0,0,'Perfil - interna'!R231+'Perfil - externa'!R229)</f>
        <v>4119610.1609104914</v>
      </c>
      <c r="S231" s="320">
        <f>IF('Perfil - interna'!S231+'Perfil - externa'!S229=0,0,'Perfil - interna'!S231+'Perfil - externa'!S229)</f>
        <v>5391340.6099347891</v>
      </c>
      <c r="T231" s="320">
        <f>IF('Perfil - interna'!T231+'Perfil - externa'!T229=0,0,'Perfil - interna'!T231+'Perfil - externa'!T229)</f>
        <v>2817684.6626742757</v>
      </c>
      <c r="U231" s="320">
        <f>IF('Perfil - interna'!U231+'Perfil - externa'!U229=0,0,'Perfil - interna'!U231+'Perfil - externa'!U229)</f>
        <v>2535270.8897332763</v>
      </c>
      <c r="V231" s="320">
        <f>IF('Perfil - interna'!V231+'Perfil - externa'!V229=0,0,'Perfil - interna'!V231+'Perfil - externa'!V229)</f>
        <v>9704373.7599104978</v>
      </c>
      <c r="W231" s="320">
        <f>IF('Perfil - interna'!W231+'Perfil - externa'!W229=0,0,'Perfil - interna'!W231+'Perfil - externa'!W229)</f>
        <v>1235424.4477018823</v>
      </c>
      <c r="X231" s="320">
        <f>IF('Perfil - interna'!X231+'Perfil - externa'!X229=0,0,'Perfil - interna'!X231+'Perfil - externa'!X229)</f>
        <v>1087701.6619222506</v>
      </c>
      <c r="Y231" s="320">
        <f>IF('Perfil - interna'!Y231+'Perfil - externa'!Y229=0,0,'Perfil - interna'!Y231+'Perfil - externa'!Y229)</f>
        <v>1658282.72203631</v>
      </c>
      <c r="Z231" s="320">
        <f>IF('Perfil - interna'!Z231+'Perfil - externa'!Z229=0,0,'Perfil - interna'!Z231+'Perfil - externa'!Z229)</f>
        <v>2954791.201021364</v>
      </c>
      <c r="AA231" s="320">
        <f>IF('Perfil - interna'!AA231+'Perfil - externa'!AA229=0,0,'Perfil - interna'!AA231+'Perfil - externa'!AA229)</f>
        <v>529995.67355261673</v>
      </c>
      <c r="AB231" s="320">
        <f>IF('Perfil - interna'!AB231+'Perfil - externa'!AB229=0,0,'Perfil - interna'!AB231+'Perfil - externa'!AB229)</f>
        <v>475867.80909981532</v>
      </c>
      <c r="AC231" s="320">
        <f>IF('Perfil - interna'!AC231+'Perfil - externa'!AC229=0,0,'Perfil - interna'!AC231+'Perfil - externa'!AC229)</f>
        <v>742391.86382909794</v>
      </c>
      <c r="AD231" s="320">
        <f>IF('Perfil - interna'!AD231+'Perfil - externa'!AD229=0,0,'Perfil - interna'!AD231+'Perfil - externa'!AD229)</f>
        <v>408602.84230625699</v>
      </c>
      <c r="AE231" s="320">
        <f>IF('Perfil - interna'!AE231+'Perfil - externa'!AE229=0,0,'Perfil - interna'!AE231+'Perfil - externa'!AE229)</f>
        <v>376510.50122232636</v>
      </c>
      <c r="AF231" s="320">
        <f>IF('Perfil - interna'!AF231+'Perfil - externa'!AF229=0,0,'Perfil - interna'!AF231+'Perfil - externa'!AF229)</f>
        <v>356693.43685242574</v>
      </c>
      <c r="AG231" s="320">
        <f>IF('Perfil - interna'!AG231+'Perfil - externa'!AG229=0,0,'Perfil - interna'!AG231+'Perfil - externa'!AG229)</f>
        <v>343024.2235611272</v>
      </c>
      <c r="AH231" s="320">
        <f>IF('Perfil - interna'!AH231+'Perfil - externa'!AH229=0,0,'Perfil - interna'!AH231+'Perfil - externa'!AH229)</f>
        <v>314720.80041882436</v>
      </c>
      <c r="AI231" s="320">
        <f>IF('Perfil - interna'!AI231+'Perfil - externa'!AI229=0,0,'Perfil - interna'!AI231+'Perfil - externa'!AI229)</f>
        <v>1010474.0431228811</v>
      </c>
      <c r="AJ231" s="320">
        <f>IF('Perfil - interna'!AJ231+'Perfil - externa'!AJ229=0,0,'Perfil - interna'!AJ231+'Perfil - externa'!AJ229)</f>
        <v>238580.79704545921</v>
      </c>
      <c r="AK231" s="320">
        <f>IF('Perfil - interna'!AK231+'Perfil - externa'!AK229=0,0,'Perfil - interna'!AK231+'Perfil - externa'!AK229)</f>
        <v>233567.64908368982</v>
      </c>
      <c r="AL231" s="320">
        <f>IF('Perfil - interna'!AL231+'Perfil - externa'!AL229=0,0,'Perfil - interna'!AL231+'Perfil - externa'!AL229)</f>
        <v>233475.49716644661</v>
      </c>
      <c r="AM231" s="320">
        <f>IF('Perfil - interna'!AM231+'Perfil - externa'!AM229=0,0,'Perfil - interna'!AM231+'Perfil - externa'!AM229)</f>
        <v>3397871.2491700002</v>
      </c>
      <c r="AN231" s="320">
        <f>IF('Perfil - interna'!AN231+'Perfil - externa'!AN229=0,0,'Perfil - interna'!AN231+'Perfil - externa'!AN229)</f>
        <v>0</v>
      </c>
      <c r="AO231" s="320"/>
      <c r="AP231" s="320"/>
      <c r="AQ231" s="320"/>
      <c r="AR231" s="320"/>
      <c r="AS231" s="320"/>
      <c r="AT231" s="320"/>
      <c r="AU231" s="320"/>
      <c r="AV231" s="320"/>
      <c r="AW231" s="320"/>
      <c r="AX231" s="320"/>
      <c r="AY231" s="320"/>
      <c r="AZ231" s="320"/>
      <c r="BA231" s="320"/>
      <c r="BB231" s="320"/>
      <c r="BC231" s="320"/>
      <c r="BD231" s="320"/>
      <c r="BE231" s="320"/>
      <c r="BF231" s="320"/>
      <c r="BG231" s="320"/>
      <c r="BH231" s="320"/>
      <c r="BI231" s="320"/>
      <c r="BJ231" s="320"/>
      <c r="BK231" s="320"/>
    </row>
    <row r="232" spans="1:63">
      <c r="A232" s="167"/>
      <c r="B232" s="217" t="str">
        <f>Servicio_internaColumna_título_amortizaciones</f>
        <v>Amortizaciones</v>
      </c>
      <c r="C232" s="218"/>
      <c r="D232" s="219"/>
      <c r="E232" s="219"/>
      <c r="F232" s="219">
        <f>IF('Perfil - interna'!F232+'Perfil - externa'!F230=0,0,'Perfil - interna'!F232+'Perfil - externa'!F230)</f>
        <v>0</v>
      </c>
      <c r="G232" s="219">
        <f>IF('Perfil - interna'!G232+'Perfil - externa'!G230=0,0,'Perfil - interna'!G232+'Perfil - externa'!G230)</f>
        <v>0</v>
      </c>
      <c r="H232" s="219">
        <f>IF('Perfil - interna'!H232+'Perfil - externa'!H230=0,0,'Perfil - interna'!H232+'Perfil - externa'!H230)</f>
        <v>0</v>
      </c>
      <c r="I232" s="219">
        <f>IF('Perfil - interna'!I232+'Perfil - externa'!I230=0,0,'Perfil - interna'!I232+'Perfil - externa'!I230)</f>
        <v>12449991.802159699</v>
      </c>
      <c r="J232" s="219">
        <f>IF('Perfil - interna'!J232+'Perfil - externa'!J230=0,0,'Perfil - interna'!J232+'Perfil - externa'!J230)</f>
        <v>23141325.403649915</v>
      </c>
      <c r="K232" s="219">
        <f>IF('Perfil - interna'!K232+'Perfil - externa'!K230=0,0,'Perfil - interna'!K232+'Perfil - externa'!K230)</f>
        <v>13802898.066900881</v>
      </c>
      <c r="L232" s="219">
        <f>IF('Perfil - interna'!L232+'Perfil - externa'!L230=0,0,'Perfil - interna'!L232+'Perfil - externa'!L230)</f>
        <v>20362710.568135854</v>
      </c>
      <c r="M232" s="219">
        <f>IF('Perfil - interna'!M232+'Perfil - externa'!M230=0,0,'Perfil - interna'!M232+'Perfil - externa'!M230)</f>
        <v>7403993.3550567068</v>
      </c>
      <c r="N232" s="219">
        <f>IF('Perfil - interna'!N232+'Perfil - externa'!N230=0,0,'Perfil - interna'!N232+'Perfil - externa'!N230)</f>
        <v>12006283.131705733</v>
      </c>
      <c r="O232" s="219">
        <f>IF('Perfil - interna'!O232+'Perfil - externa'!O230=0,0,'Perfil - interna'!O232+'Perfil - externa'!O230)</f>
        <v>5992322.2755204123</v>
      </c>
      <c r="P232" s="219">
        <f>IF('Perfil - interna'!P232+'Perfil - externa'!P230=0,0,'Perfil - interna'!P232+'Perfil - externa'!P230)</f>
        <v>11098024.66349422</v>
      </c>
      <c r="Q232" s="219">
        <f>IF('Perfil - interna'!Q232+'Perfil - externa'!Q230=0,0,'Perfil - interna'!Q232+'Perfil - externa'!Q230)</f>
        <v>14330918.663660172</v>
      </c>
      <c r="R232" s="219">
        <f>IF('Perfil - interna'!R232+'Perfil - externa'!R230=0,0,'Perfil - interna'!R232+'Perfil - externa'!R230)</f>
        <v>2131158.2509817025</v>
      </c>
      <c r="S232" s="219">
        <f>IF('Perfil - interna'!S232+'Perfil - externa'!S230=0,0,'Perfil - interna'!S232+'Perfil - externa'!S230)</f>
        <v>3575338.6526689683</v>
      </c>
      <c r="T232" s="219">
        <f>IF('Perfil - interna'!T232+'Perfil - externa'!T230=0,0,'Perfil - interna'!T232+'Perfil - externa'!T230)</f>
        <v>1203293.5715592082</v>
      </c>
      <c r="U232" s="219">
        <f>IF('Perfil - interna'!U232+'Perfil - externa'!U230=0,0,'Perfil - interna'!U232+'Perfil - externa'!U230)</f>
        <v>960511.55878371338</v>
      </c>
      <c r="V232" s="219">
        <f>IF('Perfil - interna'!V232+'Perfil - externa'!V230=0,0,'Perfil - interna'!V232+'Perfil - externa'!V230)</f>
        <v>8412093.3368773069</v>
      </c>
      <c r="W232" s="219">
        <f>IF('Perfil - interna'!W232+'Perfil - externa'!W230=0,0,'Perfil - interna'!W232+'Perfil - externa'!W230)</f>
        <v>552059.75024611515</v>
      </c>
      <c r="X232" s="219">
        <f>IF('Perfil - interna'!X232+'Perfil - externa'!X230=0,0,'Perfil - interna'!X232+'Perfil - externa'!X230)</f>
        <v>435086.3599373154</v>
      </c>
      <c r="Y232" s="219">
        <f>IF('Perfil - interna'!Y232+'Perfil - externa'!Y230=0,0,'Perfil - interna'!Y232+'Perfil - externa'!Y230)</f>
        <v>1252896.2594137788</v>
      </c>
      <c r="Z232" s="219">
        <f>IF('Perfil - interna'!Z232+'Perfil - externa'!Z230=0,0,'Perfil - interna'!Z232+'Perfil - externa'!Z230)</f>
        <v>2436998.9181855773</v>
      </c>
      <c r="AA232" s="219">
        <f>IF('Perfil - interna'!AA232+'Perfil - externa'!AA230=0,0,'Perfil - interna'!AA232+'Perfil - externa'!AA230)</f>
        <v>162300.5540523096</v>
      </c>
      <c r="AB232" s="219">
        <f>IF('Perfil - interna'!AB232+'Perfil - externa'!AB230=0,0,'Perfil - interna'!AB232+'Perfil - externa'!AB230)</f>
        <v>116826.62387833479</v>
      </c>
      <c r="AC232" s="219">
        <f>IF('Perfil - interna'!AC232+'Perfil - externa'!AC230=0,0,'Perfil - interna'!AC232+'Perfil - externa'!AC230)</f>
        <v>396370.03671850293</v>
      </c>
      <c r="AD232" s="219">
        <f>IF('Perfil - interna'!AD232+'Perfil - externa'!AD230=0,0,'Perfil - interna'!AD232+'Perfil - externa'!AD230)</f>
        <v>87426.534860080006</v>
      </c>
      <c r="AE232" s="219">
        <f>IF('Perfil - interna'!AE232+'Perfil - externa'!AE230=0,0,'Perfil - interna'!AE232+'Perfil - externa'!AE230)</f>
        <v>60265.299996930211</v>
      </c>
      <c r="AF232" s="219">
        <f>IF('Perfil - interna'!AF232+'Perfil - externa'!AF230=0,0,'Perfil - interna'!AF232+'Perfil - externa'!AF230)</f>
        <v>43414.572630131392</v>
      </c>
      <c r="AG232" s="219">
        <f>IF('Perfil - interna'!AG232+'Perfil - externa'!AG230=0,0,'Perfil - interna'!AG232+'Perfil - externa'!AG230)</f>
        <v>31690.871755196098</v>
      </c>
      <c r="AH232" s="219">
        <f>IF('Perfil - interna'!AH232+'Perfil - externa'!AH230=0,0,'Perfil - interna'!AH232+'Perfil - externa'!AH230)</f>
        <v>4975.3983441206001</v>
      </c>
      <c r="AI232" s="219">
        <f>IF('Perfil - interna'!AI232+'Perfil - externa'!AI230=0,0,'Perfil - interna'!AI232+'Perfil - externa'!AI230)</f>
        <v>723681.75071412069</v>
      </c>
      <c r="AJ232" s="219">
        <f>IF('Perfil - interna'!AJ232+'Perfil - externa'!AJ230=0,0,'Perfil - interna'!AJ232+'Perfil - externa'!AJ230)</f>
        <v>4975.3983441206001</v>
      </c>
      <c r="AK232" s="219">
        <f>IF('Perfil - interna'!AK232+'Perfil - externa'!AK230=0,0,'Perfil - interna'!AK232+'Perfil - externa'!AK230)</f>
        <v>4975.3983441206001</v>
      </c>
      <c r="AL232" s="219">
        <f>IF('Perfil - interna'!AL232+'Perfil - externa'!AL230=0,0,'Perfil - interna'!AL232+'Perfil - externa'!AL230)</f>
        <v>4886.1878160991</v>
      </c>
      <c r="AM232" s="219">
        <f>IF('Perfil - interna'!AM232+'Perfil - externa'!AM230=0,0,'Perfil - interna'!AM232+'Perfil - externa'!AM230)</f>
        <v>3104104.8052880778</v>
      </c>
      <c r="AN232" s="219">
        <f>IF('Perfil - interna'!AN232+'Perfil - externa'!AN230=0,0,'Perfil - interna'!AN232+'Perfil - externa'!AN230)</f>
        <v>0</v>
      </c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</row>
    <row r="233" spans="1:63">
      <c r="A233" s="170">
        <v>39202</v>
      </c>
      <c r="B233" s="220" t="str">
        <f>Servicio_internaColumna_título_intereses</f>
        <v>Intereses</v>
      </c>
      <c r="C233" s="221"/>
      <c r="D233" s="222"/>
      <c r="E233" s="222"/>
      <c r="F233" s="222">
        <f>IF('Perfil - interna'!F233+'Perfil - externa'!F231=0,0,'Perfil - interna'!F233+'Perfil - externa'!F231)</f>
        <v>0</v>
      </c>
      <c r="G233" s="222">
        <f>IF('Perfil - interna'!G233+'Perfil - externa'!G231=0,0,'Perfil - interna'!G233+'Perfil - externa'!G231)</f>
        <v>0</v>
      </c>
      <c r="H233" s="222">
        <f>IF('Perfil - interna'!H233+'Perfil - externa'!H231=0,0,'Perfil - interna'!H233+'Perfil - externa'!H231)</f>
        <v>0</v>
      </c>
      <c r="I233" s="222">
        <f>IF('Perfil - interna'!I233+'Perfil - externa'!I231=0,0,'Perfil - interna'!I233+'Perfil - externa'!I231)</f>
        <v>10087905.917149469</v>
      </c>
      <c r="J233" s="222">
        <f>IF('Perfil - interna'!J233+'Perfil - externa'!J231=0,0,'Perfil - interna'!J233+'Perfil - externa'!J231)</f>
        <v>12364127.012812357</v>
      </c>
      <c r="K233" s="222">
        <f>IF('Perfil - interna'!K233+'Perfil - externa'!K231=0,0,'Perfil - interna'!K233+'Perfil - externa'!K231)</f>
        <v>9812087.2067037635</v>
      </c>
      <c r="L233" s="222">
        <f>IF('Perfil - interna'!L233+'Perfil - externa'!L231=0,0,'Perfil - interna'!L233+'Perfil - externa'!L231)</f>
        <v>8507836.8012564704</v>
      </c>
      <c r="M233" s="222">
        <f>IF('Perfil - interna'!M233+'Perfil - externa'!M231=0,0,'Perfil - interna'!M233+'Perfil - externa'!M231)</f>
        <v>6680719.8131117113</v>
      </c>
      <c r="N233" s="222">
        <f>IF('Perfil - interna'!N233+'Perfil - externa'!N231=0,0,'Perfil - interna'!N233+'Perfil - externa'!N231)</f>
        <v>5948220.344770737</v>
      </c>
      <c r="O233" s="222">
        <f>IF('Perfil - interna'!O233+'Perfil - externa'!O231=0,0,'Perfil - interna'!O233+'Perfil - externa'!O231)</f>
        <v>4768725.6944340728</v>
      </c>
      <c r="P233" s="222">
        <f>IF('Perfil - interna'!P233+'Perfil - externa'!P231=0,0,'Perfil - interna'!P233+'Perfil - externa'!P231)</f>
        <v>4317365.455037348</v>
      </c>
      <c r="Q233" s="222">
        <f>IF('Perfil - interna'!Q233+'Perfil - externa'!Q231=0,0,'Perfil - interna'!Q233+'Perfil - externa'!Q231)</f>
        <v>3216203.1205653972</v>
      </c>
      <c r="R233" s="222">
        <f>IF('Perfil - interna'!R233+'Perfil - externa'!R231=0,0,'Perfil - interna'!R233+'Perfil - externa'!R231)</f>
        <v>2014237.9831555523</v>
      </c>
      <c r="S233" s="222">
        <f>IF('Perfil - interna'!S233+'Perfil - externa'!S231=0,0,'Perfil - interna'!S233+'Perfil - externa'!S231)</f>
        <v>1830077.7572943843</v>
      </c>
      <c r="T233" s="222">
        <f>IF('Perfil - interna'!T233+'Perfil - externa'!T231=0,0,'Perfil - interna'!T233+'Perfil - externa'!T231)</f>
        <v>1675633.6890682327</v>
      </c>
      <c r="U233" s="222">
        <f>IF('Perfil - interna'!U233+'Perfil - externa'!U231=0,0,'Perfil - interna'!U233+'Perfil - externa'!U231)</f>
        <v>1616530.0712172431</v>
      </c>
      <c r="V233" s="222">
        <f>IF('Perfil - interna'!V233+'Perfil - externa'!V231=0,0,'Perfil - interna'!V233+'Perfil - externa'!V231)</f>
        <v>1474015.6136580394</v>
      </c>
      <c r="W233" s="222">
        <f>IF('Perfil - interna'!W233+'Perfil - externa'!W231=0,0,'Perfil - interna'!W233+'Perfil - externa'!W231)</f>
        <v>672315.96673996758</v>
      </c>
      <c r="X233" s="222">
        <f>IF('Perfil - interna'!X233+'Perfil - externa'!X231=0,0,'Perfil - interna'!X233+'Perfil - externa'!X231)</f>
        <v>647501.70122237003</v>
      </c>
      <c r="Y233" s="222">
        <f>IF('Perfil - interna'!Y233+'Perfil - externa'!Y231=0,0,'Perfil - interna'!Y233+'Perfil - externa'!Y231)</f>
        <v>627482.75424167444</v>
      </c>
      <c r="Z233" s="222">
        <f>IF('Perfil - interna'!Z233+'Perfil - externa'!Z231=0,0,'Perfil - interna'!Z233+'Perfil - externa'!Z231)</f>
        <v>456829.82414930261</v>
      </c>
      <c r="AA233" s="222">
        <f>IF('Perfil - interna'!AA233+'Perfil - externa'!AA231=0,0,'Perfil - interna'!AA233+'Perfil - externa'!AA231)</f>
        <v>356678.13550563547</v>
      </c>
      <c r="AB233" s="222">
        <f>IF('Perfil - interna'!AB233+'Perfil - externa'!AB231=0,0,'Perfil - interna'!AB233+'Perfil - externa'!AB231)</f>
        <v>349138.59515754343</v>
      </c>
      <c r="AC233" s="222">
        <f>IF('Perfil - interna'!AC233+'Perfil - externa'!AC231=0,0,'Perfil - interna'!AC233+'Perfil - externa'!AC231)</f>
        <v>330619.11740128498</v>
      </c>
      <c r="AD233" s="222">
        <f>IF('Perfil - interna'!AD233+'Perfil - externa'!AD231=0,0,'Perfil - interna'!AD233+'Perfil - externa'!AD231)</f>
        <v>312648.99085999111</v>
      </c>
      <c r="AE233" s="222">
        <f>IF('Perfil - interna'!AE233+'Perfil - externa'!AE231=0,0,'Perfil - interna'!AE233+'Perfil - externa'!AE231)</f>
        <v>308378.91899340326</v>
      </c>
      <c r="AF233" s="222">
        <f>IF('Perfil - interna'!AF233+'Perfil - externa'!AF231=0,0,'Perfil - interna'!AF233+'Perfil - externa'!AF231)</f>
        <v>305820.76987808303</v>
      </c>
      <c r="AG233" s="222">
        <f>IF('Perfil - interna'!AG233+'Perfil - externa'!AG231=0,0,'Perfil - interna'!AG233+'Perfil - externa'!AG231)</f>
        <v>304156.81168043148</v>
      </c>
      <c r="AH233" s="222">
        <f>IF('Perfil - interna'!AH233+'Perfil - externa'!AH231=0,0,'Perfil - interna'!AH233+'Perfil - externa'!AH231)</f>
        <v>303151.85216796165</v>
      </c>
      <c r="AI233" s="222">
        <f>IF('Perfil - interna'!AI233+'Perfil - externa'!AI231=0,0,'Perfil - interna'!AI233+'Perfil - externa'!AI231)</f>
        <v>265867.58855152852</v>
      </c>
      <c r="AJ233" s="222">
        <f>IF('Perfil - interna'!AJ233+'Perfil - externa'!AJ231=0,0,'Perfil - interna'!AJ233+'Perfil - externa'!AJ231)</f>
        <v>228580.17378921213</v>
      </c>
      <c r="AK233" s="222">
        <f>IF('Perfil - interna'!AK233+'Perfil - externa'!AK231=0,0,'Perfil - interna'!AK233+'Perfil - externa'!AK231)</f>
        <v>228578.81702942943</v>
      </c>
      <c r="AL233" s="222">
        <f>IF('Perfil - interna'!AL233+'Perfil - externa'!AL231=0,0,'Perfil - interna'!AL233+'Perfil - externa'!AL231)</f>
        <v>228577.46029075343</v>
      </c>
      <c r="AM233" s="222">
        <f>IF('Perfil - interna'!AM233+'Perfil - externa'!AM231=0,0,'Perfil - interna'!AM233+'Perfil - externa'!AM231)</f>
        <v>228573.952315</v>
      </c>
      <c r="AN233" s="222">
        <f>IF('Perfil - interna'!AN233+'Perfil - externa'!AN231=0,0,'Perfil - interna'!AN233+'Perfil - externa'!AN231)</f>
        <v>0</v>
      </c>
      <c r="AO233" s="222"/>
      <c r="AP233" s="222"/>
      <c r="AQ233" s="222"/>
      <c r="AR233" s="222"/>
      <c r="AS233" s="222"/>
      <c r="AT233" s="222"/>
      <c r="AU233" s="222"/>
      <c r="AV233" s="222"/>
      <c r="AW233" s="222"/>
      <c r="AX233" s="222"/>
      <c r="AY233" s="222"/>
      <c r="AZ233" s="222"/>
      <c r="BA233" s="222"/>
      <c r="BB233" s="222"/>
      <c r="BC233" s="222"/>
      <c r="BD233" s="222"/>
      <c r="BE233" s="222"/>
      <c r="BF233" s="222"/>
      <c r="BG233" s="222"/>
      <c r="BH233" s="222"/>
      <c r="BI233" s="222"/>
      <c r="BJ233" s="222"/>
      <c r="BK233" s="222"/>
    </row>
    <row r="234" spans="1:63">
      <c r="A234" s="171"/>
      <c r="B234" s="318" t="str">
        <f>Servicio_internaColumna_título_total</f>
        <v>Total</v>
      </c>
      <c r="C234" s="319"/>
      <c r="D234" s="320"/>
      <c r="E234" s="320"/>
      <c r="F234" s="320">
        <f>IF('Perfil - interna'!F234+'Perfil - externa'!F232=0,0,'Perfil - interna'!F234+'Perfil - externa'!F232)</f>
        <v>0</v>
      </c>
      <c r="G234" s="320">
        <f>IF('Perfil - interna'!G234+'Perfil - externa'!G232=0,0,'Perfil - interna'!G234+'Perfil - externa'!G232)</f>
        <v>0</v>
      </c>
      <c r="H234" s="320">
        <f>IF('Perfil - interna'!H234+'Perfil - externa'!H232=0,0,'Perfil - interna'!H234+'Perfil - externa'!H232)</f>
        <v>0</v>
      </c>
      <c r="I234" s="320">
        <f>IF('Perfil - interna'!I234+'Perfil - externa'!I232=0,0,'Perfil - interna'!I234+'Perfil - externa'!I232)</f>
        <v>22537897.719309166</v>
      </c>
      <c r="J234" s="320">
        <f>IF('Perfil - interna'!J234+'Perfil - externa'!J232=0,0,'Perfil - interna'!J234+'Perfil - externa'!J232)</f>
        <v>35505452.416462272</v>
      </c>
      <c r="K234" s="320">
        <f>IF('Perfil - interna'!K234+'Perfil - externa'!K232=0,0,'Perfil - interna'!K234+'Perfil - externa'!K232)</f>
        <v>23614985.273604646</v>
      </c>
      <c r="L234" s="320">
        <f>IF('Perfil - interna'!L234+'Perfil - externa'!L232=0,0,'Perfil - interna'!L234+'Perfil - externa'!L232)</f>
        <v>28870547.369392324</v>
      </c>
      <c r="M234" s="320">
        <f>IF('Perfil - interna'!M234+'Perfil - externa'!M232=0,0,'Perfil - interna'!M234+'Perfil - externa'!M232)</f>
        <v>14084713.168168418</v>
      </c>
      <c r="N234" s="320">
        <f>IF('Perfil - interna'!N234+'Perfil - externa'!N232=0,0,'Perfil - interna'!N234+'Perfil - externa'!N232)</f>
        <v>17954503.476476468</v>
      </c>
      <c r="O234" s="320">
        <f>IF('Perfil - interna'!O234+'Perfil - externa'!O232=0,0,'Perfil - interna'!O234+'Perfil - externa'!O232)</f>
        <v>10761047.969954485</v>
      </c>
      <c r="P234" s="320">
        <f>IF('Perfil - interna'!P234+'Perfil - externa'!P232=0,0,'Perfil - interna'!P234+'Perfil - externa'!P232)</f>
        <v>15415390.118531568</v>
      </c>
      <c r="Q234" s="320">
        <f>IF('Perfil - interna'!Q234+'Perfil - externa'!Q232=0,0,'Perfil - interna'!Q234+'Perfil - externa'!Q232)</f>
        <v>17547121.784225568</v>
      </c>
      <c r="R234" s="320">
        <f>IF('Perfil - interna'!R234+'Perfil - externa'!R232=0,0,'Perfil - interna'!R234+'Perfil - externa'!R232)</f>
        <v>4145396.2341372548</v>
      </c>
      <c r="S234" s="320">
        <f>IF('Perfil - interna'!S234+'Perfil - externa'!S232=0,0,'Perfil - interna'!S234+'Perfil - externa'!S232)</f>
        <v>5405416.4099633526</v>
      </c>
      <c r="T234" s="320">
        <f>IF('Perfil - interna'!T234+'Perfil - externa'!T232=0,0,'Perfil - interna'!T234+'Perfil - externa'!T232)</f>
        <v>2878927.2606274411</v>
      </c>
      <c r="U234" s="320">
        <f>IF('Perfil - interna'!U234+'Perfil - externa'!U232=0,0,'Perfil - interna'!U234+'Perfil - externa'!U232)</f>
        <v>2577041.6300009568</v>
      </c>
      <c r="V234" s="320">
        <f>IF('Perfil - interna'!V234+'Perfil - externa'!V232=0,0,'Perfil - interna'!V234+'Perfil - externa'!V232)</f>
        <v>9886108.9505353458</v>
      </c>
      <c r="W234" s="320">
        <f>IF('Perfil - interna'!W234+'Perfil - externa'!W232=0,0,'Perfil - interna'!W234+'Perfil - externa'!W232)</f>
        <v>1224375.7169860827</v>
      </c>
      <c r="X234" s="320">
        <f>IF('Perfil - interna'!X234+'Perfil - externa'!X232=0,0,'Perfil - interna'!X234+'Perfil - externa'!X232)</f>
        <v>1082588.0611596855</v>
      </c>
      <c r="Y234" s="320">
        <f>IF('Perfil - interna'!Y234+'Perfil - externa'!Y232=0,0,'Perfil - interna'!Y234+'Perfil - externa'!Y232)</f>
        <v>1880379.0136554535</v>
      </c>
      <c r="Z234" s="320">
        <f>IF('Perfil - interna'!Z234+'Perfil - externa'!Z232=0,0,'Perfil - interna'!Z234+'Perfil - externa'!Z232)</f>
        <v>2893828.7423348799</v>
      </c>
      <c r="AA234" s="320">
        <f>IF('Perfil - interna'!AA234+'Perfil - externa'!AA232=0,0,'Perfil - interna'!AA234+'Perfil - externa'!AA232)</f>
        <v>518978.68955794506</v>
      </c>
      <c r="AB234" s="320">
        <f>IF('Perfil - interna'!AB234+'Perfil - externa'!AB232=0,0,'Perfil - interna'!AB234+'Perfil - externa'!AB232)</f>
        <v>465965.2190358782</v>
      </c>
      <c r="AC234" s="320">
        <f>IF('Perfil - interna'!AC234+'Perfil - externa'!AC232=0,0,'Perfil - interna'!AC234+'Perfil - externa'!AC232)</f>
        <v>726989.15411978797</v>
      </c>
      <c r="AD234" s="320">
        <f>IF('Perfil - interna'!AD234+'Perfil - externa'!AD232=0,0,'Perfil - interna'!AD234+'Perfil - externa'!AD232)</f>
        <v>400075.52572007111</v>
      </c>
      <c r="AE234" s="320">
        <f>IF('Perfil - interna'!AE234+'Perfil - externa'!AE232=0,0,'Perfil - interna'!AE234+'Perfil - externa'!AE232)</f>
        <v>368644.21899033349</v>
      </c>
      <c r="AF234" s="320">
        <f>IF('Perfil - interna'!AF234+'Perfil - externa'!AF232=0,0,'Perfil - interna'!AF234+'Perfil - externa'!AF232)</f>
        <v>349235.34250821441</v>
      </c>
      <c r="AG234" s="320">
        <f>IF('Perfil - interna'!AG234+'Perfil - externa'!AG232=0,0,'Perfil - interna'!AG234+'Perfil - externa'!AG232)</f>
        <v>335847.68343562755</v>
      </c>
      <c r="AH234" s="320">
        <f>IF('Perfil - interna'!AH234+'Perfil - externa'!AH232=0,0,'Perfil - interna'!AH234+'Perfil - externa'!AH232)</f>
        <v>308127.25051208225</v>
      </c>
      <c r="AI234" s="320">
        <f>IF('Perfil - interna'!AI234+'Perfil - externa'!AI232=0,0,'Perfil - interna'!AI234+'Perfil - externa'!AI232)</f>
        <v>989549.33926564921</v>
      </c>
      <c r="AJ234" s="320">
        <f>IF('Perfil - interna'!AJ234+'Perfil - externa'!AJ232=0,0,'Perfil - interna'!AJ234+'Perfil - externa'!AJ232)</f>
        <v>233555.57213333272</v>
      </c>
      <c r="AK234" s="320">
        <f>IF('Perfil - interna'!AK234+'Perfil - externa'!AK232=0,0,'Perfil - interna'!AK234+'Perfil - externa'!AK232)</f>
        <v>233554.21537355002</v>
      </c>
      <c r="AL234" s="320">
        <f>IF('Perfil - interna'!AL234+'Perfil - externa'!AL232=0,0,'Perfil - interna'!AL234+'Perfil - externa'!AL232)</f>
        <v>233463.64810685252</v>
      </c>
      <c r="AM234" s="320">
        <f>IF('Perfil - interna'!AM234+'Perfil - externa'!AM232=0,0,'Perfil - interna'!AM234+'Perfil - externa'!AM232)</f>
        <v>3332678.7576030777</v>
      </c>
      <c r="AN234" s="320">
        <f>IF('Perfil - interna'!AN234+'Perfil - externa'!AN232=0,0,'Perfil - interna'!AN234+'Perfil - externa'!AN232)</f>
        <v>0</v>
      </c>
      <c r="AO234" s="320"/>
      <c r="AP234" s="320"/>
      <c r="AQ234" s="320"/>
      <c r="AR234" s="320"/>
      <c r="AS234" s="320"/>
      <c r="AT234" s="320"/>
      <c r="AU234" s="320"/>
      <c r="AV234" s="320"/>
      <c r="AW234" s="320"/>
      <c r="AX234" s="320"/>
      <c r="AY234" s="320"/>
      <c r="AZ234" s="320"/>
      <c r="BA234" s="320"/>
      <c r="BB234" s="320"/>
      <c r="BC234" s="320"/>
      <c r="BD234" s="320"/>
      <c r="BE234" s="320"/>
      <c r="BF234" s="320"/>
      <c r="BG234" s="320"/>
      <c r="BH234" s="320"/>
      <c r="BI234" s="320"/>
      <c r="BJ234" s="320"/>
      <c r="BK234" s="320"/>
    </row>
    <row r="235" spans="1:63">
      <c r="A235" s="167"/>
      <c r="B235" s="217" t="str">
        <f>Servicio_internaColumna_título_amortizaciones</f>
        <v>Amortizaciones</v>
      </c>
      <c r="C235" s="218"/>
      <c r="D235" s="219"/>
      <c r="E235" s="219"/>
      <c r="F235" s="219">
        <f>IF('Perfil - interna'!F235+'Perfil - externa'!F233=0,0,'Perfil - interna'!F235+'Perfil - externa'!F233)</f>
        <v>0</v>
      </c>
      <c r="G235" s="219">
        <f>IF('Perfil - interna'!G235+'Perfil - externa'!G233=0,0,'Perfil - interna'!G235+'Perfil - externa'!G233)</f>
        <v>0</v>
      </c>
      <c r="H235" s="219">
        <f>IF('Perfil - interna'!H235+'Perfil - externa'!H233=0,0,'Perfil - interna'!H235+'Perfil - externa'!H233)</f>
        <v>0</v>
      </c>
      <c r="I235" s="219">
        <f>IF('Perfil - interna'!I235+'Perfil - externa'!I233=0,0,'Perfil - interna'!I235+'Perfil - externa'!I233)</f>
        <v>12449888.498673957</v>
      </c>
      <c r="J235" s="219">
        <f>IF('Perfil - interna'!J235+'Perfil - externa'!J233=0,0,'Perfil - interna'!J235+'Perfil - externa'!J233)</f>
        <v>22207588.633114669</v>
      </c>
      <c r="K235" s="219">
        <f>IF('Perfil - interna'!K235+'Perfil - externa'!K233=0,0,'Perfil - interna'!K235+'Perfil - externa'!K233)</f>
        <v>13941085.874496853</v>
      </c>
      <c r="L235" s="219">
        <f>IF('Perfil - interna'!L235+'Perfil - externa'!L233=0,0,'Perfil - interna'!L235+'Perfil - externa'!L233)</f>
        <v>21644718.426075228</v>
      </c>
      <c r="M235" s="219">
        <f>IF('Perfil - interna'!M235+'Perfil - externa'!M233=0,0,'Perfil - interna'!M235+'Perfil - externa'!M233)</f>
        <v>7010155.9570328631</v>
      </c>
      <c r="N235" s="219">
        <f>IF('Perfil - interna'!N235+'Perfil - externa'!N233=0,0,'Perfil - interna'!N235+'Perfil - externa'!N233)</f>
        <v>10484794.304542912</v>
      </c>
      <c r="O235" s="219">
        <f>IF('Perfil - interna'!O235+'Perfil - externa'!O233=0,0,'Perfil - interna'!O235+'Perfil - externa'!O233)</f>
        <v>5698216.9378116317</v>
      </c>
      <c r="P235" s="219">
        <f>IF('Perfil - interna'!P235+'Perfil - externa'!P233=0,0,'Perfil - interna'!P235+'Perfil - externa'!P233)</f>
        <v>10744968.421811491</v>
      </c>
      <c r="Q235" s="219">
        <f>IF('Perfil - interna'!Q235+'Perfil - externa'!Q233=0,0,'Perfil - interna'!Q235+'Perfil - externa'!Q233)</f>
        <v>15095126.987263784</v>
      </c>
      <c r="R235" s="219">
        <f>IF('Perfil - interna'!R235+'Perfil - externa'!R233=0,0,'Perfil - interna'!R235+'Perfil - externa'!R233)</f>
        <v>1961235.6774449896</v>
      </c>
      <c r="S235" s="219">
        <f>IF('Perfil - interna'!S235+'Perfil - externa'!S233=0,0,'Perfil - interna'!S235+'Perfil - externa'!S233)</f>
        <v>3271718.9190548216</v>
      </c>
      <c r="T235" s="219">
        <f>IF('Perfil - interna'!T235+'Perfil - externa'!T233=0,0,'Perfil - interna'!T235+'Perfil - externa'!T233)</f>
        <v>1100470.9930490728</v>
      </c>
      <c r="U235" s="219">
        <f>IF('Perfil - interna'!U235+'Perfil - externa'!U233=0,0,'Perfil - interna'!U235+'Perfil - externa'!U233)</f>
        <v>878665.72090214642</v>
      </c>
      <c r="V235" s="219">
        <f>IF('Perfil - interna'!V235+'Perfil - externa'!V233=0,0,'Perfil - interna'!V235+'Perfil - externa'!V233)</f>
        <v>9026200.4975265712</v>
      </c>
      <c r="W235" s="219">
        <f>IF('Perfil - interna'!W235+'Perfil - externa'!W233=0,0,'Perfil - interna'!W235+'Perfil - externa'!W233)</f>
        <v>503208.91746853286</v>
      </c>
      <c r="X235" s="219">
        <f>IF('Perfil - interna'!X235+'Perfil - externa'!X233=0,0,'Perfil - interna'!X235+'Perfil - externa'!X233)</f>
        <v>394324.83658192802</v>
      </c>
      <c r="Y235" s="219">
        <f>IF('Perfil - interna'!Y235+'Perfil - externa'!Y233=0,0,'Perfil - interna'!Y235+'Perfil - externa'!Y233)</f>
        <v>1671579.9127117095</v>
      </c>
      <c r="Z235" s="219">
        <f>IF('Perfil - interna'!Z235+'Perfil - externa'!Z233=0,0,'Perfil - interna'!Z235+'Perfil - externa'!Z233)</f>
        <v>2230880.3898809697</v>
      </c>
      <c r="AA235" s="219">
        <f>IF('Perfil - interna'!AA235+'Perfil - externa'!AA233=0,0,'Perfil - interna'!AA235+'Perfil - externa'!AA233)</f>
        <v>150202.8563346304</v>
      </c>
      <c r="AB235" s="219">
        <f>IF('Perfil - interna'!AB235+'Perfil - externa'!AB233=0,0,'Perfil - interna'!AB235+'Perfil - externa'!AB233)</f>
        <v>108607.6337033888</v>
      </c>
      <c r="AC235" s="219">
        <f>IF('Perfil - interna'!AC235+'Perfil - externa'!AC233=0,0,'Perfil - interna'!AC235+'Perfil - externa'!AC233)</f>
        <v>364283.12280472397</v>
      </c>
      <c r="AD235" s="219">
        <f>IF('Perfil - interna'!AD235+'Perfil - externa'!AD233=0,0,'Perfil - interna'!AD235+'Perfil - externa'!AD233)</f>
        <v>81691.015830187229</v>
      </c>
      <c r="AE235" s="219">
        <f>IF('Perfil - interna'!AE235+'Perfil - externa'!AE233=0,0,'Perfil - interna'!AE235+'Perfil - externa'!AE233)</f>
        <v>56846.503672345614</v>
      </c>
      <c r="AF235" s="219">
        <f>IF('Perfil - interna'!AF235+'Perfil - externa'!AF233=0,0,'Perfil - interna'!AF235+'Perfil - externa'!AF233)</f>
        <v>41433.062308496003</v>
      </c>
      <c r="AG235" s="219">
        <f>IF('Perfil - interna'!AG235+'Perfil - externa'!AG233=0,0,'Perfil - interna'!AG235+'Perfil - externa'!AG233)</f>
        <v>30709.336734538399</v>
      </c>
      <c r="AH235" s="219">
        <f>IF('Perfil - interna'!AH235+'Perfil - externa'!AH233=0,0,'Perfil - interna'!AH235+'Perfil - externa'!AH233)</f>
        <v>6272.5647207423999</v>
      </c>
      <c r="AI235" s="219">
        <f>IF('Perfil - interna'!AI235+'Perfil - externa'!AI233=0,0,'Perfil - interna'!AI235+'Perfil - externa'!AI233)</f>
        <v>663676.72176074248</v>
      </c>
      <c r="AJ235" s="219">
        <f>IF('Perfil - interna'!AJ235+'Perfil - externa'!AJ233=0,0,'Perfil - interna'!AJ235+'Perfil - externa'!AJ233)</f>
        <v>6272.5647207423999</v>
      </c>
      <c r="AK235" s="219">
        <f>IF('Perfil - interna'!AK235+'Perfil - externa'!AK233=0,0,'Perfil - interna'!AK235+'Perfil - externa'!AK233)</f>
        <v>6272.5647207423999</v>
      </c>
      <c r="AL235" s="219">
        <f>IF('Perfil - interna'!AL235+'Perfil - externa'!AL233=0,0,'Perfil - interna'!AL235+'Perfil - externa'!AL233)</f>
        <v>6190.2047574200005</v>
      </c>
      <c r="AM235" s="219">
        <f>IF('Perfil - interna'!AM235+'Perfil - externa'!AM233=0,0,'Perfil - interna'!AM235+'Perfil - externa'!AM233)</f>
        <v>2841059.6207940979</v>
      </c>
      <c r="AN235" s="219">
        <f>IF('Perfil - interna'!AN235+'Perfil - externa'!AN233=0,0,'Perfil - interna'!AN235+'Perfil - externa'!AN233)</f>
        <v>0</v>
      </c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</row>
    <row r="236" spans="1:63">
      <c r="A236" s="170">
        <v>39233</v>
      </c>
      <c r="B236" s="220" t="str">
        <f>Servicio_internaColumna_título_intereses</f>
        <v>Intereses</v>
      </c>
      <c r="C236" s="221"/>
      <c r="D236" s="222"/>
      <c r="E236" s="222"/>
      <c r="F236" s="222">
        <f>IF('Perfil - interna'!F236+'Perfil - externa'!F234=0,0,'Perfil - interna'!F236+'Perfil - externa'!F234)</f>
        <v>0</v>
      </c>
      <c r="G236" s="222">
        <f>IF('Perfil - interna'!G236+'Perfil - externa'!G234=0,0,'Perfil - interna'!G236+'Perfil - externa'!G234)</f>
        <v>0</v>
      </c>
      <c r="H236" s="222">
        <f>IF('Perfil - interna'!H236+'Perfil - externa'!H234=0,0,'Perfil - interna'!H236+'Perfil - externa'!H234)</f>
        <v>0</v>
      </c>
      <c r="I236" s="222">
        <f>IF('Perfil - interna'!I236+'Perfil - externa'!I234=0,0,'Perfil - interna'!I236+'Perfil - externa'!I234)</f>
        <v>8288893.6999446927</v>
      </c>
      <c r="J236" s="222">
        <f>IF('Perfil - interna'!J236+'Perfil - externa'!J234=0,0,'Perfil - interna'!J236+'Perfil - externa'!J234)</f>
        <v>12110197.103278793</v>
      </c>
      <c r="K236" s="222">
        <f>IF('Perfil - interna'!K236+'Perfil - externa'!K234=0,0,'Perfil - interna'!K236+'Perfil - externa'!K234)</f>
        <v>9710812.1015054882</v>
      </c>
      <c r="L236" s="222">
        <f>IF('Perfil - interna'!L236+'Perfil - externa'!L234=0,0,'Perfil - interna'!L236+'Perfil - externa'!L234)</f>
        <v>8394104.8378794864</v>
      </c>
      <c r="M236" s="222">
        <f>IF('Perfil - interna'!M236+'Perfil - externa'!M234=0,0,'Perfil - interna'!M236+'Perfil - externa'!M234)</f>
        <v>6482843.1820861679</v>
      </c>
      <c r="N236" s="222">
        <f>IF('Perfil - interna'!N236+'Perfil - externa'!N234=0,0,'Perfil - interna'!N236+'Perfil - externa'!N234)</f>
        <v>5790314.509279348</v>
      </c>
      <c r="O236" s="222">
        <f>IF('Perfil - interna'!O236+'Perfil - externa'!O234=0,0,'Perfil - interna'!O236+'Perfil - externa'!O234)</f>
        <v>4788770.003053559</v>
      </c>
      <c r="P236" s="222">
        <f>IF('Perfil - interna'!P236+'Perfil - externa'!P234=0,0,'Perfil - interna'!P236+'Perfil - externa'!P234)</f>
        <v>4351102.7261947487</v>
      </c>
      <c r="Q236" s="222">
        <f>IF('Perfil - interna'!Q236+'Perfil - externa'!Q234=0,0,'Perfil - interna'!Q236+'Perfil - externa'!Q234)</f>
        <v>3275609.3421727368</v>
      </c>
      <c r="R236" s="222">
        <f>IF('Perfil - interna'!R236+'Perfil - externa'!R234=0,0,'Perfil - interna'!R236+'Perfil - externa'!R234)</f>
        <v>2021538.8655717946</v>
      </c>
      <c r="S236" s="222">
        <f>IF('Perfil - interna'!S236+'Perfil - externa'!S234=0,0,'Perfil - interna'!S236+'Perfil - externa'!S234)</f>
        <v>1853783.1734853536</v>
      </c>
      <c r="T236" s="222">
        <f>IF('Perfil - interna'!T236+'Perfil - externa'!T234=0,0,'Perfil - interna'!T236+'Perfil - externa'!T234)</f>
        <v>1713415.3701227335</v>
      </c>
      <c r="U236" s="222">
        <f>IF('Perfil - interna'!U236+'Perfil - externa'!U234=0,0,'Perfil - interna'!U236+'Perfil - externa'!U234)</f>
        <v>1660393.6888589566</v>
      </c>
      <c r="V236" s="222">
        <f>IF('Perfil - interna'!V236+'Perfil - externa'!V234=0,0,'Perfil - interna'!V236+'Perfil - externa'!V234)</f>
        <v>1531090.4278383716</v>
      </c>
      <c r="W236" s="222">
        <f>IF('Perfil - interna'!W236+'Perfil - externa'!W234=0,0,'Perfil - interna'!W236+'Perfil - externa'!W234)</f>
        <v>652389.90814101347</v>
      </c>
      <c r="X236" s="222">
        <f>IF('Perfil - interna'!X236+'Perfil - externa'!X234=0,0,'Perfil - interna'!X236+'Perfil - externa'!X234)</f>
        <v>630812.4161769416</v>
      </c>
      <c r="Y236" s="222">
        <f>IF('Perfil - interna'!Y236+'Perfil - externa'!Y234=0,0,'Perfil - interna'!Y236+'Perfil - externa'!Y234)</f>
        <v>613655.4930817904</v>
      </c>
      <c r="Z236" s="222">
        <f>IF('Perfil - interna'!Z236+'Perfil - externa'!Z234=0,0,'Perfil - interna'!Z236+'Perfil - externa'!Z234)</f>
        <v>417868.16367794719</v>
      </c>
      <c r="AA236" s="222">
        <f>IF('Perfil - interna'!AA236+'Perfil - externa'!AA234=0,0,'Perfil - interna'!AA236+'Perfil - externa'!AA234)</f>
        <v>326257.58839368878</v>
      </c>
      <c r="AB236" s="222">
        <f>IF('Perfil - interna'!AB236+'Perfil - externa'!AB234=0,0,'Perfil - interna'!AB236+'Perfil - externa'!AB234)</f>
        <v>319359.8233633624</v>
      </c>
      <c r="AC236" s="222">
        <f>IF('Perfil - interna'!AC236+'Perfil - externa'!AC234=0,0,'Perfil - interna'!AC236+'Perfil - externa'!AC234)</f>
        <v>302419.00350280554</v>
      </c>
      <c r="AD236" s="222">
        <f>IF('Perfil - interna'!AD236+'Perfil - externa'!AD234=0,0,'Perfil - interna'!AD236+'Perfil - externa'!AD234)</f>
        <v>285981.63105549919</v>
      </c>
      <c r="AE236" s="222">
        <f>IF('Perfil - interna'!AE236+'Perfil - externa'!AE234=0,0,'Perfil - interna'!AE236+'Perfil - externa'!AE234)</f>
        <v>282075.76400585758</v>
      </c>
      <c r="AF236" s="222">
        <f>IF('Perfil - interna'!AF236+'Perfil - externa'!AF234=0,0,'Perfil - interna'!AF236+'Perfil - externa'!AF234)</f>
        <v>279735.80118105916</v>
      </c>
      <c r="AG236" s="222">
        <f>IF('Perfil - interna'!AG236+'Perfil - externa'!AG234=0,0,'Perfil - interna'!AG236+'Perfil - externa'!AG234)</f>
        <v>278213.7590505376</v>
      </c>
      <c r="AH236" s="222">
        <f>IF('Perfil - interna'!AH236+'Perfil - externa'!AH234=0,0,'Perfil - interna'!AH236+'Perfil - externa'!AH234)</f>
        <v>277294.50634117355</v>
      </c>
      <c r="AI236" s="222">
        <f>IF('Perfil - interna'!AI236+'Perfil - externa'!AI234=0,0,'Perfil - interna'!AI236+'Perfil - externa'!AI234)</f>
        <v>243190.39943621363</v>
      </c>
      <c r="AJ236" s="222">
        <f>IF('Perfil - interna'!AJ236+'Perfil - externa'!AJ234=0,0,'Perfil - interna'!AJ236+'Perfil - externa'!AJ234)</f>
        <v>209083.41025949121</v>
      </c>
      <c r="AK236" s="222">
        <f>IF('Perfil - interna'!AK236+'Perfil - externa'!AK234=0,0,'Perfil - interna'!AK236+'Perfil - externa'!AK234)</f>
        <v>209082.15769887203</v>
      </c>
      <c r="AL236" s="222">
        <f>IF('Perfil - interna'!AL236+'Perfil - externa'!AL234=0,0,'Perfil - interna'!AL236+'Perfil - externa'!AL234)</f>
        <v>209080.9051575592</v>
      </c>
      <c r="AM236" s="222">
        <f>IF('Perfil - interna'!AM236+'Perfil - externa'!AM234=0,0,'Perfil - interna'!AM236+'Perfil - externa'!AM234)</f>
        <v>209077.69348000002</v>
      </c>
      <c r="AN236" s="222">
        <f>IF('Perfil - interna'!AN236+'Perfil - externa'!AN234=0,0,'Perfil - interna'!AN236+'Perfil - externa'!AN234)</f>
        <v>0</v>
      </c>
      <c r="AO236" s="222"/>
      <c r="AP236" s="222"/>
      <c r="AQ236" s="222"/>
      <c r="AR236" s="222"/>
      <c r="AS236" s="222"/>
      <c r="AT236" s="222"/>
      <c r="AU236" s="222"/>
      <c r="AV236" s="222"/>
      <c r="AW236" s="222"/>
      <c r="AX236" s="222"/>
      <c r="AY236" s="222"/>
      <c r="AZ236" s="222"/>
      <c r="BA236" s="222"/>
      <c r="BB236" s="222"/>
      <c r="BC236" s="222"/>
      <c r="BD236" s="222"/>
      <c r="BE236" s="222"/>
      <c r="BF236" s="222"/>
      <c r="BG236" s="222"/>
      <c r="BH236" s="222"/>
      <c r="BI236" s="222"/>
      <c r="BJ236" s="222"/>
      <c r="BK236" s="222"/>
    </row>
    <row r="237" spans="1:63">
      <c r="A237" s="171"/>
      <c r="B237" s="318" t="str">
        <f>Servicio_internaColumna_título_total</f>
        <v>Total</v>
      </c>
      <c r="C237" s="319"/>
      <c r="D237" s="320"/>
      <c r="E237" s="320"/>
      <c r="F237" s="320">
        <f>IF('Perfil - interna'!F237+'Perfil - externa'!F235=0,0,'Perfil - interna'!F237+'Perfil - externa'!F235)</f>
        <v>0</v>
      </c>
      <c r="G237" s="320">
        <f>IF('Perfil - interna'!G237+'Perfil - externa'!G235=0,0,'Perfil - interna'!G237+'Perfil - externa'!G235)</f>
        <v>0</v>
      </c>
      <c r="H237" s="320">
        <f>IF('Perfil - interna'!H237+'Perfil - externa'!H235=0,0,'Perfil - interna'!H237+'Perfil - externa'!H235)</f>
        <v>0</v>
      </c>
      <c r="I237" s="320">
        <f>IF('Perfil - interna'!I237+'Perfil - externa'!I235=0,0,'Perfil - interna'!I237+'Perfil - externa'!I235)</f>
        <v>20738782.19861865</v>
      </c>
      <c r="J237" s="320">
        <f>IF('Perfil - interna'!J237+'Perfil - externa'!J235=0,0,'Perfil - interna'!J237+'Perfil - externa'!J235)</f>
        <v>34317785.736393459</v>
      </c>
      <c r="K237" s="320">
        <f>IF('Perfil - interna'!K237+'Perfil - externa'!K235=0,0,'Perfil - interna'!K237+'Perfil - externa'!K235)</f>
        <v>23651897.976002343</v>
      </c>
      <c r="L237" s="320">
        <f>IF('Perfil - interna'!L237+'Perfil - externa'!L235=0,0,'Perfil - interna'!L237+'Perfil - externa'!L235)</f>
        <v>30038823.263954714</v>
      </c>
      <c r="M237" s="320">
        <f>IF('Perfil - interna'!M237+'Perfil - externa'!M235=0,0,'Perfil - interna'!M237+'Perfil - externa'!M235)</f>
        <v>13492999.139119031</v>
      </c>
      <c r="N237" s="320">
        <f>IF('Perfil - interna'!N237+'Perfil - externa'!N235=0,0,'Perfil - interna'!N237+'Perfil - externa'!N235)</f>
        <v>16275108.81382226</v>
      </c>
      <c r="O237" s="320">
        <f>IF('Perfil - interna'!O237+'Perfil - externa'!O235=0,0,'Perfil - interna'!O237+'Perfil - externa'!O235)</f>
        <v>10486986.940865193</v>
      </c>
      <c r="P237" s="320">
        <f>IF('Perfil - interna'!P237+'Perfil - externa'!P235=0,0,'Perfil - interna'!P237+'Perfil - externa'!P235)</f>
        <v>15096071.148006238</v>
      </c>
      <c r="Q237" s="320">
        <f>IF('Perfil - interna'!Q237+'Perfil - externa'!Q235=0,0,'Perfil - interna'!Q237+'Perfil - externa'!Q235)</f>
        <v>18370736.329436522</v>
      </c>
      <c r="R237" s="320">
        <f>IF('Perfil - interna'!R237+'Perfil - externa'!R235=0,0,'Perfil - interna'!R237+'Perfil - externa'!R235)</f>
        <v>3982774.5430167844</v>
      </c>
      <c r="S237" s="320">
        <f>IF('Perfil - interna'!S237+'Perfil - externa'!S235=0,0,'Perfil - interna'!S237+'Perfil - externa'!S235)</f>
        <v>5125502.0925401757</v>
      </c>
      <c r="T237" s="320">
        <f>IF('Perfil - interna'!T237+'Perfil - externa'!T235=0,0,'Perfil - interna'!T237+'Perfil - externa'!T235)</f>
        <v>2813886.3631718066</v>
      </c>
      <c r="U237" s="320">
        <f>IF('Perfil - interna'!U237+'Perfil - externa'!U235=0,0,'Perfil - interna'!U237+'Perfil - externa'!U235)</f>
        <v>2539059.4097611029</v>
      </c>
      <c r="V237" s="320">
        <f>IF('Perfil - interna'!V237+'Perfil - externa'!V235=0,0,'Perfil - interna'!V237+'Perfil - externa'!V235)</f>
        <v>10557290.925364943</v>
      </c>
      <c r="W237" s="320">
        <f>IF('Perfil - interna'!W237+'Perfil - externa'!W235=0,0,'Perfil - interna'!W237+'Perfil - externa'!W235)</f>
        <v>1155598.8256095462</v>
      </c>
      <c r="X237" s="320">
        <f>IF('Perfil - interna'!X237+'Perfil - externa'!X235=0,0,'Perfil - interna'!X237+'Perfil - externa'!X235)</f>
        <v>1025137.2527588697</v>
      </c>
      <c r="Y237" s="320">
        <f>IF('Perfil - interna'!Y237+'Perfil - externa'!Y235=0,0,'Perfil - interna'!Y237+'Perfil - externa'!Y235)</f>
        <v>2285235.4057935001</v>
      </c>
      <c r="Z237" s="320">
        <f>IF('Perfil - interna'!Z237+'Perfil - externa'!Z235=0,0,'Perfil - interna'!Z237+'Perfil - externa'!Z235)</f>
        <v>2648748.5535589168</v>
      </c>
      <c r="AA237" s="320">
        <f>IF('Perfil - interna'!AA237+'Perfil - externa'!AA235=0,0,'Perfil - interna'!AA237+'Perfil - externa'!AA235)</f>
        <v>476460.44472831918</v>
      </c>
      <c r="AB237" s="320">
        <f>IF('Perfil - interna'!AB237+'Perfil - externa'!AB235=0,0,'Perfil - interna'!AB237+'Perfil - externa'!AB235)</f>
        <v>427967.4570667512</v>
      </c>
      <c r="AC237" s="320">
        <f>IF('Perfil - interna'!AC237+'Perfil - externa'!AC235=0,0,'Perfil - interna'!AC237+'Perfil - externa'!AC235)</f>
        <v>666702.12630752951</v>
      </c>
      <c r="AD237" s="320">
        <f>IF('Perfil - interna'!AD237+'Perfil - externa'!AD235=0,0,'Perfil - interna'!AD237+'Perfil - externa'!AD235)</f>
        <v>367672.64688568644</v>
      </c>
      <c r="AE237" s="320">
        <f>IF('Perfil - interna'!AE237+'Perfil - externa'!AE235=0,0,'Perfil - interna'!AE237+'Perfil - externa'!AE235)</f>
        <v>338922.26767820318</v>
      </c>
      <c r="AF237" s="320">
        <f>IF('Perfil - interna'!AF237+'Perfil - externa'!AF235=0,0,'Perfil - interna'!AF237+'Perfil - externa'!AF235)</f>
        <v>321168.86348955514</v>
      </c>
      <c r="AG237" s="320">
        <f>IF('Perfil - interna'!AG237+'Perfil - externa'!AG235=0,0,'Perfil - interna'!AG237+'Perfil - externa'!AG235)</f>
        <v>308923.09578507597</v>
      </c>
      <c r="AH237" s="320">
        <f>IF('Perfil - interna'!AH237+'Perfil - externa'!AH235=0,0,'Perfil - interna'!AH237+'Perfil - externa'!AH235)</f>
        <v>283567.07106191595</v>
      </c>
      <c r="AI237" s="320">
        <f>IF('Perfil - interna'!AI237+'Perfil - externa'!AI235=0,0,'Perfil - interna'!AI237+'Perfil - externa'!AI235)</f>
        <v>906867.12119695614</v>
      </c>
      <c r="AJ237" s="320">
        <f>IF('Perfil - interna'!AJ237+'Perfil - externa'!AJ235=0,0,'Perfil - interna'!AJ237+'Perfil - externa'!AJ235)</f>
        <v>215355.97498023362</v>
      </c>
      <c r="AK237" s="320">
        <f>IF('Perfil - interna'!AK237+'Perfil - externa'!AK235=0,0,'Perfil - interna'!AK237+'Perfil - externa'!AK235)</f>
        <v>215354.72241961444</v>
      </c>
      <c r="AL237" s="320">
        <f>IF('Perfil - interna'!AL237+'Perfil - externa'!AL235=0,0,'Perfil - interna'!AL237+'Perfil - externa'!AL235)</f>
        <v>215271.1099149792</v>
      </c>
      <c r="AM237" s="320">
        <f>IF('Perfil - interna'!AM237+'Perfil - externa'!AM235=0,0,'Perfil - interna'!AM237+'Perfil - externa'!AM235)</f>
        <v>3050137.3142740978</v>
      </c>
      <c r="AN237" s="320">
        <f>IF('Perfil - interna'!AN237+'Perfil - externa'!AN235=0,0,'Perfil - interna'!AN237+'Perfil - externa'!AN235)</f>
        <v>0</v>
      </c>
      <c r="AO237" s="320"/>
      <c r="AP237" s="320"/>
      <c r="AQ237" s="320"/>
      <c r="AR237" s="320"/>
      <c r="AS237" s="320"/>
      <c r="AT237" s="320"/>
      <c r="AU237" s="320"/>
      <c r="AV237" s="320"/>
      <c r="AW237" s="320"/>
      <c r="AX237" s="320"/>
      <c r="AY237" s="320"/>
      <c r="AZ237" s="320"/>
      <c r="BA237" s="320"/>
      <c r="BB237" s="320"/>
      <c r="BC237" s="320"/>
      <c r="BD237" s="320"/>
      <c r="BE237" s="320"/>
      <c r="BF237" s="320"/>
      <c r="BG237" s="320"/>
      <c r="BH237" s="320"/>
      <c r="BI237" s="320"/>
      <c r="BJ237" s="320"/>
      <c r="BK237" s="320"/>
    </row>
    <row r="238" spans="1:63">
      <c r="A238" s="167"/>
      <c r="B238" s="217" t="str">
        <f>Servicio_internaColumna_título_amortizaciones</f>
        <v>Amortizaciones</v>
      </c>
      <c r="C238" s="218"/>
      <c r="D238" s="219"/>
      <c r="E238" s="219"/>
      <c r="F238" s="219">
        <f>IF('Perfil - interna'!F238+'Perfil - externa'!F236=0,0,'Perfil - interna'!F238+'Perfil - externa'!F236)</f>
        <v>0</v>
      </c>
      <c r="G238" s="219">
        <f>IF('Perfil - interna'!G238+'Perfil - externa'!G236=0,0,'Perfil - interna'!G238+'Perfil - externa'!G236)</f>
        <v>0</v>
      </c>
      <c r="H238" s="219">
        <f>IF('Perfil - interna'!H238+'Perfil - externa'!H236=0,0,'Perfil - interna'!H238+'Perfil - externa'!H236)</f>
        <v>0</v>
      </c>
      <c r="I238" s="219">
        <f>IF('Perfil - interna'!I238+'Perfil - externa'!I236=0,0,'Perfil - interna'!I238+'Perfil - externa'!I236)</f>
        <v>12106126.522918826</v>
      </c>
      <c r="J238" s="219">
        <f>IF('Perfil - interna'!J238+'Perfil - externa'!J236=0,0,'Perfil - interna'!J238+'Perfil - externa'!J236)</f>
        <v>22341083.650886953</v>
      </c>
      <c r="K238" s="219">
        <f>IF('Perfil - interna'!K238+'Perfil - externa'!K236=0,0,'Perfil - interna'!K238+'Perfil - externa'!K236)</f>
        <v>13725026.807527866</v>
      </c>
      <c r="L238" s="219">
        <f>IF('Perfil - interna'!L238+'Perfil - externa'!L236=0,0,'Perfil - interna'!L238+'Perfil - externa'!L236)</f>
        <v>21860106.167847507</v>
      </c>
      <c r="M238" s="219">
        <f>IF('Perfil - interna'!M238+'Perfil - externa'!M236=0,0,'Perfil - interna'!M238+'Perfil - externa'!M236)</f>
        <v>6948263.7352247741</v>
      </c>
      <c r="N238" s="219">
        <f>IF('Perfil - interna'!N238+'Perfil - externa'!N236=0,0,'Perfil - interna'!N238+'Perfil - externa'!N236)</f>
        <v>10540270.482889667</v>
      </c>
      <c r="O238" s="219">
        <f>IF('Perfil - interna'!O238+'Perfil - externa'!O236=0,0,'Perfil - interna'!O238+'Perfil - externa'!O236)</f>
        <v>5702936.3975236556</v>
      </c>
      <c r="P238" s="219">
        <f>IF('Perfil - interna'!P238+'Perfil - externa'!P236=0,0,'Perfil - interna'!P238+'Perfil - externa'!P236)</f>
        <v>10776410.841157338</v>
      </c>
      <c r="Q238" s="219">
        <f>IF('Perfil - interna'!Q238+'Perfil - externa'!Q236=0,0,'Perfil - interna'!Q238+'Perfil - externa'!Q236)</f>
        <v>15651550.402210087</v>
      </c>
      <c r="R238" s="219">
        <f>IF('Perfil - interna'!R238+'Perfil - externa'!R236=0,0,'Perfil - interna'!R238+'Perfil - externa'!R236)</f>
        <v>1945299.813646202</v>
      </c>
      <c r="S238" s="219">
        <f>IF('Perfil - interna'!S238+'Perfil - externa'!S236=0,0,'Perfil - interna'!S238+'Perfil - externa'!S236)</f>
        <v>3263643.3073340342</v>
      </c>
      <c r="T238" s="219">
        <f>IF('Perfil - interna'!T238+'Perfil - externa'!T236=0,0,'Perfil - interna'!T238+'Perfil - externa'!T236)</f>
        <v>1181833.8647459594</v>
      </c>
      <c r="U238" s="219">
        <f>IF('Perfil - interna'!U238+'Perfil - externa'!U236=0,0,'Perfil - interna'!U238+'Perfil - externa'!U236)</f>
        <v>3229726.9768423173</v>
      </c>
      <c r="V238" s="219">
        <f>IF('Perfil - interna'!V238+'Perfil - externa'!V236=0,0,'Perfil - interna'!V238+'Perfil - externa'!V236)</f>
        <v>9175190.8748193197</v>
      </c>
      <c r="W238" s="219">
        <f>IF('Perfil - interna'!W238+'Perfil - externa'!W236=0,0,'Perfil - interna'!W238+'Perfil - externa'!W236)</f>
        <v>511046.19485597359</v>
      </c>
      <c r="X238" s="219">
        <f>IF('Perfil - interna'!X238+'Perfil - externa'!X236=0,0,'Perfil - interna'!X238+'Perfil - externa'!X236)</f>
        <v>400480.04545271752</v>
      </c>
      <c r="Y238" s="219">
        <f>IF('Perfil - interna'!Y238+'Perfil - externa'!Y236=0,0,'Perfil - interna'!Y238+'Perfil - externa'!Y236)</f>
        <v>1744562.0518350182</v>
      </c>
      <c r="Z238" s="219">
        <f>IF('Perfil - interna'!Z238+'Perfil - externa'!Z236=0,0,'Perfil - interna'!Z238+'Perfil - externa'!Z236)</f>
        <v>2265584.609052645</v>
      </c>
      <c r="AA238" s="219">
        <f>IF('Perfil - interna'!AA238+'Perfil - externa'!AA236=0,0,'Perfil - interna'!AA238+'Perfil - externa'!AA236)</f>
        <v>152607.99041404019</v>
      </c>
      <c r="AB238" s="219">
        <f>IF('Perfil - interna'!AB238+'Perfil - externa'!AB236=0,0,'Perfil - interna'!AB238+'Perfil - externa'!AB236)</f>
        <v>110367.07059313176</v>
      </c>
      <c r="AC238" s="219">
        <f>IF('Perfil - interna'!AC238+'Perfil - externa'!AC236=0,0,'Perfil - interna'!AC238+'Perfil - externa'!AC236)</f>
        <v>2064033.2213875821</v>
      </c>
      <c r="AD238" s="219">
        <f>IF('Perfil - interna'!AD238+'Perfil - externa'!AD236=0,0,'Perfil - interna'!AD238+'Perfil - externa'!AD236)</f>
        <v>83047.586746470712</v>
      </c>
      <c r="AE238" s="219">
        <f>IF('Perfil - interna'!AE238+'Perfil - externa'!AE236=0,0,'Perfil - interna'!AE238+'Perfil - externa'!AE236)</f>
        <v>57817.404850234903</v>
      </c>
      <c r="AF238" s="219">
        <f>IF('Perfil - interna'!AF238+'Perfil - externa'!AF236=0,0,'Perfil - interna'!AF238+'Perfil - externa'!AF236)</f>
        <v>42164.6948724186</v>
      </c>
      <c r="AG238" s="219">
        <f>IF('Perfil - interna'!AG238+'Perfil - externa'!AG236=0,0,'Perfil - interna'!AG238+'Perfil - externa'!AG236)</f>
        <v>31274.501233963099</v>
      </c>
      <c r="AH238" s="219">
        <f>IF('Perfil - interna'!AH238+'Perfil - externa'!AH236=0,0,'Perfil - interna'!AH238+'Perfil - externa'!AH236)</f>
        <v>6368.9979026091996</v>
      </c>
      <c r="AI238" s="219">
        <f>IF('Perfil - interna'!AI238+'Perfil - externa'!AI236=0,0,'Perfil - interna'!AI238+'Perfil - externa'!AI236)</f>
        <v>673978.26961260918</v>
      </c>
      <c r="AJ238" s="219">
        <f>IF('Perfil - interna'!AJ238+'Perfil - externa'!AJ236=0,0,'Perfil - interna'!AJ238+'Perfil - externa'!AJ236)</f>
        <v>6368.9979026091996</v>
      </c>
      <c r="AK238" s="219">
        <f>IF('Perfil - interna'!AK238+'Perfil - externa'!AK236=0,0,'Perfil - interna'!AK238+'Perfil - externa'!AK236)</f>
        <v>6368.9979026091996</v>
      </c>
      <c r="AL238" s="219">
        <f>IF('Perfil - interna'!AL238+'Perfil - externa'!AL236=0,0,'Perfil - interna'!AL238+'Perfil - externa'!AL236)</f>
        <v>6285.8284538932994</v>
      </c>
      <c r="AM238" s="219">
        <f>IF('Perfil - interna'!AM238+'Perfil - externa'!AM236=0,0,'Perfil - interna'!AM238+'Perfil - externa'!AM236)</f>
        <v>2885162.3830051771</v>
      </c>
      <c r="AN238" s="219">
        <f>IF('Perfil - interna'!AN238+'Perfil - externa'!AN236=0,0,'Perfil - interna'!AN238+'Perfil - externa'!AN236)</f>
        <v>0</v>
      </c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</row>
    <row r="239" spans="1:63">
      <c r="A239" s="170">
        <v>39263</v>
      </c>
      <c r="B239" s="220" t="str">
        <f>Servicio_internaColumna_título_intereses</f>
        <v>Intereses</v>
      </c>
      <c r="C239" s="221"/>
      <c r="D239" s="222"/>
      <c r="E239" s="222"/>
      <c r="F239" s="222">
        <f>IF('Perfil - interna'!F239+'Perfil - externa'!F237=0,0,'Perfil - interna'!F239+'Perfil - externa'!F237)</f>
        <v>0</v>
      </c>
      <c r="G239" s="222">
        <f>IF('Perfil - interna'!G239+'Perfil - externa'!G237=0,0,'Perfil - interna'!G239+'Perfil - externa'!G237)</f>
        <v>0</v>
      </c>
      <c r="H239" s="222">
        <f>IF('Perfil - interna'!H239+'Perfil - externa'!H237=0,0,'Perfil - interna'!H239+'Perfil - externa'!H237)</f>
        <v>0</v>
      </c>
      <c r="I239" s="222">
        <f>IF('Perfil - interna'!I239+'Perfil - externa'!I237=0,0,'Perfil - interna'!I239+'Perfil - externa'!I237)</f>
        <v>7740431.9057574477</v>
      </c>
      <c r="J239" s="222">
        <f>IF('Perfil - interna'!J239+'Perfil - externa'!J237=0,0,'Perfil - interna'!J239+'Perfil - externa'!J237)</f>
        <v>12443173.758391883</v>
      </c>
      <c r="K239" s="222">
        <f>IF('Perfil - interna'!K239+'Perfil - externa'!K237=0,0,'Perfil - interna'!K239+'Perfil - externa'!K237)</f>
        <v>10098568.946850654</v>
      </c>
      <c r="L239" s="222">
        <f>IF('Perfil - interna'!L239+'Perfil - externa'!L237=0,0,'Perfil - interna'!L239+'Perfil - externa'!L237)</f>
        <v>8790793.867975777</v>
      </c>
      <c r="M239" s="222">
        <f>IF('Perfil - interna'!M239+'Perfil - externa'!M237=0,0,'Perfil - interna'!M239+'Perfil - externa'!M237)</f>
        <v>6892726.9841617811</v>
      </c>
      <c r="N239" s="222">
        <f>IF('Perfil - interna'!N239+'Perfil - externa'!N237=0,0,'Perfil - interna'!N239+'Perfil - externa'!N237)</f>
        <v>6215870.4393568542</v>
      </c>
      <c r="O239" s="222">
        <f>IF('Perfil - interna'!O239+'Perfil - externa'!O237=0,0,'Perfil - interna'!O239+'Perfil - externa'!O237)</f>
        <v>5216039.6550725158</v>
      </c>
      <c r="P239" s="222">
        <f>IF('Perfil - interna'!P239+'Perfil - externa'!P237=0,0,'Perfil - interna'!P239+'Perfil - externa'!P237)</f>
        <v>4834043.0394247267</v>
      </c>
      <c r="Q239" s="222">
        <f>IF('Perfil - interna'!Q239+'Perfil - externa'!Q237=0,0,'Perfil - interna'!Q239+'Perfil - externa'!Q237)</f>
        <v>3755939.3479523109</v>
      </c>
      <c r="R239" s="222">
        <f>IF('Perfil - interna'!R239+'Perfil - externa'!R237=0,0,'Perfil - interna'!R239+'Perfil - externa'!R237)</f>
        <v>2381312.1211520196</v>
      </c>
      <c r="S239" s="222">
        <f>IF('Perfil - interna'!S239+'Perfil - externa'!S237=0,0,'Perfil - interna'!S239+'Perfil - externa'!S237)</f>
        <v>2211035.1952451966</v>
      </c>
      <c r="T239" s="222">
        <f>IF('Perfil - interna'!T239+'Perfil - externa'!T237=0,0,'Perfil - interna'!T239+'Perfil - externa'!T237)</f>
        <v>2067891.6526452876</v>
      </c>
      <c r="U239" s="222">
        <f>IF('Perfil - interna'!U239+'Perfil - externa'!U237=0,0,'Perfil - interna'!U239+'Perfil - externa'!U237)</f>
        <v>1936753.2783006474</v>
      </c>
      <c r="V239" s="222">
        <f>IF('Perfil - interna'!V239+'Perfil - externa'!V237=0,0,'Perfil - interna'!V239+'Perfil - externa'!V237)</f>
        <v>1729988.2242387068</v>
      </c>
      <c r="W239" s="222">
        <f>IF('Perfil - interna'!W239+'Perfil - externa'!W237=0,0,'Perfil - interna'!W239+'Perfil - externa'!W237)</f>
        <v>835998.28671084438</v>
      </c>
      <c r="X239" s="222">
        <f>IF('Perfil - interna'!X239+'Perfil - externa'!X237=0,0,'Perfil - interna'!X239+'Perfil - externa'!X237)</f>
        <v>813455.08309152082</v>
      </c>
      <c r="Y239" s="222">
        <f>IF('Perfil - interna'!Y239+'Perfil - externa'!Y237=0,0,'Perfil - interna'!Y239+'Perfil - externa'!Y237)</f>
        <v>795401.6410970143</v>
      </c>
      <c r="Z239" s="222">
        <f>IF('Perfil - interna'!Z239+'Perfil - externa'!Z237=0,0,'Perfil - interna'!Z239+'Perfil - externa'!Z237)</f>
        <v>592526.45087210287</v>
      </c>
      <c r="AA239" s="222">
        <f>IF('Perfil - interna'!AA239+'Perfil - externa'!AA237=0,0,'Perfil - interna'!AA239+'Perfil - externa'!AA237)</f>
        <v>498647.59383666044</v>
      </c>
      <c r="AB239" s="222">
        <f>IF('Perfil - interna'!AB239+'Perfil - externa'!AB237=0,0,'Perfil - interna'!AB239+'Perfil - externa'!AB237)</f>
        <v>491556.22578591789</v>
      </c>
      <c r="AC239" s="222">
        <f>IF('Perfil - interna'!AC239+'Perfil - externa'!AC237=0,0,'Perfil - interna'!AC239+'Perfil - externa'!AC237)</f>
        <v>474265.68665935233</v>
      </c>
      <c r="AD239" s="222">
        <f>IF('Perfil - interna'!AD239+'Perfil - externa'!AD237=0,0,'Perfil - interna'!AD239+'Perfil - externa'!AD237)</f>
        <v>290628.26485015434</v>
      </c>
      <c r="AE239" s="222">
        <f>IF('Perfil - interna'!AE239+'Perfil - externa'!AE237=0,0,'Perfil - interna'!AE239+'Perfil - externa'!AE237)</f>
        <v>286572.32669040863</v>
      </c>
      <c r="AF239" s="222">
        <f>IF('Perfil - interna'!AF239+'Perfil - externa'!AF237=0,0,'Perfil - interna'!AF239+'Perfil - externa'!AF237)</f>
        <v>284158.36356571218</v>
      </c>
      <c r="AG239" s="222">
        <f>IF('Perfil - interna'!AG239+'Perfil - externa'!AG237=0,0,'Perfil - interna'!AG239+'Perfil - externa'!AG237)</f>
        <v>282549.66245470109</v>
      </c>
      <c r="AH239" s="222">
        <f>IF('Perfil - interna'!AH239+'Perfil - externa'!AH237=0,0,'Perfil - interna'!AH239+'Perfil - externa'!AH237)</f>
        <v>281599.01556295884</v>
      </c>
      <c r="AI239" s="222">
        <f>IF('Perfil - interna'!AI239+'Perfil - externa'!AI237=0,0,'Perfil - interna'!AI239+'Perfil - externa'!AI237)</f>
        <v>246965.50587335759</v>
      </c>
      <c r="AJ239" s="222">
        <f>IF('Perfil - interna'!AJ239+'Perfil - externa'!AJ237=0,0,'Perfil - interna'!AJ239+'Perfil - externa'!AJ237)</f>
        <v>212329.069130269</v>
      </c>
      <c r="AK239" s="222">
        <f>IF('Perfil - interna'!AK239+'Perfil - externa'!AK237=0,0,'Perfil - interna'!AK239+'Perfil - externa'!AK237)</f>
        <v>212327.80424272752</v>
      </c>
      <c r="AL239" s="222">
        <f>IF('Perfil - interna'!AL239+'Perfil - externa'!AL237=0,0,'Perfil - interna'!AL239+'Perfil - externa'!AL237)</f>
        <v>212326.5393747921</v>
      </c>
      <c r="AM239" s="222">
        <f>IF('Perfil - interna'!AM239+'Perfil - externa'!AM237=0,0,'Perfil - interna'!AM239+'Perfil - externa'!AM237)</f>
        <v>212323.279645</v>
      </c>
      <c r="AN239" s="222">
        <f>IF('Perfil - interna'!AN239+'Perfil - externa'!AN237=0,0,'Perfil - interna'!AN239+'Perfil - externa'!AN237)</f>
        <v>0</v>
      </c>
      <c r="AO239" s="222"/>
      <c r="AP239" s="222"/>
      <c r="AQ239" s="222"/>
      <c r="AR239" s="222"/>
      <c r="AS239" s="222"/>
      <c r="AT239" s="222"/>
      <c r="AU239" s="222"/>
      <c r="AV239" s="222"/>
      <c r="AW239" s="222"/>
      <c r="AX239" s="222"/>
      <c r="AY239" s="222"/>
      <c r="AZ239" s="222"/>
      <c r="BA239" s="222"/>
      <c r="BB239" s="222"/>
      <c r="BC239" s="222"/>
      <c r="BD239" s="222"/>
      <c r="BE239" s="222"/>
      <c r="BF239" s="222"/>
      <c r="BG239" s="222"/>
      <c r="BH239" s="222"/>
      <c r="BI239" s="222"/>
      <c r="BJ239" s="222"/>
      <c r="BK239" s="222"/>
    </row>
    <row r="240" spans="1:63">
      <c r="A240" s="171"/>
      <c r="B240" s="318" t="str">
        <f>Servicio_internaColumna_título_total</f>
        <v>Total</v>
      </c>
      <c r="C240" s="319"/>
      <c r="D240" s="320"/>
      <c r="E240" s="320"/>
      <c r="F240" s="320">
        <f>IF('Perfil - interna'!F240+'Perfil - externa'!F238=0,0,'Perfil - interna'!F240+'Perfil - externa'!F238)</f>
        <v>0</v>
      </c>
      <c r="G240" s="320">
        <f>IF('Perfil - interna'!G240+'Perfil - externa'!G238=0,0,'Perfil - interna'!G240+'Perfil - externa'!G238)</f>
        <v>0</v>
      </c>
      <c r="H240" s="320">
        <f>IF('Perfil - interna'!H240+'Perfil - externa'!H238=0,0,'Perfil - interna'!H240+'Perfil - externa'!H238)</f>
        <v>0</v>
      </c>
      <c r="I240" s="320">
        <f>IF('Perfil - interna'!I240+'Perfil - externa'!I238=0,0,'Perfil - interna'!I240+'Perfil - externa'!I238)</f>
        <v>19846558.428676274</v>
      </c>
      <c r="J240" s="320">
        <f>IF('Perfil - interna'!J240+'Perfil - externa'!J238=0,0,'Perfil - interna'!J240+'Perfil - externa'!J238)</f>
        <v>34784257.40927884</v>
      </c>
      <c r="K240" s="320">
        <f>IF('Perfil - interna'!K240+'Perfil - externa'!K238=0,0,'Perfil - interna'!K240+'Perfil - externa'!K238)</f>
        <v>23823595.75437852</v>
      </c>
      <c r="L240" s="320">
        <f>IF('Perfil - interna'!L240+'Perfil - externa'!L238=0,0,'Perfil - interna'!L240+'Perfil - externa'!L238)</f>
        <v>30650900.035823286</v>
      </c>
      <c r="M240" s="320">
        <f>IF('Perfil - interna'!M240+'Perfil - externa'!M238=0,0,'Perfil - interna'!M240+'Perfil - externa'!M238)</f>
        <v>13840990.719386555</v>
      </c>
      <c r="N240" s="320">
        <f>IF('Perfil - interna'!N240+'Perfil - externa'!N238=0,0,'Perfil - interna'!N240+'Perfil - externa'!N238)</f>
        <v>16756140.922246523</v>
      </c>
      <c r="O240" s="320">
        <f>IF('Perfil - interna'!O240+'Perfil - externa'!O238=0,0,'Perfil - interna'!O240+'Perfil - externa'!O238)</f>
        <v>10918976.05259617</v>
      </c>
      <c r="P240" s="320">
        <f>IF('Perfil - interna'!P240+'Perfil - externa'!P238=0,0,'Perfil - interna'!P240+'Perfil - externa'!P238)</f>
        <v>15610453.880582064</v>
      </c>
      <c r="Q240" s="320">
        <f>IF('Perfil - interna'!Q240+'Perfil - externa'!Q238=0,0,'Perfil - interna'!Q240+'Perfil - externa'!Q238)</f>
        <v>19407489.750162397</v>
      </c>
      <c r="R240" s="320">
        <f>IF('Perfil - interna'!R240+'Perfil - externa'!R238=0,0,'Perfil - interna'!R240+'Perfil - externa'!R238)</f>
        <v>4326611.9347982211</v>
      </c>
      <c r="S240" s="320">
        <f>IF('Perfil - interna'!S240+'Perfil - externa'!S238=0,0,'Perfil - interna'!S240+'Perfil - externa'!S238)</f>
        <v>5474678.5025792308</v>
      </c>
      <c r="T240" s="320">
        <f>IF('Perfil - interna'!T240+'Perfil - externa'!T238=0,0,'Perfil - interna'!T240+'Perfil - externa'!T238)</f>
        <v>3249725.5173912467</v>
      </c>
      <c r="U240" s="320">
        <f>IF('Perfil - interna'!U240+'Perfil - externa'!U238=0,0,'Perfil - interna'!U240+'Perfil - externa'!U238)</f>
        <v>5166480.2551429644</v>
      </c>
      <c r="V240" s="320">
        <f>IF('Perfil - interna'!V240+'Perfil - externa'!V238=0,0,'Perfil - interna'!V240+'Perfil - externa'!V238)</f>
        <v>10905179.099058026</v>
      </c>
      <c r="W240" s="320">
        <f>IF('Perfil - interna'!W240+'Perfil - externa'!W238=0,0,'Perfil - interna'!W240+'Perfil - externa'!W238)</f>
        <v>1347044.4815668177</v>
      </c>
      <c r="X240" s="320">
        <f>IF('Perfil - interna'!X240+'Perfil - externa'!X238=0,0,'Perfil - interna'!X240+'Perfil - externa'!X238)</f>
        <v>1213935.1285442384</v>
      </c>
      <c r="Y240" s="320">
        <f>IF('Perfil - interna'!Y240+'Perfil - externa'!Y238=0,0,'Perfil - interna'!Y240+'Perfil - externa'!Y238)</f>
        <v>2539963.6929320325</v>
      </c>
      <c r="Z240" s="320">
        <f>IF('Perfil - interna'!Z240+'Perfil - externa'!Z238=0,0,'Perfil - interna'!Z240+'Perfil - externa'!Z238)</f>
        <v>2858111.0599247478</v>
      </c>
      <c r="AA240" s="320">
        <f>IF('Perfil - interna'!AA240+'Perfil - externa'!AA238=0,0,'Perfil - interna'!AA240+'Perfil - externa'!AA238)</f>
        <v>651255.58425070066</v>
      </c>
      <c r="AB240" s="320">
        <f>IF('Perfil - interna'!AB240+'Perfil - externa'!AB238=0,0,'Perfil - interna'!AB240+'Perfil - externa'!AB238)</f>
        <v>601923.29637904966</v>
      </c>
      <c r="AC240" s="320">
        <f>IF('Perfil - interna'!AC240+'Perfil - externa'!AC238=0,0,'Perfil - interna'!AC240+'Perfil - externa'!AC238)</f>
        <v>2538298.9080469343</v>
      </c>
      <c r="AD240" s="320">
        <f>IF('Perfil - interna'!AD240+'Perfil - externa'!AD238=0,0,'Perfil - interna'!AD240+'Perfil - externa'!AD238)</f>
        <v>373675.85159662506</v>
      </c>
      <c r="AE240" s="320">
        <f>IF('Perfil - interna'!AE240+'Perfil - externa'!AE238=0,0,'Perfil - interna'!AE240+'Perfil - externa'!AE238)</f>
        <v>344389.73154064355</v>
      </c>
      <c r="AF240" s="320">
        <f>IF('Perfil - interna'!AF240+'Perfil - externa'!AF238=0,0,'Perfil - interna'!AF240+'Perfil - externa'!AF238)</f>
        <v>326323.05843813077</v>
      </c>
      <c r="AG240" s="320">
        <f>IF('Perfil - interna'!AG240+'Perfil - externa'!AG238=0,0,'Perfil - interna'!AG240+'Perfil - externa'!AG238)</f>
        <v>313824.16368866421</v>
      </c>
      <c r="AH240" s="320">
        <f>IF('Perfil - interna'!AH240+'Perfil - externa'!AH238=0,0,'Perfil - interna'!AH240+'Perfil - externa'!AH238)</f>
        <v>287968.01346556802</v>
      </c>
      <c r="AI240" s="320">
        <f>IF('Perfil - interna'!AI240+'Perfil - externa'!AI238=0,0,'Perfil - interna'!AI240+'Perfil - externa'!AI238)</f>
        <v>920943.77548596682</v>
      </c>
      <c r="AJ240" s="320">
        <f>IF('Perfil - interna'!AJ240+'Perfil - externa'!AJ238=0,0,'Perfil - interna'!AJ240+'Perfil - externa'!AJ238)</f>
        <v>218698.0670328782</v>
      </c>
      <c r="AK240" s="320">
        <f>IF('Perfil - interna'!AK240+'Perfil - externa'!AK238=0,0,'Perfil - interna'!AK240+'Perfil - externa'!AK238)</f>
        <v>218696.80214533673</v>
      </c>
      <c r="AL240" s="320">
        <f>IF('Perfil - interna'!AL240+'Perfil - externa'!AL238=0,0,'Perfil - interna'!AL240+'Perfil - externa'!AL238)</f>
        <v>218612.36782868541</v>
      </c>
      <c r="AM240" s="320">
        <f>IF('Perfil - interna'!AM240+'Perfil - externa'!AM238=0,0,'Perfil - interna'!AM240+'Perfil - externa'!AM238)</f>
        <v>3097485.6626501773</v>
      </c>
      <c r="AN240" s="320">
        <f>IF('Perfil - interna'!AN240+'Perfil - externa'!AN238=0,0,'Perfil - interna'!AN240+'Perfil - externa'!AN238)</f>
        <v>0</v>
      </c>
      <c r="AO240" s="320"/>
      <c r="AP240" s="320"/>
      <c r="AQ240" s="320"/>
      <c r="AR240" s="320"/>
      <c r="AS240" s="320"/>
      <c r="AT240" s="320"/>
      <c r="AU240" s="320"/>
      <c r="AV240" s="320"/>
      <c r="AW240" s="320"/>
      <c r="AX240" s="320"/>
      <c r="AY240" s="320"/>
      <c r="AZ240" s="320"/>
      <c r="BA240" s="320"/>
      <c r="BB240" s="320"/>
      <c r="BC240" s="320"/>
      <c r="BD240" s="320"/>
      <c r="BE240" s="320"/>
      <c r="BF240" s="320"/>
      <c r="BG240" s="320"/>
      <c r="BH240" s="320"/>
      <c r="BI240" s="320"/>
      <c r="BJ240" s="320"/>
      <c r="BK240" s="320"/>
    </row>
    <row r="241" spans="1:63">
      <c r="A241" s="167"/>
      <c r="B241" s="217" t="str">
        <f>Servicio_internaColumna_título_amortizaciones</f>
        <v>Amortizaciones</v>
      </c>
      <c r="C241" s="218"/>
      <c r="D241" s="219"/>
      <c r="E241" s="219"/>
      <c r="F241" s="219">
        <f>IF('Perfil - interna'!F241+'Perfil - externa'!F239=0,0,'Perfil - interna'!F241+'Perfil - externa'!F239)</f>
        <v>0</v>
      </c>
      <c r="G241" s="219">
        <f>IF('Perfil - interna'!G241+'Perfil - externa'!G239=0,0,'Perfil - interna'!G241+'Perfil - externa'!G239)</f>
        <v>0</v>
      </c>
      <c r="H241" s="219">
        <f>IF('Perfil - interna'!H241+'Perfil - externa'!H239=0,0,'Perfil - interna'!H241+'Perfil - externa'!H239)</f>
        <v>0</v>
      </c>
      <c r="I241" s="219">
        <f>IF('Perfil - interna'!I241+'Perfil - externa'!I239=0,0,'Perfil - interna'!I241+'Perfil - externa'!I239)</f>
        <v>10554207.635773966</v>
      </c>
      <c r="J241" s="219">
        <f>IF('Perfil - interna'!J241+'Perfil - externa'!J239=0,0,'Perfil - interna'!J241+'Perfil - externa'!J239)</f>
        <v>22549956.144339811</v>
      </c>
      <c r="K241" s="219">
        <f>IF('Perfil - interna'!K241+'Perfil - externa'!K239=0,0,'Perfil - interna'!K241+'Perfil - externa'!K239)</f>
        <v>14287306.589715211</v>
      </c>
      <c r="L241" s="219">
        <f>IF('Perfil - interna'!L241+'Perfil - externa'!L239=0,0,'Perfil - interna'!L241+'Perfil - externa'!L239)</f>
        <v>22451764.347366571</v>
      </c>
      <c r="M241" s="219">
        <f>IF('Perfil - interna'!M241+'Perfil - externa'!M239=0,0,'Perfil - interna'!M241+'Perfil - externa'!M239)</f>
        <v>6963202.2370846346</v>
      </c>
      <c r="N241" s="219">
        <f>IF('Perfil - interna'!N241+'Perfil - externa'!N239=0,0,'Perfil - interna'!N241+'Perfil - externa'!N239)</f>
        <v>10567237.401188873</v>
      </c>
      <c r="O241" s="219">
        <f>IF('Perfil - interna'!O241+'Perfil - externa'!O239=0,0,'Perfil - interna'!O241+'Perfil - externa'!O239)</f>
        <v>5764750.5548709147</v>
      </c>
      <c r="P241" s="219">
        <f>IF('Perfil - interna'!P241+'Perfil - externa'!P239=0,0,'Perfil - interna'!P241+'Perfil - externa'!P239)</f>
        <v>10885427.811744273</v>
      </c>
      <c r="Q241" s="219">
        <f>IF('Perfil - interna'!Q241+'Perfil - externa'!Q239=0,0,'Perfil - interna'!Q241+'Perfil - externa'!Q239)</f>
        <v>16034566.138211045</v>
      </c>
      <c r="R241" s="219">
        <f>IF('Perfil - interna'!R241+'Perfil - externa'!R239=0,0,'Perfil - interna'!R241+'Perfil - externa'!R239)</f>
        <v>2051131.7671980513</v>
      </c>
      <c r="S241" s="219">
        <f>IF('Perfil - interna'!S241+'Perfil - externa'!S239=0,0,'Perfil - interna'!S241+'Perfil - externa'!S239)</f>
        <v>3356588.2548819054</v>
      </c>
      <c r="T241" s="219">
        <f>IF('Perfil - interna'!T241+'Perfil - externa'!T239=0,0,'Perfil - interna'!T241+'Perfil - externa'!T239)</f>
        <v>1157369.9569753015</v>
      </c>
      <c r="U241" s="219">
        <f>IF('Perfil - interna'!U241+'Perfil - externa'!U239=0,0,'Perfil - interna'!U241+'Perfil - externa'!U239)</f>
        <v>895711.44501277665</v>
      </c>
      <c r="V241" s="219">
        <f>IF('Perfil - interna'!V241+'Perfil - externa'!V239=0,0,'Perfil - interna'!V241+'Perfil - externa'!V239)</f>
        <v>9367137.2140990738</v>
      </c>
      <c r="W241" s="219">
        <f>IF('Perfil - interna'!W241+'Perfil - externa'!W239=0,0,'Perfil - interna'!W241+'Perfil - externa'!W239)</f>
        <v>543855.88793917</v>
      </c>
      <c r="X241" s="219">
        <f>IF('Perfil - interna'!X241+'Perfil - externa'!X239=0,0,'Perfil - interna'!X241+'Perfil - externa'!X239)</f>
        <v>402230.80479848792</v>
      </c>
      <c r="Y241" s="219">
        <f>IF('Perfil - interna'!Y241+'Perfil - externa'!Y239=0,0,'Perfil - interna'!Y241+'Perfil - externa'!Y239)</f>
        <v>1858194.4282041159</v>
      </c>
      <c r="Z241" s="219">
        <f>IF('Perfil - interna'!Z241+'Perfil - externa'!Z239=0,0,'Perfil - interna'!Z241+'Perfil - externa'!Z239)</f>
        <v>2277980.2796495738</v>
      </c>
      <c r="AA241" s="219">
        <f>IF('Perfil - interna'!AA241+'Perfil - externa'!AA239=0,0,'Perfil - interna'!AA241+'Perfil - externa'!AA239)</f>
        <v>153478.98636635797</v>
      </c>
      <c r="AB241" s="219">
        <f>IF('Perfil - interna'!AB241+'Perfil - externa'!AB239=0,0,'Perfil - interna'!AB241+'Perfil - externa'!AB239)</f>
        <v>110996.98040756598</v>
      </c>
      <c r="AC241" s="219">
        <f>IF('Perfil - interna'!AC241+'Perfil - externa'!AC239=0,0,'Perfil - interna'!AC241+'Perfil - externa'!AC239)</f>
        <v>2075813.4998257563</v>
      </c>
      <c r="AD241" s="219">
        <f>IF('Perfil - interna'!AD241+'Perfil - externa'!AD239=0,0,'Perfil - interna'!AD241+'Perfil - externa'!AD239)</f>
        <v>83521.573136948005</v>
      </c>
      <c r="AE241" s="219">
        <f>IF('Perfil - interna'!AE241+'Perfil - externa'!AE239=0,0,'Perfil - interna'!AE241+'Perfil - externa'!AE239)</f>
        <v>58147.392314144003</v>
      </c>
      <c r="AF241" s="219">
        <f>IF('Perfil - interna'!AF241+'Perfil - externa'!AF239=0,0,'Perfil - interna'!AF241+'Perfil - externa'!AF239)</f>
        <v>42405.346062058001</v>
      </c>
      <c r="AG241" s="219">
        <f>IF('Perfil - interna'!AG241+'Perfil - externa'!AG239=0,0,'Perfil - interna'!AG241+'Perfil - externa'!AG239)</f>
        <v>31452.997553378002</v>
      </c>
      <c r="AH241" s="219">
        <f>IF('Perfil - interna'!AH241+'Perfil - externa'!AH239=0,0,'Perfil - interna'!AH241+'Perfil - externa'!AH239)</f>
        <v>6405.3483682959995</v>
      </c>
      <c r="AI241" s="219">
        <f>IF('Perfil - interna'!AI241+'Perfil - externa'!AI239=0,0,'Perfil - interna'!AI241+'Perfil - externa'!AI239)</f>
        <v>677824.93816829601</v>
      </c>
      <c r="AJ241" s="219">
        <f>IF('Perfil - interna'!AJ241+'Perfil - externa'!AJ239=0,0,'Perfil - interna'!AJ241+'Perfil - externa'!AJ239)</f>
        <v>6405.3483682959995</v>
      </c>
      <c r="AK241" s="219">
        <f>IF('Perfil - interna'!AK241+'Perfil - externa'!AK239=0,0,'Perfil - interna'!AK241+'Perfil - externa'!AK239)</f>
        <v>6405.3483682959995</v>
      </c>
      <c r="AL241" s="219">
        <f>IF('Perfil - interna'!AL241+'Perfil - externa'!AL239=0,0,'Perfil - interna'!AL241+'Perfil - externa'!AL239)</f>
        <v>6321.7042376539994</v>
      </c>
      <c r="AM241" s="219">
        <f>IF('Perfil - interna'!AM241+'Perfil - externa'!AM239=0,0,'Perfil - interna'!AM241+'Perfil - externa'!AM239)</f>
        <v>2901629.1801070119</v>
      </c>
      <c r="AN241" s="219">
        <f>IF('Perfil - interna'!AN241+'Perfil - externa'!AN239=0,0,'Perfil - interna'!AN241+'Perfil - externa'!AN239)</f>
        <v>0</v>
      </c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</row>
    <row r="242" spans="1:63">
      <c r="A242" s="170">
        <v>39294</v>
      </c>
      <c r="B242" s="220" t="str">
        <f>Servicio_internaColumna_título_intereses</f>
        <v>Intereses</v>
      </c>
      <c r="C242" s="221"/>
      <c r="D242" s="222"/>
      <c r="E242" s="222"/>
      <c r="F242" s="222">
        <f>IF('Perfil - interna'!F242+'Perfil - externa'!F240=0,0,'Perfil - interna'!F242+'Perfil - externa'!F240)</f>
        <v>0</v>
      </c>
      <c r="G242" s="222">
        <f>IF('Perfil - interna'!G242+'Perfil - externa'!G240=0,0,'Perfil - interna'!G242+'Perfil - externa'!G240)</f>
        <v>0</v>
      </c>
      <c r="H242" s="222">
        <f>IF('Perfil - interna'!H242+'Perfil - externa'!H240=0,0,'Perfil - interna'!H242+'Perfil - externa'!H240)</f>
        <v>0</v>
      </c>
      <c r="I242" s="222">
        <f>IF('Perfil - interna'!I242+'Perfil - externa'!I240=0,0,'Perfil - interna'!I242+'Perfil - externa'!I240)</f>
        <v>5844908.524591459</v>
      </c>
      <c r="J242" s="222">
        <f>IF('Perfil - interna'!J242+'Perfil - externa'!J240=0,0,'Perfil - interna'!J242+'Perfil - externa'!J240)</f>
        <v>12650043.231764361</v>
      </c>
      <c r="K242" s="222">
        <f>IF('Perfil - interna'!K242+'Perfil - externa'!K240=0,0,'Perfil - interna'!K242+'Perfil - externa'!K240)</f>
        <v>10305995.595546374</v>
      </c>
      <c r="L242" s="222">
        <f>IF('Perfil - interna'!L242+'Perfil - externa'!L240=0,0,'Perfil - interna'!L242+'Perfil - externa'!L240)</f>
        <v>8948436.4971479177</v>
      </c>
      <c r="M242" s="222">
        <f>IF('Perfil - interna'!M242+'Perfil - externa'!M240=0,0,'Perfil - interna'!M242+'Perfil - externa'!M240)</f>
        <v>7029111.1454656506</v>
      </c>
      <c r="N242" s="222">
        <f>IF('Perfil - interna'!N242+'Perfil - externa'!N240=0,0,'Perfil - interna'!N242+'Perfil - externa'!N240)</f>
        <v>6348209.247860196</v>
      </c>
      <c r="O242" s="222">
        <f>IF('Perfil - interna'!O242+'Perfil - externa'!O240=0,0,'Perfil - interna'!O242+'Perfil - externa'!O240)</f>
        <v>5328652.1115575079</v>
      </c>
      <c r="P242" s="222">
        <f>IF('Perfil - interna'!P242+'Perfil - externa'!P240=0,0,'Perfil - interna'!P242+'Perfil - externa'!P240)</f>
        <v>4936697.2409694064</v>
      </c>
      <c r="Q242" s="222">
        <f>IF('Perfil - interna'!Q242+'Perfil - externa'!Q240=0,0,'Perfil - interna'!Q242+'Perfil - externa'!Q240)</f>
        <v>3852585.5054284455</v>
      </c>
      <c r="R242" s="222">
        <f>IF('Perfil - interna'!R242+'Perfil - externa'!R240=0,0,'Perfil - interna'!R242+'Perfil - externa'!R240)</f>
        <v>2449061.225016322</v>
      </c>
      <c r="S242" s="222">
        <f>IF('Perfil - interna'!S242+'Perfil - externa'!S240=0,0,'Perfil - interna'!S242+'Perfil - externa'!S240)</f>
        <v>2271583.0744392285</v>
      </c>
      <c r="T242" s="222">
        <f>IF('Perfil - interna'!T242+'Perfil - externa'!T240=0,0,'Perfil - interna'!T242+'Perfil - externa'!T240)</f>
        <v>2126544.3374450239</v>
      </c>
      <c r="U242" s="222">
        <f>IF('Perfil - interna'!U242+'Perfil - externa'!U240=0,0,'Perfil - interna'!U242+'Perfil - externa'!U240)</f>
        <v>1991709.3286728705</v>
      </c>
      <c r="V242" s="222">
        <f>IF('Perfil - interna'!V242+'Perfil - externa'!V240=0,0,'Perfil - interna'!V242+'Perfil - externa'!V240)</f>
        <v>1779747.9014506191</v>
      </c>
      <c r="W242" s="222">
        <f>IF('Perfil - interna'!W242+'Perfil - externa'!W240=0,0,'Perfil - interna'!W242+'Perfil - externa'!W240)</f>
        <v>860162.26127334312</v>
      </c>
      <c r="X242" s="222">
        <f>IF('Perfil - interna'!X242+'Perfil - externa'!X240=0,0,'Perfil - interna'!X242+'Perfil - externa'!X240)</f>
        <v>830621.33692338842</v>
      </c>
      <c r="Y242" s="222">
        <f>IF('Perfil - interna'!Y242+'Perfil - externa'!Y240=0,0,'Perfil - interna'!Y242+'Perfil - externa'!Y240)</f>
        <v>811552.59167748818</v>
      </c>
      <c r="Z242" s="222">
        <f>IF('Perfil - interna'!Z242+'Perfil - externa'!Z240=0,0,'Perfil - interna'!Z242+'Perfil - externa'!Z240)</f>
        <v>598496.24475910387</v>
      </c>
      <c r="AA242" s="222">
        <f>IF('Perfil - interna'!AA242+'Perfil - externa'!AA240=0,0,'Perfil - interna'!AA242+'Perfil - externa'!AA240)</f>
        <v>503245.58264635003</v>
      </c>
      <c r="AB242" s="222">
        <f>IF('Perfil - interna'!AB242+'Perfil - externa'!AB240=0,0,'Perfil - interna'!AB242+'Perfil - externa'!AB240)</f>
        <v>495687.66849431192</v>
      </c>
      <c r="AC242" s="222">
        <f>IF('Perfil - interna'!AC242+'Perfil - externa'!AC240=0,0,'Perfil - interna'!AC242+'Perfil - externa'!AC240)</f>
        <v>477907.27673302795</v>
      </c>
      <c r="AD242" s="222">
        <f>IF('Perfil - interna'!AD242+'Perfil - externa'!AD240=0,0,'Perfil - interna'!AD242+'Perfil - externa'!AD240)</f>
        <v>292950.521937766</v>
      </c>
      <c r="AE242" s="222">
        <f>IF('Perfil - interna'!AE242+'Perfil - externa'!AE240=0,0,'Perfil - interna'!AE242+'Perfil - externa'!AE240)</f>
        <v>288600.54977160197</v>
      </c>
      <c r="AF242" s="222">
        <f>IF('Perfil - interna'!AF242+'Perfil - externa'!AF240=0,0,'Perfil - interna'!AF242+'Perfil - externa'!AF240)</f>
        <v>285965.65123695595</v>
      </c>
      <c r="AG242" s="222">
        <f>IF('Perfil - interna'!AG242+'Perfil - externa'!AG240=0,0,'Perfil - interna'!AG242+'Perfil - externa'!AG240)</f>
        <v>284231.79443581798</v>
      </c>
      <c r="AH242" s="222">
        <f>IF('Perfil - interna'!AH242+'Perfil - externa'!AH240=0,0,'Perfil - interna'!AH242+'Perfil - externa'!AH240)</f>
        <v>283206.21586498199</v>
      </c>
      <c r="AI242" s="222">
        <f>IF('Perfil - interna'!AI242+'Perfil - externa'!AI240=0,0,'Perfil - interna'!AI242+'Perfil - externa'!AI240)</f>
        <v>248375.03862628798</v>
      </c>
      <c r="AJ242" s="222">
        <f>IF('Perfil - interna'!AJ242+'Perfil - externa'!AJ240=0,0,'Perfil - interna'!AJ242+'Perfil - externa'!AJ240)</f>
        <v>213540.91762822002</v>
      </c>
      <c r="AK242" s="222">
        <f>IF('Perfil - interna'!AK242+'Perfil - externa'!AK240=0,0,'Perfil - interna'!AK242+'Perfil - externa'!AK240)</f>
        <v>213539.64552145003</v>
      </c>
      <c r="AL242" s="222">
        <f>IF('Perfil - interna'!AL242+'Perfil - externa'!AL240=0,0,'Perfil - interna'!AL242+'Perfil - externa'!AL240)</f>
        <v>213538.373434398</v>
      </c>
      <c r="AM242" s="222">
        <f>IF('Perfil - interna'!AM242+'Perfil - externa'!AM240=0,0,'Perfil - interna'!AM242+'Perfil - externa'!AM240)</f>
        <v>213535.09510000001</v>
      </c>
      <c r="AN242" s="222">
        <f>IF('Perfil - interna'!AN242+'Perfil - externa'!AN240=0,0,'Perfil - interna'!AN242+'Perfil - externa'!AN240)</f>
        <v>0</v>
      </c>
      <c r="AO242" s="222"/>
      <c r="AP242" s="222"/>
      <c r="AQ242" s="222"/>
      <c r="AR242" s="222"/>
      <c r="AS242" s="222"/>
      <c r="AT242" s="222"/>
      <c r="AU242" s="222"/>
      <c r="AV242" s="222"/>
      <c r="AW242" s="222"/>
      <c r="AX242" s="222"/>
      <c r="AY242" s="222"/>
      <c r="AZ242" s="222"/>
      <c r="BA242" s="222"/>
      <c r="BB242" s="222"/>
      <c r="BC242" s="222"/>
      <c r="BD242" s="222"/>
      <c r="BE242" s="222"/>
      <c r="BF242" s="222"/>
      <c r="BG242" s="222"/>
      <c r="BH242" s="222"/>
      <c r="BI242" s="222"/>
      <c r="BJ242" s="222"/>
      <c r="BK242" s="222"/>
    </row>
    <row r="243" spans="1:63">
      <c r="A243" s="171"/>
      <c r="B243" s="318" t="str">
        <f>Servicio_internaColumna_título_total</f>
        <v>Total</v>
      </c>
      <c r="C243" s="319"/>
      <c r="D243" s="320"/>
      <c r="E243" s="320"/>
      <c r="F243" s="320">
        <f>IF('Perfil - interna'!F243+'Perfil - externa'!F241=0,0,'Perfil - interna'!F243+'Perfil - externa'!F241)</f>
        <v>0</v>
      </c>
      <c r="G243" s="320">
        <f>IF('Perfil - interna'!G243+'Perfil - externa'!G241=0,0,'Perfil - interna'!G243+'Perfil - externa'!G241)</f>
        <v>0</v>
      </c>
      <c r="H243" s="320">
        <f>IF('Perfil - interna'!H243+'Perfil - externa'!H241=0,0,'Perfil - interna'!H243+'Perfil - externa'!H241)</f>
        <v>0</v>
      </c>
      <c r="I243" s="320">
        <f>IF('Perfil - interna'!I243+'Perfil - externa'!I241=0,0,'Perfil - interna'!I243+'Perfil - externa'!I241)</f>
        <v>16399116.160365425</v>
      </c>
      <c r="J243" s="320">
        <f>IF('Perfil - interna'!J243+'Perfil - externa'!J241=0,0,'Perfil - interna'!J243+'Perfil - externa'!J241)</f>
        <v>35199999.376104176</v>
      </c>
      <c r="K243" s="320">
        <f>IF('Perfil - interna'!K243+'Perfil - externa'!K241=0,0,'Perfil - interna'!K243+'Perfil - externa'!K241)</f>
        <v>24593302.185261585</v>
      </c>
      <c r="L243" s="320">
        <f>IF('Perfil - interna'!L243+'Perfil - externa'!L241=0,0,'Perfil - interna'!L243+'Perfil - externa'!L241)</f>
        <v>31400200.844514489</v>
      </c>
      <c r="M243" s="320">
        <f>IF('Perfil - interna'!M243+'Perfil - externa'!M241=0,0,'Perfil - interna'!M243+'Perfil - externa'!M241)</f>
        <v>13992313.382550284</v>
      </c>
      <c r="N243" s="320">
        <f>IF('Perfil - interna'!N243+'Perfil - externa'!N241=0,0,'Perfil - interna'!N243+'Perfil - externa'!N241)</f>
        <v>16915446.64904907</v>
      </c>
      <c r="O243" s="320">
        <f>IF('Perfil - interna'!O243+'Perfil - externa'!O241=0,0,'Perfil - interna'!O243+'Perfil - externa'!O241)</f>
        <v>11093402.666428423</v>
      </c>
      <c r="P243" s="320">
        <f>IF('Perfil - interna'!P243+'Perfil - externa'!P241=0,0,'Perfil - interna'!P243+'Perfil - externa'!P241)</f>
        <v>15822125.052713679</v>
      </c>
      <c r="Q243" s="320">
        <f>IF('Perfil - interna'!Q243+'Perfil - externa'!Q241=0,0,'Perfil - interna'!Q243+'Perfil - externa'!Q241)</f>
        <v>19887151.64363949</v>
      </c>
      <c r="R243" s="320">
        <f>IF('Perfil - interna'!R243+'Perfil - externa'!R241=0,0,'Perfil - interna'!R243+'Perfil - externa'!R241)</f>
        <v>4500192.9922143733</v>
      </c>
      <c r="S243" s="320">
        <f>IF('Perfil - interna'!S243+'Perfil - externa'!S241=0,0,'Perfil - interna'!S243+'Perfil - externa'!S241)</f>
        <v>5628171.3293211339</v>
      </c>
      <c r="T243" s="320">
        <f>IF('Perfil - interna'!T243+'Perfil - externa'!T241=0,0,'Perfil - interna'!T243+'Perfil - externa'!T241)</f>
        <v>3283914.2944203257</v>
      </c>
      <c r="U243" s="320">
        <f>IF('Perfil - interna'!U243+'Perfil - externa'!U241=0,0,'Perfil - interna'!U243+'Perfil - externa'!U241)</f>
        <v>2887420.7736856472</v>
      </c>
      <c r="V243" s="320">
        <f>IF('Perfil - interna'!V243+'Perfil - externa'!V241=0,0,'Perfil - interna'!V243+'Perfil - externa'!V241)</f>
        <v>11146885.115549693</v>
      </c>
      <c r="W243" s="320">
        <f>IF('Perfil - interna'!W243+'Perfil - externa'!W241=0,0,'Perfil - interna'!W243+'Perfil - externa'!W241)</f>
        <v>1404018.1492125134</v>
      </c>
      <c r="X243" s="320">
        <f>IF('Perfil - interna'!X243+'Perfil - externa'!X241=0,0,'Perfil - interna'!X243+'Perfil - externa'!X241)</f>
        <v>1232852.1417218763</v>
      </c>
      <c r="Y243" s="320">
        <f>IF('Perfil - interna'!Y243+'Perfil - externa'!Y241=0,0,'Perfil - interna'!Y243+'Perfil - externa'!Y241)</f>
        <v>2669747.0198816042</v>
      </c>
      <c r="Z243" s="320">
        <f>IF('Perfil - interna'!Z243+'Perfil - externa'!Z241=0,0,'Perfil - interna'!Z243+'Perfil - externa'!Z241)</f>
        <v>2876476.5244086776</v>
      </c>
      <c r="AA243" s="320">
        <f>IF('Perfil - interna'!AA243+'Perfil - externa'!AA241=0,0,'Perfil - interna'!AA243+'Perfil - externa'!AA241)</f>
        <v>656724.56901270803</v>
      </c>
      <c r="AB243" s="320">
        <f>IF('Perfil - interna'!AB243+'Perfil - externa'!AB241=0,0,'Perfil - interna'!AB243+'Perfil - externa'!AB241)</f>
        <v>606684.64890187792</v>
      </c>
      <c r="AC243" s="320">
        <f>IF('Perfil - interna'!AC243+'Perfil - externa'!AC241=0,0,'Perfil - interna'!AC243+'Perfil - externa'!AC241)</f>
        <v>2553720.7765587843</v>
      </c>
      <c r="AD243" s="320">
        <f>IF('Perfil - interna'!AD243+'Perfil - externa'!AD241=0,0,'Perfil - interna'!AD243+'Perfil - externa'!AD241)</f>
        <v>376472.09507471399</v>
      </c>
      <c r="AE243" s="320">
        <f>IF('Perfil - interna'!AE243+'Perfil - externa'!AE241=0,0,'Perfil - interna'!AE243+'Perfil - externa'!AE241)</f>
        <v>346747.94208574598</v>
      </c>
      <c r="AF243" s="320">
        <f>IF('Perfil - interna'!AF243+'Perfil - externa'!AF241=0,0,'Perfil - interna'!AF243+'Perfil - externa'!AF241)</f>
        <v>328370.99729901395</v>
      </c>
      <c r="AG243" s="320">
        <f>IF('Perfil - interna'!AG243+'Perfil - externa'!AG241=0,0,'Perfil - interna'!AG243+'Perfil - externa'!AG241)</f>
        <v>315684.79198919598</v>
      </c>
      <c r="AH243" s="320">
        <f>IF('Perfil - interna'!AH243+'Perfil - externa'!AH241=0,0,'Perfil - interna'!AH243+'Perfil - externa'!AH241)</f>
        <v>289611.56423327798</v>
      </c>
      <c r="AI243" s="320">
        <f>IF('Perfil - interna'!AI243+'Perfil - externa'!AI241=0,0,'Perfil - interna'!AI243+'Perfil - externa'!AI241)</f>
        <v>926199.97679458396</v>
      </c>
      <c r="AJ243" s="320">
        <f>IF('Perfil - interna'!AJ243+'Perfil - externa'!AJ241=0,0,'Perfil - interna'!AJ243+'Perfil - externa'!AJ241)</f>
        <v>219946.26599651601</v>
      </c>
      <c r="AK243" s="320">
        <f>IF('Perfil - interna'!AK243+'Perfil - externa'!AK241=0,0,'Perfil - interna'!AK243+'Perfil - externa'!AK241)</f>
        <v>219944.99388974602</v>
      </c>
      <c r="AL243" s="320">
        <f>IF('Perfil - interna'!AL243+'Perfil - externa'!AL241=0,0,'Perfil - interna'!AL243+'Perfil - externa'!AL241)</f>
        <v>219860.07767205199</v>
      </c>
      <c r="AM243" s="320">
        <f>IF('Perfil - interna'!AM243+'Perfil - externa'!AM241=0,0,'Perfil - interna'!AM243+'Perfil - externa'!AM241)</f>
        <v>3115164.275207012</v>
      </c>
      <c r="AN243" s="320">
        <f>IF('Perfil - interna'!AN243+'Perfil - externa'!AN241=0,0,'Perfil - interna'!AN243+'Perfil - externa'!AN241)</f>
        <v>0</v>
      </c>
      <c r="AO243" s="320"/>
      <c r="AP243" s="320"/>
      <c r="AQ243" s="320"/>
      <c r="AR243" s="320"/>
      <c r="AS243" s="320"/>
      <c r="AT243" s="320"/>
      <c r="AU243" s="320"/>
      <c r="AV243" s="320"/>
      <c r="AW243" s="320"/>
      <c r="AX243" s="320"/>
      <c r="AY243" s="320"/>
      <c r="AZ243" s="320"/>
      <c r="BA243" s="320"/>
      <c r="BB243" s="320"/>
      <c r="BC243" s="320"/>
      <c r="BD243" s="320"/>
      <c r="BE243" s="320"/>
      <c r="BF243" s="320"/>
      <c r="BG243" s="320"/>
      <c r="BH243" s="320"/>
      <c r="BI243" s="320"/>
      <c r="BJ243" s="320"/>
      <c r="BK243" s="320"/>
    </row>
    <row r="244" spans="1:63">
      <c r="A244" s="167"/>
      <c r="B244" s="217" t="str">
        <f>Servicio_internaColumna_título_amortizaciones</f>
        <v>Amortizaciones</v>
      </c>
      <c r="C244" s="218"/>
      <c r="D244" s="219"/>
      <c r="E244" s="219"/>
      <c r="F244" s="219">
        <f>IF('Perfil - interna'!F244+'Perfil - externa'!F242=0,0,'Perfil - interna'!F244+'Perfil - externa'!F242)</f>
        <v>0</v>
      </c>
      <c r="G244" s="219">
        <f>IF('Perfil - interna'!G244+'Perfil - externa'!G242=0,0,'Perfil - interna'!G244+'Perfil - externa'!G242)</f>
        <v>0</v>
      </c>
      <c r="H244" s="219">
        <f>IF('Perfil - interna'!H244+'Perfil - externa'!H242=0,0,'Perfil - interna'!H244+'Perfil - externa'!H242)</f>
        <v>0</v>
      </c>
      <c r="I244" s="219">
        <f>IF('Perfil - interna'!I244+'Perfil - externa'!I242=0,0,'Perfil - interna'!I244+'Perfil - externa'!I242)</f>
        <v>9807459.9711352177</v>
      </c>
      <c r="J244" s="219">
        <f>IF('Perfil - interna'!J244+'Perfil - externa'!J242=0,0,'Perfil - interna'!J244+'Perfil - externa'!J242)</f>
        <v>23429456.937436514</v>
      </c>
      <c r="K244" s="219">
        <f>IF('Perfil - interna'!K244+'Perfil - externa'!K242=0,0,'Perfil - interna'!K244+'Perfil - externa'!K242)</f>
        <v>14782819.657822538</v>
      </c>
      <c r="L244" s="219">
        <f>IF('Perfil - interna'!L244+'Perfil - externa'!L242=0,0,'Perfil - interna'!L244+'Perfil - externa'!L242)</f>
        <v>23440021.188312463</v>
      </c>
      <c r="M244" s="219">
        <f>IF('Perfil - interna'!M244+'Perfil - externa'!M242=0,0,'Perfil - interna'!M244+'Perfil - externa'!M242)</f>
        <v>7161623.3744471334</v>
      </c>
      <c r="N244" s="219">
        <f>IF('Perfil - interna'!N244+'Perfil - externa'!N242=0,0,'Perfil - interna'!N244+'Perfil - externa'!N242)</f>
        <v>10927062.418901574</v>
      </c>
      <c r="O244" s="219">
        <f>IF('Perfil - interna'!O244+'Perfil - externa'!O242=0,0,'Perfil - interna'!O244+'Perfil - externa'!O242)</f>
        <v>6056958.3446890591</v>
      </c>
      <c r="P244" s="219">
        <f>IF('Perfil - interna'!P244+'Perfil - externa'!P242=0,0,'Perfil - interna'!P244+'Perfil - externa'!P242)</f>
        <v>11257118.940947685</v>
      </c>
      <c r="Q244" s="219">
        <f>IF('Perfil - interna'!Q244+'Perfil - externa'!Q242=0,0,'Perfil - interna'!Q244+'Perfil - externa'!Q242)</f>
        <v>16648809.849550089</v>
      </c>
      <c r="R244" s="219">
        <f>IF('Perfil - interna'!R244+'Perfil - externa'!R242=0,0,'Perfil - interna'!R244+'Perfil - externa'!R242)</f>
        <v>2199411.5414196542</v>
      </c>
      <c r="S244" s="219">
        <f>IF('Perfil - interna'!S244+'Perfil - externa'!S242=0,0,'Perfil - interna'!S244+'Perfil - externa'!S242)</f>
        <v>3665711.7999575282</v>
      </c>
      <c r="T244" s="219">
        <f>IF('Perfil - interna'!T244+'Perfil - externa'!T242=0,0,'Perfil - interna'!T244+'Perfil - externa'!T242)</f>
        <v>1229456.4405185608</v>
      </c>
      <c r="U244" s="219">
        <f>IF('Perfil - interna'!U244+'Perfil - externa'!U242=0,0,'Perfil - interna'!U244+'Perfil - externa'!U242)</f>
        <v>988478.3191985148</v>
      </c>
      <c r="V244" s="219">
        <f>IF('Perfil - interna'!V244+'Perfil - externa'!V242=0,0,'Perfil - interna'!V244+'Perfil - externa'!V242)</f>
        <v>9803571.9926355686</v>
      </c>
      <c r="W244" s="219">
        <f>IF('Perfil - interna'!W244+'Perfil - externa'!W242=0,0,'Perfil - interna'!W244+'Perfil - externa'!W242)</f>
        <v>566749.95011084154</v>
      </c>
      <c r="X244" s="219">
        <f>IF('Perfil - interna'!X244+'Perfil - externa'!X242=0,0,'Perfil - interna'!X244+'Perfil - externa'!X242)</f>
        <v>443191.3941695508</v>
      </c>
      <c r="Y244" s="219">
        <f>IF('Perfil - interna'!Y244+'Perfil - externa'!Y242=0,0,'Perfil - interna'!Y244+'Perfil - externa'!Y242)</f>
        <v>1968698.6552928383</v>
      </c>
      <c r="Z244" s="219">
        <f>IF('Perfil - interna'!Z244+'Perfil - externa'!Z242=0,0,'Perfil - interna'!Z244+'Perfil - externa'!Z242)</f>
        <v>2518263.1882312368</v>
      </c>
      <c r="AA244" s="219">
        <f>IF('Perfil - interna'!AA244+'Perfil - externa'!AA242=0,0,'Perfil - interna'!AA244+'Perfil - externa'!AA242)</f>
        <v>168996.7620261288</v>
      </c>
      <c r="AB244" s="219">
        <f>IF('Perfil - interna'!AB244+'Perfil - externa'!AB242=0,0,'Perfil - interna'!AB244+'Perfil - externa'!AB242)</f>
        <v>122175.8336956101</v>
      </c>
      <c r="AC244" s="219">
        <f>IF('Perfil - interna'!AC244+'Perfil - externa'!AC242=0,0,'Perfil - interna'!AC244+'Perfil - externa'!AC242)</f>
        <v>2299094.05083434</v>
      </c>
      <c r="AD244" s="219">
        <f>IF('Perfil - interna'!AD244+'Perfil - externa'!AD242=0,0,'Perfil - interna'!AD244+'Perfil - externa'!AD242)</f>
        <v>91954.019999991302</v>
      </c>
      <c r="AE244" s="219">
        <f>IF('Perfil - interna'!AE244+'Perfil - externa'!AE242=0,0,'Perfil - interna'!AE244+'Perfil - externa'!AE242)</f>
        <v>63984.662043067197</v>
      </c>
      <c r="AF244" s="219">
        <f>IF('Perfil - interna'!AF244+'Perfil - externa'!AF242=0,0,'Perfil - interna'!AF244+'Perfil - externa'!AF242)</f>
        <v>46638.799798987799</v>
      </c>
      <c r="AG244" s="219">
        <f>IF('Perfil - interna'!AG244+'Perfil - externa'!AG242=0,0,'Perfil - interna'!AG244+'Perfil - externa'!AG242)</f>
        <v>34567.942680811793</v>
      </c>
      <c r="AH244" s="219">
        <f>IF('Perfil - interna'!AH244+'Perfil - externa'!AH242=0,0,'Perfil - interna'!AH244+'Perfil - externa'!AH242)</f>
        <v>7061.3857670136003</v>
      </c>
      <c r="AI244" s="219">
        <f>IF('Perfil - interna'!AI244+'Perfil - externa'!AI242=0,0,'Perfil - interna'!AI244+'Perfil - externa'!AI242)</f>
        <v>747049.67563701374</v>
      </c>
      <c r="AJ244" s="219">
        <f>IF('Perfil - interna'!AJ244+'Perfil - externa'!AJ242=0,0,'Perfil - interna'!AJ244+'Perfil - externa'!AJ242)</f>
        <v>7061.3857670136003</v>
      </c>
      <c r="AK244" s="219">
        <f>IF('Perfil - interna'!AK244+'Perfil - externa'!AK242=0,0,'Perfil - interna'!AK244+'Perfil - externa'!AK242)</f>
        <v>7061.3857670136003</v>
      </c>
      <c r="AL244" s="219">
        <f>IF('Perfil - interna'!AL244+'Perfil - externa'!AL242=0,0,'Perfil - interna'!AL244+'Perfil - externa'!AL242)</f>
        <v>6968.2537625906989</v>
      </c>
      <c r="AM244" s="219">
        <f>IF('Perfil - interna'!AM244+'Perfil - externa'!AM242=0,0,'Perfil - interna'!AM244+'Perfil - externa'!AM242)</f>
        <v>3197957.9497581678</v>
      </c>
      <c r="AN244" s="219">
        <f>IF('Perfil - interna'!AN244+'Perfil - externa'!AN242=0,0,'Perfil - interna'!AN244+'Perfil - externa'!AN242)</f>
        <v>0</v>
      </c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</row>
    <row r="245" spans="1:63">
      <c r="A245" s="170">
        <v>39325</v>
      </c>
      <c r="B245" s="220" t="str">
        <f>Servicio_internaColumna_título_intereses</f>
        <v>Intereses</v>
      </c>
      <c r="C245" s="221"/>
      <c r="D245" s="222"/>
      <c r="E245" s="222"/>
      <c r="F245" s="222">
        <f>IF('Perfil - interna'!F245+'Perfil - externa'!F243=0,0,'Perfil - interna'!F245+'Perfil - externa'!F243)</f>
        <v>0</v>
      </c>
      <c r="G245" s="222">
        <f>IF('Perfil - interna'!G245+'Perfil - externa'!G243=0,0,'Perfil - interna'!G245+'Perfil - externa'!G243)</f>
        <v>0</v>
      </c>
      <c r="H245" s="222">
        <f>IF('Perfil - interna'!H245+'Perfil - externa'!H243=0,0,'Perfil - interna'!H245+'Perfil - externa'!H243)</f>
        <v>0</v>
      </c>
      <c r="I245" s="222">
        <f>IF('Perfil - interna'!I245+'Perfil - externa'!I243=0,0,'Perfil - interna'!I245+'Perfil - externa'!I243)</f>
        <v>4631615.4470302444</v>
      </c>
      <c r="J245" s="222">
        <f>IF('Perfil - interna'!J245+'Perfil - externa'!J243=0,0,'Perfil - interna'!J245+'Perfil - externa'!J243)</f>
        <v>13005204.178252958</v>
      </c>
      <c r="K245" s="222">
        <f>IF('Perfil - interna'!K245+'Perfil - externa'!K243=0,0,'Perfil - interna'!K245+'Perfil - externa'!K243)</f>
        <v>10697133.040874921</v>
      </c>
      <c r="L245" s="222">
        <f>IF('Perfil - interna'!L245+'Perfil - externa'!L243=0,0,'Perfil - interna'!L245+'Perfil - externa'!L243)</f>
        <v>9330798.4097531959</v>
      </c>
      <c r="M245" s="222">
        <f>IF('Perfil - interna'!M245+'Perfil - externa'!M243=0,0,'Perfil - interna'!M245+'Perfil - externa'!M243)</f>
        <v>7319713.1593527682</v>
      </c>
      <c r="N245" s="222">
        <f>IF('Perfil - interna'!N245+'Perfil - externa'!N243=0,0,'Perfil - interna'!N245+'Perfil - externa'!N243)</f>
        <v>6611665.5656236801</v>
      </c>
      <c r="O245" s="222">
        <f>IF('Perfil - interna'!O245+'Perfil - externa'!O243=0,0,'Perfil - interna'!O245+'Perfil - externa'!O243)</f>
        <v>5558661.7297694869</v>
      </c>
      <c r="P245" s="222">
        <f>IF('Perfil - interna'!P245+'Perfil - externa'!P243=0,0,'Perfil - interna'!P245+'Perfil - externa'!P243)</f>
        <v>5147566.4180371687</v>
      </c>
      <c r="Q245" s="222">
        <f>IF('Perfil - interna'!Q245+'Perfil - externa'!Q243=0,0,'Perfil - interna'!Q245+'Perfil - externa'!Q243)</f>
        <v>4037228.5024666102</v>
      </c>
      <c r="R245" s="222">
        <f>IF('Perfil - interna'!R245+'Perfil - externa'!R243=0,0,'Perfil - interna'!R245+'Perfil - externa'!R243)</f>
        <v>2583061.0460609253</v>
      </c>
      <c r="S245" s="222">
        <f>IF('Perfil - interna'!S245+'Perfil - externa'!S243=0,0,'Perfil - interna'!S245+'Perfil - externa'!S243)</f>
        <v>2391407.4044089727</v>
      </c>
      <c r="T245" s="222">
        <f>IF('Perfil - interna'!T245+'Perfil - externa'!T243=0,0,'Perfil - interna'!T245+'Perfil - externa'!T243)</f>
        <v>2232241.0780478278</v>
      </c>
      <c r="U245" s="222">
        <f>IF('Perfil - interna'!U245+'Perfil - externa'!U243=0,0,'Perfil - interna'!U245+'Perfil - externa'!U243)</f>
        <v>2104374.8545311526</v>
      </c>
      <c r="V245" s="222">
        <f>IF('Perfil - interna'!V245+'Perfil - externa'!V243=0,0,'Perfil - interna'!V245+'Perfil - externa'!V243)</f>
        <v>1890921.420410539</v>
      </c>
      <c r="W245" s="222">
        <f>IF('Perfil - interna'!W245+'Perfil - externa'!W243=0,0,'Perfil - interna'!W245+'Perfil - externa'!W243)</f>
        <v>938805.1800283459</v>
      </c>
      <c r="X245" s="222">
        <f>IF('Perfil - interna'!X245+'Perfil - externa'!X243=0,0,'Perfil - interna'!X245+'Perfil - externa'!X243)</f>
        <v>910224.85524731153</v>
      </c>
      <c r="Y245" s="222">
        <f>IF('Perfil - interna'!Y245+'Perfil - externa'!Y243=0,0,'Perfil - interna'!Y245+'Perfil - externa'!Y243)</f>
        <v>889123.20886251295</v>
      </c>
      <c r="Z245" s="222">
        <f>IF('Perfil - interna'!Z245+'Perfil - externa'!Z243=0,0,'Perfil - interna'!Z245+'Perfil - externa'!Z243)</f>
        <v>660628.81267034728</v>
      </c>
      <c r="AA245" s="222">
        <f>IF('Perfil - interna'!AA245+'Perfil - externa'!AA243=0,0,'Perfil - interna'!AA245+'Perfil - externa'!AA243)</f>
        <v>555716.99059622944</v>
      </c>
      <c r="AB245" s="222">
        <f>IF('Perfil - interna'!AB245+'Perfil - externa'!AB243=0,0,'Perfil - interna'!AB245+'Perfil - externa'!AB243)</f>
        <v>547395.3212848953</v>
      </c>
      <c r="AC245" s="222">
        <f>IF('Perfil - interna'!AC245+'Perfil - externa'!AC243=0,0,'Perfil - interna'!AC245+'Perfil - externa'!AC243)</f>
        <v>527806.629880197</v>
      </c>
      <c r="AD245" s="222">
        <f>IF('Perfil - interna'!AD245+'Perfil - externa'!AD243=0,0,'Perfil - interna'!AD245+'Perfil - externa'!AD243)</f>
        <v>322845.63193729141</v>
      </c>
      <c r="AE245" s="222">
        <f>IF('Perfil - interna'!AE245+'Perfil - externa'!AE243=0,0,'Perfil - interna'!AE245+'Perfil - externa'!AE243)</f>
        <v>318057.46187600697</v>
      </c>
      <c r="AF245" s="222">
        <f>IF('Perfil - interna'!AF245+'Perfil - externa'!AF243=0,0,'Perfil - interna'!AF245+'Perfil - externa'!AF243)</f>
        <v>315159.46007778984</v>
      </c>
      <c r="AG245" s="222">
        <f>IF('Perfil - interna'!AG245+'Perfil - externa'!AG243=0,0,'Perfil - interna'!AG245+'Perfil - externa'!AG243)</f>
        <v>313254.51880064787</v>
      </c>
      <c r="AH245" s="222">
        <f>IF('Perfil - interna'!AH245+'Perfil - externa'!AH243=0,0,'Perfil - interna'!AH245+'Perfil - externa'!AH243)</f>
        <v>312128.70119319897</v>
      </c>
      <c r="AI245" s="222">
        <f>IF('Perfil - interna'!AI245+'Perfil - externa'!AI243=0,0,'Perfil - interna'!AI245+'Perfil - externa'!AI243)</f>
        <v>273740.37678707729</v>
      </c>
      <c r="AJ245" s="222">
        <f>IF('Perfil - interna'!AJ245+'Perfil - externa'!AJ243=0,0,'Perfil - interna'!AJ245+'Perfil - externa'!AJ243)</f>
        <v>235348.80809892603</v>
      </c>
      <c r="AK245" s="222">
        <f>IF('Perfil - interna'!AK245+'Perfil - externa'!AK243=0,0,'Perfil - interna'!AK245+'Perfil - externa'!AK243)</f>
        <v>235347.39169191511</v>
      </c>
      <c r="AL245" s="222">
        <f>IF('Perfil - interna'!AL245+'Perfil - externa'!AL243=0,0,'Perfil - interna'!AL245+'Perfil - externa'!AL243)</f>
        <v>235345.97532836764</v>
      </c>
      <c r="AM245" s="222">
        <f>IF('Perfil - interna'!AM245+'Perfil - externa'!AM243=0,0,'Perfil - interna'!AM245+'Perfil - externa'!AM243)</f>
        <v>235342.358565</v>
      </c>
      <c r="AN245" s="222">
        <f>IF('Perfil - interna'!AN245+'Perfil - externa'!AN243=0,0,'Perfil - interna'!AN245+'Perfil - externa'!AN243)</f>
        <v>0</v>
      </c>
      <c r="AO245" s="222"/>
      <c r="AP245" s="222"/>
      <c r="AQ245" s="222"/>
      <c r="AR245" s="222"/>
      <c r="AS245" s="222"/>
      <c r="AT245" s="222"/>
      <c r="AU245" s="222"/>
      <c r="AV245" s="222"/>
      <c r="AW245" s="222"/>
      <c r="AX245" s="222"/>
      <c r="AY245" s="222"/>
      <c r="AZ245" s="222"/>
      <c r="BA245" s="222"/>
      <c r="BB245" s="222"/>
      <c r="BC245" s="222"/>
      <c r="BD245" s="222"/>
      <c r="BE245" s="222"/>
      <c r="BF245" s="222"/>
      <c r="BG245" s="222"/>
      <c r="BH245" s="222"/>
      <c r="BI245" s="222"/>
      <c r="BJ245" s="222"/>
      <c r="BK245" s="222"/>
    </row>
    <row r="246" spans="1:63">
      <c r="A246" s="171"/>
      <c r="B246" s="318" t="str">
        <f>Servicio_internaColumna_título_total</f>
        <v>Total</v>
      </c>
      <c r="C246" s="319"/>
      <c r="D246" s="320"/>
      <c r="E246" s="320"/>
      <c r="F246" s="320">
        <f>IF('Perfil - interna'!F246+'Perfil - externa'!F244=0,0,'Perfil - interna'!F246+'Perfil - externa'!F244)</f>
        <v>0</v>
      </c>
      <c r="G246" s="320">
        <f>IF('Perfil - interna'!G246+'Perfil - externa'!G244=0,0,'Perfil - interna'!G246+'Perfil - externa'!G244)</f>
        <v>0</v>
      </c>
      <c r="H246" s="320">
        <f>IF('Perfil - interna'!H246+'Perfil - externa'!H244=0,0,'Perfil - interna'!H246+'Perfil - externa'!H244)</f>
        <v>0</v>
      </c>
      <c r="I246" s="320">
        <f>IF('Perfil - interna'!I246+'Perfil - externa'!I244=0,0,'Perfil - interna'!I246+'Perfil - externa'!I244)</f>
        <v>14439075.41816546</v>
      </c>
      <c r="J246" s="320">
        <f>IF('Perfil - interna'!J246+'Perfil - externa'!J244=0,0,'Perfil - interna'!J246+'Perfil - externa'!J244)</f>
        <v>36434661.115689471</v>
      </c>
      <c r="K246" s="320">
        <f>IF('Perfil - interna'!K246+'Perfil - externa'!K244=0,0,'Perfil - interna'!K246+'Perfil - externa'!K244)</f>
        <v>25479952.698697459</v>
      </c>
      <c r="L246" s="320">
        <f>IF('Perfil - interna'!L246+'Perfil - externa'!L244=0,0,'Perfil - interna'!L246+'Perfil - externa'!L244)</f>
        <v>32770819.598065659</v>
      </c>
      <c r="M246" s="320">
        <f>IF('Perfil - interna'!M246+'Perfil - externa'!M244=0,0,'Perfil - interna'!M246+'Perfil - externa'!M244)</f>
        <v>14481336.533799902</v>
      </c>
      <c r="N246" s="320">
        <f>IF('Perfil - interna'!N246+'Perfil - externa'!N244=0,0,'Perfil - interna'!N246+'Perfil - externa'!N244)</f>
        <v>17538727.984525256</v>
      </c>
      <c r="O246" s="320">
        <f>IF('Perfil - interna'!O246+'Perfil - externa'!O244=0,0,'Perfil - interna'!O246+'Perfil - externa'!O244)</f>
        <v>11615620.074458547</v>
      </c>
      <c r="P246" s="320">
        <f>IF('Perfil - interna'!P246+'Perfil - externa'!P244=0,0,'Perfil - interna'!P246+'Perfil - externa'!P244)</f>
        <v>16404685.358984854</v>
      </c>
      <c r="Q246" s="320">
        <f>IF('Perfil - interna'!Q246+'Perfil - externa'!Q244=0,0,'Perfil - interna'!Q246+'Perfil - externa'!Q244)</f>
        <v>20686038.352016699</v>
      </c>
      <c r="R246" s="320">
        <f>IF('Perfil - interna'!R246+'Perfil - externa'!R244=0,0,'Perfil - interna'!R246+'Perfil - externa'!R244)</f>
        <v>4782472.5874805795</v>
      </c>
      <c r="S246" s="320">
        <f>IF('Perfil - interna'!S246+'Perfil - externa'!S244=0,0,'Perfil - interna'!S246+'Perfil - externa'!S244)</f>
        <v>6057119.2043665014</v>
      </c>
      <c r="T246" s="320">
        <f>IF('Perfil - interna'!T246+'Perfil - externa'!T244=0,0,'Perfil - interna'!T246+'Perfil - externa'!T244)</f>
        <v>3461697.5185663891</v>
      </c>
      <c r="U246" s="320">
        <f>IF('Perfil - interna'!U246+'Perfil - externa'!U244=0,0,'Perfil - interna'!U246+'Perfil - externa'!U244)</f>
        <v>3092853.173729667</v>
      </c>
      <c r="V246" s="320">
        <f>IF('Perfil - interna'!V246+'Perfil - externa'!V244=0,0,'Perfil - interna'!V246+'Perfil - externa'!V244)</f>
        <v>11694493.413046107</v>
      </c>
      <c r="W246" s="320">
        <f>IF('Perfil - interna'!W246+'Perfil - externa'!W244=0,0,'Perfil - interna'!W246+'Perfil - externa'!W244)</f>
        <v>1505555.1301391874</v>
      </c>
      <c r="X246" s="320">
        <f>IF('Perfil - interna'!X246+'Perfil - externa'!X244=0,0,'Perfil - interna'!X246+'Perfil - externa'!X244)</f>
        <v>1353416.2494168621</v>
      </c>
      <c r="Y246" s="320">
        <f>IF('Perfil - interna'!Y246+'Perfil - externa'!Y244=0,0,'Perfil - interna'!Y246+'Perfil - externa'!Y244)</f>
        <v>2857821.8641553512</v>
      </c>
      <c r="Z246" s="320">
        <f>IF('Perfil - interna'!Z246+'Perfil - externa'!Z244=0,0,'Perfil - interna'!Z246+'Perfil - externa'!Z244)</f>
        <v>3178892.000901584</v>
      </c>
      <c r="AA246" s="320">
        <f>IF('Perfil - interna'!AA246+'Perfil - externa'!AA244=0,0,'Perfil - interna'!AA246+'Perfil - externa'!AA244)</f>
        <v>724713.75262235827</v>
      </c>
      <c r="AB246" s="320">
        <f>IF('Perfil - interna'!AB246+'Perfil - externa'!AB244=0,0,'Perfil - interna'!AB246+'Perfil - externa'!AB244)</f>
        <v>669571.15498050535</v>
      </c>
      <c r="AC246" s="320">
        <f>IF('Perfil - interna'!AC246+'Perfil - externa'!AC244=0,0,'Perfil - interna'!AC246+'Perfil - externa'!AC244)</f>
        <v>2826900.6807145369</v>
      </c>
      <c r="AD246" s="320">
        <f>IF('Perfil - interna'!AD246+'Perfil - externa'!AD244=0,0,'Perfil - interna'!AD246+'Perfil - externa'!AD244)</f>
        <v>414799.6519372827</v>
      </c>
      <c r="AE246" s="320">
        <f>IF('Perfil - interna'!AE246+'Perfil - externa'!AE244=0,0,'Perfil - interna'!AE246+'Perfil - externa'!AE244)</f>
        <v>382042.12391907419</v>
      </c>
      <c r="AF246" s="320">
        <f>IF('Perfil - interna'!AF246+'Perfil - externa'!AF244=0,0,'Perfil - interna'!AF246+'Perfil - externa'!AF244)</f>
        <v>361798.25987677765</v>
      </c>
      <c r="AG246" s="320">
        <f>IF('Perfil - interna'!AG246+'Perfil - externa'!AG244=0,0,'Perfil - interna'!AG246+'Perfil - externa'!AG244)</f>
        <v>347822.46148145967</v>
      </c>
      <c r="AH246" s="320">
        <f>IF('Perfil - interna'!AH246+'Perfil - externa'!AH244=0,0,'Perfil - interna'!AH246+'Perfil - externa'!AH244)</f>
        <v>319190.08696021256</v>
      </c>
      <c r="AI246" s="320">
        <f>IF('Perfil - interna'!AI246+'Perfil - externa'!AI244=0,0,'Perfil - interna'!AI246+'Perfil - externa'!AI244)</f>
        <v>1020790.052424091</v>
      </c>
      <c r="AJ246" s="320">
        <f>IF('Perfil - interna'!AJ246+'Perfil - externa'!AJ244=0,0,'Perfil - interna'!AJ246+'Perfil - externa'!AJ244)</f>
        <v>242410.19386593963</v>
      </c>
      <c r="AK246" s="320">
        <f>IF('Perfil - interna'!AK246+'Perfil - externa'!AK244=0,0,'Perfil - interna'!AK246+'Perfil - externa'!AK244)</f>
        <v>242408.7774589287</v>
      </c>
      <c r="AL246" s="320">
        <f>IF('Perfil - interna'!AL246+'Perfil - externa'!AL244=0,0,'Perfil - interna'!AL246+'Perfil - externa'!AL244)</f>
        <v>242314.22909095834</v>
      </c>
      <c r="AM246" s="320">
        <f>IF('Perfil - interna'!AM246+'Perfil - externa'!AM244=0,0,'Perfil - interna'!AM246+'Perfil - externa'!AM244)</f>
        <v>3433300.3083231677</v>
      </c>
      <c r="AN246" s="320">
        <f>IF('Perfil - interna'!AN246+'Perfil - externa'!AN244=0,0,'Perfil - interna'!AN246+'Perfil - externa'!AN244)</f>
        <v>0</v>
      </c>
      <c r="AO246" s="320"/>
      <c r="AP246" s="320"/>
      <c r="AQ246" s="320"/>
      <c r="AR246" s="320"/>
      <c r="AS246" s="320"/>
      <c r="AT246" s="320"/>
      <c r="AU246" s="320"/>
      <c r="AV246" s="320"/>
      <c r="AW246" s="320"/>
      <c r="AX246" s="320"/>
      <c r="AY246" s="320"/>
      <c r="AZ246" s="320"/>
      <c r="BA246" s="320"/>
      <c r="BB246" s="320"/>
      <c r="BC246" s="320"/>
      <c r="BD246" s="320"/>
      <c r="BE246" s="320"/>
      <c r="BF246" s="320"/>
      <c r="BG246" s="320"/>
      <c r="BH246" s="320"/>
      <c r="BI246" s="320"/>
      <c r="BJ246" s="320"/>
      <c r="BK246" s="320"/>
    </row>
    <row r="247" spans="1:63">
      <c r="A247" s="167"/>
      <c r="B247" s="217" t="str">
        <f>Servicio_internaColumna_título_amortizaciones</f>
        <v>Amortizaciones</v>
      </c>
      <c r="C247" s="218"/>
      <c r="D247" s="219"/>
      <c r="E247" s="219"/>
      <c r="F247" s="219">
        <f>IF('Perfil - interna'!F247+'Perfil - externa'!F245=0,0,'Perfil - interna'!F247+'Perfil - externa'!F245)</f>
        <v>0</v>
      </c>
      <c r="G247" s="219">
        <f>IF('Perfil - interna'!G247+'Perfil - externa'!G245=0,0,'Perfil - interna'!G247+'Perfil - externa'!G245)</f>
        <v>0</v>
      </c>
      <c r="H247" s="219">
        <f>IF('Perfil - interna'!H247+'Perfil - externa'!H245=0,0,'Perfil - interna'!H247+'Perfil - externa'!H245)</f>
        <v>0</v>
      </c>
      <c r="I247" s="219">
        <f>IF('Perfil - interna'!I247+'Perfil - externa'!I245=0,0,'Perfil - interna'!I247+'Perfil - externa'!I245)</f>
        <v>7715973.7346171932</v>
      </c>
      <c r="J247" s="219">
        <f>IF('Perfil - interna'!J247+'Perfil - externa'!J245=0,0,'Perfil - interna'!J247+'Perfil - externa'!J245)</f>
        <v>22573723.557608228</v>
      </c>
      <c r="K247" s="219">
        <f>IF('Perfil - interna'!K247+'Perfil - externa'!K245=0,0,'Perfil - interna'!K247+'Perfil - externa'!K245)</f>
        <v>16028586.331006767</v>
      </c>
      <c r="L247" s="219">
        <f>IF('Perfil - interna'!L247+'Perfil - externa'!L245=0,0,'Perfil - interna'!L247+'Perfil - externa'!L245)</f>
        <v>23121548.485181838</v>
      </c>
      <c r="M247" s="219">
        <f>IF('Perfil - interna'!M247+'Perfil - externa'!M245=0,0,'Perfil - interna'!M247+'Perfil - externa'!M245)</f>
        <v>6980296.1785752755</v>
      </c>
      <c r="N247" s="219">
        <f>IF('Perfil - interna'!N247+'Perfil - externa'!N245=0,0,'Perfil - interna'!N247+'Perfil - externa'!N245)</f>
        <v>10651605.603061611</v>
      </c>
      <c r="O247" s="219">
        <f>IF('Perfil - interna'!O247+'Perfil - externa'!O245=0,0,'Perfil - interna'!O247+'Perfil - externa'!O245)</f>
        <v>5880814.5804712856</v>
      </c>
      <c r="P247" s="219">
        <f>IF('Perfil - interna'!P247+'Perfil - externa'!P245=0,0,'Perfil - interna'!P247+'Perfil - externa'!P245)</f>
        <v>10893681.995489739</v>
      </c>
      <c r="Q247" s="219">
        <f>IF('Perfil - interna'!Q247+'Perfil - externa'!Q245=0,0,'Perfil - interna'!Q247+'Perfil - externa'!Q245)</f>
        <v>16326242.448380593</v>
      </c>
      <c r="R247" s="219">
        <f>IF('Perfil - interna'!R247+'Perfil - externa'!R245=0,0,'Perfil - interna'!R247+'Perfil - externa'!R245)</f>
        <v>2072529.3264796811</v>
      </c>
      <c r="S247" s="219">
        <f>IF('Perfil - interna'!S247+'Perfil - externa'!S245=0,0,'Perfil - interna'!S247+'Perfil - externa'!S245)</f>
        <v>3444555.0274564377</v>
      </c>
      <c r="T247" s="219">
        <f>IF('Perfil - interna'!T247+'Perfil - externa'!T245=0,0,'Perfil - interna'!T247+'Perfil - externa'!T245)</f>
        <v>1182609.6765889991</v>
      </c>
      <c r="U247" s="219">
        <f>IF('Perfil - interna'!U247+'Perfil - externa'!U245=0,0,'Perfil - interna'!U247+'Perfil - externa'!U245)</f>
        <v>959346.68636175187</v>
      </c>
      <c r="V247" s="219">
        <f>IF('Perfil - interna'!V247+'Perfil - externa'!V245=0,0,'Perfil - interna'!V247+'Perfil - externa'!V245)</f>
        <v>9699133.1721175294</v>
      </c>
      <c r="W247" s="219">
        <f>IF('Perfil - interna'!W247+'Perfil - externa'!W245=0,0,'Perfil - interna'!W247+'Perfil - externa'!W245)</f>
        <v>586956.1736688026</v>
      </c>
      <c r="X247" s="219">
        <f>IF('Perfil - interna'!X247+'Perfil - externa'!X245=0,0,'Perfil - interna'!X247+'Perfil - externa'!X245)</f>
        <v>431487.34948782576</v>
      </c>
      <c r="Y247" s="219">
        <f>IF('Perfil - interna'!Y247+'Perfil - externa'!Y245=0,0,'Perfil - interna'!Y247+'Perfil - externa'!Y245)</f>
        <v>1958743.4149532029</v>
      </c>
      <c r="Z247" s="219">
        <f>IF('Perfil - interna'!Z247+'Perfil - externa'!Z245=0,0,'Perfil - interna'!Z247+'Perfil - externa'!Z245)</f>
        <v>2343122.8340325123</v>
      </c>
      <c r="AA247" s="219">
        <f>IF('Perfil - interna'!AA247+'Perfil - externa'!AA245=0,0,'Perfil - interna'!AA247+'Perfil - externa'!AA245)</f>
        <v>155989.39278884779</v>
      </c>
      <c r="AB247" s="219">
        <f>IF('Perfil - interna'!AB247+'Perfil - externa'!AB245=0,0,'Perfil - interna'!AB247+'Perfil - externa'!AB245)</f>
        <v>113748.76438940689</v>
      </c>
      <c r="AC247" s="219">
        <f>IF('Perfil - interna'!AC247+'Perfil - externa'!AC245=0,0,'Perfil - interna'!AC247+'Perfil - externa'!AC245)</f>
        <v>1960533.2769030721</v>
      </c>
      <c r="AD247" s="219">
        <f>IF('Perfil - interna'!AD247+'Perfil - externa'!AD245=0,0,'Perfil - interna'!AD247+'Perfil - externa'!AD245)</f>
        <v>85608.162036003108</v>
      </c>
      <c r="AE247" s="219">
        <f>IF('Perfil - interna'!AE247+'Perfil - externa'!AE245=0,0,'Perfil - interna'!AE247+'Perfil - externa'!AE245)</f>
        <v>59569.092232504401</v>
      </c>
      <c r="AF247" s="219">
        <f>IF('Perfil - interna'!AF247+'Perfil - externa'!AF245=0,0,'Perfil - interna'!AF247+'Perfil - externa'!AF245)</f>
        <v>43420.344074928602</v>
      </c>
      <c r="AG247" s="219">
        <f>IF('Perfil - interna'!AG247+'Perfil - externa'!AG245=0,0,'Perfil - interna'!AG247+'Perfil - externa'!AG245)</f>
        <v>32182.549786896598</v>
      </c>
      <c r="AH247" s="219">
        <f>IF('Perfil - interna'!AH247+'Perfil - externa'!AH245=0,0,'Perfil - interna'!AH247+'Perfil - externa'!AH245)</f>
        <v>6574.3410952492004</v>
      </c>
      <c r="AI247" s="219">
        <f>IF('Perfil - interna'!AI247+'Perfil - externa'!AI245=0,0,'Perfil - interna'!AI247+'Perfil - externa'!AI245)</f>
        <v>695492.79118524923</v>
      </c>
      <c r="AJ247" s="219">
        <f>IF('Perfil - interna'!AJ247+'Perfil - externa'!AJ245=0,0,'Perfil - interna'!AJ247+'Perfil - externa'!AJ245)</f>
        <v>6574.3410952492004</v>
      </c>
      <c r="AK247" s="219">
        <f>IF('Perfil - interna'!AK247+'Perfil - externa'!AK245=0,0,'Perfil - interna'!AK247+'Perfil - externa'!AK245)</f>
        <v>6574.3410952492004</v>
      </c>
      <c r="AL247" s="219">
        <f>IF('Perfil - interna'!AL247+'Perfil - externa'!AL245=0,0,'Perfil - interna'!AL247+'Perfil - externa'!AL245)</f>
        <v>6487.4902625818995</v>
      </c>
      <c r="AM247" s="219">
        <f>IF('Perfil - interna'!AM247+'Perfil - externa'!AM245=0,0,'Perfil - interna'!AM247+'Perfil - externa'!AM245)</f>
        <v>2977252.8354299148</v>
      </c>
      <c r="AN247" s="219">
        <f>IF('Perfil - interna'!AN247+'Perfil - externa'!AN245=0,0,'Perfil - interna'!AN247+'Perfil - externa'!AN245)</f>
        <v>0</v>
      </c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</row>
    <row r="248" spans="1:63">
      <c r="A248" s="170">
        <v>39355</v>
      </c>
      <c r="B248" s="220" t="str">
        <f>Servicio_internaColumna_título_intereses</f>
        <v>Intereses</v>
      </c>
      <c r="C248" s="221"/>
      <c r="D248" s="222"/>
      <c r="E248" s="222"/>
      <c r="F248" s="222">
        <f>IF('Perfil - interna'!F248+'Perfil - externa'!F246=0,0,'Perfil - interna'!F248+'Perfil - externa'!F246)</f>
        <v>0</v>
      </c>
      <c r="G248" s="222">
        <f>IF('Perfil - interna'!G248+'Perfil - externa'!G246=0,0,'Perfil - interna'!G248+'Perfil - externa'!G246)</f>
        <v>0</v>
      </c>
      <c r="H248" s="222">
        <f>IF('Perfil - interna'!H248+'Perfil - externa'!H246=0,0,'Perfil - interna'!H248+'Perfil - externa'!H246)</f>
        <v>0</v>
      </c>
      <c r="I248" s="222">
        <f>IF('Perfil - interna'!I248+'Perfil - externa'!I246=0,0,'Perfil - interna'!I248+'Perfil - externa'!I246)</f>
        <v>2707531.2177696847</v>
      </c>
      <c r="J248" s="222">
        <f>IF('Perfil - interna'!J248+'Perfil - externa'!J246=0,0,'Perfil - interna'!J248+'Perfil - externa'!J246)</f>
        <v>12710689.994922234</v>
      </c>
      <c r="K248" s="222">
        <f>IF('Perfil - interna'!K248+'Perfil - externa'!K246=0,0,'Perfil - interna'!K248+'Perfil - externa'!K246)</f>
        <v>10501882.537898108</v>
      </c>
      <c r="L248" s="222">
        <f>IF('Perfil - interna'!L248+'Perfil - externa'!L246=0,0,'Perfil - interna'!L248+'Perfil - externa'!L246)</f>
        <v>8958349.4705378376</v>
      </c>
      <c r="M248" s="222">
        <f>IF('Perfil - interna'!M248+'Perfil - externa'!M246=0,0,'Perfil - interna'!M248+'Perfil - externa'!M246)</f>
        <v>6992455.3721266901</v>
      </c>
      <c r="N248" s="222">
        <f>IF('Perfil - interna'!N248+'Perfil - externa'!N246=0,0,'Perfil - interna'!N248+'Perfil - externa'!N246)</f>
        <v>6303010.4273875169</v>
      </c>
      <c r="O248" s="222">
        <f>IF('Perfil - interna'!O248+'Perfil - externa'!O246=0,0,'Perfil - interna'!O248+'Perfil - externa'!O246)</f>
        <v>5271707.2657541949</v>
      </c>
      <c r="P248" s="222">
        <f>IF('Perfil - interna'!P248+'Perfil - externa'!P246=0,0,'Perfil - interna'!P248+'Perfil - externa'!P246)</f>
        <v>4871534.1068307692</v>
      </c>
      <c r="Q248" s="222">
        <f>IF('Perfil - interna'!Q248+'Perfil - externa'!Q246=0,0,'Perfil - interna'!Q248+'Perfil - externa'!Q246)</f>
        <v>3780729.8246488255</v>
      </c>
      <c r="R248" s="222">
        <f>IF('Perfil - interna'!R248+'Perfil - externa'!R246=0,0,'Perfil - interna'!R248+'Perfil - externa'!R246)</f>
        <v>2363157.6850534445</v>
      </c>
      <c r="S248" s="222">
        <f>IF('Perfil - interna'!S248+'Perfil - externa'!S246=0,0,'Perfil - interna'!S248+'Perfil - externa'!S246)</f>
        <v>2175484.4986729259</v>
      </c>
      <c r="T248" s="222">
        <f>IF('Perfil - interna'!T248+'Perfil - externa'!T246=0,0,'Perfil - interna'!T248+'Perfil - externa'!T246)</f>
        <v>2019837.1728198039</v>
      </c>
      <c r="U248" s="222">
        <f>IF('Perfil - interna'!U248+'Perfil - externa'!U246=0,0,'Perfil - interna'!U248+'Perfil - externa'!U246)</f>
        <v>1955846.8463634243</v>
      </c>
      <c r="V248" s="222">
        <f>IF('Perfil - interna'!V248+'Perfil - externa'!V246=0,0,'Perfil - interna'!V248+'Perfil - externa'!V246)</f>
        <v>1815589.4346936841</v>
      </c>
      <c r="W248" s="222">
        <f>IF('Perfil - interna'!W248+'Perfil - externa'!W246=0,0,'Perfil - interna'!W248+'Perfil - externa'!W246)</f>
        <v>869195.36975417868</v>
      </c>
      <c r="X248" s="222">
        <f>IF('Perfil - interna'!X248+'Perfil - externa'!X246=0,0,'Perfil - interna'!X248+'Perfil - externa'!X246)</f>
        <v>839662.01305181137</v>
      </c>
      <c r="Y248" s="222">
        <f>IF('Perfil - interna'!Y248+'Perfil - externa'!Y246=0,0,'Perfil - interna'!Y248+'Perfil - externa'!Y246)</f>
        <v>819053.86846776213</v>
      </c>
      <c r="Z248" s="222">
        <f>IF('Perfil - interna'!Z248+'Perfil - externa'!Z246=0,0,'Perfil - interna'!Z248+'Perfil - externa'!Z246)</f>
        <v>597190.82412494323</v>
      </c>
      <c r="AA248" s="222">
        <f>IF('Perfil - interna'!AA248+'Perfil - externa'!AA246=0,0,'Perfil - interna'!AA248+'Perfil - externa'!AA246)</f>
        <v>499612.37793097802</v>
      </c>
      <c r="AB248" s="222">
        <f>IF('Perfil - interna'!AB248+'Perfil - externa'!AB246=0,0,'Perfil - interna'!AB248+'Perfil - externa'!AB246)</f>
        <v>491897.99632077909</v>
      </c>
      <c r="AC248" s="222">
        <f>IF('Perfil - interna'!AC248+'Perfil - externa'!AC246=0,0,'Perfil - interna'!AC248+'Perfil - externa'!AC246)</f>
        <v>473661.00467379851</v>
      </c>
      <c r="AD248" s="222">
        <f>IF('Perfil - interna'!AD248+'Perfil - externa'!AD246=0,0,'Perfil - interna'!AD248+'Perfil - externa'!AD246)</f>
        <v>300564.65628068883</v>
      </c>
      <c r="AE248" s="222">
        <f>IF('Perfil - interna'!AE248+'Perfil - externa'!AE246=0,0,'Perfil - interna'!AE248+'Perfil - externa'!AE246)</f>
        <v>296106.93656497326</v>
      </c>
      <c r="AF248" s="222">
        <f>IF('Perfil - interna'!AF248+'Perfil - externa'!AF246=0,0,'Perfil - interna'!AF248+'Perfil - externa'!AF246)</f>
        <v>293408.93636501458</v>
      </c>
      <c r="AG248" s="222">
        <f>IF('Perfil - interna'!AG248+'Perfil - externa'!AG246=0,0,'Perfil - interna'!AG248+'Perfil - externa'!AG246)</f>
        <v>291635.46124114346</v>
      </c>
      <c r="AH248" s="222">
        <f>IF('Perfil - interna'!AH248+'Perfil - externa'!AH246=0,0,'Perfil - interna'!AH248+'Perfil - externa'!AH246)</f>
        <v>290587.33904285409</v>
      </c>
      <c r="AI248" s="222">
        <f>IF('Perfil - interna'!AI248+'Perfil - externa'!AI246=0,0,'Perfil - interna'!AI248+'Perfil - externa'!AI246)</f>
        <v>254848.3591289194</v>
      </c>
      <c r="AJ248" s="222">
        <f>IF('Perfil - interna'!AJ248+'Perfil - externa'!AJ246=0,0,'Perfil - interna'!AJ248+'Perfil - externa'!AJ246)</f>
        <v>219106.35889579324</v>
      </c>
      <c r="AK248" s="222">
        <f>IF('Perfil - interna'!AK248+'Perfil - externa'!AK246=0,0,'Perfil - interna'!AK248+'Perfil - externa'!AK246)</f>
        <v>219105.03801573793</v>
      </c>
      <c r="AL248" s="222">
        <f>IF('Perfil - interna'!AL248+'Perfil - externa'!AL246=0,0,'Perfil - interna'!AL248+'Perfil - externa'!AL246)</f>
        <v>219103.71717614643</v>
      </c>
      <c r="AM248" s="222">
        <f>IF('Perfil - interna'!AM248+'Perfil - externa'!AM246=0,0,'Perfil - interna'!AM248+'Perfil - externa'!AM246)</f>
        <v>219100.34945500002</v>
      </c>
      <c r="AN248" s="222">
        <f>IF('Perfil - interna'!AN248+'Perfil - externa'!AN246=0,0,'Perfil - interna'!AN248+'Perfil - externa'!AN246)</f>
        <v>0</v>
      </c>
      <c r="AO248" s="222"/>
      <c r="AP248" s="222"/>
      <c r="AQ248" s="222"/>
      <c r="AR248" s="222"/>
      <c r="AS248" s="222"/>
      <c r="AT248" s="222"/>
      <c r="AU248" s="222"/>
      <c r="AV248" s="222"/>
      <c r="AW248" s="222"/>
      <c r="AX248" s="222"/>
      <c r="AY248" s="222"/>
      <c r="AZ248" s="222"/>
      <c r="BA248" s="222"/>
      <c r="BB248" s="222"/>
      <c r="BC248" s="222"/>
      <c r="BD248" s="222"/>
      <c r="BE248" s="222"/>
      <c r="BF248" s="222"/>
      <c r="BG248" s="222"/>
      <c r="BH248" s="222"/>
      <c r="BI248" s="222"/>
      <c r="BJ248" s="222"/>
      <c r="BK248" s="222"/>
    </row>
    <row r="249" spans="1:63">
      <c r="A249" s="171"/>
      <c r="B249" s="318" t="str">
        <f>Servicio_internaColumna_título_total</f>
        <v>Total</v>
      </c>
      <c r="C249" s="319"/>
      <c r="D249" s="320"/>
      <c r="E249" s="320"/>
      <c r="F249" s="320">
        <f>IF('Perfil - interna'!F249+'Perfil - externa'!F247=0,0,'Perfil - interna'!F249+'Perfil - externa'!F247)</f>
        <v>0</v>
      </c>
      <c r="G249" s="320">
        <f>IF('Perfil - interna'!G249+'Perfil - externa'!G247=0,0,'Perfil - interna'!G249+'Perfil - externa'!G247)</f>
        <v>0</v>
      </c>
      <c r="H249" s="320">
        <f>IF('Perfil - interna'!H249+'Perfil - externa'!H247=0,0,'Perfil - interna'!H249+'Perfil - externa'!H247)</f>
        <v>0</v>
      </c>
      <c r="I249" s="320">
        <f>IF('Perfil - interna'!I249+'Perfil - externa'!I247=0,0,'Perfil - interna'!I249+'Perfil - externa'!I247)</f>
        <v>10423504.952386878</v>
      </c>
      <c r="J249" s="320">
        <f>IF('Perfil - interna'!J249+'Perfil - externa'!J247=0,0,'Perfil - interna'!J249+'Perfil - externa'!J247)</f>
        <v>35284413.55253046</v>
      </c>
      <c r="K249" s="320">
        <f>IF('Perfil - interna'!K249+'Perfil - externa'!K247=0,0,'Perfil - interna'!K249+'Perfil - externa'!K247)</f>
        <v>26530468.868904877</v>
      </c>
      <c r="L249" s="320">
        <f>IF('Perfil - interna'!L249+'Perfil - externa'!L247=0,0,'Perfil - interna'!L249+'Perfil - externa'!L247)</f>
        <v>32079897.95571968</v>
      </c>
      <c r="M249" s="320">
        <f>IF('Perfil - interna'!M249+'Perfil - externa'!M247=0,0,'Perfil - interna'!M249+'Perfil - externa'!M247)</f>
        <v>13972751.550701967</v>
      </c>
      <c r="N249" s="320">
        <f>IF('Perfil - interna'!N249+'Perfil - externa'!N247=0,0,'Perfil - interna'!N249+'Perfil - externa'!N247)</f>
        <v>16954616.03044913</v>
      </c>
      <c r="O249" s="320">
        <f>IF('Perfil - interna'!O249+'Perfil - externa'!O247=0,0,'Perfil - interna'!O249+'Perfil - externa'!O247)</f>
        <v>11152521.846225481</v>
      </c>
      <c r="P249" s="320">
        <f>IF('Perfil - interna'!P249+'Perfil - externa'!P247=0,0,'Perfil - interna'!P249+'Perfil - externa'!P247)</f>
        <v>15765216.102320509</v>
      </c>
      <c r="Q249" s="320">
        <f>IF('Perfil - interna'!Q249+'Perfil - externa'!Q247=0,0,'Perfil - interna'!Q249+'Perfil - externa'!Q247)</f>
        <v>20106972.273029421</v>
      </c>
      <c r="R249" s="320">
        <f>IF('Perfil - interna'!R249+'Perfil - externa'!R247=0,0,'Perfil - interna'!R249+'Perfil - externa'!R247)</f>
        <v>4435687.0115331253</v>
      </c>
      <c r="S249" s="320">
        <f>IF('Perfil - interna'!S249+'Perfil - externa'!S247=0,0,'Perfil - interna'!S249+'Perfil - externa'!S247)</f>
        <v>5620039.526129364</v>
      </c>
      <c r="T249" s="320">
        <f>IF('Perfil - interna'!T249+'Perfil - externa'!T247=0,0,'Perfil - interna'!T249+'Perfil - externa'!T247)</f>
        <v>3202446.849408803</v>
      </c>
      <c r="U249" s="320">
        <f>IF('Perfil - interna'!U249+'Perfil - externa'!U247=0,0,'Perfil - interna'!U249+'Perfil - externa'!U247)</f>
        <v>2915193.5327251758</v>
      </c>
      <c r="V249" s="320">
        <f>IF('Perfil - interna'!V249+'Perfil - externa'!V247=0,0,'Perfil - interna'!V249+'Perfil - externa'!V247)</f>
        <v>11514722.606811214</v>
      </c>
      <c r="W249" s="320">
        <f>IF('Perfil - interna'!W249+'Perfil - externa'!W247=0,0,'Perfil - interna'!W249+'Perfil - externa'!W247)</f>
        <v>1456151.5434229814</v>
      </c>
      <c r="X249" s="320">
        <f>IF('Perfil - interna'!X249+'Perfil - externa'!X247=0,0,'Perfil - interna'!X249+'Perfil - externa'!X247)</f>
        <v>1271149.3625396371</v>
      </c>
      <c r="Y249" s="320">
        <f>IF('Perfil - interna'!Y249+'Perfil - externa'!Y247=0,0,'Perfil - interna'!Y249+'Perfil - externa'!Y247)</f>
        <v>2777797.2834209651</v>
      </c>
      <c r="Z249" s="320">
        <f>IF('Perfil - interna'!Z249+'Perfil - externa'!Z247=0,0,'Perfil - interna'!Z249+'Perfil - externa'!Z247)</f>
        <v>2940313.6581574557</v>
      </c>
      <c r="AA249" s="320">
        <f>IF('Perfil - interna'!AA249+'Perfil - externa'!AA247=0,0,'Perfil - interna'!AA249+'Perfil - externa'!AA247)</f>
        <v>655601.77071982576</v>
      </c>
      <c r="AB249" s="320">
        <f>IF('Perfil - interna'!AB249+'Perfil - externa'!AB247=0,0,'Perfil - interna'!AB249+'Perfil - externa'!AB247)</f>
        <v>605646.76071018598</v>
      </c>
      <c r="AC249" s="320">
        <f>IF('Perfil - interna'!AC249+'Perfil - externa'!AC247=0,0,'Perfil - interna'!AC249+'Perfil - externa'!AC247)</f>
        <v>2434194.2815768705</v>
      </c>
      <c r="AD249" s="320">
        <f>IF('Perfil - interna'!AD249+'Perfil - externa'!AD247=0,0,'Perfil - interna'!AD249+'Perfil - externa'!AD247)</f>
        <v>386172.8183166919</v>
      </c>
      <c r="AE249" s="320">
        <f>IF('Perfil - interna'!AE249+'Perfil - externa'!AE247=0,0,'Perfil - interna'!AE249+'Perfil - externa'!AE247)</f>
        <v>355676.02879747766</v>
      </c>
      <c r="AF249" s="320">
        <f>IF('Perfil - interna'!AF249+'Perfil - externa'!AF247=0,0,'Perfil - interna'!AF249+'Perfil - externa'!AF247)</f>
        <v>336829.28043994319</v>
      </c>
      <c r="AG249" s="320">
        <f>IF('Perfil - interna'!AG249+'Perfil - externa'!AG247=0,0,'Perfil - interna'!AG249+'Perfil - externa'!AG247)</f>
        <v>323818.01102804008</v>
      </c>
      <c r="AH249" s="320">
        <f>IF('Perfil - interna'!AH249+'Perfil - externa'!AH247=0,0,'Perfil - interna'!AH249+'Perfil - externa'!AH247)</f>
        <v>297161.68013810331</v>
      </c>
      <c r="AI249" s="320">
        <f>IF('Perfil - interna'!AI249+'Perfil - externa'!AI247=0,0,'Perfil - interna'!AI249+'Perfil - externa'!AI247)</f>
        <v>950341.15031416866</v>
      </c>
      <c r="AJ249" s="320">
        <f>IF('Perfil - interna'!AJ249+'Perfil - externa'!AJ247=0,0,'Perfil - interna'!AJ249+'Perfil - externa'!AJ247)</f>
        <v>225680.69999104243</v>
      </c>
      <c r="AK249" s="320">
        <f>IF('Perfil - interna'!AK249+'Perfil - externa'!AK247=0,0,'Perfil - interna'!AK249+'Perfil - externa'!AK247)</f>
        <v>225679.37911098712</v>
      </c>
      <c r="AL249" s="320">
        <f>IF('Perfil - interna'!AL249+'Perfil - externa'!AL247=0,0,'Perfil - interna'!AL249+'Perfil - externa'!AL247)</f>
        <v>225591.20743872834</v>
      </c>
      <c r="AM249" s="320">
        <f>IF('Perfil - interna'!AM249+'Perfil - externa'!AM247=0,0,'Perfil - interna'!AM249+'Perfil - externa'!AM247)</f>
        <v>3196353.1848849147</v>
      </c>
      <c r="AN249" s="320">
        <f>IF('Perfil - interna'!AN249+'Perfil - externa'!AN247=0,0,'Perfil - interna'!AN249+'Perfil - externa'!AN247)</f>
        <v>0</v>
      </c>
      <c r="AO249" s="320"/>
      <c r="AP249" s="320"/>
      <c r="AQ249" s="320"/>
      <c r="AR249" s="320"/>
      <c r="AS249" s="320"/>
      <c r="AT249" s="320"/>
      <c r="AU249" s="320"/>
      <c r="AV249" s="320"/>
      <c r="AW249" s="320"/>
      <c r="AX249" s="320"/>
      <c r="AY249" s="320"/>
      <c r="AZ249" s="320"/>
      <c r="BA249" s="320"/>
      <c r="BB249" s="320"/>
      <c r="BC249" s="320"/>
      <c r="BD249" s="320"/>
      <c r="BE249" s="320"/>
      <c r="BF249" s="320"/>
      <c r="BG249" s="320"/>
      <c r="BH249" s="320"/>
      <c r="BI249" s="320"/>
      <c r="BJ249" s="320"/>
      <c r="BK249" s="320"/>
    </row>
    <row r="250" spans="1:63">
      <c r="A250" s="167"/>
      <c r="B250" s="217" t="str">
        <f>Servicio_internaColumna_título_amortizaciones</f>
        <v>Amortizaciones</v>
      </c>
      <c r="C250" s="218"/>
      <c r="D250" s="219"/>
      <c r="E250" s="219"/>
      <c r="F250" s="219">
        <f>IF('Perfil - interna'!F250+'Perfil - externa'!F248=0,0,'Perfil - interna'!F250+'Perfil - externa'!F248)</f>
        <v>0</v>
      </c>
      <c r="G250" s="219">
        <f>IF('Perfil - interna'!G250+'Perfil - externa'!G248=0,0,'Perfil - interna'!G250+'Perfil - externa'!G248)</f>
        <v>0</v>
      </c>
      <c r="H250" s="219">
        <f>IF('Perfil - interna'!H250+'Perfil - externa'!H248=0,0,'Perfil - interna'!H250+'Perfil - externa'!H248)</f>
        <v>0</v>
      </c>
      <c r="I250" s="219">
        <f>IF('Perfil - interna'!I250+'Perfil - externa'!I248=0,0,'Perfil - interna'!I250+'Perfil - externa'!I248)</f>
        <v>6723620.6089735785</v>
      </c>
      <c r="J250" s="219">
        <f>IF('Perfil - interna'!J250+'Perfil - externa'!J248=0,0,'Perfil - interna'!J250+'Perfil - externa'!J248)</f>
        <v>23193824.915263694</v>
      </c>
      <c r="K250" s="219">
        <f>IF('Perfil - interna'!K250+'Perfil - externa'!K248=0,0,'Perfil - interna'!K250+'Perfil - externa'!K248)</f>
        <v>16474767.64621558</v>
      </c>
      <c r="L250" s="219">
        <f>IF('Perfil - interna'!L250+'Perfil - externa'!L248=0,0,'Perfil - interna'!L250+'Perfil - externa'!L248)</f>
        <v>23124289.640999101</v>
      </c>
      <c r="M250" s="219">
        <f>IF('Perfil - interna'!M250+'Perfil - externa'!M248=0,0,'Perfil - interna'!M250+'Perfil - externa'!M248)</f>
        <v>6941023.7325976891</v>
      </c>
      <c r="N250" s="219">
        <f>IF('Perfil - interna'!N250+'Perfil - externa'!N248=0,0,'Perfil - interna'!N250+'Perfil - externa'!N248)</f>
        <v>10573020.561680423</v>
      </c>
      <c r="O250" s="219">
        <f>IF('Perfil - interna'!O250+'Perfil - externa'!O248=0,0,'Perfil - interna'!O250+'Perfil - externa'!O248)</f>
        <v>5809416.2932277732</v>
      </c>
      <c r="P250" s="219">
        <f>IF('Perfil - interna'!P250+'Perfil - externa'!P248=0,0,'Perfil - interna'!P250+'Perfil - externa'!P248)</f>
        <v>10839567.522786953</v>
      </c>
      <c r="Q250" s="219">
        <f>IF('Perfil - interna'!Q250+'Perfil - externa'!Q248=0,0,'Perfil - interna'!Q250+'Perfil - externa'!Q248)</f>
        <v>16468634.504222877</v>
      </c>
      <c r="R250" s="219">
        <f>IF('Perfil - interna'!R250+'Perfil - externa'!R248=0,0,'Perfil - interna'!R250+'Perfil - externa'!R248)</f>
        <v>2056725.4804801338</v>
      </c>
      <c r="S250" s="219">
        <f>IF('Perfil - interna'!S250+'Perfil - externa'!S248=0,0,'Perfil - interna'!S250+'Perfil - externa'!S248)</f>
        <v>3406133.8215742745</v>
      </c>
      <c r="T250" s="219">
        <f>IF('Perfil - interna'!T250+'Perfil - externa'!T248=0,0,'Perfil - interna'!T250+'Perfil - externa'!T248)</f>
        <v>1166914.5278604769</v>
      </c>
      <c r="U250" s="219">
        <f>IF('Perfil - interna'!U250+'Perfil - externa'!U248=0,0,'Perfil - interna'!U250+'Perfil - externa'!U248)</f>
        <v>945582.19345142634</v>
      </c>
      <c r="V250" s="219">
        <f>IF('Perfil - interna'!V250+'Perfil - externa'!V248=0,0,'Perfil - interna'!V250+'Perfil - externa'!V248)</f>
        <v>9670001.6328245141</v>
      </c>
      <c r="W250" s="219">
        <f>IF('Perfil - interna'!W250+'Perfil - externa'!W248=0,0,'Perfil - interna'!W250+'Perfil - externa'!W248)</f>
        <v>577562.36440439522</v>
      </c>
      <c r="X250" s="219">
        <f>IF('Perfil - interna'!X250+'Perfil - externa'!X248=0,0,'Perfil - interna'!X250+'Perfil - externa'!X248)</f>
        <v>423886.69650295441</v>
      </c>
      <c r="Y250" s="219">
        <f>IF('Perfil - interna'!Y250+'Perfil - externa'!Y248=0,0,'Perfil - interna'!Y250+'Perfil - externa'!Y248)</f>
        <v>1951001.805444919</v>
      </c>
      <c r="Z250" s="219">
        <f>IF('Perfil - interna'!Z250+'Perfil - externa'!Z248=0,0,'Perfil - interna'!Z250+'Perfil - externa'!Z248)</f>
        <v>2313075.1374656283</v>
      </c>
      <c r="AA250" s="219">
        <f>IF('Perfil - interna'!AA250+'Perfil - externa'!AA248=0,0,'Perfil - interna'!AA250+'Perfil - externa'!AA248)</f>
        <v>151616.20985120159</v>
      </c>
      <c r="AB250" s="219">
        <f>IF('Perfil - interna'!AB250+'Perfil - externa'!AB248=0,0,'Perfil - interna'!AB250+'Perfil - externa'!AB248)</f>
        <v>111204.3991273776</v>
      </c>
      <c r="AC250" s="219">
        <f>IF('Perfil - interna'!AC250+'Perfil - externa'!AC248=0,0,'Perfil - interna'!AC250+'Perfil - externa'!AC248)</f>
        <v>2048979.9320540063</v>
      </c>
      <c r="AD250" s="219">
        <f>IF('Perfil - interna'!AD250+'Perfil - externa'!AD248=0,0,'Perfil - interna'!AD250+'Perfil - externa'!AD248)</f>
        <v>84605.891295477602</v>
      </c>
      <c r="AE250" s="219">
        <f>IF('Perfil - interna'!AE250+'Perfil - externa'!AE248=0,0,'Perfil - interna'!AE250+'Perfil - externa'!AE248)</f>
        <v>58872.491205566403</v>
      </c>
      <c r="AF250" s="219">
        <f>IF('Perfil - interna'!AF250+'Perfil - externa'!AF248=0,0,'Perfil - interna'!AF250+'Perfil - externa'!AF248)</f>
        <v>42913.311387465597</v>
      </c>
      <c r="AG250" s="219">
        <f>IF('Perfil - interna'!AG250+'Perfil - externa'!AG248=0,0,'Perfil - interna'!AG250+'Perfil - externa'!AG248)</f>
        <v>31807.436303433595</v>
      </c>
      <c r="AH250" s="219">
        <f>IF('Perfil - interna'!AH250+'Perfil - externa'!AH248=0,0,'Perfil - interna'!AH250+'Perfil - externa'!AH248)</f>
        <v>6499.8394952111994</v>
      </c>
      <c r="AI250" s="219">
        <f>IF('Perfil - interna'!AI250+'Perfil - externa'!AI248=0,0,'Perfil - interna'!AI250+'Perfil - externa'!AI248)</f>
        <v>687331.15333521122</v>
      </c>
      <c r="AJ250" s="219">
        <f>IF('Perfil - interna'!AJ250+'Perfil - externa'!AJ248=0,0,'Perfil - interna'!AJ250+'Perfil - externa'!AJ248)</f>
        <v>6499.8394952111994</v>
      </c>
      <c r="AK250" s="219">
        <f>IF('Perfil - interna'!AK250+'Perfil - externa'!AK248=0,0,'Perfil - interna'!AK250+'Perfil - externa'!AK248)</f>
        <v>6499.8394952111994</v>
      </c>
      <c r="AL250" s="219">
        <f>IF('Perfil - interna'!AL250+'Perfil - externa'!AL248=0,0,'Perfil - interna'!AL250+'Perfil - externa'!AL248)</f>
        <v>6412.671269150399</v>
      </c>
      <c r="AM250" s="219">
        <f>IF('Perfil - interna'!AM250+'Perfil - externa'!AM248=0,0,'Perfil - interna'!AM250+'Perfil - externa'!AM248)</f>
        <v>2942303.1990430895</v>
      </c>
      <c r="AN250" s="219">
        <f>IF('Perfil - interna'!AN250+'Perfil - externa'!AN248=0,0,'Perfil - interna'!AN250+'Perfil - externa'!AN248)</f>
        <v>0</v>
      </c>
      <c r="AO250" s="219"/>
      <c r="AP250" s="219"/>
      <c r="AQ250" s="219"/>
      <c r="AR250" s="219"/>
      <c r="AS250" s="219"/>
      <c r="AT250" s="219"/>
      <c r="AU250" s="219"/>
      <c r="AV250" s="219"/>
      <c r="AW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J250" s="219"/>
      <c r="BK250" s="219"/>
    </row>
    <row r="251" spans="1:63">
      <c r="A251" s="170">
        <v>39386</v>
      </c>
      <c r="B251" s="220" t="str">
        <f>Servicio_internaColumna_título_intereses</f>
        <v>Intereses</v>
      </c>
      <c r="C251" s="221"/>
      <c r="D251" s="222"/>
      <c r="E251" s="222"/>
      <c r="F251" s="222">
        <f>IF('Perfil - interna'!F251+'Perfil - externa'!F249=0,0,'Perfil - interna'!F251+'Perfil - externa'!F249)</f>
        <v>0</v>
      </c>
      <c r="G251" s="222">
        <f>IF('Perfil - interna'!G251+'Perfil - externa'!G249=0,0,'Perfil - interna'!G251+'Perfil - externa'!G249)</f>
        <v>0</v>
      </c>
      <c r="H251" s="222">
        <f>IF('Perfil - interna'!H251+'Perfil - externa'!H249=0,0,'Perfil - interna'!H251+'Perfil - externa'!H249)</f>
        <v>0</v>
      </c>
      <c r="I251" s="222">
        <f>IF('Perfil - interna'!I251+'Perfil - externa'!I249=0,0,'Perfil - interna'!I251+'Perfil - externa'!I249)</f>
        <v>1855727.5158255382</v>
      </c>
      <c r="J251" s="222">
        <f>IF('Perfil - interna'!J251+'Perfil - externa'!J249=0,0,'Perfil - interna'!J251+'Perfil - externa'!J249)</f>
        <v>12748205.227092754</v>
      </c>
      <c r="K251" s="222">
        <f>IF('Perfil - interna'!K251+'Perfil - externa'!K249=0,0,'Perfil - interna'!K251+'Perfil - externa'!K249)</f>
        <v>10549542.844630476</v>
      </c>
      <c r="L251" s="222">
        <f>IF('Perfil - interna'!L251+'Perfil - externa'!L249=0,0,'Perfil - interna'!L251+'Perfil - externa'!L249)</f>
        <v>8950021.6288806908</v>
      </c>
      <c r="M251" s="222">
        <f>IF('Perfil - interna'!M251+'Perfil - externa'!M249=0,0,'Perfil - interna'!M251+'Perfil - externa'!M249)</f>
        <v>6974140.9884122107</v>
      </c>
      <c r="N251" s="222">
        <f>IF('Perfil - interna'!N251+'Perfil - externa'!N249=0,0,'Perfil - interna'!N251+'Perfil - externa'!N249)</f>
        <v>6291793.9740010044</v>
      </c>
      <c r="O251" s="222">
        <f>IF('Perfil - interna'!O251+'Perfil - externa'!O249=0,0,'Perfil - interna'!O251+'Perfil - externa'!O249)</f>
        <v>5264833.6942949798</v>
      </c>
      <c r="P251" s="222">
        <f>IF('Perfil - interna'!P251+'Perfil - externa'!P249=0,0,'Perfil - interna'!P251+'Perfil - externa'!P249)</f>
        <v>4868222.3478592113</v>
      </c>
      <c r="Q251" s="222">
        <f>IF('Perfil - interna'!Q251+'Perfil - externa'!Q249=0,0,'Perfil - interna'!Q251+'Perfil - externa'!Q249)</f>
        <v>3783914.3542228518</v>
      </c>
      <c r="R251" s="222">
        <f>IF('Perfil - interna'!R251+'Perfil - externa'!R249=0,0,'Perfil - interna'!R251+'Perfil - externa'!R249)</f>
        <v>2357388.5643362328</v>
      </c>
      <c r="S251" s="222">
        <f>IF('Perfil - interna'!S251+'Perfil - externa'!S249=0,0,'Perfil - interna'!S251+'Perfil - externa'!S249)</f>
        <v>2171332.0756250857</v>
      </c>
      <c r="T251" s="222">
        <f>IF('Perfil - interna'!T251+'Perfil - externa'!T249=0,0,'Perfil - interna'!T251+'Perfil - externa'!T249)</f>
        <v>2017346.6392615838</v>
      </c>
      <c r="U251" s="222">
        <f>IF('Perfil - interna'!U251+'Perfil - externa'!U249=0,0,'Perfil - interna'!U251+'Perfil - externa'!U249)</f>
        <v>1954238.6337705255</v>
      </c>
      <c r="V251" s="222">
        <f>IF('Perfil - interna'!V251+'Perfil - externa'!V249=0,0,'Perfil - interna'!V251+'Perfil - externa'!V249)</f>
        <v>1815735.3123998675</v>
      </c>
      <c r="W251" s="222">
        <f>IF('Perfil - interna'!W251+'Perfil - externa'!W249=0,0,'Perfil - interna'!W251+'Perfil - externa'!W249)</f>
        <v>870932.20444063633</v>
      </c>
      <c r="X251" s="222">
        <f>IF('Perfil - interna'!X251+'Perfil - externa'!X249=0,0,'Perfil - interna'!X251+'Perfil - externa'!X249)</f>
        <v>841820.01387560368</v>
      </c>
      <c r="Y251" s="222">
        <f>IF('Perfil - interna'!Y251+'Perfil - externa'!Y249=0,0,'Perfil - interna'!Y251+'Perfil - externa'!Y249)</f>
        <v>821563.60798804055</v>
      </c>
      <c r="Z251" s="222">
        <f>IF('Perfil - interna'!Z251+'Perfil - externa'!Z249=0,0,'Perfil - interna'!Z251+'Perfil - externa'!Z249)</f>
        <v>601022.97335406253</v>
      </c>
      <c r="AA251" s="222">
        <f>IF('Perfil - interna'!AA251+'Perfil - externa'!AA249=0,0,'Perfil - interna'!AA251+'Perfil - externa'!AA249)</f>
        <v>504634.09589875431</v>
      </c>
      <c r="AB251" s="222">
        <f>IF('Perfil - interna'!AB251+'Perfil - externa'!AB249=0,0,'Perfil - interna'!AB251+'Perfil - externa'!AB249)</f>
        <v>497084.23529179918</v>
      </c>
      <c r="AC251" s="222">
        <f>IF('Perfil - interna'!AC251+'Perfil - externa'!AC249=0,0,'Perfil - interna'!AC251+'Perfil - externa'!AC249)</f>
        <v>479079.70937100711</v>
      </c>
      <c r="AD251" s="222">
        <f>IF('Perfil - interna'!AD251+'Perfil - externa'!AD249=0,0,'Perfil - interna'!AD251+'Perfil - externa'!AD249)</f>
        <v>297036.52979747037</v>
      </c>
      <c r="AE251" s="222">
        <f>IF('Perfil - interna'!AE251+'Perfil - externa'!AE249=0,0,'Perfil - interna'!AE251+'Perfil - externa'!AE249)</f>
        <v>292631.11797826079</v>
      </c>
      <c r="AF251" s="222">
        <f>IF('Perfil - interna'!AF251+'Perfil - externa'!AF249=0,0,'Perfil - interna'!AF251+'Perfil - externa'!AF249)</f>
        <v>289964.7689650848</v>
      </c>
      <c r="AG251" s="222">
        <f>IF('Perfil - interna'!AG251+'Perfil - externa'!AG249=0,0,'Perfil - interna'!AG251+'Perfil - externa'!AG249)</f>
        <v>288212.09213204635</v>
      </c>
      <c r="AH251" s="222">
        <f>IF('Perfil - interna'!AH251+'Perfil - externa'!AH249=0,0,'Perfil - interna'!AH251+'Perfil - externa'!AH249)</f>
        <v>287176.2536080656</v>
      </c>
      <c r="AI251" s="222">
        <f>IF('Perfil - interna'!AI251+'Perfil - externa'!AI249=0,0,'Perfil - interna'!AI251+'Perfil - externa'!AI249)</f>
        <v>251856.7890079752</v>
      </c>
      <c r="AJ251" s="222">
        <f>IF('Perfil - interna'!AJ251+'Perfil - externa'!AJ249=0,0,'Perfil - interna'!AJ251+'Perfil - externa'!AJ249)</f>
        <v>216534.33976381921</v>
      </c>
      <c r="AK251" s="222">
        <f>IF('Perfil - interna'!AK251+'Perfil - externa'!AK249=0,0,'Perfil - interna'!AK251+'Perfil - externa'!AK249)</f>
        <v>216533.01407511602</v>
      </c>
      <c r="AL251" s="222">
        <f>IF('Perfil - interna'!AL251+'Perfil - externa'!AL249=0,0,'Perfil - interna'!AL251+'Perfil - externa'!AL249)</f>
        <v>216531.68838641283</v>
      </c>
      <c r="AM251" s="222">
        <f>IF('Perfil - interna'!AM251+'Perfil - externa'!AM249=0,0,'Perfil - interna'!AM251+'Perfil - externa'!AM249)</f>
        <v>216528.35508000001</v>
      </c>
      <c r="AN251" s="222">
        <f>IF('Perfil - interna'!AN251+'Perfil - externa'!AN249=0,0,'Perfil - interna'!AN251+'Perfil - externa'!AN249)</f>
        <v>0</v>
      </c>
      <c r="AO251" s="222"/>
      <c r="AP251" s="222"/>
      <c r="AQ251" s="222"/>
      <c r="AR251" s="222"/>
      <c r="AS251" s="222"/>
      <c r="AT251" s="222"/>
      <c r="AU251" s="222"/>
      <c r="AV251" s="222"/>
      <c r="AW251" s="222"/>
      <c r="AX251" s="222"/>
      <c r="AY251" s="222"/>
      <c r="AZ251" s="222"/>
      <c r="BA251" s="222"/>
      <c r="BB251" s="222"/>
      <c r="BC251" s="222"/>
      <c r="BD251" s="222"/>
      <c r="BE251" s="222"/>
      <c r="BF251" s="222"/>
      <c r="BG251" s="222"/>
      <c r="BH251" s="222"/>
      <c r="BI251" s="222"/>
      <c r="BJ251" s="222"/>
      <c r="BK251" s="222"/>
    </row>
    <row r="252" spans="1:63">
      <c r="A252" s="171"/>
      <c r="B252" s="318" t="str">
        <f>Servicio_internaColumna_título_total</f>
        <v>Total</v>
      </c>
      <c r="C252" s="319"/>
      <c r="D252" s="320"/>
      <c r="E252" s="320"/>
      <c r="F252" s="320">
        <f>IF('Perfil - interna'!F252+'Perfil - externa'!F250=0,0,'Perfil - interna'!F252+'Perfil - externa'!F250)</f>
        <v>0</v>
      </c>
      <c r="G252" s="320">
        <f>IF('Perfil - interna'!G252+'Perfil - externa'!G250=0,0,'Perfil - interna'!G252+'Perfil - externa'!G250)</f>
        <v>0</v>
      </c>
      <c r="H252" s="320">
        <f>IF('Perfil - interna'!H252+'Perfil - externa'!H250=0,0,'Perfil - interna'!H252+'Perfil - externa'!H250)</f>
        <v>0</v>
      </c>
      <c r="I252" s="320">
        <f>IF('Perfil - interna'!I252+'Perfil - externa'!I250=0,0,'Perfil - interna'!I252+'Perfil - externa'!I250)</f>
        <v>8579348.1247991174</v>
      </c>
      <c r="J252" s="320">
        <f>IF('Perfil - interna'!J252+'Perfil - externa'!J250=0,0,'Perfil - interna'!J252+'Perfil - externa'!J250)</f>
        <v>35942030.142356448</v>
      </c>
      <c r="K252" s="320">
        <f>IF('Perfil - interna'!K252+'Perfil - externa'!K250=0,0,'Perfil - interna'!K252+'Perfil - externa'!K250)</f>
        <v>27024310.49084606</v>
      </c>
      <c r="L252" s="320">
        <f>IF('Perfil - interna'!L252+'Perfil - externa'!L250=0,0,'Perfil - interna'!L252+'Perfil - externa'!L250)</f>
        <v>32074311.269879788</v>
      </c>
      <c r="M252" s="320">
        <f>IF('Perfil - interna'!M252+'Perfil - externa'!M250=0,0,'Perfil - interna'!M252+'Perfil - externa'!M250)</f>
        <v>13915164.721009899</v>
      </c>
      <c r="N252" s="320">
        <f>IF('Perfil - interna'!N252+'Perfil - externa'!N250=0,0,'Perfil - interna'!N252+'Perfil - externa'!N250)</f>
        <v>16864814.535681427</v>
      </c>
      <c r="O252" s="320">
        <f>IF('Perfil - interna'!O252+'Perfil - externa'!O250=0,0,'Perfil - interna'!O252+'Perfil - externa'!O250)</f>
        <v>11074249.987522751</v>
      </c>
      <c r="P252" s="320">
        <f>IF('Perfil - interna'!P252+'Perfil - externa'!P250=0,0,'Perfil - interna'!P252+'Perfil - externa'!P250)</f>
        <v>15707789.870646164</v>
      </c>
      <c r="Q252" s="320">
        <f>IF('Perfil - interna'!Q252+'Perfil - externa'!Q250=0,0,'Perfil - interna'!Q252+'Perfil - externa'!Q250)</f>
        <v>20252548.85844573</v>
      </c>
      <c r="R252" s="320">
        <f>IF('Perfil - interna'!R252+'Perfil - externa'!R250=0,0,'Perfil - interna'!R252+'Perfil - externa'!R250)</f>
        <v>4414114.0448163664</v>
      </c>
      <c r="S252" s="320">
        <f>IF('Perfil - interna'!S252+'Perfil - externa'!S250=0,0,'Perfil - interna'!S252+'Perfil - externa'!S250)</f>
        <v>5577465.8971993597</v>
      </c>
      <c r="T252" s="320">
        <f>IF('Perfil - interna'!T252+'Perfil - externa'!T250=0,0,'Perfil - interna'!T252+'Perfil - externa'!T250)</f>
        <v>3184261.1671220609</v>
      </c>
      <c r="U252" s="320">
        <f>IF('Perfil - interna'!U252+'Perfil - externa'!U250=0,0,'Perfil - interna'!U252+'Perfil - externa'!U250)</f>
        <v>2899820.8272219514</v>
      </c>
      <c r="V252" s="320">
        <f>IF('Perfil - interna'!V252+'Perfil - externa'!V250=0,0,'Perfil - interna'!V252+'Perfil - externa'!V250)</f>
        <v>11485736.945224382</v>
      </c>
      <c r="W252" s="320">
        <f>IF('Perfil - interna'!W252+'Perfil - externa'!W250=0,0,'Perfil - interna'!W252+'Perfil - externa'!W250)</f>
        <v>1448494.5688450316</v>
      </c>
      <c r="X252" s="320">
        <f>IF('Perfil - interna'!X252+'Perfil - externa'!X250=0,0,'Perfil - interna'!X252+'Perfil - externa'!X250)</f>
        <v>1265706.7103785579</v>
      </c>
      <c r="Y252" s="320">
        <f>IF('Perfil - interna'!Y252+'Perfil - externa'!Y250=0,0,'Perfil - interna'!Y252+'Perfil - externa'!Y250)</f>
        <v>2772565.4134329595</v>
      </c>
      <c r="Z252" s="320">
        <f>IF('Perfil - interna'!Z252+'Perfil - externa'!Z250=0,0,'Perfil - interna'!Z252+'Perfil - externa'!Z250)</f>
        <v>2914098.1108196909</v>
      </c>
      <c r="AA252" s="320">
        <f>IF('Perfil - interna'!AA252+'Perfil - externa'!AA250=0,0,'Perfil - interna'!AA252+'Perfil - externa'!AA250)</f>
        <v>656250.30574995594</v>
      </c>
      <c r="AB252" s="320">
        <f>IF('Perfil - interna'!AB252+'Perfil - externa'!AB250=0,0,'Perfil - interna'!AB252+'Perfil - externa'!AB250)</f>
        <v>608288.63441917673</v>
      </c>
      <c r="AC252" s="320">
        <f>IF('Perfil - interna'!AC252+'Perfil - externa'!AC250=0,0,'Perfil - interna'!AC252+'Perfil - externa'!AC250)</f>
        <v>2528059.6414250135</v>
      </c>
      <c r="AD252" s="320">
        <f>IF('Perfil - interna'!AD252+'Perfil - externa'!AD250=0,0,'Perfil - interna'!AD252+'Perfil - externa'!AD250)</f>
        <v>381642.42109294794</v>
      </c>
      <c r="AE252" s="320">
        <f>IF('Perfil - interna'!AE252+'Perfil - externa'!AE250=0,0,'Perfil - interna'!AE252+'Perfil - externa'!AE250)</f>
        <v>351503.60918382718</v>
      </c>
      <c r="AF252" s="320">
        <f>IF('Perfil - interna'!AF252+'Perfil - externa'!AF250=0,0,'Perfil - interna'!AF252+'Perfil - externa'!AF250)</f>
        <v>332878.08035255037</v>
      </c>
      <c r="AG252" s="320">
        <f>IF('Perfil - interna'!AG252+'Perfil - externa'!AG250=0,0,'Perfil - interna'!AG252+'Perfil - externa'!AG250)</f>
        <v>320019.52843547997</v>
      </c>
      <c r="AH252" s="320">
        <f>IF('Perfil - interna'!AH252+'Perfil - externa'!AH250=0,0,'Perfil - interna'!AH252+'Perfil - externa'!AH250)</f>
        <v>293676.0931032768</v>
      </c>
      <c r="AI252" s="320">
        <f>IF('Perfil - interna'!AI252+'Perfil - externa'!AI250=0,0,'Perfil - interna'!AI252+'Perfil - externa'!AI250)</f>
        <v>939187.94234318635</v>
      </c>
      <c r="AJ252" s="320">
        <f>IF('Perfil - interna'!AJ252+'Perfil - externa'!AJ250=0,0,'Perfil - interna'!AJ252+'Perfil - externa'!AJ250)</f>
        <v>223034.17925903041</v>
      </c>
      <c r="AK252" s="320">
        <f>IF('Perfil - interna'!AK252+'Perfil - externa'!AK250=0,0,'Perfil - interna'!AK252+'Perfil - externa'!AK250)</f>
        <v>223032.85357032722</v>
      </c>
      <c r="AL252" s="320">
        <f>IF('Perfil - interna'!AL252+'Perfil - externa'!AL250=0,0,'Perfil - interna'!AL252+'Perfil - externa'!AL250)</f>
        <v>222944.35965556322</v>
      </c>
      <c r="AM252" s="320">
        <f>IF('Perfil - interna'!AM252+'Perfil - externa'!AM250=0,0,'Perfil - interna'!AM252+'Perfil - externa'!AM250)</f>
        <v>3158831.5541230896</v>
      </c>
      <c r="AN252" s="320">
        <f>IF('Perfil - interna'!AN252+'Perfil - externa'!AN250=0,0,'Perfil - interna'!AN252+'Perfil - externa'!AN250)</f>
        <v>0</v>
      </c>
      <c r="AO252" s="320"/>
      <c r="AP252" s="320"/>
      <c r="AQ252" s="320"/>
      <c r="AR252" s="320"/>
      <c r="AS252" s="320"/>
      <c r="AT252" s="320"/>
      <c r="AU252" s="320"/>
      <c r="AV252" s="320"/>
      <c r="AW252" s="320"/>
      <c r="AX252" s="320"/>
      <c r="AY252" s="320"/>
      <c r="AZ252" s="320"/>
      <c r="BA252" s="320"/>
      <c r="BB252" s="320"/>
      <c r="BC252" s="320"/>
      <c r="BD252" s="320"/>
      <c r="BE252" s="320"/>
      <c r="BF252" s="320"/>
      <c r="BG252" s="320"/>
      <c r="BH252" s="320"/>
      <c r="BI252" s="320"/>
      <c r="BJ252" s="320"/>
      <c r="BK252" s="320"/>
    </row>
    <row r="253" spans="1:63">
      <c r="A253" s="167"/>
      <c r="B253" s="217" t="str">
        <f>Servicio_internaColumna_título_amortizaciones</f>
        <v>Amortizaciones</v>
      </c>
      <c r="C253" s="218"/>
      <c r="D253" s="219"/>
      <c r="E253" s="219"/>
      <c r="F253" s="219">
        <f>IF('Perfil - interna'!F253+'Perfil - externa'!F251=0,0,'Perfil - interna'!F253+'Perfil - externa'!F251)</f>
        <v>0</v>
      </c>
      <c r="G253" s="219">
        <f>IF('Perfil - interna'!G253+'Perfil - externa'!G251=0,0,'Perfil - interna'!G253+'Perfil - externa'!G251)</f>
        <v>0</v>
      </c>
      <c r="H253" s="219">
        <f>IF('Perfil - interna'!H253+'Perfil - externa'!H251=0,0,'Perfil - interna'!H253+'Perfil - externa'!H251)</f>
        <v>0</v>
      </c>
      <c r="I253" s="219">
        <f>IF('Perfil - interna'!I253+'Perfil - externa'!I251=0,0,'Perfil - interna'!I253+'Perfil - externa'!I251)</f>
        <v>746484.86942448164</v>
      </c>
      <c r="J253" s="219">
        <f>IF('Perfil - interna'!J253+'Perfil - externa'!J251=0,0,'Perfil - interna'!J253+'Perfil - externa'!J251)</f>
        <v>24046629.99061593</v>
      </c>
      <c r="K253" s="219">
        <f>IF('Perfil - interna'!K253+'Perfil - externa'!K251=0,0,'Perfil - interna'!K253+'Perfil - externa'!K251)</f>
        <v>17564347.532613281</v>
      </c>
      <c r="L253" s="219">
        <f>IF('Perfil - interna'!L253+'Perfil - externa'!L251=0,0,'Perfil - interna'!L253+'Perfil - externa'!L251)</f>
        <v>23306056.747960895</v>
      </c>
      <c r="M253" s="219">
        <f>IF('Perfil - interna'!M253+'Perfil - externa'!M251=0,0,'Perfil - interna'!M253+'Perfil - externa'!M251)</f>
        <v>6986428.6851186855</v>
      </c>
      <c r="N253" s="219">
        <f>IF('Perfil - interna'!N253+'Perfil - externa'!N251=0,0,'Perfil - interna'!N253+'Perfil - externa'!N251)</f>
        <v>10657464.202212665</v>
      </c>
      <c r="O253" s="219">
        <f>IF('Perfil - interna'!O253+'Perfil - externa'!O251=0,0,'Perfil - interna'!O253+'Perfil - externa'!O251)</f>
        <v>5886119.1069670925</v>
      </c>
      <c r="P253" s="219">
        <f>IF('Perfil - interna'!P253+'Perfil - externa'!P251=0,0,'Perfil - interna'!P253+'Perfil - externa'!P251)</f>
        <v>10886321.992548868</v>
      </c>
      <c r="Q253" s="219">
        <f>IF('Perfil - interna'!Q253+'Perfil - externa'!Q251=0,0,'Perfil - interna'!Q253+'Perfil - externa'!Q251)</f>
        <v>16976760.560503945</v>
      </c>
      <c r="R253" s="219">
        <f>IF('Perfil - interna'!R253+'Perfil - externa'!R251=0,0,'Perfil - interna'!R253+'Perfil - externa'!R251)</f>
        <v>2129797.3621420907</v>
      </c>
      <c r="S253" s="219">
        <f>IF('Perfil - interna'!S253+'Perfil - externa'!S251=0,0,'Perfil - interna'!S253+'Perfil - externa'!S251)</f>
        <v>3516175.0776753225</v>
      </c>
      <c r="T253" s="219">
        <f>IF('Perfil - interna'!T253+'Perfil - externa'!T251=0,0,'Perfil - interna'!T253+'Perfil - externa'!T251)</f>
        <v>1207383.1725873551</v>
      </c>
      <c r="U253" s="219">
        <f>IF('Perfil - interna'!U253+'Perfil - externa'!U251=0,0,'Perfil - interna'!U253+'Perfil - externa'!U251)</f>
        <v>978853.00951107568</v>
      </c>
      <c r="V253" s="219">
        <f>IF('Perfil - interna'!V253+'Perfil - externa'!V251=0,0,'Perfil - interna'!V253+'Perfil - externa'!V251)</f>
        <v>9742725.8947139867</v>
      </c>
      <c r="W253" s="219">
        <f>IF('Perfil - interna'!W253+'Perfil - externa'!W251=0,0,'Perfil - interna'!W253+'Perfil - externa'!W251)</f>
        <v>599606.52104677237</v>
      </c>
      <c r="X253" s="219">
        <f>IF('Perfil - interna'!X253+'Perfil - externa'!X251=0,0,'Perfil - interna'!X253+'Perfil - externa'!X251)</f>
        <v>441136.20060999243</v>
      </c>
      <c r="Y253" s="219">
        <f>IF('Perfil - interna'!Y253+'Perfil - externa'!Y251=0,0,'Perfil - interna'!Y253+'Perfil - externa'!Y251)</f>
        <v>1968308.2058649603</v>
      </c>
      <c r="Z253" s="219">
        <f>IF('Perfil - interna'!Z253+'Perfil - externa'!Z251=0,0,'Perfil - interna'!Z253+'Perfil - externa'!Z251)</f>
        <v>2387926.1620472418</v>
      </c>
      <c r="AA253" s="219">
        <f>IF('Perfil - interna'!AA253+'Perfil - externa'!AA251=0,0,'Perfil - interna'!AA253+'Perfil - externa'!AA251)</f>
        <v>160545.89354841961</v>
      </c>
      <c r="AB253" s="219">
        <f>IF('Perfil - interna'!AB253+'Perfil - externa'!AB251=0,0,'Perfil - interna'!AB253+'Perfil - externa'!AB251)</f>
        <v>117528.39430812959</v>
      </c>
      <c r="AC253" s="219">
        <f>IF('Perfil - interna'!AC253+'Perfil - externa'!AC251=0,0,'Perfil - interna'!AC253+'Perfil - externa'!AC251)</f>
        <v>2173004.328496987</v>
      </c>
      <c r="AD253" s="219">
        <f>IF('Perfil - interna'!AD253+'Perfil - externa'!AD251=0,0,'Perfil - interna'!AD253+'Perfil - externa'!AD251)</f>
        <v>87968.404404785004</v>
      </c>
      <c r="AE253" s="219">
        <f>IF('Perfil - interna'!AE253+'Perfil - externa'!AE251=0,0,'Perfil - interna'!AE253+'Perfil - externa'!AE251)</f>
        <v>61450.173193418392</v>
      </c>
      <c r="AF253" s="219">
        <f>IF('Perfil - interna'!AF253+'Perfil - externa'!AF251=0,0,'Perfil - interna'!AF253+'Perfil - externa'!AF251)</f>
        <v>45004.261697793991</v>
      </c>
      <c r="AG253" s="219">
        <f>IF('Perfil - interna'!AG253+'Perfil - externa'!AG251=0,0,'Perfil - interna'!AG253+'Perfil - externa'!AG251)</f>
        <v>33559.673642818001</v>
      </c>
      <c r="AH253" s="219">
        <f>IF('Perfil - interna'!AH253+'Perfil - externa'!AH251=0,0,'Perfil - interna'!AH253+'Perfil - externa'!AH251)</f>
        <v>7483.3539367477997</v>
      </c>
      <c r="AI253" s="219">
        <f>IF('Perfil - interna'!AI253+'Perfil - externa'!AI251=0,0,'Perfil - interna'!AI253+'Perfil - externa'!AI251)</f>
        <v>709082.15040211088</v>
      </c>
      <c r="AJ253" s="219">
        <f>IF('Perfil - interna'!AJ253+'Perfil - externa'!AJ251=0,0,'Perfil - interna'!AJ253+'Perfil - externa'!AJ251)</f>
        <v>7486.4757821108005</v>
      </c>
      <c r="AK253" s="219">
        <f>IF('Perfil - interna'!AK253+'Perfil - externa'!AK251=0,0,'Perfil - interna'!AK253+'Perfil - externa'!AK251)</f>
        <v>7486.4757821108005</v>
      </c>
      <c r="AL253" s="219">
        <f>IF('Perfil - interna'!AL253+'Perfil - externa'!AL251=0,0,'Perfil - interna'!AL253+'Perfil - externa'!AL251)</f>
        <v>7395.8016223146005</v>
      </c>
      <c r="AM253" s="219">
        <f>IF('Perfil - interna'!AM253+'Perfil - externa'!AM251=0,0,'Perfil - interna'!AM253+'Perfil - externa'!AM251)</f>
        <v>3032826.223247489</v>
      </c>
      <c r="AN253" s="219">
        <f>IF('Perfil - interna'!AN253+'Perfil - externa'!AN251=0,0,'Perfil - interna'!AN253+'Perfil - externa'!AN251)</f>
        <v>0</v>
      </c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</row>
    <row r="254" spans="1:63">
      <c r="A254" s="170">
        <v>39416</v>
      </c>
      <c r="B254" s="220" t="str">
        <f>Servicio_internaColumna_título_intereses</f>
        <v>Intereses</v>
      </c>
      <c r="C254" s="221"/>
      <c r="D254" s="222"/>
      <c r="E254" s="222"/>
      <c r="F254" s="222">
        <f>IF('Perfil - interna'!F254+'Perfil - externa'!F252=0,0,'Perfil - interna'!F254+'Perfil - externa'!F252)</f>
        <v>0</v>
      </c>
      <c r="G254" s="222">
        <f>IF('Perfil - interna'!G254+'Perfil - externa'!G252=0,0,'Perfil - interna'!G254+'Perfil - externa'!G252)</f>
        <v>0</v>
      </c>
      <c r="H254" s="222">
        <f>IF('Perfil - interna'!H254+'Perfil - externa'!H252=0,0,'Perfil - interna'!H254+'Perfil - externa'!H252)</f>
        <v>0</v>
      </c>
      <c r="I254" s="222">
        <f>IF('Perfil - interna'!I254+'Perfil - externa'!I252=0,0,'Perfil - interna'!I254+'Perfil - externa'!I252)</f>
        <v>541002.35818027682</v>
      </c>
      <c r="J254" s="222">
        <f>IF('Perfil - interna'!J254+'Perfil - externa'!J252=0,0,'Perfil - interna'!J254+'Perfil - externa'!J252)</f>
        <v>12963386.964508248</v>
      </c>
      <c r="K254" s="222">
        <f>IF('Perfil - interna'!K254+'Perfil - externa'!K252=0,0,'Perfil - interna'!K254+'Perfil - externa'!K252)</f>
        <v>10796877.558771595</v>
      </c>
      <c r="L254" s="222">
        <f>IF('Perfil - interna'!L254+'Perfil - externa'!L252=0,0,'Perfil - interna'!L254+'Perfil - externa'!L252)</f>
        <v>9073347.4136024602</v>
      </c>
      <c r="M254" s="222">
        <f>IF('Perfil - interna'!M254+'Perfil - externa'!M252=0,0,'Perfil - interna'!M254+'Perfil - externa'!M252)</f>
        <v>7081204.5260569183</v>
      </c>
      <c r="N254" s="222">
        <f>IF('Perfil - interna'!N254+'Perfil - externa'!N252=0,0,'Perfil - interna'!N254+'Perfil - externa'!N252)</f>
        <v>6394438.8643771047</v>
      </c>
      <c r="O254" s="222">
        <f>IF('Perfil - interna'!O254+'Perfil - externa'!O252=0,0,'Perfil - interna'!O254+'Perfil - externa'!O252)</f>
        <v>5359509.297694779</v>
      </c>
      <c r="P254" s="222">
        <f>IF('Perfil - interna'!P254+'Perfil - externa'!P252=0,0,'Perfil - interna'!P254+'Perfil - externa'!P252)</f>
        <v>4960210.8569310196</v>
      </c>
      <c r="Q254" s="222">
        <f>IF('Perfil - interna'!Q254+'Perfil - externa'!Q252=0,0,'Perfil - interna'!Q254+'Perfil - externa'!Q252)</f>
        <v>3878657.8031240609</v>
      </c>
      <c r="R254" s="222">
        <f>IF('Perfil - interna'!R254+'Perfil - externa'!R252=0,0,'Perfil - interna'!R254+'Perfil - externa'!R252)</f>
        <v>2408886.3736096174</v>
      </c>
      <c r="S254" s="222">
        <f>IF('Perfil - interna'!S254+'Perfil - externa'!S252=0,0,'Perfil - interna'!S254+'Perfil - externa'!S252)</f>
        <v>2217309.1040860526</v>
      </c>
      <c r="T254" s="222">
        <f>IF('Perfil - interna'!T254+'Perfil - externa'!T252=0,0,'Perfil - interna'!T254+'Perfil - externa'!T252)</f>
        <v>2058943.5924892894</v>
      </c>
      <c r="U254" s="222">
        <f>IF('Perfil - interna'!U254+'Perfil - externa'!U252=0,0,'Perfil - interna'!U254+'Perfil - externa'!U252)</f>
        <v>1993940.9208717025</v>
      </c>
      <c r="V254" s="222">
        <f>IF('Perfil - interna'!V254+'Perfil - externa'!V252=0,0,'Perfil - interna'!V254+'Perfil - externa'!V252)</f>
        <v>1851190.2979153791</v>
      </c>
      <c r="W254" s="222">
        <f>IF('Perfil - interna'!W254+'Perfil - externa'!W252=0,0,'Perfil - interna'!W254+'Perfil - externa'!W252)</f>
        <v>902281.46477953938</v>
      </c>
      <c r="X254" s="222">
        <f>IF('Perfil - interna'!X254+'Perfil - externa'!X252=0,0,'Perfil - interna'!X254+'Perfil - externa'!X252)</f>
        <v>872075.43328708468</v>
      </c>
      <c r="Y254" s="222">
        <f>IF('Perfil - interna'!Y254+'Perfil - externa'!Y252=0,0,'Perfil - interna'!Y254+'Perfil - externa'!Y252)</f>
        <v>850994.31151112437</v>
      </c>
      <c r="Z254" s="222">
        <f>IF('Perfil - interna'!Z254+'Perfil - externa'!Z252=0,0,'Perfil - interna'!Z254+'Perfil - externa'!Z252)</f>
        <v>625803.93513895676</v>
      </c>
      <c r="AA254" s="222">
        <f>IF('Perfil - interna'!AA254+'Perfil - externa'!AA252=0,0,'Perfil - interna'!AA254+'Perfil - externa'!AA252)</f>
        <v>526336.41306637379</v>
      </c>
      <c r="AB254" s="222">
        <f>IF('Perfil - interna'!AB254+'Perfil - externa'!AB252=0,0,'Perfil - interna'!AB254+'Perfil - externa'!AB252)</f>
        <v>518432.87669002434</v>
      </c>
      <c r="AC254" s="222">
        <f>IF('Perfil - interna'!AC254+'Perfil - externa'!AC252=0,0,'Perfil - interna'!AC254+'Perfil - externa'!AC252)</f>
        <v>499791.95396526332</v>
      </c>
      <c r="AD254" s="222">
        <f>IF('Perfil - interna'!AD254+'Perfil - externa'!AD252=0,0,'Perfil - interna'!AD254+'Perfil - externa'!AD252)</f>
        <v>306246.60625644919</v>
      </c>
      <c r="AE254" s="222">
        <f>IF('Perfil - interna'!AE254+'Perfil - externa'!AE252=0,0,'Perfil - interna'!AE254+'Perfil - externa'!AE252)</f>
        <v>301692.27984974114</v>
      </c>
      <c r="AF254" s="222">
        <f>IF('Perfil - interna'!AF254+'Perfil - externa'!AF252=0,0,'Perfil - interna'!AF254+'Perfil - externa'!AF252)</f>
        <v>298930.04795464635</v>
      </c>
      <c r="AG254" s="222">
        <f>IF('Perfil - interna'!AG254+'Perfil - externa'!AG252=0,0,'Perfil - interna'!AG254+'Perfil - externa'!AG252)</f>
        <v>297108.52635975956</v>
      </c>
      <c r="AH254" s="222">
        <f>IF('Perfil - interna'!AH254+'Perfil - externa'!AH252=0,0,'Perfil - interna'!AH254+'Perfil - externa'!AH252)</f>
        <v>296025.43073545163</v>
      </c>
      <c r="AI254" s="222">
        <f>IF('Perfil - interna'!AI254+'Perfil - externa'!AI252=0,0,'Perfil - interna'!AI254+'Perfil - externa'!AI252)</f>
        <v>259613.0144084444</v>
      </c>
      <c r="AJ254" s="222">
        <f>IF('Perfil - interna'!AJ254+'Perfil - externa'!AJ252=0,0,'Perfil - interna'!AJ254+'Perfil - externa'!AJ252)</f>
        <v>223197.49133895282</v>
      </c>
      <c r="AK254" s="222">
        <f>IF('Perfil - interna'!AK254+'Perfil - externa'!AK252=0,0,'Perfil - interna'!AK254+'Perfil - externa'!AK252)</f>
        <v>223180.33448946744</v>
      </c>
      <c r="AL254" s="222">
        <f>IF('Perfil - interna'!AL254+'Perfil - externa'!AL252=0,0,'Perfil - interna'!AL254+'Perfil - externa'!AL252)</f>
        <v>223163.17768119043</v>
      </c>
      <c r="AM254" s="222">
        <f>IF('Perfil - interna'!AM254+'Perfil - externa'!AM252=0,0,'Perfil - interna'!AM254+'Perfil - externa'!AM252)</f>
        <v>223143.96164795701</v>
      </c>
      <c r="AN254" s="222">
        <f>IF('Perfil - interna'!AN254+'Perfil - externa'!AN252=0,0,'Perfil - interna'!AN254+'Perfil - externa'!AN252)</f>
        <v>0</v>
      </c>
      <c r="AO254" s="222"/>
      <c r="AP254" s="222"/>
      <c r="AQ254" s="222"/>
      <c r="AR254" s="222"/>
      <c r="AS254" s="222"/>
      <c r="AT254" s="222"/>
      <c r="AU254" s="222"/>
      <c r="AV254" s="222"/>
      <c r="AW254" s="222"/>
      <c r="AX254" s="222"/>
      <c r="AY254" s="222"/>
      <c r="AZ254" s="222"/>
      <c r="BA254" s="222"/>
      <c r="BB254" s="222"/>
      <c r="BC254" s="222"/>
      <c r="BD254" s="222"/>
      <c r="BE254" s="222"/>
      <c r="BF254" s="222"/>
      <c r="BG254" s="222"/>
      <c r="BH254" s="222"/>
      <c r="BI254" s="222"/>
      <c r="BJ254" s="222"/>
      <c r="BK254" s="222"/>
    </row>
    <row r="255" spans="1:63">
      <c r="A255" s="171"/>
      <c r="B255" s="318" t="str">
        <f>Servicio_internaColumna_título_total</f>
        <v>Total</v>
      </c>
      <c r="C255" s="319"/>
      <c r="D255" s="320"/>
      <c r="E255" s="320"/>
      <c r="F255" s="320">
        <f>IF('Perfil - interna'!F255+'Perfil - externa'!F253=0,0,'Perfil - interna'!F255+'Perfil - externa'!F253)</f>
        <v>0</v>
      </c>
      <c r="G255" s="320">
        <f>IF('Perfil - interna'!G255+'Perfil - externa'!G253=0,0,'Perfil - interna'!G255+'Perfil - externa'!G253)</f>
        <v>0</v>
      </c>
      <c r="H255" s="320">
        <f>IF('Perfil - interna'!H255+'Perfil - externa'!H253=0,0,'Perfil - interna'!H255+'Perfil - externa'!H253)</f>
        <v>0</v>
      </c>
      <c r="I255" s="320">
        <f>IF('Perfil - interna'!I255+'Perfil - externa'!I253=0,0,'Perfil - interna'!I255+'Perfil - externa'!I253)</f>
        <v>1287487.2276047585</v>
      </c>
      <c r="J255" s="320">
        <f>IF('Perfil - interna'!J255+'Perfil - externa'!J253=0,0,'Perfil - interna'!J255+'Perfil - externa'!J253)</f>
        <v>37010016.955124177</v>
      </c>
      <c r="K255" s="320">
        <f>IF('Perfil - interna'!K255+'Perfil - externa'!K253=0,0,'Perfil - interna'!K255+'Perfil - externa'!K253)</f>
        <v>28361225.091384877</v>
      </c>
      <c r="L255" s="320">
        <f>IF('Perfil - interna'!L255+'Perfil - externa'!L253=0,0,'Perfil - interna'!L255+'Perfil - externa'!L253)</f>
        <v>32379404.161563359</v>
      </c>
      <c r="M255" s="320">
        <f>IF('Perfil - interna'!M255+'Perfil - externa'!M253=0,0,'Perfil - interna'!M255+'Perfil - externa'!M253)</f>
        <v>14067633.211175604</v>
      </c>
      <c r="N255" s="320">
        <f>IF('Perfil - interna'!N255+'Perfil - externa'!N253=0,0,'Perfil - interna'!N255+'Perfil - externa'!N253)</f>
        <v>17051903.066589769</v>
      </c>
      <c r="O255" s="320">
        <f>IF('Perfil - interna'!O255+'Perfil - externa'!O253=0,0,'Perfil - interna'!O255+'Perfil - externa'!O253)</f>
        <v>11245628.404661871</v>
      </c>
      <c r="P255" s="320">
        <f>IF('Perfil - interna'!P255+'Perfil - externa'!P253=0,0,'Perfil - interna'!P255+'Perfil - externa'!P253)</f>
        <v>15846532.849479888</v>
      </c>
      <c r="Q255" s="320">
        <f>IF('Perfil - interna'!Q255+'Perfil - externa'!Q253=0,0,'Perfil - interna'!Q255+'Perfil - externa'!Q253)</f>
        <v>20855418.363628007</v>
      </c>
      <c r="R255" s="320">
        <f>IF('Perfil - interna'!R255+'Perfil - externa'!R253=0,0,'Perfil - interna'!R255+'Perfil - externa'!R253)</f>
        <v>4538683.7357517071</v>
      </c>
      <c r="S255" s="320">
        <f>IF('Perfil - interna'!S255+'Perfil - externa'!S253=0,0,'Perfil - interna'!S255+'Perfil - externa'!S253)</f>
        <v>5733484.1817613747</v>
      </c>
      <c r="T255" s="320">
        <f>IF('Perfil - interna'!T255+'Perfil - externa'!T253=0,0,'Perfil - interna'!T255+'Perfil - externa'!T253)</f>
        <v>3266326.7650766447</v>
      </c>
      <c r="U255" s="320">
        <f>IF('Perfil - interna'!U255+'Perfil - externa'!U253=0,0,'Perfil - interna'!U255+'Perfil - externa'!U253)</f>
        <v>2972793.9303827784</v>
      </c>
      <c r="V255" s="320">
        <f>IF('Perfil - interna'!V255+'Perfil - externa'!V253=0,0,'Perfil - interna'!V255+'Perfil - externa'!V253)</f>
        <v>11593916.192629365</v>
      </c>
      <c r="W255" s="320">
        <f>IF('Perfil - interna'!W255+'Perfil - externa'!W253=0,0,'Perfil - interna'!W255+'Perfil - externa'!W253)</f>
        <v>1501887.9858263119</v>
      </c>
      <c r="X255" s="320">
        <f>IF('Perfil - interna'!X255+'Perfil - externa'!X253=0,0,'Perfil - interna'!X255+'Perfil - externa'!X253)</f>
        <v>1313211.6338970771</v>
      </c>
      <c r="Y255" s="320">
        <f>IF('Perfil - interna'!Y255+'Perfil - externa'!Y253=0,0,'Perfil - interna'!Y255+'Perfil - externa'!Y253)</f>
        <v>2819302.5173760848</v>
      </c>
      <c r="Z255" s="320">
        <f>IF('Perfil - interna'!Z255+'Perfil - externa'!Z253=0,0,'Perfil - interna'!Z255+'Perfil - externa'!Z253)</f>
        <v>3013730.0971861985</v>
      </c>
      <c r="AA255" s="320">
        <f>IF('Perfil - interna'!AA255+'Perfil - externa'!AA253=0,0,'Perfil - interna'!AA255+'Perfil - externa'!AA253)</f>
        <v>686882.30661479337</v>
      </c>
      <c r="AB255" s="320">
        <f>IF('Perfil - interna'!AB255+'Perfil - externa'!AB253=0,0,'Perfil - interna'!AB255+'Perfil - externa'!AB253)</f>
        <v>635961.27099815395</v>
      </c>
      <c r="AC255" s="320">
        <f>IF('Perfil - interna'!AC255+'Perfil - externa'!AC253=0,0,'Perfil - interna'!AC255+'Perfil - externa'!AC253)</f>
        <v>2672796.2824622504</v>
      </c>
      <c r="AD255" s="320">
        <f>IF('Perfil - interna'!AD255+'Perfil - externa'!AD253=0,0,'Perfil - interna'!AD255+'Perfil - externa'!AD253)</f>
        <v>394215.01066123421</v>
      </c>
      <c r="AE255" s="320">
        <f>IF('Perfil - interna'!AE255+'Perfil - externa'!AE253=0,0,'Perfil - interna'!AE255+'Perfil - externa'!AE253)</f>
        <v>363142.45304315956</v>
      </c>
      <c r="AF255" s="320">
        <f>IF('Perfil - interna'!AF255+'Perfil - externa'!AF253=0,0,'Perfil - interna'!AF255+'Perfil - externa'!AF253)</f>
        <v>343934.30965244037</v>
      </c>
      <c r="AG255" s="320">
        <f>IF('Perfil - interna'!AG255+'Perfil - externa'!AG253=0,0,'Perfil - interna'!AG255+'Perfil - externa'!AG253)</f>
        <v>330668.20000257756</v>
      </c>
      <c r="AH255" s="320">
        <f>IF('Perfil - interna'!AH255+'Perfil - externa'!AH253=0,0,'Perfil - interna'!AH255+'Perfil - externa'!AH253)</f>
        <v>303508.78467219946</v>
      </c>
      <c r="AI255" s="320">
        <f>IF('Perfil - interna'!AI255+'Perfil - externa'!AI253=0,0,'Perfil - interna'!AI255+'Perfil - externa'!AI253)</f>
        <v>968695.16481055529</v>
      </c>
      <c r="AJ255" s="320">
        <f>IF('Perfil - interna'!AJ255+'Perfil - externa'!AJ253=0,0,'Perfil - interna'!AJ255+'Perfil - externa'!AJ253)</f>
        <v>230683.96712106362</v>
      </c>
      <c r="AK255" s="320">
        <f>IF('Perfil - interna'!AK255+'Perfil - externa'!AK253=0,0,'Perfil - interna'!AK255+'Perfil - externa'!AK253)</f>
        <v>230666.81027157823</v>
      </c>
      <c r="AL255" s="320">
        <f>IF('Perfil - interna'!AL255+'Perfil - externa'!AL253=0,0,'Perfil - interna'!AL255+'Perfil - externa'!AL253)</f>
        <v>230558.97930350504</v>
      </c>
      <c r="AM255" s="320">
        <f>IF('Perfil - interna'!AM255+'Perfil - externa'!AM253=0,0,'Perfil - interna'!AM255+'Perfil - externa'!AM253)</f>
        <v>3255970.1848954461</v>
      </c>
      <c r="AN255" s="320">
        <f>IF('Perfil - interna'!AN255+'Perfil - externa'!AN253=0,0,'Perfil - interna'!AN255+'Perfil - externa'!AN253)</f>
        <v>0</v>
      </c>
      <c r="AO255" s="320"/>
      <c r="AP255" s="320"/>
      <c r="AQ255" s="320"/>
      <c r="AR255" s="320"/>
      <c r="AS255" s="320"/>
      <c r="AT255" s="320"/>
      <c r="AU255" s="320"/>
      <c r="AV255" s="320"/>
      <c r="AW255" s="320"/>
      <c r="AX255" s="320"/>
      <c r="AY255" s="320"/>
      <c r="AZ255" s="320"/>
      <c r="BA255" s="320"/>
      <c r="BB255" s="320"/>
      <c r="BC255" s="320"/>
      <c r="BD255" s="320"/>
      <c r="BE255" s="320"/>
      <c r="BF255" s="320"/>
      <c r="BG255" s="320"/>
      <c r="BH255" s="320"/>
      <c r="BI255" s="320"/>
      <c r="BJ255" s="320"/>
      <c r="BK255" s="320"/>
    </row>
    <row r="256" spans="1:63">
      <c r="A256" s="167"/>
      <c r="B256" s="217" t="str">
        <f>Servicio_internaColumna_título_amortizaciones</f>
        <v>Amortizaciones</v>
      </c>
      <c r="C256" s="218"/>
      <c r="D256" s="219"/>
      <c r="E256" s="219"/>
      <c r="F256" s="219">
        <f>IF('Perfil - interna'!F256+'Perfil - externa'!F254=0,0,'Perfil - interna'!F256+'Perfil - externa'!F254)</f>
        <v>0</v>
      </c>
      <c r="G256" s="219">
        <f>IF('Perfil - interna'!G256+'Perfil - externa'!G254=0,0,'Perfil - interna'!G256+'Perfil - externa'!G254)</f>
        <v>0</v>
      </c>
      <c r="H256" s="219">
        <f>IF('Perfil - interna'!H256+'Perfil - externa'!H254=0,0,'Perfil - interna'!H256+'Perfil - externa'!H254)</f>
        <v>0</v>
      </c>
      <c r="I256" s="219">
        <f>IF('Perfil - interna'!I256+'Perfil - externa'!I254=0,0,'Perfil - interna'!I256+'Perfil - externa'!I254)</f>
        <v>0</v>
      </c>
      <c r="J256" s="219">
        <f>IF('Perfil - interna'!J256+'Perfil - externa'!J254=0,0,'Perfil - interna'!J256+'Perfil - externa'!J254)</f>
        <v>24439576.038195629</v>
      </c>
      <c r="K256" s="219">
        <f>IF('Perfil - interna'!K256+'Perfil - externa'!K254=0,0,'Perfil - interna'!K256+'Perfil - externa'!K254)</f>
        <v>18180723.397791274</v>
      </c>
      <c r="L256" s="219">
        <f>IF('Perfil - interna'!L256+'Perfil - externa'!L254=0,0,'Perfil - interna'!L256+'Perfil - externa'!L254)</f>
        <v>23202450.232747201</v>
      </c>
      <c r="M256" s="219">
        <f>IF('Perfil - interna'!M256+'Perfil - externa'!M254=0,0,'Perfil - interna'!M256+'Perfil - externa'!M254)</f>
        <v>6939400.5329732997</v>
      </c>
      <c r="N256" s="219">
        <f>IF('Perfil - interna'!N256+'Perfil - externa'!N254=0,0,'Perfil - interna'!N256+'Perfil - externa'!N254)</f>
        <v>10584326.58113401</v>
      </c>
      <c r="O256" s="219">
        <f>IF('Perfil - interna'!O256+'Perfil - externa'!O254=0,0,'Perfil - interna'!O256+'Perfil - externa'!O254)</f>
        <v>5851556.2742811535</v>
      </c>
      <c r="P256" s="219">
        <f>IF('Perfil - interna'!P256+'Perfil - externa'!P254=0,0,'Perfil - interna'!P256+'Perfil - externa'!P254)</f>
        <v>10806932.743244315</v>
      </c>
      <c r="Q256" s="219">
        <f>IF('Perfil - interna'!Q256+'Perfil - externa'!Q254=0,0,'Perfil - interna'!Q256+'Perfil - externa'!Q254)</f>
        <v>16918613.541460991</v>
      </c>
      <c r="R256" s="219">
        <f>IF('Perfil - interna'!R256+'Perfil - externa'!R254=0,0,'Perfil - interna'!R256+'Perfil - externa'!R254)</f>
        <v>2202061.5029561287</v>
      </c>
      <c r="S256" s="219">
        <f>IF('Perfil - interna'!S256+'Perfil - externa'!S254=0,0,'Perfil - interna'!S256+'Perfil - externa'!S254)</f>
        <v>3565126.2433690503</v>
      </c>
      <c r="T256" s="219">
        <f>IF('Perfil - interna'!T256+'Perfil - externa'!T254=0,0,'Perfil - interna'!T256+'Perfil - externa'!T254)</f>
        <v>1312995.2923654336</v>
      </c>
      <c r="U256" s="219">
        <f>IF('Perfil - interna'!U256+'Perfil - externa'!U254=0,0,'Perfil - interna'!U256+'Perfil - externa'!U254)</f>
        <v>1088498.7298297817</v>
      </c>
      <c r="V256" s="219">
        <f>IF('Perfil - interna'!V256+'Perfil - externa'!V254=0,0,'Perfil - interna'!V256+'Perfil - externa'!V254)</f>
        <v>9894804.9424980078</v>
      </c>
      <c r="W256" s="219">
        <f>IF('Perfil - interna'!W256+'Perfil - externa'!W254=0,0,'Perfil - interna'!W256+'Perfil - externa'!W254)</f>
        <v>632222.04999258823</v>
      </c>
      <c r="X256" s="219">
        <f>IF('Perfil - interna'!X256+'Perfil - externa'!X254=0,0,'Perfil - interna'!X256+'Perfil - externa'!X254)</f>
        <v>477321.8519518064</v>
      </c>
      <c r="Y256" s="219">
        <f>IF('Perfil - interna'!Y256+'Perfil - externa'!Y254=0,0,'Perfil - interna'!Y256+'Perfil - externa'!Y254)</f>
        <v>2025330.4041722203</v>
      </c>
      <c r="Z256" s="219">
        <f>IF('Perfil - interna'!Z256+'Perfil - externa'!Z254=0,0,'Perfil - interna'!Z256+'Perfil - externa'!Z254)</f>
        <v>2380679.0297014513</v>
      </c>
      <c r="AA256" s="219">
        <f>IF('Perfil - interna'!AA256+'Perfil - externa'!AA254=0,0,'Perfil - interna'!AA256+'Perfil - externa'!AA254)</f>
        <v>200621.76714597602</v>
      </c>
      <c r="AB256" s="219">
        <f>IF('Perfil - interna'!AB256+'Perfil - externa'!AB254=0,0,'Perfil - interna'!AB256+'Perfil - externa'!AB254)</f>
        <v>155225.81686297839</v>
      </c>
      <c r="AC256" s="219">
        <f>IF('Perfil - interna'!AC256+'Perfil - externa'!AC254=0,0,'Perfil - interna'!AC256+'Perfil - externa'!AC254)</f>
        <v>2004596.6592100286</v>
      </c>
      <c r="AD256" s="219">
        <f>IF('Perfil - interna'!AD256+'Perfil - externa'!AD254=0,0,'Perfil - interna'!AD256+'Perfil - externa'!AD254)</f>
        <v>86007.323366329219</v>
      </c>
      <c r="AE256" s="219">
        <f>IF('Perfil - interna'!AE256+'Perfil - externa'!AE254=0,0,'Perfil - interna'!AE256+'Perfil - externa'!AE254)</f>
        <v>60076.750223274386</v>
      </c>
      <c r="AF256" s="219">
        <f>IF('Perfil - interna'!AF256+'Perfil - externa'!AF254=0,0,'Perfil - interna'!AF256+'Perfil - externa'!AF254)</f>
        <v>43995.288848931188</v>
      </c>
      <c r="AG256" s="219">
        <f>IF('Perfil - interna'!AG256+'Perfil - externa'!AG254=0,0,'Perfil - interna'!AG256+'Perfil - externa'!AG254)</f>
        <v>32804.318935203199</v>
      </c>
      <c r="AH256" s="219">
        <f>IF('Perfil - interna'!AH256+'Perfil - externa'!AH254=0,0,'Perfil - interna'!AH256+'Perfil - externa'!AH254)</f>
        <v>7305.8098048495995</v>
      </c>
      <c r="AI256" s="219">
        <f>IF('Perfil - interna'!AI256+'Perfil - externa'!AI254=0,0,'Perfil - interna'!AI256+'Perfil - externa'!AI254)</f>
        <v>693356.75032920565</v>
      </c>
      <c r="AJ256" s="219">
        <f>IF('Perfil - interna'!AJ256+'Perfil - externa'!AJ254=0,0,'Perfil - interna'!AJ256+'Perfil - externa'!AJ254)</f>
        <v>7308.8079692055999</v>
      </c>
      <c r="AK256" s="219">
        <f>IF('Perfil - interna'!AK256+'Perfil - externa'!AK254=0,0,'Perfil - interna'!AK256+'Perfil - externa'!AK254)</f>
        <v>7308.8079692055999</v>
      </c>
      <c r="AL256" s="219">
        <f>IF('Perfil - interna'!AL256+'Perfil - externa'!AL254=0,0,'Perfil - interna'!AL256+'Perfil - externa'!AL254)</f>
        <v>7219.1564681719992</v>
      </c>
      <c r="AM256" s="219">
        <f>IF('Perfil - interna'!AM256+'Perfil - externa'!AM254=0,0,'Perfil - interna'!AM256+'Perfil - externa'!AM254)</f>
        <v>2965603.4421747141</v>
      </c>
      <c r="AN256" s="219">
        <f>IF('Perfil - interna'!AN256+'Perfil - externa'!AN254=0,0,'Perfil - interna'!AN256+'Perfil - externa'!AN254)</f>
        <v>0</v>
      </c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</row>
    <row r="257" spans="1:63">
      <c r="A257" s="170">
        <v>39447</v>
      </c>
      <c r="B257" s="220" t="str">
        <f>Servicio_internaColumna_título_intereses</f>
        <v>Intereses</v>
      </c>
      <c r="C257" s="221"/>
      <c r="D257" s="222"/>
      <c r="E257" s="222"/>
      <c r="F257" s="222">
        <f>IF('Perfil - interna'!F257+'Perfil - externa'!F255=0,0,'Perfil - interna'!F257+'Perfil - externa'!F255)</f>
        <v>0</v>
      </c>
      <c r="G257" s="222">
        <f>IF('Perfil - interna'!G257+'Perfil - externa'!G255=0,0,'Perfil - interna'!G257+'Perfil - externa'!G255)</f>
        <v>0</v>
      </c>
      <c r="H257" s="222">
        <f>IF('Perfil - interna'!H257+'Perfil - externa'!H255=0,0,'Perfil - interna'!H257+'Perfil - externa'!H255)</f>
        <v>0</v>
      </c>
      <c r="I257" s="222">
        <f>IF('Perfil - interna'!I257+'Perfil - externa'!I255=0,0,'Perfil - interna'!I257+'Perfil - externa'!I255)</f>
        <v>0</v>
      </c>
      <c r="J257" s="222">
        <f>IF('Perfil - interna'!J257+'Perfil - externa'!J255=0,0,'Perfil - interna'!J257+'Perfil - externa'!J255)</f>
        <v>12957510.901258226</v>
      </c>
      <c r="K257" s="222">
        <f>IF('Perfil - interna'!K257+'Perfil - externa'!K255=0,0,'Perfil - interna'!K257+'Perfil - externa'!K255)</f>
        <v>10854347.141689504</v>
      </c>
      <c r="L257" s="222">
        <f>IF('Perfil - interna'!L257+'Perfil - externa'!L255=0,0,'Perfil - interna'!L257+'Perfil - externa'!L255)</f>
        <v>9104272.6710904241</v>
      </c>
      <c r="M257" s="222">
        <f>IF('Perfil - interna'!M257+'Perfil - externa'!M255=0,0,'Perfil - interna'!M257+'Perfil - externa'!M255)</f>
        <v>7096336.1303264666</v>
      </c>
      <c r="N257" s="222">
        <f>IF('Perfil - interna'!N257+'Perfil - externa'!N255=0,0,'Perfil - interna'!N257+'Perfil - externa'!N255)</f>
        <v>6397714.4364882298</v>
      </c>
      <c r="O257" s="222">
        <f>IF('Perfil - interna'!O257+'Perfil - externa'!O255=0,0,'Perfil - interna'!O257+'Perfil - externa'!O255)</f>
        <v>5339670.3602568451</v>
      </c>
      <c r="P257" s="222">
        <f>IF('Perfil - interna'!P257+'Perfil - externa'!P255=0,0,'Perfil - interna'!P257+'Perfil - externa'!P255)</f>
        <v>4943123.0576371253</v>
      </c>
      <c r="Q257" s="222">
        <f>IF('Perfil - interna'!Q257+'Perfil - externa'!Q255=0,0,'Perfil - interna'!Q257+'Perfil - externa'!Q255)</f>
        <v>3867236.1817775853</v>
      </c>
      <c r="R257" s="222">
        <f>IF('Perfil - interna'!R257+'Perfil - externa'!R255=0,0,'Perfil - interna'!R257+'Perfil - externa'!R255)</f>
        <v>2460644.3187210271</v>
      </c>
      <c r="S257" s="222">
        <f>IF('Perfil - interna'!S257+'Perfil - externa'!S255=0,0,'Perfil - interna'!S257+'Perfil - externa'!S255)</f>
        <v>2221071.8037139848</v>
      </c>
      <c r="T257" s="222">
        <f>IF('Perfil - interna'!T257+'Perfil - externa'!T255=0,0,'Perfil - interna'!T257+'Perfil - externa'!T255)</f>
        <v>2059757.377137085</v>
      </c>
      <c r="U257" s="222">
        <f>IF('Perfil - interna'!U257+'Perfil - externa'!U255=0,0,'Perfil - interna'!U257+'Perfil - externa'!U255)</f>
        <v>1990361.1572710192</v>
      </c>
      <c r="V257" s="222">
        <f>IF('Perfil - interna'!V257+'Perfil - externa'!V255=0,0,'Perfil - interna'!V257+'Perfil - externa'!V255)</f>
        <v>1843943.8518746062</v>
      </c>
      <c r="W257" s="222">
        <f>IF('Perfil - interna'!W257+'Perfil - externa'!W255=0,0,'Perfil - interna'!W257+'Perfil - externa'!W255)</f>
        <v>884038.74478439032</v>
      </c>
      <c r="X257" s="222">
        <f>IF('Perfil - interna'!X257+'Perfil - externa'!X255=0,0,'Perfil - interna'!X257+'Perfil - externa'!X255)</f>
        <v>854096.53353735339</v>
      </c>
      <c r="Y257" s="222">
        <f>IF('Perfil - interna'!Y257+'Perfil - externa'!Y255=0,0,'Perfil - interna'!Y257+'Perfil - externa'!Y255)</f>
        <v>831350.61921076954</v>
      </c>
      <c r="Z257" s="222">
        <f>IF('Perfil - interna'!Z257+'Perfil - externa'!Z255=0,0,'Perfil - interna'!Z257+'Perfil - externa'!Z255)</f>
        <v>604445.23929394002</v>
      </c>
      <c r="AA257" s="222">
        <f>IF('Perfil - interna'!AA257+'Perfil - externa'!AA255=0,0,'Perfil - interna'!AA257+'Perfil - externa'!AA255)</f>
        <v>504812.77765567886</v>
      </c>
      <c r="AB257" s="222">
        <f>IF('Perfil - interna'!AB257+'Perfil - externa'!AB255=0,0,'Perfil - interna'!AB257+'Perfil - externa'!AB255)</f>
        <v>494810.40146181162</v>
      </c>
      <c r="AC257" s="222">
        <f>IF('Perfil - interna'!AC257+'Perfil - externa'!AC255=0,0,'Perfil - interna'!AC257+'Perfil - externa'!AC255)</f>
        <v>474514.66429864202</v>
      </c>
      <c r="AD257" s="222">
        <f>IF('Perfil - interna'!AD257+'Perfil - externa'!AD255=0,0,'Perfil - interna'!AD257+'Perfil - externa'!AD255)</f>
        <v>299457.46677788481</v>
      </c>
      <c r="AE257" s="222">
        <f>IF('Perfil - interna'!AE257+'Perfil - externa'!AE255=0,0,'Perfil - interna'!AE257+'Perfil - externa'!AE255)</f>
        <v>295004.32464987878</v>
      </c>
      <c r="AF257" s="222">
        <f>IF('Perfil - interna'!AF257+'Perfil - externa'!AF255=0,0,'Perfil - interna'!AF257+'Perfil - externa'!AF255)</f>
        <v>292303.56359098398</v>
      </c>
      <c r="AG257" s="222">
        <f>IF('Perfil - interna'!AG257+'Perfil - externa'!AG255=0,0,'Perfil - interna'!AG257+'Perfil - externa'!AG255)</f>
        <v>290522.6661729656</v>
      </c>
      <c r="AH257" s="222">
        <f>IF('Perfil - interna'!AH257+'Perfil - externa'!AH255=0,0,'Perfil - interna'!AH257+'Perfil - externa'!AH255)</f>
        <v>289463.8310158496</v>
      </c>
      <c r="AI257" s="222">
        <f>IF('Perfil - interna'!AI257+'Perfil - externa'!AI255=0,0,'Perfil - interna'!AI257+'Perfil - externa'!AI255)</f>
        <v>253858.59295026999</v>
      </c>
      <c r="AJ257" s="222">
        <f>IF('Perfil - interna'!AJ257+'Perfil - externa'!AJ255=0,0,'Perfil - interna'!AJ257+'Perfil - externa'!AJ255)</f>
        <v>218250.31767428562</v>
      </c>
      <c r="AK257" s="222">
        <f>IF('Perfil - interna'!AK257+'Perfil - externa'!AK255=0,0,'Perfil - interna'!AK257+'Perfil - externa'!AK255)</f>
        <v>218233.80151800482</v>
      </c>
      <c r="AL257" s="222">
        <f>IF('Perfil - interna'!AL257+'Perfil - externa'!AL255=0,0,'Perfil - interna'!AL257+'Perfil - externa'!AL255)</f>
        <v>218217.28540201922</v>
      </c>
      <c r="AM257" s="222">
        <f>IF('Perfil - interna'!AM257+'Perfil - externa'!AM255=0,0,'Perfil - interna'!AM257+'Perfil - externa'!AM255)</f>
        <v>218198.76693695519</v>
      </c>
      <c r="AN257" s="222">
        <f>IF('Perfil - interna'!AN257+'Perfil - externa'!AN255=0,0,'Perfil - interna'!AN257+'Perfil - externa'!AN255)</f>
        <v>0</v>
      </c>
      <c r="AO257" s="222"/>
      <c r="AP257" s="222"/>
      <c r="AQ257" s="222"/>
      <c r="AR257" s="222"/>
      <c r="AS257" s="222"/>
      <c r="AT257" s="222"/>
      <c r="AU257" s="222"/>
      <c r="AV257" s="222"/>
      <c r="AW257" s="222"/>
      <c r="AX257" s="222"/>
      <c r="AY257" s="222"/>
      <c r="AZ257" s="222"/>
      <c r="BA257" s="222"/>
      <c r="BB257" s="222"/>
      <c r="BC257" s="222"/>
      <c r="BD257" s="222"/>
      <c r="BE257" s="222"/>
      <c r="BF257" s="222"/>
      <c r="BG257" s="222"/>
      <c r="BH257" s="222"/>
      <c r="BI257" s="222"/>
      <c r="BJ257" s="222"/>
      <c r="BK257" s="222"/>
    </row>
    <row r="258" spans="1:63">
      <c r="A258" s="171"/>
      <c r="B258" s="318" t="str">
        <f>Servicio_internaColumna_título_total</f>
        <v>Total</v>
      </c>
      <c r="C258" s="319"/>
      <c r="D258" s="320"/>
      <c r="E258" s="320"/>
      <c r="F258" s="320">
        <f>IF('Perfil - interna'!F258+'Perfil - externa'!F256=0,0,'Perfil - interna'!F258+'Perfil - externa'!F256)</f>
        <v>0</v>
      </c>
      <c r="G258" s="320">
        <f>IF('Perfil - interna'!G258+'Perfil - externa'!G256=0,0,'Perfil - interna'!G258+'Perfil - externa'!G256)</f>
        <v>0</v>
      </c>
      <c r="H258" s="320">
        <f>IF('Perfil - interna'!H258+'Perfil - externa'!H256=0,0,'Perfil - interna'!H258+'Perfil - externa'!H256)</f>
        <v>0</v>
      </c>
      <c r="I258" s="320">
        <f>IF('Perfil - interna'!I258+'Perfil - externa'!I256=0,0,'Perfil - interna'!I258+'Perfil - externa'!I256)</f>
        <v>0</v>
      </c>
      <c r="J258" s="320">
        <f>IF('Perfil - interna'!J258+'Perfil - externa'!J256=0,0,'Perfil - interna'!J258+'Perfil - externa'!J256)</f>
        <v>37397086.939453855</v>
      </c>
      <c r="K258" s="320">
        <f>IF('Perfil - interna'!K258+'Perfil - externa'!K256=0,0,'Perfil - interna'!K258+'Perfil - externa'!K256)</f>
        <v>29035070.539480779</v>
      </c>
      <c r="L258" s="320">
        <f>IF('Perfil - interna'!L258+'Perfil - externa'!L256=0,0,'Perfil - interna'!L258+'Perfil - externa'!L256)</f>
        <v>32306722.903837625</v>
      </c>
      <c r="M258" s="320">
        <f>IF('Perfil - interna'!M258+'Perfil - externa'!M256=0,0,'Perfil - interna'!M258+'Perfil - externa'!M256)</f>
        <v>14035736.663299765</v>
      </c>
      <c r="N258" s="320">
        <f>IF('Perfil - interna'!N258+'Perfil - externa'!N256=0,0,'Perfil - interna'!N258+'Perfil - externa'!N256)</f>
        <v>16982041.01762224</v>
      </c>
      <c r="O258" s="320">
        <f>IF('Perfil - interna'!O258+'Perfil - externa'!O256=0,0,'Perfil - interna'!O258+'Perfil - externa'!O256)</f>
        <v>11191226.634537999</v>
      </c>
      <c r="P258" s="320">
        <f>IF('Perfil - interna'!P258+'Perfil - externa'!P256=0,0,'Perfil - interna'!P258+'Perfil - externa'!P256)</f>
        <v>15750055.80088144</v>
      </c>
      <c r="Q258" s="320">
        <f>IF('Perfil - interna'!Q258+'Perfil - externa'!Q256=0,0,'Perfil - interna'!Q258+'Perfil - externa'!Q256)</f>
        <v>20785849.72323858</v>
      </c>
      <c r="R258" s="320">
        <f>IF('Perfil - interna'!R258+'Perfil - externa'!R256=0,0,'Perfil - interna'!R258+'Perfil - externa'!R256)</f>
        <v>4662705.8216771558</v>
      </c>
      <c r="S258" s="320">
        <f>IF('Perfil - interna'!S258+'Perfil - externa'!S256=0,0,'Perfil - interna'!S258+'Perfil - externa'!S256)</f>
        <v>5786198.0470830351</v>
      </c>
      <c r="T258" s="320">
        <f>IF('Perfil - interna'!T258+'Perfil - externa'!T256=0,0,'Perfil - interna'!T258+'Perfil - externa'!T256)</f>
        <v>3372752.6695025186</v>
      </c>
      <c r="U258" s="320">
        <f>IF('Perfil - interna'!U258+'Perfil - externa'!U256=0,0,'Perfil - interna'!U258+'Perfil - externa'!U256)</f>
        <v>3078859.8871008009</v>
      </c>
      <c r="V258" s="320">
        <f>IF('Perfil - interna'!V258+'Perfil - externa'!V256=0,0,'Perfil - interna'!V258+'Perfil - externa'!V256)</f>
        <v>11738748.794372614</v>
      </c>
      <c r="W258" s="320">
        <f>IF('Perfil - interna'!W258+'Perfil - externa'!W256=0,0,'Perfil - interna'!W258+'Perfil - externa'!W256)</f>
        <v>1516260.7947769787</v>
      </c>
      <c r="X258" s="320">
        <f>IF('Perfil - interna'!X258+'Perfil - externa'!X256=0,0,'Perfil - interna'!X258+'Perfil - externa'!X256)</f>
        <v>1331418.3854891597</v>
      </c>
      <c r="Y258" s="320">
        <f>IF('Perfil - interna'!Y258+'Perfil - externa'!Y256=0,0,'Perfil - interna'!Y258+'Perfil - externa'!Y256)</f>
        <v>2856681.0233829897</v>
      </c>
      <c r="Z258" s="320">
        <f>IF('Perfil - interna'!Z258+'Perfil - externa'!Z256=0,0,'Perfil - interna'!Z258+'Perfil - externa'!Z256)</f>
        <v>2985124.2689953912</v>
      </c>
      <c r="AA258" s="320">
        <f>IF('Perfil - interna'!AA258+'Perfil - externa'!AA256=0,0,'Perfil - interna'!AA258+'Perfil - externa'!AA256)</f>
        <v>705434.54480165488</v>
      </c>
      <c r="AB258" s="320">
        <f>IF('Perfil - interna'!AB258+'Perfil - externa'!AB256=0,0,'Perfil - interna'!AB258+'Perfil - externa'!AB256)</f>
        <v>650036.21832479001</v>
      </c>
      <c r="AC258" s="320">
        <f>IF('Perfil - interna'!AC258+'Perfil - externa'!AC256=0,0,'Perfil - interna'!AC258+'Perfil - externa'!AC256)</f>
        <v>2479111.3235086706</v>
      </c>
      <c r="AD258" s="320">
        <f>IF('Perfil - interna'!AD258+'Perfil - externa'!AD256=0,0,'Perfil - interna'!AD258+'Perfil - externa'!AD256)</f>
        <v>385464.79014421406</v>
      </c>
      <c r="AE258" s="320">
        <f>IF('Perfil - interna'!AE258+'Perfil - externa'!AE256=0,0,'Perfil - interna'!AE258+'Perfil - externa'!AE256)</f>
        <v>355081.07487315318</v>
      </c>
      <c r="AF258" s="320">
        <f>IF('Perfil - interna'!AF258+'Perfil - externa'!AF256=0,0,'Perfil - interna'!AF258+'Perfil - externa'!AF256)</f>
        <v>336298.85243991518</v>
      </c>
      <c r="AG258" s="320">
        <f>IF('Perfil - interna'!AG258+'Perfil - externa'!AG256=0,0,'Perfil - interna'!AG258+'Perfil - externa'!AG256)</f>
        <v>323326.9851081688</v>
      </c>
      <c r="AH258" s="320">
        <f>IF('Perfil - interna'!AH258+'Perfil - externa'!AH256=0,0,'Perfil - interna'!AH258+'Perfil - externa'!AH256)</f>
        <v>296769.64082069922</v>
      </c>
      <c r="AI258" s="320">
        <f>IF('Perfil - interna'!AI258+'Perfil - externa'!AI256=0,0,'Perfil - interna'!AI258+'Perfil - externa'!AI256)</f>
        <v>947215.34327947558</v>
      </c>
      <c r="AJ258" s="320">
        <f>IF('Perfil - interna'!AJ258+'Perfil - externa'!AJ256=0,0,'Perfil - interna'!AJ258+'Perfil - externa'!AJ256)</f>
        <v>225559.12564349122</v>
      </c>
      <c r="AK258" s="320">
        <f>IF('Perfil - interna'!AK258+'Perfil - externa'!AK256=0,0,'Perfil - interna'!AK258+'Perfil - externa'!AK256)</f>
        <v>225542.60948721043</v>
      </c>
      <c r="AL258" s="320">
        <f>IF('Perfil - interna'!AL258+'Perfil - externa'!AL256=0,0,'Perfil - interna'!AL258+'Perfil - externa'!AL256)</f>
        <v>225436.44187019122</v>
      </c>
      <c r="AM258" s="320">
        <f>IF('Perfil - interna'!AM258+'Perfil - externa'!AM256=0,0,'Perfil - interna'!AM258+'Perfil - externa'!AM256)</f>
        <v>3183802.2091116691</v>
      </c>
      <c r="AN258" s="320">
        <f>IF('Perfil - interna'!AN258+'Perfil - externa'!AN256=0,0,'Perfil - interna'!AN258+'Perfil - externa'!AN256)</f>
        <v>0</v>
      </c>
      <c r="AO258" s="320"/>
      <c r="AP258" s="320"/>
      <c r="AQ258" s="320"/>
      <c r="AR258" s="320"/>
      <c r="AS258" s="320"/>
      <c r="AT258" s="320"/>
      <c r="AU258" s="320"/>
      <c r="AV258" s="320"/>
      <c r="AW258" s="320"/>
      <c r="AX258" s="320"/>
      <c r="AY258" s="320"/>
      <c r="AZ258" s="320"/>
      <c r="BA258" s="320"/>
      <c r="BB258" s="320"/>
      <c r="BC258" s="320"/>
      <c r="BD258" s="320"/>
      <c r="BE258" s="320"/>
      <c r="BF258" s="320"/>
      <c r="BG258" s="320"/>
      <c r="BH258" s="320"/>
      <c r="BI258" s="320"/>
      <c r="BJ258" s="320"/>
      <c r="BK258" s="320"/>
    </row>
    <row r="259" spans="1:63">
      <c r="A259" s="167"/>
      <c r="B259" s="217" t="str">
        <f>Servicio_internaColumna_título_amortizaciones</f>
        <v>Amortizaciones</v>
      </c>
      <c r="C259" s="218"/>
      <c r="D259" s="219"/>
      <c r="E259" s="219"/>
      <c r="F259" s="219">
        <f>IF('Perfil - interna'!F259+'Perfil - externa'!F257=0,0,'Perfil - interna'!F259+'Perfil - externa'!F257)</f>
        <v>0</v>
      </c>
      <c r="G259" s="219">
        <f>IF('Perfil - interna'!G259+'Perfil - externa'!G257=0,0,'Perfil - interna'!G259+'Perfil - externa'!G257)</f>
        <v>0</v>
      </c>
      <c r="H259" s="219">
        <f>IF('Perfil - interna'!H259+'Perfil - externa'!H257=0,0,'Perfil - interna'!H259+'Perfil - externa'!H257)</f>
        <v>0</v>
      </c>
      <c r="I259" s="219">
        <f>IF('Perfil - interna'!I259+'Perfil - externa'!I257=0,0,'Perfil - interna'!I259+'Perfil - externa'!I257)</f>
        <v>0</v>
      </c>
      <c r="J259" s="219">
        <f>IF('Perfil - interna'!J259+'Perfil - externa'!J257=0,0,'Perfil - interna'!J259+'Perfil - externa'!J257)</f>
        <v>22361801.562222704</v>
      </c>
      <c r="K259" s="219">
        <f>IF('Perfil - interna'!K259+'Perfil - externa'!K257=0,0,'Perfil - interna'!K259+'Perfil - externa'!K257)</f>
        <v>19003251.457794514</v>
      </c>
      <c r="L259" s="219">
        <f>IF('Perfil - interna'!L259+'Perfil - externa'!L257=0,0,'Perfil - interna'!L259+'Perfil - externa'!L257)</f>
        <v>23169807.748501778</v>
      </c>
      <c r="M259" s="219">
        <f>IF('Perfil - interna'!M259+'Perfil - externa'!M257=0,0,'Perfil - interna'!M259+'Perfil - externa'!M257)</f>
        <v>6851428.8106283844</v>
      </c>
      <c r="N259" s="219">
        <f>IF('Perfil - interna'!N259+'Perfil - externa'!N257=0,0,'Perfil - interna'!N259+'Perfil - externa'!N257)</f>
        <v>10455086.236728646</v>
      </c>
      <c r="O259" s="219">
        <f>IF('Perfil - interna'!O259+'Perfil - externa'!O257=0,0,'Perfil - interna'!O259+'Perfil - externa'!O257)</f>
        <v>6230041.6512541082</v>
      </c>
      <c r="P259" s="219">
        <f>IF('Perfil - interna'!P259+'Perfil - externa'!P257=0,0,'Perfil - interna'!P259+'Perfil - externa'!P257)</f>
        <v>10657285.692811247</v>
      </c>
      <c r="Q259" s="219">
        <f>IF('Perfil - interna'!Q259+'Perfil - externa'!Q257=0,0,'Perfil - interna'!Q259+'Perfil - externa'!Q257)</f>
        <v>17476257.936718009</v>
      </c>
      <c r="R259" s="219">
        <f>IF('Perfil - interna'!R259+'Perfil - externa'!R257=0,0,'Perfil - interna'!R259+'Perfil - externa'!R257)</f>
        <v>2120731.9688351331</v>
      </c>
      <c r="S259" s="219">
        <f>IF('Perfil - interna'!S259+'Perfil - externa'!S257=0,0,'Perfil - interna'!S259+'Perfil - externa'!S257)</f>
        <v>4689799.7233280065</v>
      </c>
      <c r="T259" s="219">
        <f>IF('Perfil - interna'!T259+'Perfil - externa'!T257=0,0,'Perfil - interna'!T259+'Perfil - externa'!T257)</f>
        <v>1262142.7003131961</v>
      </c>
      <c r="U259" s="219">
        <f>IF('Perfil - interna'!U259+'Perfil - externa'!U257=0,0,'Perfil - interna'!U259+'Perfil - externa'!U257)</f>
        <v>1047840.3410774519</v>
      </c>
      <c r="V259" s="219">
        <f>IF('Perfil - interna'!V259+'Perfil - externa'!V257=0,0,'Perfil - interna'!V259+'Perfil - externa'!V257)</f>
        <v>10042322.85291286</v>
      </c>
      <c r="W259" s="219">
        <f>IF('Perfil - interna'!W259+'Perfil - externa'!W257=0,0,'Perfil - interna'!W259+'Perfil - externa'!W257)</f>
        <v>608585.36157473607</v>
      </c>
      <c r="X259" s="219">
        <f>IF('Perfil - interna'!X259+'Perfil - externa'!X257=0,0,'Perfil - interna'!X259+'Perfil - externa'!X257)</f>
        <v>459481.94440881204</v>
      </c>
      <c r="Y259" s="219">
        <f>IF('Perfil - interna'!Y259+'Perfil - externa'!Y257=0,0,'Perfil - interna'!Y259+'Perfil - externa'!Y257)</f>
        <v>2169078.362960224</v>
      </c>
      <c r="Z259" s="219">
        <f>IF('Perfil - interna'!Z259+'Perfil - externa'!Z257=0,0,'Perfil - interna'!Z259+'Perfil - externa'!Z257)</f>
        <v>2291838.7028406998</v>
      </c>
      <c r="AA259" s="219">
        <f>IF('Perfil - interna'!AA259+'Perfil - externa'!AA257=0,0,'Perfil - interna'!AA259+'Perfil - externa'!AA257)</f>
        <v>193107.80365042403</v>
      </c>
      <c r="AB259" s="219">
        <f>IF('Perfil - interna'!AB259+'Perfil - externa'!AB257=0,0,'Perfil - interna'!AB259+'Perfil - externa'!AB257)</f>
        <v>149405.33528252799</v>
      </c>
      <c r="AC259" s="219">
        <f>IF('Perfil - interna'!AC259+'Perfil - externa'!AC257=0,0,'Perfil - interna'!AC259+'Perfil - externa'!AC257)</f>
        <v>1951298.6476880522</v>
      </c>
      <c r="AD259" s="219">
        <f>IF('Perfil - interna'!AD259+'Perfil - externa'!AD257=0,0,'Perfil - interna'!AD259+'Perfil - externa'!AD257)</f>
        <v>82794.810753459999</v>
      </c>
      <c r="AE259" s="219">
        <f>IF('Perfil - interna'!AE259+'Perfil - externa'!AE257=0,0,'Perfil - interna'!AE259+'Perfil - externa'!AE257)</f>
        <v>57831.569638751993</v>
      </c>
      <c r="AF259" s="219">
        <f>IF('Perfil - interna'!AF259+'Perfil - externa'!AF257=0,0,'Perfil - interna'!AF259+'Perfil - externa'!AF257)</f>
        <v>42350.022217879996</v>
      </c>
      <c r="AG259" s="219">
        <f>IF('Perfil - interna'!AG259+'Perfil - externa'!AG257=0,0,'Perfil - interna'!AG259+'Perfil - externa'!AG257)</f>
        <v>31576.527983</v>
      </c>
      <c r="AH259" s="219">
        <f>IF('Perfil - interna'!AH259+'Perfil - externa'!AH257=0,0,'Perfil - interna'!AH259+'Perfil - externa'!AH257)</f>
        <v>7026.3465475839994</v>
      </c>
      <c r="AI259" s="219">
        <f>IF('Perfil - interna'!AI259+'Perfil - externa'!AI257=0,0,'Perfil - interna'!AI259+'Perfil - externa'!AI257)</f>
        <v>667481.48214758397</v>
      </c>
      <c r="AJ259" s="219">
        <f>IF('Perfil - interna'!AJ259+'Perfil - externa'!AJ257=0,0,'Perfil - interna'!AJ259+'Perfil - externa'!AJ257)</f>
        <v>7026.3465475839994</v>
      </c>
      <c r="AK259" s="219">
        <f>IF('Perfil - interna'!AK259+'Perfil - externa'!AK257=0,0,'Perfil - interna'!AK259+'Perfil - externa'!AK257)</f>
        <v>7026.3465475839994</v>
      </c>
      <c r="AL259" s="219">
        <f>IF('Perfil - interna'!AL259+'Perfil - externa'!AL257=0,0,'Perfil - interna'!AL259+'Perfil - externa'!AL257)</f>
        <v>6940.7201125599986</v>
      </c>
      <c r="AM259" s="219">
        <f>IF('Perfil - interna'!AM259+'Perfil - externa'!AM257=0,0,'Perfil - interna'!AM259+'Perfil - externa'!AM257)</f>
        <v>3533823.7331344481</v>
      </c>
      <c r="AN259" s="219">
        <f>IF('Perfil - interna'!AN259+'Perfil - externa'!AN257=0,0,'Perfil - interna'!AN259+'Perfil - externa'!AN257)</f>
        <v>0</v>
      </c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</row>
    <row r="260" spans="1:63">
      <c r="A260" s="170">
        <v>39478</v>
      </c>
      <c r="B260" s="220" t="str">
        <f>Servicio_internaColumna_título_intereses</f>
        <v>Intereses</v>
      </c>
      <c r="C260" s="221"/>
      <c r="D260" s="222"/>
      <c r="E260" s="222"/>
      <c r="F260" s="222">
        <f>IF('Perfil - interna'!F260+'Perfil - externa'!F258=0,0,'Perfil - interna'!F260+'Perfil - externa'!F258)</f>
        <v>0</v>
      </c>
      <c r="G260" s="222">
        <f>IF('Perfil - interna'!G260+'Perfil - externa'!G258=0,0,'Perfil - interna'!G260+'Perfil - externa'!G258)</f>
        <v>0</v>
      </c>
      <c r="H260" s="222">
        <f>IF('Perfil - interna'!H260+'Perfil - externa'!H258=0,0,'Perfil - interna'!H260+'Perfil - externa'!H258)</f>
        <v>0</v>
      </c>
      <c r="I260" s="222">
        <f>IF('Perfil - interna'!I260+'Perfil - externa'!I258=0,0,'Perfil - interna'!I260+'Perfil - externa'!I258)</f>
        <v>0</v>
      </c>
      <c r="J260" s="222">
        <f>IF('Perfil - interna'!J260+'Perfil - externa'!J258=0,0,'Perfil - interna'!J260+'Perfil - externa'!J258)</f>
        <v>12338737.034476774</v>
      </c>
      <c r="K260" s="222">
        <f>IF('Perfil - interna'!K260+'Perfil - externa'!K258=0,0,'Perfil - interna'!K260+'Perfil - externa'!K258)</f>
        <v>11030746.778737254</v>
      </c>
      <c r="L260" s="222">
        <f>IF('Perfil - interna'!L260+'Perfil - externa'!L258=0,0,'Perfil - interna'!L260+'Perfil - externa'!L258)</f>
        <v>9238406.0782800261</v>
      </c>
      <c r="M260" s="222">
        <f>IF('Perfil - interna'!M260+'Perfil - externa'!M258=0,0,'Perfil - interna'!M260+'Perfil - externa'!M258)</f>
        <v>7258937.343993335</v>
      </c>
      <c r="N260" s="222">
        <f>IF('Perfil - interna'!N260+'Perfil - externa'!N258=0,0,'Perfil - interna'!N260+'Perfil - externa'!N258)</f>
        <v>6533159.5262492374</v>
      </c>
      <c r="O260" s="222">
        <f>IF('Perfil - interna'!O260+'Perfil - externa'!O258=0,0,'Perfil - interna'!O260+'Perfil - externa'!O258)</f>
        <v>5482725.3445279505</v>
      </c>
      <c r="P260" s="222">
        <f>IF('Perfil - interna'!P260+'Perfil - externa'!P258=0,0,'Perfil - interna'!P260+'Perfil - externa'!P258)</f>
        <v>5050366.708814906</v>
      </c>
      <c r="Q260" s="222">
        <f>IF('Perfil - interna'!Q260+'Perfil - externa'!Q258=0,0,'Perfil - interna'!Q260+'Perfil - externa'!Q258)</f>
        <v>3985403.9336260953</v>
      </c>
      <c r="R260" s="222">
        <f>IF('Perfil - interna'!R260+'Perfil - externa'!R258=0,0,'Perfil - interna'!R260+'Perfil - externa'!R258)</f>
        <v>2539184.6261219746</v>
      </c>
      <c r="S260" s="222">
        <f>IF('Perfil - interna'!S260+'Perfil - externa'!S258=0,0,'Perfil - interna'!S260+'Perfil - externa'!S258)</f>
        <v>2308360.553166179</v>
      </c>
      <c r="T260" s="222">
        <f>IF('Perfil - interna'!T260+'Perfil - externa'!T258=0,0,'Perfil - interna'!T260+'Perfil - externa'!T258)</f>
        <v>2106941.1908748625</v>
      </c>
      <c r="U260" s="222">
        <f>IF('Perfil - interna'!U260+'Perfil - externa'!U258=0,0,'Perfil - interna'!U260+'Perfil - externa'!U258)</f>
        <v>2040593.2790089194</v>
      </c>
      <c r="V260" s="222">
        <f>IF('Perfil - interna'!V260+'Perfil - externa'!V258=0,0,'Perfil - interna'!V260+'Perfil - externa'!V258)</f>
        <v>1900332.8443885441</v>
      </c>
      <c r="W260" s="222">
        <f>IF('Perfil - interna'!W260+'Perfil - externa'!W258=0,0,'Perfil - interna'!W260+'Perfil - externa'!W258)</f>
        <v>918618.34765784279</v>
      </c>
      <c r="X260" s="222">
        <f>IF('Perfil - interna'!X260+'Perfil - externa'!X258=0,0,'Perfil - interna'!X260+'Perfil - externa'!X258)</f>
        <v>890256.66672672494</v>
      </c>
      <c r="Y260" s="222">
        <f>IF('Perfil - interna'!Y260+'Perfil - externa'!Y258=0,0,'Perfil - interna'!Y260+'Perfil - externa'!Y258)</f>
        <v>868836.2201039209</v>
      </c>
      <c r="Z260" s="222">
        <f>IF('Perfil - interna'!Z260+'Perfil - externa'!Z258=0,0,'Perfil - interna'!Z260+'Perfil - externa'!Z258)</f>
        <v>634079.51677064796</v>
      </c>
      <c r="AA260" s="222">
        <f>IF('Perfil - interna'!AA260+'Perfil - externa'!AA258=0,0,'Perfil - interna'!AA260+'Perfil - externa'!AA258)</f>
        <v>538159.58757787186</v>
      </c>
      <c r="AB260" s="222">
        <f>IF('Perfil - interna'!AB260+'Perfil - externa'!AB258=0,0,'Perfil - interna'!AB260+'Perfil - externa'!AB258)</f>
        <v>528531.84343933989</v>
      </c>
      <c r="AC260" s="222">
        <f>IF('Perfil - interna'!AC260+'Perfil - externa'!AC258=0,0,'Perfil - interna'!AC260+'Perfil - externa'!AC258)</f>
        <v>508994.39533571183</v>
      </c>
      <c r="AD260" s="222">
        <f>IF('Perfil - interna'!AD260+'Perfil - externa'!AD258=0,0,'Perfil - interna'!AD260+'Perfil - externa'!AD258)</f>
        <v>338350.97125143599</v>
      </c>
      <c r="AE260" s="222">
        <f>IF('Perfil - interna'!AE260+'Perfil - externa'!AE258=0,0,'Perfil - interna'!AE260+'Perfil - externa'!AE258)</f>
        <v>334064.01643633202</v>
      </c>
      <c r="AF260" s="222">
        <f>IF('Perfil - interna'!AF260+'Perfil - externa'!AF258=0,0,'Perfil - interna'!AF260+'Perfil - externa'!AF258)</f>
        <v>331464.07042262796</v>
      </c>
      <c r="AG260" s="222">
        <f>IF('Perfil - interna'!AG260+'Perfil - externa'!AG258=0,0,'Perfil - interna'!AG260+'Perfil - externa'!AG258)</f>
        <v>329749.67282056791</v>
      </c>
      <c r="AH260" s="222">
        <f>IF('Perfil - interna'!AH260+'Perfil - externa'!AH258=0,0,'Perfil - interna'!AH260+'Perfil - externa'!AH258)</f>
        <v>328730.40122779994</v>
      </c>
      <c r="AI260" s="222">
        <f>IF('Perfil - interna'!AI260+'Perfil - externa'!AI258=0,0,'Perfil - interna'!AI260+'Perfil - externa'!AI258)</f>
        <v>294453.55659693998</v>
      </c>
      <c r="AJ260" s="222">
        <f>IF('Perfil - interna'!AJ260+'Perfil - externa'!AJ258=0,0,'Perfil - interna'!AJ260+'Perfil - externa'!AJ258)</f>
        <v>260173.81678334801</v>
      </c>
      <c r="AK260" s="222">
        <f>IF('Perfil - interna'!AK260+'Perfil - externa'!AK258=0,0,'Perfil - interna'!AK260+'Perfil - externa'!AK258)</f>
        <v>260158.09659689199</v>
      </c>
      <c r="AL260" s="222">
        <f>IF('Perfil - interna'!AL260+'Perfil - externa'!AL258=0,0,'Perfil - interna'!AL260+'Perfil - externa'!AL258)</f>
        <v>260142.37639103996</v>
      </c>
      <c r="AM260" s="222">
        <f>IF('Perfil - interna'!AM260+'Perfil - externa'!AM258=0,0,'Perfil - interna'!AM260+'Perfil - externa'!AM258)</f>
        <v>260124.72073593197</v>
      </c>
      <c r="AN260" s="222">
        <f>IF('Perfil - interna'!AN260+'Perfil - externa'!AN258=0,0,'Perfil - interna'!AN260+'Perfil - externa'!AN258)</f>
        <v>0</v>
      </c>
      <c r="AO260" s="222"/>
      <c r="AP260" s="222"/>
      <c r="AQ260" s="222"/>
      <c r="AR260" s="222"/>
      <c r="AS260" s="222"/>
      <c r="AT260" s="222"/>
      <c r="AU260" s="222"/>
      <c r="AV260" s="222"/>
      <c r="AW260" s="222"/>
      <c r="AX260" s="222"/>
      <c r="AY260" s="222"/>
      <c r="AZ260" s="222"/>
      <c r="BA260" s="222"/>
      <c r="BB260" s="222"/>
      <c r="BC260" s="222"/>
      <c r="BD260" s="222"/>
      <c r="BE260" s="222"/>
      <c r="BF260" s="222"/>
      <c r="BG260" s="222"/>
      <c r="BH260" s="222"/>
      <c r="BI260" s="222"/>
      <c r="BJ260" s="222"/>
      <c r="BK260" s="222"/>
    </row>
    <row r="261" spans="1:63">
      <c r="A261" s="171"/>
      <c r="B261" s="318" t="str">
        <f>Servicio_internaColumna_título_total</f>
        <v>Total</v>
      </c>
      <c r="C261" s="319"/>
      <c r="D261" s="320"/>
      <c r="E261" s="320"/>
      <c r="F261" s="320">
        <f>IF('Perfil - interna'!F261+'Perfil - externa'!F259=0,0,'Perfil - interna'!F261+'Perfil - externa'!F259)</f>
        <v>0</v>
      </c>
      <c r="G261" s="320">
        <f>IF('Perfil - interna'!G261+'Perfil - externa'!G259=0,0,'Perfil - interna'!G261+'Perfil - externa'!G259)</f>
        <v>0</v>
      </c>
      <c r="H261" s="320">
        <f>IF('Perfil - interna'!H261+'Perfil - externa'!H259=0,0,'Perfil - interna'!H261+'Perfil - externa'!H259)</f>
        <v>0</v>
      </c>
      <c r="I261" s="320">
        <f>IF('Perfil - interna'!I261+'Perfil - externa'!I259=0,0,'Perfil - interna'!I261+'Perfil - externa'!I259)</f>
        <v>0</v>
      </c>
      <c r="J261" s="320">
        <f>IF('Perfil - interna'!J261+'Perfil - externa'!J259=0,0,'Perfil - interna'!J261+'Perfil - externa'!J259)</f>
        <v>34700538.596699476</v>
      </c>
      <c r="K261" s="320">
        <f>IF('Perfil - interna'!K261+'Perfil - externa'!K259=0,0,'Perfil - interna'!K261+'Perfil - externa'!K259)</f>
        <v>30033998.236531772</v>
      </c>
      <c r="L261" s="320">
        <f>IF('Perfil - interna'!L261+'Perfil - externa'!L259=0,0,'Perfil - interna'!L261+'Perfil - externa'!L259)</f>
        <v>32408213.826781802</v>
      </c>
      <c r="M261" s="320">
        <f>IF('Perfil - interna'!M261+'Perfil - externa'!M259=0,0,'Perfil - interna'!M261+'Perfil - externa'!M259)</f>
        <v>14110366.15462172</v>
      </c>
      <c r="N261" s="320">
        <f>IF('Perfil - interna'!N261+'Perfil - externa'!N259=0,0,'Perfil - interna'!N261+'Perfil - externa'!N259)</f>
        <v>16988245.762977883</v>
      </c>
      <c r="O261" s="320">
        <f>IF('Perfil - interna'!O261+'Perfil - externa'!O259=0,0,'Perfil - interna'!O261+'Perfil - externa'!O259)</f>
        <v>11712766.995782059</v>
      </c>
      <c r="P261" s="320">
        <f>IF('Perfil - interna'!P261+'Perfil - externa'!P259=0,0,'Perfil - interna'!P261+'Perfil - externa'!P259)</f>
        <v>15707652.401626151</v>
      </c>
      <c r="Q261" s="320">
        <f>IF('Perfil - interna'!Q261+'Perfil - externa'!Q259=0,0,'Perfil - interna'!Q261+'Perfil - externa'!Q259)</f>
        <v>21461661.870344102</v>
      </c>
      <c r="R261" s="320">
        <f>IF('Perfil - interna'!R261+'Perfil - externa'!R259=0,0,'Perfil - interna'!R261+'Perfil - externa'!R259)</f>
        <v>4659916.5949571077</v>
      </c>
      <c r="S261" s="320">
        <f>IF('Perfil - interna'!S261+'Perfil - externa'!S259=0,0,'Perfil - interna'!S261+'Perfil - externa'!S259)</f>
        <v>6998160.2764941854</v>
      </c>
      <c r="T261" s="320">
        <f>IF('Perfil - interna'!T261+'Perfil - externa'!T259=0,0,'Perfil - interna'!T261+'Perfil - externa'!T259)</f>
        <v>3369083.8911880585</v>
      </c>
      <c r="U261" s="320">
        <f>IF('Perfil - interna'!U261+'Perfil - externa'!U259=0,0,'Perfil - interna'!U261+'Perfil - externa'!U259)</f>
        <v>3088433.6200863714</v>
      </c>
      <c r="V261" s="320">
        <f>IF('Perfil - interna'!V261+'Perfil - externa'!V259=0,0,'Perfil - interna'!V261+'Perfil - externa'!V259)</f>
        <v>11942655.697301405</v>
      </c>
      <c r="W261" s="320">
        <f>IF('Perfil - interna'!W261+'Perfil - externa'!W259=0,0,'Perfil - interna'!W261+'Perfil - externa'!W259)</f>
        <v>1527203.7092325788</v>
      </c>
      <c r="X261" s="320">
        <f>IF('Perfil - interna'!X261+'Perfil - externa'!X259=0,0,'Perfil - interna'!X261+'Perfil - externa'!X259)</f>
        <v>1349738.611135537</v>
      </c>
      <c r="Y261" s="320">
        <f>IF('Perfil - interna'!Y261+'Perfil - externa'!Y259=0,0,'Perfil - interna'!Y261+'Perfil - externa'!Y259)</f>
        <v>3037914.5830641449</v>
      </c>
      <c r="Z261" s="320">
        <f>IF('Perfil - interna'!Z261+'Perfil - externa'!Z259=0,0,'Perfil - interna'!Z261+'Perfil - externa'!Z259)</f>
        <v>2925918.2196113477</v>
      </c>
      <c r="AA261" s="320">
        <f>IF('Perfil - interna'!AA261+'Perfil - externa'!AA259=0,0,'Perfil - interna'!AA261+'Perfil - externa'!AA259)</f>
        <v>731267.39122829586</v>
      </c>
      <c r="AB261" s="320">
        <f>IF('Perfil - interna'!AB261+'Perfil - externa'!AB259=0,0,'Perfil - interna'!AB261+'Perfil - externa'!AB259)</f>
        <v>677937.17872186785</v>
      </c>
      <c r="AC261" s="320">
        <f>IF('Perfil - interna'!AC261+'Perfil - externa'!AC259=0,0,'Perfil - interna'!AC261+'Perfil - externa'!AC259)</f>
        <v>2460293.0430237642</v>
      </c>
      <c r="AD261" s="320">
        <f>IF('Perfil - interna'!AD261+'Perfil - externa'!AD259=0,0,'Perfil - interna'!AD261+'Perfil - externa'!AD259)</f>
        <v>421145.78200489597</v>
      </c>
      <c r="AE261" s="320">
        <f>IF('Perfil - interna'!AE261+'Perfil - externa'!AE259=0,0,'Perfil - interna'!AE261+'Perfil - externa'!AE259)</f>
        <v>391895.58607508399</v>
      </c>
      <c r="AF261" s="320">
        <f>IF('Perfil - interna'!AF261+'Perfil - externa'!AF259=0,0,'Perfil - interna'!AF261+'Perfil - externa'!AF259)</f>
        <v>373814.09264050797</v>
      </c>
      <c r="AG261" s="320">
        <f>IF('Perfil - interna'!AG261+'Perfil - externa'!AG259=0,0,'Perfil - interna'!AG261+'Perfil - externa'!AG259)</f>
        <v>361326.20080356789</v>
      </c>
      <c r="AH261" s="320">
        <f>IF('Perfil - interna'!AH261+'Perfil - externa'!AH259=0,0,'Perfil - interna'!AH261+'Perfil - externa'!AH259)</f>
        <v>335756.74777538393</v>
      </c>
      <c r="AI261" s="320">
        <f>IF('Perfil - interna'!AI261+'Perfil - externa'!AI259=0,0,'Perfil - interna'!AI261+'Perfil - externa'!AI259)</f>
        <v>961935.03874452389</v>
      </c>
      <c r="AJ261" s="320">
        <f>IF('Perfil - interna'!AJ261+'Perfil - externa'!AJ259=0,0,'Perfil - interna'!AJ261+'Perfil - externa'!AJ259)</f>
        <v>267200.16333093203</v>
      </c>
      <c r="AK261" s="320">
        <f>IF('Perfil - interna'!AK261+'Perfil - externa'!AK259=0,0,'Perfil - interna'!AK261+'Perfil - externa'!AK259)</f>
        <v>267184.44314447598</v>
      </c>
      <c r="AL261" s="320">
        <f>IF('Perfil - interna'!AL261+'Perfil - externa'!AL259=0,0,'Perfil - interna'!AL261+'Perfil - externa'!AL259)</f>
        <v>267083.09650359995</v>
      </c>
      <c r="AM261" s="320">
        <f>IF('Perfil - interna'!AM261+'Perfil - externa'!AM259=0,0,'Perfil - interna'!AM261+'Perfil - externa'!AM259)</f>
        <v>3793948.4538703798</v>
      </c>
      <c r="AN261" s="320">
        <f>IF('Perfil - interna'!AN261+'Perfil - externa'!AN259=0,0,'Perfil - interna'!AN261+'Perfil - externa'!AN259)</f>
        <v>0</v>
      </c>
      <c r="AO261" s="320"/>
      <c r="AP261" s="320"/>
      <c r="AQ261" s="320"/>
      <c r="AR261" s="320"/>
      <c r="AS261" s="320"/>
      <c r="AT261" s="320"/>
      <c r="AU261" s="320"/>
      <c r="AV261" s="320"/>
      <c r="AW261" s="320"/>
      <c r="AX261" s="320"/>
      <c r="AY261" s="320"/>
      <c r="AZ261" s="320"/>
      <c r="BA261" s="320"/>
      <c r="BB261" s="320"/>
      <c r="BC261" s="320"/>
      <c r="BD261" s="320"/>
      <c r="BE261" s="320"/>
      <c r="BF261" s="320"/>
      <c r="BG261" s="320"/>
      <c r="BH261" s="320"/>
      <c r="BI261" s="320"/>
      <c r="BJ261" s="320"/>
      <c r="BK261" s="320"/>
    </row>
    <row r="262" spans="1:63">
      <c r="A262" s="167"/>
      <c r="B262" s="217" t="str">
        <f>Servicio_internaColumna_título_amortizaciones</f>
        <v>Amortizaciones</v>
      </c>
      <c r="C262" s="218"/>
      <c r="D262" s="219"/>
      <c r="E262" s="219"/>
      <c r="F262" s="219">
        <f>IF('Perfil - interna'!F262+'Perfil - externa'!F260=0,0,'Perfil - interna'!F262+'Perfil - externa'!F260)</f>
        <v>0</v>
      </c>
      <c r="G262" s="219">
        <f>IF('Perfil - interna'!G262+'Perfil - externa'!G260=0,0,'Perfil - interna'!G262+'Perfil - externa'!G260)</f>
        <v>0</v>
      </c>
      <c r="H262" s="219">
        <f>IF('Perfil - interna'!H262+'Perfil - externa'!H260=0,0,'Perfil - interna'!H262+'Perfil - externa'!H260)</f>
        <v>0</v>
      </c>
      <c r="I262" s="219">
        <f>IF('Perfil - interna'!I262+'Perfil - externa'!I260=0,0,'Perfil - interna'!I262+'Perfil - externa'!I260)</f>
        <v>0</v>
      </c>
      <c r="J262" s="219">
        <f>IF('Perfil - interna'!J262+'Perfil - externa'!J260=0,0,'Perfil - interna'!J262+'Perfil - externa'!J260)</f>
        <v>21413065.853800867</v>
      </c>
      <c r="K262" s="219">
        <f>IF('Perfil - interna'!K262+'Perfil - externa'!K260=0,0,'Perfil - interna'!K262+'Perfil - externa'!K260)</f>
        <v>19708779.79644154</v>
      </c>
      <c r="L262" s="219">
        <f>IF('Perfil - interna'!L262+'Perfil - externa'!L260=0,0,'Perfil - interna'!L262+'Perfil - externa'!L260)</f>
        <v>23081618.606336918</v>
      </c>
      <c r="M262" s="219">
        <f>IF('Perfil - interna'!M262+'Perfil - externa'!M260=0,0,'Perfil - interna'!M262+'Perfil - externa'!M260)</f>
        <v>6741437.7900849134</v>
      </c>
      <c r="N262" s="219">
        <f>IF('Perfil - interna'!N262+'Perfil - externa'!N260=0,0,'Perfil - interna'!N262+'Perfil - externa'!N260)</f>
        <v>10299105.796824206</v>
      </c>
      <c r="O262" s="219">
        <f>IF('Perfil - interna'!O262+'Perfil - externa'!O260=0,0,'Perfil - interna'!O262+'Perfil - externa'!O260)</f>
        <v>6437158.4444522308</v>
      </c>
      <c r="P262" s="219">
        <f>IF('Perfil - interna'!P262+'Perfil - externa'!P260=0,0,'Perfil - interna'!P262+'Perfil - externa'!P260)</f>
        <v>10500644.201115126</v>
      </c>
      <c r="Q262" s="219">
        <f>IF('Perfil - interna'!Q262+'Perfil - externa'!Q260=0,0,'Perfil - interna'!Q262+'Perfil - externa'!Q260)</f>
        <v>17784087.045997985</v>
      </c>
      <c r="R262" s="219">
        <f>IF('Perfil - interna'!R262+'Perfil - externa'!R260=0,0,'Perfil - interna'!R262+'Perfil - externa'!R260)</f>
        <v>2018444.8544477427</v>
      </c>
      <c r="S262" s="219">
        <f>IF('Perfil - interna'!S262+'Perfil - externa'!S260=0,0,'Perfil - interna'!S262+'Perfil - externa'!S260)</f>
        <v>4463135.8665863518</v>
      </c>
      <c r="T262" s="219">
        <f>IF('Perfil - interna'!T262+'Perfil - externa'!T260=0,0,'Perfil - interna'!T262+'Perfil - externa'!T260)</f>
        <v>1202183.1335189277</v>
      </c>
      <c r="U262" s="219">
        <f>IF('Perfil - interna'!U262+'Perfil - externa'!U260=0,0,'Perfil - interna'!U262+'Perfil - externa'!U260)</f>
        <v>996052.09462493076</v>
      </c>
      <c r="V262" s="219">
        <f>IF('Perfil - interna'!V262+'Perfil - externa'!V260=0,0,'Perfil - interna'!V262+'Perfil - externa'!V260)</f>
        <v>10092895.882081898</v>
      </c>
      <c r="W262" s="219">
        <f>IF('Perfil - interna'!W262+'Perfil - externa'!W260=0,0,'Perfil - interna'!W262+'Perfil - externa'!W260)</f>
        <v>578624.17325443507</v>
      </c>
      <c r="X262" s="219">
        <f>IF('Perfil - interna'!X262+'Perfil - externa'!X260=0,0,'Perfil - interna'!X262+'Perfil - externa'!X260)</f>
        <v>436827.88655229786</v>
      </c>
      <c r="Y262" s="219">
        <f>IF('Perfil - interna'!Y262+'Perfil - externa'!Y260=0,0,'Perfil - interna'!Y262+'Perfil - externa'!Y260)</f>
        <v>2271936.7717197486</v>
      </c>
      <c r="Z262" s="219">
        <f>IF('Perfil - interna'!Z262+'Perfil - externa'!Z260=0,0,'Perfil - interna'!Z262+'Perfil - externa'!Z260)</f>
        <v>2176668.9020919339</v>
      </c>
      <c r="AA262" s="219">
        <f>IF('Perfil - interna'!AA262+'Perfil - externa'!AA260=0,0,'Perfil - interna'!AA262+'Perfil - externa'!AA260)</f>
        <v>183573.8559098262</v>
      </c>
      <c r="AB262" s="219">
        <f>IF('Perfil - interna'!AB262+'Perfil - externa'!AB260=0,0,'Perfil - interna'!AB262+'Perfil - externa'!AB260)</f>
        <v>142034.65523823869</v>
      </c>
      <c r="AC262" s="219">
        <f>IF('Perfil - interna'!AC262+'Perfil - externa'!AC260=0,0,'Perfil - interna'!AC262+'Perfil - externa'!AC260)</f>
        <v>1897691.9412384797</v>
      </c>
      <c r="AD262" s="219">
        <f>IF('Perfil - interna'!AD262+'Perfil - externa'!AD260=0,0,'Perfil - interna'!AD262+'Perfil - externa'!AD260)</f>
        <v>78695.274359022311</v>
      </c>
      <c r="AE262" s="219">
        <f>IF('Perfil - interna'!AE262+'Perfil - externa'!AE260=0,0,'Perfil - interna'!AE262+'Perfil - externa'!AE260)</f>
        <v>54970.968636782098</v>
      </c>
      <c r="AF262" s="219">
        <f>IF('Perfil - interna'!AF262+'Perfil - externa'!AF260=0,0,'Perfil - interna'!AF262+'Perfil - externa'!AF260)</f>
        <v>40252.498685527789</v>
      </c>
      <c r="AG262" s="219">
        <f>IF('Perfil - interna'!AG262+'Perfil - externa'!AG260=0,0,'Perfil - interna'!AG262+'Perfil - externa'!AG260)</f>
        <v>30012.291488734794</v>
      </c>
      <c r="AH262" s="219">
        <f>IF('Perfil - interna'!AH262+'Perfil - externa'!AH260=0,0,'Perfil - interna'!AH262+'Perfil - externa'!AH260)</f>
        <v>6677.3413185443987</v>
      </c>
      <c r="AI262" s="219">
        <f>IF('Perfil - interna'!AI262+'Perfil - externa'!AI260=0,0,'Perfil - interna'!AI262+'Perfil - externa'!AI260)</f>
        <v>634440.01580854435</v>
      </c>
      <c r="AJ262" s="219">
        <f>IF('Perfil - interna'!AJ262+'Perfil - externa'!AJ260=0,0,'Perfil - interna'!AJ262+'Perfil - externa'!AJ260)</f>
        <v>6677.3413185443987</v>
      </c>
      <c r="AK262" s="219">
        <f>IF('Perfil - interna'!AK262+'Perfil - externa'!AK260=0,0,'Perfil - interna'!AK262+'Perfil - externa'!AK260)</f>
        <v>6677.3413185443987</v>
      </c>
      <c r="AL262" s="219">
        <f>IF('Perfil - interna'!AL262+'Perfil - externa'!AL260=0,0,'Perfil - interna'!AL262+'Perfil - externa'!AL260)</f>
        <v>6595.0447514573989</v>
      </c>
      <c r="AM262" s="219">
        <f>IF('Perfil - interna'!AM262+'Perfil - externa'!AM260=0,0,'Perfil - interna'!AM262+'Perfil - externa'!AM260)</f>
        <v>3358896.8036681656</v>
      </c>
      <c r="AN262" s="219">
        <f>IF('Perfil - interna'!AN262+'Perfil - externa'!AN260=0,0,'Perfil - interna'!AN262+'Perfil - externa'!AN260)</f>
        <v>0</v>
      </c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</row>
    <row r="263" spans="1:63">
      <c r="A263" s="170">
        <v>39507</v>
      </c>
      <c r="B263" s="220" t="str">
        <f>Servicio_internaColumna_título_intereses</f>
        <v>Intereses</v>
      </c>
      <c r="C263" s="221"/>
      <c r="D263" s="222"/>
      <c r="E263" s="222"/>
      <c r="F263" s="222">
        <f>IF('Perfil - interna'!F263+'Perfil - externa'!F261=0,0,'Perfil - interna'!F263+'Perfil - externa'!F261)</f>
        <v>0</v>
      </c>
      <c r="G263" s="222">
        <f>IF('Perfil - interna'!G263+'Perfil - externa'!G261=0,0,'Perfil - interna'!G263+'Perfil - externa'!G261)</f>
        <v>0</v>
      </c>
      <c r="H263" s="222">
        <f>IF('Perfil - interna'!H263+'Perfil - externa'!H261=0,0,'Perfil - interna'!H263+'Perfil - externa'!H261)</f>
        <v>0</v>
      </c>
      <c r="I263" s="222">
        <f>IF('Perfil - interna'!I263+'Perfil - externa'!I261=0,0,'Perfil - interna'!I263+'Perfil - externa'!I261)</f>
        <v>0</v>
      </c>
      <c r="J263" s="222">
        <f>IF('Perfil - interna'!J263+'Perfil - externa'!J261=0,0,'Perfil - interna'!J263+'Perfil - externa'!J261)</f>
        <v>10648943.862085931</v>
      </c>
      <c r="K263" s="222">
        <f>IF('Perfil - interna'!K263+'Perfil - externa'!K261=0,0,'Perfil - interna'!K263+'Perfil - externa'!K261)</f>
        <v>10941219.453567004</v>
      </c>
      <c r="L263" s="222">
        <f>IF('Perfil - interna'!L263+'Perfil - externa'!L261=0,0,'Perfil - interna'!L263+'Perfil - externa'!L261)</f>
        <v>9061400.9141727388</v>
      </c>
      <c r="M263" s="222">
        <f>IF('Perfil - interna'!M263+'Perfil - externa'!M261=0,0,'Perfil - interna'!M263+'Perfil - externa'!M261)</f>
        <v>7100613.8689058339</v>
      </c>
      <c r="N263" s="222">
        <f>IF('Perfil - interna'!N263+'Perfil - externa'!N261=0,0,'Perfil - interna'!N263+'Perfil - externa'!N261)</f>
        <v>6471812.9172532763</v>
      </c>
      <c r="O263" s="222">
        <f>IF('Perfil - interna'!O263+'Perfil - externa'!O261=0,0,'Perfil - interna'!O263+'Perfil - externa'!O261)</f>
        <v>5472181.173195621</v>
      </c>
      <c r="P263" s="222">
        <f>IF('Perfil - interna'!P263+'Perfil - externa'!P261=0,0,'Perfil - interna'!P263+'Perfil - externa'!P261)</f>
        <v>5016827.2491748948</v>
      </c>
      <c r="Q263" s="222">
        <f>IF('Perfil - interna'!Q263+'Perfil - externa'!Q261=0,0,'Perfil - interna'!Q263+'Perfil - externa'!Q261)</f>
        <v>3960014.7274725344</v>
      </c>
      <c r="R263" s="222">
        <f>IF('Perfil - interna'!R263+'Perfil - externa'!R261=0,0,'Perfil - interna'!R263+'Perfil - externa'!R261)</f>
        <v>2491006.9602649612</v>
      </c>
      <c r="S263" s="222">
        <f>IF('Perfil - interna'!S263+'Perfil - externa'!S261=0,0,'Perfil - interna'!S263+'Perfil - externa'!S261)</f>
        <v>2272025.0974179758</v>
      </c>
      <c r="T263" s="222">
        <f>IF('Perfil - interna'!T263+'Perfil - externa'!T261=0,0,'Perfil - interna'!T263+'Perfil - externa'!T261)</f>
        <v>2080690.512680924</v>
      </c>
      <c r="U263" s="222">
        <f>IF('Perfil - interna'!U263+'Perfil - externa'!U261=0,0,'Perfil - interna'!U263+'Perfil - externa'!U261)</f>
        <v>2018018.1850487837</v>
      </c>
      <c r="V263" s="222">
        <f>IF('Perfil - interna'!V263+'Perfil - externa'!V261=0,0,'Perfil - interna'!V263+'Perfil - externa'!V261)</f>
        <v>1885172.9320117286</v>
      </c>
      <c r="W263" s="222">
        <f>IF('Perfil - interna'!W263+'Perfil - externa'!W261=0,0,'Perfil - interna'!W263+'Perfil - externa'!W261)</f>
        <v>892281.98372395663</v>
      </c>
      <c r="X263" s="222">
        <f>IF('Perfil - interna'!X263+'Perfil - externa'!X261=0,0,'Perfil - interna'!X263+'Perfil - externa'!X261)</f>
        <v>865778.00755378359</v>
      </c>
      <c r="Y263" s="222">
        <f>IF('Perfil - interna'!Y263+'Perfil - externa'!Y261=0,0,'Perfil - interna'!Y263+'Perfil - externa'!Y261)</f>
        <v>845776.99518111208</v>
      </c>
      <c r="Z263" s="222">
        <f>IF('Perfil - interna'!Z263+'Perfil - externa'!Z261=0,0,'Perfil - interna'!Z263+'Perfil - externa'!Z261)</f>
        <v>607125.80808975676</v>
      </c>
      <c r="AA263" s="222">
        <f>IF('Perfil - interna'!AA263+'Perfil - externa'!AA261=0,0,'Perfil - interna'!AA263+'Perfil - externa'!AA261)</f>
        <v>515752.54179868422</v>
      </c>
      <c r="AB263" s="222">
        <f>IF('Perfil - interna'!AB263+'Perfil - externa'!AB261=0,0,'Perfil - interna'!AB263+'Perfil - externa'!AB261)</f>
        <v>506598.97208161285</v>
      </c>
      <c r="AC263" s="222">
        <f>IF('Perfil - interna'!AC263+'Perfil - externa'!AC261=0,0,'Perfil - interna'!AC263+'Perfil - externa'!AC261)</f>
        <v>488027.58285471739</v>
      </c>
      <c r="AD263" s="222">
        <f>IF('Perfil - interna'!AD263+'Perfil - externa'!AD261=0,0,'Perfil - interna'!AD263+'Perfil - externa'!AD261)</f>
        <v>321602.15717734018</v>
      </c>
      <c r="AE263" s="222">
        <f>IF('Perfil - interna'!AE263+'Perfil - externa'!AE261=0,0,'Perfil - interna'!AE263+'Perfil - externa'!AE261)</f>
        <v>317527.45262357063</v>
      </c>
      <c r="AF263" s="222">
        <f>IF('Perfil - interna'!AF263+'Perfil - externa'!AF261=0,0,'Perfil - interna'!AF263+'Perfil - externa'!AF261)</f>
        <v>315056.25038602471</v>
      </c>
      <c r="AG263" s="222">
        <f>IF('Perfil - interna'!AG263+'Perfil - externa'!AG261=0,0,'Perfil - interna'!AG263+'Perfil - externa'!AG261)</f>
        <v>313426.76204193057</v>
      </c>
      <c r="AH263" s="222">
        <f>IF('Perfil - interna'!AH263+'Perfil - externa'!AH261=0,0,'Perfil - interna'!AH263+'Perfil - externa'!AH261)</f>
        <v>312457.99115196115</v>
      </c>
      <c r="AI263" s="222">
        <f>IF('Perfil - interna'!AI263+'Perfil - externa'!AI261=0,0,'Perfil - interna'!AI263+'Perfil - externa'!AI261)</f>
        <v>279877.89336498809</v>
      </c>
      <c r="AJ263" s="222">
        <f>IF('Perfil - interna'!AJ263+'Perfil - externa'!AJ261=0,0,'Perfil - interna'!AJ263+'Perfil - externa'!AJ261)</f>
        <v>247295.04389088869</v>
      </c>
      <c r="AK263" s="222">
        <f>IF('Perfil - interna'!AK263+'Perfil - externa'!AK261=0,0,'Perfil - interna'!AK263+'Perfil - externa'!AK261)</f>
        <v>247280.14856861191</v>
      </c>
      <c r="AL263" s="222">
        <f>IF('Perfil - interna'!AL263+'Perfil - externa'!AL261=0,0,'Perfil - interna'!AL263+'Perfil - externa'!AL261)</f>
        <v>247265.2532278992</v>
      </c>
      <c r="AM263" s="222">
        <f>IF('Perfil - interna'!AM263+'Perfil - externa'!AM261=0,0,'Perfil - interna'!AM263+'Perfil - externa'!AM261)</f>
        <v>247248.52860344489</v>
      </c>
      <c r="AN263" s="222">
        <f>IF('Perfil - interna'!AN263+'Perfil - externa'!AN261=0,0,'Perfil - interna'!AN263+'Perfil - externa'!AN261)</f>
        <v>0</v>
      </c>
      <c r="AO263" s="222"/>
      <c r="AP263" s="222"/>
      <c r="AQ263" s="222"/>
      <c r="AR263" s="222"/>
      <c r="AS263" s="222"/>
      <c r="AT263" s="222"/>
      <c r="AU263" s="222"/>
      <c r="AV263" s="222"/>
      <c r="AW263" s="222"/>
      <c r="AX263" s="222"/>
      <c r="AY263" s="222"/>
      <c r="AZ263" s="222"/>
      <c r="BA263" s="222"/>
      <c r="BB263" s="222"/>
      <c r="BC263" s="222"/>
      <c r="BD263" s="222"/>
      <c r="BE263" s="222"/>
      <c r="BF263" s="222"/>
      <c r="BG263" s="222"/>
      <c r="BH263" s="222"/>
      <c r="BI263" s="222"/>
      <c r="BJ263" s="222"/>
      <c r="BK263" s="222"/>
    </row>
    <row r="264" spans="1:63">
      <c r="A264" s="171"/>
      <c r="B264" s="318" t="str">
        <f>Servicio_internaColumna_título_total</f>
        <v>Total</v>
      </c>
      <c r="C264" s="319"/>
      <c r="D264" s="320"/>
      <c r="E264" s="320"/>
      <c r="F264" s="320">
        <f>IF('Perfil - interna'!F264+'Perfil - externa'!F262=0,0,'Perfil - interna'!F264+'Perfil - externa'!F262)</f>
        <v>0</v>
      </c>
      <c r="G264" s="320">
        <f>IF('Perfil - interna'!G264+'Perfil - externa'!G262=0,0,'Perfil - interna'!G264+'Perfil - externa'!G262)</f>
        <v>0</v>
      </c>
      <c r="H264" s="320">
        <f>IF('Perfil - interna'!H264+'Perfil - externa'!H262=0,0,'Perfil - interna'!H264+'Perfil - externa'!H262)</f>
        <v>0</v>
      </c>
      <c r="I264" s="320">
        <f>IF('Perfil - interna'!I264+'Perfil - externa'!I262=0,0,'Perfil - interna'!I264+'Perfil - externa'!I262)</f>
        <v>0</v>
      </c>
      <c r="J264" s="320">
        <f>IF('Perfil - interna'!J264+'Perfil - externa'!J262=0,0,'Perfil - interna'!J264+'Perfil - externa'!J262)</f>
        <v>32062009.715886798</v>
      </c>
      <c r="K264" s="320">
        <f>IF('Perfil - interna'!K264+'Perfil - externa'!K262=0,0,'Perfil - interna'!K264+'Perfil - externa'!K262)</f>
        <v>30649999.250008546</v>
      </c>
      <c r="L264" s="320">
        <f>IF('Perfil - interna'!L264+'Perfil - externa'!L262=0,0,'Perfil - interna'!L264+'Perfil - externa'!L262)</f>
        <v>32143019.520509657</v>
      </c>
      <c r="M264" s="320">
        <f>IF('Perfil - interna'!M264+'Perfil - externa'!M262=0,0,'Perfil - interna'!M264+'Perfil - externa'!M262)</f>
        <v>13842051.658990748</v>
      </c>
      <c r="N264" s="320">
        <f>IF('Perfil - interna'!N264+'Perfil - externa'!N262=0,0,'Perfil - interna'!N264+'Perfil - externa'!N262)</f>
        <v>16770918.71407748</v>
      </c>
      <c r="O264" s="320">
        <f>IF('Perfil - interna'!O264+'Perfil - externa'!O262=0,0,'Perfil - interna'!O264+'Perfil - externa'!O262)</f>
        <v>11909339.617647851</v>
      </c>
      <c r="P264" s="320">
        <f>IF('Perfil - interna'!P264+'Perfil - externa'!P262=0,0,'Perfil - interna'!P264+'Perfil - externa'!P262)</f>
        <v>15517471.450290021</v>
      </c>
      <c r="Q264" s="320">
        <f>IF('Perfil - interna'!Q264+'Perfil - externa'!Q262=0,0,'Perfil - interna'!Q264+'Perfil - externa'!Q262)</f>
        <v>21744101.773470521</v>
      </c>
      <c r="R264" s="320">
        <f>IF('Perfil - interna'!R264+'Perfil - externa'!R262=0,0,'Perfil - interna'!R264+'Perfil - externa'!R262)</f>
        <v>4509451.8147127042</v>
      </c>
      <c r="S264" s="320">
        <f>IF('Perfil - interna'!S264+'Perfil - externa'!S262=0,0,'Perfil - interna'!S264+'Perfil - externa'!S262)</f>
        <v>6735160.9640043275</v>
      </c>
      <c r="T264" s="320">
        <f>IF('Perfil - interna'!T264+'Perfil - externa'!T262=0,0,'Perfil - interna'!T264+'Perfil - externa'!T262)</f>
        <v>3282873.6461998513</v>
      </c>
      <c r="U264" s="320">
        <f>IF('Perfil - interna'!U264+'Perfil - externa'!U262=0,0,'Perfil - interna'!U264+'Perfil - externa'!U262)</f>
        <v>3014070.2796737147</v>
      </c>
      <c r="V264" s="320">
        <f>IF('Perfil - interna'!V264+'Perfil - externa'!V262=0,0,'Perfil - interna'!V264+'Perfil - externa'!V262)</f>
        <v>11978068.814093627</v>
      </c>
      <c r="W264" s="320">
        <f>IF('Perfil - interna'!W264+'Perfil - externa'!W262=0,0,'Perfil - interna'!W264+'Perfil - externa'!W262)</f>
        <v>1470906.1569783918</v>
      </c>
      <c r="X264" s="320">
        <f>IF('Perfil - interna'!X264+'Perfil - externa'!X262=0,0,'Perfil - interna'!X264+'Perfil - externa'!X262)</f>
        <v>1302605.8941060815</v>
      </c>
      <c r="Y264" s="320">
        <f>IF('Perfil - interna'!Y264+'Perfil - externa'!Y262=0,0,'Perfil - interna'!Y264+'Perfil - externa'!Y262)</f>
        <v>3117713.7669008607</v>
      </c>
      <c r="Z264" s="320">
        <f>IF('Perfil - interna'!Z264+'Perfil - externa'!Z262=0,0,'Perfil - interna'!Z264+'Perfil - externa'!Z262)</f>
        <v>2783794.7101816908</v>
      </c>
      <c r="AA264" s="320">
        <f>IF('Perfil - interna'!AA264+'Perfil - externa'!AA262=0,0,'Perfil - interna'!AA264+'Perfil - externa'!AA262)</f>
        <v>699326.3977085104</v>
      </c>
      <c r="AB264" s="320">
        <f>IF('Perfil - interna'!AB264+'Perfil - externa'!AB262=0,0,'Perfil - interna'!AB264+'Perfil - externa'!AB262)</f>
        <v>648633.62731985154</v>
      </c>
      <c r="AC264" s="320">
        <f>IF('Perfil - interna'!AC264+'Perfil - externa'!AC262=0,0,'Perfil - interna'!AC264+'Perfil - externa'!AC262)</f>
        <v>2385719.5240931972</v>
      </c>
      <c r="AD264" s="320">
        <f>IF('Perfil - interna'!AD264+'Perfil - externa'!AD262=0,0,'Perfil - interna'!AD264+'Perfil - externa'!AD262)</f>
        <v>400297.43153636251</v>
      </c>
      <c r="AE264" s="320">
        <f>IF('Perfil - interna'!AE264+'Perfil - externa'!AE262=0,0,'Perfil - interna'!AE264+'Perfil - externa'!AE262)</f>
        <v>372498.42126035271</v>
      </c>
      <c r="AF264" s="320">
        <f>IF('Perfil - interna'!AF264+'Perfil - externa'!AF262=0,0,'Perfil - interna'!AF264+'Perfil - externa'!AF262)</f>
        <v>355308.74907155248</v>
      </c>
      <c r="AG264" s="320">
        <f>IF('Perfil - interna'!AG264+'Perfil - externa'!AG262=0,0,'Perfil - interna'!AG264+'Perfil - externa'!AG262)</f>
        <v>343439.05353066535</v>
      </c>
      <c r="AH264" s="320">
        <f>IF('Perfil - interna'!AH264+'Perfil - externa'!AH262=0,0,'Perfil - interna'!AH264+'Perfil - externa'!AH262)</f>
        <v>319135.33247050556</v>
      </c>
      <c r="AI264" s="320">
        <f>IF('Perfil - interna'!AI264+'Perfil - externa'!AI262=0,0,'Perfil - interna'!AI264+'Perfil - externa'!AI262)</f>
        <v>914317.90917353239</v>
      </c>
      <c r="AJ264" s="320">
        <f>IF('Perfil - interna'!AJ264+'Perfil - externa'!AJ262=0,0,'Perfil - interna'!AJ264+'Perfil - externa'!AJ262)</f>
        <v>253972.38520943309</v>
      </c>
      <c r="AK264" s="320">
        <f>IF('Perfil - interna'!AK264+'Perfil - externa'!AK262=0,0,'Perfil - interna'!AK264+'Perfil - externa'!AK262)</f>
        <v>253957.48988715632</v>
      </c>
      <c r="AL264" s="320">
        <f>IF('Perfil - interna'!AL264+'Perfil - externa'!AL262=0,0,'Perfil - interna'!AL264+'Perfil - externa'!AL262)</f>
        <v>253860.2979793566</v>
      </c>
      <c r="AM264" s="320">
        <f>IF('Perfil - interna'!AM264+'Perfil - externa'!AM262=0,0,'Perfil - interna'!AM264+'Perfil - externa'!AM262)</f>
        <v>3606145.3322716104</v>
      </c>
      <c r="AN264" s="320">
        <f>IF('Perfil - interna'!AN264+'Perfil - externa'!AN262=0,0,'Perfil - interna'!AN264+'Perfil - externa'!AN262)</f>
        <v>0</v>
      </c>
      <c r="AO264" s="320"/>
      <c r="AP264" s="320"/>
      <c r="AQ264" s="320"/>
      <c r="AR264" s="320"/>
      <c r="AS264" s="320"/>
      <c r="AT264" s="320"/>
      <c r="AU264" s="320"/>
      <c r="AV264" s="320"/>
      <c r="AW264" s="320"/>
      <c r="AX264" s="320"/>
      <c r="AY264" s="320"/>
      <c r="AZ264" s="320"/>
      <c r="BA264" s="320"/>
      <c r="BB264" s="320"/>
      <c r="BC264" s="320"/>
      <c r="BD264" s="320"/>
      <c r="BE264" s="320"/>
      <c r="BF264" s="320"/>
      <c r="BG264" s="320"/>
      <c r="BH264" s="320"/>
      <c r="BI264" s="320"/>
      <c r="BJ264" s="320"/>
      <c r="BK264" s="320"/>
    </row>
    <row r="265" spans="1:63">
      <c r="A265" s="167"/>
      <c r="B265" s="217" t="str">
        <f>Servicio_internaColumna_título_amortizaciones</f>
        <v>Amortizaciones</v>
      </c>
      <c r="C265" s="218"/>
      <c r="D265" s="219"/>
      <c r="E265" s="219"/>
      <c r="F265" s="219">
        <f>IF('Perfil - interna'!F265+'Perfil - externa'!F263=0,0,'Perfil - interna'!F265+'Perfil - externa'!F263)</f>
        <v>0</v>
      </c>
      <c r="G265" s="219">
        <f>IF('Perfil - interna'!G265+'Perfil - externa'!G263=0,0,'Perfil - interna'!G265+'Perfil - externa'!G263)</f>
        <v>0</v>
      </c>
      <c r="H265" s="219">
        <f>IF('Perfil - interna'!H265+'Perfil - externa'!H263=0,0,'Perfil - interna'!H265+'Perfil - externa'!H263)</f>
        <v>0</v>
      </c>
      <c r="I265" s="219">
        <f>IF('Perfil - interna'!I265+'Perfil - externa'!I263=0,0,'Perfil - interna'!I265+'Perfil - externa'!I263)</f>
        <v>0</v>
      </c>
      <c r="J265" s="219">
        <f>IF('Perfil - interna'!J265+'Perfil - externa'!J263=0,0,'Perfil - interna'!J265+'Perfil - externa'!J263)</f>
        <v>20434085.969913658</v>
      </c>
      <c r="K265" s="219">
        <f>IF('Perfil - interna'!K265+'Perfil - externa'!K263=0,0,'Perfil - interna'!K265+'Perfil - externa'!K263)</f>
        <v>20364817.807222962</v>
      </c>
      <c r="L265" s="219">
        <f>IF('Perfil - interna'!L265+'Perfil - externa'!L263=0,0,'Perfil - interna'!L265+'Perfil - externa'!L263)</f>
        <v>23135594.217127234</v>
      </c>
      <c r="M265" s="219">
        <f>IF('Perfil - interna'!M265+'Perfil - externa'!M263=0,0,'Perfil - interna'!M265+'Perfil - externa'!M263)</f>
        <v>6746862.0835237876</v>
      </c>
      <c r="N265" s="219">
        <f>IF('Perfil - interna'!N265+'Perfil - externa'!N263=0,0,'Perfil - interna'!N265+'Perfil - externa'!N263)</f>
        <v>10309284.13311013</v>
      </c>
      <c r="O265" s="219">
        <f>IF('Perfil - interna'!O265+'Perfil - externa'!O263=0,0,'Perfil - interna'!O265+'Perfil - externa'!O263)</f>
        <v>7192985.740040794</v>
      </c>
      <c r="P265" s="219">
        <f>IF('Perfil - interna'!P265+'Perfil - externa'!P263=0,0,'Perfil - interna'!P265+'Perfil - externa'!P263)</f>
        <v>10523786.55889737</v>
      </c>
      <c r="Q265" s="219">
        <f>IF('Perfil - interna'!Q265+'Perfil - externa'!Q263=0,0,'Perfil - interna'!Q265+'Perfil - externa'!Q263)</f>
        <v>18640971.052714758</v>
      </c>
      <c r="R265" s="219">
        <f>IF('Perfil - interna'!R265+'Perfil - externa'!R263=0,0,'Perfil - interna'!R265+'Perfil - externa'!R263)</f>
        <v>2034538.1292025973</v>
      </c>
      <c r="S265" s="219">
        <f>IF('Perfil - interna'!S265+'Perfil - externa'!S263=0,0,'Perfil - interna'!S265+'Perfil - externa'!S263)</f>
        <v>4446574.7847257806</v>
      </c>
      <c r="T265" s="219">
        <f>IF('Perfil - interna'!T265+'Perfil - externa'!T263=0,0,'Perfil - interna'!T265+'Perfil - externa'!T263)</f>
        <v>1224483.9388737124</v>
      </c>
      <c r="U265" s="219">
        <f>IF('Perfil - interna'!U265+'Perfil - externa'!U263=0,0,'Perfil - interna'!U265+'Perfil - externa'!U263)</f>
        <v>1020742.7630328722</v>
      </c>
      <c r="V265" s="219">
        <f>IF('Perfil - interna'!V265+'Perfil - externa'!V263=0,0,'Perfil - interna'!V265+'Perfil - externa'!V263)</f>
        <v>10330930.777386518</v>
      </c>
      <c r="W265" s="219">
        <f>IF('Perfil - interna'!W265+'Perfil - externa'!W263=0,0,'Perfil - interna'!W265+'Perfil - externa'!W263)</f>
        <v>608292.24357686413</v>
      </c>
      <c r="X265" s="219">
        <f>IF('Perfil - interna'!X265+'Perfil - externa'!X263=0,0,'Perfil - interna'!X265+'Perfil - externa'!X263)</f>
        <v>468120.71313770406</v>
      </c>
      <c r="Y265" s="219">
        <f>IF('Perfil - interna'!Y265+'Perfil - externa'!Y263=0,0,'Perfil - interna'!Y265+'Perfil - externa'!Y263)</f>
        <v>2458864.8853262481</v>
      </c>
      <c r="Z265" s="219">
        <f>IF('Perfil - interna'!Z265+'Perfil - externa'!Z263=0,0,'Perfil - interna'!Z265+'Perfil - externa'!Z263)</f>
        <v>2187195.63268932</v>
      </c>
      <c r="AA265" s="219">
        <f>IF('Perfil - interna'!AA265+'Perfil - externa'!AA263=0,0,'Perfil - interna'!AA265+'Perfil - externa'!AA263)</f>
        <v>217873.85500267203</v>
      </c>
      <c r="AB265" s="219">
        <f>IF('Perfil - interna'!AB265+'Perfil - externa'!AB263=0,0,'Perfil - interna'!AB265+'Perfil - externa'!AB263)</f>
        <v>176830.12620345602</v>
      </c>
      <c r="AC265" s="219">
        <f>IF('Perfil - interna'!AC265+'Perfil - externa'!AC263=0,0,'Perfil - interna'!AC265+'Perfil - externa'!AC263)</f>
        <v>1912959.3970079999</v>
      </c>
      <c r="AD265" s="219">
        <f>IF('Perfil - interna'!AD265+'Perfil - externa'!AD263=0,0,'Perfil - interna'!AD265+'Perfil - externa'!AD263)</f>
        <v>95989.797626184009</v>
      </c>
      <c r="AE265" s="219">
        <f>IF('Perfil - interna'!AE265+'Perfil - externa'!AE263=0,0,'Perfil - interna'!AE265+'Perfil - externa'!AE263)</f>
        <v>54332.471027735992</v>
      </c>
      <c r="AF265" s="219">
        <f>IF('Perfil - interna'!AF265+'Perfil - externa'!AF263=0,0,'Perfil - interna'!AF265+'Perfil - externa'!AF263)</f>
        <v>39789.560259503989</v>
      </c>
      <c r="AG265" s="219">
        <f>IF('Perfil - interna'!AG265+'Perfil - externa'!AG263=0,0,'Perfil - interna'!AG265+'Perfil - externa'!AG263)</f>
        <v>29671.496357183998</v>
      </c>
      <c r="AH265" s="219">
        <f>IF('Perfil - interna'!AH265+'Perfil - externa'!AH263=0,0,'Perfil - interna'!AH265+'Perfil - externa'!AH263)</f>
        <v>6614.8811498879995</v>
      </c>
      <c r="AI265" s="219">
        <f>IF('Perfil - interna'!AI265+'Perfil - externa'!AI263=0,0,'Perfil - interna'!AI265+'Perfil - externa'!AI263)</f>
        <v>626889.71874988801</v>
      </c>
      <c r="AJ265" s="219">
        <f>IF('Perfil - interna'!AJ265+'Perfil - externa'!AJ263=0,0,'Perfil - interna'!AJ265+'Perfil - externa'!AJ263)</f>
        <v>6614.8811498879995</v>
      </c>
      <c r="AK265" s="219">
        <f>IF('Perfil - interna'!AK265+'Perfil - externa'!AK263=0,0,'Perfil - interna'!AK265+'Perfil - externa'!AK263)</f>
        <v>6614.8811498879995</v>
      </c>
      <c r="AL265" s="219">
        <f>IF('Perfil - interna'!AL265+'Perfil - externa'!AL263=0,0,'Perfil - interna'!AL265+'Perfil - externa'!AL263)</f>
        <v>6532.7655531599994</v>
      </c>
      <c r="AM265" s="219">
        <f>IF('Perfil - interna'!AM265+'Perfil - externa'!AM263=0,0,'Perfil - interna'!AM265+'Perfil - externa'!AM263)</f>
        <v>3318848.089446384</v>
      </c>
      <c r="AN265" s="219">
        <f>IF('Perfil - interna'!AN265+'Perfil - externa'!AN263=0,0,'Perfil - interna'!AN265+'Perfil - externa'!AN263)</f>
        <v>0</v>
      </c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</row>
    <row r="266" spans="1:63">
      <c r="A266" s="170">
        <v>39538</v>
      </c>
      <c r="B266" s="220" t="str">
        <f>Servicio_internaColumna_título_intereses</f>
        <v>Intereses</v>
      </c>
      <c r="C266" s="221"/>
      <c r="D266" s="222"/>
      <c r="E266" s="222"/>
      <c r="F266" s="222">
        <f>IF('Perfil - interna'!F266+'Perfil - externa'!F264=0,0,'Perfil - interna'!F266+'Perfil - externa'!F264)</f>
        <v>0</v>
      </c>
      <c r="G266" s="222">
        <f>IF('Perfil - interna'!G266+'Perfil - externa'!G264=0,0,'Perfil - interna'!G266+'Perfil - externa'!G264)</f>
        <v>0</v>
      </c>
      <c r="H266" s="222">
        <f>IF('Perfil - interna'!H266+'Perfil - externa'!H264=0,0,'Perfil - interna'!H266+'Perfil - externa'!H264)</f>
        <v>0</v>
      </c>
      <c r="I266" s="222">
        <f>IF('Perfil - interna'!I266+'Perfil - externa'!I264=0,0,'Perfil - interna'!I266+'Perfil - externa'!I264)</f>
        <v>0</v>
      </c>
      <c r="J266" s="222">
        <f>IF('Perfil - interna'!J266+'Perfil - externa'!J264=0,0,'Perfil - interna'!J266+'Perfil - externa'!J264)</f>
        <v>10382938.519965177</v>
      </c>
      <c r="K266" s="222">
        <f>IF('Perfil - interna'!K266+'Perfil - externa'!K264=0,0,'Perfil - interna'!K266+'Perfil - externa'!K264)</f>
        <v>11178755.11741643</v>
      </c>
      <c r="L266" s="222">
        <f>IF('Perfil - interna'!L266+'Perfil - externa'!L264=0,0,'Perfil - interna'!L266+'Perfil - externa'!L264)</f>
        <v>9230988.2839273848</v>
      </c>
      <c r="M266" s="222">
        <f>IF('Perfil - interna'!M266+'Perfil - externa'!M264=0,0,'Perfil - interna'!M266+'Perfil - externa'!M264)</f>
        <v>7284141.6999579668</v>
      </c>
      <c r="N266" s="222">
        <f>IF('Perfil - interna'!N266+'Perfil - externa'!N264=0,0,'Perfil - interna'!N266+'Perfil - externa'!N264)</f>
        <v>6651598.2536885682</v>
      </c>
      <c r="O266" s="222">
        <f>IF('Perfil - interna'!O266+'Perfil - externa'!O264=0,0,'Perfil - interna'!O266+'Perfil - externa'!O264)</f>
        <v>5650478.4686088273</v>
      </c>
      <c r="P266" s="222">
        <f>IF('Perfil - interna'!P266+'Perfil - externa'!P264=0,0,'Perfil - interna'!P266+'Perfil - externa'!P264)</f>
        <v>5123881.6740343273</v>
      </c>
      <c r="Q266" s="222">
        <f>IF('Perfil - interna'!Q266+'Perfil - externa'!Q264=0,0,'Perfil - interna'!Q266+'Perfil - externa'!Q264)</f>
        <v>4057413.665473707</v>
      </c>
      <c r="R266" s="222">
        <f>IF('Perfil - interna'!R266+'Perfil - externa'!R264=0,0,'Perfil - interna'!R266+'Perfil - externa'!R264)</f>
        <v>2530590.0095824758</v>
      </c>
      <c r="S266" s="222">
        <f>IF('Perfil - interna'!S266+'Perfil - externa'!S264=0,0,'Perfil - interna'!S266+'Perfil - externa'!S264)</f>
        <v>2313261.2083045267</v>
      </c>
      <c r="T266" s="222">
        <f>IF('Perfil - interna'!T266+'Perfil - externa'!T264=0,0,'Perfil - interna'!T266+'Perfil - externa'!T264)</f>
        <v>2122397.7568865567</v>
      </c>
      <c r="U266" s="222">
        <f>IF('Perfil - interna'!U266+'Perfil - externa'!U264=0,0,'Perfil - interna'!U266+'Perfil - externa'!U264)</f>
        <v>2058865.3903375571</v>
      </c>
      <c r="V266" s="222">
        <f>IF('Perfil - interna'!V266+'Perfil - externa'!V264=0,0,'Perfil - interna'!V266+'Perfil - externa'!V264)</f>
        <v>1925920.0419802745</v>
      </c>
      <c r="W266" s="222">
        <f>IF('Perfil - interna'!W266+'Perfil - externa'!W264=0,0,'Perfil - interna'!W266+'Perfil - externa'!W264)</f>
        <v>907480.22273366025</v>
      </c>
      <c r="X266" s="222">
        <f>IF('Perfil - interna'!X266+'Perfil - externa'!X264=0,0,'Perfil - interna'!X266+'Perfil - externa'!X264)</f>
        <v>879590.75370866037</v>
      </c>
      <c r="Y266" s="222">
        <f>IF('Perfil - interna'!Y266+'Perfil - externa'!Y264=0,0,'Perfil - interna'!Y266+'Perfil - externa'!Y264)</f>
        <v>858095.42258227919</v>
      </c>
      <c r="Z266" s="222">
        <f>IF('Perfil - interna'!Z266+'Perfil - externa'!Z264=0,0,'Perfil - interna'!Z266+'Perfil - externa'!Z264)</f>
        <v>608692.31856100785</v>
      </c>
      <c r="AA266" s="222">
        <f>IF('Perfil - interna'!AA266+'Perfil - externa'!AA264=0,0,'Perfil - interna'!AA266+'Perfil - externa'!AA264)</f>
        <v>516349.40741603996</v>
      </c>
      <c r="AB266" s="222">
        <f>IF('Perfil - interna'!AB266+'Perfil - externa'!AB264=0,0,'Perfil - interna'!AB266+'Perfil - externa'!AB264)</f>
        <v>505270.96396999189</v>
      </c>
      <c r="AC266" s="222">
        <f>IF('Perfil - interna'!AC266+'Perfil - externa'!AC264=0,0,'Perfil - interna'!AC266+'Perfil - externa'!AC264)</f>
        <v>484887.42742968001</v>
      </c>
      <c r="AD266" s="222">
        <f>IF('Perfil - interna'!AD266+'Perfil - externa'!AD264=0,0,'Perfil - interna'!AD266+'Perfil - externa'!AD264)</f>
        <v>318275.799773184</v>
      </c>
      <c r="AE266" s="222">
        <f>IF('Perfil - interna'!AE266+'Perfil - externa'!AE264=0,0,'Perfil - interna'!AE266+'Perfil - externa'!AE264)</f>
        <v>313742.86652253597</v>
      </c>
      <c r="AF266" s="222">
        <f>IF('Perfil - interna'!AF266+'Perfil - externa'!AF264=0,0,'Perfil - interna'!AF266+'Perfil - externa'!AF264)</f>
        <v>311300.81559086393</v>
      </c>
      <c r="AG266" s="222">
        <f>IF('Perfil - interna'!AG266+'Perfil - externa'!AG264=0,0,'Perfil - interna'!AG266+'Perfil - externa'!AG264)</f>
        <v>309690.4387452479</v>
      </c>
      <c r="AH266" s="222">
        <f>IF('Perfil - interna'!AH266+'Perfil - externa'!AH264=0,0,'Perfil - interna'!AH266+'Perfil - externa'!AH264)</f>
        <v>308732.89858408796</v>
      </c>
      <c r="AI266" s="222">
        <f>IF('Perfil - interna'!AI266+'Perfil - externa'!AI264=0,0,'Perfil - interna'!AI266+'Perfil - externa'!AI264)</f>
        <v>276541.08530399995</v>
      </c>
      <c r="AJ266" s="222">
        <f>IF('Perfil - interna'!AJ266+'Perfil - externa'!AJ264=0,0,'Perfil - interna'!AJ266+'Perfil - externa'!AJ264)</f>
        <v>244346.55328591197</v>
      </c>
      <c r="AK266" s="222">
        <f>IF('Perfil - interna'!AK266+'Perfil - externa'!AK264=0,0,'Perfil - interna'!AK266+'Perfil - externa'!AK264)</f>
        <v>244331.51089564798</v>
      </c>
      <c r="AL266" s="222">
        <f>IF('Perfil - interna'!AL266+'Perfil - externa'!AL264=0,0,'Perfil - interna'!AL266+'Perfil - externa'!AL264)</f>
        <v>244316.46848716799</v>
      </c>
      <c r="AM266" s="222">
        <f>IF('Perfil - interna'!AM266+'Perfil - externa'!AM264=0,0,'Perfil - interna'!AM266+'Perfil - externa'!AM264)</f>
        <v>244299.62772230399</v>
      </c>
      <c r="AN266" s="222">
        <f>IF('Perfil - interna'!AN266+'Perfil - externa'!AN264=0,0,'Perfil - interna'!AN266+'Perfil - externa'!AN264)</f>
        <v>0</v>
      </c>
      <c r="AO266" s="222"/>
      <c r="AP266" s="222"/>
      <c r="AQ266" s="222"/>
      <c r="AR266" s="222"/>
      <c r="AS266" s="222"/>
      <c r="AT266" s="222"/>
      <c r="AU266" s="222"/>
      <c r="AV266" s="222"/>
      <c r="AW266" s="222"/>
      <c r="AX266" s="222"/>
      <c r="AY266" s="222"/>
      <c r="AZ266" s="222"/>
      <c r="BA266" s="222"/>
      <c r="BB266" s="222"/>
      <c r="BC266" s="222"/>
      <c r="BD266" s="222"/>
      <c r="BE266" s="222"/>
      <c r="BF266" s="222"/>
      <c r="BG266" s="222"/>
      <c r="BH266" s="222"/>
      <c r="BI266" s="222"/>
      <c r="BJ266" s="222"/>
      <c r="BK266" s="222"/>
    </row>
    <row r="267" spans="1:63">
      <c r="A267" s="171"/>
      <c r="B267" s="318" t="str">
        <f>Servicio_internaColumna_título_total</f>
        <v>Total</v>
      </c>
      <c r="C267" s="319"/>
      <c r="D267" s="320"/>
      <c r="E267" s="320"/>
      <c r="F267" s="320">
        <f>IF('Perfil - interna'!F267+'Perfil - externa'!F265=0,0,'Perfil - interna'!F267+'Perfil - externa'!F265)</f>
        <v>0</v>
      </c>
      <c r="G267" s="320">
        <f>IF('Perfil - interna'!G267+'Perfil - externa'!G265=0,0,'Perfil - interna'!G267+'Perfil - externa'!G265)</f>
        <v>0</v>
      </c>
      <c r="H267" s="320">
        <f>IF('Perfil - interna'!H267+'Perfil - externa'!H265=0,0,'Perfil - interna'!H267+'Perfil - externa'!H265)</f>
        <v>0</v>
      </c>
      <c r="I267" s="320">
        <f>IF('Perfil - interna'!I267+'Perfil - externa'!I265=0,0,'Perfil - interna'!I267+'Perfil - externa'!I265)</f>
        <v>0</v>
      </c>
      <c r="J267" s="320">
        <f>IF('Perfil - interna'!J267+'Perfil - externa'!J265=0,0,'Perfil - interna'!J267+'Perfil - externa'!J265)</f>
        <v>30817024.489878833</v>
      </c>
      <c r="K267" s="320">
        <f>IF('Perfil - interna'!K267+'Perfil - externa'!K265=0,0,'Perfil - interna'!K267+'Perfil - externa'!K265)</f>
        <v>31543572.924639393</v>
      </c>
      <c r="L267" s="320">
        <f>IF('Perfil - interna'!L267+'Perfil - externa'!L265=0,0,'Perfil - interna'!L267+'Perfil - externa'!L265)</f>
        <v>32366582.501054622</v>
      </c>
      <c r="M267" s="320">
        <f>IF('Perfil - interna'!M267+'Perfil - externa'!M265=0,0,'Perfil - interna'!M267+'Perfil - externa'!M265)</f>
        <v>14031003.783481754</v>
      </c>
      <c r="N267" s="320">
        <f>IF('Perfil - interna'!N267+'Perfil - externa'!N265=0,0,'Perfil - interna'!N267+'Perfil - externa'!N265)</f>
        <v>16960882.386798698</v>
      </c>
      <c r="O267" s="320">
        <f>IF('Perfil - interna'!O267+'Perfil - externa'!O265=0,0,'Perfil - interna'!O267+'Perfil - externa'!O265)</f>
        <v>12843464.20864962</v>
      </c>
      <c r="P267" s="320">
        <f>IF('Perfil - interna'!P267+'Perfil - externa'!P265=0,0,'Perfil - interna'!P267+'Perfil - externa'!P265)</f>
        <v>15647668.232931698</v>
      </c>
      <c r="Q267" s="320">
        <f>IF('Perfil - interna'!Q267+'Perfil - externa'!Q265=0,0,'Perfil - interna'!Q267+'Perfil - externa'!Q265)</f>
        <v>22698384.718188465</v>
      </c>
      <c r="R267" s="320">
        <f>IF('Perfil - interna'!R267+'Perfil - externa'!R265=0,0,'Perfil - interna'!R267+'Perfil - externa'!R265)</f>
        <v>4565128.1387850726</v>
      </c>
      <c r="S267" s="320">
        <f>IF('Perfil - interna'!S267+'Perfil - externa'!S265=0,0,'Perfil - interna'!S267+'Perfil - externa'!S265)</f>
        <v>6759835.9930303078</v>
      </c>
      <c r="T267" s="320">
        <f>IF('Perfil - interna'!T267+'Perfil - externa'!T265=0,0,'Perfil - interna'!T267+'Perfil - externa'!T265)</f>
        <v>3346881.6957602692</v>
      </c>
      <c r="U267" s="320">
        <f>IF('Perfil - interna'!U267+'Perfil - externa'!U265=0,0,'Perfil - interna'!U267+'Perfil - externa'!U265)</f>
        <v>3079608.1533704293</v>
      </c>
      <c r="V267" s="320">
        <f>IF('Perfil - interna'!V267+'Perfil - externa'!V265=0,0,'Perfil - interna'!V267+'Perfil - externa'!V265)</f>
        <v>12256850.819366794</v>
      </c>
      <c r="W267" s="320">
        <f>IF('Perfil - interna'!W267+'Perfil - externa'!W265=0,0,'Perfil - interna'!W267+'Perfil - externa'!W265)</f>
        <v>1515772.4663105241</v>
      </c>
      <c r="X267" s="320">
        <f>IF('Perfil - interna'!X267+'Perfil - externa'!X265=0,0,'Perfil - interna'!X267+'Perfil - externa'!X265)</f>
        <v>1347711.4668463643</v>
      </c>
      <c r="Y267" s="320">
        <f>IF('Perfil - interna'!Y267+'Perfil - externa'!Y265=0,0,'Perfil - interna'!Y267+'Perfil - externa'!Y265)</f>
        <v>3316960.3079085271</v>
      </c>
      <c r="Z267" s="320">
        <f>IF('Perfil - interna'!Z267+'Perfil - externa'!Z265=0,0,'Perfil - interna'!Z267+'Perfil - externa'!Z265)</f>
        <v>2795887.9512503278</v>
      </c>
      <c r="AA267" s="320">
        <f>IF('Perfil - interna'!AA267+'Perfil - externa'!AA265=0,0,'Perfil - interna'!AA267+'Perfil - externa'!AA265)</f>
        <v>734223.26241871202</v>
      </c>
      <c r="AB267" s="320">
        <f>IF('Perfil - interna'!AB267+'Perfil - externa'!AB265=0,0,'Perfil - interna'!AB267+'Perfil - externa'!AB265)</f>
        <v>682101.09017344797</v>
      </c>
      <c r="AC267" s="320">
        <f>IF('Perfil - interna'!AC267+'Perfil - externa'!AC265=0,0,'Perfil - interna'!AC267+'Perfil - externa'!AC265)</f>
        <v>2397846.8244376797</v>
      </c>
      <c r="AD267" s="320">
        <f>IF('Perfil - interna'!AD267+'Perfil - externa'!AD265=0,0,'Perfil - interna'!AD267+'Perfil - externa'!AD265)</f>
        <v>414265.59739936801</v>
      </c>
      <c r="AE267" s="320">
        <f>IF('Perfil - interna'!AE267+'Perfil - externa'!AE265=0,0,'Perfil - interna'!AE267+'Perfil - externa'!AE265)</f>
        <v>368075.33755027194</v>
      </c>
      <c r="AF267" s="320">
        <f>IF('Perfil - interna'!AF267+'Perfil - externa'!AF265=0,0,'Perfil - interna'!AF267+'Perfil - externa'!AF265)</f>
        <v>351090.37585036794</v>
      </c>
      <c r="AG267" s="320">
        <f>IF('Perfil - interna'!AG267+'Perfil - externa'!AG265=0,0,'Perfil - interna'!AG267+'Perfil - externa'!AG265)</f>
        <v>339361.93510243192</v>
      </c>
      <c r="AH267" s="320">
        <f>IF('Perfil - interna'!AH267+'Perfil - externa'!AH265=0,0,'Perfil - interna'!AH267+'Perfil - externa'!AH265)</f>
        <v>315347.77973397594</v>
      </c>
      <c r="AI267" s="320">
        <f>IF('Perfil - interna'!AI267+'Perfil - externa'!AI265=0,0,'Perfil - interna'!AI267+'Perfil - externa'!AI265)</f>
        <v>903430.80405388796</v>
      </c>
      <c r="AJ267" s="320">
        <f>IF('Perfil - interna'!AJ267+'Perfil - externa'!AJ265=0,0,'Perfil - interna'!AJ267+'Perfil - externa'!AJ265)</f>
        <v>250961.43443579998</v>
      </c>
      <c r="AK267" s="320">
        <f>IF('Perfil - interna'!AK267+'Perfil - externa'!AK265=0,0,'Perfil - interna'!AK267+'Perfil - externa'!AK265)</f>
        <v>250946.39204553599</v>
      </c>
      <c r="AL267" s="320">
        <f>IF('Perfil - interna'!AL267+'Perfil - externa'!AL265=0,0,'Perfil - interna'!AL267+'Perfil - externa'!AL265)</f>
        <v>250849.23404032798</v>
      </c>
      <c r="AM267" s="320">
        <f>IF('Perfil - interna'!AM267+'Perfil - externa'!AM265=0,0,'Perfil - interna'!AM267+'Perfil - externa'!AM265)</f>
        <v>3563147.7171686878</v>
      </c>
      <c r="AN267" s="320">
        <f>IF('Perfil - interna'!AN267+'Perfil - externa'!AN265=0,0,'Perfil - interna'!AN267+'Perfil - externa'!AN265)</f>
        <v>0</v>
      </c>
      <c r="AO267" s="320"/>
      <c r="AP267" s="320"/>
      <c r="AQ267" s="320"/>
      <c r="AR267" s="320"/>
      <c r="AS267" s="320"/>
      <c r="AT267" s="320"/>
      <c r="AU267" s="320"/>
      <c r="AV267" s="320"/>
      <c r="AW267" s="320"/>
      <c r="AX267" s="320"/>
      <c r="AY267" s="320"/>
      <c r="AZ267" s="320"/>
      <c r="BA267" s="320"/>
      <c r="BB267" s="320"/>
      <c r="BC267" s="320"/>
      <c r="BD267" s="320"/>
      <c r="BE267" s="320"/>
      <c r="BF267" s="320"/>
      <c r="BG267" s="320"/>
      <c r="BH267" s="320"/>
      <c r="BI267" s="320"/>
      <c r="BJ267" s="320"/>
      <c r="BK267" s="320"/>
    </row>
    <row r="268" spans="1:63">
      <c r="A268" s="167"/>
      <c r="B268" s="217" t="str">
        <f>Servicio_internaColumna_título_amortizaciones</f>
        <v>Amortizaciones</v>
      </c>
      <c r="C268" s="218"/>
      <c r="D268" s="219"/>
      <c r="E268" s="219"/>
      <c r="F268" s="219">
        <f>IF('Perfil - interna'!F268+'Perfil - externa'!F266=0,0,'Perfil - interna'!F268+'Perfil - externa'!F266)</f>
        <v>0</v>
      </c>
      <c r="G268" s="219">
        <f>IF('Perfil - interna'!G268+'Perfil - externa'!G266=0,0,'Perfil - interna'!G268+'Perfil - externa'!G266)</f>
        <v>0</v>
      </c>
      <c r="H268" s="219">
        <f>IF('Perfil - interna'!H268+'Perfil - externa'!H266=0,0,'Perfil - interna'!H268+'Perfil - externa'!H266)</f>
        <v>0</v>
      </c>
      <c r="I268" s="219">
        <f>IF('Perfil - interna'!I268+'Perfil - externa'!I266=0,0,'Perfil - interna'!I268+'Perfil - externa'!I266)</f>
        <v>0</v>
      </c>
      <c r="J268" s="219">
        <f>IF('Perfil - interna'!J268+'Perfil - externa'!J266=0,0,'Perfil - interna'!J268+'Perfil - externa'!J266)</f>
        <v>14343120.213801743</v>
      </c>
      <c r="K268" s="219">
        <f>IF('Perfil - interna'!K268+'Perfil - externa'!K266=0,0,'Perfil - interna'!K268+'Perfil - externa'!K266)</f>
        <v>20494034.419294823</v>
      </c>
      <c r="L268" s="219">
        <f>IF('Perfil - interna'!L268+'Perfil - externa'!L266=0,0,'Perfil - interna'!L268+'Perfil - externa'!L266)</f>
        <v>23346977.402889207</v>
      </c>
      <c r="M268" s="219">
        <f>IF('Perfil - interna'!M268+'Perfil - externa'!M266=0,0,'Perfil - interna'!M268+'Perfil - externa'!M266)</f>
        <v>7909638.8059085961</v>
      </c>
      <c r="N268" s="219">
        <f>IF('Perfil - interna'!N268+'Perfil - externa'!N266=0,0,'Perfil - interna'!N268+'Perfil - externa'!N266)</f>
        <v>10303995.601939088</v>
      </c>
      <c r="O268" s="219">
        <f>IF('Perfil - interna'!O268+'Perfil - externa'!O266=0,0,'Perfil - interna'!O268+'Perfil - externa'!O266)</f>
        <v>8506846.6382193267</v>
      </c>
      <c r="P268" s="219">
        <f>IF('Perfil - interna'!P268+'Perfil - externa'!P266=0,0,'Perfil - interna'!P268+'Perfil - externa'!P266)</f>
        <v>10512862.678845929</v>
      </c>
      <c r="Q268" s="219">
        <f>IF('Perfil - interna'!Q268+'Perfil - externa'!Q266=0,0,'Perfil - interna'!Q268+'Perfil - externa'!Q266)</f>
        <v>19479556.487294603</v>
      </c>
      <c r="R268" s="219">
        <f>IF('Perfil - interna'!R268+'Perfil - externa'!R266=0,0,'Perfil - interna'!R268+'Perfil - externa'!R266)</f>
        <v>2047346.6225307083</v>
      </c>
      <c r="S268" s="219">
        <f>IF('Perfil - interna'!S268+'Perfil - externa'!S266=0,0,'Perfil - interna'!S268+'Perfil - externa'!S266)</f>
        <v>4400810.3432320645</v>
      </c>
      <c r="T268" s="219">
        <f>IF('Perfil - interna'!T268+'Perfil - externa'!T266=0,0,'Perfil - interna'!T268+'Perfil - externa'!T266)</f>
        <v>1798017.0673680278</v>
      </c>
      <c r="U268" s="219">
        <f>IF('Perfil - interna'!U268+'Perfil - externa'!U266=0,0,'Perfil - interna'!U268+'Perfil - externa'!U266)</f>
        <v>1053012.6616428327</v>
      </c>
      <c r="V268" s="219">
        <f>IF('Perfil - interna'!V268+'Perfil - externa'!V266=0,0,'Perfil - interna'!V268+'Perfil - externa'!V266)</f>
        <v>10336459.148524735</v>
      </c>
      <c r="W268" s="219">
        <f>IF('Perfil - interna'!W268+'Perfil - externa'!W266=0,0,'Perfil - interna'!W268+'Perfil - externa'!W266)</f>
        <v>649932.08958801499</v>
      </c>
      <c r="X268" s="219">
        <f>IF('Perfil - interna'!X268+'Perfil - externa'!X266=0,0,'Perfil - interna'!X268+'Perfil - externa'!X266)</f>
        <v>512876.3327220222</v>
      </c>
      <c r="Y268" s="219">
        <f>IF('Perfil - interna'!Y268+'Perfil - externa'!Y266=0,0,'Perfil - interna'!Y268+'Perfil - externa'!Y266)</f>
        <v>2924121.9085622374</v>
      </c>
      <c r="Z268" s="219">
        <f>IF('Perfil - interna'!Z268+'Perfil - externa'!Z266=0,0,'Perfil - interna'!Z268+'Perfil - externa'!Z266)</f>
        <v>2192871.1827574526</v>
      </c>
      <c r="AA268" s="219">
        <f>IF('Perfil - interna'!AA268+'Perfil - externa'!AA266=0,0,'Perfil - interna'!AA268+'Perfil - externa'!AA266)</f>
        <v>268295.90743286663</v>
      </c>
      <c r="AB268" s="219">
        <f>IF('Perfil - interna'!AB268+'Perfil - externa'!AB266=0,0,'Perfil - interna'!AB268+'Perfil - externa'!AB266)</f>
        <v>228244.10550208238</v>
      </c>
      <c r="AC268" s="219">
        <f>IF('Perfil - interna'!AC268+'Perfil - externa'!AC266=0,0,'Perfil - interna'!AC268+'Perfil - externa'!AC266)</f>
        <v>1918941.4222891373</v>
      </c>
      <c r="AD268" s="219">
        <f>IF('Perfil - interna'!AD268+'Perfil - externa'!AD266=0,0,'Perfil - interna'!AD268+'Perfil - externa'!AD266)</f>
        <v>149191.79555914091</v>
      </c>
      <c r="AE268" s="219">
        <f>IF('Perfil - interna'!AE268+'Perfil - externa'!AE266=0,0,'Perfil - interna'!AE268+'Perfil - externa'!AE266)</f>
        <v>108480.9976980171</v>
      </c>
      <c r="AF268" s="219">
        <f>IF('Perfil - interna'!AF268+'Perfil - externa'!AF266=0,0,'Perfil - interna'!AF268+'Perfil - externa'!AF266)</f>
        <v>94268.527793145404</v>
      </c>
      <c r="AG268" s="219">
        <f>IF('Perfil - interna'!AG268+'Perfil - externa'!AG266=0,0,'Perfil - interna'!AG268+'Perfil - externa'!AG266)</f>
        <v>84380.36434367839</v>
      </c>
      <c r="AH268" s="219">
        <f>IF('Perfil - interna'!AH268+'Perfil - externa'!AH266=0,0,'Perfil - interna'!AH268+'Perfil - externa'!AH266)</f>
        <v>61847.636544940804</v>
      </c>
      <c r="AI268" s="219">
        <f>IF('Perfil - interna'!AI268+'Perfil - externa'!AI266=0,0,'Perfil - interna'!AI268+'Perfil - externa'!AI266)</f>
        <v>640346.45835494087</v>
      </c>
      <c r="AJ268" s="219">
        <f>IF('Perfil - interna'!AJ268+'Perfil - externa'!AJ266=0,0,'Perfil - interna'!AJ268+'Perfil - externa'!AJ266)</f>
        <v>6483.1055449408004</v>
      </c>
      <c r="AK268" s="219">
        <f>IF('Perfil - interna'!AK268+'Perfil - externa'!AK266=0,0,'Perfil - interna'!AK268+'Perfil - externa'!AK266)</f>
        <v>6483.1055449408004</v>
      </c>
      <c r="AL268" s="219">
        <f>IF('Perfil - interna'!AL268+'Perfil - externa'!AL266=0,0,'Perfil - interna'!AL268+'Perfil - externa'!AL266)</f>
        <v>6401.6904889267998</v>
      </c>
      <c r="AM268" s="219">
        <f>IF('Perfil - interna'!AM268+'Perfil - externa'!AM266=0,0,'Perfil - interna'!AM268+'Perfil - externa'!AM266)</f>
        <v>3243454.1389166522</v>
      </c>
      <c r="AN268" s="219">
        <f>IF('Perfil - interna'!AN268+'Perfil - externa'!AN266=0,0,'Perfil - interna'!AN268+'Perfil - externa'!AN266)</f>
        <v>0</v>
      </c>
      <c r="AO268" s="219"/>
      <c r="AP268" s="219"/>
      <c r="AQ268" s="219"/>
      <c r="AR268" s="219"/>
      <c r="AS268" s="219"/>
      <c r="AT268" s="219"/>
      <c r="AU268" s="219"/>
      <c r="AV268" s="219"/>
      <c r="AW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J268" s="219"/>
      <c r="BK268" s="219"/>
    </row>
    <row r="269" spans="1:63">
      <c r="A269" s="170">
        <v>39568</v>
      </c>
      <c r="B269" s="220" t="str">
        <f>Servicio_internaColumna_título_intereses</f>
        <v>Intereses</v>
      </c>
      <c r="C269" s="221"/>
      <c r="D269" s="222"/>
      <c r="E269" s="222"/>
      <c r="F269" s="222">
        <f>IF('Perfil - interna'!F269+'Perfil - externa'!F267=0,0,'Perfil - interna'!F269+'Perfil - externa'!F267)</f>
        <v>0</v>
      </c>
      <c r="G269" s="222">
        <f>IF('Perfil - interna'!G269+'Perfil - externa'!G267=0,0,'Perfil - interna'!G269+'Perfil - externa'!G267)</f>
        <v>0</v>
      </c>
      <c r="H269" s="222">
        <f>IF('Perfil - interna'!H269+'Perfil - externa'!H267=0,0,'Perfil - interna'!H269+'Perfil - externa'!H267)</f>
        <v>0</v>
      </c>
      <c r="I269" s="222">
        <f>IF('Perfil - interna'!I269+'Perfil - externa'!I267=0,0,'Perfil - interna'!I269+'Perfil - externa'!I267)</f>
        <v>0</v>
      </c>
      <c r="J269" s="222">
        <f>IF('Perfil - interna'!J269+'Perfil - externa'!J267=0,0,'Perfil - interna'!J269+'Perfil - externa'!J267)</f>
        <v>9607959.9646503665</v>
      </c>
      <c r="K269" s="222">
        <f>IF('Perfil - interna'!K269+'Perfil - externa'!K267=0,0,'Perfil - interna'!K269+'Perfil - externa'!K267)</f>
        <v>11549305.235561918</v>
      </c>
      <c r="L269" s="222">
        <f>IF('Perfil - interna'!L269+'Perfil - externa'!L267=0,0,'Perfil - interna'!L269+'Perfil - externa'!L267)</f>
        <v>9723664.7069679555</v>
      </c>
      <c r="M269" s="222">
        <f>IF('Perfil - interna'!M269+'Perfil - externa'!M267=0,0,'Perfil - interna'!M269+'Perfil - externa'!M267)</f>
        <v>7685017.717844151</v>
      </c>
      <c r="N269" s="222">
        <f>IF('Perfil - interna'!N269+'Perfil - externa'!N267=0,0,'Perfil - interna'!N269+'Perfil - externa'!N267)</f>
        <v>6925589.9601136334</v>
      </c>
      <c r="O269" s="222">
        <f>IF('Perfil - interna'!O269+'Perfil - externa'!O267=0,0,'Perfil - interna'!O269+'Perfil - externa'!O267)</f>
        <v>6036218.4999165172</v>
      </c>
      <c r="P269" s="222">
        <f>IF('Perfil - interna'!P269+'Perfil - externa'!P267=0,0,'Perfil - interna'!P269+'Perfil - externa'!P267)</f>
        <v>5287541.965590477</v>
      </c>
      <c r="Q269" s="222">
        <f>IF('Perfil - interna'!Q269+'Perfil - externa'!Q267=0,0,'Perfil - interna'!Q269+'Perfil - externa'!Q267)</f>
        <v>4221137.527930758</v>
      </c>
      <c r="R269" s="222">
        <f>IF('Perfil - interna'!R269+'Perfil - externa'!R267=0,0,'Perfil - interna'!R269+'Perfil - externa'!R267)</f>
        <v>2635667.2765650759</v>
      </c>
      <c r="S269" s="222">
        <f>IF('Perfil - interna'!S269+'Perfil - externa'!S267=0,0,'Perfil - interna'!S269+'Perfil - externa'!S267)</f>
        <v>2420806.1315517696</v>
      </c>
      <c r="T269" s="222">
        <f>IF('Perfil - interna'!T269+'Perfil - externa'!T267=0,0,'Perfil - interna'!T269+'Perfil - externa'!T267)</f>
        <v>2231995.7471515308</v>
      </c>
      <c r="U269" s="222">
        <f>IF('Perfil - interna'!U269+'Perfil - externa'!U267=0,0,'Perfil - interna'!U269+'Perfil - externa'!U267)</f>
        <v>2106198.294586299</v>
      </c>
      <c r="V269" s="222">
        <f>IF('Perfil - interna'!V269+'Perfil - externa'!V267=0,0,'Perfil - interna'!V269+'Perfil - externa'!V267)</f>
        <v>1974057.2895276346</v>
      </c>
      <c r="W269" s="222">
        <f>IF('Perfil - interna'!W269+'Perfil - externa'!W267=0,0,'Perfil - interna'!W269+'Perfil - externa'!W267)</f>
        <v>956127.65095605049</v>
      </c>
      <c r="X269" s="222">
        <f>IF('Perfil - interna'!X269+'Perfil - externa'!X267=0,0,'Perfil - interna'!X269+'Perfil - externa'!X267)</f>
        <v>926655.96326586895</v>
      </c>
      <c r="Y269" s="222">
        <f>IF('Perfil - interna'!Y269+'Perfil - externa'!Y267=0,0,'Perfil - interna'!Y269+'Perfil - externa'!Y267)</f>
        <v>903457.91373118677</v>
      </c>
      <c r="Z269" s="222">
        <f>IF('Perfil - interna'!Z269+'Perfil - externa'!Z267=0,0,'Perfil - interna'!Z269+'Perfil - externa'!Z267)</f>
        <v>623474.69957235036</v>
      </c>
      <c r="AA269" s="222">
        <f>IF('Perfil - interna'!AA269+'Perfil - externa'!AA267=0,0,'Perfil - interna'!AA269+'Perfil - externa'!AA267)</f>
        <v>530035.0514052388</v>
      </c>
      <c r="AB269" s="222">
        <f>IF('Perfil - interna'!AB269+'Perfil - externa'!AB267=0,0,'Perfil - interna'!AB269+'Perfil - externa'!AB267)</f>
        <v>516053.57968074648</v>
      </c>
      <c r="AC269" s="222">
        <f>IF('Perfil - interna'!AC269+'Perfil - externa'!AC267=0,0,'Perfil - interna'!AC269+'Perfil - externa'!AC267)</f>
        <v>492980.08505620132</v>
      </c>
      <c r="AD269" s="222">
        <f>IF('Perfil - interna'!AD269+'Perfil - externa'!AD267=0,0,'Perfil - interna'!AD269+'Perfil - externa'!AD267)</f>
        <v>327615.36167409347</v>
      </c>
      <c r="AE269" s="222">
        <f>IF('Perfil - interna'!AE269+'Perfil - externa'!AE267=0,0,'Perfil - interna'!AE269+'Perfil - externa'!AE267)</f>
        <v>320007.48147927341</v>
      </c>
      <c r="AF269" s="222">
        <f>IF('Perfil - interna'!AF269+'Perfil - externa'!AF267=0,0,'Perfil - interna'!AF269+'Perfil - externa'!AF267)</f>
        <v>314469.81945646449</v>
      </c>
      <c r="AG269" s="222">
        <f>IF('Perfil - interna'!AG269+'Perfil - externa'!AG267=0,0,'Perfil - interna'!AG269+'Perfil - externa'!AG267)</f>
        <v>309744.93443716591</v>
      </c>
      <c r="AH269" s="222">
        <f>IF('Perfil - interna'!AH269+'Perfil - externa'!AH267=0,0,'Perfil - interna'!AH269+'Perfil - externa'!AH267)</f>
        <v>305665.37374485517</v>
      </c>
      <c r="AI269" s="222">
        <f>IF('Perfil - interna'!AI269+'Perfil - externa'!AI267=0,0,'Perfil - interna'!AI269+'Perfil - externa'!AI267)</f>
        <v>271046.59570998861</v>
      </c>
      <c r="AJ269" s="222">
        <f>IF('Perfil - interna'!AJ269+'Perfil - externa'!AJ267=0,0,'Perfil - interna'!AJ269+'Perfil - externa'!AJ267)</f>
        <v>238795.82118696719</v>
      </c>
      <c r="AK269" s="222">
        <f>IF('Perfil - interna'!AK269+'Perfil - externa'!AK267=0,0,'Perfil - interna'!AK269+'Perfil - externa'!AK267)</f>
        <v>238780.77805642519</v>
      </c>
      <c r="AL269" s="222">
        <f>IF('Perfil - interna'!AL269+'Perfil - externa'!AL267=0,0,'Perfil - interna'!AL269+'Perfil - externa'!AL267)</f>
        <v>238765.7349080811</v>
      </c>
      <c r="AM269" s="222">
        <f>IF('Perfil - interna'!AM269+'Perfil - externa'!AM267=0,0,'Perfil - interna'!AM269+'Perfil - externa'!AM267)</f>
        <v>238748.94750997901</v>
      </c>
      <c r="AN269" s="222">
        <f>IF('Perfil - interna'!AN269+'Perfil - externa'!AN267=0,0,'Perfil - interna'!AN269+'Perfil - externa'!AN267)</f>
        <v>0</v>
      </c>
      <c r="AO269" s="222"/>
      <c r="AP269" s="222"/>
      <c r="AQ269" s="222"/>
      <c r="AR269" s="222"/>
      <c r="AS269" s="222"/>
      <c r="AT269" s="222"/>
      <c r="AU269" s="222"/>
      <c r="AV269" s="222"/>
      <c r="AW269" s="222"/>
      <c r="AX269" s="222"/>
      <c r="AY269" s="222"/>
      <c r="AZ269" s="222"/>
      <c r="BA269" s="222"/>
      <c r="BB269" s="222"/>
      <c r="BC269" s="222"/>
      <c r="BD269" s="222"/>
      <c r="BE269" s="222"/>
      <c r="BF269" s="222"/>
      <c r="BG269" s="222"/>
      <c r="BH269" s="222"/>
      <c r="BI269" s="222"/>
      <c r="BJ269" s="222"/>
      <c r="BK269" s="222"/>
    </row>
    <row r="270" spans="1:63">
      <c r="A270" s="171"/>
      <c r="B270" s="318" t="str">
        <f>Servicio_internaColumna_título_total</f>
        <v>Total</v>
      </c>
      <c r="C270" s="319"/>
      <c r="D270" s="320"/>
      <c r="E270" s="320"/>
      <c r="F270" s="320">
        <f>IF('Perfil - interna'!F270+'Perfil - externa'!F268=0,0,'Perfil - interna'!F270+'Perfil - externa'!F268)</f>
        <v>0</v>
      </c>
      <c r="G270" s="320">
        <f>IF('Perfil - interna'!G270+'Perfil - externa'!G268=0,0,'Perfil - interna'!G270+'Perfil - externa'!G268)</f>
        <v>0</v>
      </c>
      <c r="H270" s="320">
        <f>IF('Perfil - interna'!H270+'Perfil - externa'!H268=0,0,'Perfil - interna'!H270+'Perfil - externa'!H268)</f>
        <v>0</v>
      </c>
      <c r="I270" s="320">
        <f>IF('Perfil - interna'!I270+'Perfil - externa'!I268=0,0,'Perfil - interna'!I270+'Perfil - externa'!I268)</f>
        <v>0</v>
      </c>
      <c r="J270" s="320">
        <f>IF('Perfil - interna'!J270+'Perfil - externa'!J268=0,0,'Perfil - interna'!J270+'Perfil - externa'!J268)</f>
        <v>23951080.178452112</v>
      </c>
      <c r="K270" s="320">
        <f>IF('Perfil - interna'!K270+'Perfil - externa'!K268=0,0,'Perfil - interna'!K270+'Perfil - externa'!K268)</f>
        <v>32043339.654856741</v>
      </c>
      <c r="L270" s="320">
        <f>IF('Perfil - interna'!L270+'Perfil - externa'!L268=0,0,'Perfil - interna'!L270+'Perfil - externa'!L268)</f>
        <v>33070642.109857161</v>
      </c>
      <c r="M270" s="320">
        <f>IF('Perfil - interna'!M270+'Perfil - externa'!M268=0,0,'Perfil - interna'!M270+'Perfil - externa'!M268)</f>
        <v>15594656.523752747</v>
      </c>
      <c r="N270" s="320">
        <f>IF('Perfil - interna'!N270+'Perfil - externa'!N268=0,0,'Perfil - interna'!N270+'Perfil - externa'!N268)</f>
        <v>17229585.562052719</v>
      </c>
      <c r="O270" s="320">
        <f>IF('Perfil - interna'!O270+'Perfil - externa'!O268=0,0,'Perfil - interna'!O270+'Perfil - externa'!O268)</f>
        <v>14543065.138135845</v>
      </c>
      <c r="P270" s="320">
        <f>IF('Perfil - interna'!P270+'Perfil - externa'!P268=0,0,'Perfil - interna'!P270+'Perfil - externa'!P268)</f>
        <v>15800404.644436406</v>
      </c>
      <c r="Q270" s="320">
        <f>IF('Perfil - interna'!Q270+'Perfil - externa'!Q268=0,0,'Perfil - interna'!Q270+'Perfil - externa'!Q268)</f>
        <v>23700694.015225358</v>
      </c>
      <c r="R270" s="320">
        <f>IF('Perfil - interna'!R270+'Perfil - externa'!R268=0,0,'Perfil - interna'!R270+'Perfil - externa'!R268)</f>
        <v>4683013.8990957839</v>
      </c>
      <c r="S270" s="320">
        <f>IF('Perfil - interna'!S270+'Perfil - externa'!S268=0,0,'Perfil - interna'!S270+'Perfil - externa'!S268)</f>
        <v>6821616.474783835</v>
      </c>
      <c r="T270" s="320">
        <f>IF('Perfil - interna'!T270+'Perfil - externa'!T268=0,0,'Perfil - interna'!T270+'Perfil - externa'!T268)</f>
        <v>4030012.8145195586</v>
      </c>
      <c r="U270" s="320">
        <f>IF('Perfil - interna'!U270+'Perfil - externa'!U268=0,0,'Perfil - interna'!U270+'Perfil - externa'!U268)</f>
        <v>3159210.9562291321</v>
      </c>
      <c r="V270" s="320">
        <f>IF('Perfil - interna'!V270+'Perfil - externa'!V268=0,0,'Perfil - interna'!V270+'Perfil - externa'!V268)</f>
        <v>12310516.438052369</v>
      </c>
      <c r="W270" s="320">
        <f>IF('Perfil - interna'!W270+'Perfil - externa'!W268=0,0,'Perfil - interna'!W270+'Perfil - externa'!W268)</f>
        <v>1606059.7405440654</v>
      </c>
      <c r="X270" s="320">
        <f>IF('Perfil - interna'!X270+'Perfil - externa'!X268=0,0,'Perfil - interna'!X270+'Perfil - externa'!X268)</f>
        <v>1439532.295987891</v>
      </c>
      <c r="Y270" s="320">
        <f>IF('Perfil - interna'!Y270+'Perfil - externa'!Y268=0,0,'Perfil - interna'!Y270+'Perfil - externa'!Y268)</f>
        <v>3827579.822293424</v>
      </c>
      <c r="Z270" s="320">
        <f>IF('Perfil - interna'!Z270+'Perfil - externa'!Z268=0,0,'Perfil - interna'!Z270+'Perfil - externa'!Z268)</f>
        <v>2816345.882329803</v>
      </c>
      <c r="AA270" s="320">
        <f>IF('Perfil - interna'!AA270+'Perfil - externa'!AA268=0,0,'Perfil - interna'!AA270+'Perfil - externa'!AA268)</f>
        <v>798330.95883810543</v>
      </c>
      <c r="AB270" s="320">
        <f>IF('Perfil - interna'!AB270+'Perfil - externa'!AB268=0,0,'Perfil - interna'!AB270+'Perfil - externa'!AB268)</f>
        <v>744297.68518282892</v>
      </c>
      <c r="AC270" s="320">
        <f>IF('Perfil - interna'!AC270+'Perfil - externa'!AC268=0,0,'Perfil - interna'!AC270+'Perfil - externa'!AC268)</f>
        <v>2411921.5073453384</v>
      </c>
      <c r="AD270" s="320">
        <f>IF('Perfil - interna'!AD270+'Perfil - externa'!AD268=0,0,'Perfil - interna'!AD270+'Perfil - externa'!AD268)</f>
        <v>476807.15723323438</v>
      </c>
      <c r="AE270" s="320">
        <f>IF('Perfil - interna'!AE270+'Perfil - externa'!AE268=0,0,'Perfil - interna'!AE270+'Perfil - externa'!AE268)</f>
        <v>428488.47917729052</v>
      </c>
      <c r="AF270" s="320">
        <f>IF('Perfil - interna'!AF270+'Perfil - externa'!AF268=0,0,'Perfil - interna'!AF270+'Perfil - externa'!AF268)</f>
        <v>408738.34724960988</v>
      </c>
      <c r="AG270" s="320">
        <f>IF('Perfil - interna'!AG270+'Perfil - externa'!AG268=0,0,'Perfil - interna'!AG270+'Perfil - externa'!AG268)</f>
        <v>394125.29878084431</v>
      </c>
      <c r="AH270" s="320">
        <f>IF('Perfil - interna'!AH270+'Perfil - externa'!AH268=0,0,'Perfil - interna'!AH270+'Perfil - externa'!AH268)</f>
        <v>367513.01028979599</v>
      </c>
      <c r="AI270" s="320">
        <f>IF('Perfil - interna'!AI270+'Perfil - externa'!AI268=0,0,'Perfil - interna'!AI270+'Perfil - externa'!AI268)</f>
        <v>911393.05406492949</v>
      </c>
      <c r="AJ270" s="320">
        <f>IF('Perfil - interna'!AJ270+'Perfil - externa'!AJ268=0,0,'Perfil - interna'!AJ270+'Perfil - externa'!AJ268)</f>
        <v>245278.926731908</v>
      </c>
      <c r="AK270" s="320">
        <f>IF('Perfil - interna'!AK270+'Perfil - externa'!AK268=0,0,'Perfil - interna'!AK270+'Perfil - externa'!AK268)</f>
        <v>245263.88360136599</v>
      </c>
      <c r="AL270" s="320">
        <f>IF('Perfil - interna'!AL270+'Perfil - externa'!AL268=0,0,'Perfil - interna'!AL270+'Perfil - externa'!AL268)</f>
        <v>245167.4253970079</v>
      </c>
      <c r="AM270" s="320">
        <f>IF('Perfil - interna'!AM270+'Perfil - externa'!AM268=0,0,'Perfil - interna'!AM270+'Perfil - externa'!AM268)</f>
        <v>3482203.0864266311</v>
      </c>
      <c r="AN270" s="320">
        <f>IF('Perfil - interna'!AN270+'Perfil - externa'!AN268=0,0,'Perfil - interna'!AN270+'Perfil - externa'!AN268)</f>
        <v>0</v>
      </c>
      <c r="AO270" s="320"/>
      <c r="AP270" s="320"/>
      <c r="AQ270" s="320"/>
      <c r="AR270" s="320"/>
      <c r="AS270" s="320"/>
      <c r="AT270" s="320"/>
      <c r="AU270" s="320"/>
      <c r="AV270" s="320"/>
      <c r="AW270" s="320"/>
      <c r="AX270" s="320"/>
      <c r="AY270" s="320"/>
      <c r="AZ270" s="320"/>
      <c r="BA270" s="320"/>
      <c r="BB270" s="320"/>
      <c r="BC270" s="320"/>
      <c r="BD270" s="320"/>
      <c r="BE270" s="320"/>
      <c r="BF270" s="320"/>
      <c r="BG270" s="320"/>
      <c r="BH270" s="320"/>
      <c r="BI270" s="320"/>
      <c r="BJ270" s="320"/>
      <c r="BK270" s="320"/>
    </row>
    <row r="271" spans="1:63">
      <c r="A271" s="167"/>
      <c r="B271" s="217" t="str">
        <f>Servicio_internaColumna_título_amortizaciones</f>
        <v>Amortizaciones</v>
      </c>
      <c r="C271" s="218"/>
      <c r="D271" s="219"/>
      <c r="E271" s="219"/>
      <c r="F271" s="219">
        <f>IF('Perfil - interna'!F271+'Perfil - externa'!F269=0,0,'Perfil - interna'!F271+'Perfil - externa'!F269)</f>
        <v>0</v>
      </c>
      <c r="G271" s="219">
        <f>IF('Perfil - interna'!G271+'Perfil - externa'!G269=0,0,'Perfil - interna'!G271+'Perfil - externa'!G269)</f>
        <v>0</v>
      </c>
      <c r="H271" s="219">
        <f>IF('Perfil - interna'!H271+'Perfil - externa'!H269=0,0,'Perfil - interna'!H271+'Perfil - externa'!H269)</f>
        <v>0</v>
      </c>
      <c r="I271" s="219">
        <f>IF('Perfil - interna'!I271+'Perfil - externa'!I269=0,0,'Perfil - interna'!I271+'Perfil - externa'!I269)</f>
        <v>0</v>
      </c>
      <c r="J271" s="219">
        <f>IF('Perfil - interna'!J271+'Perfil - externa'!J269=0,0,'Perfil - interna'!J271+'Perfil - externa'!J269)</f>
        <v>13605855.60170383</v>
      </c>
      <c r="K271" s="219">
        <f>IF('Perfil - interna'!K271+'Perfil - externa'!K269=0,0,'Perfil - interna'!K271+'Perfil - externa'!K269)</f>
        <v>20058205.799209908</v>
      </c>
      <c r="L271" s="219">
        <f>IF('Perfil - interna'!L271+'Perfil - externa'!L269=0,0,'Perfil - interna'!L271+'Perfil - externa'!L269)</f>
        <v>23219159.494837843</v>
      </c>
      <c r="M271" s="219">
        <f>IF('Perfil - interna'!M271+'Perfil - externa'!M269=0,0,'Perfil - interna'!M271+'Perfil - externa'!M269)</f>
        <v>8810820.1104252711</v>
      </c>
      <c r="N271" s="219">
        <f>IF('Perfil - interna'!N271+'Perfil - externa'!N269=0,0,'Perfil - interna'!N271+'Perfil - externa'!N269)</f>
        <v>10250215.732609266</v>
      </c>
      <c r="O271" s="219">
        <f>IF('Perfil - interna'!O271+'Perfil - externa'!O269=0,0,'Perfil - interna'!O271+'Perfil - externa'!O269)</f>
        <v>9247311.0544592384</v>
      </c>
      <c r="P271" s="219">
        <f>IF('Perfil - interna'!P271+'Perfil - externa'!P269=0,0,'Perfil - interna'!P271+'Perfil - externa'!P269)</f>
        <v>10423339.97254945</v>
      </c>
      <c r="Q271" s="219">
        <f>IF('Perfil - interna'!Q271+'Perfil - externa'!Q269=0,0,'Perfil - interna'!Q271+'Perfil - externa'!Q269)</f>
        <v>19856491.93474007</v>
      </c>
      <c r="R271" s="219">
        <f>IF('Perfil - interna'!R271+'Perfil - externa'!R269=0,0,'Perfil - interna'!R271+'Perfil - externa'!R269)</f>
        <v>2001212.0473225275</v>
      </c>
      <c r="S271" s="219">
        <f>IF('Perfil - interna'!S271+'Perfil - externa'!S269=0,0,'Perfil - interna'!S271+'Perfil - externa'!S269)</f>
        <v>4303143.506178569</v>
      </c>
      <c r="T271" s="219">
        <f>IF('Perfil - interna'!T271+'Perfil - externa'!T269=0,0,'Perfil - interna'!T271+'Perfil - externa'!T269)</f>
        <v>2209921.4901297819</v>
      </c>
      <c r="U271" s="219">
        <f>IF('Perfil - interna'!U271+'Perfil - externa'!U269=0,0,'Perfil - interna'!U271+'Perfil - externa'!U269)</f>
        <v>1016859.6616974939</v>
      </c>
      <c r="V271" s="219">
        <f>IF('Perfil - interna'!V271+'Perfil - externa'!V269=0,0,'Perfil - interna'!V271+'Perfil - externa'!V269)</f>
        <v>10374615.76239424</v>
      </c>
      <c r="W271" s="219">
        <f>IF('Perfil - interna'!W271+'Perfil - externa'!W269=0,0,'Perfil - interna'!W271+'Perfil - externa'!W269)</f>
        <v>634945.80708983098</v>
      </c>
      <c r="X271" s="219">
        <f>IF('Perfil - interna'!X271+'Perfil - externa'!X269=0,0,'Perfil - interna'!X271+'Perfil - externa'!X269)</f>
        <v>500699.08850199031</v>
      </c>
      <c r="Y271" s="219">
        <f>IF('Perfil - interna'!Y271+'Perfil - externa'!Y269=0,0,'Perfil - interna'!Y271+'Perfil - externa'!Y269)</f>
        <v>3020590.85638317</v>
      </c>
      <c r="Z271" s="219">
        <f>IF('Perfil - interna'!Z271+'Perfil - externa'!Z269=0,0,'Perfil - interna'!Z271+'Perfil - externa'!Z269)</f>
        <v>2144253.2559140385</v>
      </c>
      <c r="AA271" s="219">
        <f>IF('Perfil - interna'!AA271+'Perfil - externa'!AA269=0,0,'Perfil - interna'!AA271+'Perfil - externa'!AA269)</f>
        <v>258813.60203651825</v>
      </c>
      <c r="AB271" s="219">
        <f>IF('Perfil - interna'!AB271+'Perfil - externa'!AB269=0,0,'Perfil - interna'!AB271+'Perfil - externa'!AB269)</f>
        <v>219518.1071621656</v>
      </c>
      <c r="AC271" s="219">
        <f>IF('Perfil - interna'!AC271+'Perfil - externa'!AC269=0,0,'Perfil - interna'!AC271+'Perfil - externa'!AC269)</f>
        <v>1910216.282959413</v>
      </c>
      <c r="AD271" s="219">
        <f>IF('Perfil - interna'!AD271+'Perfil - externa'!AD269=0,0,'Perfil - interna'!AD271+'Perfil - externa'!AD269)</f>
        <v>142098.81970165833</v>
      </c>
      <c r="AE271" s="219">
        <f>IF('Perfil - interna'!AE271+'Perfil - externa'!AE269=0,0,'Perfil - interna'!AE271+'Perfil - externa'!AE269)</f>
        <v>102215.8628719705</v>
      </c>
      <c r="AF271" s="219">
        <f>IF('Perfil - interna'!AF271+'Perfil - externa'!AF269=0,0,'Perfil - interna'!AF271+'Perfil - externa'!AF269)</f>
        <v>88292.398989172812</v>
      </c>
      <c r="AG271" s="219">
        <f>IF('Perfil - interna'!AG271+'Perfil - externa'!AG269=0,0,'Perfil - interna'!AG271+'Perfil - externa'!AG269)</f>
        <v>78605.308175445796</v>
      </c>
      <c r="AH271" s="219">
        <f>IF('Perfil - interna'!AH271+'Perfil - externa'!AH269=0,0,'Perfil - interna'!AH271+'Perfil - externa'!AH269)</f>
        <v>56530.776177380205</v>
      </c>
      <c r="AI271" s="219">
        <f>IF('Perfil - interna'!AI271+'Perfil - externa'!AI269=0,0,'Perfil - interna'!AI271+'Perfil - externa'!AI269)</f>
        <v>634710.03716834716</v>
      </c>
      <c r="AJ271" s="219">
        <f>IF('Perfil - interna'!AJ271+'Perfil - externa'!AJ269=0,0,'Perfil - interna'!AJ271+'Perfil - externa'!AJ269)</f>
        <v>1461.5842183553998</v>
      </c>
      <c r="AK271" s="219">
        <f>IF('Perfil - interna'!AK271+'Perfil - externa'!AK269=0,0,'Perfil - interna'!AK271+'Perfil - externa'!AK269)</f>
        <v>1461.5842183553998</v>
      </c>
      <c r="AL271" s="219">
        <f>IF('Perfil - interna'!AL271+'Perfil - externa'!AL269=0,0,'Perfil - interna'!AL271+'Perfil - externa'!AL269)</f>
        <v>1382.4710589674999</v>
      </c>
      <c r="AM271" s="219">
        <f>IF('Perfil - interna'!AM271+'Perfil - externa'!AM269=0,0,'Perfil - interna'!AM271+'Perfil - externa'!AM269)</f>
        <v>3172611.141393817</v>
      </c>
      <c r="AN271" s="219">
        <f>IF('Perfil - interna'!AN271+'Perfil - externa'!AN269=0,0,'Perfil - interna'!AN271+'Perfil - externa'!AN269)</f>
        <v>0</v>
      </c>
      <c r="AO271" s="219"/>
      <c r="AP271" s="219"/>
      <c r="AQ271" s="219"/>
      <c r="AR271" s="219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J271" s="219"/>
      <c r="BK271" s="219"/>
    </row>
    <row r="272" spans="1:63">
      <c r="A272" s="170">
        <v>39599</v>
      </c>
      <c r="B272" s="220" t="str">
        <f>Servicio_internaColumna_título_intereses</f>
        <v>Intereses</v>
      </c>
      <c r="C272" s="221"/>
      <c r="D272" s="222"/>
      <c r="E272" s="222"/>
      <c r="F272" s="222">
        <f>IF('Perfil - interna'!F272+'Perfil - externa'!F270=0,0,'Perfil - interna'!F272+'Perfil - externa'!F270)</f>
        <v>0</v>
      </c>
      <c r="G272" s="222">
        <f>IF('Perfil - interna'!G272+'Perfil - externa'!G270=0,0,'Perfil - interna'!G272+'Perfil - externa'!G270)</f>
        <v>0</v>
      </c>
      <c r="H272" s="222">
        <f>IF('Perfil - interna'!H272+'Perfil - externa'!H270=0,0,'Perfil - interna'!H272+'Perfil - externa'!H270)</f>
        <v>0</v>
      </c>
      <c r="I272" s="222">
        <f>IF('Perfil - interna'!I272+'Perfil - externa'!I270=0,0,'Perfil - interna'!I272+'Perfil - externa'!I270)</f>
        <v>0</v>
      </c>
      <c r="J272" s="222">
        <f>IF('Perfil - interna'!J272+'Perfil - externa'!J270=0,0,'Perfil - interna'!J272+'Perfil - externa'!J270)</f>
        <v>8417361.7821284477</v>
      </c>
      <c r="K272" s="222">
        <f>IF('Perfil - interna'!K272+'Perfil - externa'!K270=0,0,'Perfil - interna'!K272+'Perfil - externa'!K270)</f>
        <v>11817160.130656235</v>
      </c>
      <c r="L272" s="222">
        <f>IF('Perfil - interna'!L272+'Perfil - externa'!L270=0,0,'Perfil - interna'!L272+'Perfil - externa'!L270)</f>
        <v>9919290.1588393711</v>
      </c>
      <c r="M272" s="222">
        <f>IF('Perfil - interna'!M272+'Perfil - externa'!M270=0,0,'Perfil - interna'!M272+'Perfil - externa'!M270)</f>
        <v>7928458.6481035184</v>
      </c>
      <c r="N272" s="222">
        <f>IF('Perfil - interna'!N272+'Perfil - externa'!N270=0,0,'Perfil - interna'!N272+'Perfil - externa'!N270)</f>
        <v>7078716.2905528303</v>
      </c>
      <c r="O272" s="222">
        <f>IF('Perfil - interna'!O272+'Perfil - externa'!O270=0,0,'Perfil - interna'!O272+'Perfil - externa'!O270)</f>
        <v>6078098.1284778006</v>
      </c>
      <c r="P272" s="222">
        <f>IF('Perfil - interna'!P272+'Perfil - externa'!P270=0,0,'Perfil - interna'!P272+'Perfil - externa'!P270)</f>
        <v>5352820.3413129319</v>
      </c>
      <c r="Q272" s="222">
        <f>IF('Perfil - interna'!Q272+'Perfil - externa'!Q270=0,0,'Perfil - interna'!Q272+'Perfil - externa'!Q270)</f>
        <v>4306109.0482026907</v>
      </c>
      <c r="R272" s="222">
        <f>IF('Perfil - interna'!R272+'Perfil - externa'!R270=0,0,'Perfil - interna'!R272+'Perfil - externa'!R270)</f>
        <v>2683150.830584391</v>
      </c>
      <c r="S272" s="222">
        <f>IF('Perfil - interna'!S272+'Perfil - externa'!S270=0,0,'Perfil - interna'!S272+'Perfil - externa'!S270)</f>
        <v>2472204.893589085</v>
      </c>
      <c r="T272" s="222">
        <f>IF('Perfil - interna'!T272+'Perfil - externa'!T270=0,0,'Perfil - interna'!T272+'Perfil - externa'!T270)</f>
        <v>2286761.4967463096</v>
      </c>
      <c r="U272" s="222">
        <f>IF('Perfil - interna'!U272+'Perfil - externa'!U270=0,0,'Perfil - interna'!U272+'Perfil - externa'!U270)</f>
        <v>2110686.8227688107</v>
      </c>
      <c r="V272" s="222">
        <f>IF('Perfil - interna'!V272+'Perfil - externa'!V270=0,0,'Perfil - interna'!V272+'Perfil - externa'!V270)</f>
        <v>1980845.9994543865</v>
      </c>
      <c r="W272" s="222">
        <f>IF('Perfil - interna'!W272+'Perfil - externa'!W270=0,0,'Perfil - interna'!W272+'Perfil - externa'!W270)</f>
        <v>955952.9666101234</v>
      </c>
      <c r="X272" s="222">
        <f>IF('Perfil - interna'!X272+'Perfil - externa'!X270=0,0,'Perfil - interna'!X272+'Perfil - externa'!X270)</f>
        <v>927260.53725258633</v>
      </c>
      <c r="Y272" s="222">
        <f>IF('Perfil - interna'!Y272+'Perfil - externa'!Y270=0,0,'Perfil - interna'!Y272+'Perfil - externa'!Y270)</f>
        <v>904756.7669333847</v>
      </c>
      <c r="Z272" s="222">
        <f>IF('Perfil - interna'!Z272+'Perfil - externa'!Z270=0,0,'Perfil - interna'!Z272+'Perfil - externa'!Z270)</f>
        <v>615323.81477377238</v>
      </c>
      <c r="AA272" s="222">
        <f>IF('Perfil - interna'!AA272+'Perfil - externa'!AA270=0,0,'Perfil - interna'!AA272+'Perfil - externa'!AA270)</f>
        <v>523723.29866526678</v>
      </c>
      <c r="AB272" s="222">
        <f>IF('Perfil - interna'!AB272+'Perfil - externa'!AB270=0,0,'Perfil - interna'!AB272+'Perfil - externa'!AB270)</f>
        <v>509975.28475216374</v>
      </c>
      <c r="AC272" s="222">
        <f>IF('Perfil - interna'!AC272+'Perfil - externa'!AC270=0,0,'Perfil - interna'!AC272+'Perfil - externa'!AC270)</f>
        <v>487322.27138641686</v>
      </c>
      <c r="AD272" s="222">
        <f>IF('Perfil - interna'!AD272+'Perfil - externa'!AD270=0,0,'Perfil - interna'!AD272+'Perfil - externa'!AD270)</f>
        <v>321886.01247713406</v>
      </c>
      <c r="AE272" s="222">
        <f>IF('Perfil - interna'!AE272+'Perfil - externa'!AE270=0,0,'Perfil - interna'!AE272+'Perfil - externa'!AE270)</f>
        <v>314383.03624932806</v>
      </c>
      <c r="AF272" s="222">
        <f>IF('Perfil - interna'!AF272+'Perfil - externa'!AF270=0,0,'Perfil - interna'!AF272+'Perfil - externa'!AF270)</f>
        <v>308908.1808133084</v>
      </c>
      <c r="AG272" s="222">
        <f>IF('Perfil - interna'!AG272+'Perfil - externa'!AG270=0,0,'Perfil - interna'!AG272+'Perfil - externa'!AG270)</f>
        <v>304229.57476851268</v>
      </c>
      <c r="AH272" s="222">
        <f>IF('Perfil - interna'!AH272+'Perfil - externa'!AH270=0,0,'Perfil - interna'!AH272+'Perfil - externa'!AH270)</f>
        <v>300183.17058726685</v>
      </c>
      <c r="AI272" s="222">
        <f>IF('Perfil - interna'!AI272+'Perfil - externa'!AI270=0,0,'Perfil - interna'!AI272+'Perfil - externa'!AI270)</f>
        <v>266218.5544208241</v>
      </c>
      <c r="AJ272" s="222">
        <f>IF('Perfil - interna'!AJ272+'Perfil - externa'!AJ270=0,0,'Perfil - interna'!AJ272+'Perfil - externa'!AJ270)</f>
        <v>233939.57442591092</v>
      </c>
      <c r="AK272" s="222">
        <f>IF('Perfil - interna'!AK272+'Perfil - externa'!AK270=0,0,'Perfil - interna'!AK272+'Perfil - externa'!AK270)</f>
        <v>233924.95058813909</v>
      </c>
      <c r="AL272" s="222">
        <f>IF('Perfil - interna'!AL272+'Perfil - externa'!AL270=0,0,'Perfil - interna'!AL272+'Perfil - externa'!AL270)</f>
        <v>233910.32669804699</v>
      </c>
      <c r="AM272" s="222">
        <f>IF('Perfil - interna'!AM272+'Perfil - externa'!AM270=0,0,'Perfil - interna'!AM272+'Perfil - externa'!AM270)</f>
        <v>233893.98671955499</v>
      </c>
      <c r="AN272" s="222">
        <f>IF('Perfil - interna'!AN272+'Perfil - externa'!AN270=0,0,'Perfil - interna'!AN272+'Perfil - externa'!AN270)</f>
        <v>0</v>
      </c>
      <c r="AO272" s="222"/>
      <c r="AP272" s="222"/>
      <c r="AQ272" s="222"/>
      <c r="AR272" s="222"/>
      <c r="AS272" s="222"/>
      <c r="AT272" s="222"/>
      <c r="AU272" s="222"/>
      <c r="AV272" s="222"/>
      <c r="AW272" s="222"/>
      <c r="AX272" s="222"/>
      <c r="AY272" s="222"/>
      <c r="AZ272" s="222"/>
      <c r="BA272" s="222"/>
      <c r="BB272" s="222"/>
      <c r="BC272" s="222"/>
      <c r="BD272" s="222"/>
      <c r="BE272" s="222"/>
      <c r="BF272" s="222"/>
      <c r="BG272" s="222"/>
      <c r="BH272" s="222"/>
      <c r="BI272" s="222"/>
      <c r="BJ272" s="222"/>
      <c r="BK272" s="222"/>
    </row>
    <row r="273" spans="1:63">
      <c r="A273" s="171"/>
      <c r="B273" s="318" t="str">
        <f>Servicio_internaColumna_título_total</f>
        <v>Total</v>
      </c>
      <c r="C273" s="319"/>
      <c r="D273" s="320"/>
      <c r="E273" s="320"/>
      <c r="F273" s="320">
        <f>IF('Perfil - interna'!F273+'Perfil - externa'!F271=0,0,'Perfil - interna'!F273+'Perfil - externa'!F271)</f>
        <v>0</v>
      </c>
      <c r="G273" s="320">
        <f>IF('Perfil - interna'!G273+'Perfil - externa'!G271=0,0,'Perfil - interna'!G273+'Perfil - externa'!G271)</f>
        <v>0</v>
      </c>
      <c r="H273" s="320">
        <f>IF('Perfil - interna'!H273+'Perfil - externa'!H271=0,0,'Perfil - interna'!H273+'Perfil - externa'!H271)</f>
        <v>0</v>
      </c>
      <c r="I273" s="320">
        <f>IF('Perfil - interna'!I273+'Perfil - externa'!I271=0,0,'Perfil - interna'!I273+'Perfil - externa'!I271)</f>
        <v>0</v>
      </c>
      <c r="J273" s="320">
        <f>IF('Perfil - interna'!J273+'Perfil - externa'!J271=0,0,'Perfil - interna'!J273+'Perfil - externa'!J271)</f>
        <v>22023217.38383228</v>
      </c>
      <c r="K273" s="320">
        <f>IF('Perfil - interna'!K273+'Perfil - externa'!K271=0,0,'Perfil - interna'!K273+'Perfil - externa'!K271)</f>
        <v>31875365.929866143</v>
      </c>
      <c r="L273" s="320">
        <f>IF('Perfil - interna'!L273+'Perfil - externa'!L271=0,0,'Perfil - interna'!L273+'Perfil - externa'!L271)</f>
        <v>33138449.653677214</v>
      </c>
      <c r="M273" s="320">
        <f>IF('Perfil - interna'!M273+'Perfil - externa'!M271=0,0,'Perfil - interna'!M273+'Perfil - externa'!M271)</f>
        <v>16739278.758528788</v>
      </c>
      <c r="N273" s="320">
        <f>IF('Perfil - interna'!N273+'Perfil - externa'!N271=0,0,'Perfil - interna'!N273+'Perfil - externa'!N271)</f>
        <v>17328932.023162097</v>
      </c>
      <c r="O273" s="320">
        <f>IF('Perfil - interna'!O273+'Perfil - externa'!O271=0,0,'Perfil - interna'!O273+'Perfil - externa'!O271)</f>
        <v>15325409.182937039</v>
      </c>
      <c r="P273" s="320">
        <f>IF('Perfil - interna'!P273+'Perfil - externa'!P271=0,0,'Perfil - interna'!P273+'Perfil - externa'!P271)</f>
        <v>15776160.31386238</v>
      </c>
      <c r="Q273" s="320">
        <f>IF('Perfil - interna'!Q273+'Perfil - externa'!Q271=0,0,'Perfil - interna'!Q273+'Perfil - externa'!Q271)</f>
        <v>24162600.98294276</v>
      </c>
      <c r="R273" s="320">
        <f>IF('Perfil - interna'!R273+'Perfil - externa'!R271=0,0,'Perfil - interna'!R273+'Perfil - externa'!R271)</f>
        <v>4684362.8779069185</v>
      </c>
      <c r="S273" s="320">
        <f>IF('Perfil - interna'!S273+'Perfil - externa'!S271=0,0,'Perfil - interna'!S273+'Perfil - externa'!S271)</f>
        <v>6775348.3997676549</v>
      </c>
      <c r="T273" s="320">
        <f>IF('Perfil - interna'!T273+'Perfil - externa'!T271=0,0,'Perfil - interna'!T273+'Perfil - externa'!T271)</f>
        <v>4496682.986876091</v>
      </c>
      <c r="U273" s="320">
        <f>IF('Perfil - interna'!U273+'Perfil - externa'!U271=0,0,'Perfil - interna'!U273+'Perfil - externa'!U271)</f>
        <v>3127546.4844663041</v>
      </c>
      <c r="V273" s="320">
        <f>IF('Perfil - interna'!V273+'Perfil - externa'!V271=0,0,'Perfil - interna'!V273+'Perfil - externa'!V271)</f>
        <v>12355461.761848627</v>
      </c>
      <c r="W273" s="320">
        <f>IF('Perfil - interna'!W273+'Perfil - externa'!W271=0,0,'Perfil - interna'!W273+'Perfil - externa'!W271)</f>
        <v>1590898.7736999544</v>
      </c>
      <c r="X273" s="320">
        <f>IF('Perfil - interna'!X273+'Perfil - externa'!X271=0,0,'Perfil - interna'!X273+'Perfil - externa'!X271)</f>
        <v>1427959.6257545766</v>
      </c>
      <c r="Y273" s="320">
        <f>IF('Perfil - interna'!Y273+'Perfil - externa'!Y271=0,0,'Perfil - interna'!Y273+'Perfil - externa'!Y271)</f>
        <v>3925347.6233165544</v>
      </c>
      <c r="Z273" s="320">
        <f>IF('Perfil - interna'!Z273+'Perfil - externa'!Z271=0,0,'Perfil - interna'!Z273+'Perfil - externa'!Z271)</f>
        <v>2759577.0706878109</v>
      </c>
      <c r="AA273" s="320">
        <f>IF('Perfil - interna'!AA273+'Perfil - externa'!AA271=0,0,'Perfil - interna'!AA273+'Perfil - externa'!AA271)</f>
        <v>782536.90070178499</v>
      </c>
      <c r="AB273" s="320">
        <f>IF('Perfil - interna'!AB273+'Perfil - externa'!AB271=0,0,'Perfil - interna'!AB273+'Perfil - externa'!AB271)</f>
        <v>729493.39191432938</v>
      </c>
      <c r="AC273" s="320">
        <f>IF('Perfil - interna'!AC273+'Perfil - externa'!AC271=0,0,'Perfil - interna'!AC273+'Perfil - externa'!AC271)</f>
        <v>2397538.5543458299</v>
      </c>
      <c r="AD273" s="320">
        <f>IF('Perfil - interna'!AD273+'Perfil - externa'!AD271=0,0,'Perfil - interna'!AD273+'Perfil - externa'!AD271)</f>
        <v>463984.83217879239</v>
      </c>
      <c r="AE273" s="320">
        <f>IF('Perfil - interna'!AE273+'Perfil - externa'!AE271=0,0,'Perfil - interna'!AE273+'Perfil - externa'!AE271)</f>
        <v>416598.89912129857</v>
      </c>
      <c r="AF273" s="320">
        <f>IF('Perfil - interna'!AF273+'Perfil - externa'!AF271=0,0,'Perfil - interna'!AF273+'Perfil - externa'!AF271)</f>
        <v>397200.57980248122</v>
      </c>
      <c r="AG273" s="320">
        <f>IF('Perfil - interna'!AG273+'Perfil - externa'!AG271=0,0,'Perfil - interna'!AG273+'Perfil - externa'!AG271)</f>
        <v>382834.88294395851</v>
      </c>
      <c r="AH273" s="320">
        <f>IF('Perfil - interna'!AH273+'Perfil - externa'!AH271=0,0,'Perfil - interna'!AH273+'Perfil - externa'!AH271)</f>
        <v>356713.94676464703</v>
      </c>
      <c r="AI273" s="320">
        <f>IF('Perfil - interna'!AI273+'Perfil - externa'!AI271=0,0,'Perfil - interna'!AI273+'Perfil - externa'!AI271)</f>
        <v>900928.59158917121</v>
      </c>
      <c r="AJ273" s="320">
        <f>IF('Perfil - interna'!AJ273+'Perfil - externa'!AJ271=0,0,'Perfil - interna'!AJ273+'Perfil - externa'!AJ271)</f>
        <v>235401.15864426631</v>
      </c>
      <c r="AK273" s="320">
        <f>IF('Perfil - interna'!AK273+'Perfil - externa'!AK271=0,0,'Perfil - interna'!AK273+'Perfil - externa'!AK271)</f>
        <v>235386.53480649448</v>
      </c>
      <c r="AL273" s="320">
        <f>IF('Perfil - interna'!AL273+'Perfil - externa'!AL271=0,0,'Perfil - interna'!AL273+'Perfil - externa'!AL271)</f>
        <v>235292.79775701449</v>
      </c>
      <c r="AM273" s="320">
        <f>IF('Perfil - interna'!AM273+'Perfil - externa'!AM271=0,0,'Perfil - interna'!AM273+'Perfil - externa'!AM271)</f>
        <v>3406505.1281133723</v>
      </c>
      <c r="AN273" s="320">
        <f>IF('Perfil - interna'!AN273+'Perfil - externa'!AN271=0,0,'Perfil - interna'!AN273+'Perfil - externa'!AN271)</f>
        <v>0</v>
      </c>
      <c r="AO273" s="320"/>
      <c r="AP273" s="320"/>
      <c r="AQ273" s="320"/>
      <c r="AR273" s="320"/>
      <c r="AS273" s="320"/>
      <c r="AT273" s="320"/>
      <c r="AU273" s="320"/>
      <c r="AV273" s="320"/>
      <c r="AW273" s="320"/>
      <c r="AX273" s="320"/>
      <c r="AY273" s="320"/>
      <c r="AZ273" s="320"/>
      <c r="BA273" s="320"/>
      <c r="BB273" s="320"/>
      <c r="BC273" s="320"/>
      <c r="BD273" s="320"/>
      <c r="BE273" s="320"/>
      <c r="BF273" s="320"/>
      <c r="BG273" s="320"/>
      <c r="BH273" s="320"/>
      <c r="BI273" s="320"/>
      <c r="BJ273" s="320"/>
      <c r="BK273" s="320"/>
    </row>
    <row r="274" spans="1:63">
      <c r="A274" s="167"/>
      <c r="B274" s="217" t="str">
        <f>Servicio_internaColumna_título_amortizaciones</f>
        <v>Amortizaciones</v>
      </c>
      <c r="C274" s="218"/>
      <c r="D274" s="219"/>
      <c r="E274" s="219"/>
      <c r="F274" s="219">
        <f>IF('Perfil - interna'!F274+'Perfil - externa'!F272=0,0,'Perfil - interna'!F274+'Perfil - externa'!F272)</f>
        <v>0</v>
      </c>
      <c r="G274" s="219">
        <f>IF('Perfil - interna'!G274+'Perfil - externa'!G272=0,0,'Perfil - interna'!G274+'Perfil - externa'!G272)</f>
        <v>0</v>
      </c>
      <c r="H274" s="219">
        <f>IF('Perfil - interna'!H274+'Perfil - externa'!H272=0,0,'Perfil - interna'!H274+'Perfil - externa'!H272)</f>
        <v>0</v>
      </c>
      <c r="I274" s="219">
        <f>IF('Perfil - interna'!I274+'Perfil - externa'!I272=0,0,'Perfil - interna'!I274+'Perfil - externa'!I272)</f>
        <v>0</v>
      </c>
      <c r="J274" s="219">
        <f>IF('Perfil - interna'!J274+'Perfil - externa'!J272=0,0,'Perfil - interna'!J274+'Perfil - externa'!J272)</f>
        <v>10773680.774582818</v>
      </c>
      <c r="K274" s="219">
        <f>IF('Perfil - interna'!K274+'Perfil - externa'!K272=0,0,'Perfil - interna'!K274+'Perfil - externa'!K272)</f>
        <v>20430322.948527191</v>
      </c>
      <c r="L274" s="219">
        <f>IF('Perfil - interna'!L274+'Perfil - externa'!L272=0,0,'Perfil - interna'!L274+'Perfil - externa'!L272)</f>
        <v>23422850.050979491</v>
      </c>
      <c r="M274" s="219">
        <f>IF('Perfil - interna'!M274+'Perfil - externa'!M272=0,0,'Perfil - interna'!M274+'Perfil - externa'!M272)</f>
        <v>10003168.436867867</v>
      </c>
      <c r="N274" s="219">
        <f>IF('Perfil - interna'!N274+'Perfil - externa'!N272=0,0,'Perfil - interna'!N274+'Perfil - externa'!N272)</f>
        <v>10442028.106562516</v>
      </c>
      <c r="O274" s="219">
        <f>IF('Perfil - interna'!O274+'Perfil - externa'!O272=0,0,'Perfil - interna'!O274+'Perfil - externa'!O272)</f>
        <v>10131615.912560975</v>
      </c>
      <c r="P274" s="219">
        <f>IF('Perfil - interna'!P274+'Perfil - externa'!P272=0,0,'Perfil - interna'!P274+'Perfil - externa'!P272)</f>
        <v>10583662.19957374</v>
      </c>
      <c r="Q274" s="219">
        <f>IF('Perfil - interna'!Q274+'Perfil - externa'!Q272=0,0,'Perfil - interna'!Q274+'Perfil - externa'!Q272)</f>
        <v>20408403.615071457</v>
      </c>
      <c r="R274" s="219">
        <f>IF('Perfil - interna'!R274+'Perfil - externa'!R272=0,0,'Perfil - interna'!R274+'Perfil - externa'!R272)</f>
        <v>2052867.92837924</v>
      </c>
      <c r="S274" s="219">
        <f>IF('Perfil - interna'!S274+'Perfil - externa'!S272=0,0,'Perfil - interna'!S274+'Perfil - externa'!S272)</f>
        <v>4475185.8549028719</v>
      </c>
      <c r="T274" s="219">
        <f>IF('Perfil - interna'!T274+'Perfil - externa'!T272=0,0,'Perfil - interna'!T274+'Perfil - externa'!T272)</f>
        <v>2542573.6061526085</v>
      </c>
      <c r="U274" s="219">
        <f>IF('Perfil - interna'!U274+'Perfil - externa'!U272=0,0,'Perfil - interna'!U274+'Perfil - externa'!U272)</f>
        <v>1018674.2805799447</v>
      </c>
      <c r="V274" s="219">
        <f>IF('Perfil - interna'!V274+'Perfil - externa'!V272=0,0,'Perfil - interna'!V274+'Perfil - externa'!V272)</f>
        <v>10435839.497216763</v>
      </c>
      <c r="W274" s="219">
        <f>IF('Perfil - interna'!W274+'Perfil - externa'!W272=0,0,'Perfil - interna'!W274+'Perfil - externa'!W272)</f>
        <v>620269.84288725548</v>
      </c>
      <c r="X274" s="219">
        <f>IF('Perfil - interna'!X274+'Perfil - externa'!X272=0,0,'Perfil - interna'!X274+'Perfil - externa'!X272)</f>
        <v>487783.49694055598</v>
      </c>
      <c r="Y274" s="219">
        <f>IF('Perfil - interna'!Y274+'Perfil - externa'!Y272=0,0,'Perfil - interna'!Y274+'Perfil - externa'!Y272)</f>
        <v>3317640.2378127249</v>
      </c>
      <c r="Z274" s="219">
        <f>IF('Perfil - interna'!Z274+'Perfil - externa'!Z272=0,0,'Perfil - interna'!Z274+'Perfil - externa'!Z272)</f>
        <v>2216002.2989267507</v>
      </c>
      <c r="AA274" s="219">
        <f>IF('Perfil - interna'!AA274+'Perfil - externa'!AA272=0,0,'Perfil - interna'!AA274+'Perfil - externa'!AA272)</f>
        <v>275700.90857408545</v>
      </c>
      <c r="AB274" s="219">
        <f>IF('Perfil - interna'!AB274+'Perfil - externa'!AB272=0,0,'Perfil - interna'!AB274+'Perfil - externa'!AB272)</f>
        <v>234404.59951584478</v>
      </c>
      <c r="AC274" s="219">
        <f>IF('Perfil - interna'!AC274+'Perfil - externa'!AC272=0,0,'Perfil - interna'!AC274+'Perfil - externa'!AC272)</f>
        <v>1974532.0897372041</v>
      </c>
      <c r="AD274" s="219">
        <f>IF('Perfil - interna'!AD274+'Perfil - externa'!AD272=0,0,'Perfil - interna'!AD274+'Perfil - externa'!AD272)</f>
        <v>116387.1434161135</v>
      </c>
      <c r="AE274" s="219">
        <f>IF('Perfil - interna'!AE274+'Perfil - externa'!AE272=0,0,'Perfil - interna'!AE274+'Perfil - externa'!AE272)</f>
        <v>74473.460520361696</v>
      </c>
      <c r="AF274" s="219">
        <f>IF('Perfil - interna'!AF274+'Perfil - externa'!AF272=0,0,'Perfil - interna'!AF274+'Perfil - externa'!AF272)</f>
        <v>59841.053688388005</v>
      </c>
      <c r="AG274" s="219">
        <f>IF('Perfil - interna'!AG274+'Perfil - externa'!AG272=0,0,'Perfil - interna'!AG274+'Perfil - externa'!AG272)</f>
        <v>49660.723922900994</v>
      </c>
      <c r="AH274" s="219">
        <f>IF('Perfil - interna'!AH274+'Perfil - externa'!AH272=0,0,'Perfil - interna'!AH274+'Perfil - externa'!AH272)</f>
        <v>26462.219905507402</v>
      </c>
      <c r="AI274" s="219">
        <f>IF('Perfil - interna'!AI274+'Perfil - externa'!AI272=0,0,'Perfil - interna'!AI274+'Perfil - externa'!AI272)</f>
        <v>650554.18581550755</v>
      </c>
      <c r="AJ274" s="219">
        <f>IF('Perfil - interna'!AJ274+'Perfil - externa'!AJ272=0,0,'Perfil - interna'!AJ274+'Perfil - externa'!AJ272)</f>
        <v>1536.0039055073998</v>
      </c>
      <c r="AK274" s="219">
        <f>IF('Perfil - interna'!AK274+'Perfil - externa'!AK272=0,0,'Perfil - interna'!AK274+'Perfil - externa'!AK272)</f>
        <v>1536.0039055073998</v>
      </c>
      <c r="AL274" s="219">
        <f>IF('Perfil - interna'!AL274+'Perfil - externa'!AL272=0,0,'Perfil - interna'!AL274+'Perfil - externa'!AL272)</f>
        <v>1452.8625303674999</v>
      </c>
      <c r="AM274" s="219">
        <f>IF('Perfil - interna'!AM274+'Perfil - externa'!AM272=0,0,'Perfil - interna'!AM274+'Perfil - externa'!AM272)</f>
        <v>3334151.4246237129</v>
      </c>
      <c r="AN274" s="219">
        <f>IF('Perfil - interna'!AN274+'Perfil - externa'!AN272=0,0,'Perfil - interna'!AN274+'Perfil - externa'!AN272)</f>
        <v>0</v>
      </c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</row>
    <row r="275" spans="1:63">
      <c r="A275" s="170">
        <v>39629</v>
      </c>
      <c r="B275" s="220" t="str">
        <f>Servicio_internaColumna_título_intereses</f>
        <v>Intereses</v>
      </c>
      <c r="C275" s="221"/>
      <c r="D275" s="222"/>
      <c r="E275" s="222"/>
      <c r="F275" s="222">
        <f>IF('Perfil - interna'!F275+'Perfil - externa'!F273=0,0,'Perfil - interna'!F275+'Perfil - externa'!F273)</f>
        <v>0</v>
      </c>
      <c r="G275" s="222">
        <f>IF('Perfil - interna'!G275+'Perfil - externa'!G273=0,0,'Perfil - interna'!G275+'Perfil - externa'!G273)</f>
        <v>0</v>
      </c>
      <c r="H275" s="222">
        <f>IF('Perfil - interna'!H275+'Perfil - externa'!H273=0,0,'Perfil - interna'!H275+'Perfil - externa'!H273)</f>
        <v>0</v>
      </c>
      <c r="I275" s="222">
        <f>IF('Perfil - interna'!I275+'Perfil - externa'!I273=0,0,'Perfil - interna'!I275+'Perfil - externa'!I273)</f>
        <v>0</v>
      </c>
      <c r="J275" s="222">
        <f>IF('Perfil - interna'!J275+'Perfil - externa'!J273=0,0,'Perfil - interna'!J275+'Perfil - externa'!J273)</f>
        <v>7527015.6887805825</v>
      </c>
      <c r="K275" s="222">
        <f>IF('Perfil - interna'!K275+'Perfil - externa'!K273=0,0,'Perfil - interna'!K275+'Perfil - externa'!K273)</f>
        <v>12246818.149256729</v>
      </c>
      <c r="L275" s="222">
        <f>IF('Perfil - interna'!L275+'Perfil - externa'!L273=0,0,'Perfil - interna'!L275+'Perfil - externa'!L273)</f>
        <v>10321651.805637756</v>
      </c>
      <c r="M275" s="222">
        <f>IF('Perfil - interna'!M275+'Perfil - externa'!M273=0,0,'Perfil - interna'!M275+'Perfil - externa'!M273)</f>
        <v>8316018.3132150657</v>
      </c>
      <c r="N275" s="222">
        <f>IF('Perfil - interna'!N275+'Perfil - externa'!N273=0,0,'Perfil - interna'!N275+'Perfil - externa'!N273)</f>
        <v>7335736.8718501702</v>
      </c>
      <c r="O275" s="222">
        <f>IF('Perfil - interna'!O275+'Perfil - externa'!O273=0,0,'Perfil - interna'!O275+'Perfil - externa'!O273)</f>
        <v>6320653.8832789715</v>
      </c>
      <c r="P275" s="222">
        <f>IF('Perfil - interna'!P275+'Perfil - externa'!P273=0,0,'Perfil - interna'!P275+'Perfil - externa'!P273)</f>
        <v>5517103.0723952893</v>
      </c>
      <c r="Q275" s="222">
        <f>IF('Perfil - interna'!Q275+'Perfil - externa'!Q273=0,0,'Perfil - interna'!Q275+'Perfil - externa'!Q273)</f>
        <v>4459343.638234565</v>
      </c>
      <c r="R275" s="222">
        <f>IF('Perfil - interna'!R275+'Perfil - externa'!R273=0,0,'Perfil - interna'!R275+'Perfil - externa'!R273)</f>
        <v>2793537.1199111138</v>
      </c>
      <c r="S275" s="222">
        <f>IF('Perfil - interna'!S275+'Perfil - externa'!S273=0,0,'Perfil - interna'!S275+'Perfil - externa'!S273)</f>
        <v>2573240.8787860842</v>
      </c>
      <c r="T275" s="222">
        <f>IF('Perfil - interna'!T275+'Perfil - externa'!T273=0,0,'Perfil - interna'!T275+'Perfil - externa'!T273)</f>
        <v>2379421.0050683813</v>
      </c>
      <c r="U275" s="222">
        <f>IF('Perfil - interna'!U275+'Perfil - externa'!U273=0,0,'Perfil - interna'!U275+'Perfil - externa'!U273)</f>
        <v>2165151.1898491187</v>
      </c>
      <c r="V275" s="222">
        <f>IF('Perfil - interna'!V275+'Perfil - externa'!V273=0,0,'Perfil - interna'!V275+'Perfil - externa'!V273)</f>
        <v>2028621.6318204142</v>
      </c>
      <c r="W275" s="222">
        <f>IF('Perfil - interna'!W275+'Perfil - externa'!W273=0,0,'Perfil - interna'!W275+'Perfil - externa'!W273)</f>
        <v>998928.67290707887</v>
      </c>
      <c r="X275" s="222">
        <f>IF('Perfil - interna'!X275+'Perfil - externa'!X273=0,0,'Perfil - interna'!X275+'Perfil - externa'!X273)</f>
        <v>969965.28664601815</v>
      </c>
      <c r="Y275" s="222">
        <f>IF('Perfil - interna'!Y275+'Perfil - externa'!Y273=0,0,'Perfil - interna'!Y275+'Perfil - externa'!Y273)</f>
        <v>948010.13025051821</v>
      </c>
      <c r="Z275" s="222">
        <f>IF('Perfil - interna'!Z275+'Perfil - externa'!Z273=0,0,'Perfil - interna'!Z275+'Perfil - externa'!Z273)</f>
        <v>632832.7772482303</v>
      </c>
      <c r="AA275" s="222">
        <f>IF('Perfil - interna'!AA275+'Perfil - externa'!AA273=0,0,'Perfil - interna'!AA275+'Perfil - externa'!AA273)</f>
        <v>538647.78135187877</v>
      </c>
      <c r="AB275" s="222">
        <f>IF('Perfil - interna'!AB275+'Perfil - externa'!AB273=0,0,'Perfil - interna'!AB275+'Perfil - externa'!AB273)</f>
        <v>524171.37542602204</v>
      </c>
      <c r="AC275" s="222">
        <f>IF('Perfil - interna'!AC275+'Perfil - externa'!AC273=0,0,'Perfil - interna'!AC275+'Perfil - externa'!AC273)</f>
        <v>500369.97119837487</v>
      </c>
      <c r="AD275" s="222">
        <f>IF('Perfil - interna'!AD275+'Perfil - externa'!AD273=0,0,'Perfil - interna'!AD275+'Perfil - externa'!AD273)</f>
        <v>328365.19200246019</v>
      </c>
      <c r="AE275" s="222">
        <f>IF('Perfil - interna'!AE275+'Perfil - externa'!AE273=0,0,'Perfil - interna'!AE275+'Perfil - externa'!AE273)</f>
        <v>322390.48092121357</v>
      </c>
      <c r="AF275" s="222">
        <f>IF('Perfil - interna'!AF275+'Perfil - externa'!AF273=0,0,'Perfil - interna'!AF275+'Perfil - externa'!AF273)</f>
        <v>318519.51948692958</v>
      </c>
      <c r="AG275" s="222">
        <f>IF('Perfil - interna'!AG275+'Perfil - externa'!AG273=0,0,'Perfil - interna'!AG275+'Perfil - externa'!AG273)</f>
        <v>315485.35020331765</v>
      </c>
      <c r="AH275" s="222">
        <f>IF('Perfil - interna'!AH275+'Perfil - externa'!AH273=0,0,'Perfil - interna'!AH275+'Perfil - externa'!AH273)</f>
        <v>313108.03520745836</v>
      </c>
      <c r="AI275" s="222">
        <f>IF('Perfil - interna'!AI275+'Perfil - externa'!AI273=0,0,'Perfil - interna'!AI275+'Perfil - externa'!AI273)</f>
        <v>279304.23335994832</v>
      </c>
      <c r="AJ275" s="222">
        <f>IF('Perfil - interna'!AJ275+'Perfil - externa'!AJ273=0,0,'Perfil - interna'!AJ275+'Perfil - externa'!AJ273)</f>
        <v>245851.10830990289</v>
      </c>
      <c r="AK275" s="222">
        <f>IF('Perfil - interna'!AK275+'Perfil - externa'!AK273=0,0,'Perfil - interna'!AK275+'Perfil - externa'!AK273)</f>
        <v>245835.73986814709</v>
      </c>
      <c r="AL275" s="222">
        <f>IF('Perfil - interna'!AL275+'Perfil - externa'!AL273=0,0,'Perfil - interna'!AL275+'Perfil - externa'!AL273)</f>
        <v>245820.371371407</v>
      </c>
      <c r="AM275" s="222">
        <f>IF('Perfil - interna'!AM275+'Perfil - externa'!AM273=0,0,'Perfil - interna'!AM275+'Perfil - externa'!AM273)</f>
        <v>245803.19940795499</v>
      </c>
      <c r="AN275" s="222">
        <f>IF('Perfil - interna'!AN275+'Perfil - externa'!AN273=0,0,'Perfil - interna'!AN275+'Perfil - externa'!AN273)</f>
        <v>0</v>
      </c>
      <c r="AO275" s="222"/>
      <c r="AP275" s="222"/>
      <c r="AQ275" s="222"/>
      <c r="AR275" s="222"/>
      <c r="AS275" s="222"/>
      <c r="AT275" s="222"/>
      <c r="AU275" s="222"/>
      <c r="AV275" s="222"/>
      <c r="AW275" s="222"/>
      <c r="AX275" s="222"/>
      <c r="AY275" s="222"/>
      <c r="AZ275" s="222"/>
      <c r="BA275" s="222"/>
      <c r="BB275" s="222"/>
      <c r="BC275" s="222"/>
      <c r="BD275" s="222"/>
      <c r="BE275" s="222"/>
      <c r="BF275" s="222"/>
      <c r="BG275" s="222"/>
      <c r="BH275" s="222"/>
      <c r="BI275" s="222"/>
      <c r="BJ275" s="222"/>
      <c r="BK275" s="222"/>
    </row>
    <row r="276" spans="1:63">
      <c r="A276" s="171"/>
      <c r="B276" s="318" t="str">
        <f>Servicio_internaColumna_título_total</f>
        <v>Total</v>
      </c>
      <c r="C276" s="319"/>
      <c r="D276" s="320"/>
      <c r="E276" s="320"/>
      <c r="F276" s="320">
        <f>IF('Perfil - interna'!F276+'Perfil - externa'!F274=0,0,'Perfil - interna'!F276+'Perfil - externa'!F274)</f>
        <v>0</v>
      </c>
      <c r="G276" s="320">
        <f>IF('Perfil - interna'!G276+'Perfil - externa'!G274=0,0,'Perfil - interna'!G276+'Perfil - externa'!G274)</f>
        <v>0</v>
      </c>
      <c r="H276" s="320">
        <f>IF('Perfil - interna'!H276+'Perfil - externa'!H274=0,0,'Perfil - interna'!H276+'Perfil - externa'!H274)</f>
        <v>0</v>
      </c>
      <c r="I276" s="320">
        <f>IF('Perfil - interna'!I276+'Perfil - externa'!I274=0,0,'Perfil - interna'!I276+'Perfil - externa'!I274)</f>
        <v>0</v>
      </c>
      <c r="J276" s="320">
        <f>IF('Perfil - interna'!J276+'Perfil - externa'!J274=0,0,'Perfil - interna'!J276+'Perfil - externa'!J274)</f>
        <v>18300696.463363402</v>
      </c>
      <c r="K276" s="320">
        <f>IF('Perfil - interna'!K276+'Perfil - externa'!K274=0,0,'Perfil - interna'!K276+'Perfil - externa'!K274)</f>
        <v>32677141.097783919</v>
      </c>
      <c r="L276" s="320">
        <f>IF('Perfil - interna'!L276+'Perfil - externa'!L274=0,0,'Perfil - interna'!L276+'Perfil - externa'!L274)</f>
        <v>33744501.856617242</v>
      </c>
      <c r="M276" s="320">
        <f>IF('Perfil - interna'!M276+'Perfil - externa'!M274=0,0,'Perfil - interna'!M276+'Perfil - externa'!M274)</f>
        <v>18319186.750082932</v>
      </c>
      <c r="N276" s="320">
        <f>IF('Perfil - interna'!N276+'Perfil - externa'!N274=0,0,'Perfil - interna'!N276+'Perfil - externa'!N274)</f>
        <v>17777764.978412688</v>
      </c>
      <c r="O276" s="320">
        <f>IF('Perfil - interna'!O276+'Perfil - externa'!O274=0,0,'Perfil - interna'!O276+'Perfil - externa'!O274)</f>
        <v>16452269.795839947</v>
      </c>
      <c r="P276" s="320">
        <f>IF('Perfil - interna'!P276+'Perfil - externa'!P274=0,0,'Perfil - interna'!P276+'Perfil - externa'!P274)</f>
        <v>16100765.27196903</v>
      </c>
      <c r="Q276" s="320">
        <f>IF('Perfil - interna'!Q276+'Perfil - externa'!Q274=0,0,'Perfil - interna'!Q276+'Perfil - externa'!Q274)</f>
        <v>24867747.253306024</v>
      </c>
      <c r="R276" s="320">
        <f>IF('Perfil - interna'!R276+'Perfil - externa'!R274=0,0,'Perfil - interna'!R276+'Perfil - externa'!R274)</f>
        <v>4846405.0482903533</v>
      </c>
      <c r="S276" s="320">
        <f>IF('Perfil - interna'!S276+'Perfil - externa'!S274=0,0,'Perfil - interna'!S276+'Perfil - externa'!S274)</f>
        <v>7048426.7336889561</v>
      </c>
      <c r="T276" s="320">
        <f>IF('Perfil - interna'!T276+'Perfil - externa'!T274=0,0,'Perfil - interna'!T276+'Perfil - externa'!T274)</f>
        <v>4921994.6112209894</v>
      </c>
      <c r="U276" s="320">
        <f>IF('Perfil - interna'!U276+'Perfil - externa'!U274=0,0,'Perfil - interna'!U276+'Perfil - externa'!U274)</f>
        <v>3183825.4704290633</v>
      </c>
      <c r="V276" s="320">
        <f>IF('Perfil - interna'!V276+'Perfil - externa'!V274=0,0,'Perfil - interna'!V276+'Perfil - externa'!V274)</f>
        <v>12464461.129037177</v>
      </c>
      <c r="W276" s="320">
        <f>IF('Perfil - interna'!W276+'Perfil - externa'!W274=0,0,'Perfil - interna'!W276+'Perfil - externa'!W274)</f>
        <v>1619198.5157943342</v>
      </c>
      <c r="X276" s="320">
        <f>IF('Perfil - interna'!X276+'Perfil - externa'!X274=0,0,'Perfil - interna'!X276+'Perfil - externa'!X274)</f>
        <v>1457748.783586574</v>
      </c>
      <c r="Y276" s="320">
        <f>IF('Perfil - interna'!Y276+'Perfil - externa'!Y274=0,0,'Perfil - interna'!Y276+'Perfil - externa'!Y274)</f>
        <v>4265650.3680632431</v>
      </c>
      <c r="Z276" s="320">
        <f>IF('Perfil - interna'!Z276+'Perfil - externa'!Z274=0,0,'Perfil - interna'!Z276+'Perfil - externa'!Z274)</f>
        <v>2848835.076174981</v>
      </c>
      <c r="AA276" s="320">
        <f>IF('Perfil - interna'!AA276+'Perfil - externa'!AA274=0,0,'Perfil - interna'!AA276+'Perfil - externa'!AA274)</f>
        <v>814348.68992596422</v>
      </c>
      <c r="AB276" s="320">
        <f>IF('Perfil - interna'!AB276+'Perfil - externa'!AB274=0,0,'Perfil - interna'!AB276+'Perfil - externa'!AB274)</f>
        <v>758575.97494186682</v>
      </c>
      <c r="AC276" s="320">
        <f>IF('Perfil - interna'!AC276+'Perfil - externa'!AC274=0,0,'Perfil - interna'!AC276+'Perfil - externa'!AC274)</f>
        <v>2474902.0609355792</v>
      </c>
      <c r="AD276" s="320">
        <f>IF('Perfil - interna'!AD276+'Perfil - externa'!AD274=0,0,'Perfil - interna'!AD276+'Perfil - externa'!AD274)</f>
        <v>444752.3354185737</v>
      </c>
      <c r="AE276" s="320">
        <f>IF('Perfil - interna'!AE276+'Perfil - externa'!AE274=0,0,'Perfil - interna'!AE276+'Perfil - externa'!AE274)</f>
        <v>396863.9414415753</v>
      </c>
      <c r="AF276" s="320">
        <f>IF('Perfil - interna'!AF276+'Perfil - externa'!AF274=0,0,'Perfil - interna'!AF276+'Perfil - externa'!AF274)</f>
        <v>378360.57317531761</v>
      </c>
      <c r="AG276" s="320">
        <f>IF('Perfil - interna'!AG276+'Perfil - externa'!AG274=0,0,'Perfil - interna'!AG276+'Perfil - externa'!AG274)</f>
        <v>365146.07412621862</v>
      </c>
      <c r="AH276" s="320">
        <f>IF('Perfil - interna'!AH276+'Perfil - externa'!AH274=0,0,'Perfil - interna'!AH276+'Perfil - externa'!AH274)</f>
        <v>339570.25511296577</v>
      </c>
      <c r="AI276" s="320">
        <f>IF('Perfil - interna'!AI276+'Perfil - externa'!AI274=0,0,'Perfil - interna'!AI276+'Perfil - externa'!AI274)</f>
        <v>929858.41917545581</v>
      </c>
      <c r="AJ276" s="320">
        <f>IF('Perfil - interna'!AJ276+'Perfil - externa'!AJ274=0,0,'Perfil - interna'!AJ276+'Perfil - externa'!AJ274)</f>
        <v>247387.11221541028</v>
      </c>
      <c r="AK276" s="320">
        <f>IF('Perfil - interna'!AK276+'Perfil - externa'!AK274=0,0,'Perfil - interna'!AK276+'Perfil - externa'!AK274)</f>
        <v>247371.74377365448</v>
      </c>
      <c r="AL276" s="320">
        <f>IF('Perfil - interna'!AL276+'Perfil - externa'!AL274=0,0,'Perfil - interna'!AL276+'Perfil - externa'!AL274)</f>
        <v>247273.23390177451</v>
      </c>
      <c r="AM276" s="320">
        <f>IF('Perfil - interna'!AM276+'Perfil - externa'!AM274=0,0,'Perfil - interna'!AM276+'Perfil - externa'!AM274)</f>
        <v>3579954.6240316681</v>
      </c>
      <c r="AN276" s="320">
        <f>IF('Perfil - interna'!AN276+'Perfil - externa'!AN274=0,0,'Perfil - interna'!AN276+'Perfil - externa'!AN274)</f>
        <v>0</v>
      </c>
      <c r="AO276" s="320"/>
      <c r="AP276" s="320"/>
      <c r="AQ276" s="320"/>
      <c r="AR276" s="320"/>
      <c r="AS276" s="320"/>
      <c r="AT276" s="320"/>
      <c r="AU276" s="320"/>
      <c r="AV276" s="320"/>
      <c r="AW276" s="320"/>
      <c r="AX276" s="320"/>
      <c r="AY276" s="320"/>
      <c r="AZ276" s="320"/>
      <c r="BA276" s="320"/>
      <c r="BB276" s="320"/>
      <c r="BC276" s="320"/>
      <c r="BD276" s="320"/>
      <c r="BE276" s="320"/>
      <c r="BF276" s="320"/>
      <c r="BG276" s="320"/>
      <c r="BH276" s="320"/>
      <c r="BI276" s="320"/>
      <c r="BJ276" s="320"/>
      <c r="BK276" s="320"/>
    </row>
    <row r="277" spans="1:63">
      <c r="A277" s="167"/>
      <c r="B277" s="217" t="str">
        <f>Servicio_internaColumna_título_amortizaciones</f>
        <v>Amortizaciones</v>
      </c>
      <c r="C277" s="218"/>
      <c r="D277" s="219"/>
      <c r="E277" s="219"/>
      <c r="F277" s="219">
        <f>IF('Perfil - interna'!F277+'Perfil - externa'!F275=0,0,'Perfil - interna'!F277+'Perfil - externa'!F275)</f>
        <v>0</v>
      </c>
      <c r="G277" s="219">
        <f>IF('Perfil - interna'!G277+'Perfil - externa'!G275=0,0,'Perfil - interna'!G277+'Perfil - externa'!G275)</f>
        <v>0</v>
      </c>
      <c r="H277" s="219">
        <f>IF('Perfil - interna'!H277+'Perfil - externa'!H275=0,0,'Perfil - interna'!H277+'Perfil - externa'!H275)</f>
        <v>0</v>
      </c>
      <c r="I277" s="219">
        <f>IF('Perfil - interna'!I277+'Perfil - externa'!I275=0,0,'Perfil - interna'!I277+'Perfil - externa'!I275)</f>
        <v>0</v>
      </c>
      <c r="J277" s="219">
        <f>IF('Perfil - interna'!J277+'Perfil - externa'!J275=0,0,'Perfil - interna'!J277+'Perfil - externa'!J275)</f>
        <v>10184747.107954664</v>
      </c>
      <c r="K277" s="219">
        <f>IF('Perfil - interna'!K277+'Perfil - externa'!K275=0,0,'Perfil - interna'!K277+'Perfil - externa'!K275)</f>
        <v>20852317.45101472</v>
      </c>
      <c r="L277" s="219">
        <f>IF('Perfil - interna'!L277+'Perfil - externa'!L275=0,0,'Perfil - interna'!L277+'Perfil - externa'!L275)</f>
        <v>23436065.048454292</v>
      </c>
      <c r="M277" s="219">
        <f>IF('Perfil - interna'!M277+'Perfil - externa'!M275=0,0,'Perfil - interna'!M277+'Perfil - externa'!M275)</f>
        <v>10994118.532750251</v>
      </c>
      <c r="N277" s="219">
        <f>IF('Perfil - interna'!N277+'Perfil - externa'!N275=0,0,'Perfil - interna'!N277+'Perfil - externa'!N275)</f>
        <v>10406462.610566391</v>
      </c>
      <c r="O277" s="219">
        <f>IF('Perfil - interna'!O277+'Perfil - externa'!O275=0,0,'Perfil - interna'!O277+'Perfil - externa'!O275)</f>
        <v>10738782.209257653</v>
      </c>
      <c r="P277" s="219">
        <f>IF('Perfil - interna'!P277+'Perfil - externa'!P275=0,0,'Perfil - interna'!P277+'Perfil - externa'!P275)</f>
        <v>10635190.966171626</v>
      </c>
      <c r="Q277" s="219">
        <f>IF('Perfil - interna'!Q277+'Perfil - externa'!Q275=0,0,'Perfil - interna'!Q277+'Perfil - externa'!Q275)</f>
        <v>20846062.572361562</v>
      </c>
      <c r="R277" s="219">
        <f>IF('Perfil - interna'!R277+'Perfil - externa'!R275=0,0,'Perfil - interna'!R277+'Perfil - externa'!R275)</f>
        <v>2106264.3603134132</v>
      </c>
      <c r="S277" s="219">
        <f>IF('Perfil - interna'!S277+'Perfil - externa'!S275=0,0,'Perfil - interna'!S277+'Perfil - externa'!S275)</f>
        <v>4444769.2604113873</v>
      </c>
      <c r="T277" s="219">
        <f>IF('Perfil - interna'!T277+'Perfil - externa'!T275=0,0,'Perfil - interna'!T277+'Perfil - externa'!T275)</f>
        <v>2923083.3443472553</v>
      </c>
      <c r="U277" s="219">
        <f>IF('Perfil - interna'!U277+'Perfil - externa'!U275=0,0,'Perfil - interna'!U277+'Perfil - externa'!U275)</f>
        <v>1057903.6863216064</v>
      </c>
      <c r="V277" s="219">
        <f>IF('Perfil - interna'!V277+'Perfil - externa'!V275=0,0,'Perfil - interna'!V277+'Perfil - externa'!V275)</f>
        <v>10455853.061761528</v>
      </c>
      <c r="W277" s="219">
        <f>IF('Perfil - interna'!W277+'Perfil - externa'!W275=0,0,'Perfil - interna'!W277+'Perfil - externa'!W275)</f>
        <v>657940.6705329984</v>
      </c>
      <c r="X277" s="219">
        <f>IF('Perfil - interna'!X277+'Perfil - externa'!X275=0,0,'Perfil - interna'!X277+'Perfil - externa'!X275)</f>
        <v>523191.43336017773</v>
      </c>
      <c r="Y277" s="219">
        <f>IF('Perfil - interna'!Y277+'Perfil - externa'!Y275=0,0,'Perfil - interna'!Y277+'Perfil - externa'!Y275)</f>
        <v>3554101.4336611815</v>
      </c>
      <c r="Z277" s="219">
        <f>IF('Perfil - interna'!Z277+'Perfil - externa'!Z275=0,0,'Perfil - interna'!Z277+'Perfil - externa'!Z275)</f>
        <v>2207980.1729721762</v>
      </c>
      <c r="AA277" s="219">
        <f>IF('Perfil - interna'!AA277+'Perfil - externa'!AA275=0,0,'Perfil - interna'!AA277+'Perfil - externa'!AA275)</f>
        <v>310628.14856939518</v>
      </c>
      <c r="AB277" s="219">
        <f>IF('Perfil - interna'!AB277+'Perfil - externa'!AB275=0,0,'Perfil - interna'!AB277+'Perfil - externa'!AB275)</f>
        <v>270245.95036895201</v>
      </c>
      <c r="AC277" s="219">
        <f>IF('Perfil - interna'!AC277+'Perfil - externa'!AC275=0,0,'Perfil - interna'!AC277+'Perfil - externa'!AC275)</f>
        <v>2243166.4361240473</v>
      </c>
      <c r="AD277" s="219">
        <f>IF('Perfil - interna'!AD277+'Perfil - externa'!AD275=0,0,'Perfil - interna'!AD277+'Perfil - externa'!AD275)</f>
        <v>145341.62646849841</v>
      </c>
      <c r="AE277" s="219">
        <f>IF('Perfil - interna'!AE277+'Perfil - externa'!AE275=0,0,'Perfil - interna'!AE277+'Perfil - externa'!AE275)</f>
        <v>104355.72010991121</v>
      </c>
      <c r="AF277" s="219">
        <f>IF('Perfil - interna'!AF277+'Perfil - externa'!AF275=0,0,'Perfil - interna'!AF277+'Perfil - externa'!AF275)</f>
        <v>90047.207596046414</v>
      </c>
      <c r="AG277" s="219">
        <f>IF('Perfil - interna'!AG277+'Perfil - externa'!AG275=0,0,'Perfil - interna'!AG277+'Perfil - externa'!AG275)</f>
        <v>80092.223599398392</v>
      </c>
      <c r="AH277" s="219">
        <f>IF('Perfil - interna'!AH277+'Perfil - externa'!AH275=0,0,'Perfil - interna'!AH277+'Perfil - externa'!AH275)</f>
        <v>57407.227969664003</v>
      </c>
      <c r="AI277" s="219">
        <f>IF('Perfil - interna'!AI277+'Perfil - externa'!AI275=0,0,'Perfil - interna'!AI277+'Perfil - externa'!AI275)</f>
        <v>652002.56246628484</v>
      </c>
      <c r="AJ277" s="219">
        <f>IF('Perfil - interna'!AJ277+'Perfil - externa'!AJ275=0,0,'Perfil - interna'!AJ277+'Perfil - externa'!AJ275)</f>
        <v>815.11634378880001</v>
      </c>
      <c r="AK277" s="219">
        <f>IF('Perfil - interna'!AK277+'Perfil - externa'!AK275=0,0,'Perfil - interna'!AK277+'Perfil - externa'!AK275)</f>
        <v>815.11634378880001</v>
      </c>
      <c r="AL277" s="219">
        <f>IF('Perfil - interna'!AL277+'Perfil - externa'!AL275=0,0,'Perfil - interna'!AL277+'Perfil - externa'!AL275)</f>
        <v>733.41810496560004</v>
      </c>
      <c r="AM277" s="219">
        <f>IF('Perfil - interna'!AM277+'Perfil - externa'!AM275=0,0,'Perfil - interna'!AM277+'Perfil - externa'!AM275)</f>
        <v>3259660.9358661426</v>
      </c>
      <c r="AN277" s="219">
        <f>IF('Perfil - interna'!AN277+'Perfil - externa'!AN275=0,0,'Perfil - interna'!AN277+'Perfil - externa'!AN275)</f>
        <v>0</v>
      </c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</row>
    <row r="278" spans="1:63">
      <c r="A278" s="170">
        <v>39660</v>
      </c>
      <c r="B278" s="220" t="str">
        <f>Servicio_internaColumna_título_intereses</f>
        <v>Intereses</v>
      </c>
      <c r="C278" s="221"/>
      <c r="D278" s="222"/>
      <c r="E278" s="222"/>
      <c r="F278" s="222">
        <f>IF('Perfil - interna'!F278+'Perfil - externa'!F276=0,0,'Perfil - interna'!F278+'Perfil - externa'!F276)</f>
        <v>0</v>
      </c>
      <c r="G278" s="222">
        <f>IF('Perfil - interna'!G278+'Perfil - externa'!G276=0,0,'Perfil - interna'!G278+'Perfil - externa'!G276)</f>
        <v>0</v>
      </c>
      <c r="H278" s="222">
        <f>IF('Perfil - interna'!H278+'Perfil - externa'!H276=0,0,'Perfil - interna'!H278+'Perfil - externa'!H276)</f>
        <v>0</v>
      </c>
      <c r="I278" s="222">
        <f>IF('Perfil - interna'!I278+'Perfil - externa'!I276=0,0,'Perfil - interna'!I278+'Perfil - externa'!I276)</f>
        <v>0</v>
      </c>
      <c r="J278" s="222">
        <f>IF('Perfil - interna'!J278+'Perfil - externa'!J276=0,0,'Perfil - interna'!J278+'Perfil - externa'!J276)</f>
        <v>5425671.6815912304</v>
      </c>
      <c r="K278" s="222">
        <f>IF('Perfil - interna'!K278+'Perfil - externa'!K276=0,0,'Perfil - interna'!K278+'Perfil - externa'!K276)</f>
        <v>12414795.5065437</v>
      </c>
      <c r="L278" s="222">
        <f>IF('Perfil - interna'!L278+'Perfil - externa'!L276=0,0,'Perfil - interna'!L278+'Perfil - externa'!L276)</f>
        <v>10559222.958111055</v>
      </c>
      <c r="M278" s="222">
        <f>IF('Perfil - interna'!M278+'Perfil - externa'!M276=0,0,'Perfil - interna'!M278+'Perfil - externa'!M276)</f>
        <v>8589080.8583773263</v>
      </c>
      <c r="N278" s="222">
        <f>IF('Perfil - interna'!N278+'Perfil - externa'!N276=0,0,'Perfil - interna'!N278+'Perfil - externa'!N276)</f>
        <v>7522400.0286933035</v>
      </c>
      <c r="O278" s="222">
        <f>IF('Perfil - interna'!O278+'Perfil - externa'!O276=0,0,'Perfil - interna'!O278+'Perfil - externa'!O276)</f>
        <v>6550760.478554992</v>
      </c>
      <c r="P278" s="222">
        <f>IF('Perfil - interna'!P278+'Perfil - externa'!P276=0,0,'Perfil - interna'!P278+'Perfil - externa'!P276)</f>
        <v>5668502.3520241566</v>
      </c>
      <c r="Q278" s="222">
        <f>IF('Perfil - interna'!Q278+'Perfil - externa'!Q276=0,0,'Perfil - interna'!Q278+'Perfil - externa'!Q276)</f>
        <v>4609607.9268816821</v>
      </c>
      <c r="R278" s="222">
        <f>IF('Perfil - interna'!R278+'Perfil - externa'!R276=0,0,'Perfil - interna'!R278+'Perfil - externa'!R276)</f>
        <v>2889288.169214935</v>
      </c>
      <c r="S278" s="222">
        <f>IF('Perfil - interna'!S278+'Perfil - externa'!S276=0,0,'Perfil - interna'!S278+'Perfil - externa'!S276)</f>
        <v>2667458.3698061937</v>
      </c>
      <c r="T278" s="222">
        <f>IF('Perfil - interna'!T278+'Perfil - externa'!T276=0,0,'Perfil - interna'!T278+'Perfil - externa'!T276)</f>
        <v>2474003.0272492063</v>
      </c>
      <c r="U278" s="222">
        <f>IF('Perfil - interna'!U278+'Perfil - externa'!U276=0,0,'Perfil - interna'!U278+'Perfil - externa'!U276)</f>
        <v>2218629.2569881557</v>
      </c>
      <c r="V278" s="222">
        <f>IF('Perfil - interna'!V278+'Perfil - externa'!V276=0,0,'Perfil - interna'!V278+'Perfil - externa'!V276)</f>
        <v>2081364.5289730292</v>
      </c>
      <c r="W278" s="222">
        <f>IF('Perfil - interna'!W278+'Perfil - externa'!W276=0,0,'Perfil - interna'!W278+'Perfil - externa'!W276)</f>
        <v>1052605.7820415546</v>
      </c>
      <c r="X278" s="222">
        <f>IF('Perfil - interna'!X278+'Perfil - externa'!X276=0,0,'Perfil - interna'!X278+'Perfil - externa'!X276)</f>
        <v>1021487.645578461</v>
      </c>
      <c r="Y278" s="222">
        <f>IF('Perfil - interna'!Y278+'Perfil - externa'!Y276=0,0,'Perfil - interna'!Y278+'Perfil - externa'!Y276)</f>
        <v>997682.18586678174</v>
      </c>
      <c r="Z278" s="222">
        <f>IF('Perfil - interna'!Z278+'Perfil - externa'!Z276=0,0,'Perfil - interna'!Z278+'Perfil - externa'!Z276)</f>
        <v>665013.93102853675</v>
      </c>
      <c r="AA278" s="222">
        <f>IF('Perfil - interna'!AA278+'Perfil - externa'!AA276=0,0,'Perfil - interna'!AA278+'Perfil - externa'!AA276)</f>
        <v>570418.98325450637</v>
      </c>
      <c r="AB278" s="222">
        <f>IF('Perfil - interna'!AB278+'Perfil - externa'!AB276=0,0,'Perfil - interna'!AB278+'Perfil - externa'!AB276)</f>
        <v>553829.35731368966</v>
      </c>
      <c r="AC278" s="222">
        <f>IF('Perfil - interna'!AC278+'Perfil - externa'!AC276=0,0,'Perfil - interna'!AC278+'Perfil - externa'!AC276)</f>
        <v>528282.25439302495</v>
      </c>
      <c r="AD278" s="222">
        <f>IF('Perfil - interna'!AD278+'Perfil - externa'!AD276=0,0,'Perfil - interna'!AD278+'Perfil - externa'!AD276)</f>
        <v>330633.09110607277</v>
      </c>
      <c r="AE278" s="222">
        <f>IF('Perfil - interna'!AE278+'Perfil - externa'!AE276=0,0,'Perfil - interna'!AE278+'Perfil - externa'!AE276)</f>
        <v>322944.04564029677</v>
      </c>
      <c r="AF278" s="222">
        <f>IF('Perfil - interna'!AF278+'Perfil - externa'!AF276=0,0,'Perfil - interna'!AF278+'Perfil - externa'!AF276)</f>
        <v>317339.20809645118</v>
      </c>
      <c r="AG278" s="222">
        <f>IF('Perfil - interna'!AG278+'Perfil - externa'!AG276=0,0,'Perfil - interna'!AG278+'Perfil - externa'!AG276)</f>
        <v>312552.63993045915</v>
      </c>
      <c r="AH278" s="222">
        <f>IF('Perfil - interna'!AH278+'Perfil - externa'!AH276=0,0,'Perfil - interna'!AH278+'Perfil - externa'!AH276)</f>
        <v>308415.75699014962</v>
      </c>
      <c r="AI278" s="222">
        <f>IF('Perfil - interna'!AI278+'Perfil - externa'!AI276=0,0,'Perfil - interna'!AI278+'Perfil - externa'!AI276)</f>
        <v>273533.28407422244</v>
      </c>
      <c r="AJ278" s="222">
        <f>IF('Perfil - interna'!AJ278+'Perfil - externa'!AJ276=0,0,'Perfil - interna'!AJ278+'Perfil - externa'!AJ276)</f>
        <v>240357.41621054479</v>
      </c>
      <c r="AK278" s="222">
        <f>IF('Perfil - interna'!AK278+'Perfil - externa'!AK276=0,0,'Perfil - interna'!AK278+'Perfil - externa'!AK276)</f>
        <v>240356.17370431998</v>
      </c>
      <c r="AL278" s="222">
        <f>IF('Perfil - interna'!AL278+'Perfil - externa'!AL276=0,0,'Perfil - interna'!AL278+'Perfil - externa'!AL276)</f>
        <v>240354.93121601761</v>
      </c>
      <c r="AM278" s="222">
        <f>IF('Perfil - interna'!AM278+'Perfil - externa'!AM276=0,0,'Perfil - interna'!AM278+'Perfil - externa'!AM276)</f>
        <v>240351.92968</v>
      </c>
      <c r="AN278" s="222">
        <f>IF('Perfil - interna'!AN278+'Perfil - externa'!AN276=0,0,'Perfil - interna'!AN278+'Perfil - externa'!AN276)</f>
        <v>0</v>
      </c>
      <c r="AO278" s="222"/>
      <c r="AP278" s="222"/>
      <c r="AQ278" s="222"/>
      <c r="AR278" s="222"/>
      <c r="AS278" s="222"/>
      <c r="AT278" s="222"/>
      <c r="AU278" s="222"/>
      <c r="AV278" s="222"/>
      <c r="AW278" s="222"/>
      <c r="AX278" s="222"/>
      <c r="AY278" s="222"/>
      <c r="AZ278" s="222"/>
      <c r="BA278" s="222"/>
      <c r="BB278" s="222"/>
      <c r="BC278" s="222"/>
      <c r="BD278" s="222"/>
      <c r="BE278" s="222"/>
      <c r="BF278" s="222"/>
      <c r="BG278" s="222"/>
      <c r="BH278" s="222"/>
      <c r="BI278" s="222"/>
      <c r="BJ278" s="222"/>
      <c r="BK278" s="222"/>
    </row>
    <row r="279" spans="1:63">
      <c r="A279" s="171"/>
      <c r="B279" s="318" t="str">
        <f>Servicio_internaColumna_título_total</f>
        <v>Total</v>
      </c>
      <c r="C279" s="319"/>
      <c r="D279" s="320"/>
      <c r="E279" s="320"/>
      <c r="F279" s="320">
        <f>IF('Perfil - interna'!F279+'Perfil - externa'!F277=0,0,'Perfil - interna'!F279+'Perfil - externa'!F277)</f>
        <v>0</v>
      </c>
      <c r="G279" s="320">
        <f>IF('Perfil - interna'!G279+'Perfil - externa'!G277=0,0,'Perfil - interna'!G279+'Perfil - externa'!G277)</f>
        <v>0</v>
      </c>
      <c r="H279" s="320">
        <f>IF('Perfil - interna'!H279+'Perfil - externa'!H277=0,0,'Perfil - interna'!H279+'Perfil - externa'!H277)</f>
        <v>0</v>
      </c>
      <c r="I279" s="320">
        <f>IF('Perfil - interna'!I279+'Perfil - externa'!I277=0,0,'Perfil - interna'!I279+'Perfil - externa'!I277)</f>
        <v>0</v>
      </c>
      <c r="J279" s="320">
        <f>IF('Perfil - interna'!J279+'Perfil - externa'!J277=0,0,'Perfil - interna'!J279+'Perfil - externa'!J277)</f>
        <v>15610418.789545894</v>
      </c>
      <c r="K279" s="320">
        <f>IF('Perfil - interna'!K279+'Perfil - externa'!K277=0,0,'Perfil - interna'!K279+'Perfil - externa'!K277)</f>
        <v>33267112.95755842</v>
      </c>
      <c r="L279" s="320">
        <f>IF('Perfil - interna'!L279+'Perfil - externa'!L277=0,0,'Perfil - interna'!L279+'Perfil - externa'!L277)</f>
        <v>33995288.006565347</v>
      </c>
      <c r="M279" s="320">
        <f>IF('Perfil - interna'!M279+'Perfil - externa'!M277=0,0,'Perfil - interna'!M279+'Perfil - externa'!M277)</f>
        <v>19583199.391127579</v>
      </c>
      <c r="N279" s="320">
        <f>IF('Perfil - interna'!N279+'Perfil - externa'!N277=0,0,'Perfil - interna'!N279+'Perfil - externa'!N277)</f>
        <v>17928862.639259696</v>
      </c>
      <c r="O279" s="320">
        <f>IF('Perfil - interna'!O279+'Perfil - externa'!O277=0,0,'Perfil - interna'!O279+'Perfil - externa'!O277)</f>
        <v>17289542.687812645</v>
      </c>
      <c r="P279" s="320">
        <f>IF('Perfil - interna'!P279+'Perfil - externa'!P277=0,0,'Perfil - interna'!P279+'Perfil - externa'!P277)</f>
        <v>16303693.318195783</v>
      </c>
      <c r="Q279" s="320">
        <f>IF('Perfil - interna'!Q279+'Perfil - externa'!Q277=0,0,'Perfil - interna'!Q279+'Perfil - externa'!Q277)</f>
        <v>25455670.499243245</v>
      </c>
      <c r="R279" s="320">
        <f>IF('Perfil - interna'!R279+'Perfil - externa'!R277=0,0,'Perfil - interna'!R279+'Perfil - externa'!R277)</f>
        <v>4995552.5295283487</v>
      </c>
      <c r="S279" s="320">
        <f>IF('Perfil - interna'!S279+'Perfil - externa'!S277=0,0,'Perfil - interna'!S279+'Perfil - externa'!S277)</f>
        <v>7112227.6302175811</v>
      </c>
      <c r="T279" s="320">
        <f>IF('Perfil - interna'!T279+'Perfil - externa'!T277=0,0,'Perfil - interna'!T279+'Perfil - externa'!T277)</f>
        <v>5397086.3715964612</v>
      </c>
      <c r="U279" s="320">
        <f>IF('Perfil - interna'!U279+'Perfil - externa'!U277=0,0,'Perfil - interna'!U279+'Perfil - externa'!U277)</f>
        <v>3276532.943309762</v>
      </c>
      <c r="V279" s="320">
        <f>IF('Perfil - interna'!V279+'Perfil - externa'!V277=0,0,'Perfil - interna'!V279+'Perfil - externa'!V277)</f>
        <v>12537217.590734556</v>
      </c>
      <c r="W279" s="320">
        <f>IF('Perfil - interna'!W279+'Perfil - externa'!W277=0,0,'Perfil - interna'!W279+'Perfil - externa'!W277)</f>
        <v>1710546.452574553</v>
      </c>
      <c r="X279" s="320">
        <f>IF('Perfil - interna'!X279+'Perfil - externa'!X277=0,0,'Perfil - interna'!X279+'Perfil - externa'!X277)</f>
        <v>1544679.0789386388</v>
      </c>
      <c r="Y279" s="320">
        <f>IF('Perfil - interna'!Y279+'Perfil - externa'!Y277=0,0,'Perfil - interna'!Y279+'Perfil - externa'!Y277)</f>
        <v>4551783.619527963</v>
      </c>
      <c r="Z279" s="320">
        <f>IF('Perfil - interna'!Z279+'Perfil - externa'!Z277=0,0,'Perfil - interna'!Z279+'Perfil - externa'!Z277)</f>
        <v>2872994.1040007127</v>
      </c>
      <c r="AA279" s="320">
        <f>IF('Perfil - interna'!AA279+'Perfil - externa'!AA277=0,0,'Perfil - interna'!AA279+'Perfil - externa'!AA277)</f>
        <v>881047.13182390155</v>
      </c>
      <c r="AB279" s="320">
        <f>IF('Perfil - interna'!AB279+'Perfil - externa'!AB277=0,0,'Perfil - interna'!AB279+'Perfil - externa'!AB277)</f>
        <v>824075.30768264167</v>
      </c>
      <c r="AC279" s="320">
        <f>IF('Perfil - interna'!AC279+'Perfil - externa'!AC277=0,0,'Perfil - interna'!AC279+'Perfil - externa'!AC277)</f>
        <v>2771448.6905170721</v>
      </c>
      <c r="AD279" s="320">
        <f>IF('Perfil - interna'!AD279+'Perfil - externa'!AD277=0,0,'Perfil - interna'!AD279+'Perfil - externa'!AD277)</f>
        <v>475974.71757457114</v>
      </c>
      <c r="AE279" s="320">
        <f>IF('Perfil - interna'!AE279+'Perfil - externa'!AE277=0,0,'Perfil - interna'!AE279+'Perfil - externa'!AE277)</f>
        <v>427299.765750208</v>
      </c>
      <c r="AF279" s="320">
        <f>IF('Perfil - interna'!AF279+'Perfil - externa'!AF277=0,0,'Perfil - interna'!AF279+'Perfil - externa'!AF277)</f>
        <v>407386.41569249763</v>
      </c>
      <c r="AG279" s="320">
        <f>IF('Perfil - interna'!AG279+'Perfil - externa'!AG277=0,0,'Perfil - interna'!AG279+'Perfil - externa'!AG277)</f>
        <v>392644.86352985754</v>
      </c>
      <c r="AH279" s="320">
        <f>IF('Perfil - interna'!AH279+'Perfil - externa'!AH277=0,0,'Perfil - interna'!AH279+'Perfil - externa'!AH277)</f>
        <v>365822.98495981365</v>
      </c>
      <c r="AI279" s="320">
        <f>IF('Perfil - interna'!AI279+'Perfil - externa'!AI277=0,0,'Perfil - interna'!AI279+'Perfil - externa'!AI277)</f>
        <v>925535.84654050728</v>
      </c>
      <c r="AJ279" s="320">
        <f>IF('Perfil - interna'!AJ279+'Perfil - externa'!AJ277=0,0,'Perfil - interna'!AJ279+'Perfil - externa'!AJ277)</f>
        <v>241172.53255433359</v>
      </c>
      <c r="AK279" s="320">
        <f>IF('Perfil - interna'!AK279+'Perfil - externa'!AK277=0,0,'Perfil - interna'!AK279+'Perfil - externa'!AK277)</f>
        <v>241171.29004810879</v>
      </c>
      <c r="AL279" s="320">
        <f>IF('Perfil - interna'!AL279+'Perfil - externa'!AL277=0,0,'Perfil - interna'!AL279+'Perfil - externa'!AL277)</f>
        <v>241088.34932098319</v>
      </c>
      <c r="AM279" s="320">
        <f>IF('Perfil - interna'!AM279+'Perfil - externa'!AM277=0,0,'Perfil - interna'!AM279+'Perfil - externa'!AM277)</f>
        <v>3500012.8655461427</v>
      </c>
      <c r="AN279" s="320">
        <f>IF('Perfil - interna'!AN279+'Perfil - externa'!AN277=0,0,'Perfil - interna'!AN279+'Perfil - externa'!AN277)</f>
        <v>0</v>
      </c>
      <c r="AO279" s="320"/>
      <c r="AP279" s="320"/>
      <c r="AQ279" s="320"/>
      <c r="AR279" s="320"/>
      <c r="AS279" s="320"/>
      <c r="AT279" s="320"/>
      <c r="AU279" s="320"/>
      <c r="AV279" s="320"/>
      <c r="AW279" s="320"/>
      <c r="AX279" s="320"/>
      <c r="AY279" s="320"/>
      <c r="AZ279" s="320"/>
      <c r="BA279" s="320"/>
      <c r="BB279" s="320"/>
      <c r="BC279" s="320"/>
      <c r="BD279" s="320"/>
      <c r="BE279" s="320"/>
      <c r="BF279" s="320"/>
      <c r="BG279" s="320"/>
      <c r="BH279" s="320"/>
      <c r="BI279" s="320"/>
      <c r="BJ279" s="320"/>
      <c r="BK279" s="320"/>
    </row>
    <row r="280" spans="1:63">
      <c r="A280" s="167"/>
      <c r="B280" s="217" t="str">
        <f>Servicio_internaColumna_título_amortizaciones</f>
        <v>Amortizaciones</v>
      </c>
      <c r="C280" s="218"/>
      <c r="D280" s="219"/>
      <c r="E280" s="219"/>
      <c r="F280" s="219">
        <f>IF('Perfil - interna'!F280+'Perfil - externa'!F278=0,0,'Perfil - interna'!F280+'Perfil - externa'!F278)</f>
        <v>0</v>
      </c>
      <c r="G280" s="219">
        <f>IF('Perfil - interna'!G280+'Perfil - externa'!G278=0,0,'Perfil - interna'!G280+'Perfil - externa'!G278)</f>
        <v>0</v>
      </c>
      <c r="H280" s="219">
        <f>IF('Perfil - interna'!H280+'Perfil - externa'!H278=0,0,'Perfil - interna'!H280+'Perfil - externa'!H278)</f>
        <v>0</v>
      </c>
      <c r="I280" s="219">
        <f>IF('Perfil - interna'!I280+'Perfil - externa'!I278=0,0,'Perfil - interna'!I280+'Perfil - externa'!I278)</f>
        <v>0</v>
      </c>
      <c r="J280" s="219">
        <f>IF('Perfil - interna'!J280+'Perfil - externa'!J278=0,0,'Perfil - interna'!J280+'Perfil - externa'!J278)</f>
        <v>3959660.0522279139</v>
      </c>
      <c r="K280" s="219">
        <f>IF('Perfil - interna'!K280+'Perfil - externa'!K278=0,0,'Perfil - interna'!K280+'Perfil - externa'!K278)</f>
        <v>21422663.23312363</v>
      </c>
      <c r="L280" s="219">
        <f>IF('Perfil - interna'!L280+'Perfil - externa'!L278=0,0,'Perfil - interna'!L280+'Perfil - externa'!L278)</f>
        <v>23757387.545993719</v>
      </c>
      <c r="M280" s="219">
        <f>IF('Perfil - interna'!M280+'Perfil - externa'!M278=0,0,'Perfil - interna'!M280+'Perfil - externa'!M278)</f>
        <v>12217595.854780577</v>
      </c>
      <c r="N280" s="219">
        <f>IF('Perfil - interna'!N280+'Perfil - externa'!N278=0,0,'Perfil - interna'!N280+'Perfil - externa'!N278)</f>
        <v>10687012.634982878</v>
      </c>
      <c r="O280" s="219">
        <f>IF('Perfil - interna'!O280+'Perfil - externa'!O278=0,0,'Perfil - interna'!O280+'Perfil - externa'!O278)</f>
        <v>11496211.881781658</v>
      </c>
      <c r="P280" s="219">
        <f>IF('Perfil - interna'!P280+'Perfil - externa'!P278=0,0,'Perfil - interna'!P280+'Perfil - externa'!P278)</f>
        <v>11003366.750506829</v>
      </c>
      <c r="Q280" s="219">
        <f>IF('Perfil - interna'!Q280+'Perfil - externa'!Q278=0,0,'Perfil - interna'!Q280+'Perfil - externa'!Q278)</f>
        <v>21419478.637481384</v>
      </c>
      <c r="R280" s="219">
        <f>IF('Perfil - interna'!R280+'Perfil - externa'!R278=0,0,'Perfil - interna'!R280+'Perfil - externa'!R278)</f>
        <v>2278021.3624185338</v>
      </c>
      <c r="S280" s="219">
        <f>IF('Perfil - interna'!S280+'Perfil - externa'!S278=0,0,'Perfil - interna'!S280+'Perfil - externa'!S278)</f>
        <v>4799943.4846226024</v>
      </c>
      <c r="T280" s="219">
        <f>IF('Perfil - interna'!T280+'Perfil - externa'!T278=0,0,'Perfil - interna'!T280+'Perfil - externa'!T278)</f>
        <v>3633214.0102034342</v>
      </c>
      <c r="U280" s="219">
        <f>IF('Perfil - interna'!U280+'Perfil - externa'!U278=0,0,'Perfil - interna'!U280+'Perfil - externa'!U278)</f>
        <v>1147499.1708993497</v>
      </c>
      <c r="V280" s="219">
        <f>IF('Perfil - interna'!V280+'Perfil - externa'!V278=0,0,'Perfil - interna'!V280+'Perfil - externa'!V278)</f>
        <v>10685313.027278634</v>
      </c>
      <c r="W280" s="219">
        <f>IF('Perfil - interna'!W280+'Perfil - externa'!W278=0,0,'Perfil - interna'!W280+'Perfil - externa'!W278)</f>
        <v>713146.07019519596</v>
      </c>
      <c r="X280" s="219">
        <f>IF('Perfil - interna'!X280+'Perfil - externa'!X278=0,0,'Perfil - interna'!X280+'Perfil - externa'!X278)</f>
        <v>566341.42889036203</v>
      </c>
      <c r="Y280" s="219">
        <f>IF('Perfil - interna'!Y280+'Perfil - externa'!Y278=0,0,'Perfil - interna'!Y280+'Perfil - externa'!Y278)</f>
        <v>3934731.042252928</v>
      </c>
      <c r="Z280" s="219">
        <f>IF('Perfil - interna'!Z280+'Perfil - externa'!Z278=0,0,'Perfil - interna'!Z280+'Perfil - externa'!Z278)</f>
        <v>2386561.6162719424</v>
      </c>
      <c r="AA280" s="219">
        <f>IF('Perfil - interna'!AA280+'Perfil - externa'!AA278=0,0,'Perfil - interna'!AA280+'Perfil - externa'!AA278)</f>
        <v>341024.17673126003</v>
      </c>
      <c r="AB280" s="219">
        <f>IF('Perfil - interna'!AB280+'Perfil - externa'!AB278=0,0,'Perfil - interna'!AB280+'Perfil - externa'!AB278)</f>
        <v>297488.44303326408</v>
      </c>
      <c r="AC280" s="219">
        <f>IF('Perfil - interna'!AC280+'Perfil - externa'!AC278=0,0,'Perfil - interna'!AC280+'Perfil - externa'!AC278)</f>
        <v>2509922.1908427216</v>
      </c>
      <c r="AD280" s="219">
        <f>IF('Perfil - interna'!AD280+'Perfil - externa'!AD278=0,0,'Perfil - interna'!AD280+'Perfil - externa'!AD278)</f>
        <v>162850.40429873002</v>
      </c>
      <c r="AE280" s="219">
        <f>IF('Perfil - interna'!AE280+'Perfil - externa'!AE278=0,0,'Perfil - interna'!AE280+'Perfil - externa'!AE278)</f>
        <v>118663.817532414</v>
      </c>
      <c r="AF280" s="219">
        <f>IF('Perfil - interna'!AF280+'Perfil - externa'!AF278=0,0,'Perfil - interna'!AF280+'Perfil - externa'!AF278)</f>
        <v>103237.92151442001</v>
      </c>
      <c r="AG280" s="219">
        <f>IF('Perfil - interna'!AG280+'Perfil - externa'!AG278=0,0,'Perfil - interna'!AG280+'Perfil - externa'!AG278)</f>
        <v>92505.530719479997</v>
      </c>
      <c r="AH280" s="219">
        <f>IF('Perfil - interna'!AH280+'Perfil - externa'!AH278=0,0,'Perfil - interna'!AH280+'Perfil - externa'!AH278)</f>
        <v>68049.013425048004</v>
      </c>
      <c r="AI280" s="219">
        <f>IF('Perfil - interna'!AI280+'Perfil - externa'!AI278=0,0,'Perfil - interna'!AI280+'Perfil - externa'!AI278)</f>
        <v>709077.617470472</v>
      </c>
      <c r="AJ280" s="219">
        <f>IF('Perfil - interna'!AJ280+'Perfil - externa'!AJ278=0,0,'Perfil - interna'!AJ280+'Perfil - externa'!AJ278)</f>
        <v>7037.4981795919994</v>
      </c>
      <c r="AK280" s="219">
        <f>IF('Perfil - interna'!AK280+'Perfil - externa'!AK278=0,0,'Perfil - interna'!AK280+'Perfil - externa'!AK278)</f>
        <v>7037.4981795919994</v>
      </c>
      <c r="AL280" s="219">
        <f>IF('Perfil - interna'!AL280+'Perfil - externa'!AL278=0,0,'Perfil - interna'!AL280+'Perfil - externa'!AL278)</f>
        <v>6949.8481967539992</v>
      </c>
      <c r="AM280" s="219">
        <f>IF('Perfil - interna'!AM280+'Perfil - externa'!AM278=0,0,'Perfil - interna'!AM280+'Perfil - externa'!AM278)</f>
        <v>3520374.6776342564</v>
      </c>
      <c r="AN280" s="219">
        <f>IF('Perfil - interna'!AN280+'Perfil - externa'!AN278=0,0,'Perfil - interna'!AN280+'Perfil - externa'!AN278)</f>
        <v>0</v>
      </c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</row>
    <row r="281" spans="1:63">
      <c r="A281" s="170">
        <v>39690</v>
      </c>
      <c r="B281" s="220" t="str">
        <f>Servicio_internaColumna_título_intereses</f>
        <v>Intereses</v>
      </c>
      <c r="C281" s="221"/>
      <c r="D281" s="222"/>
      <c r="E281" s="222"/>
      <c r="F281" s="222">
        <f>IF('Perfil - interna'!F281+'Perfil - externa'!F279=0,0,'Perfil - interna'!F281+'Perfil - externa'!F279)</f>
        <v>0</v>
      </c>
      <c r="G281" s="222">
        <f>IF('Perfil - interna'!G281+'Perfil - externa'!G279=0,0,'Perfil - interna'!G281+'Perfil - externa'!G279)</f>
        <v>0</v>
      </c>
      <c r="H281" s="222">
        <f>IF('Perfil - interna'!H281+'Perfil - externa'!H279=0,0,'Perfil - interna'!H281+'Perfil - externa'!H279)</f>
        <v>0</v>
      </c>
      <c r="I281" s="222">
        <f>IF('Perfil - interna'!I281+'Perfil - externa'!I279=0,0,'Perfil - interna'!I281+'Perfil - externa'!I279)</f>
        <v>0</v>
      </c>
      <c r="J281" s="222">
        <f>IF('Perfil - interna'!J281+'Perfil - externa'!J279=0,0,'Perfil - interna'!J281+'Perfil - externa'!J279)</f>
        <v>4552193.000609708</v>
      </c>
      <c r="K281" s="222">
        <f>IF('Perfil - interna'!K281+'Perfil - externa'!K279=0,0,'Perfil - interna'!K281+'Perfil - externa'!K279)</f>
        <v>12968646.070656519</v>
      </c>
      <c r="L281" s="222">
        <f>IF('Perfil - interna'!L281+'Perfil - externa'!L279=0,0,'Perfil - interna'!L281+'Perfil - externa'!L279)</f>
        <v>11107216.98819438</v>
      </c>
      <c r="M281" s="222">
        <f>IF('Perfil - interna'!M281+'Perfil - externa'!M279=0,0,'Perfil - interna'!M281+'Perfil - externa'!M279)</f>
        <v>9111974.0887726676</v>
      </c>
      <c r="N281" s="222">
        <f>IF('Perfil - interna'!N281+'Perfil - externa'!N279=0,0,'Perfil - interna'!N281+'Perfil - externa'!N279)</f>
        <v>7916022.6497510727</v>
      </c>
      <c r="O281" s="222">
        <f>IF('Perfil - interna'!O281+'Perfil - externa'!O279=0,0,'Perfil - interna'!O281+'Perfil - externa'!O279)</f>
        <v>6922150.7635962516</v>
      </c>
      <c r="P281" s="222">
        <f>IF('Perfil - interna'!P281+'Perfil - externa'!P279=0,0,'Perfil - interna'!P281+'Perfil - externa'!P279)</f>
        <v>5977850.8160019461</v>
      </c>
      <c r="Q281" s="222">
        <f>IF('Perfil - interna'!Q281+'Perfil - externa'!Q279=0,0,'Perfil - interna'!Q281+'Perfil - externa'!Q279)</f>
        <v>4892124.7873571226</v>
      </c>
      <c r="R281" s="222">
        <f>IF('Perfil - interna'!R281+'Perfil - externa'!R279=0,0,'Perfil - interna'!R281+'Perfil - externa'!R279)</f>
        <v>3121434.6004623398</v>
      </c>
      <c r="S281" s="222">
        <f>IF('Perfil - interna'!S281+'Perfil - externa'!S279=0,0,'Perfil - interna'!S281+'Perfil - externa'!S279)</f>
        <v>2881422.0173071637</v>
      </c>
      <c r="T281" s="222">
        <f>IF('Perfil - interna'!T281+'Perfil - externa'!T279=0,0,'Perfil - interna'!T281+'Perfil - externa'!T279)</f>
        <v>2673010.7459174795</v>
      </c>
      <c r="U281" s="222">
        <f>IF('Perfil - interna'!U281+'Perfil - externa'!U279=0,0,'Perfil - interna'!U281+'Perfil - externa'!U279)</f>
        <v>2342541.6476707105</v>
      </c>
      <c r="V281" s="222">
        <f>IF('Perfil - interna'!V281+'Perfil - externa'!V279=0,0,'Perfil - interna'!V281+'Perfil - externa'!V279)</f>
        <v>2194096.2866769442</v>
      </c>
      <c r="W281" s="222">
        <f>IF('Perfil - interna'!W281+'Perfil - externa'!W279=0,0,'Perfil - interna'!W281+'Perfil - externa'!W279)</f>
        <v>1148555.2435649969</v>
      </c>
      <c r="X281" s="222">
        <f>IF('Perfil - interna'!X281+'Perfil - externa'!X279=0,0,'Perfil - interna'!X281+'Perfil - externa'!X279)</f>
        <v>1114917.7558736298</v>
      </c>
      <c r="Y281" s="222">
        <f>IF('Perfil - interna'!Y281+'Perfil - externa'!Y279=0,0,'Perfil - interna'!Y281+'Perfil - externa'!Y279)</f>
        <v>1089342.4344102193</v>
      </c>
      <c r="Z281" s="222">
        <f>IF('Perfil - interna'!Z281+'Perfil - externa'!Z279=0,0,'Perfil - interna'!Z281+'Perfil - externa'!Z279)</f>
        <v>725040.72175989207</v>
      </c>
      <c r="AA281" s="222">
        <f>IF('Perfil - interna'!AA281+'Perfil - externa'!AA279=0,0,'Perfil - interna'!AA281+'Perfil - externa'!AA279)</f>
        <v>622974.20202156401</v>
      </c>
      <c r="AB281" s="222">
        <f>IF('Perfil - interna'!AB281+'Perfil - externa'!AB279=0,0,'Perfil - interna'!AB281+'Perfil - externa'!AB279)</f>
        <v>605045.95258214592</v>
      </c>
      <c r="AC281" s="222">
        <f>IF('Perfil - interna'!AC281+'Perfil - externa'!AC279=0,0,'Perfil - interna'!AC281+'Perfil - externa'!AC279)</f>
        <v>577990.98080776993</v>
      </c>
      <c r="AD281" s="222">
        <f>IF('Perfil - interna'!AD281+'Perfil - externa'!AD279=0,0,'Perfil - interna'!AD281+'Perfil - externa'!AD279)</f>
        <v>356575.02041377599</v>
      </c>
      <c r="AE281" s="222">
        <f>IF('Perfil - interna'!AE281+'Perfil - externa'!AE279=0,0,'Perfil - interna'!AE281+'Perfil - externa'!AE279)</f>
        <v>348294.91786402598</v>
      </c>
      <c r="AF281" s="222">
        <f>IF('Perfil - interna'!AF281+'Perfil - externa'!AF279=0,0,'Perfil - interna'!AF281+'Perfil - externa'!AF279)</f>
        <v>342237.36260285997</v>
      </c>
      <c r="AG281" s="222">
        <f>IF('Perfil - interna'!AG281+'Perfil - externa'!AG279=0,0,'Perfil - interna'!AG281+'Perfil - externa'!AG279)</f>
        <v>337061.977230296</v>
      </c>
      <c r="AH281" s="222">
        <f>IF('Perfil - interna'!AH281+'Perfil - externa'!AH279=0,0,'Perfil - interna'!AH281+'Perfil - externa'!AH279)</f>
        <v>332587.01238688797</v>
      </c>
      <c r="AI281" s="222">
        <f>IF('Perfil - interna'!AI281+'Perfil - externa'!AI279=0,0,'Perfil - interna'!AI281+'Perfil - externa'!AI279)</f>
        <v>294965.46627514</v>
      </c>
      <c r="AJ281" s="222">
        <f>IF('Perfil - interna'!AJ281+'Perfil - externa'!AJ279=0,0,'Perfil - interna'!AJ281+'Perfil - externa'!AJ279)</f>
        <v>259183.797773158</v>
      </c>
      <c r="AK281" s="222">
        <f>IF('Perfil - interna'!AK281+'Perfil - externa'!AK279=0,0,'Perfil - interna'!AK281+'Perfil - externa'!AK279)</f>
        <v>259167.43480220402</v>
      </c>
      <c r="AL281" s="222">
        <f>IF('Perfil - interna'!AL281+'Perfil - externa'!AL279=0,0,'Perfil - interna'!AL281+'Perfil - externa'!AL279)</f>
        <v>259151.071792606</v>
      </c>
      <c r="AM281" s="222">
        <f>IF('Perfil - interna'!AM281+'Perfil - externa'!AM279=0,0,'Perfil - interna'!AM281+'Perfil - externa'!AM279)</f>
        <v>259132.78668841397</v>
      </c>
      <c r="AN281" s="222">
        <f>IF('Perfil - interna'!AN281+'Perfil - externa'!AN279=0,0,'Perfil - interna'!AN281+'Perfil - externa'!AN279)</f>
        <v>0</v>
      </c>
      <c r="AO281" s="222"/>
      <c r="AP281" s="222"/>
      <c r="AQ281" s="222"/>
      <c r="AR281" s="222"/>
      <c r="AS281" s="222"/>
      <c r="AT281" s="222"/>
      <c r="AU281" s="222"/>
      <c r="AV281" s="222"/>
      <c r="AW281" s="222"/>
      <c r="AX281" s="222"/>
      <c r="AY281" s="222"/>
      <c r="AZ281" s="222"/>
      <c r="BA281" s="222"/>
      <c r="BB281" s="222"/>
      <c r="BC281" s="222"/>
      <c r="BD281" s="222"/>
      <c r="BE281" s="222"/>
      <c r="BF281" s="222"/>
      <c r="BG281" s="222"/>
      <c r="BH281" s="222"/>
      <c r="BI281" s="222"/>
      <c r="BJ281" s="222"/>
      <c r="BK281" s="222"/>
    </row>
    <row r="282" spans="1:63">
      <c r="A282" s="171"/>
      <c r="B282" s="318" t="str">
        <f>Servicio_internaColumna_título_total</f>
        <v>Total</v>
      </c>
      <c r="C282" s="319"/>
      <c r="D282" s="320"/>
      <c r="E282" s="320"/>
      <c r="F282" s="320">
        <f>IF('Perfil - interna'!F282+'Perfil - externa'!F280=0,0,'Perfil - interna'!F282+'Perfil - externa'!F280)</f>
        <v>0</v>
      </c>
      <c r="G282" s="320">
        <f>IF('Perfil - interna'!G282+'Perfil - externa'!G280=0,0,'Perfil - interna'!G282+'Perfil - externa'!G280)</f>
        <v>0</v>
      </c>
      <c r="H282" s="320">
        <f>IF('Perfil - interna'!H282+'Perfil - externa'!H280=0,0,'Perfil - interna'!H282+'Perfil - externa'!H280)</f>
        <v>0</v>
      </c>
      <c r="I282" s="320">
        <f>IF('Perfil - interna'!I282+'Perfil - externa'!I280=0,0,'Perfil - interna'!I282+'Perfil - externa'!I280)</f>
        <v>0</v>
      </c>
      <c r="J282" s="320">
        <f>IF('Perfil - interna'!J282+'Perfil - externa'!J280=0,0,'Perfil - interna'!J282+'Perfil - externa'!J280)</f>
        <v>8511853.0528376214</v>
      </c>
      <c r="K282" s="320">
        <f>IF('Perfil - interna'!K282+'Perfil - externa'!K280=0,0,'Perfil - interna'!K282+'Perfil - externa'!K280)</f>
        <v>34391309.303780153</v>
      </c>
      <c r="L282" s="320">
        <f>IF('Perfil - interna'!L282+'Perfil - externa'!L280=0,0,'Perfil - interna'!L282+'Perfil - externa'!L280)</f>
        <v>34864604.534188099</v>
      </c>
      <c r="M282" s="320">
        <f>IF('Perfil - interna'!M282+'Perfil - externa'!M280=0,0,'Perfil - interna'!M282+'Perfil - externa'!M280)</f>
        <v>21329569.943553247</v>
      </c>
      <c r="N282" s="320">
        <f>IF('Perfil - interna'!N282+'Perfil - externa'!N280=0,0,'Perfil - interna'!N282+'Perfil - externa'!N280)</f>
        <v>18603035.284733951</v>
      </c>
      <c r="O282" s="320">
        <f>IF('Perfil - interna'!O282+'Perfil - externa'!O280=0,0,'Perfil - interna'!O282+'Perfil - externa'!O280)</f>
        <v>18418362.645377908</v>
      </c>
      <c r="P282" s="320">
        <f>IF('Perfil - interna'!P282+'Perfil - externa'!P280=0,0,'Perfil - interna'!P282+'Perfil - externa'!P280)</f>
        <v>16981217.566508777</v>
      </c>
      <c r="Q282" s="320">
        <f>IF('Perfil - interna'!Q282+'Perfil - externa'!Q280=0,0,'Perfil - interna'!Q282+'Perfil - externa'!Q280)</f>
        <v>26311603.424838506</v>
      </c>
      <c r="R282" s="320">
        <f>IF('Perfil - interna'!R282+'Perfil - externa'!R280=0,0,'Perfil - interna'!R282+'Perfil - externa'!R280)</f>
        <v>5399455.9628808741</v>
      </c>
      <c r="S282" s="320">
        <f>IF('Perfil - interna'!S282+'Perfil - externa'!S280=0,0,'Perfil - interna'!S282+'Perfil - externa'!S280)</f>
        <v>7681365.5019297665</v>
      </c>
      <c r="T282" s="320">
        <f>IF('Perfil - interna'!T282+'Perfil - externa'!T280=0,0,'Perfil - interna'!T282+'Perfil - externa'!T280)</f>
        <v>6306224.7561209146</v>
      </c>
      <c r="U282" s="320">
        <f>IF('Perfil - interna'!U282+'Perfil - externa'!U280=0,0,'Perfil - interna'!U282+'Perfil - externa'!U280)</f>
        <v>3490040.8185700607</v>
      </c>
      <c r="V282" s="320">
        <f>IF('Perfil - interna'!V282+'Perfil - externa'!V280=0,0,'Perfil - interna'!V282+'Perfil - externa'!V280)</f>
        <v>12879409.313955579</v>
      </c>
      <c r="W282" s="320">
        <f>IF('Perfil - interna'!W282+'Perfil - externa'!W280=0,0,'Perfil - interna'!W282+'Perfil - externa'!W280)</f>
        <v>1861701.3137601928</v>
      </c>
      <c r="X282" s="320">
        <f>IF('Perfil - interna'!X282+'Perfil - externa'!X280=0,0,'Perfil - interna'!X282+'Perfil - externa'!X280)</f>
        <v>1681259.1847639917</v>
      </c>
      <c r="Y282" s="320">
        <f>IF('Perfil - interna'!Y282+'Perfil - externa'!Y280=0,0,'Perfil - interna'!Y282+'Perfil - externa'!Y280)</f>
        <v>5024073.4766631471</v>
      </c>
      <c r="Z282" s="320">
        <f>IF('Perfil - interna'!Z282+'Perfil - externa'!Z280=0,0,'Perfil - interna'!Z282+'Perfil - externa'!Z280)</f>
        <v>3111602.3380318345</v>
      </c>
      <c r="AA282" s="320">
        <f>IF('Perfil - interna'!AA282+'Perfil - externa'!AA280=0,0,'Perfil - interna'!AA282+'Perfil - externa'!AA280)</f>
        <v>963998.37875282404</v>
      </c>
      <c r="AB282" s="320">
        <f>IF('Perfil - interna'!AB282+'Perfil - externa'!AB280=0,0,'Perfil - interna'!AB282+'Perfil - externa'!AB280)</f>
        <v>902534.39561541006</v>
      </c>
      <c r="AC282" s="320">
        <f>IF('Perfil - interna'!AC282+'Perfil - externa'!AC280=0,0,'Perfil - interna'!AC282+'Perfil - externa'!AC280)</f>
        <v>3087913.1716504917</v>
      </c>
      <c r="AD282" s="320">
        <f>IF('Perfil - interna'!AD282+'Perfil - externa'!AD280=0,0,'Perfil - interna'!AD282+'Perfil - externa'!AD280)</f>
        <v>519425.42471250601</v>
      </c>
      <c r="AE282" s="320">
        <f>IF('Perfil - interna'!AE282+'Perfil - externa'!AE280=0,0,'Perfil - interna'!AE282+'Perfil - externa'!AE280)</f>
        <v>466958.73539643997</v>
      </c>
      <c r="AF282" s="320">
        <f>IF('Perfil - interna'!AF282+'Perfil - externa'!AF280=0,0,'Perfil - interna'!AF282+'Perfil - externa'!AF280)</f>
        <v>445475.28411727998</v>
      </c>
      <c r="AG282" s="320">
        <f>IF('Perfil - interna'!AG282+'Perfil - externa'!AG280=0,0,'Perfil - interna'!AG282+'Perfil - externa'!AG280)</f>
        <v>429567.50794977602</v>
      </c>
      <c r="AH282" s="320">
        <f>IF('Perfil - interna'!AH282+'Perfil - externa'!AH280=0,0,'Perfil - interna'!AH282+'Perfil - externa'!AH280)</f>
        <v>400636.02581193601</v>
      </c>
      <c r="AI282" s="320">
        <f>IF('Perfil - interna'!AI282+'Perfil - externa'!AI280=0,0,'Perfil - interna'!AI282+'Perfil - externa'!AI280)</f>
        <v>1004043.0837456121</v>
      </c>
      <c r="AJ282" s="320">
        <f>IF('Perfil - interna'!AJ282+'Perfil - externa'!AJ280=0,0,'Perfil - interna'!AJ282+'Perfil - externa'!AJ280)</f>
        <v>266221.29595275002</v>
      </c>
      <c r="AK282" s="320">
        <f>IF('Perfil - interna'!AK282+'Perfil - externa'!AK280=0,0,'Perfil - interna'!AK282+'Perfil - externa'!AK280)</f>
        <v>266204.93298179604</v>
      </c>
      <c r="AL282" s="320">
        <f>IF('Perfil - interna'!AL282+'Perfil - externa'!AL280=0,0,'Perfil - interna'!AL282+'Perfil - externa'!AL280)</f>
        <v>266100.91998936003</v>
      </c>
      <c r="AM282" s="320">
        <f>IF('Perfil - interna'!AM282+'Perfil - externa'!AM280=0,0,'Perfil - interna'!AM282+'Perfil - externa'!AM280)</f>
        <v>3779507.4643226704</v>
      </c>
      <c r="AN282" s="320">
        <f>IF('Perfil - interna'!AN282+'Perfil - externa'!AN280=0,0,'Perfil - interna'!AN282+'Perfil - externa'!AN280)</f>
        <v>0</v>
      </c>
      <c r="AO282" s="320"/>
      <c r="AP282" s="320"/>
      <c r="AQ282" s="320"/>
      <c r="AR282" s="320"/>
      <c r="AS282" s="320"/>
      <c r="AT282" s="320"/>
      <c r="AU282" s="320"/>
      <c r="AV282" s="320"/>
      <c r="AW282" s="320"/>
      <c r="AX282" s="320"/>
      <c r="AY282" s="320"/>
      <c r="AZ282" s="320"/>
      <c r="BA282" s="320"/>
      <c r="BB282" s="320"/>
      <c r="BC282" s="320"/>
      <c r="BD282" s="320"/>
      <c r="BE282" s="320"/>
      <c r="BF282" s="320"/>
      <c r="BG282" s="320"/>
      <c r="BH282" s="320"/>
      <c r="BI282" s="320"/>
      <c r="BJ282" s="320"/>
      <c r="BK282" s="320"/>
    </row>
    <row r="283" spans="1:63">
      <c r="A283" s="167"/>
      <c r="B283" s="217" t="str">
        <f>Servicio_internaColumna_título_amortizaciones</f>
        <v>Amortizaciones</v>
      </c>
      <c r="C283" s="218"/>
      <c r="D283" s="219"/>
      <c r="E283" s="219"/>
      <c r="F283" s="219">
        <f>IF('Perfil - interna'!F283+'Perfil - externa'!F281=0,0,'Perfil - interna'!F283+'Perfil - externa'!F281)</f>
        <v>0</v>
      </c>
      <c r="G283" s="219">
        <f>IF('Perfil - interna'!G283+'Perfil - externa'!G281=0,0,'Perfil - interna'!G283+'Perfil - externa'!G281)</f>
        <v>0</v>
      </c>
      <c r="H283" s="219">
        <f>IF('Perfil - interna'!H283+'Perfil - externa'!H281=0,0,'Perfil - interna'!H283+'Perfil - externa'!H281)</f>
        <v>0</v>
      </c>
      <c r="I283" s="219">
        <f>IF('Perfil - interna'!I283+'Perfil - externa'!I281=0,0,'Perfil - interna'!I283+'Perfil - externa'!I281)</f>
        <v>0</v>
      </c>
      <c r="J283" s="219">
        <f>IF('Perfil - interna'!J283+'Perfil - externa'!J281=0,0,'Perfil - interna'!J283+'Perfil - externa'!J281)</f>
        <v>3197750.7488827468</v>
      </c>
      <c r="K283" s="219">
        <f>IF('Perfil - interna'!K283+'Perfil - externa'!K281=0,0,'Perfil - interna'!K283+'Perfil - externa'!K281)</f>
        <v>22241998.589137949</v>
      </c>
      <c r="L283" s="219">
        <f>IF('Perfil - interna'!L283+'Perfil - externa'!L281=0,0,'Perfil - interna'!L283+'Perfil - externa'!L281)</f>
        <v>24172359.826214187</v>
      </c>
      <c r="M283" s="219">
        <f>IF('Perfil - interna'!M283+'Perfil - externa'!M281=0,0,'Perfil - interna'!M283+'Perfil - externa'!M281)</f>
        <v>12773098.888509795</v>
      </c>
      <c r="N283" s="219">
        <f>IF('Perfil - interna'!N283+'Perfil - externa'!N281=0,0,'Perfil - interna'!N283+'Perfil - externa'!N281)</f>
        <v>11140211.077697467</v>
      </c>
      <c r="O283" s="219">
        <f>IF('Perfil - interna'!O283+'Perfil - externa'!O281=0,0,'Perfil - interna'!O283+'Perfil - externa'!O281)</f>
        <v>12291427.444254745</v>
      </c>
      <c r="P283" s="219">
        <f>IF('Perfil - interna'!P283+'Perfil - externa'!P281=0,0,'Perfil - interna'!P283+'Perfil - externa'!P281)</f>
        <v>11521997.987256367</v>
      </c>
      <c r="Q283" s="219">
        <f>IF('Perfil - interna'!Q283+'Perfil - externa'!Q281=0,0,'Perfil - interna'!Q283+'Perfil - externa'!Q281)</f>
        <v>22092552.097054601</v>
      </c>
      <c r="R283" s="219">
        <f>IF('Perfil - interna'!R283+'Perfil - externa'!R281=0,0,'Perfil - interna'!R283+'Perfil - externa'!R281)</f>
        <v>2544876.7098498344</v>
      </c>
      <c r="S283" s="219">
        <f>IF('Perfil - interna'!S283+'Perfil - externa'!S281=0,0,'Perfil - interna'!S283+'Perfil - externa'!S281)</f>
        <v>5399165.3619710878</v>
      </c>
      <c r="T283" s="219">
        <f>IF('Perfil - interna'!T283+'Perfil - externa'!T281=0,0,'Perfil - interna'!T283+'Perfil - externa'!T281)</f>
        <v>4005688.1967510814</v>
      </c>
      <c r="U283" s="219">
        <f>IF('Perfil - interna'!U283+'Perfil - externa'!U281=0,0,'Perfil - interna'!U283+'Perfil - externa'!U281)</f>
        <v>1289332.1364799999</v>
      </c>
      <c r="V283" s="219">
        <f>IF('Perfil - interna'!V283+'Perfil - externa'!V281=0,0,'Perfil - interna'!V283+'Perfil - externa'!V281)</f>
        <v>11006579.886048798</v>
      </c>
      <c r="W283" s="219">
        <f>IF('Perfil - interna'!W283+'Perfil - externa'!W281=0,0,'Perfil - interna'!W283+'Perfil - externa'!W281)</f>
        <v>801324.63966494508</v>
      </c>
      <c r="X283" s="219">
        <f>IF('Perfil - interna'!X283+'Perfil - externa'!X281=0,0,'Perfil - interna'!X283+'Perfil - externa'!X281)</f>
        <v>636734.95826195227</v>
      </c>
      <c r="Y283" s="219">
        <f>IF('Perfil - interna'!Y283+'Perfil - externa'!Y281=0,0,'Perfil - interna'!Y283+'Perfil - externa'!Y281)</f>
        <v>4238634.9481692836</v>
      </c>
      <c r="Z283" s="219">
        <f>IF('Perfil - interna'!Z283+'Perfil - externa'!Z281=0,0,'Perfil - interna'!Z283+'Perfil - externa'!Z281)</f>
        <v>2685786.9297707435</v>
      </c>
      <c r="AA283" s="219">
        <f>IF('Perfil - interna'!AA283+'Perfil - externa'!AA281=0,0,'Perfil - interna'!AA283+'Perfil - externa'!AA281)</f>
        <v>427102.21209454123</v>
      </c>
      <c r="AB283" s="219">
        <f>IF('Perfil - interna'!AB283+'Perfil - externa'!AB281=0,0,'Perfil - interna'!AB283+'Perfil - externa'!AB281)</f>
        <v>334611.94582068967</v>
      </c>
      <c r="AC283" s="219">
        <f>IF('Perfil - interna'!AC283+'Perfil - externa'!AC281=0,0,'Perfil - interna'!AC283+'Perfil - externa'!AC281)</f>
        <v>2802102.3427895932</v>
      </c>
      <c r="AD283" s="219">
        <f>IF('Perfil - interna'!AD283+'Perfil - externa'!AD281=0,0,'Perfil - interna'!AD283+'Perfil - externa'!AD281)</f>
        <v>183224.75429771663</v>
      </c>
      <c r="AE283" s="219">
        <f>IF('Perfil - interna'!AE283+'Perfil - externa'!AE281=0,0,'Perfil - interna'!AE283+'Perfil - externa'!AE281)</f>
        <v>133494.37684519301</v>
      </c>
      <c r="AF283" s="219">
        <f>IF('Perfil - interna'!AF283+'Perfil - externa'!AF281=0,0,'Perfil - interna'!AF283+'Perfil - externa'!AF281)</f>
        <v>116133.09851031561</v>
      </c>
      <c r="AG283" s="219">
        <f>IF('Perfil - interna'!AG283+'Perfil - externa'!AG281=0,0,'Perfil - interna'!AG283+'Perfil - externa'!AG281)</f>
        <v>104054.18759504159</v>
      </c>
      <c r="AH283" s="219">
        <f>IF('Perfil - interna'!AH283+'Perfil - externa'!AH281=0,0,'Perfil - interna'!AH283+'Perfil - externa'!AH281)</f>
        <v>76529.277317214393</v>
      </c>
      <c r="AI283" s="219">
        <f>IF('Perfil - interna'!AI283+'Perfil - externa'!AI281=0,0,'Perfil - interna'!AI283+'Perfil - externa'!AI281)</f>
        <v>782678.20029243606</v>
      </c>
      <c r="AJ283" s="219">
        <f>IF('Perfil - interna'!AJ283+'Perfil - externa'!AJ281=0,0,'Perfil - interna'!AJ283+'Perfil - externa'!AJ281)</f>
        <v>7863.0619755967991</v>
      </c>
      <c r="AK283" s="219">
        <f>IF('Perfil - interna'!AK283+'Perfil - externa'!AK281=0,0,'Perfil - interna'!AK283+'Perfil - externa'!AK281)</f>
        <v>7863.0619755967991</v>
      </c>
      <c r="AL283" s="219">
        <f>IF('Perfil - interna'!AL283+'Perfil - externa'!AL281=0,0,'Perfil - interna'!AL283+'Perfil - externa'!AL281)</f>
        <v>7767.3621467385992</v>
      </c>
      <c r="AM283" s="219">
        <f>IF('Perfil - interna'!AM283+'Perfil - externa'!AM281=0,0,'Perfil - interna'!AM283+'Perfil - externa'!AM281)</f>
        <v>3962000.6697307327</v>
      </c>
      <c r="AN283" s="219">
        <f>IF('Perfil - interna'!AN283+'Perfil - externa'!AN281=0,0,'Perfil - interna'!AN283+'Perfil - externa'!AN281)</f>
        <v>0</v>
      </c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</row>
    <row r="284" spans="1:63">
      <c r="A284" s="170">
        <v>39721</v>
      </c>
      <c r="B284" s="220" t="str">
        <f>Servicio_internaColumna_título_intereses</f>
        <v>Intereses</v>
      </c>
      <c r="C284" s="221"/>
      <c r="D284" s="222"/>
      <c r="E284" s="222"/>
      <c r="F284" s="222">
        <f>IF('Perfil - interna'!F284+'Perfil - externa'!F282=0,0,'Perfil - interna'!F284+'Perfil - externa'!F282)</f>
        <v>0</v>
      </c>
      <c r="G284" s="222">
        <f>IF('Perfil - interna'!G284+'Perfil - externa'!G282=0,0,'Perfil - interna'!G284+'Perfil - externa'!G282)</f>
        <v>0</v>
      </c>
      <c r="H284" s="222">
        <f>IF('Perfil - interna'!H284+'Perfil - externa'!H282=0,0,'Perfil - interna'!H284+'Perfil - externa'!H282)</f>
        <v>0</v>
      </c>
      <c r="I284" s="222">
        <f>IF('Perfil - interna'!I284+'Perfil - externa'!I282=0,0,'Perfil - interna'!I284+'Perfil - externa'!I282)</f>
        <v>0</v>
      </c>
      <c r="J284" s="222">
        <f>IF('Perfil - interna'!J284+'Perfil - externa'!J282=0,0,'Perfil - interna'!J284+'Perfil - externa'!J282)</f>
        <v>3119871.5953256274</v>
      </c>
      <c r="K284" s="222">
        <f>IF('Perfil - interna'!K284+'Perfil - externa'!K282=0,0,'Perfil - interna'!K284+'Perfil - externa'!K282)</f>
        <v>13454137.348907126</v>
      </c>
      <c r="L284" s="222">
        <f>IF('Perfil - interna'!L284+'Perfil - externa'!L282=0,0,'Perfil - interna'!L284+'Perfil - externa'!L282)</f>
        <v>11581070.780091045</v>
      </c>
      <c r="M284" s="222">
        <f>IF('Perfil - interna'!M284+'Perfil - externa'!M282=0,0,'Perfil - interna'!M284+'Perfil - externa'!M282)</f>
        <v>9566775.2357113045</v>
      </c>
      <c r="N284" s="222">
        <f>IF('Perfil - interna'!N284+'Perfil - externa'!N282=0,0,'Perfil - interna'!N284+'Perfil - externa'!N282)</f>
        <v>8325711.2738102805</v>
      </c>
      <c r="O284" s="222">
        <f>IF('Perfil - interna'!O284+'Perfil - externa'!O282=0,0,'Perfil - interna'!O284+'Perfil - externa'!O282)</f>
        <v>7292513.2762685288</v>
      </c>
      <c r="P284" s="222">
        <f>IF('Perfil - interna'!P284+'Perfil - externa'!P282=0,0,'Perfil - interna'!P284+'Perfil - externa'!P282)</f>
        <v>6301199.5138322581</v>
      </c>
      <c r="Q284" s="222">
        <f>IF('Perfil - interna'!Q284+'Perfil - externa'!Q282=0,0,'Perfil - interna'!Q284+'Perfil - externa'!Q282)</f>
        <v>5187070.3330477811</v>
      </c>
      <c r="R284" s="222">
        <f>IF('Perfil - interna'!R284+'Perfil - externa'!R282=0,0,'Perfil - interna'!R284+'Perfil - externa'!R282)</f>
        <v>3357775.3617026862</v>
      </c>
      <c r="S284" s="222">
        <f>IF('Perfil - interna'!S284+'Perfil - externa'!S282=0,0,'Perfil - interna'!S284+'Perfil - externa'!S282)</f>
        <v>3091595.4909892464</v>
      </c>
      <c r="T284" s="222">
        <f>IF('Perfil - interna'!T284+'Perfil - externa'!T282=0,0,'Perfil - interna'!T284+'Perfil - externa'!T282)</f>
        <v>2860053.7201863024</v>
      </c>
      <c r="U284" s="222">
        <f>IF('Perfil - interna'!U284+'Perfil - externa'!U282=0,0,'Perfil - interna'!U284+'Perfil - externa'!U282)</f>
        <v>2498943.8182325861</v>
      </c>
      <c r="V284" s="222">
        <f>IF('Perfil - interna'!V284+'Perfil - externa'!V282=0,0,'Perfil - interna'!V284+'Perfil - externa'!V282)</f>
        <v>2334076.6604947168</v>
      </c>
      <c r="W284" s="222">
        <f>IF('Perfil - interna'!W284+'Perfil - externa'!W282=0,0,'Perfil - interna'!W284+'Perfil - externa'!W282)</f>
        <v>1269994.4574282977</v>
      </c>
      <c r="X284" s="222">
        <f>IF('Perfil - interna'!X284+'Perfil - externa'!X282=0,0,'Perfil - interna'!X284+'Perfil - externa'!X282)</f>
        <v>1232984.2452977449</v>
      </c>
      <c r="Y284" s="222">
        <f>IF('Perfil - interna'!Y284+'Perfil - externa'!Y282=0,0,'Perfil - interna'!Y284+'Perfil - externa'!Y282)</f>
        <v>1204901.2527196601</v>
      </c>
      <c r="Z284" s="222">
        <f>IF('Perfil - interna'!Z284+'Perfil - externa'!Z282=0,0,'Perfil - interna'!Z284+'Perfil - externa'!Z282)</f>
        <v>811405.27245143091</v>
      </c>
      <c r="AA284" s="222">
        <f>IF('Perfil - interna'!AA284+'Perfil - externa'!AA282=0,0,'Perfil - interna'!AA284+'Perfil - externa'!AA282)</f>
        <v>696816.60520079581</v>
      </c>
      <c r="AB284" s="222">
        <f>IF('Perfil - interna'!AB284+'Perfil - externa'!AB282=0,0,'Perfil - interna'!AB284+'Perfil - externa'!AB282)</f>
        <v>675569.93779163563</v>
      </c>
      <c r="AC284" s="222">
        <f>IF('Perfil - interna'!AC284+'Perfil - externa'!AC282=0,0,'Perfil - interna'!AC284+'Perfil - externa'!AC282)</f>
        <v>645802.08595503424</v>
      </c>
      <c r="AD284" s="222">
        <f>IF('Perfil - interna'!AD284+'Perfil - externa'!AD282=0,0,'Perfil - interna'!AD284+'Perfil - externa'!AD282)</f>
        <v>399233.07475829258</v>
      </c>
      <c r="AE284" s="222">
        <f>IF('Perfil - interna'!AE284+'Perfil - externa'!AE282=0,0,'Perfil - interna'!AE284+'Perfil - externa'!AE282)</f>
        <v>390200.06309091777</v>
      </c>
      <c r="AF284" s="222">
        <f>IF('Perfil - interna'!AF284+'Perfil - externa'!AF282=0,0,'Perfil - interna'!AF284+'Perfil - externa'!AF282)</f>
        <v>383650.36930119619</v>
      </c>
      <c r="AG284" s="222">
        <f>IF('Perfil - interna'!AG284+'Perfil - externa'!AG282=0,0,'Perfil - interna'!AG284+'Perfil - externa'!AG282)</f>
        <v>378040.25007048436</v>
      </c>
      <c r="AH284" s="222">
        <f>IF('Perfil - interna'!AH284+'Perfil - externa'!AH282=0,0,'Perfil - interna'!AH284+'Perfil - externa'!AH282)</f>
        <v>373200.73429332959</v>
      </c>
      <c r="AI284" s="222">
        <f>IF('Perfil - interna'!AI284+'Perfil - externa'!AI282=0,0,'Perfil - interna'!AI284+'Perfil - externa'!AI282)</f>
        <v>331055.96205157839</v>
      </c>
      <c r="AJ284" s="222">
        <f>IF('Perfil - interna'!AJ284+'Perfil - externa'!AJ282=0,0,'Perfil - interna'!AJ284+'Perfil - externa'!AJ282)</f>
        <v>291697.8544342072</v>
      </c>
      <c r="AK284" s="222">
        <f>IF('Perfil - interna'!AK284+'Perfil - externa'!AK282=0,0,'Perfil - interna'!AK284+'Perfil - externa'!AK282)</f>
        <v>291680.51599323138</v>
      </c>
      <c r="AL284" s="222">
        <f>IF('Perfil - interna'!AL284+'Perfil - externa'!AL282=0,0,'Perfil - interna'!AL284+'Perfil - externa'!AL282)</f>
        <v>291663.17748701695</v>
      </c>
      <c r="AM284" s="222">
        <f>IF('Perfil - interna'!AM284+'Perfil - externa'!AM282=0,0,'Perfil - interna'!AM284+'Perfil - externa'!AM282)</f>
        <v>291643.64363667398</v>
      </c>
      <c r="AN284" s="222">
        <f>IF('Perfil - interna'!AN284+'Perfil - externa'!AN282=0,0,'Perfil - interna'!AN284+'Perfil - externa'!AN282)</f>
        <v>0</v>
      </c>
      <c r="AO284" s="222"/>
      <c r="AP284" s="222"/>
      <c r="AQ284" s="222"/>
      <c r="AR284" s="222"/>
      <c r="AS284" s="222"/>
      <c r="AT284" s="222"/>
      <c r="AU284" s="222"/>
      <c r="AV284" s="222"/>
      <c r="AW284" s="222"/>
      <c r="AX284" s="222"/>
      <c r="AY284" s="222"/>
      <c r="AZ284" s="222"/>
      <c r="BA284" s="222"/>
      <c r="BB284" s="222"/>
      <c r="BC284" s="222"/>
      <c r="BD284" s="222"/>
      <c r="BE284" s="222"/>
      <c r="BF284" s="222"/>
      <c r="BG284" s="222"/>
      <c r="BH284" s="222"/>
      <c r="BI284" s="222"/>
      <c r="BJ284" s="222"/>
      <c r="BK284" s="222"/>
    </row>
    <row r="285" spans="1:63">
      <c r="A285" s="171"/>
      <c r="B285" s="318" t="str">
        <f>Servicio_internaColumna_título_total</f>
        <v>Total</v>
      </c>
      <c r="C285" s="319"/>
      <c r="D285" s="320"/>
      <c r="E285" s="320"/>
      <c r="F285" s="320">
        <f>IF('Perfil - interna'!F285+'Perfil - externa'!F283=0,0,'Perfil - interna'!F285+'Perfil - externa'!F283)</f>
        <v>0</v>
      </c>
      <c r="G285" s="320">
        <f>IF('Perfil - interna'!G285+'Perfil - externa'!G283=0,0,'Perfil - interna'!G285+'Perfil - externa'!G283)</f>
        <v>0</v>
      </c>
      <c r="H285" s="320">
        <f>IF('Perfil - interna'!H285+'Perfil - externa'!H283=0,0,'Perfil - interna'!H285+'Perfil - externa'!H283)</f>
        <v>0</v>
      </c>
      <c r="I285" s="320">
        <f>IF('Perfil - interna'!I285+'Perfil - externa'!I283=0,0,'Perfil - interna'!I285+'Perfil - externa'!I283)</f>
        <v>0</v>
      </c>
      <c r="J285" s="320">
        <f>IF('Perfil - interna'!J285+'Perfil - externa'!J283=0,0,'Perfil - interna'!J285+'Perfil - externa'!J283)</f>
        <v>6317622.3442083746</v>
      </c>
      <c r="K285" s="320">
        <f>IF('Perfil - interna'!K285+'Perfil - externa'!K283=0,0,'Perfil - interna'!K285+'Perfil - externa'!K283)</f>
        <v>35696135.93804507</v>
      </c>
      <c r="L285" s="320">
        <f>IF('Perfil - interna'!L285+'Perfil - externa'!L283=0,0,'Perfil - interna'!L285+'Perfil - externa'!L283)</f>
        <v>35753430.606305234</v>
      </c>
      <c r="M285" s="320">
        <f>IF('Perfil - interna'!M285+'Perfil - externa'!M283=0,0,'Perfil - interna'!M285+'Perfil - externa'!M283)</f>
        <v>22339874.124221101</v>
      </c>
      <c r="N285" s="320">
        <f>IF('Perfil - interna'!N285+'Perfil - externa'!N283=0,0,'Perfil - interna'!N285+'Perfil - externa'!N283)</f>
        <v>19465922.351507746</v>
      </c>
      <c r="O285" s="320">
        <f>IF('Perfil - interna'!O285+'Perfil - externa'!O283=0,0,'Perfil - interna'!O285+'Perfil - externa'!O283)</f>
        <v>19583940.720523275</v>
      </c>
      <c r="P285" s="320">
        <f>IF('Perfil - interna'!P285+'Perfil - externa'!P283=0,0,'Perfil - interna'!P285+'Perfil - externa'!P283)</f>
        <v>17823197.501088627</v>
      </c>
      <c r="Q285" s="320">
        <f>IF('Perfil - interna'!Q285+'Perfil - externa'!Q283=0,0,'Perfil - interna'!Q285+'Perfil - externa'!Q283)</f>
        <v>27279622.430102378</v>
      </c>
      <c r="R285" s="320">
        <f>IF('Perfil - interna'!R285+'Perfil - externa'!R283=0,0,'Perfil - interna'!R285+'Perfil - externa'!R283)</f>
        <v>5902652.0715525206</v>
      </c>
      <c r="S285" s="320">
        <f>IF('Perfil - interna'!S285+'Perfil - externa'!S283=0,0,'Perfil - interna'!S285+'Perfil - externa'!S283)</f>
        <v>8490760.8529603332</v>
      </c>
      <c r="T285" s="320">
        <f>IF('Perfil - interna'!T285+'Perfil - externa'!T283=0,0,'Perfil - interna'!T285+'Perfil - externa'!T283)</f>
        <v>6865741.9169373838</v>
      </c>
      <c r="U285" s="320">
        <f>IF('Perfil - interna'!U285+'Perfil - externa'!U283=0,0,'Perfil - interna'!U285+'Perfil - externa'!U283)</f>
        <v>3788275.954712586</v>
      </c>
      <c r="V285" s="320">
        <f>IF('Perfil - interna'!V285+'Perfil - externa'!V283=0,0,'Perfil - interna'!V285+'Perfil - externa'!V283)</f>
        <v>13340656.546543512</v>
      </c>
      <c r="W285" s="320">
        <f>IF('Perfil - interna'!W285+'Perfil - externa'!W283=0,0,'Perfil - interna'!W285+'Perfil - externa'!W283)</f>
        <v>2071319.0970932429</v>
      </c>
      <c r="X285" s="320">
        <f>IF('Perfil - interna'!X285+'Perfil - externa'!X283=0,0,'Perfil - interna'!X285+'Perfil - externa'!X283)</f>
        <v>1869719.2035596969</v>
      </c>
      <c r="Y285" s="320">
        <f>IF('Perfil - interna'!Y285+'Perfil - externa'!Y283=0,0,'Perfil - interna'!Y285+'Perfil - externa'!Y283)</f>
        <v>5443536.2008889439</v>
      </c>
      <c r="Z285" s="320">
        <f>IF('Perfil - interna'!Z285+'Perfil - externa'!Z283=0,0,'Perfil - interna'!Z285+'Perfil - externa'!Z283)</f>
        <v>3497192.2022221745</v>
      </c>
      <c r="AA285" s="320">
        <f>IF('Perfil - interna'!AA285+'Perfil - externa'!AA283=0,0,'Perfil - interna'!AA285+'Perfil - externa'!AA283)</f>
        <v>1123918.8172953371</v>
      </c>
      <c r="AB285" s="320">
        <f>IF('Perfil - interna'!AB285+'Perfil - externa'!AB283=0,0,'Perfil - interna'!AB285+'Perfil - externa'!AB283)</f>
        <v>1010181.8836123253</v>
      </c>
      <c r="AC285" s="320">
        <f>IF('Perfil - interna'!AC285+'Perfil - externa'!AC283=0,0,'Perfil - interna'!AC285+'Perfil - externa'!AC283)</f>
        <v>3447904.4287446272</v>
      </c>
      <c r="AD285" s="320">
        <f>IF('Perfil - interna'!AD285+'Perfil - externa'!AD283=0,0,'Perfil - interna'!AD285+'Perfil - externa'!AD283)</f>
        <v>582457.82905600918</v>
      </c>
      <c r="AE285" s="320">
        <f>IF('Perfil - interna'!AE285+'Perfil - externa'!AE283=0,0,'Perfil - interna'!AE285+'Perfil - externa'!AE283)</f>
        <v>523694.43993611075</v>
      </c>
      <c r="AF285" s="320">
        <f>IF('Perfil - interna'!AF285+'Perfil - externa'!AF283=0,0,'Perfil - interna'!AF285+'Perfil - externa'!AF283)</f>
        <v>499783.46781151183</v>
      </c>
      <c r="AG285" s="320">
        <f>IF('Perfil - interna'!AG285+'Perfil - externa'!AG283=0,0,'Perfil - interna'!AG285+'Perfil - externa'!AG283)</f>
        <v>482094.43766552594</v>
      </c>
      <c r="AH285" s="320">
        <f>IF('Perfil - interna'!AH285+'Perfil - externa'!AH283=0,0,'Perfil - interna'!AH285+'Perfil - externa'!AH283)</f>
        <v>449730.011610544</v>
      </c>
      <c r="AI285" s="320">
        <f>IF('Perfil - interna'!AI285+'Perfil - externa'!AI283=0,0,'Perfil - interna'!AI285+'Perfil - externa'!AI283)</f>
        <v>1113734.1623440145</v>
      </c>
      <c r="AJ285" s="320">
        <f>IF('Perfil - interna'!AJ285+'Perfil - externa'!AJ283=0,0,'Perfil - interna'!AJ285+'Perfil - externa'!AJ283)</f>
        <v>299560.91640980402</v>
      </c>
      <c r="AK285" s="320">
        <f>IF('Perfil - interna'!AK285+'Perfil - externa'!AK283=0,0,'Perfil - interna'!AK285+'Perfil - externa'!AK283)</f>
        <v>299543.57796882821</v>
      </c>
      <c r="AL285" s="320">
        <f>IF('Perfil - interna'!AL285+'Perfil - externa'!AL283=0,0,'Perfil - interna'!AL285+'Perfil - externa'!AL283)</f>
        <v>299430.53963375557</v>
      </c>
      <c r="AM285" s="320">
        <f>IF('Perfil - interna'!AM285+'Perfil - externa'!AM283=0,0,'Perfil - interna'!AM285+'Perfil - externa'!AM283)</f>
        <v>4253644.3133674068</v>
      </c>
      <c r="AN285" s="320">
        <f>IF('Perfil - interna'!AN285+'Perfil - externa'!AN283=0,0,'Perfil - interna'!AN285+'Perfil - externa'!AN283)</f>
        <v>0</v>
      </c>
      <c r="AO285" s="320"/>
      <c r="AP285" s="320"/>
      <c r="AQ285" s="320"/>
      <c r="AR285" s="320"/>
      <c r="AS285" s="320"/>
      <c r="AT285" s="320"/>
      <c r="AU285" s="320"/>
      <c r="AV285" s="320"/>
      <c r="AW285" s="320"/>
      <c r="AX285" s="320"/>
      <c r="AY285" s="320"/>
      <c r="AZ285" s="320"/>
      <c r="BA285" s="320"/>
      <c r="BB285" s="320"/>
      <c r="BC285" s="320"/>
      <c r="BD285" s="320"/>
      <c r="BE285" s="320"/>
      <c r="BF285" s="320"/>
      <c r="BG285" s="320"/>
      <c r="BH285" s="320"/>
      <c r="BI285" s="320"/>
      <c r="BJ285" s="320"/>
      <c r="BK285" s="320"/>
    </row>
    <row r="286" spans="1:63">
      <c r="A286" s="167"/>
      <c r="B286" s="217" t="str">
        <f>Servicio_internaColumna_título_amortizaciones</f>
        <v>Amortizaciones</v>
      </c>
      <c r="C286" s="218"/>
      <c r="D286" s="219"/>
      <c r="E286" s="219"/>
      <c r="F286" s="219">
        <f>IF('Perfil - interna'!F286+'Perfil - externa'!F284=0,0,'Perfil - interna'!F286+'Perfil - externa'!F284)</f>
        <v>0</v>
      </c>
      <c r="G286" s="219">
        <f>IF('Perfil - interna'!G286+'Perfil - externa'!G284=0,0,'Perfil - interna'!G286+'Perfil - externa'!G284)</f>
        <v>0</v>
      </c>
      <c r="H286" s="219">
        <f>IF('Perfil - interna'!H286+'Perfil - externa'!H284=0,0,'Perfil - interna'!H286+'Perfil - externa'!H284)</f>
        <v>0</v>
      </c>
      <c r="I286" s="219">
        <f>IF('Perfil - interna'!I286+'Perfil - externa'!I284=0,0,'Perfil - interna'!I286+'Perfil - externa'!I284)</f>
        <v>0</v>
      </c>
      <c r="J286" s="219">
        <f>IF('Perfil - interna'!J286+'Perfil - externa'!J284=0,0,'Perfil - interna'!J286+'Perfil - externa'!J284)</f>
        <v>1699214.1583292279</v>
      </c>
      <c r="K286" s="219">
        <f>IF('Perfil - interna'!K286+'Perfil - externa'!K284=0,0,'Perfil - interna'!K286+'Perfil - externa'!K284)</f>
        <v>22890648.486487504</v>
      </c>
      <c r="L286" s="219">
        <f>IF('Perfil - interna'!L286+'Perfil - externa'!L284=0,0,'Perfil - interna'!L286+'Perfil - externa'!L284)</f>
        <v>23329208.455668122</v>
      </c>
      <c r="M286" s="219">
        <f>IF('Perfil - interna'!M286+'Perfil - externa'!M284=0,0,'Perfil - interna'!M286+'Perfil - externa'!M284)</f>
        <v>14149406.185244972</v>
      </c>
      <c r="N286" s="219">
        <f>IF('Perfil - interna'!N286+'Perfil - externa'!N284=0,0,'Perfil - interna'!N286+'Perfil - externa'!N284)</f>
        <v>10970275.524913786</v>
      </c>
      <c r="O286" s="219">
        <f>IF('Perfil - interna'!O286+'Perfil - externa'!O284=0,0,'Perfil - interna'!O286+'Perfil - externa'!O284)</f>
        <v>13791417.567119634</v>
      </c>
      <c r="P286" s="219">
        <f>IF('Perfil - interna'!P286+'Perfil - externa'!P284=0,0,'Perfil - interna'!P286+'Perfil - externa'!P284)</f>
        <v>11839321.745960053</v>
      </c>
      <c r="Q286" s="219">
        <f>IF('Perfil - interna'!Q286+'Perfil - externa'!Q284=0,0,'Perfil - interna'!Q286+'Perfil - externa'!Q284)</f>
        <v>22431962.829859748</v>
      </c>
      <c r="R286" s="219">
        <f>IF('Perfil - interna'!R286+'Perfil - externa'!R284=0,0,'Perfil - interna'!R286+'Perfil - externa'!R284)</f>
        <v>2730965.0539050843</v>
      </c>
      <c r="S286" s="219">
        <f>IF('Perfil - interna'!S286+'Perfil - externa'!S284=0,0,'Perfil - interna'!S286+'Perfil - externa'!S284)</f>
        <v>5846058.1085268948</v>
      </c>
      <c r="T286" s="219">
        <f>IF('Perfil - interna'!T286+'Perfil - externa'!T284=0,0,'Perfil - interna'!T286+'Perfil - externa'!T284)</f>
        <v>4632168.8801297406</v>
      </c>
      <c r="U286" s="219">
        <f>IF('Perfil - interna'!U286+'Perfil - externa'!U284=0,0,'Perfil - interna'!U286+'Perfil - externa'!U284)</f>
        <v>1467349.1773703152</v>
      </c>
      <c r="V286" s="219">
        <f>IF('Perfil - interna'!V286+'Perfil - externa'!V284=0,0,'Perfil - interna'!V286+'Perfil - externa'!V284)</f>
        <v>11412836.805925585</v>
      </c>
      <c r="W286" s="219">
        <f>IF('Perfil - interna'!W286+'Perfil - externa'!W284=0,0,'Perfil - interna'!W286+'Perfil - externa'!W284)</f>
        <v>942473.81930238882</v>
      </c>
      <c r="X286" s="219">
        <f>IF('Perfil - interna'!X286+'Perfil - externa'!X284=0,0,'Perfil - interna'!X286+'Perfil - externa'!X284)</f>
        <v>766183.1645617506</v>
      </c>
      <c r="Y286" s="219">
        <f>IF('Perfil - interna'!Y286+'Perfil - externa'!Y284=0,0,'Perfil - interna'!Y286+'Perfil - externa'!Y284)</f>
        <v>4426530.3423557095</v>
      </c>
      <c r="Z286" s="219">
        <f>IF('Perfil - interna'!Z286+'Perfil - externa'!Z284=0,0,'Perfil - interna'!Z286+'Perfil - externa'!Z284)</f>
        <v>2992002.9199218065</v>
      </c>
      <c r="AA286" s="219">
        <f>IF('Perfil - interna'!AA286+'Perfil - externa'!AA284=0,0,'Perfil - interna'!AA286+'Perfil - externa'!AA284)</f>
        <v>493854.61540942726</v>
      </c>
      <c r="AB286" s="219">
        <f>IF('Perfil - interna'!AB286+'Perfil - externa'!AB284=0,0,'Perfil - interna'!AB286+'Perfil - externa'!AB284)</f>
        <v>440690.63943639369</v>
      </c>
      <c r="AC286" s="219">
        <f>IF('Perfil - interna'!AC286+'Perfil - externa'!AC284=0,0,'Perfil - interna'!AC286+'Perfil - externa'!AC284)</f>
        <v>2997901.4221503818</v>
      </c>
      <c r="AD286" s="219">
        <f>IF('Perfil - interna'!AD286+'Perfil - externa'!AD284=0,0,'Perfil - interna'!AD286+'Perfil - externa'!AD284)</f>
        <v>276498.84863406885</v>
      </c>
      <c r="AE286" s="219">
        <f>IF('Perfil - interna'!AE286+'Perfil - externa'!AE284=0,0,'Perfil - interna'!AE286+'Perfil - externa'!AE284)</f>
        <v>222540.07873092321</v>
      </c>
      <c r="AF286" s="219">
        <f>IF('Perfil - interna'!AF286+'Perfil - externa'!AF284=0,0,'Perfil - interna'!AF286+'Perfil - externa'!AF284)</f>
        <v>203702.63427777283</v>
      </c>
      <c r="AG286" s="219">
        <f>IF('Perfil - interna'!AG286+'Perfil - externa'!AG284=0,0,'Perfil - interna'!AG286+'Perfil - externa'!AG284)</f>
        <v>190596.69752069761</v>
      </c>
      <c r="AH286" s="219">
        <f>IF('Perfil - interna'!AH286+'Perfil - externa'!AH284=0,0,'Perfil - interna'!AH286+'Perfil - externa'!AH284)</f>
        <v>161638.9524265152</v>
      </c>
      <c r="AI286" s="219">
        <f>IF('Perfil - interna'!AI286+'Perfil - externa'!AI284=0,0,'Perfil - interna'!AI286+'Perfil - externa'!AI284)</f>
        <v>927829.14047706896</v>
      </c>
      <c r="AJ286" s="219">
        <f>IF('Perfil - interna'!AJ286+'Perfil - externa'!AJ284=0,0,'Perfil - interna'!AJ286+'Perfil - externa'!AJ284)</f>
        <v>87264.073065145581</v>
      </c>
      <c r="AK286" s="219">
        <f>IF('Perfil - interna'!AK286+'Perfil - externa'!AK284=0,0,'Perfil - interna'!AK286+'Perfil - externa'!AK284)</f>
        <v>8491.4978651455986</v>
      </c>
      <c r="AL286" s="219">
        <f>IF('Perfil - interna'!AL286+'Perfil - externa'!AL284=0,0,'Perfil - interna'!AL286+'Perfil - externa'!AL284)</f>
        <v>8388.6314761791982</v>
      </c>
      <c r="AM286" s="219">
        <f>IF('Perfil - interna'!AM286+'Perfil - externa'!AM284=0,0,'Perfil - interna'!AM286+'Perfil - externa'!AM284)</f>
        <v>4298836.9324737377</v>
      </c>
      <c r="AN286" s="219">
        <f>IF('Perfil - interna'!AN286+'Perfil - externa'!AN284=0,0,'Perfil - interna'!AN286+'Perfil - externa'!AN284)</f>
        <v>0</v>
      </c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</row>
    <row r="287" spans="1:63">
      <c r="A287" s="170">
        <v>39752</v>
      </c>
      <c r="B287" s="220" t="str">
        <f>Servicio_internaColumna_título_intereses</f>
        <v>Intereses</v>
      </c>
      <c r="C287" s="221"/>
      <c r="D287" s="222"/>
      <c r="E287" s="222"/>
      <c r="F287" s="222">
        <f>IF('Perfil - interna'!F287+'Perfil - externa'!F285=0,0,'Perfil - interna'!F287+'Perfil - externa'!F285)</f>
        <v>0</v>
      </c>
      <c r="G287" s="222">
        <f>IF('Perfil - interna'!G287+'Perfil - externa'!G285=0,0,'Perfil - interna'!G287+'Perfil - externa'!G285)</f>
        <v>0</v>
      </c>
      <c r="H287" s="222">
        <f>IF('Perfil - interna'!H287+'Perfil - externa'!H285=0,0,'Perfil - interna'!H287+'Perfil - externa'!H285)</f>
        <v>0</v>
      </c>
      <c r="I287" s="222">
        <f>IF('Perfil - interna'!I287+'Perfil - externa'!I285=0,0,'Perfil - interna'!I287+'Perfil - externa'!I285)</f>
        <v>0</v>
      </c>
      <c r="J287" s="222">
        <f>IF('Perfil - interna'!J287+'Perfil - externa'!J285=0,0,'Perfil - interna'!J287+'Perfil - externa'!J285)</f>
        <v>1765516.8055726951</v>
      </c>
      <c r="K287" s="222">
        <f>IF('Perfil - interna'!K287+'Perfil - externa'!K285=0,0,'Perfil - interna'!K287+'Perfil - externa'!K285)</f>
        <v>13753791.793410642</v>
      </c>
      <c r="L287" s="222">
        <f>IF('Perfil - interna'!L287+'Perfil - externa'!L285=0,0,'Perfil - interna'!L287+'Perfil - externa'!L285)</f>
        <v>11846484.933550522</v>
      </c>
      <c r="M287" s="222">
        <f>IF('Perfil - interna'!M287+'Perfil - externa'!M285=0,0,'Perfil - interna'!M287+'Perfil - externa'!M285)</f>
        <v>10029396.207720073</v>
      </c>
      <c r="N287" s="222">
        <f>IF('Perfil - interna'!N287+'Perfil - externa'!N285=0,0,'Perfil - interna'!N287+'Perfil - externa'!N285)</f>
        <v>8637465.2233784515</v>
      </c>
      <c r="O287" s="222">
        <f>IF('Perfil - interna'!O287+'Perfil - externa'!O285=0,0,'Perfil - interna'!O287+'Perfil - externa'!O285)</f>
        <v>7688485.3022881113</v>
      </c>
      <c r="P287" s="222">
        <f>IF('Perfil - interna'!P287+'Perfil - externa'!P285=0,0,'Perfil - interna'!P287+'Perfil - externa'!P285)</f>
        <v>6558411.0739683267</v>
      </c>
      <c r="Q287" s="222">
        <f>IF('Perfil - interna'!Q287+'Perfil - externa'!Q285=0,0,'Perfil - interna'!Q287+'Perfil - externa'!Q285)</f>
        <v>5429054.8298348812</v>
      </c>
      <c r="R287" s="222">
        <f>IF('Perfil - interna'!R287+'Perfil - externa'!R285=0,0,'Perfil - interna'!R287+'Perfil - externa'!R285)</f>
        <v>3594851.2745064888</v>
      </c>
      <c r="S287" s="222">
        <f>IF('Perfil - interna'!S287+'Perfil - externa'!S285=0,0,'Perfil - interna'!S287+'Perfil - externa'!S285)</f>
        <v>3316585.4697621632</v>
      </c>
      <c r="T287" s="222">
        <f>IF('Perfil - interna'!T287+'Perfil - externa'!T285=0,0,'Perfil - interna'!T287+'Perfil - externa'!T285)</f>
        <v>3072357.8356410936</v>
      </c>
      <c r="U287" s="222">
        <f>IF('Perfil - interna'!U287+'Perfil - externa'!U285=0,0,'Perfil - interna'!U287+'Perfil - externa'!U285)</f>
        <v>2652201.8683770942</v>
      </c>
      <c r="V287" s="222">
        <f>IF('Perfil - interna'!V287+'Perfil - externa'!V285=0,0,'Perfil - interna'!V287+'Perfil - externa'!V285)</f>
        <v>2473414.0213732496</v>
      </c>
      <c r="W287" s="222">
        <f>IF('Perfil - interna'!W287+'Perfil - externa'!W285=0,0,'Perfil - interna'!W287+'Perfil - externa'!W285)</f>
        <v>1382060.5648249146</v>
      </c>
      <c r="X287" s="222">
        <f>IF('Perfil - interna'!X287+'Perfil - externa'!X285=0,0,'Perfil - interna'!X287+'Perfil - externa'!X285)</f>
        <v>1340537.5790534068</v>
      </c>
      <c r="Y287" s="222">
        <f>IF('Perfil - interna'!Y287+'Perfil - externa'!Y285=0,0,'Perfil - interna'!Y287+'Perfil - externa'!Y285)</f>
        <v>1308113.1494329916</v>
      </c>
      <c r="Z287" s="222">
        <f>IF('Perfil - interna'!Z287+'Perfil - externa'!Z285=0,0,'Perfil - interna'!Z287+'Perfil - externa'!Z285)</f>
        <v>899058.51466258534</v>
      </c>
      <c r="AA287" s="222">
        <f>IF('Perfil - interna'!AA287+'Perfil - externa'!AA285=0,0,'Perfil - interna'!AA287+'Perfil - externa'!AA285)</f>
        <v>773504.46572662215</v>
      </c>
      <c r="AB287" s="222">
        <f>IF('Perfil - interna'!AB287+'Perfil - externa'!AB285=0,0,'Perfil - interna'!AB287+'Perfil - externa'!AB285)</f>
        <v>749856.70871635829</v>
      </c>
      <c r="AC287" s="222">
        <f>IF('Perfil - interna'!AC287+'Perfil - externa'!AC285=0,0,'Perfil - interna'!AC287+'Perfil - externa'!AC285)</f>
        <v>714643.54763339669</v>
      </c>
      <c r="AD287" s="222">
        <f>IF('Perfil - interna'!AD287+'Perfil - externa'!AD285=0,0,'Perfil - interna'!AD287+'Perfil - externa'!AD285)</f>
        <v>455895.08031024481</v>
      </c>
      <c r="AE287" s="222">
        <f>IF('Perfil - interna'!AE287+'Perfil - externa'!AE285=0,0,'Perfil - interna'!AE287+'Perfil - externa'!AE285)</f>
        <v>443198.04169172799</v>
      </c>
      <c r="AF287" s="222">
        <f>IF('Perfil - interna'!AF287+'Perfil - externa'!AF285=0,0,'Perfil - interna'!AF287+'Perfil - externa'!AF285)</f>
        <v>432673.05283850711</v>
      </c>
      <c r="AG287" s="222">
        <f>IF('Perfil - interna'!AG287+'Perfil - externa'!AG285=0,0,'Perfil - interna'!AG287+'Perfil - externa'!AG285)</f>
        <v>423178.10279084963</v>
      </c>
      <c r="AH287" s="222">
        <f>IF('Perfil - interna'!AH287+'Perfil - externa'!AH285=0,0,'Perfil - interna'!AH287+'Perfil - externa'!AH285)</f>
        <v>414538.73869151034</v>
      </c>
      <c r="AI287" s="222">
        <f>IF('Perfil - interna'!AI287+'Perfil - externa'!AI285=0,0,'Perfil - interna'!AI287+'Perfil - externa'!AI285)</f>
        <v>365407.69816595362</v>
      </c>
      <c r="AJ287" s="222">
        <f>IF('Perfil - interna'!AJ287+'Perfil - externa'!AJ285=0,0,'Perfil - interna'!AJ287+'Perfil - externa'!AJ285)</f>
        <v>319281.11600140797</v>
      </c>
      <c r="AK287" s="222">
        <f>IF('Perfil - interna'!AK287+'Perfil - externa'!AK285=0,0,'Perfil - interna'!AK287+'Perfil - externa'!AK285)</f>
        <v>316478.92119247839</v>
      </c>
      <c r="AL287" s="222">
        <f>IF('Perfil - interna'!AL287+'Perfil - externa'!AL285=0,0,'Perfil - interna'!AL287+'Perfil - externa'!AL285)</f>
        <v>316460.88917435356</v>
      </c>
      <c r="AM287" s="222">
        <f>IF('Perfil - interna'!AM287+'Perfil - externa'!AM285=0,0,'Perfil - interna'!AM287+'Perfil - externa'!AM285)</f>
        <v>316440.46512204316</v>
      </c>
      <c r="AN287" s="222">
        <f>IF('Perfil - interna'!AN287+'Perfil - externa'!AN285=0,0,'Perfil - interna'!AN287+'Perfil - externa'!AN285)</f>
        <v>0</v>
      </c>
      <c r="AO287" s="222"/>
      <c r="AP287" s="222"/>
      <c r="AQ287" s="222"/>
      <c r="AR287" s="222"/>
      <c r="AS287" s="222"/>
      <c r="AT287" s="222"/>
      <c r="AU287" s="222"/>
      <c r="AV287" s="222"/>
      <c r="AW287" s="222"/>
      <c r="AX287" s="222"/>
      <c r="AY287" s="222"/>
      <c r="AZ287" s="222"/>
      <c r="BA287" s="222"/>
      <c r="BB287" s="222"/>
      <c r="BC287" s="222"/>
      <c r="BD287" s="222"/>
      <c r="BE287" s="222"/>
      <c r="BF287" s="222"/>
      <c r="BG287" s="222"/>
      <c r="BH287" s="222"/>
      <c r="BI287" s="222"/>
      <c r="BJ287" s="222"/>
      <c r="BK287" s="222"/>
    </row>
    <row r="288" spans="1:63">
      <c r="A288" s="171"/>
      <c r="B288" s="318" t="str">
        <f>Servicio_internaColumna_título_total</f>
        <v>Total</v>
      </c>
      <c r="C288" s="319"/>
      <c r="D288" s="320"/>
      <c r="E288" s="320"/>
      <c r="F288" s="320">
        <f>IF('Perfil - interna'!F288+'Perfil - externa'!F286=0,0,'Perfil - interna'!F288+'Perfil - externa'!F286)</f>
        <v>0</v>
      </c>
      <c r="G288" s="320">
        <f>IF('Perfil - interna'!G288+'Perfil - externa'!G286=0,0,'Perfil - interna'!G288+'Perfil - externa'!G286)</f>
        <v>0</v>
      </c>
      <c r="H288" s="320">
        <f>IF('Perfil - interna'!H288+'Perfil - externa'!H286=0,0,'Perfil - interna'!H288+'Perfil - externa'!H286)</f>
        <v>0</v>
      </c>
      <c r="I288" s="320">
        <f>IF('Perfil - interna'!I288+'Perfil - externa'!I286=0,0,'Perfil - interna'!I288+'Perfil - externa'!I286)</f>
        <v>0</v>
      </c>
      <c r="J288" s="320">
        <f>IF('Perfil - interna'!J288+'Perfil - externa'!J286=0,0,'Perfil - interna'!J288+'Perfil - externa'!J286)</f>
        <v>3464730.963901923</v>
      </c>
      <c r="K288" s="320">
        <f>IF('Perfil - interna'!K288+'Perfil - externa'!K286=0,0,'Perfil - interna'!K288+'Perfil - externa'!K286)</f>
        <v>36644440.279898144</v>
      </c>
      <c r="L288" s="320">
        <f>IF('Perfil - interna'!L288+'Perfil - externa'!L286=0,0,'Perfil - interna'!L288+'Perfil - externa'!L286)</f>
        <v>35175693.389218643</v>
      </c>
      <c r="M288" s="320">
        <f>IF('Perfil - interna'!M288+'Perfil - externa'!M286=0,0,'Perfil - interna'!M288+'Perfil - externa'!M286)</f>
        <v>24178802.392965045</v>
      </c>
      <c r="N288" s="320">
        <f>IF('Perfil - interna'!N288+'Perfil - externa'!N286=0,0,'Perfil - interna'!N288+'Perfil - externa'!N286)</f>
        <v>19607740.748292238</v>
      </c>
      <c r="O288" s="320">
        <f>IF('Perfil - interna'!O288+'Perfil - externa'!O286=0,0,'Perfil - interna'!O288+'Perfil - externa'!O286)</f>
        <v>21479902.869407747</v>
      </c>
      <c r="P288" s="320">
        <f>IF('Perfil - interna'!P288+'Perfil - externa'!P286=0,0,'Perfil - interna'!P288+'Perfil - externa'!P286)</f>
        <v>18397732.819928378</v>
      </c>
      <c r="Q288" s="320">
        <f>IF('Perfil - interna'!Q288+'Perfil - externa'!Q286=0,0,'Perfil - interna'!Q288+'Perfil - externa'!Q286)</f>
        <v>27861017.659694631</v>
      </c>
      <c r="R288" s="320">
        <f>IF('Perfil - interna'!R288+'Perfil - externa'!R286=0,0,'Perfil - interna'!R288+'Perfil - externa'!R286)</f>
        <v>6325816.3284115726</v>
      </c>
      <c r="S288" s="320">
        <f>IF('Perfil - interna'!S288+'Perfil - externa'!S286=0,0,'Perfil - interna'!S288+'Perfil - externa'!S286)</f>
        <v>9162643.5782890581</v>
      </c>
      <c r="T288" s="320">
        <f>IF('Perfil - interna'!T288+'Perfil - externa'!T286=0,0,'Perfil - interna'!T288+'Perfil - externa'!T286)</f>
        <v>7704526.7157708341</v>
      </c>
      <c r="U288" s="320">
        <f>IF('Perfil - interna'!U288+'Perfil - externa'!U286=0,0,'Perfil - interna'!U288+'Perfil - externa'!U286)</f>
        <v>4119551.0457474096</v>
      </c>
      <c r="V288" s="320">
        <f>IF('Perfil - interna'!V288+'Perfil - externa'!V286=0,0,'Perfil - interna'!V288+'Perfil - externa'!V286)</f>
        <v>13886250.827298835</v>
      </c>
      <c r="W288" s="320">
        <f>IF('Perfil - interna'!W288+'Perfil - externa'!W286=0,0,'Perfil - interna'!W288+'Perfil - externa'!W286)</f>
        <v>2324534.384127303</v>
      </c>
      <c r="X288" s="320">
        <f>IF('Perfil - interna'!X288+'Perfil - externa'!X286=0,0,'Perfil - interna'!X288+'Perfil - externa'!X286)</f>
        <v>2106720.7436151574</v>
      </c>
      <c r="Y288" s="320">
        <f>IF('Perfil - interna'!Y288+'Perfil - externa'!Y286=0,0,'Perfil - interna'!Y288+'Perfil - externa'!Y286)</f>
        <v>5734643.4917887002</v>
      </c>
      <c r="Z288" s="320">
        <f>IF('Perfil - interna'!Z288+'Perfil - externa'!Z286=0,0,'Perfil - interna'!Z288+'Perfil - externa'!Z286)</f>
        <v>3891061.4345843918</v>
      </c>
      <c r="AA288" s="320">
        <f>IF('Perfil - interna'!AA288+'Perfil - externa'!AA286=0,0,'Perfil - interna'!AA288+'Perfil - externa'!AA286)</f>
        <v>1267359.0811360495</v>
      </c>
      <c r="AB288" s="320">
        <f>IF('Perfil - interna'!AB288+'Perfil - externa'!AB286=0,0,'Perfil - interna'!AB288+'Perfil - externa'!AB286)</f>
        <v>1190547.348152752</v>
      </c>
      <c r="AC288" s="320">
        <f>IF('Perfil - interna'!AC288+'Perfil - externa'!AC286=0,0,'Perfil - interna'!AC288+'Perfil - externa'!AC286)</f>
        <v>3712544.9697837783</v>
      </c>
      <c r="AD288" s="320">
        <f>IF('Perfil - interna'!AD288+'Perfil - externa'!AD286=0,0,'Perfil - interna'!AD288+'Perfil - externa'!AD286)</f>
        <v>732393.92894431367</v>
      </c>
      <c r="AE288" s="320">
        <f>IF('Perfil - interna'!AE288+'Perfil - externa'!AE286=0,0,'Perfil - interna'!AE288+'Perfil - externa'!AE286)</f>
        <v>665738.12042265118</v>
      </c>
      <c r="AF288" s="320">
        <f>IF('Perfil - interna'!AF288+'Perfil - externa'!AF286=0,0,'Perfil - interna'!AF288+'Perfil - externa'!AF286)</f>
        <v>636375.68711627997</v>
      </c>
      <c r="AG288" s="320">
        <f>IF('Perfil - interna'!AG288+'Perfil - externa'!AG286=0,0,'Perfil - interna'!AG288+'Perfil - externa'!AG286)</f>
        <v>613774.80031154724</v>
      </c>
      <c r="AH288" s="320">
        <f>IF('Perfil - interna'!AH288+'Perfil - externa'!AH286=0,0,'Perfil - interna'!AH288+'Perfil - externa'!AH286)</f>
        <v>576177.69111802557</v>
      </c>
      <c r="AI288" s="320">
        <f>IF('Perfil - interna'!AI288+'Perfil - externa'!AI286=0,0,'Perfil - interna'!AI288+'Perfil - externa'!AI286)</f>
        <v>1293236.8386430226</v>
      </c>
      <c r="AJ288" s="320">
        <f>IF('Perfil - interna'!AJ288+'Perfil - externa'!AJ286=0,0,'Perfil - interna'!AJ288+'Perfil - externa'!AJ286)</f>
        <v>406545.18906655355</v>
      </c>
      <c r="AK288" s="320">
        <f>IF('Perfil - interna'!AK288+'Perfil - externa'!AK286=0,0,'Perfil - interna'!AK288+'Perfil - externa'!AK286)</f>
        <v>324970.41905762401</v>
      </c>
      <c r="AL288" s="320">
        <f>IF('Perfil - interna'!AL288+'Perfil - externa'!AL286=0,0,'Perfil - interna'!AL288+'Perfil - externa'!AL286)</f>
        <v>324849.52065053274</v>
      </c>
      <c r="AM288" s="320">
        <f>IF('Perfil - interna'!AM288+'Perfil - externa'!AM286=0,0,'Perfil - interna'!AM288+'Perfil - externa'!AM286)</f>
        <v>4615277.3975957809</v>
      </c>
      <c r="AN288" s="320">
        <f>IF('Perfil - interna'!AN288+'Perfil - externa'!AN286=0,0,'Perfil - interna'!AN288+'Perfil - externa'!AN286)</f>
        <v>0</v>
      </c>
      <c r="AO288" s="320"/>
      <c r="AP288" s="320"/>
      <c r="AQ288" s="320"/>
      <c r="AR288" s="320"/>
      <c r="AS288" s="320"/>
      <c r="AT288" s="320"/>
      <c r="AU288" s="320"/>
      <c r="AV288" s="320"/>
      <c r="AW288" s="320"/>
      <c r="AX288" s="320"/>
      <c r="AY288" s="320"/>
      <c r="AZ288" s="320"/>
      <c r="BA288" s="320"/>
      <c r="BB288" s="320"/>
      <c r="BC288" s="320"/>
      <c r="BD288" s="320"/>
      <c r="BE288" s="320"/>
      <c r="BF288" s="320"/>
      <c r="BG288" s="320"/>
      <c r="BH288" s="320"/>
      <c r="BI288" s="320"/>
      <c r="BJ288" s="320"/>
      <c r="BK288" s="320"/>
    </row>
    <row r="289" spans="1:63">
      <c r="A289" s="167"/>
      <c r="B289" s="217" t="str">
        <f>Servicio_internaColumna_título_amortizaciones</f>
        <v>Amortizaciones</v>
      </c>
      <c r="C289" s="218"/>
      <c r="D289" s="219"/>
      <c r="E289" s="219"/>
      <c r="F289" s="219">
        <f>IF('Perfil - interna'!F289+'Perfil - externa'!F287=0,0,'Perfil - interna'!F289+'Perfil - externa'!F287)</f>
        <v>0</v>
      </c>
      <c r="G289" s="219">
        <f>IF('Perfil - interna'!G289+'Perfil - externa'!G287=0,0,'Perfil - interna'!G289+'Perfil - externa'!G287)</f>
        <v>0</v>
      </c>
      <c r="H289" s="219">
        <f>IF('Perfil - interna'!H289+'Perfil - externa'!H287=0,0,'Perfil - interna'!H289+'Perfil - externa'!H287)</f>
        <v>0</v>
      </c>
      <c r="I289" s="219">
        <f>IF('Perfil - interna'!I289+'Perfil - externa'!I287=0,0,'Perfil - interna'!I289+'Perfil - externa'!I287)</f>
        <v>0</v>
      </c>
      <c r="J289" s="219">
        <f>IF('Perfil - interna'!J289+'Perfil - externa'!J287=0,0,'Perfil - interna'!J289+'Perfil - externa'!J287)</f>
        <v>812927.74938238657</v>
      </c>
      <c r="K289" s="219">
        <f>IF('Perfil - interna'!K289+'Perfil - externa'!K287=0,0,'Perfil - interna'!K289+'Perfil - externa'!K287)</f>
        <v>23459921.588104375</v>
      </c>
      <c r="L289" s="219">
        <f>IF('Perfil - interna'!L289+'Perfil - externa'!L287=0,0,'Perfil - interna'!L289+'Perfil - externa'!L287)</f>
        <v>22858379.543318417</v>
      </c>
      <c r="M289" s="219">
        <f>IF('Perfil - interna'!M289+'Perfil - externa'!M287=0,0,'Perfil - interna'!M289+'Perfil - externa'!M287)</f>
        <v>14703508.346055159</v>
      </c>
      <c r="N289" s="219">
        <f>IF('Perfil - interna'!N289+'Perfil - externa'!N287=0,0,'Perfil - interna'!N289+'Perfil - externa'!N287)</f>
        <v>10901792.002985185</v>
      </c>
      <c r="O289" s="219">
        <f>IF('Perfil - interna'!O289+'Perfil - externa'!O287=0,0,'Perfil - interna'!O289+'Perfil - externa'!O287)</f>
        <v>14063500.27665209</v>
      </c>
      <c r="P289" s="219">
        <f>IF('Perfil - interna'!P289+'Perfil - externa'!P287=0,0,'Perfil - interna'!P289+'Perfil - externa'!P287)</f>
        <v>11455438.108226582</v>
      </c>
      <c r="Q289" s="219">
        <f>IF('Perfil - interna'!Q289+'Perfil - externa'!Q287=0,0,'Perfil - interna'!Q289+'Perfil - externa'!Q287)</f>
        <v>20879997.273865107</v>
      </c>
      <c r="R289" s="219">
        <f>IF('Perfil - interna'!R289+'Perfil - externa'!R287=0,0,'Perfil - interna'!R289+'Perfil - externa'!R287)</f>
        <v>2523796.7861733926</v>
      </c>
      <c r="S289" s="219">
        <f>IF('Perfil - interna'!S289+'Perfil - externa'!S287=0,0,'Perfil - interna'!S289+'Perfil - externa'!S287)</f>
        <v>5649279.692331003</v>
      </c>
      <c r="T289" s="219">
        <f>IF('Perfil - interna'!T289+'Perfil - externa'!T287=0,0,'Perfil - interna'!T289+'Perfil - externa'!T287)</f>
        <v>4736284.1607242394</v>
      </c>
      <c r="U289" s="219">
        <f>IF('Perfil - interna'!U289+'Perfil - externa'!U287=0,0,'Perfil - interna'!U289+'Perfil - externa'!U287)</f>
        <v>1368316.0048589197</v>
      </c>
      <c r="V289" s="219">
        <f>IF('Perfil - interna'!V289+'Perfil - externa'!V287=0,0,'Perfil - interna'!V289+'Perfil - externa'!V287)</f>
        <v>11313972.66037092</v>
      </c>
      <c r="W289" s="219">
        <f>IF('Perfil - interna'!W289+'Perfil - externa'!W287=0,0,'Perfil - interna'!W289+'Perfil - externa'!W287)</f>
        <v>888765.6912515799</v>
      </c>
      <c r="X289" s="219">
        <f>IF('Perfil - interna'!X289+'Perfil - externa'!X287=0,0,'Perfil - interna'!X289+'Perfil - externa'!X287)</f>
        <v>733682.35209616018</v>
      </c>
      <c r="Y289" s="219">
        <f>IF('Perfil - interna'!Y289+'Perfil - externa'!Y287=0,0,'Perfil - interna'!Y289+'Perfil - externa'!Y287)</f>
        <v>4455451.0832252838</v>
      </c>
      <c r="Z289" s="219">
        <f>IF('Perfil - interna'!Z289+'Perfil - externa'!Z287=0,0,'Perfil - interna'!Z289+'Perfil - externa'!Z287)</f>
        <v>2938303.2360892603</v>
      </c>
      <c r="AA289" s="219">
        <f>IF('Perfil - interna'!AA289+'Perfil - externa'!AA287=0,0,'Perfil - interna'!AA289+'Perfil - externa'!AA287)</f>
        <v>484150.76093464007</v>
      </c>
      <c r="AB289" s="219">
        <f>IF('Perfil - interna'!AB289+'Perfil - externa'!AB287=0,0,'Perfil - interna'!AB289+'Perfil - externa'!AB287)</f>
        <v>431922.30080258008</v>
      </c>
      <c r="AC289" s="219">
        <f>IF('Perfil - interna'!AC289+'Perfil - externa'!AC287=0,0,'Perfil - interna'!AC289+'Perfil - externa'!AC287)</f>
        <v>1967788.60900502</v>
      </c>
      <c r="AD289" s="219">
        <f>IF('Perfil - interna'!AD289+'Perfil - externa'!AD287=0,0,'Perfil - interna'!AD289+'Perfil - externa'!AD287)</f>
        <v>270817.70896886004</v>
      </c>
      <c r="AE289" s="219">
        <f>IF('Perfil - interna'!AE289+'Perfil - externa'!AE287=0,0,'Perfil - interna'!AE289+'Perfil - externa'!AE287)</f>
        <v>217808.44071281998</v>
      </c>
      <c r="AF289" s="219">
        <f>IF('Perfil - interna'!AF289+'Perfil - externa'!AF287=0,0,'Perfil - interna'!AF289+'Perfil - externa'!AF287)</f>
        <v>199302.47498996003</v>
      </c>
      <c r="AG289" s="219">
        <f>IF('Perfil - interna'!AG289+'Perfil - externa'!AG287=0,0,'Perfil - interna'!AG289+'Perfil - externa'!AG287)</f>
        <v>186427.16077228001</v>
      </c>
      <c r="AH289" s="219">
        <f>IF('Perfil - interna'!AH289+'Perfil - externa'!AH287=0,0,'Perfil - interna'!AH289+'Perfil - externa'!AH287)</f>
        <v>157978.97930811998</v>
      </c>
      <c r="AI289" s="219">
        <f>IF('Perfil - interna'!AI289+'Perfil - externa'!AI287=0,0,'Perfil - interna'!AI289+'Perfil - externa'!AI287)</f>
        <v>910686.67235636001</v>
      </c>
      <c r="AJ289" s="219">
        <f>IF('Perfil - interna'!AJ289+'Perfil - externa'!AJ287=0,0,'Perfil - interna'!AJ289+'Perfil - externa'!AJ287)</f>
        <v>84912.859775479999</v>
      </c>
      <c r="AK289" s="219">
        <f>IF('Perfil - interna'!AK289+'Perfil - externa'!AK287=0,0,'Perfil - interna'!AK289+'Perfil - externa'!AK287)</f>
        <v>7526.42977548</v>
      </c>
      <c r="AL289" s="219">
        <f>IF('Perfil - interna'!AL289+'Perfil - externa'!AL287=0,0,'Perfil - interna'!AL289+'Perfil - externa'!AL287)</f>
        <v>7429.8705647999996</v>
      </c>
      <c r="AM289" s="219">
        <f>IF('Perfil - interna'!AM289+'Perfil - externa'!AM287=0,0,'Perfil - interna'!AM289+'Perfil - externa'!AM287)</f>
        <v>4222384.5113541204</v>
      </c>
      <c r="AN289" s="219">
        <f>IF('Perfil - interna'!AN289+'Perfil - externa'!AN287=0,0,'Perfil - interna'!AN289+'Perfil - externa'!AN287)</f>
        <v>0</v>
      </c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</row>
    <row r="290" spans="1:63">
      <c r="A290" s="170">
        <v>39782</v>
      </c>
      <c r="B290" s="220" t="str">
        <f>Servicio_internaColumna_título_intereses</f>
        <v>Intereses</v>
      </c>
      <c r="C290" s="221"/>
      <c r="D290" s="222"/>
      <c r="E290" s="222"/>
      <c r="F290" s="222">
        <f>IF('Perfil - interna'!F290+'Perfil - externa'!F288=0,0,'Perfil - interna'!F290+'Perfil - externa'!F288)</f>
        <v>0</v>
      </c>
      <c r="G290" s="222">
        <f>IF('Perfil - interna'!G290+'Perfil - externa'!G288=0,0,'Perfil - interna'!G290+'Perfil - externa'!G288)</f>
        <v>0</v>
      </c>
      <c r="H290" s="222">
        <f>IF('Perfil - interna'!H290+'Perfil - externa'!H288=0,0,'Perfil - interna'!H290+'Perfil - externa'!H288)</f>
        <v>0</v>
      </c>
      <c r="I290" s="222">
        <f>IF('Perfil - interna'!I290+'Perfil - externa'!I288=0,0,'Perfil - interna'!I290+'Perfil - externa'!I288)</f>
        <v>0</v>
      </c>
      <c r="J290" s="222">
        <f>IF('Perfil - interna'!J290+'Perfil - externa'!J288=0,0,'Perfil - interna'!J290+'Perfil - externa'!J288)</f>
        <v>419397.22123992798</v>
      </c>
      <c r="K290" s="222">
        <f>IF('Perfil - interna'!K290+'Perfil - externa'!K288=0,0,'Perfil - interna'!K290+'Perfil - externa'!K288)</f>
        <v>13550380.624017864</v>
      </c>
      <c r="L290" s="222">
        <f>IF('Perfil - interna'!L290+'Perfil - externa'!L288=0,0,'Perfil - interna'!L290+'Perfil - externa'!L288)</f>
        <v>11593760.76670222</v>
      </c>
      <c r="M290" s="222">
        <f>IF('Perfil - interna'!M290+'Perfil - externa'!M288=0,0,'Perfil - interna'!M290+'Perfil - externa'!M288)</f>
        <v>9824799.8958403468</v>
      </c>
      <c r="N290" s="222">
        <f>IF('Perfil - interna'!N290+'Perfil - externa'!N288=0,0,'Perfil - interna'!N290+'Perfil - externa'!N288)</f>
        <v>8364258.8075264096</v>
      </c>
      <c r="O290" s="222">
        <f>IF('Perfil - interna'!O290+'Perfil - externa'!O288=0,0,'Perfil - interna'!O290+'Perfil - externa'!O288)</f>
        <v>7391315.4339779234</v>
      </c>
      <c r="P290" s="222">
        <f>IF('Perfil - interna'!P290+'Perfil - externa'!P288=0,0,'Perfil - interna'!P290+'Perfil - externa'!P288)</f>
        <v>6236358.9278689446</v>
      </c>
      <c r="Q290" s="222">
        <f>IF('Perfil - interna'!Q290+'Perfil - externa'!Q288=0,0,'Perfil - interna'!Q290+'Perfil - externa'!Q288)</f>
        <v>5124408.8564232765</v>
      </c>
      <c r="R290" s="222">
        <f>IF('Perfil - interna'!R290+'Perfil - externa'!R288=0,0,'Perfil - interna'!R290+'Perfil - externa'!R288)</f>
        <v>3455973.6539804162</v>
      </c>
      <c r="S290" s="222">
        <f>IF('Perfil - interna'!S290+'Perfil - externa'!S288=0,0,'Perfil - interna'!S290+'Perfil - externa'!S288)</f>
        <v>3185842.7928638635</v>
      </c>
      <c r="T290" s="222">
        <f>IF('Perfil - interna'!T290+'Perfil - externa'!T288=0,0,'Perfil - interna'!T290+'Perfil - externa'!T288)</f>
        <v>2947671.4500293471</v>
      </c>
      <c r="U290" s="222">
        <f>IF('Perfil - interna'!U290+'Perfil - externa'!U288=0,0,'Perfil - interna'!U290+'Perfil - externa'!U288)</f>
        <v>2501526.4480222566</v>
      </c>
      <c r="V290" s="222">
        <f>IF('Perfil - interna'!V290+'Perfil - externa'!V288=0,0,'Perfil - interna'!V290+'Perfil - externa'!V288)</f>
        <v>2345593.6180831678</v>
      </c>
      <c r="W290" s="222">
        <f>IF('Perfil - interna'!W290+'Perfil - externa'!W288=0,0,'Perfil - interna'!W290+'Perfil - externa'!W288)</f>
        <v>1252705.183366416</v>
      </c>
      <c r="X290" s="222">
        <f>IF('Perfil - interna'!X290+'Perfil - externa'!X288=0,0,'Perfil - interna'!X290+'Perfil - externa'!X288)</f>
        <v>1216222.5521301324</v>
      </c>
      <c r="Y290" s="222">
        <f>IF('Perfil - interna'!Y290+'Perfil - externa'!Y288=0,0,'Perfil - interna'!Y290+'Perfil - externa'!Y288)</f>
        <v>1187372.2016993607</v>
      </c>
      <c r="Z290" s="222">
        <f>IF('Perfil - interna'!Z290+'Perfil - externa'!Z288=0,0,'Perfil - interna'!Z290+'Perfil - externa'!Z288)</f>
        <v>778234.82826839993</v>
      </c>
      <c r="AA290" s="222">
        <f>IF('Perfil - interna'!AA290+'Perfil - externa'!AA288=0,0,'Perfil - interna'!AA290+'Perfil - externa'!AA288)</f>
        <v>656364.65728656005</v>
      </c>
      <c r="AB290" s="222">
        <f>IF('Perfil - interna'!AB290+'Perfil - externa'!AB288=0,0,'Perfil - interna'!AB290+'Perfil - externa'!AB288)</f>
        <v>634538.42642526014</v>
      </c>
      <c r="AC290" s="222">
        <f>IF('Perfil - interna'!AC290+'Perfil - externa'!AC288=0,0,'Perfil - interna'!AC290+'Perfil - externa'!AC288)</f>
        <v>601289.65460615989</v>
      </c>
      <c r="AD290" s="222">
        <f>IF('Perfil - interna'!AD290+'Perfil - externa'!AD288=0,0,'Perfil - interna'!AD290+'Perfil - externa'!AD288)</f>
        <v>444226.00442597998</v>
      </c>
      <c r="AE290" s="222">
        <f>IF('Perfil - interna'!AE290+'Perfil - externa'!AE288=0,0,'Perfil - interna'!AE290+'Perfil - externa'!AE288)</f>
        <v>433014.35879379994</v>
      </c>
      <c r="AF290" s="222">
        <f>IF('Perfil - interna'!AF290+'Perfil - externa'!AF288=0,0,'Perfil - interna'!AF290+'Perfil - externa'!AF288)</f>
        <v>423112.74458417995</v>
      </c>
      <c r="AG290" s="222">
        <f>IF('Perfil - interna'!AG290+'Perfil - externa'!AG288=0,0,'Perfil - interna'!AG290+'Perfil - externa'!AG288)</f>
        <v>414211.76486953994</v>
      </c>
      <c r="AH290" s="222">
        <f>IF('Perfil - interna'!AH290+'Perfil - externa'!AH288=0,0,'Perfil - interna'!AH290+'Perfil - externa'!AH288)</f>
        <v>406133.94921204</v>
      </c>
      <c r="AI290" s="222">
        <f>IF('Perfil - interna'!AI290+'Perfil - externa'!AI288=0,0,'Perfil - interna'!AI290+'Perfil - externa'!AI288)</f>
        <v>358241.08958530001</v>
      </c>
      <c r="AJ290" s="222">
        <f>IF('Perfil - interna'!AJ290+'Perfil - externa'!AJ288=0,0,'Perfil - interna'!AJ290+'Perfil - externa'!AJ288)</f>
        <v>313447.62829169998</v>
      </c>
      <c r="AK290" s="222">
        <f>IF('Perfil - interna'!AK290+'Perfil - externa'!AK288=0,0,'Perfil - interna'!AK290+'Perfil - externa'!AK288)</f>
        <v>310865.34161442</v>
      </c>
      <c r="AL290" s="222">
        <f>IF('Perfil - interna'!AL290+'Perfil - externa'!AL288=0,0,'Perfil - interna'!AL290+'Perfil - externa'!AL288)</f>
        <v>310863.87313823996</v>
      </c>
      <c r="AM290" s="222">
        <f>IF('Perfil - interna'!AM290+'Perfil - externa'!AM288=0,0,'Perfil - interna'!AM290+'Perfil - externa'!AM288)</f>
        <v>310860.02600000001</v>
      </c>
      <c r="AN290" s="222">
        <f>IF('Perfil - interna'!AN290+'Perfil - externa'!AN288=0,0,'Perfil - interna'!AN290+'Perfil - externa'!AN288)</f>
        <v>0</v>
      </c>
      <c r="AO290" s="222"/>
      <c r="AP290" s="222"/>
      <c r="AQ290" s="222"/>
      <c r="AR290" s="222"/>
      <c r="AS290" s="222"/>
      <c r="AT290" s="222"/>
      <c r="AU290" s="222"/>
      <c r="AV290" s="222"/>
      <c r="AW290" s="222"/>
      <c r="AX290" s="222"/>
      <c r="AY290" s="222"/>
      <c r="AZ290" s="222"/>
      <c r="BA290" s="222"/>
      <c r="BB290" s="222"/>
      <c r="BC290" s="222"/>
      <c r="BD290" s="222"/>
      <c r="BE290" s="222"/>
      <c r="BF290" s="222"/>
      <c r="BG290" s="222"/>
      <c r="BH290" s="222"/>
      <c r="BI290" s="222"/>
      <c r="BJ290" s="222"/>
      <c r="BK290" s="222"/>
    </row>
    <row r="291" spans="1:63">
      <c r="A291" s="171"/>
      <c r="B291" s="318" t="str">
        <f>Servicio_internaColumna_título_total</f>
        <v>Total</v>
      </c>
      <c r="C291" s="319"/>
      <c r="D291" s="320"/>
      <c r="E291" s="320"/>
      <c r="F291" s="320">
        <f>IF('Perfil - interna'!F291+'Perfil - externa'!F289=0,0,'Perfil - interna'!F291+'Perfil - externa'!F289)</f>
        <v>0</v>
      </c>
      <c r="G291" s="320">
        <f>IF('Perfil - interna'!G291+'Perfil - externa'!G289=0,0,'Perfil - interna'!G291+'Perfil - externa'!G289)</f>
        <v>0</v>
      </c>
      <c r="H291" s="320">
        <f>IF('Perfil - interna'!H291+'Perfil - externa'!H289=0,0,'Perfil - interna'!H291+'Perfil - externa'!H289)</f>
        <v>0</v>
      </c>
      <c r="I291" s="320">
        <f>IF('Perfil - interna'!I291+'Perfil - externa'!I289=0,0,'Perfil - interna'!I291+'Perfil - externa'!I289)</f>
        <v>0</v>
      </c>
      <c r="J291" s="320">
        <f>IF('Perfil - interna'!J291+'Perfil - externa'!J289=0,0,'Perfil - interna'!J291+'Perfil - externa'!J289)</f>
        <v>1232324.9706223146</v>
      </c>
      <c r="K291" s="320">
        <f>IF('Perfil - interna'!K291+'Perfil - externa'!K289=0,0,'Perfil - interna'!K291+'Perfil - externa'!K289)</f>
        <v>37010302.212122239</v>
      </c>
      <c r="L291" s="320">
        <f>IF('Perfil - interna'!L291+'Perfil - externa'!L289=0,0,'Perfil - interna'!L291+'Perfil - externa'!L289)</f>
        <v>34452140.31002064</v>
      </c>
      <c r="M291" s="320">
        <f>IF('Perfil - interna'!M291+'Perfil - externa'!M289=0,0,'Perfil - interna'!M291+'Perfil - externa'!M289)</f>
        <v>24528308.241895508</v>
      </c>
      <c r="N291" s="320">
        <f>IF('Perfil - interna'!N291+'Perfil - externa'!N289=0,0,'Perfil - interna'!N291+'Perfil - externa'!N289)</f>
        <v>19266050.810511597</v>
      </c>
      <c r="O291" s="320">
        <f>IF('Perfil - interna'!O291+'Perfil - externa'!O289=0,0,'Perfil - interna'!O291+'Perfil - externa'!O289)</f>
        <v>21454815.710630015</v>
      </c>
      <c r="P291" s="320">
        <f>IF('Perfil - interna'!P291+'Perfil - externa'!P289=0,0,'Perfil - interna'!P291+'Perfil - externa'!P289)</f>
        <v>17691797.03609553</v>
      </c>
      <c r="Q291" s="320">
        <f>IF('Perfil - interna'!Q291+'Perfil - externa'!Q289=0,0,'Perfil - interna'!Q291+'Perfil - externa'!Q289)</f>
        <v>26004406.130288385</v>
      </c>
      <c r="R291" s="320">
        <f>IF('Perfil - interna'!R291+'Perfil - externa'!R289=0,0,'Perfil - interna'!R291+'Perfil - externa'!R289)</f>
        <v>5979770.4401538093</v>
      </c>
      <c r="S291" s="320">
        <f>IF('Perfil - interna'!S291+'Perfil - externa'!S289=0,0,'Perfil - interna'!S291+'Perfil - externa'!S289)</f>
        <v>8835122.4851948656</v>
      </c>
      <c r="T291" s="320">
        <f>IF('Perfil - interna'!T291+'Perfil - externa'!T289=0,0,'Perfil - interna'!T291+'Perfil - externa'!T289)</f>
        <v>7683955.6107535865</v>
      </c>
      <c r="U291" s="320">
        <f>IF('Perfil - interna'!U291+'Perfil - externa'!U289=0,0,'Perfil - interna'!U291+'Perfil - externa'!U289)</f>
        <v>3869842.452881176</v>
      </c>
      <c r="V291" s="320">
        <f>IF('Perfil - interna'!V291+'Perfil - externa'!V289=0,0,'Perfil - interna'!V291+'Perfil - externa'!V289)</f>
        <v>13659566.278454088</v>
      </c>
      <c r="W291" s="320">
        <f>IF('Perfil - interna'!W291+'Perfil - externa'!W289=0,0,'Perfil - interna'!W291+'Perfil - externa'!W289)</f>
        <v>2141470.8746179962</v>
      </c>
      <c r="X291" s="320">
        <f>IF('Perfil - interna'!X291+'Perfil - externa'!X289=0,0,'Perfil - interna'!X291+'Perfil - externa'!X289)</f>
        <v>1949904.9042262929</v>
      </c>
      <c r="Y291" s="320">
        <f>IF('Perfil - interna'!Y291+'Perfil - externa'!Y289=0,0,'Perfil - interna'!Y291+'Perfil - externa'!Y289)</f>
        <v>5642823.284924645</v>
      </c>
      <c r="Z291" s="320">
        <f>IF('Perfil - interna'!Z291+'Perfil - externa'!Z289=0,0,'Perfil - interna'!Z291+'Perfil - externa'!Z289)</f>
        <v>3716538.0643576602</v>
      </c>
      <c r="AA291" s="320">
        <f>IF('Perfil - interna'!AA291+'Perfil - externa'!AA289=0,0,'Perfil - interna'!AA291+'Perfil - externa'!AA289)</f>
        <v>1140515.4182212001</v>
      </c>
      <c r="AB291" s="320">
        <f>IF('Perfil - interna'!AB291+'Perfil - externa'!AB289=0,0,'Perfil - interna'!AB291+'Perfil - externa'!AB289)</f>
        <v>1066460.7272278401</v>
      </c>
      <c r="AC291" s="320">
        <f>IF('Perfil - interna'!AC291+'Perfil - externa'!AC289=0,0,'Perfil - interna'!AC291+'Perfil - externa'!AC289)</f>
        <v>2569078.2636111798</v>
      </c>
      <c r="AD291" s="320">
        <f>IF('Perfil - interna'!AD291+'Perfil - externa'!AD289=0,0,'Perfil - interna'!AD291+'Perfil - externa'!AD289)</f>
        <v>715043.71339484002</v>
      </c>
      <c r="AE291" s="320">
        <f>IF('Perfil - interna'!AE291+'Perfil - externa'!AE289=0,0,'Perfil - interna'!AE291+'Perfil - externa'!AE289)</f>
        <v>650822.79950661992</v>
      </c>
      <c r="AF291" s="320">
        <f>IF('Perfil - interna'!AF291+'Perfil - externa'!AF289=0,0,'Perfil - interna'!AF291+'Perfil - externa'!AF289)</f>
        <v>622415.21957413992</v>
      </c>
      <c r="AG291" s="320">
        <f>IF('Perfil - interna'!AG291+'Perfil - externa'!AG289=0,0,'Perfil - interna'!AG291+'Perfil - externa'!AG289)</f>
        <v>600638.92564181995</v>
      </c>
      <c r="AH291" s="320">
        <f>IF('Perfil - interna'!AH291+'Perfil - externa'!AH289=0,0,'Perfil - interna'!AH291+'Perfil - externa'!AH289)</f>
        <v>564112.92852016003</v>
      </c>
      <c r="AI291" s="320">
        <f>IF('Perfil - interna'!AI291+'Perfil - externa'!AI289=0,0,'Perfil - interna'!AI291+'Perfil - externa'!AI289)</f>
        <v>1268927.76194166</v>
      </c>
      <c r="AJ291" s="320">
        <f>IF('Perfil - interna'!AJ291+'Perfil - externa'!AJ289=0,0,'Perfil - interna'!AJ291+'Perfil - externa'!AJ289)</f>
        <v>398360.48806717998</v>
      </c>
      <c r="AK291" s="320">
        <f>IF('Perfil - interna'!AK291+'Perfil - externa'!AK289=0,0,'Perfil - interna'!AK291+'Perfil - externa'!AK289)</f>
        <v>318391.77138990001</v>
      </c>
      <c r="AL291" s="320">
        <f>IF('Perfil - interna'!AL291+'Perfil - externa'!AL289=0,0,'Perfil - interna'!AL291+'Perfil - externa'!AL289)</f>
        <v>318293.74370303995</v>
      </c>
      <c r="AM291" s="320">
        <f>IF('Perfil - interna'!AM291+'Perfil - externa'!AM289=0,0,'Perfil - interna'!AM291+'Perfil - externa'!AM289)</f>
        <v>4533244.5373541201</v>
      </c>
      <c r="AN291" s="320">
        <f>IF('Perfil - interna'!AN291+'Perfil - externa'!AN289=0,0,'Perfil - interna'!AN291+'Perfil - externa'!AN289)</f>
        <v>0</v>
      </c>
      <c r="AO291" s="320"/>
      <c r="AP291" s="320"/>
      <c r="AQ291" s="320"/>
      <c r="AR291" s="320"/>
      <c r="AS291" s="320"/>
      <c r="AT291" s="320"/>
      <c r="AU291" s="320"/>
      <c r="AV291" s="320"/>
      <c r="AW291" s="320"/>
      <c r="AX291" s="320"/>
      <c r="AY291" s="320"/>
      <c r="AZ291" s="320"/>
      <c r="BA291" s="320"/>
      <c r="BB291" s="320"/>
      <c r="BC291" s="320"/>
      <c r="BD291" s="320"/>
      <c r="BE291" s="320"/>
      <c r="BF291" s="320"/>
      <c r="BG291" s="320"/>
      <c r="BH291" s="320"/>
      <c r="BI291" s="320"/>
      <c r="BJ291" s="320"/>
      <c r="BK291" s="320"/>
    </row>
    <row r="292" spans="1:63">
      <c r="A292" s="167"/>
      <c r="B292" s="217" t="str">
        <f>Servicio_internaColumna_título_amortizaciones</f>
        <v>Amortizaciones</v>
      </c>
      <c r="C292" s="218"/>
      <c r="D292" s="219"/>
      <c r="E292" s="219"/>
      <c r="F292" s="219">
        <f>IF('Perfil - interna'!F292+'Perfil - externa'!F290=0,0,'Perfil - interna'!F292+'Perfil - externa'!F290)</f>
        <v>0</v>
      </c>
      <c r="G292" s="219">
        <f>IF('Perfil - interna'!G292+'Perfil - externa'!G290=0,0,'Perfil - interna'!G292+'Perfil - externa'!G290)</f>
        <v>0</v>
      </c>
      <c r="H292" s="219">
        <f>IF('Perfil - interna'!H292+'Perfil - externa'!H290=0,0,'Perfil - interna'!H292+'Perfil - externa'!H290)</f>
        <v>0</v>
      </c>
      <c r="I292" s="219">
        <f>IF('Perfil - interna'!I292+'Perfil - externa'!I290=0,0,'Perfil - interna'!I292+'Perfil - externa'!I290)</f>
        <v>0</v>
      </c>
      <c r="J292" s="219">
        <f>IF('Perfil - interna'!J292+'Perfil - externa'!J290=0,0,'Perfil - interna'!J292+'Perfil - externa'!J290)</f>
        <v>0</v>
      </c>
      <c r="K292" s="219">
        <f>IF('Perfil - interna'!K292+'Perfil - externa'!K290=0,0,'Perfil - interna'!K292+'Perfil - externa'!K290)</f>
        <v>23997004.933384381</v>
      </c>
      <c r="L292" s="219">
        <f>IF('Perfil - interna'!L292+'Perfil - externa'!L290=0,0,'Perfil - interna'!L292+'Perfil - externa'!L290)</f>
        <v>23066008.513640299</v>
      </c>
      <c r="M292" s="219">
        <f>IF('Perfil - interna'!M292+'Perfil - externa'!M290=0,0,'Perfil - interna'!M292+'Perfil - externa'!M290)</f>
        <v>14950799.120378772</v>
      </c>
      <c r="N292" s="219">
        <f>IF('Perfil - interna'!N292+'Perfil - externa'!N290=0,0,'Perfil - interna'!N292+'Perfil - externa'!N290)</f>
        <v>10769609.432941703</v>
      </c>
      <c r="O292" s="219">
        <f>IF('Perfil - interna'!O292+'Perfil - externa'!O290=0,0,'Perfil - interna'!O292+'Perfil - externa'!O290)</f>
        <v>14217727.6482672</v>
      </c>
      <c r="P292" s="219">
        <f>IF('Perfil - interna'!P292+'Perfil - externa'!P290=0,0,'Perfil - interna'!P292+'Perfil - externa'!P290)</f>
        <v>11559678.953948021</v>
      </c>
      <c r="Q292" s="219">
        <f>IF('Perfil - interna'!Q292+'Perfil - externa'!Q290=0,0,'Perfil - interna'!Q292+'Perfil - externa'!Q290)</f>
        <v>22209025.941142857</v>
      </c>
      <c r="R292" s="219">
        <f>IF('Perfil - interna'!R292+'Perfil - externa'!R290=0,0,'Perfil - interna'!R292+'Perfil - externa'!R290)</f>
        <v>2598838.0962790218</v>
      </c>
      <c r="S292" s="219">
        <f>IF('Perfil - interna'!S292+'Perfil - externa'!S290=0,0,'Perfil - interna'!S292+'Perfil - externa'!S290)</f>
        <v>5565054.022070799</v>
      </c>
      <c r="T292" s="219">
        <f>IF('Perfil - interna'!T292+'Perfil - externa'!T290=0,0,'Perfil - interna'!T292+'Perfil - externa'!T290)</f>
        <v>4915909.9345031083</v>
      </c>
      <c r="U292" s="219">
        <f>IF('Perfil - interna'!U292+'Perfil - externa'!U290=0,0,'Perfil - interna'!U292+'Perfil - externa'!U290)</f>
        <v>1440208.030383646</v>
      </c>
      <c r="V292" s="219">
        <f>IF('Perfil - interna'!V292+'Perfil - externa'!V290=0,0,'Perfil - interna'!V292+'Perfil - externa'!V290)</f>
        <v>11354111.295699812</v>
      </c>
      <c r="W292" s="219">
        <f>IF('Perfil - interna'!W292+'Perfil - externa'!W290=0,0,'Perfil - interna'!W292+'Perfil - externa'!W290)</f>
        <v>960442.56213985151</v>
      </c>
      <c r="X292" s="219">
        <f>IF('Perfil - interna'!X292+'Perfil - externa'!X290=0,0,'Perfil - interna'!X292+'Perfil - externa'!X290)</f>
        <v>773731.03404177842</v>
      </c>
      <c r="Y292" s="219">
        <f>IF('Perfil - interna'!Y292+'Perfil - externa'!Y290=0,0,'Perfil - interna'!Y292+'Perfil - externa'!Y290)</f>
        <v>4562202.7331510279</v>
      </c>
      <c r="Z292" s="219">
        <f>IF('Perfil - interna'!Z292+'Perfil - externa'!Z290=0,0,'Perfil - interna'!Z292+'Perfil - externa'!Z290)</f>
        <v>2880221.9081617701</v>
      </c>
      <c r="AA292" s="219">
        <f>IF('Perfil - interna'!AA292+'Perfil - externa'!AA290=0,0,'Perfil - interna'!AA292+'Perfil - externa'!AA290)</f>
        <v>456401.23951269977</v>
      </c>
      <c r="AB292" s="219">
        <f>IF('Perfil - interna'!AB292+'Perfil - externa'!AB290=0,0,'Perfil - interna'!AB292+'Perfil - externa'!AB290)</f>
        <v>405849.36252059956</v>
      </c>
      <c r="AC292" s="219">
        <f>IF('Perfil - interna'!AC292+'Perfil - externa'!AC290=0,0,'Perfil - interna'!AC292+'Perfil - externa'!AC290)</f>
        <v>2928906.9252129514</v>
      </c>
      <c r="AD292" s="219">
        <f>IF('Perfil - interna'!AD292+'Perfil - externa'!AD290=0,0,'Perfil - interna'!AD292+'Perfil - externa'!AD290)</f>
        <v>294827.30376826308</v>
      </c>
      <c r="AE292" s="219">
        <f>IF('Perfil - interna'!AE292+'Perfil - externa'!AE290=0,0,'Perfil - interna'!AE292+'Perfil - externa'!AE290)</f>
        <v>206126.51645795448</v>
      </c>
      <c r="AF292" s="219">
        <f>IF('Perfil - interna'!AF292+'Perfil - externa'!AF290=0,0,'Perfil - interna'!AF292+'Perfil - externa'!AF290)</f>
        <v>188214.6097987002</v>
      </c>
      <c r="AG292" s="219">
        <f>IF('Perfil - interna'!AG292+'Perfil - externa'!AG290=0,0,'Perfil - interna'!AG292+'Perfil - externa'!AG290)</f>
        <v>175752.60538729181</v>
      </c>
      <c r="AH292" s="219">
        <f>IF('Perfil - interna'!AH292+'Perfil - externa'!AH290=0,0,'Perfil - interna'!AH292+'Perfil - externa'!AH290)</f>
        <v>148217.63754813097</v>
      </c>
      <c r="AI292" s="219">
        <f>IF('Perfil - interna'!AI292+'Perfil - externa'!AI290=0,0,'Perfil - interna'!AI292+'Perfil - externa'!AI290)</f>
        <v>876762.69925913238</v>
      </c>
      <c r="AJ292" s="219">
        <f>IF('Perfil - interna'!AJ292+'Perfil - externa'!AJ290=0,0,'Perfil - interna'!AJ292+'Perfil - externa'!AJ290)</f>
        <v>75905.743591607796</v>
      </c>
      <c r="AK292" s="219">
        <f>IF('Perfil - interna'!AK292+'Perfil - externa'!AK290=0,0,'Perfil - interna'!AK292+'Perfil - externa'!AK290)</f>
        <v>1003.4914416078001</v>
      </c>
      <c r="AL292" s="219">
        <f>IF('Perfil - interna'!AL292+'Perfil - externa'!AL290=0,0,'Perfil - interna'!AL292+'Perfil - externa'!AL290)</f>
        <v>909.66881550059998</v>
      </c>
      <c r="AM292" s="219">
        <f>IF('Perfil - interna'!AM292+'Perfil - externa'!AM290=0,0,'Perfil - interna'!AM292+'Perfil - externa'!AM290)</f>
        <v>4080559.902189394</v>
      </c>
      <c r="AN292" s="219">
        <f>IF('Perfil - interna'!AN292+'Perfil - externa'!AN290=0,0,'Perfil - interna'!AN292+'Perfil - externa'!AN290)</f>
        <v>0</v>
      </c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</row>
    <row r="293" spans="1:63">
      <c r="A293" s="170">
        <v>39813</v>
      </c>
      <c r="B293" s="220" t="str">
        <f>Servicio_internaColumna_título_intereses</f>
        <v>Intereses</v>
      </c>
      <c r="C293" s="221"/>
      <c r="D293" s="222"/>
      <c r="E293" s="222"/>
      <c r="F293" s="222">
        <f>IF('Perfil - interna'!F293+'Perfil - externa'!F291=0,0,'Perfil - interna'!F293+'Perfil - externa'!F291)</f>
        <v>0</v>
      </c>
      <c r="G293" s="222">
        <f>IF('Perfil - interna'!G293+'Perfil - externa'!G291=0,0,'Perfil - interna'!G293+'Perfil - externa'!G291)</f>
        <v>0</v>
      </c>
      <c r="H293" s="222">
        <f>IF('Perfil - interna'!H293+'Perfil - externa'!H291=0,0,'Perfil - interna'!H293+'Perfil - externa'!H291)</f>
        <v>0</v>
      </c>
      <c r="I293" s="222">
        <f>IF('Perfil - interna'!I293+'Perfil - externa'!I291=0,0,'Perfil - interna'!I293+'Perfil - externa'!I291)</f>
        <v>0</v>
      </c>
      <c r="J293" s="222">
        <f>IF('Perfil - interna'!J293+'Perfil - externa'!J291=0,0,'Perfil - interna'!J293+'Perfil - externa'!J291)</f>
        <v>0</v>
      </c>
      <c r="K293" s="222">
        <f>IF('Perfil - interna'!K293+'Perfil - externa'!K291=0,0,'Perfil - interna'!K293+'Perfil - externa'!K291)</f>
        <v>13629851.339685993</v>
      </c>
      <c r="L293" s="222">
        <f>IF('Perfil - interna'!L293+'Perfil - externa'!L291=0,0,'Perfil - interna'!L293+'Perfil - externa'!L291)</f>
        <v>11743465.420922019</v>
      </c>
      <c r="M293" s="222">
        <f>IF('Perfil - interna'!M293+'Perfil - externa'!M291=0,0,'Perfil - interna'!M293+'Perfil - externa'!M291)</f>
        <v>9936818.4797449019</v>
      </c>
      <c r="N293" s="222">
        <f>IF('Perfil - interna'!N293+'Perfil - externa'!N291=0,0,'Perfil - interna'!N293+'Perfil - externa'!N291)</f>
        <v>8506525.192888584</v>
      </c>
      <c r="O293" s="222">
        <f>IF('Perfil - interna'!O293+'Perfil - externa'!O291=0,0,'Perfil - interna'!O293+'Perfil - externa'!O291)</f>
        <v>7575327.0214587348</v>
      </c>
      <c r="P293" s="222">
        <f>IF('Perfil - interna'!P293+'Perfil - externa'!P291=0,0,'Perfil - interna'!P293+'Perfil - externa'!P291)</f>
        <v>6412024.3683328703</v>
      </c>
      <c r="Q293" s="222">
        <f>IF('Perfil - interna'!Q293+'Perfil - externa'!Q291=0,0,'Perfil - interna'!Q293+'Perfil - externa'!Q291)</f>
        <v>5297996.0610288987</v>
      </c>
      <c r="R293" s="222">
        <f>IF('Perfil - interna'!R293+'Perfil - externa'!R291=0,0,'Perfil - interna'!R293+'Perfil - externa'!R291)</f>
        <v>3492595.3794233948</v>
      </c>
      <c r="S293" s="222">
        <f>IF('Perfil - interna'!S293+'Perfil - externa'!S291=0,0,'Perfil - interna'!S293+'Perfil - externa'!S291)</f>
        <v>3236359.0685248594</v>
      </c>
      <c r="T293" s="222">
        <f>IF('Perfil - interna'!T293+'Perfil - externa'!T291=0,0,'Perfil - interna'!T293+'Perfil - externa'!T291)</f>
        <v>3015334.1854571817</v>
      </c>
      <c r="U293" s="222">
        <f>IF('Perfil - interna'!U293+'Perfil - externa'!U291=0,0,'Perfil - interna'!U293+'Perfil - externa'!U291)</f>
        <v>2555069.8176033339</v>
      </c>
      <c r="V293" s="222">
        <f>IF('Perfil - interna'!V293+'Perfil - externa'!V291=0,0,'Perfil - interna'!V293+'Perfil - externa'!V291)</f>
        <v>2408361.2468705373</v>
      </c>
      <c r="W293" s="222">
        <f>IF('Perfil - interna'!W293+'Perfil - externa'!W291=0,0,'Perfil - interna'!W293+'Perfil - externa'!W291)</f>
        <v>1317740.4189639371</v>
      </c>
      <c r="X293" s="222">
        <f>IF('Perfil - interna'!X293+'Perfil - externa'!X291=0,0,'Perfil - interna'!X293+'Perfil - externa'!X291)</f>
        <v>1280460.0813358815</v>
      </c>
      <c r="Y293" s="222">
        <f>IF('Perfil - interna'!Y293+'Perfil - externa'!Y291=0,0,'Perfil - interna'!Y293+'Perfil - externa'!Y291)</f>
        <v>1252151.1383696368</v>
      </c>
      <c r="Z293" s="222">
        <f>IF('Perfil - interna'!Z293+'Perfil - externa'!Z291=0,0,'Perfil - interna'!Z293+'Perfil - externa'!Z291)</f>
        <v>839329.08514446684</v>
      </c>
      <c r="AA293" s="222">
        <f>IF('Perfil - interna'!AA293+'Perfil - externa'!AA291=0,0,'Perfil - interna'!AA293+'Perfil - externa'!AA291)</f>
        <v>723014.47330329311</v>
      </c>
      <c r="AB293" s="222">
        <f>IF('Perfil - interna'!AB293+'Perfil - externa'!AB291=0,0,'Perfil - interna'!AB293+'Perfil - externa'!AB291)</f>
        <v>704440.46394016466</v>
      </c>
      <c r="AC293" s="222">
        <f>IF('Perfil - interna'!AC293+'Perfil - externa'!AC291=0,0,'Perfil - interna'!AC293+'Perfil - externa'!AC291)</f>
        <v>674206.9401740079</v>
      </c>
      <c r="AD293" s="222">
        <f>IF('Perfil - interna'!AD293+'Perfil - externa'!AD291=0,0,'Perfil - interna'!AD293+'Perfil - externa'!AD291)</f>
        <v>424712.81000334496</v>
      </c>
      <c r="AE293" s="222">
        <f>IF('Perfil - interna'!AE293+'Perfil - externa'!AE291=0,0,'Perfil - interna'!AE293+'Perfil - externa'!AE291)</f>
        <v>413358.20865759935</v>
      </c>
      <c r="AF293" s="222">
        <f>IF('Perfil - interna'!AF293+'Perfil - externa'!AF291=0,0,'Perfil - interna'!AF293+'Perfil - externa'!AF291)</f>
        <v>404840.19365206081</v>
      </c>
      <c r="AG293" s="222">
        <f>IF('Perfil - interna'!AG293+'Perfil - externa'!AG291=0,0,'Perfil - interna'!AG293+'Perfil - externa'!AG291)</f>
        <v>397270.67429017811</v>
      </c>
      <c r="AH293" s="222">
        <f>IF('Perfil - interna'!AH293+'Perfil - externa'!AH291=0,0,'Perfil - interna'!AH293+'Perfil - externa'!AH291)</f>
        <v>390464.12748664612</v>
      </c>
      <c r="AI293" s="222">
        <f>IF('Perfil - interna'!AI293+'Perfil - externa'!AI291=0,0,'Perfil - interna'!AI293+'Perfil - externa'!AI291)</f>
        <v>345081.39069748414</v>
      </c>
      <c r="AJ293" s="222">
        <f>IF('Perfil - interna'!AJ293+'Perfil - externa'!AJ291=0,0,'Perfil - interna'!AJ293+'Perfil - externa'!AJ291)</f>
        <v>302602.3122369636</v>
      </c>
      <c r="AK293" s="222">
        <f>IF('Perfil - interna'!AK293+'Perfil - externa'!AK291=0,0,'Perfil - interna'!AK293+'Perfil - externa'!AK291)</f>
        <v>300886.2760408452</v>
      </c>
      <c r="AL293" s="222">
        <f>IF('Perfil - interna'!AL293+'Perfil - externa'!AL291=0,0,'Perfil - interna'!AL293+'Perfil - externa'!AL291)</f>
        <v>300884.84916247701</v>
      </c>
      <c r="AM293" s="222">
        <f>IF('Perfil - interna'!AM293+'Perfil - externa'!AM291=0,0,'Perfil - interna'!AM293+'Perfil - externa'!AM291)</f>
        <v>300881.12413000001</v>
      </c>
      <c r="AN293" s="222">
        <f>IF('Perfil - interna'!AN293+'Perfil - externa'!AN291=0,0,'Perfil - interna'!AN293+'Perfil - externa'!AN291)</f>
        <v>0</v>
      </c>
      <c r="AO293" s="222"/>
      <c r="AP293" s="222"/>
      <c r="AQ293" s="222"/>
      <c r="AR293" s="222"/>
      <c r="AS293" s="222"/>
      <c r="AT293" s="222"/>
      <c r="AU293" s="222"/>
      <c r="AV293" s="222"/>
      <c r="AW293" s="222"/>
      <c r="AX293" s="222"/>
      <c r="AY293" s="222"/>
      <c r="AZ293" s="222"/>
      <c r="BA293" s="222"/>
      <c r="BB293" s="222"/>
      <c r="BC293" s="222"/>
      <c r="BD293" s="222"/>
      <c r="BE293" s="222"/>
      <c r="BF293" s="222"/>
      <c r="BG293" s="222"/>
      <c r="BH293" s="222"/>
      <c r="BI293" s="222"/>
      <c r="BJ293" s="222"/>
      <c r="BK293" s="222"/>
    </row>
    <row r="294" spans="1:63">
      <c r="A294" s="171"/>
      <c r="B294" s="318" t="str">
        <f>Servicio_internaColumna_título_total</f>
        <v>Total</v>
      </c>
      <c r="C294" s="319"/>
      <c r="D294" s="320"/>
      <c r="E294" s="320"/>
      <c r="F294" s="320">
        <f>IF('Perfil - interna'!F294+'Perfil - externa'!F292=0,0,'Perfil - interna'!F294+'Perfil - externa'!F292)</f>
        <v>0</v>
      </c>
      <c r="G294" s="320">
        <f>IF('Perfil - interna'!G294+'Perfil - externa'!G292=0,0,'Perfil - interna'!G294+'Perfil - externa'!G292)</f>
        <v>0</v>
      </c>
      <c r="H294" s="320">
        <f>IF('Perfil - interna'!H294+'Perfil - externa'!H292=0,0,'Perfil - interna'!H294+'Perfil - externa'!H292)</f>
        <v>0</v>
      </c>
      <c r="I294" s="320">
        <f>IF('Perfil - interna'!I294+'Perfil - externa'!I292=0,0,'Perfil - interna'!I294+'Perfil - externa'!I292)</f>
        <v>0</v>
      </c>
      <c r="J294" s="320">
        <f>IF('Perfil - interna'!J294+'Perfil - externa'!J292=0,0,'Perfil - interna'!J294+'Perfil - externa'!J292)</f>
        <v>0</v>
      </c>
      <c r="K294" s="320">
        <f>IF('Perfil - interna'!K294+'Perfil - externa'!K292=0,0,'Perfil - interna'!K294+'Perfil - externa'!K292)</f>
        <v>37626856.273070373</v>
      </c>
      <c r="L294" s="320">
        <f>IF('Perfil - interna'!L294+'Perfil - externa'!L292=0,0,'Perfil - interna'!L294+'Perfil - externa'!L292)</f>
        <v>34809473.934562318</v>
      </c>
      <c r="M294" s="320">
        <f>IF('Perfil - interna'!M294+'Perfil - externa'!M292=0,0,'Perfil - interna'!M294+'Perfil - externa'!M292)</f>
        <v>24887617.600123674</v>
      </c>
      <c r="N294" s="320">
        <f>IF('Perfil - interna'!N294+'Perfil - externa'!N292=0,0,'Perfil - interna'!N294+'Perfil - externa'!N292)</f>
        <v>19276134.625830285</v>
      </c>
      <c r="O294" s="320">
        <f>IF('Perfil - interna'!O294+'Perfil - externa'!O292=0,0,'Perfil - interna'!O294+'Perfil - externa'!O292)</f>
        <v>21793054.669725936</v>
      </c>
      <c r="P294" s="320">
        <f>IF('Perfil - interna'!P294+'Perfil - externa'!P292=0,0,'Perfil - interna'!P294+'Perfil - externa'!P292)</f>
        <v>17971703.322280891</v>
      </c>
      <c r="Q294" s="320">
        <f>IF('Perfil - interna'!Q294+'Perfil - externa'!Q292=0,0,'Perfil - interna'!Q294+'Perfil - externa'!Q292)</f>
        <v>27507022.002171759</v>
      </c>
      <c r="R294" s="320">
        <f>IF('Perfil - interna'!R294+'Perfil - externa'!R292=0,0,'Perfil - interna'!R294+'Perfil - externa'!R292)</f>
        <v>6091433.4757024171</v>
      </c>
      <c r="S294" s="320">
        <f>IF('Perfil - interna'!S294+'Perfil - externa'!S292=0,0,'Perfil - interna'!S294+'Perfil - externa'!S292)</f>
        <v>8801413.0905956589</v>
      </c>
      <c r="T294" s="320">
        <f>IF('Perfil - interna'!T294+'Perfil - externa'!T292=0,0,'Perfil - interna'!T294+'Perfil - externa'!T292)</f>
        <v>7931244.1199602894</v>
      </c>
      <c r="U294" s="320">
        <f>IF('Perfil - interna'!U294+'Perfil - externa'!U292=0,0,'Perfil - interna'!U294+'Perfil - externa'!U292)</f>
        <v>3995277.8479869794</v>
      </c>
      <c r="V294" s="320">
        <f>IF('Perfil - interna'!V294+'Perfil - externa'!V292=0,0,'Perfil - interna'!V294+'Perfil - externa'!V292)</f>
        <v>13762472.542570349</v>
      </c>
      <c r="W294" s="320">
        <f>IF('Perfil - interna'!W294+'Perfil - externa'!W292=0,0,'Perfil - interna'!W294+'Perfil - externa'!W292)</f>
        <v>2278182.9811037886</v>
      </c>
      <c r="X294" s="320">
        <f>IF('Perfil - interna'!X294+'Perfil - externa'!X292=0,0,'Perfil - interna'!X294+'Perfil - externa'!X292)</f>
        <v>2054191.1153776599</v>
      </c>
      <c r="Y294" s="320">
        <f>IF('Perfil - interna'!Y294+'Perfil - externa'!Y292=0,0,'Perfil - interna'!Y294+'Perfil - externa'!Y292)</f>
        <v>5814353.8715206645</v>
      </c>
      <c r="Z294" s="320">
        <f>IF('Perfil - interna'!Z294+'Perfil - externa'!Z292=0,0,'Perfil - interna'!Z294+'Perfil - externa'!Z292)</f>
        <v>3719550.9933062368</v>
      </c>
      <c r="AA294" s="320">
        <f>IF('Perfil - interna'!AA294+'Perfil - externa'!AA292=0,0,'Perfil - interna'!AA294+'Perfil - externa'!AA292)</f>
        <v>1179415.712815993</v>
      </c>
      <c r="AB294" s="320">
        <f>IF('Perfil - interna'!AB294+'Perfil - externa'!AB292=0,0,'Perfil - interna'!AB294+'Perfil - externa'!AB292)</f>
        <v>1110289.8264607643</v>
      </c>
      <c r="AC294" s="320">
        <f>IF('Perfil - interna'!AC294+'Perfil - externa'!AC292=0,0,'Perfil - interna'!AC294+'Perfil - externa'!AC292)</f>
        <v>3603113.8653869592</v>
      </c>
      <c r="AD294" s="320">
        <f>IF('Perfil - interna'!AD294+'Perfil - externa'!AD292=0,0,'Perfil - interna'!AD294+'Perfil - externa'!AD292)</f>
        <v>719540.1137716081</v>
      </c>
      <c r="AE294" s="320">
        <f>IF('Perfil - interna'!AE294+'Perfil - externa'!AE292=0,0,'Perfil - interna'!AE294+'Perfil - externa'!AE292)</f>
        <v>619484.72511555383</v>
      </c>
      <c r="AF294" s="320">
        <f>IF('Perfil - interna'!AF294+'Perfil - externa'!AF292=0,0,'Perfil - interna'!AF294+'Perfil - externa'!AF292)</f>
        <v>593054.80345076101</v>
      </c>
      <c r="AG294" s="320">
        <f>IF('Perfil - interna'!AG294+'Perfil - externa'!AG292=0,0,'Perfil - interna'!AG294+'Perfil - externa'!AG292)</f>
        <v>573023.27967746998</v>
      </c>
      <c r="AH294" s="320">
        <f>IF('Perfil - interna'!AH294+'Perfil - externa'!AH292=0,0,'Perfil - interna'!AH294+'Perfil - externa'!AH292)</f>
        <v>538681.76503477711</v>
      </c>
      <c r="AI294" s="320">
        <f>IF('Perfil - interna'!AI294+'Perfil - externa'!AI292=0,0,'Perfil - interna'!AI294+'Perfil - externa'!AI292)</f>
        <v>1221844.0899566165</v>
      </c>
      <c r="AJ294" s="320">
        <f>IF('Perfil - interna'!AJ294+'Perfil - externa'!AJ292=0,0,'Perfil - interna'!AJ294+'Perfil - externa'!AJ292)</f>
        <v>378508.05582857138</v>
      </c>
      <c r="AK294" s="320">
        <f>IF('Perfil - interna'!AK294+'Perfil - externa'!AK292=0,0,'Perfil - interna'!AK294+'Perfil - externa'!AK292)</f>
        <v>301889.76748245303</v>
      </c>
      <c r="AL294" s="320">
        <f>IF('Perfil - interna'!AL294+'Perfil - externa'!AL292=0,0,'Perfil - interna'!AL294+'Perfil - externa'!AL292)</f>
        <v>301794.51797797764</v>
      </c>
      <c r="AM294" s="320">
        <f>IF('Perfil - interna'!AM294+'Perfil - externa'!AM292=0,0,'Perfil - interna'!AM294+'Perfil - externa'!AM292)</f>
        <v>4381441.0263193939</v>
      </c>
      <c r="AN294" s="320">
        <f>IF('Perfil - interna'!AN294+'Perfil - externa'!AN292=0,0,'Perfil - interna'!AN294+'Perfil - externa'!AN292)</f>
        <v>0</v>
      </c>
      <c r="AO294" s="320"/>
      <c r="AP294" s="320"/>
      <c r="AQ294" s="320"/>
      <c r="AR294" s="320"/>
      <c r="AS294" s="320"/>
      <c r="AT294" s="320"/>
      <c r="AU294" s="320"/>
      <c r="AV294" s="320"/>
      <c r="AW294" s="320"/>
      <c r="AX294" s="320"/>
      <c r="AY294" s="320"/>
      <c r="AZ294" s="320"/>
      <c r="BA294" s="320"/>
      <c r="BB294" s="320"/>
      <c r="BC294" s="320"/>
      <c r="BD294" s="320"/>
      <c r="BE294" s="320"/>
      <c r="BF294" s="320"/>
      <c r="BG294" s="320"/>
      <c r="BH294" s="320"/>
      <c r="BI294" s="320"/>
      <c r="BJ294" s="320"/>
      <c r="BK294" s="320"/>
    </row>
    <row r="295" spans="1:63">
      <c r="A295" s="167"/>
      <c r="B295" s="217" t="str">
        <f>Servicio_internaColumna_título_amortizaciones</f>
        <v>Amortizaciones</v>
      </c>
      <c r="C295" s="218"/>
      <c r="D295" s="219"/>
      <c r="E295" s="219"/>
      <c r="F295" s="219">
        <f>IF('Perfil - interna'!F295+'Perfil - externa'!F293=0,0,'Perfil - interna'!F295+'Perfil - externa'!F293)</f>
        <v>0</v>
      </c>
      <c r="G295" s="219">
        <f>IF('Perfil - interna'!G295+'Perfil - externa'!G293=0,0,'Perfil - interna'!G295+'Perfil - externa'!G293)</f>
        <v>0</v>
      </c>
      <c r="H295" s="219">
        <f>IF('Perfil - interna'!H295+'Perfil - externa'!H293=0,0,'Perfil - interna'!H295+'Perfil - externa'!H293)</f>
        <v>0</v>
      </c>
      <c r="I295" s="219">
        <f>IF('Perfil - interna'!I295+'Perfil - externa'!I293=0,0,'Perfil - interna'!I295+'Perfil - externa'!I293)</f>
        <v>0</v>
      </c>
      <c r="J295" s="219">
        <f>IF('Perfil - interna'!J295+'Perfil - externa'!J293=0,0,'Perfil - interna'!J295+'Perfil - externa'!J293)</f>
        <v>0</v>
      </c>
      <c r="K295" s="219">
        <f>IF('Perfil - interna'!K295+'Perfil - externa'!K293=0,0,'Perfil - interna'!K295+'Perfil - externa'!K293)</f>
        <v>23625970.10974057</v>
      </c>
      <c r="L295" s="219">
        <f>IF('Perfil - interna'!L295+'Perfil - externa'!L293=0,0,'Perfil - interna'!L295+'Perfil - externa'!L293)</f>
        <v>23408332.30553475</v>
      </c>
      <c r="M295" s="219">
        <f>IF('Perfil - interna'!M295+'Perfil - externa'!M293=0,0,'Perfil - interna'!M295+'Perfil - externa'!M293)</f>
        <v>16188095.202210711</v>
      </c>
      <c r="N295" s="219">
        <f>IF('Perfil - interna'!N295+'Perfil - externa'!N293=0,0,'Perfil - interna'!N295+'Perfil - externa'!N293)</f>
        <v>11396651.590400551</v>
      </c>
      <c r="O295" s="219">
        <f>IF('Perfil - interna'!O295+'Perfil - externa'!O293=0,0,'Perfil - interna'!O295+'Perfil - externa'!O293)</f>
        <v>15485275.656825151</v>
      </c>
      <c r="P295" s="219">
        <f>IF('Perfil - interna'!P295+'Perfil - externa'!P293=0,0,'Perfil - interna'!P295+'Perfil - externa'!P293)</f>
        <v>12014735.770415723</v>
      </c>
      <c r="Q295" s="219">
        <f>IF('Perfil - interna'!Q295+'Perfil - externa'!Q293=0,0,'Perfil - interna'!Q295+'Perfil - externa'!Q293)</f>
        <v>22733128.739371408</v>
      </c>
      <c r="R295" s="219">
        <f>IF('Perfil - interna'!R295+'Perfil - externa'!R293=0,0,'Perfil - interna'!R295+'Perfil - externa'!R293)</f>
        <v>2838445.5668853545</v>
      </c>
      <c r="S295" s="219">
        <f>IF('Perfil - interna'!S295+'Perfil - externa'!S293=0,0,'Perfil - interna'!S295+'Perfil - externa'!S293)</f>
        <v>6049783.5963419788</v>
      </c>
      <c r="T295" s="219">
        <f>IF('Perfil - interna'!T295+'Perfil - externa'!T293=0,0,'Perfil - interna'!T295+'Perfil - externa'!T293)</f>
        <v>5718499.8960350277</v>
      </c>
      <c r="U295" s="219">
        <f>IF('Perfil - interna'!U295+'Perfil - externa'!U293=0,0,'Perfil - interna'!U295+'Perfil - externa'!U293)</f>
        <v>4067547.0419737706</v>
      </c>
      <c r="V295" s="219">
        <f>IF('Perfil - interna'!V295+'Perfil - externa'!V293=0,0,'Perfil - interna'!V295+'Perfil - externa'!V293)</f>
        <v>11718925.025700796</v>
      </c>
      <c r="W295" s="219">
        <f>IF('Perfil - interna'!W295+'Perfil - externa'!W293=0,0,'Perfil - interna'!W295+'Perfil - externa'!W293)</f>
        <v>1156397.1107293225</v>
      </c>
      <c r="X295" s="219">
        <f>IF('Perfil - interna'!X295+'Perfil - externa'!X293=0,0,'Perfil - interna'!X295+'Perfil - externa'!X293)</f>
        <v>1009677.7887665728</v>
      </c>
      <c r="Y295" s="219">
        <f>IF('Perfil - interna'!Y295+'Perfil - externa'!Y293=0,0,'Perfil - interna'!Y295+'Perfil - externa'!Y293)</f>
        <v>4905324.847702398</v>
      </c>
      <c r="Z295" s="219">
        <f>IF('Perfil - interna'!Z295+'Perfil - externa'!Z293=0,0,'Perfil - interna'!Z295+'Perfil - externa'!Z293)</f>
        <v>3286505.1068887822</v>
      </c>
      <c r="AA295" s="219">
        <f>IF('Perfil - interna'!AA295+'Perfil - externa'!AA293=0,0,'Perfil - interna'!AA295+'Perfil - externa'!AA293)</f>
        <v>727762.06131977099</v>
      </c>
      <c r="AB295" s="219">
        <f>IF('Perfil - interna'!AB295+'Perfil - externa'!AB293=0,0,'Perfil - interna'!AB295+'Perfil - externa'!AB293)</f>
        <v>655377.7895630222</v>
      </c>
      <c r="AC295" s="219">
        <f>IF('Perfil - interna'!AC295+'Perfil - externa'!AC293=0,0,'Perfil - interna'!AC295+'Perfil - externa'!AC293)</f>
        <v>3308626.7024778146</v>
      </c>
      <c r="AD295" s="219">
        <f>IF('Perfil - interna'!AD295+'Perfil - externa'!AD293=0,0,'Perfil - interna'!AD295+'Perfil - externa'!AD293)</f>
        <v>501614.06789604505</v>
      </c>
      <c r="AE295" s="219">
        <f>IF('Perfil - interna'!AE295+'Perfil - externa'!AE293=0,0,'Perfil - interna'!AE295+'Perfil - externa'!AE293)</f>
        <v>405928.59617632465</v>
      </c>
      <c r="AF295" s="219">
        <f>IF('Perfil - interna'!AF295+'Perfil - externa'!AF293=0,0,'Perfil - interna'!AF295+'Perfil - externa'!AF293)</f>
        <v>355796.31855906441</v>
      </c>
      <c r="AG295" s="219">
        <f>IF('Perfil - interna'!AG295+'Perfil - externa'!AG293=0,0,'Perfil - interna'!AG295+'Perfil - externa'!AG293)</f>
        <v>342588.99400994601</v>
      </c>
      <c r="AH295" s="219">
        <f>IF('Perfil - interna'!AH295+'Perfil - externa'!AH293=0,0,'Perfil - interna'!AH295+'Perfil - externa'!AH293)</f>
        <v>311799.64088187681</v>
      </c>
      <c r="AI295" s="219">
        <f>IF('Perfil - interna'!AI295+'Perfil - externa'!AI293=0,0,'Perfil - interna'!AI295+'Perfil - externa'!AI293)</f>
        <v>1014943.5605740758</v>
      </c>
      <c r="AJ295" s="219">
        <f>IF('Perfil - interna'!AJ295+'Perfil - externa'!AJ293=0,0,'Perfil - interna'!AJ295+'Perfil - externa'!AJ293)</f>
        <v>151023.657417134</v>
      </c>
      <c r="AK295" s="219">
        <f>IF('Perfil - interna'!AK295+'Perfil - externa'!AK293=0,0,'Perfil - interna'!AK295+'Perfil - externa'!AK293)</f>
        <v>70223.277317134009</v>
      </c>
      <c r="AL295" s="219">
        <f>IF('Perfil - interna'!AL295+'Perfil - externa'!AL293=0,0,'Perfil - interna'!AL295+'Perfil - externa'!AL293)</f>
        <v>70122.217690854595</v>
      </c>
      <c r="AM295" s="219">
        <f>IF('Perfil - interna'!AM295+'Perfil - externa'!AM293=0,0,'Perfil - interna'!AM295+'Perfil - externa'!AM293)</f>
        <v>4409402.4705221662</v>
      </c>
      <c r="AN295" s="219">
        <f>IF('Perfil - interna'!AN295+'Perfil - externa'!AN293=0,0,'Perfil - interna'!AN295+'Perfil - externa'!AN293)</f>
        <v>4268.4570360924008</v>
      </c>
      <c r="AO295" s="219"/>
      <c r="AP295" s="219"/>
      <c r="AQ295" s="219"/>
      <c r="AR295" s="219"/>
      <c r="AS295" s="219"/>
      <c r="AT295" s="219"/>
      <c r="AU295" s="219"/>
      <c r="AV295" s="219"/>
      <c r="AW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J295" s="219"/>
      <c r="BK295" s="219"/>
    </row>
    <row r="296" spans="1:63">
      <c r="A296" s="170">
        <v>39844</v>
      </c>
      <c r="B296" s="220" t="str">
        <f>Servicio_internaColumna_título_intereses</f>
        <v>Intereses</v>
      </c>
      <c r="C296" s="221"/>
      <c r="D296" s="222"/>
      <c r="E296" s="222"/>
      <c r="F296" s="222">
        <f>IF('Perfil - interna'!F296+'Perfil - externa'!F294=0,0,'Perfil - interna'!F296+'Perfil - externa'!F294)</f>
        <v>0</v>
      </c>
      <c r="G296" s="222">
        <f>IF('Perfil - interna'!G296+'Perfil - externa'!G294=0,0,'Perfil - interna'!G296+'Perfil - externa'!G294)</f>
        <v>0</v>
      </c>
      <c r="H296" s="222">
        <f>IF('Perfil - interna'!H296+'Perfil - externa'!H294=0,0,'Perfil - interna'!H296+'Perfil - externa'!H294)</f>
        <v>0</v>
      </c>
      <c r="I296" s="222">
        <f>IF('Perfil - interna'!I296+'Perfil - externa'!I294=0,0,'Perfil - interna'!I296+'Perfil - externa'!I294)</f>
        <v>0</v>
      </c>
      <c r="J296" s="222">
        <f>IF('Perfil - interna'!J296+'Perfil - externa'!J294=0,0,'Perfil - interna'!J296+'Perfil - externa'!J294)</f>
        <v>0</v>
      </c>
      <c r="K296" s="222">
        <f>IF('Perfil - interna'!K296+'Perfil - externa'!K294=0,0,'Perfil - interna'!K296+'Perfil - externa'!K294)</f>
        <v>13618011.807546217</v>
      </c>
      <c r="L296" s="222">
        <f>IF('Perfil - interna'!L296+'Perfil - externa'!L294=0,0,'Perfil - interna'!L296+'Perfil - externa'!L294)</f>
        <v>12463613.000785952</v>
      </c>
      <c r="M296" s="222">
        <f>IF('Perfil - interna'!M296+'Perfil - externa'!M294=0,0,'Perfil - interna'!M296+'Perfil - externa'!M294)</f>
        <v>10698638.420719508</v>
      </c>
      <c r="N296" s="222">
        <f>IF('Perfil - interna'!N296+'Perfil - externa'!N294=0,0,'Perfil - interna'!N296+'Perfil - externa'!N294)</f>
        <v>9184589.9659768399</v>
      </c>
      <c r="O296" s="222">
        <f>IF('Perfil - interna'!O296+'Perfil - externa'!O294=0,0,'Perfil - interna'!O296+'Perfil - externa'!O294)</f>
        <v>8165445.5891963104</v>
      </c>
      <c r="P296" s="222">
        <f>IF('Perfil - interna'!P296+'Perfil - externa'!P294=0,0,'Perfil - interna'!P296+'Perfil - externa'!P294)</f>
        <v>6935526.1439762618</v>
      </c>
      <c r="Q296" s="222">
        <f>IF('Perfil - interna'!Q296+'Perfil - externa'!Q294=0,0,'Perfil - interna'!Q296+'Perfil - externa'!Q294)</f>
        <v>5816092.2535936218</v>
      </c>
      <c r="R296" s="222">
        <f>IF('Perfil - interna'!R296+'Perfil - externa'!R294=0,0,'Perfil - interna'!R296+'Perfil - externa'!R294)</f>
        <v>3987495.5987662189</v>
      </c>
      <c r="S296" s="222">
        <f>IF('Perfil - interna'!S296+'Perfil - externa'!S294=0,0,'Perfil - interna'!S296+'Perfil - externa'!S294)</f>
        <v>3716352.9965984151</v>
      </c>
      <c r="T296" s="222">
        <f>IF('Perfil - interna'!T296+'Perfil - externa'!T294=0,0,'Perfil - interna'!T296+'Perfil - externa'!T294)</f>
        <v>3481493.0086561497</v>
      </c>
      <c r="U296" s="222">
        <f>IF('Perfil - interna'!U296+'Perfil - externa'!U294=0,0,'Perfil - interna'!U296+'Perfil - externa'!U294)</f>
        <v>2872308.3800873943</v>
      </c>
      <c r="V296" s="222">
        <f>IF('Perfil - interna'!V296+'Perfil - externa'!V294=0,0,'Perfil - interna'!V296+'Perfil - externa'!V294)</f>
        <v>2625316.2709305901</v>
      </c>
      <c r="W296" s="222">
        <f>IF('Perfil - interna'!W296+'Perfil - externa'!W294=0,0,'Perfil - interna'!W296+'Perfil - externa'!W294)</f>
        <v>1512638.4265337873</v>
      </c>
      <c r="X296" s="222">
        <f>IF('Perfil - interna'!X296+'Perfil - externa'!X294=0,0,'Perfil - interna'!X296+'Perfil - externa'!X294)</f>
        <v>1468430.6343417107</v>
      </c>
      <c r="Y296" s="222">
        <f>IF('Perfil - interna'!Y296+'Perfil - externa'!Y294=0,0,'Perfil - interna'!Y296+'Perfil - externa'!Y294)</f>
        <v>1424155.1161194881</v>
      </c>
      <c r="Z296" s="222">
        <f>IF('Perfil - interna'!Z296+'Perfil - externa'!Z294=0,0,'Perfil - interna'!Z296+'Perfil - externa'!Z294)</f>
        <v>988499.14871573029</v>
      </c>
      <c r="AA296" s="222">
        <f>IF('Perfil - interna'!AA296+'Perfil - externa'!AA294=0,0,'Perfil - interna'!AA296+'Perfil - externa'!AA294)</f>
        <v>851030.32491058856</v>
      </c>
      <c r="AB296" s="222">
        <f>IF('Perfil - interna'!AB296+'Perfil - externa'!AB294=0,0,'Perfil - interna'!AB296+'Perfil - externa'!AB294)</f>
        <v>819210.34963501524</v>
      </c>
      <c r="AC296" s="222">
        <f>IF('Perfil - interna'!AC296+'Perfil - externa'!AC294=0,0,'Perfil - interna'!AC296+'Perfil - externa'!AC294)</f>
        <v>777029.08647540945</v>
      </c>
      <c r="AD296" s="222">
        <f>IF('Perfil - interna'!AD296+'Perfil - externa'!AD294=0,0,'Perfil - interna'!AD296+'Perfil - externa'!AD294)</f>
        <v>501574.2068915178</v>
      </c>
      <c r="AE296" s="222">
        <f>IF('Perfil - interna'!AE296+'Perfil - externa'!AE294=0,0,'Perfil - interna'!AE296+'Perfil - externa'!AE294)</f>
        <v>479341.65203832317</v>
      </c>
      <c r="AF296" s="222">
        <f>IF('Perfil - interna'!AF296+'Perfil - externa'!AF294=0,0,'Perfil - interna'!AF296+'Perfil - externa'!AF294)</f>
        <v>462933.38929489837</v>
      </c>
      <c r="AG296" s="222">
        <f>IF('Perfil - interna'!AG296+'Perfil - externa'!AG294=0,0,'Perfil - interna'!AG296+'Perfil - externa'!AG294)</f>
        <v>447286.12094061828</v>
      </c>
      <c r="AH296" s="222">
        <f>IF('Perfil - interna'!AH296+'Perfil - externa'!AH294=0,0,'Perfil - interna'!AH296+'Perfil - externa'!AH294)</f>
        <v>435081.90078786894</v>
      </c>
      <c r="AI296" s="222">
        <f>IF('Perfil - interna'!AI296+'Perfil - externa'!AI294=0,0,'Perfil - interna'!AI296+'Perfil - externa'!AI294)</f>
        <v>381322.715489102</v>
      </c>
      <c r="AJ296" s="222">
        <f>IF('Perfil - interna'!AJ296+'Perfil - externa'!AJ294=0,0,'Perfil - interna'!AJ296+'Perfil - externa'!AJ294)</f>
        <v>332737.47830154159</v>
      </c>
      <c r="AK296" s="222">
        <f>IF('Perfil - interna'!AK296+'Perfil - externa'!AK294=0,0,'Perfil - interna'!AK296+'Perfil - externa'!AK294)</f>
        <v>328469.70377876924</v>
      </c>
      <c r="AL296" s="222">
        <f>IF('Perfil - interna'!AL296+'Perfil - externa'!AL294=0,0,'Perfil - interna'!AL296+'Perfil - externa'!AL294)</f>
        <v>326245.70636516705</v>
      </c>
      <c r="AM296" s="222">
        <f>IF('Perfil - interna'!AM296+'Perfil - externa'!AM294=0,0,'Perfil - interna'!AM296+'Perfil - externa'!AM294)</f>
        <v>324584.98249925644</v>
      </c>
      <c r="AN296" s="222">
        <f>IF('Perfil - interna'!AN296+'Perfil - externa'!AN294=0,0,'Perfil - interna'!AN296+'Perfil - externa'!AN294)</f>
        <v>0</v>
      </c>
      <c r="AO296" s="222"/>
      <c r="AP296" s="222"/>
      <c r="AQ296" s="222"/>
      <c r="AR296" s="222"/>
      <c r="AS296" s="222"/>
      <c r="AT296" s="222"/>
      <c r="AU296" s="222"/>
      <c r="AV296" s="222"/>
      <c r="AW296" s="222"/>
      <c r="AX296" s="222"/>
      <c r="AY296" s="222"/>
      <c r="AZ296" s="222"/>
      <c r="BA296" s="222"/>
      <c r="BB296" s="222"/>
      <c r="BC296" s="222"/>
      <c r="BD296" s="222"/>
      <c r="BE296" s="222"/>
      <c r="BF296" s="222"/>
      <c r="BG296" s="222"/>
      <c r="BH296" s="222"/>
      <c r="BI296" s="222"/>
      <c r="BJ296" s="222"/>
      <c r="BK296" s="222"/>
    </row>
    <row r="297" spans="1:63">
      <c r="A297" s="171"/>
      <c r="B297" s="318" t="str">
        <f>Servicio_internaColumna_título_total</f>
        <v>Total</v>
      </c>
      <c r="C297" s="319"/>
      <c r="D297" s="320"/>
      <c r="E297" s="320"/>
      <c r="F297" s="320">
        <f>IF('Perfil - interna'!F297+'Perfil - externa'!F295=0,0,'Perfil - interna'!F297+'Perfil - externa'!F295)</f>
        <v>0</v>
      </c>
      <c r="G297" s="320">
        <f>IF('Perfil - interna'!G297+'Perfil - externa'!G295=0,0,'Perfil - interna'!G297+'Perfil - externa'!G295)</f>
        <v>0</v>
      </c>
      <c r="H297" s="320">
        <f>IF('Perfil - interna'!H297+'Perfil - externa'!H295=0,0,'Perfil - interna'!H297+'Perfil - externa'!H295)</f>
        <v>0</v>
      </c>
      <c r="I297" s="320">
        <f>IF('Perfil - interna'!I297+'Perfil - externa'!I295=0,0,'Perfil - interna'!I297+'Perfil - externa'!I295)</f>
        <v>0</v>
      </c>
      <c r="J297" s="320">
        <f>IF('Perfil - interna'!J297+'Perfil - externa'!J295=0,0,'Perfil - interna'!J297+'Perfil - externa'!J295)</f>
        <v>0</v>
      </c>
      <c r="K297" s="320">
        <f>IF('Perfil - interna'!K297+'Perfil - externa'!K295=0,0,'Perfil - interna'!K297+'Perfil - externa'!K295)</f>
        <v>37243981.917286791</v>
      </c>
      <c r="L297" s="320">
        <f>IF('Perfil - interna'!L297+'Perfil - externa'!L295=0,0,'Perfil - interna'!L297+'Perfil - externa'!L295)</f>
        <v>35871945.306320705</v>
      </c>
      <c r="M297" s="320">
        <f>IF('Perfil - interna'!M297+'Perfil - externa'!M295=0,0,'Perfil - interna'!M297+'Perfil - externa'!M295)</f>
        <v>26886733.622930221</v>
      </c>
      <c r="N297" s="320">
        <f>IF('Perfil - interna'!N297+'Perfil - externa'!N295=0,0,'Perfil - interna'!N297+'Perfil - externa'!N295)</f>
        <v>20581241.556377389</v>
      </c>
      <c r="O297" s="320">
        <f>IF('Perfil - interna'!O297+'Perfil - externa'!O295=0,0,'Perfil - interna'!O297+'Perfil - externa'!O295)</f>
        <v>23650721.246021461</v>
      </c>
      <c r="P297" s="320">
        <f>IF('Perfil - interna'!P297+'Perfil - externa'!P295=0,0,'Perfil - interna'!P297+'Perfil - externa'!P295)</f>
        <v>18950261.914391987</v>
      </c>
      <c r="Q297" s="320">
        <f>IF('Perfil - interna'!Q297+'Perfil - externa'!Q295=0,0,'Perfil - interna'!Q297+'Perfil - externa'!Q295)</f>
        <v>28549220.992965031</v>
      </c>
      <c r="R297" s="320">
        <f>IF('Perfil - interna'!R297+'Perfil - externa'!R295=0,0,'Perfil - interna'!R297+'Perfil - externa'!R295)</f>
        <v>6825941.1656515738</v>
      </c>
      <c r="S297" s="320">
        <f>IF('Perfil - interna'!S297+'Perfil - externa'!S295=0,0,'Perfil - interna'!S297+'Perfil - externa'!S295)</f>
        <v>9766136.5929403938</v>
      </c>
      <c r="T297" s="320">
        <f>IF('Perfil - interna'!T297+'Perfil - externa'!T295=0,0,'Perfil - interna'!T297+'Perfil - externa'!T295)</f>
        <v>9199992.9046911784</v>
      </c>
      <c r="U297" s="320">
        <f>IF('Perfil - interna'!U297+'Perfil - externa'!U295=0,0,'Perfil - interna'!U297+'Perfil - externa'!U295)</f>
        <v>6939855.4220611649</v>
      </c>
      <c r="V297" s="320">
        <f>IF('Perfil - interna'!V297+'Perfil - externa'!V295=0,0,'Perfil - interna'!V297+'Perfil - externa'!V295)</f>
        <v>14344241.296631385</v>
      </c>
      <c r="W297" s="320">
        <f>IF('Perfil - interna'!W297+'Perfil - externa'!W295=0,0,'Perfil - interna'!W297+'Perfil - externa'!W295)</f>
        <v>2669035.5372631098</v>
      </c>
      <c r="X297" s="320">
        <f>IF('Perfil - interna'!X297+'Perfil - externa'!X295=0,0,'Perfil - interna'!X297+'Perfil - externa'!X295)</f>
        <v>2478108.4231082839</v>
      </c>
      <c r="Y297" s="320">
        <f>IF('Perfil - interna'!Y297+'Perfil - externa'!Y295=0,0,'Perfil - interna'!Y297+'Perfil - externa'!Y295)</f>
        <v>6329479.9638218861</v>
      </c>
      <c r="Z297" s="320">
        <f>IF('Perfil - interna'!Z297+'Perfil - externa'!Z295=0,0,'Perfil - interna'!Z297+'Perfil - externa'!Z295)</f>
        <v>4275004.255604513</v>
      </c>
      <c r="AA297" s="320">
        <f>IF('Perfil - interna'!AA297+'Perfil - externa'!AA295=0,0,'Perfil - interna'!AA297+'Perfil - externa'!AA295)</f>
        <v>1578792.3862303596</v>
      </c>
      <c r="AB297" s="320">
        <f>IF('Perfil - interna'!AB297+'Perfil - externa'!AB295=0,0,'Perfil - interna'!AB297+'Perfil - externa'!AB295)</f>
        <v>1474588.1391980373</v>
      </c>
      <c r="AC297" s="320">
        <f>IF('Perfil - interna'!AC297+'Perfil - externa'!AC295=0,0,'Perfil - interna'!AC297+'Perfil - externa'!AC295)</f>
        <v>4085655.7889532242</v>
      </c>
      <c r="AD297" s="320">
        <f>IF('Perfil - interna'!AD297+'Perfil - externa'!AD295=0,0,'Perfil - interna'!AD297+'Perfil - externa'!AD295)</f>
        <v>1003188.2747875629</v>
      </c>
      <c r="AE297" s="320">
        <f>IF('Perfil - interna'!AE297+'Perfil - externa'!AE295=0,0,'Perfil - interna'!AE297+'Perfil - externa'!AE295)</f>
        <v>885270.24821464787</v>
      </c>
      <c r="AF297" s="320">
        <f>IF('Perfil - interna'!AF297+'Perfil - externa'!AF295=0,0,'Perfil - interna'!AF297+'Perfil - externa'!AF295)</f>
        <v>818729.70785396278</v>
      </c>
      <c r="AG297" s="320">
        <f>IF('Perfil - interna'!AG297+'Perfil - externa'!AG295=0,0,'Perfil - interna'!AG297+'Perfil - externa'!AG295)</f>
        <v>789875.11495056422</v>
      </c>
      <c r="AH297" s="320">
        <f>IF('Perfil - interna'!AH297+'Perfil - externa'!AH295=0,0,'Perfil - interna'!AH297+'Perfil - externa'!AH295)</f>
        <v>746881.5416697457</v>
      </c>
      <c r="AI297" s="320">
        <f>IF('Perfil - interna'!AI297+'Perfil - externa'!AI295=0,0,'Perfil - interna'!AI297+'Perfil - externa'!AI295)</f>
        <v>1396266.2760631777</v>
      </c>
      <c r="AJ297" s="320">
        <f>IF('Perfil - interna'!AJ297+'Perfil - externa'!AJ295=0,0,'Perfil - interna'!AJ297+'Perfil - externa'!AJ295)</f>
        <v>483761.13571867556</v>
      </c>
      <c r="AK297" s="320">
        <f>IF('Perfil - interna'!AK297+'Perfil - externa'!AK295=0,0,'Perfil - interna'!AK297+'Perfil - externa'!AK295)</f>
        <v>398692.98109590326</v>
      </c>
      <c r="AL297" s="320">
        <f>IF('Perfil - interna'!AL297+'Perfil - externa'!AL295=0,0,'Perfil - interna'!AL297+'Perfil - externa'!AL295)</f>
        <v>396367.92405602161</v>
      </c>
      <c r="AM297" s="320">
        <f>IF('Perfil - interna'!AM297+'Perfil - externa'!AM295=0,0,'Perfil - interna'!AM297+'Perfil - externa'!AM295)</f>
        <v>4733987.453021423</v>
      </c>
      <c r="AN297" s="320">
        <f>IF('Perfil - interna'!AN297+'Perfil - externa'!AN295=0,0,'Perfil - interna'!AN297+'Perfil - externa'!AN295)</f>
        <v>4268.4570360924008</v>
      </c>
      <c r="AO297" s="320"/>
      <c r="AP297" s="320"/>
      <c r="AQ297" s="320"/>
      <c r="AR297" s="320"/>
      <c r="AS297" s="320"/>
      <c r="AT297" s="320"/>
      <c r="AU297" s="320"/>
      <c r="AV297" s="320"/>
      <c r="AW297" s="320"/>
      <c r="AX297" s="320"/>
      <c r="AY297" s="320"/>
      <c r="AZ297" s="320"/>
      <c r="BA297" s="320"/>
      <c r="BB297" s="320"/>
      <c r="BC297" s="320"/>
      <c r="BD297" s="320"/>
      <c r="BE297" s="320"/>
      <c r="BF297" s="320"/>
      <c r="BG297" s="320"/>
      <c r="BH297" s="320"/>
      <c r="BI297" s="320"/>
      <c r="BJ297" s="320"/>
      <c r="BK297" s="320"/>
    </row>
    <row r="298" spans="1:63">
      <c r="A298" s="167"/>
      <c r="B298" s="217" t="str">
        <f>Servicio_internaColumna_título_amortizaciones</f>
        <v>Amortizaciones</v>
      </c>
      <c r="C298" s="218"/>
      <c r="D298" s="219"/>
      <c r="E298" s="219"/>
      <c r="F298" s="219">
        <f>IF('Perfil - interna'!F298+'Perfil - externa'!F296=0,0,'Perfil - interna'!F298+'Perfil - externa'!F296)</f>
        <v>0</v>
      </c>
      <c r="G298" s="219">
        <f>IF('Perfil - interna'!G298+'Perfil - externa'!G296=0,0,'Perfil - interna'!G298+'Perfil - externa'!G296)</f>
        <v>0</v>
      </c>
      <c r="H298" s="219">
        <f>IF('Perfil - interna'!H298+'Perfil - externa'!H296=0,0,'Perfil - interna'!H298+'Perfil - externa'!H296)</f>
        <v>0</v>
      </c>
      <c r="I298" s="219">
        <f>IF('Perfil - interna'!I298+'Perfil - externa'!I296=0,0,'Perfil - interna'!I298+'Perfil - externa'!I296)</f>
        <v>0</v>
      </c>
      <c r="J298" s="219">
        <f>IF('Perfil - interna'!J298+'Perfil - externa'!J296=0,0,'Perfil - interna'!J298+'Perfil - externa'!J296)</f>
        <v>0</v>
      </c>
      <c r="K298" s="219">
        <f>IF('Perfil - interna'!K298+'Perfil - externa'!K296=0,0,'Perfil - interna'!K298+'Perfil - externa'!K296)</f>
        <v>20542874.606617704</v>
      </c>
      <c r="L298" s="219">
        <f>IF('Perfil - interna'!L298+'Perfil - externa'!L296=0,0,'Perfil - interna'!L298+'Perfil - externa'!L296)</f>
        <v>22872563.159548596</v>
      </c>
      <c r="M298" s="219">
        <f>IF('Perfil - interna'!M298+'Perfil - externa'!M296=0,0,'Perfil - interna'!M298+'Perfil - externa'!M296)</f>
        <v>16348139.543520618</v>
      </c>
      <c r="N298" s="219">
        <f>IF('Perfil - interna'!N298+'Perfil - externa'!N296=0,0,'Perfil - interna'!N298+'Perfil - externa'!N296)</f>
        <v>14702899.397729777</v>
      </c>
      <c r="O298" s="219">
        <f>IF('Perfil - interna'!O298+'Perfil - externa'!O296=0,0,'Perfil - interna'!O298+'Perfil - externa'!O296)</f>
        <v>16426052.191263448</v>
      </c>
      <c r="P298" s="219">
        <f>IF('Perfil - interna'!P298+'Perfil - externa'!P296=0,0,'Perfil - interna'!P298+'Perfil - externa'!P296)</f>
        <v>13339826.778904306</v>
      </c>
      <c r="Q298" s="219">
        <f>IF('Perfil - interna'!Q298+'Perfil - externa'!Q296=0,0,'Perfil - interna'!Q298+'Perfil - externa'!Q296)</f>
        <v>23147597.083373856</v>
      </c>
      <c r="R298" s="219">
        <f>IF('Perfil - interna'!R298+'Perfil - externa'!R296=0,0,'Perfil - interna'!R298+'Perfil - externa'!R296)</f>
        <v>2993673.1763656852</v>
      </c>
      <c r="S298" s="219">
        <f>IF('Perfil - interna'!S298+'Perfil - externa'!S296=0,0,'Perfil - interna'!S298+'Perfil - externa'!S296)</f>
        <v>6388809.7525655562</v>
      </c>
      <c r="T298" s="219">
        <f>IF('Perfil - interna'!T298+'Perfil - externa'!T296=0,0,'Perfil - interna'!T298+'Perfil - externa'!T296)</f>
        <v>6731065.0744215287</v>
      </c>
      <c r="U298" s="219">
        <f>IF('Perfil - interna'!U298+'Perfil - externa'!U296=0,0,'Perfil - interna'!U298+'Perfil - externa'!U296)</f>
        <v>4295489.8945430694</v>
      </c>
      <c r="V298" s="219">
        <f>IF('Perfil - interna'!V298+'Perfil - externa'!V296=0,0,'Perfil - interna'!V298+'Perfil - externa'!V296)</f>
        <v>11903855.006541952</v>
      </c>
      <c r="W298" s="219">
        <f>IF('Perfil - interna'!W298+'Perfil - externa'!W296=0,0,'Perfil - interna'!W298+'Perfil - externa'!W296)</f>
        <v>1221200.8987132052</v>
      </c>
      <c r="X298" s="219">
        <f>IF('Perfil - interna'!X298+'Perfil - externa'!X296=0,0,'Perfil - interna'!X298+'Perfil - externa'!X296)</f>
        <v>1066259.5155351551</v>
      </c>
      <c r="Y298" s="219">
        <f>IF('Perfil - interna'!Y298+'Perfil - externa'!Y296=0,0,'Perfil - interna'!Y298+'Perfil - externa'!Y296)</f>
        <v>5146194.6393401921</v>
      </c>
      <c r="Z298" s="219">
        <f>IF('Perfil - interna'!Z298+'Perfil - externa'!Z296=0,0,'Perfil - interna'!Z298+'Perfil - externa'!Z296)</f>
        <v>3463522.3467523525</v>
      </c>
      <c r="AA298" s="219">
        <f>IF('Perfil - interna'!AA298+'Perfil - externa'!AA296=0,0,'Perfil - interna'!AA298+'Perfil - externa'!AA296)</f>
        <v>761388.9032899132</v>
      </c>
      <c r="AB298" s="219">
        <f>IF('Perfil - interna'!AB298+'Perfil - externa'!AB296=0,0,'Perfil - interna'!AB298+'Perfil - externa'!AB296)</f>
        <v>684948.26114208507</v>
      </c>
      <c r="AC298" s="219">
        <f>IF('Perfil - interna'!AC298+'Perfil - externa'!AC296=0,0,'Perfil - interna'!AC298+'Perfil - externa'!AC296)</f>
        <v>3486883.6230506464</v>
      </c>
      <c r="AD298" s="219">
        <f>IF('Perfil - interna'!AD298+'Perfil - externa'!AD296=0,0,'Perfil - interna'!AD298+'Perfil - externa'!AD296)</f>
        <v>522567.71440172545</v>
      </c>
      <c r="AE298" s="219">
        <f>IF('Perfil - interna'!AE298+'Perfil - externa'!AE296=0,0,'Perfil - interna'!AE298+'Perfil - externa'!AE296)</f>
        <v>421520.08727282053</v>
      </c>
      <c r="AF298" s="219">
        <f>IF('Perfil - interna'!AF298+'Perfil - externa'!AF296=0,0,'Perfil - interna'!AF298+'Perfil - externa'!AF296)</f>
        <v>368578.4274288881</v>
      </c>
      <c r="AG298" s="219">
        <f>IF('Perfil - interna'!AG298+'Perfil - externa'!AG296=0,0,'Perfil - interna'!AG298+'Perfil - externa'!AG296)</f>
        <v>354630.97247649013</v>
      </c>
      <c r="AH298" s="219">
        <f>IF('Perfil - interna'!AH298+'Perfil - externa'!AH296=0,0,'Perfil - interna'!AH298+'Perfil - externa'!AH296)</f>
        <v>322116.20279924438</v>
      </c>
      <c r="AI298" s="219">
        <f>IF('Perfil - interna'!AI298+'Perfil - externa'!AI296=0,0,'Perfil - interna'!AI298+'Perfil - externa'!AI296)</f>
        <v>1064663.8784080865</v>
      </c>
      <c r="AJ298" s="219">
        <f>IF('Perfil - interna'!AJ298+'Perfil - externa'!AJ296=0,0,'Perfil - interna'!AJ298+'Perfil - externa'!AJ296)</f>
        <v>153236.81384484703</v>
      </c>
      <c r="AK298" s="219">
        <f>IF('Perfil - interna'!AK298+'Perfil - externa'!AK296=0,0,'Perfil - interna'!AK298+'Perfil - externa'!AK296)</f>
        <v>67002.047327970824</v>
      </c>
      <c r="AL298" s="219">
        <f>IF('Perfil - interna'!AL298+'Perfil - externa'!AL296=0,0,'Perfil - interna'!AL298+'Perfil - externa'!AL296)</f>
        <v>66895.324381942191</v>
      </c>
      <c r="AM298" s="219">
        <f>IF('Perfil - interna'!AM298+'Perfil - externa'!AM296=0,0,'Perfil - interna'!AM298+'Perfil - externa'!AM296)</f>
        <v>4649346.1929974621</v>
      </c>
      <c r="AN298" s="219">
        <f>IF('Perfil - interna'!AN298+'Perfil - externa'!AN296=0,0,'Perfil - interna'!AN298+'Perfil - externa'!AN296)</f>
        <v>929.40912972912599</v>
      </c>
      <c r="AO298" s="219"/>
      <c r="AP298" s="219"/>
      <c r="AQ298" s="219"/>
      <c r="AR298" s="219"/>
      <c r="AS298" s="219"/>
      <c r="AT298" s="219"/>
      <c r="AU298" s="219"/>
      <c r="AV298" s="219"/>
      <c r="AW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J298" s="219"/>
      <c r="BK298" s="219"/>
    </row>
    <row r="299" spans="1:63">
      <c r="A299" s="170">
        <v>39872</v>
      </c>
      <c r="B299" s="220" t="str">
        <f>Servicio_internaColumna_título_intereses</f>
        <v>Intereses</v>
      </c>
      <c r="C299" s="221"/>
      <c r="D299" s="222"/>
      <c r="E299" s="222"/>
      <c r="F299" s="222">
        <f>IF('Perfil - interna'!F299+'Perfil - externa'!F297=0,0,'Perfil - interna'!F299+'Perfil - externa'!F297)</f>
        <v>0</v>
      </c>
      <c r="G299" s="222">
        <f>IF('Perfil - interna'!G299+'Perfil - externa'!G297=0,0,'Perfil - interna'!G299+'Perfil - externa'!G297)</f>
        <v>0</v>
      </c>
      <c r="H299" s="222">
        <f>IF('Perfil - interna'!H299+'Perfil - externa'!H297=0,0,'Perfil - interna'!H299+'Perfil - externa'!H297)</f>
        <v>0</v>
      </c>
      <c r="I299" s="222">
        <f>IF('Perfil - interna'!I299+'Perfil - externa'!I297=0,0,'Perfil - interna'!I299+'Perfil - externa'!I297)</f>
        <v>0</v>
      </c>
      <c r="J299" s="222">
        <f>IF('Perfil - interna'!J299+'Perfil - externa'!J297=0,0,'Perfil - interna'!J299+'Perfil - externa'!J297)</f>
        <v>0</v>
      </c>
      <c r="K299" s="222">
        <f>IF('Perfil - interna'!K299+'Perfil - externa'!K297=0,0,'Perfil - interna'!K299+'Perfil - externa'!K297)</f>
        <v>12369065.486049682</v>
      </c>
      <c r="L299" s="222">
        <f>IF('Perfil - interna'!L299+'Perfil - externa'!L297=0,0,'Perfil - interna'!L299+'Perfil - externa'!L297)</f>
        <v>13217280.496140396</v>
      </c>
      <c r="M299" s="222">
        <f>IF('Perfil - interna'!M299+'Perfil - externa'!M297=0,0,'Perfil - interna'!M299+'Perfil - externa'!M297)</f>
        <v>11527250.883228637</v>
      </c>
      <c r="N299" s="222">
        <f>IF('Perfil - interna'!N299+'Perfil - externa'!N297=0,0,'Perfil - interna'!N299+'Perfil - externa'!N297)</f>
        <v>9978242.9255313911</v>
      </c>
      <c r="O299" s="222">
        <f>IF('Perfil - interna'!O299+'Perfil - externa'!O297=0,0,'Perfil - interna'!O299+'Perfil - externa'!O297)</f>
        <v>8655291.9103539381</v>
      </c>
      <c r="P299" s="222">
        <f>IF('Perfil - interna'!P299+'Perfil - externa'!P297=0,0,'Perfil - interna'!P299+'Perfil - externa'!P297)</f>
        <v>7344292.364200823</v>
      </c>
      <c r="Q299" s="222">
        <f>IF('Perfil - interna'!Q299+'Perfil - externa'!Q297=0,0,'Perfil - interna'!Q299+'Perfil - externa'!Q297)</f>
        <v>6109318.6394221168</v>
      </c>
      <c r="R299" s="222">
        <f>IF('Perfil - interna'!R299+'Perfil - externa'!R297=0,0,'Perfil - interna'!R299+'Perfil - externa'!R297)</f>
        <v>4238365.8550740294</v>
      </c>
      <c r="S299" s="222">
        <f>IF('Perfil - interna'!S299+'Perfil - externa'!S297=0,0,'Perfil - interna'!S299+'Perfil - externa'!S297)</f>
        <v>3951646.5537493015</v>
      </c>
      <c r="T299" s="222">
        <f>IF('Perfil - interna'!T299+'Perfil - externa'!T297=0,0,'Perfil - interna'!T299+'Perfil - externa'!T297)</f>
        <v>3703276.637910164</v>
      </c>
      <c r="U299" s="222">
        <f>IF('Perfil - interna'!U299+'Perfil - externa'!U297=0,0,'Perfil - interna'!U299+'Perfil - externa'!U297)</f>
        <v>2982033.0391380936</v>
      </c>
      <c r="V299" s="222">
        <f>IF('Perfil - interna'!V299+'Perfil - externa'!V297=0,0,'Perfil - interna'!V299+'Perfil - externa'!V297)</f>
        <v>2721220.9009154905</v>
      </c>
      <c r="W299" s="222">
        <f>IF('Perfil - interna'!W299+'Perfil - externa'!W297=0,0,'Perfil - interna'!W299+'Perfil - externa'!W297)</f>
        <v>1598107.3130662353</v>
      </c>
      <c r="X299" s="222">
        <f>IF('Perfil - interna'!X299+'Perfil - externa'!X297=0,0,'Perfil - interna'!X299+'Perfil - externa'!X297)</f>
        <v>1551443.2075963977</v>
      </c>
      <c r="Y299" s="222">
        <f>IF('Perfil - interna'!Y299+'Perfil - externa'!Y297=0,0,'Perfil - interna'!Y299+'Perfil - externa'!Y297)</f>
        <v>1504708.2049674783</v>
      </c>
      <c r="Z299" s="222">
        <f>IF('Perfil - interna'!Z299+'Perfil - externa'!Z297=0,0,'Perfil - interna'!Z299+'Perfil - externa'!Z297)</f>
        <v>1043926.4471082733</v>
      </c>
      <c r="AA299" s="222">
        <f>IF('Perfil - interna'!AA299+'Perfil - externa'!AA297=0,0,'Perfil - interna'!AA299+'Perfil - externa'!AA297)</f>
        <v>898753.86582016072</v>
      </c>
      <c r="AB299" s="222">
        <f>IF('Perfil - interna'!AB299+'Perfil - externa'!AB297=0,0,'Perfil - interna'!AB299+'Perfil - externa'!AB297)</f>
        <v>865150.71853400848</v>
      </c>
      <c r="AC299" s="222">
        <f>IF('Perfil - interna'!AC299+'Perfil - externa'!AC297=0,0,'Perfil - interna'!AC299+'Perfil - externa'!AC297)</f>
        <v>820605.64316857047</v>
      </c>
      <c r="AD299" s="222">
        <f>IF('Perfil - interna'!AD299+'Perfil - externa'!AD297=0,0,'Perfil - interna'!AD299+'Perfil - externa'!AD297)</f>
        <v>529714.5288628384</v>
      </c>
      <c r="AE299" s="222">
        <f>IF('Perfil - interna'!AE299+'Perfil - externa'!AE297=0,0,'Perfil - interna'!AE299+'Perfil - externa'!AE297)</f>
        <v>506235.98667494493</v>
      </c>
      <c r="AF299" s="222">
        <f>IF('Perfil - interna'!AF299+'Perfil - externa'!AF297=0,0,'Perfil - interna'!AF299+'Perfil - externa'!AF297)</f>
        <v>488908.21488078038</v>
      </c>
      <c r="AG299" s="222">
        <f>IF('Perfil - interna'!AG299+'Perfil - externa'!AG297=0,0,'Perfil - interna'!AG299+'Perfil - externa'!AG297)</f>
        <v>472384.08316222025</v>
      </c>
      <c r="AH299" s="222">
        <f>IF('Perfil - interna'!AH299+'Perfil - externa'!AH297=0,0,'Perfil - interna'!AH299+'Perfil - externa'!AH297)</f>
        <v>459496.03452564863</v>
      </c>
      <c r="AI299" s="222">
        <f>IF('Perfil - interna'!AI299+'Perfil - externa'!AI297=0,0,'Perfil - interna'!AI299+'Perfil - externa'!AI297)</f>
        <v>402724.1287467595</v>
      </c>
      <c r="AJ299" s="222">
        <f>IF('Perfil - interna'!AJ299+'Perfil - externa'!AJ297=0,0,'Perfil - interna'!AJ299+'Perfil - externa'!AJ297)</f>
        <v>351383.88341452705</v>
      </c>
      <c r="AK299" s="222">
        <f>IF('Perfil - interna'!AK299+'Perfil - externa'!AK297=0,0,'Perfil - interna'!AK299+'Perfil - externa'!AK297)</f>
        <v>346876.94541342126</v>
      </c>
      <c r="AL299" s="222">
        <f>IF('Perfil - interna'!AL299+'Perfil - externa'!AL297=0,0,'Perfil - interna'!AL299+'Perfil - externa'!AL297)</f>
        <v>344528.31654274382</v>
      </c>
      <c r="AM299" s="222">
        <f>IF('Perfil - interna'!AM299+'Perfil - externa'!AM297=0,0,'Perfil - interna'!AM299+'Perfil - externa'!AM297)</f>
        <v>342774.52672543318</v>
      </c>
      <c r="AN299" s="222">
        <f>IF('Perfil - interna'!AN299+'Perfil - externa'!AN297=0,0,'Perfil - interna'!AN299+'Perfil - externa'!AN297)</f>
        <v>0</v>
      </c>
      <c r="AO299" s="222"/>
      <c r="AP299" s="222"/>
      <c r="AQ299" s="222"/>
      <c r="AR299" s="222"/>
      <c r="AS299" s="222"/>
      <c r="AT299" s="222"/>
      <c r="AU299" s="222"/>
      <c r="AV299" s="222"/>
      <c r="AW299" s="222"/>
      <c r="AX299" s="222"/>
      <c r="AY299" s="222"/>
      <c r="AZ299" s="222"/>
      <c r="BA299" s="222"/>
      <c r="BB299" s="222"/>
      <c r="BC299" s="222"/>
      <c r="BD299" s="222"/>
      <c r="BE299" s="222"/>
      <c r="BF299" s="222"/>
      <c r="BG299" s="222"/>
      <c r="BH299" s="222"/>
      <c r="BI299" s="222"/>
      <c r="BJ299" s="222"/>
      <c r="BK299" s="222"/>
    </row>
    <row r="300" spans="1:63">
      <c r="A300" s="171"/>
      <c r="B300" s="318" t="str">
        <f>Servicio_internaColumna_título_total</f>
        <v>Total</v>
      </c>
      <c r="C300" s="319"/>
      <c r="D300" s="320"/>
      <c r="E300" s="320"/>
      <c r="F300" s="320">
        <f>IF('Perfil - interna'!F300+'Perfil - externa'!F298=0,0,'Perfil - interna'!F300+'Perfil - externa'!F298)</f>
        <v>0</v>
      </c>
      <c r="G300" s="320">
        <f>IF('Perfil - interna'!G300+'Perfil - externa'!G298=0,0,'Perfil - interna'!G300+'Perfil - externa'!G298)</f>
        <v>0</v>
      </c>
      <c r="H300" s="320">
        <f>IF('Perfil - interna'!H300+'Perfil - externa'!H298=0,0,'Perfil - interna'!H300+'Perfil - externa'!H298)</f>
        <v>0</v>
      </c>
      <c r="I300" s="320">
        <f>IF('Perfil - interna'!I300+'Perfil - externa'!I298=0,0,'Perfil - interna'!I300+'Perfil - externa'!I298)</f>
        <v>0</v>
      </c>
      <c r="J300" s="320">
        <f>IF('Perfil - interna'!J300+'Perfil - externa'!J298=0,0,'Perfil - interna'!J300+'Perfil - externa'!J298)</f>
        <v>0</v>
      </c>
      <c r="K300" s="320">
        <f>IF('Perfil - interna'!K300+'Perfil - externa'!K298=0,0,'Perfil - interna'!K300+'Perfil - externa'!K298)</f>
        <v>32911940.092667386</v>
      </c>
      <c r="L300" s="320">
        <f>IF('Perfil - interna'!L300+'Perfil - externa'!L298=0,0,'Perfil - interna'!L300+'Perfil - externa'!L298)</f>
        <v>36089843.655688994</v>
      </c>
      <c r="M300" s="320">
        <f>IF('Perfil - interna'!M300+'Perfil - externa'!M298=0,0,'Perfil - interna'!M300+'Perfil - externa'!M298)</f>
        <v>27875390.426749256</v>
      </c>
      <c r="N300" s="320">
        <f>IF('Perfil - interna'!N300+'Perfil - externa'!N298=0,0,'Perfil - interna'!N300+'Perfil - externa'!N298)</f>
        <v>24681142.323261168</v>
      </c>
      <c r="O300" s="320">
        <f>IF('Perfil - interna'!O300+'Perfil - externa'!O298=0,0,'Perfil - interna'!O300+'Perfil - externa'!O298)</f>
        <v>25081344.101617385</v>
      </c>
      <c r="P300" s="320">
        <f>IF('Perfil - interna'!P300+'Perfil - externa'!P298=0,0,'Perfil - interna'!P300+'Perfil - externa'!P298)</f>
        <v>20684119.143105127</v>
      </c>
      <c r="Q300" s="320">
        <f>IF('Perfil - interna'!Q300+'Perfil - externa'!Q298=0,0,'Perfil - interna'!Q300+'Perfil - externa'!Q298)</f>
        <v>29256915.722795971</v>
      </c>
      <c r="R300" s="320">
        <f>IF('Perfil - interna'!R300+'Perfil - externa'!R298=0,0,'Perfil - interna'!R300+'Perfil - externa'!R298)</f>
        <v>7232039.0314397141</v>
      </c>
      <c r="S300" s="320">
        <f>IF('Perfil - interna'!S300+'Perfil - externa'!S298=0,0,'Perfil - interna'!S300+'Perfil - externa'!S298)</f>
        <v>10340456.306314858</v>
      </c>
      <c r="T300" s="320">
        <f>IF('Perfil - interna'!T300+'Perfil - externa'!T298=0,0,'Perfil - interna'!T300+'Perfil - externa'!T298)</f>
        <v>10434341.712331692</v>
      </c>
      <c r="U300" s="320">
        <f>IF('Perfil - interna'!U300+'Perfil - externa'!U298=0,0,'Perfil - interna'!U300+'Perfil - externa'!U298)</f>
        <v>7277522.9336811639</v>
      </c>
      <c r="V300" s="320">
        <f>IF('Perfil - interna'!V300+'Perfil - externa'!V298=0,0,'Perfil - interna'!V300+'Perfil - externa'!V298)</f>
        <v>14625075.907457443</v>
      </c>
      <c r="W300" s="320">
        <f>IF('Perfil - interna'!W300+'Perfil - externa'!W298=0,0,'Perfil - interna'!W300+'Perfil - externa'!W298)</f>
        <v>2819308.2117794403</v>
      </c>
      <c r="X300" s="320">
        <f>IF('Perfil - interna'!X300+'Perfil - externa'!X298=0,0,'Perfil - interna'!X300+'Perfil - externa'!X298)</f>
        <v>2617702.7231315533</v>
      </c>
      <c r="Y300" s="320">
        <f>IF('Perfil - interna'!Y300+'Perfil - externa'!Y298=0,0,'Perfil - interna'!Y300+'Perfil - externa'!Y298)</f>
        <v>6650902.8443076704</v>
      </c>
      <c r="Z300" s="320">
        <f>IF('Perfil - interna'!Z300+'Perfil - externa'!Z298=0,0,'Perfil - interna'!Z300+'Perfil - externa'!Z298)</f>
        <v>4507448.7938606255</v>
      </c>
      <c r="AA300" s="320">
        <f>IF('Perfil - interna'!AA300+'Perfil - externa'!AA298=0,0,'Perfil - interna'!AA300+'Perfil - externa'!AA298)</f>
        <v>1660142.7691100738</v>
      </c>
      <c r="AB300" s="320">
        <f>IF('Perfil - interna'!AB300+'Perfil - externa'!AB298=0,0,'Perfil - interna'!AB300+'Perfil - externa'!AB298)</f>
        <v>1550098.9796760934</v>
      </c>
      <c r="AC300" s="320">
        <f>IF('Perfil - interna'!AC300+'Perfil - externa'!AC298=0,0,'Perfil - interna'!AC300+'Perfil - externa'!AC298)</f>
        <v>4307489.2662192173</v>
      </c>
      <c r="AD300" s="320">
        <f>IF('Perfil - interna'!AD300+'Perfil - externa'!AD298=0,0,'Perfil - interna'!AD300+'Perfil - externa'!AD298)</f>
        <v>1052282.2432645638</v>
      </c>
      <c r="AE300" s="320">
        <f>IF('Perfil - interna'!AE300+'Perfil - externa'!AE298=0,0,'Perfil - interna'!AE300+'Perfil - externa'!AE298)</f>
        <v>927756.0739477654</v>
      </c>
      <c r="AF300" s="320">
        <f>IF('Perfil - interna'!AF300+'Perfil - externa'!AF298=0,0,'Perfil - interna'!AF300+'Perfil - externa'!AF298)</f>
        <v>857486.64230966847</v>
      </c>
      <c r="AG300" s="320">
        <f>IF('Perfil - interna'!AG300+'Perfil - externa'!AG298=0,0,'Perfil - interna'!AG300+'Perfil - externa'!AG298)</f>
        <v>827015.05563871039</v>
      </c>
      <c r="AH300" s="320">
        <f>IF('Perfil - interna'!AH300+'Perfil - externa'!AH298=0,0,'Perfil - interna'!AH300+'Perfil - externa'!AH298)</f>
        <v>781612.23732489301</v>
      </c>
      <c r="AI300" s="320">
        <f>IF('Perfil - interna'!AI300+'Perfil - externa'!AI298=0,0,'Perfil - interna'!AI300+'Perfil - externa'!AI298)</f>
        <v>1467388.0071548461</v>
      </c>
      <c r="AJ300" s="320">
        <f>IF('Perfil - interna'!AJ300+'Perfil - externa'!AJ298=0,0,'Perfil - interna'!AJ300+'Perfil - externa'!AJ298)</f>
        <v>504620.69725937408</v>
      </c>
      <c r="AK300" s="320">
        <f>IF('Perfil - interna'!AK300+'Perfil - externa'!AK298=0,0,'Perfil - interna'!AK300+'Perfil - externa'!AK298)</f>
        <v>413878.99274139211</v>
      </c>
      <c r="AL300" s="320">
        <f>IF('Perfil - interna'!AL300+'Perfil - externa'!AL298=0,0,'Perfil - interna'!AL300+'Perfil - externa'!AL298)</f>
        <v>411423.64092468598</v>
      </c>
      <c r="AM300" s="320">
        <f>IF('Perfil - interna'!AM300+'Perfil - externa'!AM298=0,0,'Perfil - interna'!AM300+'Perfil - externa'!AM298)</f>
        <v>4992120.719722895</v>
      </c>
      <c r="AN300" s="320">
        <f>IF('Perfil - interna'!AN300+'Perfil - externa'!AN298=0,0,'Perfil - interna'!AN300+'Perfil - externa'!AN298)</f>
        <v>929.40912972912599</v>
      </c>
      <c r="AO300" s="320"/>
      <c r="AP300" s="320"/>
      <c r="AQ300" s="320"/>
      <c r="AR300" s="320"/>
      <c r="AS300" s="320"/>
      <c r="AT300" s="320"/>
      <c r="AU300" s="320"/>
      <c r="AV300" s="320"/>
      <c r="AW300" s="320"/>
      <c r="AX300" s="320"/>
      <c r="AY300" s="320"/>
      <c r="AZ300" s="320"/>
      <c r="BA300" s="320"/>
      <c r="BB300" s="320"/>
      <c r="BC300" s="320"/>
      <c r="BD300" s="320"/>
      <c r="BE300" s="320"/>
      <c r="BF300" s="320"/>
      <c r="BG300" s="320"/>
      <c r="BH300" s="320"/>
      <c r="BI300" s="320"/>
      <c r="BJ300" s="320"/>
      <c r="BK300" s="320"/>
    </row>
    <row r="301" spans="1:63">
      <c r="A301" s="167"/>
      <c r="B301" s="217" t="str">
        <f>Servicio_internaColumna_título_amortizaciones</f>
        <v>Amortizaciones</v>
      </c>
      <c r="C301" s="218"/>
      <c r="D301" s="219"/>
      <c r="E301" s="219"/>
      <c r="F301" s="219">
        <f>IF('Perfil - interna'!F301+'Perfil - externa'!F299=0,0,'Perfil - interna'!F301+'Perfil - externa'!F299)</f>
        <v>0</v>
      </c>
      <c r="G301" s="219">
        <f>IF('Perfil - interna'!G301+'Perfil - externa'!G299=0,0,'Perfil - interna'!G301+'Perfil - externa'!G299)</f>
        <v>0</v>
      </c>
      <c r="H301" s="219">
        <f>IF('Perfil - interna'!H301+'Perfil - externa'!H299=0,0,'Perfil - interna'!H301+'Perfil - externa'!H299)</f>
        <v>0</v>
      </c>
      <c r="I301" s="219">
        <f>IF('Perfil - interna'!I301+'Perfil - externa'!I299=0,0,'Perfil - interna'!I301+'Perfil - externa'!I299)</f>
        <v>0</v>
      </c>
      <c r="J301" s="219">
        <f>IF('Perfil - interna'!J301+'Perfil - externa'!J299=0,0,'Perfil - interna'!J301+'Perfil - externa'!J299)</f>
        <v>0</v>
      </c>
      <c r="K301" s="219">
        <f>IF('Perfil - interna'!K301+'Perfil - externa'!K299=0,0,'Perfil - interna'!K301+'Perfil - externa'!K299)</f>
        <v>19425631.424614035</v>
      </c>
      <c r="L301" s="219">
        <f>IF('Perfil - interna'!L301+'Perfil - externa'!L299=0,0,'Perfil - interna'!L301+'Perfil - externa'!L299)</f>
        <v>21640569.213761635</v>
      </c>
      <c r="M301" s="219">
        <f>IF('Perfil - interna'!M301+'Perfil - externa'!M299=0,0,'Perfil - interna'!M301+'Perfil - externa'!M299)</f>
        <v>16353737.707103465</v>
      </c>
      <c r="N301" s="219">
        <f>IF('Perfil - interna'!N301+'Perfil - externa'!N299=0,0,'Perfil - interna'!N301+'Perfil - externa'!N299)</f>
        <v>16606235.286266636</v>
      </c>
      <c r="O301" s="219">
        <f>IF('Perfil - interna'!O301+'Perfil - externa'!O299=0,0,'Perfil - interna'!O301+'Perfil - externa'!O299)</f>
        <v>15806959.727221556</v>
      </c>
      <c r="P301" s="219">
        <f>IF('Perfil - interna'!P301+'Perfil - externa'!P299=0,0,'Perfil - interna'!P301+'Perfil - externa'!P299)</f>
        <v>15710274.690595301</v>
      </c>
      <c r="Q301" s="219">
        <f>IF('Perfil - interna'!Q301+'Perfil - externa'!Q299=0,0,'Perfil - interna'!Q301+'Perfil - externa'!Q299)</f>
        <v>22110813.157069892</v>
      </c>
      <c r="R301" s="219">
        <f>IF('Perfil - interna'!R301+'Perfil - externa'!R299=0,0,'Perfil - interna'!R301+'Perfil - externa'!R299)</f>
        <v>3000419.1500035804</v>
      </c>
      <c r="S301" s="219">
        <f>IF('Perfil - interna'!S301+'Perfil - externa'!S299=0,0,'Perfil - interna'!S301+'Perfil - externa'!S299)</f>
        <v>6389235.1230719751</v>
      </c>
      <c r="T301" s="219">
        <f>IF('Perfil - interna'!T301+'Perfil - externa'!T299=0,0,'Perfil - interna'!T301+'Perfil - externa'!T299)</f>
        <v>6901336.1821027556</v>
      </c>
      <c r="U301" s="219">
        <f>IF('Perfil - interna'!U301+'Perfil - externa'!U299=0,0,'Perfil - interna'!U301+'Perfil - externa'!U299)</f>
        <v>4295767.7693075398</v>
      </c>
      <c r="V301" s="219">
        <f>IF('Perfil - interna'!V301+'Perfil - externa'!V299=0,0,'Perfil - interna'!V301+'Perfil - externa'!V299)</f>
        <v>11904130.20140475</v>
      </c>
      <c r="W301" s="219">
        <f>IF('Perfil - interna'!W301+'Perfil - externa'!W299=0,0,'Perfil - interna'!W301+'Perfil - externa'!W299)</f>
        <v>1221474.1086463549</v>
      </c>
      <c r="X301" s="219">
        <f>IF('Perfil - interna'!X301+'Perfil - externa'!X299=0,0,'Perfil - interna'!X301+'Perfil - externa'!X299)</f>
        <v>1066332.5919031941</v>
      </c>
      <c r="Y301" s="219">
        <f>IF('Perfil - interna'!Y301+'Perfil - externa'!Y299=0,0,'Perfil - interna'!Y301+'Perfil - externa'!Y299)</f>
        <v>5387286.4693576824</v>
      </c>
      <c r="Z301" s="219">
        <f>IF('Perfil - interna'!Z301+'Perfil - externa'!Z299=0,0,'Perfil - interna'!Z301+'Perfil - externa'!Z299)</f>
        <v>5278714.4085747572</v>
      </c>
      <c r="AA301" s="219">
        <f>IF('Perfil - interna'!AA301+'Perfil - externa'!AA299=0,0,'Perfil - interna'!AA301+'Perfil - externa'!AA299)</f>
        <v>761421.4204457181</v>
      </c>
      <c r="AB301" s="219">
        <f>IF('Perfil - interna'!AB301+'Perfil - externa'!AB299=0,0,'Perfil - interna'!AB301+'Perfil - externa'!AB299)</f>
        <v>684980.54001227533</v>
      </c>
      <c r="AC301" s="219">
        <f>IF('Perfil - interna'!AC301+'Perfil - externa'!AC299=0,0,'Perfil - interna'!AC301+'Perfil - externa'!AC299)</f>
        <v>3486966.5868276171</v>
      </c>
      <c r="AD301" s="219">
        <f>IF('Perfil - interna'!AD301+'Perfil - externa'!AD299=0,0,'Perfil - interna'!AD301+'Perfil - externa'!AD299)</f>
        <v>522610.97881893959</v>
      </c>
      <c r="AE301" s="219">
        <f>IF('Perfil - interna'!AE301+'Perfil - externa'!AE299=0,0,'Perfil - interna'!AE301+'Perfil - externa'!AE299)</f>
        <v>421812.37495598302</v>
      </c>
      <c r="AF301" s="219">
        <f>IF('Perfil - interna'!AF301+'Perfil - externa'!AF299=0,0,'Perfil - interna'!AF301+'Perfil - externa'!AF299)</f>
        <v>368621.69184610224</v>
      </c>
      <c r="AG301" s="219">
        <f>IF('Perfil - interna'!AG301+'Perfil - externa'!AG299=0,0,'Perfil - interna'!AG301+'Perfil - externa'!AG299)</f>
        <v>354674.23689370428</v>
      </c>
      <c r="AH301" s="219">
        <f>IF('Perfil - interna'!AH301+'Perfil - externa'!AH299=0,0,'Perfil - interna'!AH301+'Perfil - externa'!AH299)</f>
        <v>322159.65430759871</v>
      </c>
      <c r="AI301" s="219">
        <f>IF('Perfil - interna'!AI301+'Perfil - externa'!AI299=0,0,'Perfil - interna'!AI301+'Perfil - externa'!AI299)</f>
        <v>1064707.517007581</v>
      </c>
      <c r="AJ301" s="219">
        <f>IF('Perfil - interna'!AJ301+'Perfil - externa'!AJ299=0,0,'Perfil - interna'!AJ301+'Perfil - externa'!AJ299)</f>
        <v>153280.45244434156</v>
      </c>
      <c r="AK301" s="219">
        <f>IF('Perfil - interna'!AK301+'Perfil - externa'!AK299=0,0,'Perfil - interna'!AK301+'Perfil - externa'!AK299)</f>
        <v>67045.68592746534</v>
      </c>
      <c r="AL301" s="219">
        <f>IF('Perfil - interna'!AL301+'Perfil - externa'!AL299=0,0,'Perfil - interna'!AL301+'Perfil - externa'!AL299)</f>
        <v>66940.716296344122</v>
      </c>
      <c r="AM301" s="219">
        <f>IF('Perfil - interna'!AM301+'Perfil - externa'!AM299=0,0,'Perfil - interna'!AM301+'Perfil - externa'!AM299)</f>
        <v>4649393.3602841012</v>
      </c>
      <c r="AN301" s="219">
        <f>IF('Perfil - interna'!AN301+'Perfil - externa'!AN299=0,0,'Perfil - interna'!AN301+'Perfil - externa'!AN299)</f>
        <v>929.40912972912599</v>
      </c>
      <c r="AO301" s="219"/>
      <c r="AP301" s="219"/>
      <c r="AQ301" s="219"/>
      <c r="AR301" s="219"/>
      <c r="AS301" s="219"/>
      <c r="AT301" s="219"/>
      <c r="AU301" s="219"/>
      <c r="AV301" s="219"/>
      <c r="AW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J301" s="219"/>
      <c r="BK301" s="219"/>
    </row>
    <row r="302" spans="1:63">
      <c r="A302" s="170">
        <v>39903</v>
      </c>
      <c r="B302" s="220" t="str">
        <f>Servicio_internaColumna_título_intereses</f>
        <v>Intereses</v>
      </c>
      <c r="C302" s="221"/>
      <c r="D302" s="222"/>
      <c r="E302" s="222"/>
      <c r="F302" s="222">
        <f>IF('Perfil - interna'!F302+'Perfil - externa'!F300=0,0,'Perfil - interna'!F302+'Perfil - externa'!F300)</f>
        <v>0</v>
      </c>
      <c r="G302" s="222">
        <f>IF('Perfil - interna'!G302+'Perfil - externa'!G300=0,0,'Perfil - interna'!G302+'Perfil - externa'!G300)</f>
        <v>0</v>
      </c>
      <c r="H302" s="222">
        <f>IF('Perfil - interna'!H302+'Perfil - externa'!H300=0,0,'Perfil - interna'!H302+'Perfil - externa'!H300)</f>
        <v>0</v>
      </c>
      <c r="I302" s="222">
        <f>IF('Perfil - interna'!I302+'Perfil - externa'!I300=0,0,'Perfil - interna'!I302+'Perfil - externa'!I300)</f>
        <v>0</v>
      </c>
      <c r="J302" s="222">
        <f>IF('Perfil - interna'!J302+'Perfil - externa'!J300=0,0,'Perfil - interna'!J302+'Perfil - externa'!J300)</f>
        <v>0</v>
      </c>
      <c r="K302" s="222">
        <f>IF('Perfil - interna'!K302+'Perfil - externa'!K300=0,0,'Perfil - interna'!K302+'Perfil - externa'!K300)</f>
        <v>12041924.324181503</v>
      </c>
      <c r="L302" s="222">
        <f>IF('Perfil - interna'!L302+'Perfil - externa'!L300=0,0,'Perfil - interna'!L302+'Perfil - externa'!L300)</f>
        <v>13821652.076954441</v>
      </c>
      <c r="M302" s="222">
        <f>IF('Perfil - interna'!M302+'Perfil - externa'!M300=0,0,'Perfil - interna'!M302+'Perfil - externa'!M300)</f>
        <v>12159395.681493148</v>
      </c>
      <c r="N302" s="222">
        <f>IF('Perfil - interna'!N302+'Perfil - externa'!N300=0,0,'Perfil - interna'!N302+'Perfil - externa'!N300)</f>
        <v>10541889.455095943</v>
      </c>
      <c r="O302" s="222">
        <f>IF('Perfil - interna'!O302+'Perfil - externa'!O300=0,0,'Perfil - interna'!O302+'Perfil - externa'!O300)</f>
        <v>9078146.724964425</v>
      </c>
      <c r="P302" s="222">
        <f>IF('Perfil - interna'!P302+'Perfil - externa'!P300=0,0,'Perfil - interna'!P302+'Perfil - externa'!P300)</f>
        <v>7788801.7211338021</v>
      </c>
      <c r="Q302" s="222">
        <f>IF('Perfil - interna'!Q302+'Perfil - externa'!Q300=0,0,'Perfil - interna'!Q302+'Perfil - externa'!Q300)</f>
        <v>6324616.9329483928</v>
      </c>
      <c r="R302" s="222">
        <f>IF('Perfil - interna'!R302+'Perfil - externa'!R300=0,0,'Perfil - interna'!R302+'Perfil - externa'!R300)</f>
        <v>4519142.3814294608</v>
      </c>
      <c r="S302" s="222">
        <f>IF('Perfil - interna'!S302+'Perfil - externa'!S300=0,0,'Perfil - interna'!S302+'Perfil - externa'!S300)</f>
        <v>4226204.4286198141</v>
      </c>
      <c r="T302" s="222">
        <f>IF('Perfil - interna'!T302+'Perfil - externa'!T300=0,0,'Perfil - interna'!T302+'Perfil - externa'!T300)</f>
        <v>3969604.2801014977</v>
      </c>
      <c r="U302" s="222">
        <f>IF('Perfil - interna'!U302+'Perfil - externa'!U300=0,0,'Perfil - interna'!U302+'Perfil - externa'!U300)</f>
        <v>3231898.3020191379</v>
      </c>
      <c r="V302" s="222">
        <f>IF('Perfil - interna'!V302+'Perfil - externa'!V300=0,0,'Perfil - interna'!V302+'Perfil - externa'!V300)</f>
        <v>2944062.1646020161</v>
      </c>
      <c r="W302" s="222">
        <f>IF('Perfil - interna'!W302+'Perfil - externa'!W300=0,0,'Perfil - interna'!W302+'Perfil - externa'!W300)</f>
        <v>1835241.7391862897</v>
      </c>
      <c r="X302" s="222">
        <f>IF('Perfil - interna'!X302+'Perfil - externa'!X300=0,0,'Perfil - interna'!X302+'Perfil - externa'!X300)</f>
        <v>1782368.6345555326</v>
      </c>
      <c r="Y302" s="222">
        <f>IF('Perfil - interna'!Y302+'Perfil - externa'!Y300=0,0,'Perfil - interna'!Y302+'Perfil - externa'!Y300)</f>
        <v>1738781.4910020453</v>
      </c>
      <c r="Z302" s="222">
        <f>IF('Perfil - interna'!Z302+'Perfil - externa'!Z300=0,0,'Perfil - interna'!Z302+'Perfil - externa'!Z300)</f>
        <v>1256842.0601851465</v>
      </c>
      <c r="AA302" s="222">
        <f>IF('Perfil - interna'!AA302+'Perfil - externa'!AA300=0,0,'Perfil - interna'!AA302+'Perfil - externa'!AA300)</f>
        <v>927174.67539922346</v>
      </c>
      <c r="AB302" s="222">
        <f>IF('Perfil - interna'!AB302+'Perfil - externa'!AB300=0,0,'Perfil - interna'!AB302+'Perfil - externa'!AB300)</f>
        <v>889225.94080831727</v>
      </c>
      <c r="AC302" s="222">
        <f>IF('Perfil - interna'!AC302+'Perfil - externa'!AC300=0,0,'Perfil - interna'!AC302+'Perfil - externa'!AC300)</f>
        <v>839573.60871383024</v>
      </c>
      <c r="AD302" s="222">
        <f>IF('Perfil - interna'!AD302+'Perfil - externa'!AD300=0,0,'Perfil - interna'!AD302+'Perfil - externa'!AD300)</f>
        <v>547123.54662037687</v>
      </c>
      <c r="AE302" s="222">
        <f>IF('Perfil - interna'!AE302+'Perfil - externa'!AE300=0,0,'Perfil - interna'!AE302+'Perfil - externa'!AE300)</f>
        <v>522525.71435768204</v>
      </c>
      <c r="AF302" s="222">
        <f>IF('Perfil - interna'!AF302+'Perfil - externa'!AF300=0,0,'Perfil - interna'!AF302+'Perfil - externa'!AF300)</f>
        <v>501998.30349517456</v>
      </c>
      <c r="AG302" s="222">
        <f>IF('Perfil - interna'!AG302+'Perfil - externa'!AG300=0,0,'Perfil - interna'!AG302+'Perfil - externa'!AG300)</f>
        <v>484085.93090358033</v>
      </c>
      <c r="AH302" s="222">
        <f>IF('Perfil - interna'!AH302+'Perfil - externa'!AH300=0,0,'Perfil - interna'!AH302+'Perfil - externa'!AH300)</f>
        <v>467215.15462474519</v>
      </c>
      <c r="AI302" s="222">
        <f>IF('Perfil - interna'!AI302+'Perfil - externa'!AI300=0,0,'Perfil - interna'!AI302+'Perfil - externa'!AI300)</f>
        <v>407917.3941610849</v>
      </c>
      <c r="AJ302" s="222">
        <f>IF('Perfil - interna'!AJ302+'Perfil - externa'!AJ300=0,0,'Perfil - interna'!AJ302+'Perfil - externa'!AJ300)</f>
        <v>355048.02766276407</v>
      </c>
      <c r="AK302" s="222">
        <f>IF('Perfil - interna'!AK302+'Perfil - externa'!AK300=0,0,'Perfil - interna'!AK302+'Perfil - externa'!AK300)</f>
        <v>349006.20570507005</v>
      </c>
      <c r="AL302" s="222">
        <f>IF('Perfil - interna'!AL302+'Perfil - externa'!AL300=0,0,'Perfil - interna'!AL302+'Perfil - externa'!AL300)</f>
        <v>345417.36796659802</v>
      </c>
      <c r="AM302" s="222">
        <f>IF('Perfil - interna'!AM302+'Perfil - externa'!AM300=0,0,'Perfil - interna'!AM302+'Perfil - externa'!AM300)</f>
        <v>342775.23434910888</v>
      </c>
      <c r="AN302" s="222">
        <f>IF('Perfil - interna'!AN302+'Perfil - externa'!AN300=0,0,'Perfil - interna'!AN302+'Perfil - externa'!AN300)</f>
        <v>0</v>
      </c>
      <c r="AO302" s="222"/>
      <c r="AP302" s="222"/>
      <c r="AQ302" s="222"/>
      <c r="AR302" s="222"/>
      <c r="AS302" s="222"/>
      <c r="AT302" s="222"/>
      <c r="AU302" s="222"/>
      <c r="AV302" s="222"/>
      <c r="AW302" s="222"/>
      <c r="AX302" s="222"/>
      <c r="AY302" s="222"/>
      <c r="AZ302" s="222"/>
      <c r="BA302" s="222"/>
      <c r="BB302" s="222"/>
      <c r="BC302" s="222"/>
      <c r="BD302" s="222"/>
      <c r="BE302" s="222"/>
      <c r="BF302" s="222"/>
      <c r="BG302" s="222"/>
      <c r="BH302" s="222"/>
      <c r="BI302" s="222"/>
      <c r="BJ302" s="222"/>
      <c r="BK302" s="222"/>
    </row>
    <row r="303" spans="1:63">
      <c r="A303" s="171"/>
      <c r="B303" s="318" t="str">
        <f>Servicio_internaColumna_título_total</f>
        <v>Total</v>
      </c>
      <c r="C303" s="319"/>
      <c r="D303" s="320"/>
      <c r="E303" s="320"/>
      <c r="F303" s="320">
        <f>IF('Perfil - interna'!F303+'Perfil - externa'!F301=0,0,'Perfil - interna'!F303+'Perfil - externa'!F301)</f>
        <v>0</v>
      </c>
      <c r="G303" s="320">
        <f>IF('Perfil - interna'!G303+'Perfil - externa'!G301=0,0,'Perfil - interna'!G303+'Perfil - externa'!G301)</f>
        <v>0</v>
      </c>
      <c r="H303" s="320">
        <f>IF('Perfil - interna'!H303+'Perfil - externa'!H301=0,0,'Perfil - interna'!H303+'Perfil - externa'!H301)</f>
        <v>0</v>
      </c>
      <c r="I303" s="320">
        <f>IF('Perfil - interna'!I303+'Perfil - externa'!I301=0,0,'Perfil - interna'!I303+'Perfil - externa'!I301)</f>
        <v>0</v>
      </c>
      <c r="J303" s="320">
        <f>IF('Perfil - interna'!J303+'Perfil - externa'!J301=0,0,'Perfil - interna'!J303+'Perfil - externa'!J301)</f>
        <v>0</v>
      </c>
      <c r="K303" s="320">
        <f>IF('Perfil - interna'!K303+'Perfil - externa'!K301=0,0,'Perfil - interna'!K303+'Perfil - externa'!K301)</f>
        <v>31467555.748795539</v>
      </c>
      <c r="L303" s="320">
        <f>IF('Perfil - interna'!L303+'Perfil - externa'!L301=0,0,'Perfil - interna'!L303+'Perfil - externa'!L301)</f>
        <v>35462221.290716074</v>
      </c>
      <c r="M303" s="320">
        <f>IF('Perfil - interna'!M303+'Perfil - externa'!M301=0,0,'Perfil - interna'!M303+'Perfil - externa'!M301)</f>
        <v>28513133.388596613</v>
      </c>
      <c r="N303" s="320">
        <f>IF('Perfil - interna'!N303+'Perfil - externa'!N301=0,0,'Perfil - interna'!N303+'Perfil - externa'!N301)</f>
        <v>27148124.741362579</v>
      </c>
      <c r="O303" s="320">
        <f>IF('Perfil - interna'!O303+'Perfil - externa'!O301=0,0,'Perfil - interna'!O303+'Perfil - externa'!O301)</f>
        <v>24885106.452185981</v>
      </c>
      <c r="P303" s="320">
        <f>IF('Perfil - interna'!P303+'Perfil - externa'!P301=0,0,'Perfil - interna'!P303+'Perfil - externa'!P301)</f>
        <v>23499076.411729105</v>
      </c>
      <c r="Q303" s="320">
        <f>IF('Perfil - interna'!Q303+'Perfil - externa'!Q301=0,0,'Perfil - interna'!Q303+'Perfil - externa'!Q301)</f>
        <v>28435430.090018284</v>
      </c>
      <c r="R303" s="320">
        <f>IF('Perfil - interna'!R303+'Perfil - externa'!R301=0,0,'Perfil - interna'!R303+'Perfil - externa'!R301)</f>
        <v>7519561.5314330412</v>
      </c>
      <c r="S303" s="320">
        <f>IF('Perfil - interna'!S303+'Perfil - externa'!S301=0,0,'Perfil - interna'!S303+'Perfil - externa'!S301)</f>
        <v>10615439.551691787</v>
      </c>
      <c r="T303" s="320">
        <f>IF('Perfil - interna'!T303+'Perfil - externa'!T301=0,0,'Perfil - interna'!T303+'Perfil - externa'!T301)</f>
        <v>10870940.462204253</v>
      </c>
      <c r="U303" s="320">
        <f>IF('Perfil - interna'!U303+'Perfil - externa'!U301=0,0,'Perfil - interna'!U303+'Perfil - externa'!U301)</f>
        <v>7527666.0713266786</v>
      </c>
      <c r="V303" s="320">
        <f>IF('Perfil - interna'!V303+'Perfil - externa'!V301=0,0,'Perfil - interna'!V303+'Perfil - externa'!V301)</f>
        <v>14848192.366006767</v>
      </c>
      <c r="W303" s="320">
        <f>IF('Perfil - interna'!W303+'Perfil - externa'!W301=0,0,'Perfil - interna'!W303+'Perfil - externa'!W301)</f>
        <v>3056715.8478326444</v>
      </c>
      <c r="X303" s="320">
        <f>IF('Perfil - interna'!X303+'Perfil - externa'!X301=0,0,'Perfil - interna'!X303+'Perfil - externa'!X301)</f>
        <v>2848701.2264587269</v>
      </c>
      <c r="Y303" s="320">
        <f>IF('Perfil - interna'!Y303+'Perfil - externa'!Y301=0,0,'Perfil - interna'!Y303+'Perfil - externa'!Y301)</f>
        <v>7126067.960359728</v>
      </c>
      <c r="Z303" s="320">
        <f>IF('Perfil - interna'!Z303+'Perfil - externa'!Z301=0,0,'Perfil - interna'!Z303+'Perfil - externa'!Z301)</f>
        <v>6535556.4687599037</v>
      </c>
      <c r="AA303" s="320">
        <f>IF('Perfil - interna'!AA303+'Perfil - externa'!AA301=0,0,'Perfil - interna'!AA303+'Perfil - externa'!AA301)</f>
        <v>1688596.0958449417</v>
      </c>
      <c r="AB303" s="320">
        <f>IF('Perfil - interna'!AB303+'Perfil - externa'!AB301=0,0,'Perfil - interna'!AB303+'Perfil - externa'!AB301)</f>
        <v>1574206.4808205925</v>
      </c>
      <c r="AC303" s="320">
        <f>IF('Perfil - interna'!AC303+'Perfil - externa'!AC301=0,0,'Perfil - interna'!AC303+'Perfil - externa'!AC301)</f>
        <v>4326540.195541447</v>
      </c>
      <c r="AD303" s="320">
        <f>IF('Perfil - interna'!AD303+'Perfil - externa'!AD301=0,0,'Perfil - interna'!AD303+'Perfil - externa'!AD301)</f>
        <v>1069734.5254393164</v>
      </c>
      <c r="AE303" s="320">
        <f>IF('Perfil - interna'!AE303+'Perfil - externa'!AE301=0,0,'Perfil - interna'!AE303+'Perfil - externa'!AE301)</f>
        <v>944338.08931366506</v>
      </c>
      <c r="AF303" s="320">
        <f>IF('Perfil - interna'!AF303+'Perfil - externa'!AF301=0,0,'Perfil - interna'!AF303+'Perfil - externa'!AF301)</f>
        <v>870619.99534127675</v>
      </c>
      <c r="AG303" s="320">
        <f>IF('Perfil - interna'!AG303+'Perfil - externa'!AG301=0,0,'Perfil - interna'!AG303+'Perfil - externa'!AG301)</f>
        <v>838760.16779728467</v>
      </c>
      <c r="AH303" s="320">
        <f>IF('Perfil - interna'!AH303+'Perfil - externa'!AH301=0,0,'Perfil - interna'!AH303+'Perfil - externa'!AH301)</f>
        <v>789374.80893234396</v>
      </c>
      <c r="AI303" s="320">
        <f>IF('Perfil - interna'!AI303+'Perfil - externa'!AI301=0,0,'Perfil - interna'!AI303+'Perfil - externa'!AI301)</f>
        <v>1472624.9111686659</v>
      </c>
      <c r="AJ303" s="320">
        <f>IF('Perfil - interna'!AJ303+'Perfil - externa'!AJ301=0,0,'Perfil - interna'!AJ303+'Perfil - externa'!AJ301)</f>
        <v>508328.48010710563</v>
      </c>
      <c r="AK303" s="320">
        <f>IF('Perfil - interna'!AK303+'Perfil - externa'!AK301=0,0,'Perfil - interna'!AK303+'Perfil - externa'!AK301)</f>
        <v>416051.89163253538</v>
      </c>
      <c r="AL303" s="320">
        <f>IF('Perfil - interna'!AL303+'Perfil - externa'!AL301=0,0,'Perfil - interna'!AL303+'Perfil - externa'!AL301)</f>
        <v>412358.08426294214</v>
      </c>
      <c r="AM303" s="320">
        <f>IF('Perfil - interna'!AM303+'Perfil - externa'!AM301=0,0,'Perfil - interna'!AM303+'Perfil - externa'!AM301)</f>
        <v>4992168.5946332105</v>
      </c>
      <c r="AN303" s="320">
        <f>IF('Perfil - interna'!AN303+'Perfil - externa'!AN301=0,0,'Perfil - interna'!AN303+'Perfil - externa'!AN301)</f>
        <v>929.40912972912599</v>
      </c>
      <c r="AO303" s="320"/>
      <c r="AP303" s="320"/>
      <c r="AQ303" s="320"/>
      <c r="AR303" s="320"/>
      <c r="AS303" s="320"/>
      <c r="AT303" s="320"/>
      <c r="AU303" s="320"/>
      <c r="AV303" s="320"/>
      <c r="AW303" s="320"/>
      <c r="AX303" s="320"/>
      <c r="AY303" s="320"/>
      <c r="AZ303" s="320"/>
      <c r="BA303" s="320"/>
      <c r="BB303" s="320"/>
      <c r="BC303" s="320"/>
      <c r="BD303" s="320"/>
      <c r="BE303" s="320"/>
      <c r="BF303" s="320"/>
      <c r="BG303" s="320"/>
      <c r="BH303" s="320"/>
      <c r="BI303" s="320"/>
      <c r="BJ303" s="320"/>
      <c r="BK303" s="320"/>
    </row>
    <row r="304" spans="1:63">
      <c r="A304" s="167"/>
      <c r="B304" s="217" t="str">
        <f>Servicio_internaColumna_título_amortizaciones</f>
        <v>Amortizaciones</v>
      </c>
      <c r="C304" s="218"/>
      <c r="D304" s="219"/>
      <c r="E304" s="219"/>
      <c r="F304" s="219">
        <f>IF('Perfil - interna'!F304+'Perfil - externa'!F302=0,0,'Perfil - interna'!F304+'Perfil - externa'!F302)</f>
        <v>0</v>
      </c>
      <c r="G304" s="219">
        <f>IF('Perfil - interna'!G304+'Perfil - externa'!G302=0,0,'Perfil - interna'!G304+'Perfil - externa'!G302)</f>
        <v>0</v>
      </c>
      <c r="H304" s="219">
        <f>IF('Perfil - interna'!H304+'Perfil - externa'!H302=0,0,'Perfil - interna'!H304+'Perfil - externa'!H302)</f>
        <v>0</v>
      </c>
      <c r="I304" s="219">
        <f>IF('Perfil - interna'!I304+'Perfil - externa'!I302=0,0,'Perfil - interna'!I304+'Perfil - externa'!I302)</f>
        <v>0</v>
      </c>
      <c r="J304" s="219">
        <f>IF('Perfil - interna'!J304+'Perfil - externa'!J302=0,0,'Perfil - interna'!J304+'Perfil - externa'!J302)</f>
        <v>0</v>
      </c>
      <c r="K304" s="219">
        <f>IF('Perfil - interna'!K304+'Perfil - externa'!K302=0,0,'Perfil - interna'!K304+'Perfil - externa'!K302)</f>
        <v>17736278.652305275</v>
      </c>
      <c r="L304" s="219">
        <f>IF('Perfil - interna'!L304+'Perfil - externa'!L302=0,0,'Perfil - interna'!L304+'Perfil - externa'!L302)</f>
        <v>21686374.436626635</v>
      </c>
      <c r="M304" s="219">
        <f>IF('Perfil - interna'!M304+'Perfil - externa'!M302=0,0,'Perfil - interna'!M304+'Perfil - externa'!M302)</f>
        <v>16406028.535731697</v>
      </c>
      <c r="N304" s="219">
        <f>IF('Perfil - interna'!N304+'Perfil - externa'!N302=0,0,'Perfil - interna'!N304+'Perfil - externa'!N302)</f>
        <v>17371623.458940201</v>
      </c>
      <c r="O304" s="219">
        <f>IF('Perfil - interna'!O304+'Perfil - externa'!O302=0,0,'Perfil - interna'!O304+'Perfil - externa'!O302)</f>
        <v>15947484.681030322</v>
      </c>
      <c r="P304" s="219">
        <f>IF('Perfil - interna'!P304+'Perfil - externa'!P302=0,0,'Perfil - interna'!P304+'Perfil - externa'!P302)</f>
        <v>16221587.020251531</v>
      </c>
      <c r="Q304" s="219">
        <f>IF('Perfil - interna'!Q304+'Perfil - externa'!Q302=0,0,'Perfil - interna'!Q304+'Perfil - externa'!Q302)</f>
        <v>21528041.438808419</v>
      </c>
      <c r="R304" s="219">
        <f>IF('Perfil - interna'!R304+'Perfil - externa'!R302=0,0,'Perfil - interna'!R304+'Perfil - externa'!R302)</f>
        <v>2912561.2183264745</v>
      </c>
      <c r="S304" s="219">
        <f>IF('Perfil - interna'!S304+'Perfil - externa'!S302=0,0,'Perfil - interna'!S304+'Perfil - externa'!S302)</f>
        <v>6362899.7974512633</v>
      </c>
      <c r="T304" s="219">
        <f>IF('Perfil - interna'!T304+'Perfil - externa'!T302=0,0,'Perfil - interna'!T304+'Perfil - externa'!T302)</f>
        <v>6877181.9682284892</v>
      </c>
      <c r="U304" s="219">
        <f>IF('Perfil - interna'!U304+'Perfil - externa'!U302=0,0,'Perfil - interna'!U304+'Perfil - externa'!U302)</f>
        <v>6819533.7591248453</v>
      </c>
      <c r="V304" s="219">
        <f>IF('Perfil - interna'!V304+'Perfil - externa'!V302=0,0,'Perfil - interna'!V304+'Perfil - externa'!V302)</f>
        <v>11877491.992466157</v>
      </c>
      <c r="W304" s="219">
        <f>IF('Perfil - interna'!W304+'Perfil - externa'!W302=0,0,'Perfil - interna'!W304+'Perfil - externa'!W302)</f>
        <v>1207841.4160724753</v>
      </c>
      <c r="X304" s="219">
        <f>IF('Perfil - interna'!X304+'Perfil - externa'!X302=0,0,'Perfil - interna'!X304+'Perfil - externa'!X302)</f>
        <v>1060471.5544105512</v>
      </c>
      <c r="Y304" s="219">
        <f>IF('Perfil - interna'!Y304+'Perfil - externa'!Y302=0,0,'Perfil - interna'!Y304+'Perfil - externa'!Y302)</f>
        <v>5647808.0939554228</v>
      </c>
      <c r="Z304" s="219">
        <f>IF('Perfil - interna'!Z304+'Perfil - externa'!Z302=0,0,'Perfil - interna'!Z304+'Perfil - externa'!Z302)</f>
        <v>5691312.1697491482</v>
      </c>
      <c r="AA304" s="219">
        <f>IF('Perfil - interna'!AA304+'Perfil - externa'!AA302=0,0,'Perfil - interna'!AA304+'Perfil - externa'!AA302)</f>
        <v>763073.4885292832</v>
      </c>
      <c r="AB304" s="219">
        <f>IF('Perfil - interna'!AB304+'Perfil - externa'!AB302=0,0,'Perfil - interna'!AB304+'Perfil - externa'!AB302)</f>
        <v>686473.49626484432</v>
      </c>
      <c r="AC304" s="219">
        <f>IF('Perfil - interna'!AC304+'Perfil - externa'!AC302=0,0,'Perfil - interna'!AC304+'Perfil - externa'!AC302)</f>
        <v>3050955.1074578534</v>
      </c>
      <c r="AD304" s="219">
        <f>IF('Perfil - interna'!AD304+'Perfil - externa'!AD302=0,0,'Perfil - interna'!AD304+'Perfil - externa'!AD302)</f>
        <v>523705.48192820314</v>
      </c>
      <c r="AE304" s="219">
        <f>IF('Perfil - interna'!AE304+'Perfil - externa'!AE302=0,0,'Perfil - interna'!AE304+'Perfil - externa'!AE302)</f>
        <v>422697.06487959914</v>
      </c>
      <c r="AF304" s="219">
        <f>IF('Perfil - interna'!AF304+'Perfil - externa'!AF302=0,0,'Perfil - interna'!AF304+'Perfil - externa'!AF302)</f>
        <v>369395.66489227803</v>
      </c>
      <c r="AG304" s="219">
        <f>IF('Perfil - interna'!AG304+'Perfil - externa'!AG302=0,0,'Perfil - interna'!AG304+'Perfil - externa'!AG302)</f>
        <v>355419.17818901158</v>
      </c>
      <c r="AH304" s="219">
        <f>IF('Perfil - interna'!AH304+'Perfil - externa'!AH302=0,0,'Perfil - interna'!AH304+'Perfil - externa'!AH302)</f>
        <v>322836.92850542336</v>
      </c>
      <c r="AI304" s="219">
        <f>IF('Perfil - interna'!AI304+'Perfil - externa'!AI302=0,0,'Perfil - interna'!AI304+'Perfil - externa'!AI302)</f>
        <v>1066930.4234443135</v>
      </c>
      <c r="AJ304" s="219">
        <f>IF('Perfil - interna'!AJ304+'Perfil - externa'!AJ302=0,0,'Perfil - interna'!AJ304+'Perfil - externa'!AJ302)</f>
        <v>153606.21538331959</v>
      </c>
      <c r="AK304" s="219">
        <f>IF('Perfil - interna'!AK304+'Perfil - externa'!AK302=0,0,'Perfil - interna'!AK304+'Perfil - externa'!AK302)</f>
        <v>67191.950437069609</v>
      </c>
      <c r="AL304" s="219">
        <f>IF('Perfil - interna'!AL304+'Perfil - externa'!AL302=0,0,'Perfil - interna'!AL304+'Perfil - externa'!AL302)</f>
        <v>67084.957451657712</v>
      </c>
      <c r="AM304" s="219">
        <f>IF('Perfil - interna'!AM304+'Perfil - externa'!AM302=0,0,'Perfil - interna'!AM304+'Perfil - externa'!AM302)</f>
        <v>4659074.2137313765</v>
      </c>
      <c r="AN304" s="219">
        <f>IF('Perfil - interna'!AN304+'Perfil - externa'!AN302=0,0,'Perfil - interna'!AN304+'Perfil - externa'!AN302)</f>
        <v>931.34370305459993</v>
      </c>
      <c r="AO304" s="219"/>
      <c r="AP304" s="219"/>
      <c r="AQ304" s="219"/>
      <c r="AR304" s="219"/>
      <c r="AS304" s="219"/>
      <c r="AT304" s="219"/>
      <c r="AU304" s="219"/>
      <c r="AV304" s="219"/>
      <c r="AW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J304" s="219"/>
      <c r="BK304" s="219"/>
    </row>
    <row r="305" spans="1:63">
      <c r="A305" s="170">
        <v>39933</v>
      </c>
      <c r="B305" s="220" t="str">
        <f>Servicio_internaColumna_título_intereses</f>
        <v>Intereses</v>
      </c>
      <c r="C305" s="221"/>
      <c r="D305" s="222"/>
      <c r="E305" s="222"/>
      <c r="F305" s="222">
        <f>IF('Perfil - interna'!F305+'Perfil - externa'!F303=0,0,'Perfil - interna'!F305+'Perfil - externa'!F303)</f>
        <v>0</v>
      </c>
      <c r="G305" s="222">
        <f>IF('Perfil - interna'!G305+'Perfil - externa'!G303=0,0,'Perfil - interna'!G305+'Perfil - externa'!G303)</f>
        <v>0</v>
      </c>
      <c r="H305" s="222">
        <f>IF('Perfil - interna'!H305+'Perfil - externa'!H303=0,0,'Perfil - interna'!H305+'Perfil - externa'!H303)</f>
        <v>0</v>
      </c>
      <c r="I305" s="222">
        <f>IF('Perfil - interna'!I305+'Perfil - externa'!I303=0,0,'Perfil - interna'!I305+'Perfil - externa'!I303)</f>
        <v>0</v>
      </c>
      <c r="J305" s="222">
        <f>IF('Perfil - interna'!J305+'Perfil - externa'!J303=0,0,'Perfil - interna'!J305+'Perfil - externa'!J303)</f>
        <v>0</v>
      </c>
      <c r="K305" s="222">
        <f>IF('Perfil - interna'!K305+'Perfil - externa'!K303=0,0,'Perfil - interna'!K305+'Perfil - externa'!K303)</f>
        <v>11765085.25949643</v>
      </c>
      <c r="L305" s="222">
        <f>IF('Perfil - interna'!L305+'Perfil - externa'!L303=0,0,'Perfil - interna'!L305+'Perfil - externa'!L303)</f>
        <v>14022119.260351477</v>
      </c>
      <c r="M305" s="222">
        <f>IF('Perfil - interna'!M305+'Perfil - externa'!M303=0,0,'Perfil - interna'!M305+'Perfil - externa'!M303)</f>
        <v>12365890.218475617</v>
      </c>
      <c r="N305" s="222">
        <f>IF('Perfil - interna'!N305+'Perfil - externa'!N303=0,0,'Perfil - interna'!N305+'Perfil - externa'!N303)</f>
        <v>10705113.965512991</v>
      </c>
      <c r="O305" s="222">
        <f>IF('Perfil - interna'!O305+'Perfil - externa'!O303=0,0,'Perfil - interna'!O305+'Perfil - externa'!O303)</f>
        <v>9176586.5686436016</v>
      </c>
      <c r="P305" s="222">
        <f>IF('Perfil - interna'!P305+'Perfil - externa'!P303=0,0,'Perfil - interna'!P305+'Perfil - externa'!P303)</f>
        <v>7926140.8328408301</v>
      </c>
      <c r="Q305" s="222">
        <f>IF('Perfil - interna'!Q305+'Perfil - externa'!Q303=0,0,'Perfil - interna'!Q305+'Perfil - externa'!Q303)</f>
        <v>6416814.1030076705</v>
      </c>
      <c r="R305" s="222">
        <f>IF('Perfil - interna'!R305+'Perfil - externa'!R303=0,0,'Perfil - interna'!R305+'Perfil - externa'!R303)</f>
        <v>4691339.0127099715</v>
      </c>
      <c r="S305" s="222">
        <f>IF('Perfil - interna'!S305+'Perfil - externa'!S303=0,0,'Perfil - interna'!S305+'Perfil - externa'!S303)</f>
        <v>4408180.1393374577</v>
      </c>
      <c r="T305" s="222">
        <f>IF('Perfil - interna'!T305+'Perfil - externa'!T303=0,0,'Perfil - interna'!T305+'Perfil - externa'!T303)</f>
        <v>4158538.1975718751</v>
      </c>
      <c r="U305" s="222">
        <f>IF('Perfil - interna'!U305+'Perfil - externa'!U303=0,0,'Perfil - interna'!U305+'Perfil - externa'!U303)</f>
        <v>3332014.5206177495</v>
      </c>
      <c r="V305" s="222">
        <f>IF('Perfil - interna'!V305+'Perfil - externa'!V303=0,0,'Perfil - interna'!V305+'Perfil - externa'!V303)</f>
        <v>2952979.8862416549</v>
      </c>
      <c r="W305" s="222">
        <f>IF('Perfil - interna'!W305+'Perfil - externa'!W303=0,0,'Perfil - interna'!W305+'Perfil - externa'!W303)</f>
        <v>1846965.2362634582</v>
      </c>
      <c r="X305" s="222">
        <f>IF('Perfil - interna'!X305+'Perfil - externa'!X303=0,0,'Perfil - interna'!X305+'Perfil - externa'!X303)</f>
        <v>1796822.6315307927</v>
      </c>
      <c r="Y305" s="222">
        <f>IF('Perfil - interna'!Y305+'Perfil - externa'!Y303=0,0,'Perfil - interna'!Y305+'Perfil - externa'!Y303)</f>
        <v>1755155.9984487426</v>
      </c>
      <c r="Z305" s="222">
        <f>IF('Perfil - interna'!Z305+'Perfil - externa'!Z303=0,0,'Perfil - interna'!Z305+'Perfil - externa'!Z303)</f>
        <v>1255846.8727664591</v>
      </c>
      <c r="AA305" s="222">
        <f>IF('Perfil - interna'!AA305+'Perfil - externa'!AA303=0,0,'Perfil - interna'!AA305+'Perfil - externa'!AA303)</f>
        <v>885423.93055133882</v>
      </c>
      <c r="AB305" s="222">
        <f>IF('Perfil - interna'!AB305+'Perfil - externa'!AB303=0,0,'Perfil - interna'!AB305+'Perfil - externa'!AB303)</f>
        <v>847416.80829598953</v>
      </c>
      <c r="AC305" s="222">
        <f>IF('Perfil - interna'!AC305+'Perfil - externa'!AC303=0,0,'Perfil - interna'!AC305+'Perfil - externa'!AC303)</f>
        <v>797658.64185214962</v>
      </c>
      <c r="AD305" s="222">
        <f>IF('Perfil - interna'!AD305+'Perfil - externa'!AD303=0,0,'Perfil - interna'!AD305+'Perfil - externa'!AD303)</f>
        <v>548263.22000488755</v>
      </c>
      <c r="AE305" s="222">
        <f>IF('Perfil - interna'!AE305+'Perfil - externa'!AE303=0,0,'Perfil - interna'!AE305+'Perfil - externa'!AE303)</f>
        <v>523614.09744316107</v>
      </c>
      <c r="AF305" s="222">
        <f>IF('Perfil - interna'!AF305+'Perfil - externa'!AF303=0,0,'Perfil - interna'!AF305+'Perfil - externa'!AF303)</f>
        <v>503043.86956568959</v>
      </c>
      <c r="AG305" s="222">
        <f>IF('Perfil - interna'!AG305+'Perfil - externa'!AG303=0,0,'Perfil - interna'!AG305+'Perfil - externa'!AG303)</f>
        <v>485094.12303075334</v>
      </c>
      <c r="AH305" s="222">
        <f>IF('Perfil - interna'!AH305+'Perfil - externa'!AH303=0,0,'Perfil - interna'!AH305+'Perfil - externa'!AH303)</f>
        <v>468188.14131030923</v>
      </c>
      <c r="AI305" s="222">
        <f>IF('Perfil - interna'!AI305+'Perfil - externa'!AI303=0,0,'Perfil - interna'!AI305+'Perfil - externa'!AI303)</f>
        <v>408766.86226326047</v>
      </c>
      <c r="AJ305" s="222">
        <f>IF('Perfil - interna'!AJ305+'Perfil - externa'!AJ303=0,0,'Perfil - interna'!AJ305+'Perfil - externa'!AJ303)</f>
        <v>355787.35806851875</v>
      </c>
      <c r="AK305" s="222">
        <f>IF('Perfil - interna'!AK305+'Perfil - externa'!AK303=0,0,'Perfil - interna'!AK305+'Perfil - externa'!AK303)</f>
        <v>349732.87043945771</v>
      </c>
      <c r="AL305" s="222">
        <f>IF('Perfil - interna'!AL305+'Perfil - externa'!AL303=0,0,'Perfil - interna'!AL305+'Perfil - externa'!AL303)</f>
        <v>346136.47296358296</v>
      </c>
      <c r="AM305" s="222">
        <f>IF('Perfil - interna'!AM305+'Perfil - externa'!AM303=0,0,'Perfil - interna'!AM305+'Perfil - externa'!AM303)</f>
        <v>343488.77054331359</v>
      </c>
      <c r="AN305" s="222">
        <f>IF('Perfil - interna'!AN305+'Perfil - externa'!AN303=0,0,'Perfil - interna'!AN305+'Perfil - externa'!AN303)</f>
        <v>0</v>
      </c>
      <c r="AO305" s="222"/>
      <c r="AP305" s="222"/>
      <c r="AQ305" s="222"/>
      <c r="AR305" s="222"/>
      <c r="AS305" s="222"/>
      <c r="AT305" s="222"/>
      <c r="AU305" s="222"/>
      <c r="AV305" s="222"/>
      <c r="AW305" s="222"/>
      <c r="AX305" s="222"/>
      <c r="AY305" s="222"/>
      <c r="AZ305" s="222"/>
      <c r="BA305" s="222"/>
      <c r="BB305" s="222"/>
      <c r="BC305" s="222"/>
      <c r="BD305" s="222"/>
      <c r="BE305" s="222"/>
      <c r="BF305" s="222"/>
      <c r="BG305" s="222"/>
      <c r="BH305" s="222"/>
      <c r="BI305" s="222"/>
      <c r="BJ305" s="222"/>
      <c r="BK305" s="222"/>
    </row>
    <row r="306" spans="1:63">
      <c r="A306" s="171"/>
      <c r="B306" s="318" t="str">
        <f>Servicio_internaColumna_título_total</f>
        <v>Total</v>
      </c>
      <c r="C306" s="319"/>
      <c r="D306" s="320"/>
      <c r="E306" s="320"/>
      <c r="F306" s="320">
        <f>IF('Perfil - interna'!F306+'Perfil - externa'!F304=0,0,'Perfil - interna'!F306+'Perfil - externa'!F304)</f>
        <v>0</v>
      </c>
      <c r="G306" s="320">
        <f>IF('Perfil - interna'!G306+'Perfil - externa'!G304=0,0,'Perfil - interna'!G306+'Perfil - externa'!G304)</f>
        <v>0</v>
      </c>
      <c r="H306" s="320">
        <f>IF('Perfil - interna'!H306+'Perfil - externa'!H304=0,0,'Perfil - interna'!H306+'Perfil - externa'!H304)</f>
        <v>0</v>
      </c>
      <c r="I306" s="320">
        <f>IF('Perfil - interna'!I306+'Perfil - externa'!I304=0,0,'Perfil - interna'!I306+'Perfil - externa'!I304)</f>
        <v>0</v>
      </c>
      <c r="J306" s="320">
        <f>IF('Perfil - interna'!J306+'Perfil - externa'!J304=0,0,'Perfil - interna'!J306+'Perfil - externa'!J304)</f>
        <v>0</v>
      </c>
      <c r="K306" s="320">
        <f>IF('Perfil - interna'!K306+'Perfil - externa'!K304=0,0,'Perfil - interna'!K306+'Perfil - externa'!K304)</f>
        <v>29501363.911801703</v>
      </c>
      <c r="L306" s="320">
        <f>IF('Perfil - interna'!L306+'Perfil - externa'!L304=0,0,'Perfil - interna'!L306+'Perfil - externa'!L304)</f>
        <v>35708493.696978115</v>
      </c>
      <c r="M306" s="320">
        <f>IF('Perfil - interna'!M306+'Perfil - externa'!M304=0,0,'Perfil - interna'!M306+'Perfil - externa'!M304)</f>
        <v>28771918.754207313</v>
      </c>
      <c r="N306" s="320">
        <f>IF('Perfil - interna'!N306+'Perfil - externa'!N304=0,0,'Perfil - interna'!N306+'Perfil - externa'!N304)</f>
        <v>28076737.424453191</v>
      </c>
      <c r="O306" s="320">
        <f>IF('Perfil - interna'!O306+'Perfil - externa'!O304=0,0,'Perfil - interna'!O306+'Perfil - externa'!O304)</f>
        <v>25124071.249673925</v>
      </c>
      <c r="P306" s="320">
        <f>IF('Perfil - interna'!P306+'Perfil - externa'!P304=0,0,'Perfil - interna'!P306+'Perfil - externa'!P304)</f>
        <v>24147727.853092361</v>
      </c>
      <c r="Q306" s="320">
        <f>IF('Perfil - interna'!Q306+'Perfil - externa'!Q304=0,0,'Perfil - interna'!Q306+'Perfil - externa'!Q304)</f>
        <v>27944855.541816089</v>
      </c>
      <c r="R306" s="320">
        <f>IF('Perfil - interna'!R306+'Perfil - externa'!R304=0,0,'Perfil - interna'!R306+'Perfil - externa'!R304)</f>
        <v>7603900.2310364461</v>
      </c>
      <c r="S306" s="320">
        <f>IF('Perfil - interna'!S306+'Perfil - externa'!S304=0,0,'Perfil - interna'!S306+'Perfil - externa'!S304)</f>
        <v>10771079.936788723</v>
      </c>
      <c r="T306" s="320">
        <f>IF('Perfil - interna'!T306+'Perfil - externa'!T304=0,0,'Perfil - interna'!T306+'Perfil - externa'!T304)</f>
        <v>11035720.165800365</v>
      </c>
      <c r="U306" s="320">
        <f>IF('Perfil - interna'!U306+'Perfil - externa'!U304=0,0,'Perfil - interna'!U306+'Perfil - externa'!U304)</f>
        <v>10151548.279742595</v>
      </c>
      <c r="V306" s="320">
        <f>IF('Perfil - interna'!V306+'Perfil - externa'!V304=0,0,'Perfil - interna'!V306+'Perfil - externa'!V304)</f>
        <v>14830471.878707811</v>
      </c>
      <c r="W306" s="320">
        <f>IF('Perfil - interna'!W306+'Perfil - externa'!W304=0,0,'Perfil - interna'!W306+'Perfil - externa'!W304)</f>
        <v>3054806.6523359334</v>
      </c>
      <c r="X306" s="320">
        <f>IF('Perfil - interna'!X306+'Perfil - externa'!X304=0,0,'Perfil - interna'!X306+'Perfil - externa'!X304)</f>
        <v>2857294.1859413441</v>
      </c>
      <c r="Y306" s="320">
        <f>IF('Perfil - interna'!Y306+'Perfil - externa'!Y304=0,0,'Perfil - interna'!Y306+'Perfil - externa'!Y304)</f>
        <v>7402964.0924041644</v>
      </c>
      <c r="Z306" s="320">
        <f>IF('Perfil - interna'!Z306+'Perfil - externa'!Z304=0,0,'Perfil - interna'!Z306+'Perfil - externa'!Z304)</f>
        <v>6947159.0425156066</v>
      </c>
      <c r="AA306" s="320">
        <f>IF('Perfil - interna'!AA306+'Perfil - externa'!AA304=0,0,'Perfil - interna'!AA306+'Perfil - externa'!AA304)</f>
        <v>1648497.419080622</v>
      </c>
      <c r="AB306" s="320">
        <f>IF('Perfil - interna'!AB306+'Perfil - externa'!AB304=0,0,'Perfil - interna'!AB306+'Perfil - externa'!AB304)</f>
        <v>1533890.3045608338</v>
      </c>
      <c r="AC306" s="320">
        <f>IF('Perfil - interna'!AC306+'Perfil - externa'!AC304=0,0,'Perfil - interna'!AC306+'Perfil - externa'!AC304)</f>
        <v>3848613.7493100031</v>
      </c>
      <c r="AD306" s="320">
        <f>IF('Perfil - interna'!AD306+'Perfil - externa'!AD304=0,0,'Perfil - interna'!AD306+'Perfil - externa'!AD304)</f>
        <v>1071968.7019330906</v>
      </c>
      <c r="AE306" s="320">
        <f>IF('Perfil - interna'!AE306+'Perfil - externa'!AE304=0,0,'Perfil - interna'!AE306+'Perfil - externa'!AE304)</f>
        <v>946311.16232276021</v>
      </c>
      <c r="AF306" s="320">
        <f>IF('Perfil - interna'!AF306+'Perfil - externa'!AF304=0,0,'Perfil - interna'!AF306+'Perfil - externa'!AF304)</f>
        <v>872439.53445796762</v>
      </c>
      <c r="AG306" s="320">
        <f>IF('Perfil - interna'!AG306+'Perfil - externa'!AG304=0,0,'Perfil - interna'!AG306+'Perfil - externa'!AG304)</f>
        <v>840513.30121976486</v>
      </c>
      <c r="AH306" s="320">
        <f>IF('Perfil - interna'!AH306+'Perfil - externa'!AH304=0,0,'Perfil - interna'!AH306+'Perfil - externa'!AH304)</f>
        <v>791025.06981573254</v>
      </c>
      <c r="AI306" s="320">
        <f>IF('Perfil - interna'!AI306+'Perfil - externa'!AI304=0,0,'Perfil - interna'!AI306+'Perfil - externa'!AI304)</f>
        <v>1475697.2857075739</v>
      </c>
      <c r="AJ306" s="320">
        <f>IF('Perfil - interna'!AJ306+'Perfil - externa'!AJ304=0,0,'Perfil - interna'!AJ306+'Perfil - externa'!AJ304)</f>
        <v>509393.57345183834</v>
      </c>
      <c r="AK306" s="320">
        <f>IF('Perfil - interna'!AK306+'Perfil - externa'!AK304=0,0,'Perfil - interna'!AK306+'Perfil - externa'!AK304)</f>
        <v>416924.82087652734</v>
      </c>
      <c r="AL306" s="320">
        <f>IF('Perfil - interna'!AL306+'Perfil - externa'!AL304=0,0,'Perfil - interna'!AL306+'Perfil - externa'!AL304)</f>
        <v>413221.4304152407</v>
      </c>
      <c r="AM306" s="320">
        <f>IF('Perfil - interna'!AM306+'Perfil - externa'!AM304=0,0,'Perfil - interna'!AM306+'Perfil - externa'!AM304)</f>
        <v>5002562.98427469</v>
      </c>
      <c r="AN306" s="320">
        <f>IF('Perfil - interna'!AN306+'Perfil - externa'!AN304=0,0,'Perfil - interna'!AN306+'Perfil - externa'!AN304)</f>
        <v>931.34370305459993</v>
      </c>
      <c r="AO306" s="320"/>
      <c r="AP306" s="320"/>
      <c r="AQ306" s="320"/>
      <c r="AR306" s="320"/>
      <c r="AS306" s="320"/>
      <c r="AT306" s="320"/>
      <c r="AU306" s="320"/>
      <c r="AV306" s="320"/>
      <c r="AW306" s="320"/>
      <c r="AX306" s="320"/>
      <c r="AY306" s="320"/>
      <c r="AZ306" s="320"/>
      <c r="BA306" s="320"/>
      <c r="BB306" s="320"/>
      <c r="BC306" s="320"/>
      <c r="BD306" s="320"/>
      <c r="BE306" s="320"/>
      <c r="BF306" s="320"/>
      <c r="BG306" s="320"/>
      <c r="BH306" s="320"/>
      <c r="BI306" s="320"/>
      <c r="BJ306" s="320"/>
      <c r="BK306" s="320"/>
    </row>
    <row r="307" spans="1:63">
      <c r="A307" s="167"/>
      <c r="B307" s="217" t="str">
        <f>Servicio_internaColumna_título_amortizaciones</f>
        <v>Amortizaciones</v>
      </c>
      <c r="C307" s="218"/>
      <c r="D307" s="219"/>
      <c r="E307" s="219"/>
      <c r="F307" s="219">
        <f>IF('Perfil - interna'!F307+'Perfil - externa'!F305=0,0,'Perfil - interna'!F307+'Perfil - externa'!F305)</f>
        <v>0</v>
      </c>
      <c r="G307" s="219">
        <f>IF('Perfil - interna'!G307+'Perfil - externa'!G305=0,0,'Perfil - interna'!G307+'Perfil - externa'!G305)</f>
        <v>0</v>
      </c>
      <c r="H307" s="219">
        <f>IF('Perfil - interna'!H307+'Perfil - externa'!H305=0,0,'Perfil - interna'!H307+'Perfil - externa'!H305)</f>
        <v>0</v>
      </c>
      <c r="I307" s="219">
        <f>IF('Perfil - interna'!I307+'Perfil - externa'!I305=0,0,'Perfil - interna'!I307+'Perfil - externa'!I305)</f>
        <v>0</v>
      </c>
      <c r="J307" s="219">
        <f>IF('Perfil - interna'!J307+'Perfil - externa'!J305=0,0,'Perfil - interna'!J307+'Perfil - externa'!J305)</f>
        <v>0</v>
      </c>
      <c r="K307" s="219">
        <f>IF('Perfil - interna'!K307+'Perfil - externa'!K305=0,0,'Perfil - interna'!K307+'Perfil - externa'!K305)</f>
        <v>11326753.40382175</v>
      </c>
      <c r="L307" s="219">
        <f>IF('Perfil - interna'!L307+'Perfil - externa'!L305=0,0,'Perfil - interna'!L307+'Perfil - externa'!L305)</f>
        <v>21443135.788181022</v>
      </c>
      <c r="M307" s="219">
        <f>IF('Perfil - interna'!M307+'Perfil - externa'!M305=0,0,'Perfil - interna'!M307+'Perfil - externa'!M305)</f>
        <v>16106726.008741392</v>
      </c>
      <c r="N307" s="219">
        <f>IF('Perfil - interna'!N307+'Perfil - externa'!N305=0,0,'Perfil - interna'!N307+'Perfil - externa'!N305)</f>
        <v>18409789.208888333</v>
      </c>
      <c r="O307" s="219">
        <f>IF('Perfil - interna'!O307+'Perfil - externa'!O305=0,0,'Perfil - interna'!O307+'Perfil - externa'!O305)</f>
        <v>15769160.558471192</v>
      </c>
      <c r="P307" s="219">
        <f>IF('Perfil - interna'!P307+'Perfil - externa'!P305=0,0,'Perfil - interna'!P307+'Perfil - externa'!P305)</f>
        <v>16802880.517820768</v>
      </c>
      <c r="Q307" s="219">
        <f>IF('Perfil - interna'!Q307+'Perfil - externa'!Q305=0,0,'Perfil - interna'!Q307+'Perfil - externa'!Q305)</f>
        <v>21038642.560116604</v>
      </c>
      <c r="R307" s="219">
        <f>IF('Perfil - interna'!R307+'Perfil - externa'!R305=0,0,'Perfil - interna'!R307+'Perfil - externa'!R305)</f>
        <v>2630554.9165846193</v>
      </c>
      <c r="S307" s="219">
        <f>IF('Perfil - interna'!S307+'Perfil - externa'!S305=0,0,'Perfil - interna'!S307+'Perfil - externa'!S305)</f>
        <v>5698823.4277276108</v>
      </c>
      <c r="T307" s="219">
        <f>IF('Perfil - interna'!T307+'Perfil - externa'!T305=0,0,'Perfil - interna'!T307+'Perfil - externa'!T305)</f>
        <v>6677899.2790444884</v>
      </c>
      <c r="U307" s="219">
        <f>IF('Perfil - interna'!U307+'Perfil - externa'!U305=0,0,'Perfil - interna'!U307+'Perfil - externa'!U305)</f>
        <v>6104683.7538656406</v>
      </c>
      <c r="V307" s="219">
        <f>IF('Perfil - interna'!V307+'Perfil - externa'!V305=0,0,'Perfil - interna'!V307+'Perfil - externa'!V305)</f>
        <v>11515907.252703283</v>
      </c>
      <c r="W307" s="219">
        <f>IF('Perfil - interna'!W307+'Perfil - externa'!W305=0,0,'Perfil - interna'!W307+'Perfil - externa'!W305)</f>
        <v>1083838.0557347289</v>
      </c>
      <c r="X307" s="219">
        <f>IF('Perfil - interna'!X307+'Perfil - externa'!X305=0,0,'Perfil - interna'!X307+'Perfil - externa'!X305)</f>
        <v>950081.03299421316</v>
      </c>
      <c r="Y307" s="219">
        <f>IF('Perfil - interna'!Y307+'Perfil - externa'!Y305=0,0,'Perfil - interna'!Y307+'Perfil - externa'!Y305)</f>
        <v>5928701.3000811962</v>
      </c>
      <c r="Z307" s="219">
        <f>IF('Perfil - interna'!Z307+'Perfil - externa'!Z305=0,0,'Perfil - interna'!Z307+'Perfil - externa'!Z305)</f>
        <v>6378218.2341305837</v>
      </c>
      <c r="AA307" s="219">
        <f>IF('Perfil - interna'!AA307+'Perfil - externa'!AA305=0,0,'Perfil - interna'!AA307+'Perfil - externa'!AA305)</f>
        <v>682220.59193819761</v>
      </c>
      <c r="AB307" s="219">
        <f>IF('Perfil - interna'!AB307+'Perfil - externa'!AB305=0,0,'Perfil - interna'!AB307+'Perfil - externa'!AB305)</f>
        <v>613739.95181589073</v>
      </c>
      <c r="AC307" s="219">
        <f>IF('Perfil - interna'!AC307+'Perfil - externa'!AC305=0,0,'Perfil - interna'!AC307+'Perfil - externa'!AC305)</f>
        <v>2835119.359381842</v>
      </c>
      <c r="AD307" s="219">
        <f>IF('Perfil - interna'!AD307+'Perfil - externa'!AD305=0,0,'Perfil - interna'!AD307+'Perfil - externa'!AD305)</f>
        <v>468204.6612221981</v>
      </c>
      <c r="AE307" s="219">
        <f>IF('Perfil - interna'!AE307+'Perfil - externa'!AE305=0,0,'Perfil - interna'!AE307+'Perfil - externa'!AE305)</f>
        <v>377902.81062474608</v>
      </c>
      <c r="AF307" s="219">
        <f>IF('Perfil - interna'!AF307+'Perfil - externa'!AF305=0,0,'Perfil - interna'!AF307+'Perfil - externa'!AF305)</f>
        <v>330251.18713703181</v>
      </c>
      <c r="AG307" s="219">
        <f>IF('Perfil - interna'!AG307+'Perfil - externa'!AG305=0,0,'Perfil - interna'!AG307+'Perfil - externa'!AG305)</f>
        <v>317756.16294960858</v>
      </c>
      <c r="AH307" s="219">
        <f>IF('Perfil - interna'!AH307+'Perfil - externa'!AH305=0,0,'Perfil - interna'!AH307+'Perfil - externa'!AH305)</f>
        <v>288627.56500645942</v>
      </c>
      <c r="AI307" s="219">
        <f>IF('Perfil - interna'!AI307+'Perfil - externa'!AI305=0,0,'Perfil - interna'!AI307+'Perfil - externa'!AI305)</f>
        <v>953849.5875647245</v>
      </c>
      <c r="AJ307" s="219">
        <f>IF('Perfil - interna'!AJ307+'Perfil - externa'!AJ305=0,0,'Perfil - interna'!AJ307+'Perfil - externa'!AJ305)</f>
        <v>137334.80005276759</v>
      </c>
      <c r="AK307" s="219">
        <f>IF('Perfil - interna'!AK307+'Perfil - externa'!AK305=0,0,'Perfil - interna'!AK307+'Perfil - externa'!AK305)</f>
        <v>60080.168501517604</v>
      </c>
      <c r="AL307" s="219">
        <f>IF('Perfil - interna'!AL307+'Perfil - externa'!AL305=0,0,'Perfil - interna'!AL307+'Perfil - externa'!AL305)</f>
        <v>59984.172555851503</v>
      </c>
      <c r="AM307" s="219">
        <f>IF('Perfil - interna'!AM307+'Perfil - externa'!AM305=0,0,'Perfil - interna'!AM307+'Perfil - externa'!AM305)</f>
        <v>4165237.0376496441</v>
      </c>
      <c r="AN307" s="219">
        <f>IF('Perfil - interna'!AN307+'Perfil - externa'!AN305=0,0,'Perfil - interna'!AN307+'Perfil - externa'!AN305)</f>
        <v>832.62427414979993</v>
      </c>
      <c r="AO307" s="219"/>
      <c r="AP307" s="219"/>
      <c r="AQ307" s="219"/>
      <c r="AR307" s="219"/>
      <c r="AS307" s="219"/>
      <c r="AT307" s="219"/>
      <c r="AU307" s="219"/>
      <c r="AV307" s="219"/>
      <c r="AW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J307" s="219"/>
      <c r="BK307" s="219"/>
    </row>
    <row r="308" spans="1:63">
      <c r="A308" s="170">
        <v>39964</v>
      </c>
      <c r="B308" s="220" t="str">
        <f>Servicio_internaColumna_título_intereses</f>
        <v>Intereses</v>
      </c>
      <c r="C308" s="221"/>
      <c r="D308" s="222"/>
      <c r="E308" s="222"/>
      <c r="F308" s="222">
        <f>IF('Perfil - interna'!F308+'Perfil - externa'!F306=0,0,'Perfil - interna'!F308+'Perfil - externa'!F306)</f>
        <v>0</v>
      </c>
      <c r="G308" s="222">
        <f>IF('Perfil - interna'!G308+'Perfil - externa'!G306=0,0,'Perfil - interna'!G308+'Perfil - externa'!G306)</f>
        <v>0</v>
      </c>
      <c r="H308" s="222">
        <f>IF('Perfil - interna'!H308+'Perfil - externa'!H306=0,0,'Perfil - interna'!H308+'Perfil - externa'!H306)</f>
        <v>0</v>
      </c>
      <c r="I308" s="222">
        <f>IF('Perfil - interna'!I308+'Perfil - externa'!I306=0,0,'Perfil - interna'!I308+'Perfil - externa'!I306)</f>
        <v>0</v>
      </c>
      <c r="J308" s="222">
        <f>IF('Perfil - interna'!J308+'Perfil - externa'!J306=0,0,'Perfil - interna'!J308+'Perfil - externa'!J306)</f>
        <v>0</v>
      </c>
      <c r="K308" s="222">
        <f>IF('Perfil - interna'!K308+'Perfil - externa'!K306=0,0,'Perfil - interna'!K308+'Perfil - externa'!K306)</f>
        <v>10814917.344014021</v>
      </c>
      <c r="L308" s="222">
        <f>IF('Perfil - interna'!L308+'Perfil - externa'!L306=0,0,'Perfil - interna'!L308+'Perfil - externa'!L306)</f>
        <v>13935312.132961705</v>
      </c>
      <c r="M308" s="222">
        <f>IF('Perfil - interna'!M308+'Perfil - externa'!M306=0,0,'Perfil - interna'!M308+'Perfil - externa'!M306)</f>
        <v>12332817.197547019</v>
      </c>
      <c r="N308" s="222">
        <f>IF('Perfil - interna'!N308+'Perfil - externa'!N306=0,0,'Perfil - interna'!N308+'Perfil - externa'!N306)</f>
        <v>10688744.674859531</v>
      </c>
      <c r="O308" s="222">
        <f>IF('Perfil - interna'!O308+'Perfil - externa'!O306=0,0,'Perfil - interna'!O308+'Perfil - externa'!O306)</f>
        <v>9061444.7560200412</v>
      </c>
      <c r="P308" s="222">
        <f>IF('Perfil - interna'!P308+'Perfil - externa'!P306=0,0,'Perfil - interna'!P308+'Perfil - externa'!P306)</f>
        <v>7813539.9412967293</v>
      </c>
      <c r="Q308" s="222">
        <f>IF('Perfil - interna'!Q308+'Perfil - externa'!Q306=0,0,'Perfil - interna'!Q308+'Perfil - externa'!Q306)</f>
        <v>6239694.8874678398</v>
      </c>
      <c r="R308" s="222">
        <f>IF('Perfil - interna'!R308+'Perfil - externa'!R306=0,0,'Perfil - interna'!R308+'Perfil - externa'!R306)</f>
        <v>4552624.8827227019</v>
      </c>
      <c r="S308" s="222">
        <f>IF('Perfil - interna'!S308+'Perfil - externa'!S306=0,0,'Perfil - interna'!S308+'Perfil - externa'!S306)</f>
        <v>4298215.036061707</v>
      </c>
      <c r="T308" s="222">
        <f>IF('Perfil - interna'!T308+'Perfil - externa'!T306=0,0,'Perfil - interna'!T308+'Perfil - externa'!T306)</f>
        <v>4074200.5135156554</v>
      </c>
      <c r="U308" s="222">
        <f>IF('Perfil - interna'!U308+'Perfil - externa'!U306=0,0,'Perfil - interna'!U308+'Perfil - externa'!U306)</f>
        <v>3276140.0215591872</v>
      </c>
      <c r="V308" s="222">
        <f>IF('Perfil - interna'!V308+'Perfil - externa'!V306=0,0,'Perfil - interna'!V308+'Perfil - externa'!V306)</f>
        <v>2937850.223653405</v>
      </c>
      <c r="W308" s="222">
        <f>IF('Perfil - interna'!W308+'Perfil - externa'!W306=0,0,'Perfil - interna'!W308+'Perfil - externa'!W306)</f>
        <v>1852122.5733553974</v>
      </c>
      <c r="X308" s="222">
        <f>IF('Perfil - interna'!X308+'Perfil - externa'!X306=0,0,'Perfil - interna'!X308+'Perfil - externa'!X306)</f>
        <v>1808682.3818424151</v>
      </c>
      <c r="Y308" s="222">
        <f>IF('Perfil - interna'!Y308+'Perfil - externa'!Y306=0,0,'Perfil - interna'!Y308+'Perfil - externa'!Y306)</f>
        <v>1773025.380668621</v>
      </c>
      <c r="Z308" s="222">
        <f>IF('Perfil - interna'!Z308+'Perfil - externa'!Z306=0,0,'Perfil - interna'!Z308+'Perfil - externa'!Z306)</f>
        <v>1262419.3686146643</v>
      </c>
      <c r="AA308" s="222">
        <f>IF('Perfil - interna'!AA308+'Perfil - externa'!AA306=0,0,'Perfil - interna'!AA308+'Perfil - externa'!AA306)</f>
        <v>802186.71415711939</v>
      </c>
      <c r="AB308" s="222">
        <f>IF('Perfil - interna'!AB308+'Perfil - externa'!AB306=0,0,'Perfil - interna'!AB308+'Perfil - externa'!AB306)</f>
        <v>768189.23587608943</v>
      </c>
      <c r="AC308" s="222">
        <f>IF('Perfil - interna'!AC308+'Perfil - externa'!AC306=0,0,'Perfil - interna'!AC308+'Perfil - externa'!AC306)</f>
        <v>723704.23135652824</v>
      </c>
      <c r="AD308" s="222">
        <f>IF('Perfil - interna'!AD308+'Perfil - externa'!AD306=0,0,'Perfil - interna'!AD308+'Perfil - externa'!AD306)</f>
        <v>490151.01254000608</v>
      </c>
      <c r="AE308" s="222">
        <f>IF('Perfil - interna'!AE308+'Perfil - externa'!AE306=0,0,'Perfil - interna'!AE308+'Perfil - externa'!AE306)</f>
        <v>468114.41994045442</v>
      </c>
      <c r="AF308" s="222">
        <f>IF('Perfil - interna'!AF308+'Perfil - externa'!AF306=0,0,'Perfil - interna'!AF308+'Perfil - externa'!AF306)</f>
        <v>449724.37243480707</v>
      </c>
      <c r="AG308" s="222">
        <f>IF('Perfil - interna'!AG308+'Perfil - externa'!AG306=0,0,'Perfil - interna'!AG308+'Perfil - externa'!AG306)</f>
        <v>433677.04374633322</v>
      </c>
      <c r="AH308" s="222">
        <f>IF('Perfil - interna'!AH308+'Perfil - externa'!AH306=0,0,'Perfil - interna'!AH308+'Perfil - externa'!AH306)</f>
        <v>418562.84414529923</v>
      </c>
      <c r="AI308" s="222">
        <f>IF('Perfil - interna'!AI308+'Perfil - externa'!AI306=0,0,'Perfil - interna'!AI308+'Perfil - externa'!AI306)</f>
        <v>365439.83040726744</v>
      </c>
      <c r="AJ308" s="222">
        <f>IF('Perfil - interna'!AJ308+'Perfil - externa'!AJ306=0,0,'Perfil - interna'!AJ308+'Perfil - externa'!AJ306)</f>
        <v>318075.78384160559</v>
      </c>
      <c r="AK308" s="222">
        <f>IF('Perfil - interna'!AK308+'Perfil - externa'!AK306=0,0,'Perfil - interna'!AK308+'Perfil - externa'!AK306)</f>
        <v>312662.85339773435</v>
      </c>
      <c r="AL308" s="222">
        <f>IF('Perfil - interna'!AL308+'Perfil - externa'!AL306=0,0,'Perfil - interna'!AL308+'Perfil - externa'!AL306)</f>
        <v>309447.46345534886</v>
      </c>
      <c r="AM308" s="222">
        <f>IF('Perfil - interna'!AM308+'Perfil - externa'!AM306=0,0,'Perfil - interna'!AM308+'Perfil - externa'!AM306)</f>
        <v>307080.21361582045</v>
      </c>
      <c r="AN308" s="222">
        <f>IF('Perfil - interna'!AN308+'Perfil - externa'!AN306=0,0,'Perfil - interna'!AN308+'Perfil - externa'!AN306)</f>
        <v>0</v>
      </c>
      <c r="AO308" s="222"/>
      <c r="AP308" s="222"/>
      <c r="AQ308" s="222"/>
      <c r="AR308" s="222"/>
      <c r="AS308" s="222"/>
      <c r="AT308" s="222"/>
      <c r="AU308" s="222"/>
      <c r="AV308" s="222"/>
      <c r="AW308" s="222"/>
      <c r="AX308" s="222"/>
      <c r="AY308" s="222"/>
      <c r="AZ308" s="222"/>
      <c r="BA308" s="222"/>
      <c r="BB308" s="222"/>
      <c r="BC308" s="222"/>
      <c r="BD308" s="222"/>
      <c r="BE308" s="222"/>
      <c r="BF308" s="222"/>
      <c r="BG308" s="222"/>
      <c r="BH308" s="222"/>
      <c r="BI308" s="222"/>
      <c r="BJ308" s="222"/>
      <c r="BK308" s="222"/>
    </row>
    <row r="309" spans="1:63">
      <c r="A309" s="171"/>
      <c r="B309" s="318" t="str">
        <f>Servicio_internaColumna_título_total</f>
        <v>Total</v>
      </c>
      <c r="C309" s="319"/>
      <c r="D309" s="320"/>
      <c r="E309" s="320"/>
      <c r="F309" s="320">
        <f>IF('Perfil - interna'!F309+'Perfil - externa'!F307=0,0,'Perfil - interna'!F309+'Perfil - externa'!F307)</f>
        <v>0</v>
      </c>
      <c r="G309" s="320">
        <f>IF('Perfil - interna'!G309+'Perfil - externa'!G307=0,0,'Perfil - interna'!G309+'Perfil - externa'!G307)</f>
        <v>0</v>
      </c>
      <c r="H309" s="320">
        <f>IF('Perfil - interna'!H309+'Perfil - externa'!H307=0,0,'Perfil - interna'!H309+'Perfil - externa'!H307)</f>
        <v>0</v>
      </c>
      <c r="I309" s="320">
        <f>IF('Perfil - interna'!I309+'Perfil - externa'!I307=0,0,'Perfil - interna'!I309+'Perfil - externa'!I307)</f>
        <v>0</v>
      </c>
      <c r="J309" s="320">
        <f>IF('Perfil - interna'!J309+'Perfil - externa'!J307=0,0,'Perfil - interna'!J309+'Perfil - externa'!J307)</f>
        <v>0</v>
      </c>
      <c r="K309" s="320">
        <f>IF('Perfil - interna'!K309+'Perfil - externa'!K307=0,0,'Perfil - interna'!K309+'Perfil - externa'!K307)</f>
        <v>22141670.74783577</v>
      </c>
      <c r="L309" s="320">
        <f>IF('Perfil - interna'!L309+'Perfil - externa'!L307=0,0,'Perfil - interna'!L309+'Perfil - externa'!L307)</f>
        <v>35378447.921142727</v>
      </c>
      <c r="M309" s="320">
        <f>IF('Perfil - interna'!M309+'Perfil - externa'!M307=0,0,'Perfil - interna'!M309+'Perfil - externa'!M307)</f>
        <v>28439543.206288412</v>
      </c>
      <c r="N309" s="320">
        <f>IF('Perfil - interna'!N309+'Perfil - externa'!N307=0,0,'Perfil - interna'!N309+'Perfil - externa'!N307)</f>
        <v>29098533.883747865</v>
      </c>
      <c r="O309" s="320">
        <f>IF('Perfil - interna'!O309+'Perfil - externa'!O307=0,0,'Perfil - interna'!O309+'Perfil - externa'!O307)</f>
        <v>24830605.314491235</v>
      </c>
      <c r="P309" s="320">
        <f>IF('Perfil - interna'!P309+'Perfil - externa'!P307=0,0,'Perfil - interna'!P309+'Perfil - externa'!P307)</f>
        <v>24616420.459117498</v>
      </c>
      <c r="Q309" s="320">
        <f>IF('Perfil - interna'!Q309+'Perfil - externa'!Q307=0,0,'Perfil - interna'!Q309+'Perfil - externa'!Q307)</f>
        <v>27278337.447584443</v>
      </c>
      <c r="R309" s="320">
        <f>IF('Perfil - interna'!R309+'Perfil - externa'!R307=0,0,'Perfil - interna'!R309+'Perfil - externa'!R307)</f>
        <v>7183179.7993073203</v>
      </c>
      <c r="S309" s="320">
        <f>IF('Perfil - interna'!S309+'Perfil - externa'!S307=0,0,'Perfil - interna'!S309+'Perfil - externa'!S307)</f>
        <v>9997038.4637893178</v>
      </c>
      <c r="T309" s="320">
        <f>IF('Perfil - interna'!T309+'Perfil - externa'!T307=0,0,'Perfil - interna'!T309+'Perfil - externa'!T307)</f>
        <v>10752099.792560143</v>
      </c>
      <c r="U309" s="320">
        <f>IF('Perfil - interna'!U309+'Perfil - externa'!U307=0,0,'Perfil - interna'!U309+'Perfil - externa'!U307)</f>
        <v>9380823.7754248269</v>
      </c>
      <c r="V309" s="320">
        <f>IF('Perfil - interna'!V309+'Perfil - externa'!V307=0,0,'Perfil - interna'!V309+'Perfil - externa'!V307)</f>
        <v>14453757.476356687</v>
      </c>
      <c r="W309" s="320">
        <f>IF('Perfil - interna'!W309+'Perfil - externa'!W307=0,0,'Perfil - interna'!W309+'Perfil - externa'!W307)</f>
        <v>2935960.6290901266</v>
      </c>
      <c r="X309" s="320">
        <f>IF('Perfil - interna'!X309+'Perfil - externa'!X307=0,0,'Perfil - interna'!X309+'Perfil - externa'!X307)</f>
        <v>2758763.4148366284</v>
      </c>
      <c r="Y309" s="320">
        <f>IF('Perfil - interna'!Y309+'Perfil - externa'!Y307=0,0,'Perfil - interna'!Y309+'Perfil - externa'!Y307)</f>
        <v>7701726.6807498178</v>
      </c>
      <c r="Z309" s="320">
        <f>IF('Perfil - interna'!Z309+'Perfil - externa'!Z307=0,0,'Perfil - interna'!Z309+'Perfil - externa'!Z307)</f>
        <v>7640637.602745248</v>
      </c>
      <c r="AA309" s="320">
        <f>IF('Perfil - interna'!AA309+'Perfil - externa'!AA307=0,0,'Perfil - interna'!AA309+'Perfil - externa'!AA307)</f>
        <v>1484407.306095317</v>
      </c>
      <c r="AB309" s="320">
        <f>IF('Perfil - interna'!AB309+'Perfil - externa'!AB307=0,0,'Perfil - interna'!AB309+'Perfil - externa'!AB307)</f>
        <v>1381929.18769198</v>
      </c>
      <c r="AC309" s="320">
        <f>IF('Perfil - interna'!AC309+'Perfil - externa'!AC307=0,0,'Perfil - interna'!AC309+'Perfil - externa'!AC307)</f>
        <v>3558823.5907383701</v>
      </c>
      <c r="AD309" s="320">
        <f>IF('Perfil - interna'!AD309+'Perfil - externa'!AD307=0,0,'Perfil - interna'!AD309+'Perfil - externa'!AD307)</f>
        <v>958355.67376220413</v>
      </c>
      <c r="AE309" s="320">
        <f>IF('Perfil - interna'!AE309+'Perfil - externa'!AE307=0,0,'Perfil - interna'!AE309+'Perfil - externa'!AE307)</f>
        <v>846017.23056520056</v>
      </c>
      <c r="AF309" s="320">
        <f>IF('Perfil - interna'!AF309+'Perfil - externa'!AF307=0,0,'Perfil - interna'!AF309+'Perfil - externa'!AF307)</f>
        <v>779975.55957183894</v>
      </c>
      <c r="AG309" s="320">
        <f>IF('Perfil - interna'!AG309+'Perfil - externa'!AG307=0,0,'Perfil - interna'!AG309+'Perfil - externa'!AG307)</f>
        <v>751433.20669594174</v>
      </c>
      <c r="AH309" s="320">
        <f>IF('Perfil - interna'!AH309+'Perfil - externa'!AH307=0,0,'Perfil - interna'!AH309+'Perfil - externa'!AH307)</f>
        <v>707190.40915175865</v>
      </c>
      <c r="AI309" s="320">
        <f>IF('Perfil - interna'!AI309+'Perfil - externa'!AI307=0,0,'Perfil - interna'!AI309+'Perfil - externa'!AI307)</f>
        <v>1319289.4179719919</v>
      </c>
      <c r="AJ309" s="320">
        <f>IF('Perfil - interna'!AJ309+'Perfil - externa'!AJ307=0,0,'Perfil - interna'!AJ309+'Perfil - externa'!AJ307)</f>
        <v>455410.58389437315</v>
      </c>
      <c r="AK309" s="320">
        <f>IF('Perfil - interna'!AK309+'Perfil - externa'!AK307=0,0,'Perfil - interna'!AK309+'Perfil - externa'!AK307)</f>
        <v>372743.02189925197</v>
      </c>
      <c r="AL309" s="320">
        <f>IF('Perfil - interna'!AL309+'Perfil - externa'!AL307=0,0,'Perfil - interna'!AL309+'Perfil - externa'!AL307)</f>
        <v>369431.63601120037</v>
      </c>
      <c r="AM309" s="320">
        <f>IF('Perfil - interna'!AM309+'Perfil - externa'!AM307=0,0,'Perfil - interna'!AM309+'Perfil - externa'!AM307)</f>
        <v>4472317.2512654644</v>
      </c>
      <c r="AN309" s="320">
        <f>IF('Perfil - interna'!AN309+'Perfil - externa'!AN307=0,0,'Perfil - interna'!AN309+'Perfil - externa'!AN307)</f>
        <v>832.62427414979993</v>
      </c>
      <c r="AO309" s="320"/>
      <c r="AP309" s="320"/>
      <c r="AQ309" s="320"/>
      <c r="AR309" s="320"/>
      <c r="AS309" s="320"/>
      <c r="AT309" s="320"/>
      <c r="AU309" s="320"/>
      <c r="AV309" s="320"/>
      <c r="AW309" s="320"/>
      <c r="AX309" s="320"/>
      <c r="AY309" s="320"/>
      <c r="AZ309" s="320"/>
      <c r="BA309" s="320"/>
      <c r="BB309" s="320"/>
      <c r="BC309" s="320"/>
      <c r="BD309" s="320"/>
      <c r="BE309" s="320"/>
      <c r="BF309" s="320"/>
      <c r="BG309" s="320"/>
      <c r="BH309" s="320"/>
      <c r="BI309" s="320"/>
      <c r="BJ309" s="320"/>
      <c r="BK309" s="320"/>
    </row>
    <row r="310" spans="1:63">
      <c r="A310" s="167"/>
      <c r="B310" s="217" t="str">
        <f>Servicio_internaColumna_título_amortizaciones</f>
        <v>Amortizaciones</v>
      </c>
      <c r="C310" s="218"/>
      <c r="D310" s="219"/>
      <c r="E310" s="219"/>
      <c r="F310" s="219">
        <f>IF('Perfil - interna'!F310+'Perfil - externa'!F308=0,0,'Perfil - interna'!F310+'Perfil - externa'!F308)</f>
        <v>0</v>
      </c>
      <c r="G310" s="219">
        <f>IF('Perfil - interna'!G310+'Perfil - externa'!G308=0,0,'Perfil - interna'!G310+'Perfil - externa'!G308)</f>
        <v>0</v>
      </c>
      <c r="H310" s="219">
        <f>IF('Perfil - interna'!H310+'Perfil - externa'!H308=0,0,'Perfil - interna'!H310+'Perfil - externa'!H308)</f>
        <v>0</v>
      </c>
      <c r="I310" s="219">
        <f>IF('Perfil - interna'!I310+'Perfil - externa'!I308=0,0,'Perfil - interna'!I310+'Perfil - externa'!I308)</f>
        <v>0</v>
      </c>
      <c r="J310" s="219">
        <f>IF('Perfil - interna'!J310+'Perfil - externa'!J308=0,0,'Perfil - interna'!J310+'Perfil - externa'!J308)</f>
        <v>0</v>
      </c>
      <c r="K310" s="219">
        <f>IF('Perfil - interna'!K310+'Perfil - externa'!K308=0,0,'Perfil - interna'!K310+'Perfil - externa'!K308)</f>
        <v>10968685.961469533</v>
      </c>
      <c r="L310" s="219">
        <f>IF('Perfil - interna'!L310+'Perfil - externa'!L308=0,0,'Perfil - interna'!L310+'Perfil - externa'!L308)</f>
        <v>21439792.740712635</v>
      </c>
      <c r="M310" s="219">
        <f>IF('Perfil - interna'!M310+'Perfil - externa'!M308=0,0,'Perfil - interna'!M310+'Perfil - externa'!M308)</f>
        <v>15986553.824642491</v>
      </c>
      <c r="N310" s="219">
        <f>IF('Perfil - interna'!N310+'Perfil - externa'!N308=0,0,'Perfil - interna'!N310+'Perfil - externa'!N308)</f>
        <v>18627880.747835629</v>
      </c>
      <c r="O310" s="219">
        <f>IF('Perfil - interna'!O310+'Perfil - externa'!O308=0,0,'Perfil - interna'!O310+'Perfil - externa'!O308)</f>
        <v>15695984.365069155</v>
      </c>
      <c r="P310" s="219">
        <f>IF('Perfil - interna'!P310+'Perfil - externa'!P308=0,0,'Perfil - interna'!P310+'Perfil - externa'!P308)</f>
        <v>16909946.496298343</v>
      </c>
      <c r="Q310" s="219">
        <f>IF('Perfil - interna'!Q310+'Perfil - externa'!Q308=0,0,'Perfil - interna'!Q310+'Perfil - externa'!Q308)</f>
        <v>20670028.921676155</v>
      </c>
      <c r="R310" s="219">
        <f>IF('Perfil - interna'!R310+'Perfil - externa'!R308=0,0,'Perfil - interna'!R310+'Perfil - externa'!R308)</f>
        <v>2424448.1738776751</v>
      </c>
      <c r="S310" s="219">
        <f>IF('Perfil - interna'!S310+'Perfil - externa'!S308=0,0,'Perfil - interna'!S310+'Perfil - externa'!S308)</f>
        <v>5278277.5346199544</v>
      </c>
      <c r="T310" s="219">
        <f>IF('Perfil - interna'!T310+'Perfil - externa'!T308=0,0,'Perfil - interna'!T310+'Perfil - externa'!T308)</f>
        <v>6513139.2954562791</v>
      </c>
      <c r="U310" s="219">
        <f>IF('Perfil - interna'!U310+'Perfil - externa'!U308=0,0,'Perfil - interna'!U310+'Perfil - externa'!U308)</f>
        <v>5683560.4910756527</v>
      </c>
      <c r="V310" s="219">
        <f>IF('Perfil - interna'!V310+'Perfil - externa'!V308=0,0,'Perfil - interna'!V310+'Perfil - externa'!V308)</f>
        <v>11316411.630955484</v>
      </c>
      <c r="W310" s="219">
        <f>IF('Perfil - interna'!W310+'Perfil - externa'!W308=0,0,'Perfil - interna'!W310+'Perfil - externa'!W308)</f>
        <v>1015093.1790128964</v>
      </c>
      <c r="X310" s="219">
        <f>IF('Perfil - interna'!X310+'Perfil - externa'!X308=0,0,'Perfil - interna'!X310+'Perfil - externa'!X308)</f>
        <v>889123.18216177355</v>
      </c>
      <c r="Y310" s="219">
        <f>IF('Perfil - interna'!Y310+'Perfil - externa'!Y308=0,0,'Perfil - interna'!Y310+'Perfil - externa'!Y308)</f>
        <v>6001068.8924924172</v>
      </c>
      <c r="Z310" s="219">
        <f>IF('Perfil - interna'!Z310+'Perfil - externa'!Z308=0,0,'Perfil - interna'!Z310+'Perfil - externa'!Z308)</f>
        <v>6512484.1824769769</v>
      </c>
      <c r="AA310" s="219">
        <f>IF('Perfil - interna'!AA310+'Perfil - externa'!AA308=0,0,'Perfil - interna'!AA310+'Perfil - externa'!AA308)</f>
        <v>638048.4001614498</v>
      </c>
      <c r="AB310" s="219">
        <f>IF('Perfil - interna'!AB310+'Perfil - externa'!AB308=0,0,'Perfil - interna'!AB310+'Perfil - externa'!AB308)</f>
        <v>574026.10620834935</v>
      </c>
      <c r="AC310" s="219">
        <f>IF('Perfil - interna'!AC310+'Perfil - externa'!AC308=0,0,'Perfil - interna'!AC310+'Perfil - externa'!AC308)</f>
        <v>2684988.8178382227</v>
      </c>
      <c r="AD310" s="219">
        <f>IF('Perfil - interna'!AD310+'Perfil - externa'!AD308=0,0,'Perfil - interna'!AD310+'Perfil - externa'!AD308)</f>
        <v>437798.24296339118</v>
      </c>
      <c r="AE310" s="219">
        <f>IF('Perfil - interna'!AE310+'Perfil - externa'!AE308=0,0,'Perfil - interna'!AE310+'Perfil - externa'!AE308)</f>
        <v>353375.3810976072</v>
      </c>
      <c r="AF310" s="219">
        <f>IF('Perfil - interna'!AF310+'Perfil - externa'!AF308=0,0,'Perfil - interna'!AF310+'Perfil - externa'!AF308)</f>
        <v>308826.05703055917</v>
      </c>
      <c r="AG310" s="219">
        <f>IF('Perfil - interna'!AG310+'Perfil - externa'!AG308=0,0,'Perfil - interna'!AG310+'Perfil - externa'!AG308)</f>
        <v>297155.22884481633</v>
      </c>
      <c r="AH310" s="219">
        <f>IF('Perfil - interna'!AH310+'Perfil - externa'!AH308=0,0,'Perfil - interna'!AH310+'Perfil - externa'!AH308)</f>
        <v>269923.286129113</v>
      </c>
      <c r="AI310" s="219">
        <f>IF('Perfil - interna'!AI310+'Perfil - externa'!AI308=0,0,'Perfil - interna'!AI310+'Perfil - externa'!AI308)</f>
        <v>891831.53376264975</v>
      </c>
      <c r="AJ310" s="219">
        <f>IF('Perfil - interna'!AJ310+'Perfil - externa'!AJ308=0,0,'Perfil - interna'!AJ310+'Perfil - externa'!AJ308)</f>
        <v>127710.18209269598</v>
      </c>
      <c r="AK310" s="219">
        <f>IF('Perfil - interna'!AK310+'Perfil - externa'!AK308=0,0,'Perfil - interna'!AK310+'Perfil - externa'!AK308)</f>
        <v>56244.247992695993</v>
      </c>
      <c r="AL310" s="219">
        <f>IF('Perfil - interna'!AL310+'Perfil - externa'!AL308=0,0,'Perfil - interna'!AL310+'Perfil - externa'!AL308)</f>
        <v>56151.313936027589</v>
      </c>
      <c r="AM310" s="219">
        <f>IF('Perfil - interna'!AM310+'Perfil - externa'!AM308=0,0,'Perfil - interna'!AM310+'Perfil - externa'!AM308)</f>
        <v>3894133.6843414055</v>
      </c>
      <c r="AN310" s="219">
        <f>IF('Perfil - interna'!AN310+'Perfil - externa'!AN308=0,0,'Perfil - interna'!AN310+'Perfil - externa'!AN308)</f>
        <v>778.41731501159995</v>
      </c>
      <c r="AO310" s="219"/>
      <c r="AP310" s="219"/>
      <c r="AQ310" s="219"/>
      <c r="AR310" s="219"/>
      <c r="AS310" s="219"/>
      <c r="AT310" s="219"/>
      <c r="AU310" s="219"/>
      <c r="AV310" s="219"/>
      <c r="AW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J310" s="219"/>
      <c r="BK310" s="219"/>
    </row>
    <row r="311" spans="1:63">
      <c r="A311" s="170">
        <v>39994</v>
      </c>
      <c r="B311" s="220" t="str">
        <f>Servicio_internaColumna_título_intereses</f>
        <v>Intereses</v>
      </c>
      <c r="C311" s="221"/>
      <c r="D311" s="222"/>
      <c r="E311" s="222"/>
      <c r="F311" s="222">
        <f>IF('Perfil - interna'!F311+'Perfil - externa'!F309=0,0,'Perfil - interna'!F311+'Perfil - externa'!F309)</f>
        <v>0</v>
      </c>
      <c r="G311" s="222">
        <f>IF('Perfil - interna'!G311+'Perfil - externa'!G309=0,0,'Perfil - interna'!G311+'Perfil - externa'!G309)</f>
        <v>0</v>
      </c>
      <c r="H311" s="222">
        <f>IF('Perfil - interna'!H311+'Perfil - externa'!H309=0,0,'Perfil - interna'!H311+'Perfil - externa'!H309)</f>
        <v>0</v>
      </c>
      <c r="I311" s="222">
        <f>IF('Perfil - interna'!I311+'Perfil - externa'!I309=0,0,'Perfil - interna'!I311+'Perfil - externa'!I309)</f>
        <v>0</v>
      </c>
      <c r="J311" s="222">
        <f>IF('Perfil - interna'!J311+'Perfil - externa'!J309=0,0,'Perfil - interna'!J311+'Perfil - externa'!J309)</f>
        <v>0</v>
      </c>
      <c r="K311" s="222">
        <f>IF('Perfil - interna'!K311+'Perfil - externa'!K309=0,0,'Perfil - interna'!K311+'Perfil - externa'!K309)</f>
        <v>8333469.9144750349</v>
      </c>
      <c r="L311" s="222">
        <f>IF('Perfil - interna'!L311+'Perfil - externa'!L309=0,0,'Perfil - interna'!L311+'Perfil - externa'!L309)</f>
        <v>13804224.000897313</v>
      </c>
      <c r="M311" s="222">
        <f>IF('Perfil - interna'!M311+'Perfil - externa'!M309=0,0,'Perfil - interna'!M311+'Perfil - externa'!M309)</f>
        <v>12225346.268136384</v>
      </c>
      <c r="N311" s="222">
        <f>IF('Perfil - interna'!N311+'Perfil - externa'!N309=0,0,'Perfil - interna'!N311+'Perfil - externa'!N309)</f>
        <v>10624100.720234124</v>
      </c>
      <c r="O311" s="222">
        <f>IF('Perfil - interna'!O311+'Perfil - externa'!O309=0,0,'Perfil - interna'!O311+'Perfil - externa'!O309)</f>
        <v>8962688.0276441369</v>
      </c>
      <c r="P311" s="222">
        <f>IF('Perfil - interna'!P311+'Perfil - externa'!P309=0,0,'Perfil - interna'!P311+'Perfil - externa'!P309)</f>
        <v>7698521.1570288008</v>
      </c>
      <c r="Q311" s="222">
        <f>IF('Perfil - interna'!Q311+'Perfil - externa'!Q309=0,0,'Perfil - interna'!Q311+'Perfil - externa'!Q309)</f>
        <v>6090286.8202734385</v>
      </c>
      <c r="R311" s="222">
        <f>IF('Perfil - interna'!R311+'Perfil - externa'!R309=0,0,'Perfil - interna'!R311+'Perfil - externa'!R309)</f>
        <v>4433749.9245798998</v>
      </c>
      <c r="S311" s="222">
        <f>IF('Perfil - interna'!S311+'Perfil - externa'!S309=0,0,'Perfil - interna'!S311+'Perfil - externa'!S309)</f>
        <v>4199000.286496982</v>
      </c>
      <c r="T311" s="222">
        <f>IF('Perfil - interna'!T311+'Perfil - externa'!T309=0,0,'Perfil - interna'!T311+'Perfil - externa'!T309)</f>
        <v>3993734.6019190298</v>
      </c>
      <c r="U311" s="222">
        <f>IF('Perfil - interna'!U311+'Perfil - externa'!U309=0,0,'Perfil - interna'!U311+'Perfil - externa'!U309)</f>
        <v>3215272.5166062554</v>
      </c>
      <c r="V311" s="222">
        <f>IF('Perfil - interna'!V311+'Perfil - externa'!V309=0,0,'Perfil - interna'!V311+'Perfil - externa'!V309)</f>
        <v>2900433.0508438284</v>
      </c>
      <c r="W311" s="222">
        <f>IF('Perfil - interna'!W311+'Perfil - externa'!W309=0,0,'Perfil - interna'!W311+'Perfil - externa'!W309)</f>
        <v>1825699.3918475343</v>
      </c>
      <c r="X311" s="222">
        <f>IF('Perfil - interna'!X311+'Perfil - externa'!X309=0,0,'Perfil - interna'!X311+'Perfil - externa'!X309)</f>
        <v>1785288.8776822349</v>
      </c>
      <c r="Y311" s="222">
        <f>IF('Perfil - interna'!Y311+'Perfil - externa'!Y309=0,0,'Perfil - interna'!Y311+'Perfil - externa'!Y309)</f>
        <v>1752914.3430154102</v>
      </c>
      <c r="Z311" s="222">
        <f>IF('Perfil - interna'!Z311+'Perfil - externa'!Z309=0,0,'Perfil - interna'!Z311+'Perfil - externa'!Z309)</f>
        <v>1241809.7369878707</v>
      </c>
      <c r="AA311" s="222">
        <f>IF('Perfil - interna'!AA311+'Perfil - externa'!AA309=0,0,'Perfil - interna'!AA311+'Perfil - externa'!AA309)</f>
        <v>755827.65545846079</v>
      </c>
      <c r="AB311" s="222">
        <f>IF('Perfil - interna'!AB311+'Perfil - externa'!AB309=0,0,'Perfil - interna'!AB311+'Perfil - externa'!AB309)</f>
        <v>723329.50170656771</v>
      </c>
      <c r="AC311" s="222">
        <f>IF('Perfil - interna'!AC311+'Perfil - externa'!AC309=0,0,'Perfil - interna'!AC311+'Perfil - externa'!AC309)</f>
        <v>681118.56346798141</v>
      </c>
      <c r="AD311" s="222">
        <f>IF('Perfil - interna'!AD311+'Perfil - externa'!AD309=0,0,'Perfil - interna'!AD311+'Perfil - externa'!AD309)</f>
        <v>459435.18596405297</v>
      </c>
      <c r="AE311" s="222">
        <f>IF('Perfil - interna'!AE311+'Perfil - externa'!AE309=0,0,'Perfil - interna'!AE311+'Perfil - externa'!AE309)</f>
        <v>438656.50835205155</v>
      </c>
      <c r="AF311" s="222">
        <f>IF('Perfil - interna'!AF311+'Perfil - externa'!AF309=0,0,'Perfil - interna'!AF311+'Perfil - externa'!AF309)</f>
        <v>421050.59805698053</v>
      </c>
      <c r="AG311" s="222">
        <f>IF('Perfil - interna'!AG311+'Perfil - externa'!AG309=0,0,'Perfil - interna'!AG311+'Perfil - externa'!AG309)</f>
        <v>405731.81364570354</v>
      </c>
      <c r="AH311" s="222">
        <f>IF('Perfil - interna'!AH311+'Perfil - externa'!AH309=0,0,'Perfil - interna'!AH311+'Perfil - externa'!AH309)</f>
        <v>391389.87877429317</v>
      </c>
      <c r="AI311" s="222">
        <f>IF('Perfil - interna'!AI311+'Perfil - externa'!AI309=0,0,'Perfil - interna'!AI311+'Perfil - externa'!AI309)</f>
        <v>341630.65589442221</v>
      </c>
      <c r="AJ311" s="222">
        <f>IF('Perfil - interna'!AJ311+'Perfil - externa'!AJ309=0,0,'Perfil - interna'!AJ311+'Perfil - externa'!AJ309)</f>
        <v>297352.77192513377</v>
      </c>
      <c r="AK311" s="222">
        <f>IF('Perfil - interna'!AK311+'Perfil - externa'!AK309=0,0,'Perfil - interna'!AK311+'Perfil - externa'!AK309)</f>
        <v>292311.20455360872</v>
      </c>
      <c r="AL311" s="222">
        <f>IF('Perfil - interna'!AL311+'Perfil - externa'!AL309=0,0,'Perfil - interna'!AL311+'Perfil - externa'!AL309)</f>
        <v>289303.71324973862</v>
      </c>
      <c r="AM311" s="222">
        <f>IF('Perfil - interna'!AM311+'Perfil - externa'!AM309=0,0,'Perfil - interna'!AM311+'Perfil - externa'!AM309)</f>
        <v>287089.17928720458</v>
      </c>
      <c r="AN311" s="222">
        <f>IF('Perfil - interna'!AN311+'Perfil - externa'!AN309=0,0,'Perfil - interna'!AN311+'Perfil - externa'!AN309)</f>
        <v>0</v>
      </c>
      <c r="AO311" s="222"/>
      <c r="AP311" s="222"/>
      <c r="AQ311" s="222"/>
      <c r="AR311" s="222"/>
      <c r="AS311" s="222"/>
      <c r="AT311" s="222"/>
      <c r="AU311" s="222"/>
      <c r="AV311" s="222"/>
      <c r="AW311" s="222"/>
      <c r="AX311" s="222"/>
      <c r="AY311" s="222"/>
      <c r="AZ311" s="222"/>
      <c r="BA311" s="222"/>
      <c r="BB311" s="222"/>
      <c r="BC311" s="222"/>
      <c r="BD311" s="222"/>
      <c r="BE311" s="222"/>
      <c r="BF311" s="222"/>
      <c r="BG311" s="222"/>
      <c r="BH311" s="222"/>
      <c r="BI311" s="222"/>
      <c r="BJ311" s="222"/>
      <c r="BK311" s="222"/>
    </row>
    <row r="312" spans="1:63">
      <c r="A312" s="171"/>
      <c r="B312" s="318" t="str">
        <f>Servicio_internaColumna_título_total</f>
        <v>Total</v>
      </c>
      <c r="C312" s="319"/>
      <c r="D312" s="320"/>
      <c r="E312" s="320"/>
      <c r="F312" s="320">
        <f>IF('Perfil - interna'!F312+'Perfil - externa'!F310=0,0,'Perfil - interna'!F312+'Perfil - externa'!F310)</f>
        <v>0</v>
      </c>
      <c r="G312" s="320">
        <f>IF('Perfil - interna'!G312+'Perfil - externa'!G310=0,0,'Perfil - interna'!G312+'Perfil - externa'!G310)</f>
        <v>0</v>
      </c>
      <c r="H312" s="320">
        <f>IF('Perfil - interna'!H312+'Perfil - externa'!H310=0,0,'Perfil - interna'!H312+'Perfil - externa'!H310)</f>
        <v>0</v>
      </c>
      <c r="I312" s="320">
        <f>IF('Perfil - interna'!I312+'Perfil - externa'!I310=0,0,'Perfil - interna'!I312+'Perfil - externa'!I310)</f>
        <v>0</v>
      </c>
      <c r="J312" s="320">
        <f>IF('Perfil - interna'!J312+'Perfil - externa'!J310=0,0,'Perfil - interna'!J312+'Perfil - externa'!J310)</f>
        <v>0</v>
      </c>
      <c r="K312" s="320">
        <f>IF('Perfil - interna'!K312+'Perfil - externa'!K310=0,0,'Perfil - interna'!K312+'Perfil - externa'!K310)</f>
        <v>19302155.87594457</v>
      </c>
      <c r="L312" s="320">
        <f>IF('Perfil - interna'!L312+'Perfil - externa'!L310=0,0,'Perfil - interna'!L312+'Perfil - externa'!L310)</f>
        <v>35244016.741609946</v>
      </c>
      <c r="M312" s="320">
        <f>IF('Perfil - interna'!M312+'Perfil - externa'!M310=0,0,'Perfil - interna'!M312+'Perfil - externa'!M310)</f>
        <v>28211900.092778876</v>
      </c>
      <c r="N312" s="320">
        <f>IF('Perfil - interna'!N312+'Perfil - externa'!N310=0,0,'Perfil - interna'!N312+'Perfil - externa'!N310)</f>
        <v>29251981.468069751</v>
      </c>
      <c r="O312" s="320">
        <f>IF('Perfil - interna'!O312+'Perfil - externa'!O310=0,0,'Perfil - interna'!O312+'Perfil - externa'!O310)</f>
        <v>24658672.392713293</v>
      </c>
      <c r="P312" s="320">
        <f>IF('Perfil - interna'!P312+'Perfil - externa'!P310=0,0,'Perfil - interna'!P312+'Perfil - externa'!P310)</f>
        <v>24608467.653327145</v>
      </c>
      <c r="Q312" s="320">
        <f>IF('Perfil - interna'!Q312+'Perfil - externa'!Q310=0,0,'Perfil - interna'!Q312+'Perfil - externa'!Q310)</f>
        <v>26760315.741949596</v>
      </c>
      <c r="R312" s="320">
        <f>IF('Perfil - interna'!R312+'Perfil - externa'!R310=0,0,'Perfil - interna'!R312+'Perfil - externa'!R310)</f>
        <v>6858198.0984575748</v>
      </c>
      <c r="S312" s="320">
        <f>IF('Perfil - interna'!S312+'Perfil - externa'!S310=0,0,'Perfil - interna'!S312+'Perfil - externa'!S310)</f>
        <v>9477277.8211169355</v>
      </c>
      <c r="T312" s="320">
        <f>IF('Perfil - interna'!T312+'Perfil - externa'!T310=0,0,'Perfil - interna'!T312+'Perfil - externa'!T310)</f>
        <v>10506873.897375308</v>
      </c>
      <c r="U312" s="320">
        <f>IF('Perfil - interna'!U312+'Perfil - externa'!U310=0,0,'Perfil - interna'!U312+'Perfil - externa'!U310)</f>
        <v>8898833.0076819081</v>
      </c>
      <c r="V312" s="320">
        <f>IF('Perfil - interna'!V312+'Perfil - externa'!V310=0,0,'Perfil - interna'!V312+'Perfil - externa'!V310)</f>
        <v>14216844.681799313</v>
      </c>
      <c r="W312" s="320">
        <f>IF('Perfil - interna'!W312+'Perfil - externa'!W310=0,0,'Perfil - interna'!W312+'Perfil - externa'!W310)</f>
        <v>2840792.5708604306</v>
      </c>
      <c r="X312" s="320">
        <f>IF('Perfil - interna'!X312+'Perfil - externa'!X310=0,0,'Perfil - interna'!X312+'Perfil - externa'!X310)</f>
        <v>2674412.0598440086</v>
      </c>
      <c r="Y312" s="320">
        <f>IF('Perfil - interna'!Y312+'Perfil - externa'!Y310=0,0,'Perfil - interna'!Y312+'Perfil - externa'!Y310)</f>
        <v>7753983.2355078273</v>
      </c>
      <c r="Z312" s="320">
        <f>IF('Perfil - interna'!Z312+'Perfil - externa'!Z310=0,0,'Perfil - interna'!Z312+'Perfil - externa'!Z310)</f>
        <v>7754293.9194648471</v>
      </c>
      <c r="AA312" s="320">
        <f>IF('Perfil - interna'!AA312+'Perfil - externa'!AA310=0,0,'Perfil - interna'!AA312+'Perfil - externa'!AA310)</f>
        <v>1393876.0556199106</v>
      </c>
      <c r="AB312" s="320">
        <f>IF('Perfil - interna'!AB312+'Perfil - externa'!AB310=0,0,'Perfil - interna'!AB312+'Perfil - externa'!AB310)</f>
        <v>1297355.6079149172</v>
      </c>
      <c r="AC312" s="320">
        <f>IF('Perfil - interna'!AC312+'Perfil - externa'!AC310=0,0,'Perfil - interna'!AC312+'Perfil - externa'!AC310)</f>
        <v>3366107.381306204</v>
      </c>
      <c r="AD312" s="320">
        <f>IF('Perfil - interna'!AD312+'Perfil - externa'!AD310=0,0,'Perfil - interna'!AD312+'Perfil - externa'!AD310)</f>
        <v>897233.42892744415</v>
      </c>
      <c r="AE312" s="320">
        <f>IF('Perfil - interna'!AE312+'Perfil - externa'!AE310=0,0,'Perfil - interna'!AE312+'Perfil - externa'!AE310)</f>
        <v>792031.8894496588</v>
      </c>
      <c r="AF312" s="320">
        <f>IF('Perfil - interna'!AF312+'Perfil - externa'!AF310=0,0,'Perfil - interna'!AF312+'Perfil - externa'!AF310)</f>
        <v>729876.65508753969</v>
      </c>
      <c r="AG312" s="320">
        <f>IF('Perfil - interna'!AG312+'Perfil - externa'!AG310=0,0,'Perfil - interna'!AG312+'Perfil - externa'!AG310)</f>
        <v>702887.04249051982</v>
      </c>
      <c r="AH312" s="320">
        <f>IF('Perfil - interna'!AH312+'Perfil - externa'!AH310=0,0,'Perfil - interna'!AH312+'Perfil - externa'!AH310)</f>
        <v>661313.16490340617</v>
      </c>
      <c r="AI312" s="320">
        <f>IF('Perfil - interna'!AI312+'Perfil - externa'!AI310=0,0,'Perfil - interna'!AI312+'Perfil - externa'!AI310)</f>
        <v>1233462.1896570721</v>
      </c>
      <c r="AJ312" s="320">
        <f>IF('Perfil - interna'!AJ312+'Perfil - externa'!AJ310=0,0,'Perfil - interna'!AJ312+'Perfil - externa'!AJ310)</f>
        <v>425062.95401782973</v>
      </c>
      <c r="AK312" s="320">
        <f>IF('Perfil - interna'!AK312+'Perfil - externa'!AK310=0,0,'Perfil - interna'!AK312+'Perfil - externa'!AK310)</f>
        <v>348555.45254630473</v>
      </c>
      <c r="AL312" s="320">
        <f>IF('Perfil - interna'!AL312+'Perfil - externa'!AL310=0,0,'Perfil - interna'!AL312+'Perfil - externa'!AL310)</f>
        <v>345455.0271857662</v>
      </c>
      <c r="AM312" s="320">
        <f>IF('Perfil - interna'!AM312+'Perfil - externa'!AM310=0,0,'Perfil - interna'!AM312+'Perfil - externa'!AM310)</f>
        <v>4181222.86362861</v>
      </c>
      <c r="AN312" s="320">
        <f>IF('Perfil - interna'!AN312+'Perfil - externa'!AN310=0,0,'Perfil - interna'!AN312+'Perfil - externa'!AN310)</f>
        <v>778.41731501159995</v>
      </c>
      <c r="AO312" s="320"/>
      <c r="AP312" s="320"/>
      <c r="AQ312" s="320"/>
      <c r="AR312" s="320"/>
      <c r="AS312" s="320"/>
      <c r="AT312" s="320"/>
      <c r="AU312" s="320"/>
      <c r="AV312" s="320"/>
      <c r="AW312" s="320"/>
      <c r="AX312" s="320"/>
      <c r="AY312" s="320"/>
      <c r="AZ312" s="320"/>
      <c r="BA312" s="320"/>
      <c r="BB312" s="320"/>
      <c r="BC312" s="320"/>
      <c r="BD312" s="320"/>
      <c r="BE312" s="320"/>
      <c r="BF312" s="320"/>
      <c r="BG312" s="320"/>
      <c r="BH312" s="320"/>
      <c r="BI312" s="320"/>
      <c r="BJ312" s="320"/>
      <c r="BK312" s="320"/>
    </row>
    <row r="313" spans="1:63">
      <c r="A313" s="167"/>
      <c r="B313" s="217" t="str">
        <f>Servicio_internaColumna_título_amortizaciones</f>
        <v>Amortizaciones</v>
      </c>
      <c r="C313" s="218"/>
      <c r="D313" s="219"/>
      <c r="E313" s="219"/>
      <c r="F313" s="219">
        <f>IF('Perfil - interna'!F313+'Perfil - externa'!F311=0,0,'Perfil - interna'!F313+'Perfil - externa'!F311)</f>
        <v>0</v>
      </c>
      <c r="G313" s="219">
        <f>IF('Perfil - interna'!G313+'Perfil - externa'!G311=0,0,'Perfil - interna'!G313+'Perfil - externa'!G311)</f>
        <v>0</v>
      </c>
      <c r="H313" s="219">
        <f>IF('Perfil - interna'!H313+'Perfil - externa'!H311=0,0,'Perfil - interna'!H313+'Perfil - externa'!H311)</f>
        <v>0</v>
      </c>
      <c r="I313" s="219">
        <f>IF('Perfil - interna'!I313+'Perfil - externa'!I311=0,0,'Perfil - interna'!I313+'Perfil - externa'!I311)</f>
        <v>0</v>
      </c>
      <c r="J313" s="219">
        <f>IF('Perfil - interna'!J313+'Perfil - externa'!J311=0,0,'Perfil - interna'!J313+'Perfil - externa'!J311)</f>
        <v>0</v>
      </c>
      <c r="K313" s="219">
        <f>IF('Perfil - interna'!K313+'Perfil - externa'!K311=0,0,'Perfil - interna'!K313+'Perfil - externa'!K311)</f>
        <v>4727846.5993973417</v>
      </c>
      <c r="L313" s="219">
        <f>IF('Perfil - interna'!L313+'Perfil - externa'!L311=0,0,'Perfil - interna'!L313+'Perfil - externa'!L311)</f>
        <v>21888806.980451893</v>
      </c>
      <c r="M313" s="219">
        <f>IF('Perfil - interna'!M313+'Perfil - externa'!M311=0,0,'Perfil - interna'!M313+'Perfil - externa'!M311)</f>
        <v>16005536.757319381</v>
      </c>
      <c r="N313" s="219">
        <f>IF('Perfil - interna'!N313+'Perfil - externa'!N311=0,0,'Perfil - interna'!N313+'Perfil - externa'!N311)</f>
        <v>19271832.716778114</v>
      </c>
      <c r="O313" s="219">
        <f>IF('Perfil - interna'!O313+'Perfil - externa'!O311=0,0,'Perfil - interna'!O313+'Perfil - externa'!O311)</f>
        <v>16091736.656185191</v>
      </c>
      <c r="P313" s="219">
        <f>IF('Perfil - interna'!P313+'Perfil - externa'!P311=0,0,'Perfil - interna'!P313+'Perfil - externa'!P311)</f>
        <v>17522764.107386507</v>
      </c>
      <c r="Q313" s="219">
        <f>IF('Perfil - interna'!Q313+'Perfil - externa'!Q311=0,0,'Perfil - interna'!Q313+'Perfil - externa'!Q311)</f>
        <v>21000404.085787524</v>
      </c>
      <c r="R313" s="219">
        <f>IF('Perfil - interna'!R313+'Perfil - externa'!R311=0,0,'Perfil - interna'!R313+'Perfil - externa'!R311)</f>
        <v>2480261.0373410424</v>
      </c>
      <c r="S313" s="219">
        <f>IF('Perfil - interna'!S313+'Perfil - externa'!S311=0,0,'Perfil - interna'!S313+'Perfil - externa'!S311)</f>
        <v>5336219.3486009818</v>
      </c>
      <c r="T313" s="219">
        <f>IF('Perfil - interna'!T313+'Perfil - externa'!T311=0,0,'Perfil - interna'!T313+'Perfil - externa'!T311)</f>
        <v>6536404.3216911182</v>
      </c>
      <c r="U313" s="219">
        <f>IF('Perfil - interna'!U313+'Perfil - externa'!U311=0,0,'Perfil - interna'!U313+'Perfil - externa'!U311)</f>
        <v>5740510.2249374473</v>
      </c>
      <c r="V313" s="219">
        <f>IF('Perfil - interna'!V313+'Perfil - externa'!V311=0,0,'Perfil - interna'!V313+'Perfil - externa'!V311)</f>
        <v>11356928.177459415</v>
      </c>
      <c r="W313" s="219">
        <f>IF('Perfil - interna'!W313+'Perfil - externa'!W311=0,0,'Perfil - interna'!W313+'Perfil - externa'!W311)</f>
        <v>1049039.279355566</v>
      </c>
      <c r="X313" s="219">
        <f>IF('Perfil - interna'!X313+'Perfil - externa'!X311=0,0,'Perfil - interna'!X313+'Perfil - externa'!X311)</f>
        <v>920750.96583752974</v>
      </c>
      <c r="Y313" s="219">
        <f>IF('Perfil - interna'!Y313+'Perfil - externa'!Y311=0,0,'Perfil - interna'!Y313+'Perfil - externa'!Y311)</f>
        <v>6194249.3131350838</v>
      </c>
      <c r="Z313" s="219">
        <f>IF('Perfil - interna'!Z313+'Perfil - externa'!Z311=0,0,'Perfil - interna'!Z313+'Perfil - externa'!Z311)</f>
        <v>7385919.8676762115</v>
      </c>
      <c r="AA313" s="219">
        <f>IF('Perfil - interna'!AA313+'Perfil - externa'!AA311=0,0,'Perfil - interna'!AA313+'Perfil - externa'!AA311)</f>
        <v>663894.6946950159</v>
      </c>
      <c r="AB313" s="219">
        <f>IF('Perfil - interna'!AB313+'Perfil - externa'!AB311=0,0,'Perfil - interna'!AB313+'Perfil - externa'!AB311)</f>
        <v>599333.76243976294</v>
      </c>
      <c r="AC313" s="219">
        <f>IF('Perfil - interna'!AC313+'Perfil - externa'!AC311=0,0,'Perfil - interna'!AC313+'Perfil - externa'!AC311)</f>
        <v>2925663.1917703548</v>
      </c>
      <c r="AD313" s="219">
        <f>IF('Perfil - interna'!AD313+'Perfil - externa'!AD311=0,0,'Perfil - interna'!AD313+'Perfil - externa'!AD311)</f>
        <v>461932.35897171852</v>
      </c>
      <c r="AE313" s="219">
        <f>IF('Perfil - interna'!AE313+'Perfil - externa'!AE311=0,0,'Perfil - interna'!AE313+'Perfil - externa'!AE311)</f>
        <v>376828.57003000734</v>
      </c>
      <c r="AF313" s="219">
        <f>IF('Perfil - interna'!AF313+'Perfil - externa'!AF311=0,0,'Perfil - interna'!AF313+'Perfil - externa'!AF311)</f>
        <v>331875.09223733458</v>
      </c>
      <c r="AG313" s="219">
        <f>IF('Perfil - interna'!AG313+'Perfil - externa'!AG311=0,0,'Perfil - interna'!AG313+'Perfil - externa'!AG311)</f>
        <v>320106.07429877314</v>
      </c>
      <c r="AH313" s="219">
        <f>IF('Perfil - interna'!AH313+'Perfil - externa'!AH311=0,0,'Perfil - interna'!AH313+'Perfil - externa'!AH311)</f>
        <v>292626.19533365127</v>
      </c>
      <c r="AI313" s="219">
        <f>IF('Perfil - interna'!AI313+'Perfil - externa'!AI311=0,0,'Perfil - interna'!AI313+'Perfil - externa'!AI311)</f>
        <v>910077.04982464877</v>
      </c>
      <c r="AJ313" s="219">
        <f>IF('Perfil - interna'!AJ313+'Perfil - externa'!AJ311=0,0,'Perfil - interna'!AJ313+'Perfil - externa'!AJ311)</f>
        <v>128809.19717833739</v>
      </c>
      <c r="AK313" s="219">
        <f>IF('Perfil - interna'!AK313+'Perfil - externa'!AK311=0,0,'Perfil - interna'!AK313+'Perfil - externa'!AK311)</f>
        <v>56741.999228337401</v>
      </c>
      <c r="AL313" s="219">
        <f>IF('Perfil - interna'!AL313+'Perfil - externa'!AL311=0,0,'Perfil - interna'!AL313+'Perfil - externa'!AL311)</f>
        <v>56648.283290211599</v>
      </c>
      <c r="AM313" s="219">
        <f>IF('Perfil - interna'!AM313+'Perfil - externa'!AM311=0,0,'Perfil - interna'!AM313+'Perfil - externa'!AM311)</f>
        <v>3926920.7357612173</v>
      </c>
      <c r="AN313" s="219">
        <f>IF('Perfil - interna'!AN313+'Perfil - externa'!AN311=0,0,'Perfil - interna'!AN313+'Perfil - externa'!AN311)</f>
        <v>784.96636803419995</v>
      </c>
      <c r="AO313" s="219"/>
      <c r="AP313" s="219"/>
      <c r="AQ313" s="219"/>
      <c r="AR313" s="219"/>
      <c r="AS313" s="219"/>
      <c r="AT313" s="219"/>
      <c r="AU313" s="219"/>
      <c r="AV313" s="219"/>
      <c r="AW313" s="219"/>
      <c r="AX313" s="219"/>
      <c r="AY313" s="219"/>
      <c r="AZ313" s="219"/>
      <c r="BA313" s="219"/>
      <c r="BB313" s="219"/>
      <c r="BC313" s="219"/>
      <c r="BD313" s="219"/>
      <c r="BE313" s="219"/>
      <c r="BF313" s="219"/>
      <c r="BG313" s="219"/>
      <c r="BH313" s="219"/>
      <c r="BI313" s="219"/>
      <c r="BJ313" s="219"/>
      <c r="BK313" s="219"/>
    </row>
    <row r="314" spans="1:63">
      <c r="A314" s="170">
        <v>40025</v>
      </c>
      <c r="B314" s="220" t="str">
        <f>Servicio_internaColumna_título_intereses</f>
        <v>Intereses</v>
      </c>
      <c r="C314" s="221"/>
      <c r="D314" s="222"/>
      <c r="E314" s="222"/>
      <c r="F314" s="222">
        <f>IF('Perfil - interna'!F314+'Perfil - externa'!F312=0,0,'Perfil - interna'!F314+'Perfil - externa'!F312)</f>
        <v>0</v>
      </c>
      <c r="G314" s="222">
        <f>IF('Perfil - interna'!G314+'Perfil - externa'!G312=0,0,'Perfil - interna'!G314+'Perfil - externa'!G312)</f>
        <v>0</v>
      </c>
      <c r="H314" s="222">
        <f>IF('Perfil - interna'!H314+'Perfil - externa'!H312=0,0,'Perfil - interna'!H314+'Perfil - externa'!H312)</f>
        <v>0</v>
      </c>
      <c r="I314" s="222">
        <f>IF('Perfil - interna'!I314+'Perfil - externa'!I312=0,0,'Perfil - interna'!I314+'Perfil - externa'!I312)</f>
        <v>0</v>
      </c>
      <c r="J314" s="222">
        <f>IF('Perfil - interna'!J314+'Perfil - externa'!J312=0,0,'Perfil - interna'!J314+'Perfil - externa'!J312)</f>
        <v>0</v>
      </c>
      <c r="K314" s="222">
        <f>IF('Perfil - interna'!K314+'Perfil - externa'!K312=0,0,'Perfil - interna'!K314+'Perfil - externa'!K312)</f>
        <v>5992708.9673302695</v>
      </c>
      <c r="L314" s="222">
        <f>IF('Perfil - interna'!L314+'Perfil - externa'!L312=0,0,'Perfil - interna'!L314+'Perfil - externa'!L312)</f>
        <v>14111664.561167581</v>
      </c>
      <c r="M314" s="222">
        <f>IF('Perfil - interna'!M314+'Perfil - externa'!M312=0,0,'Perfil - interna'!M314+'Perfil - externa'!M312)</f>
        <v>12506981.697166454</v>
      </c>
      <c r="N314" s="222">
        <f>IF('Perfil - interna'!N314+'Perfil - externa'!N312=0,0,'Perfil - interna'!N314+'Perfil - externa'!N312)</f>
        <v>10923618.126354154</v>
      </c>
      <c r="O314" s="222">
        <f>IF('Perfil - interna'!O314+'Perfil - externa'!O312=0,0,'Perfil - interna'!O314+'Perfil - externa'!O312)</f>
        <v>9217634.1017632764</v>
      </c>
      <c r="P314" s="222">
        <f>IF('Perfil - interna'!P314+'Perfil - externa'!P312=0,0,'Perfil - interna'!P314+'Perfil - externa'!P312)</f>
        <v>7949960.2992657516</v>
      </c>
      <c r="Q314" s="222">
        <f>IF('Perfil - interna'!Q314+'Perfil - externa'!Q312=0,0,'Perfil - interna'!Q314+'Perfil - externa'!Q312)</f>
        <v>6285591.0485856049</v>
      </c>
      <c r="R314" s="222">
        <f>IF('Perfil - interna'!R314+'Perfil - externa'!R312=0,0,'Perfil - interna'!R314+'Perfil - externa'!R312)</f>
        <v>4591884.0799917094</v>
      </c>
      <c r="S314" s="222">
        <f>IF('Perfil - interna'!S314+'Perfil - externa'!S312=0,0,'Perfil - interna'!S314+'Perfil - externa'!S312)</f>
        <v>4352729.8600262953</v>
      </c>
      <c r="T314" s="222">
        <f>IF('Perfil - interna'!T314+'Perfil - externa'!T312=0,0,'Perfil - interna'!T314+'Perfil - externa'!T312)</f>
        <v>4144569.0844599875</v>
      </c>
      <c r="U314" s="222">
        <f>IF('Perfil - interna'!U314+'Perfil - externa'!U312=0,0,'Perfil - interna'!U314+'Perfil - externa'!U312)</f>
        <v>3363187.9080435978</v>
      </c>
      <c r="V314" s="222">
        <f>IF('Perfil - interna'!V314+'Perfil - externa'!V312=0,0,'Perfil - interna'!V314+'Perfil - externa'!V312)</f>
        <v>3044943.255491511</v>
      </c>
      <c r="W314" s="222">
        <f>IF('Perfil - interna'!W314+'Perfil - externa'!W312=0,0,'Perfil - interna'!W314+'Perfil - externa'!W312)</f>
        <v>1967312.8243975511</v>
      </c>
      <c r="X314" s="222">
        <f>IF('Perfil - interna'!X314+'Perfil - externa'!X312=0,0,'Perfil - interna'!X314+'Perfil - externa'!X312)</f>
        <v>1924768.650716105</v>
      </c>
      <c r="Y314" s="222">
        <f>IF('Perfil - interna'!Y314+'Perfil - externa'!Y312=0,0,'Perfil - interna'!Y314+'Perfil - externa'!Y312)</f>
        <v>1890672.7231181427</v>
      </c>
      <c r="Z314" s="222">
        <f>IF('Perfil - interna'!Z314+'Perfil - externa'!Z312=0,0,'Perfil - interna'!Z314+'Perfil - externa'!Z312)</f>
        <v>1364737.7937017141</v>
      </c>
      <c r="AA314" s="222">
        <f>IF('Perfil - interna'!AA314+'Perfil - externa'!AA312=0,0,'Perfil - interna'!AA314+'Perfil - externa'!AA312)</f>
        <v>793279.95627648942</v>
      </c>
      <c r="AB314" s="222">
        <f>IF('Perfil - interna'!AB314+'Perfil - externa'!AB312=0,0,'Perfil - interna'!AB314+'Perfil - externa'!AB312)</f>
        <v>759015.08895194856</v>
      </c>
      <c r="AC314" s="222">
        <f>IF('Perfil - interna'!AC314+'Perfil - externa'!AC312=0,0,'Perfil - interna'!AC314+'Perfil - externa'!AC312)</f>
        <v>714971.64704626403</v>
      </c>
      <c r="AD314" s="222">
        <f>IF('Perfil - interna'!AD314+'Perfil - externa'!AD312=0,0,'Perfil - interna'!AD314+'Perfil - externa'!AD312)</f>
        <v>470665.85172399459</v>
      </c>
      <c r="AE314" s="222">
        <f>IF('Perfil - interna'!AE314+'Perfil - externa'!AE312=0,0,'Perfil - interna'!AE314+'Perfil - externa'!AE312)</f>
        <v>448330.37563120399</v>
      </c>
      <c r="AF314" s="222">
        <f>IF('Perfil - interna'!AF314+'Perfil - externa'!AF312=0,0,'Perfil - interna'!AF314+'Perfil - externa'!AF312)</f>
        <v>429121.58555307891</v>
      </c>
      <c r="AG314" s="222">
        <f>IF('Perfil - interna'!AG314+'Perfil - externa'!AG312=0,0,'Perfil - interna'!AG314+'Perfil - externa'!AG312)</f>
        <v>412252.96517493867</v>
      </c>
      <c r="AH314" s="222">
        <f>IF('Perfil - interna'!AH314+'Perfil - externa'!AH312=0,0,'Perfil - interna'!AH314+'Perfil - externa'!AH312)</f>
        <v>396406.38580238057</v>
      </c>
      <c r="AI314" s="222">
        <f>IF('Perfil - interna'!AI314+'Perfil - externa'!AI312=0,0,'Perfil - interna'!AI314+'Perfil - externa'!AI312)</f>
        <v>344868.93482799537</v>
      </c>
      <c r="AJ314" s="222">
        <f>IF('Perfil - interna'!AJ314+'Perfil - externa'!AJ312=0,0,'Perfil - interna'!AJ314+'Perfil - externa'!AJ312)</f>
        <v>299856.33434520086</v>
      </c>
      <c r="AK314" s="222">
        <f>IF('Perfil - interna'!AK314+'Perfil - externa'!AK312=0,0,'Perfil - interna'!AK314+'Perfil - externa'!AK312)</f>
        <v>294771.85837549972</v>
      </c>
      <c r="AL314" s="222">
        <f>IF('Perfil - interna'!AL314+'Perfil - externa'!AL312=0,0,'Perfil - interna'!AL314+'Perfil - externa'!AL312)</f>
        <v>291738.57177317783</v>
      </c>
      <c r="AM314" s="222">
        <f>IF('Perfil - interna'!AM314+'Perfil - externa'!AM312=0,0,'Perfil - interna'!AM314+'Perfil - externa'!AM312)</f>
        <v>289504.9132039434</v>
      </c>
      <c r="AN314" s="222">
        <f>IF('Perfil - interna'!AN314+'Perfil - externa'!AN312=0,0,'Perfil - interna'!AN314+'Perfil - externa'!AN312)</f>
        <v>0</v>
      </c>
      <c r="AO314" s="222"/>
      <c r="AP314" s="222"/>
      <c r="AQ314" s="222"/>
      <c r="AR314" s="222"/>
      <c r="AS314" s="222"/>
      <c r="AT314" s="222"/>
      <c r="AU314" s="222"/>
      <c r="AV314" s="222"/>
      <c r="AW314" s="222"/>
      <c r="AX314" s="222"/>
      <c r="AY314" s="222"/>
      <c r="AZ314" s="222"/>
      <c r="BA314" s="222"/>
      <c r="BB314" s="222"/>
      <c r="BC314" s="222"/>
      <c r="BD314" s="222"/>
      <c r="BE314" s="222"/>
      <c r="BF314" s="222"/>
      <c r="BG314" s="222"/>
      <c r="BH314" s="222"/>
      <c r="BI314" s="222"/>
      <c r="BJ314" s="222"/>
      <c r="BK314" s="222"/>
    </row>
    <row r="315" spans="1:63">
      <c r="A315" s="171"/>
      <c r="B315" s="318" t="str">
        <f>Servicio_internaColumna_título_total</f>
        <v>Total</v>
      </c>
      <c r="C315" s="319"/>
      <c r="D315" s="320"/>
      <c r="E315" s="320"/>
      <c r="F315" s="320">
        <f>IF('Perfil - interna'!F315+'Perfil - externa'!F313=0,0,'Perfil - interna'!F315+'Perfil - externa'!F313)</f>
        <v>0</v>
      </c>
      <c r="G315" s="320">
        <f>IF('Perfil - interna'!G315+'Perfil - externa'!G313=0,0,'Perfil - interna'!G315+'Perfil - externa'!G313)</f>
        <v>0</v>
      </c>
      <c r="H315" s="320">
        <f>IF('Perfil - interna'!H315+'Perfil - externa'!H313=0,0,'Perfil - interna'!H315+'Perfil - externa'!H313)</f>
        <v>0</v>
      </c>
      <c r="I315" s="320">
        <f>IF('Perfil - interna'!I315+'Perfil - externa'!I313=0,0,'Perfil - interna'!I315+'Perfil - externa'!I313)</f>
        <v>0</v>
      </c>
      <c r="J315" s="320">
        <f>IF('Perfil - interna'!J315+'Perfil - externa'!J313=0,0,'Perfil - interna'!J315+'Perfil - externa'!J313)</f>
        <v>0</v>
      </c>
      <c r="K315" s="320">
        <f>IF('Perfil - interna'!K315+'Perfil - externa'!K313=0,0,'Perfil - interna'!K315+'Perfil - externa'!K313)</f>
        <v>10720555.566727612</v>
      </c>
      <c r="L315" s="320">
        <f>IF('Perfil - interna'!L315+'Perfil - externa'!L313=0,0,'Perfil - interna'!L315+'Perfil - externa'!L313)</f>
        <v>36000471.541619472</v>
      </c>
      <c r="M315" s="320">
        <f>IF('Perfil - interna'!M315+'Perfil - externa'!M313=0,0,'Perfil - interna'!M315+'Perfil - externa'!M313)</f>
        <v>28512518.454485834</v>
      </c>
      <c r="N315" s="320">
        <f>IF('Perfil - interna'!N315+'Perfil - externa'!N313=0,0,'Perfil - interna'!N315+'Perfil - externa'!N313)</f>
        <v>30195450.843132269</v>
      </c>
      <c r="O315" s="320">
        <f>IF('Perfil - interna'!O315+'Perfil - externa'!O313=0,0,'Perfil - interna'!O315+'Perfil - externa'!O313)</f>
        <v>25309370.757948466</v>
      </c>
      <c r="P315" s="320">
        <f>IF('Perfil - interna'!P315+'Perfil - externa'!P313=0,0,'Perfil - interna'!P315+'Perfil - externa'!P313)</f>
        <v>25472724.406652257</v>
      </c>
      <c r="Q315" s="320">
        <f>IF('Perfil - interna'!Q315+'Perfil - externa'!Q313=0,0,'Perfil - interna'!Q315+'Perfil - externa'!Q313)</f>
        <v>27285995.134373128</v>
      </c>
      <c r="R315" s="320">
        <f>IF('Perfil - interna'!R315+'Perfil - externa'!R313=0,0,'Perfil - interna'!R315+'Perfil - externa'!R313)</f>
        <v>7072145.1173327528</v>
      </c>
      <c r="S315" s="320">
        <f>IF('Perfil - interna'!S315+'Perfil - externa'!S313=0,0,'Perfil - interna'!S315+'Perfil - externa'!S313)</f>
        <v>9688949.2086272761</v>
      </c>
      <c r="T315" s="320">
        <f>IF('Perfil - interna'!T315+'Perfil - externa'!T313=0,0,'Perfil - interna'!T315+'Perfil - externa'!T313)</f>
        <v>10680973.406151105</v>
      </c>
      <c r="U315" s="320">
        <f>IF('Perfil - interna'!U315+'Perfil - externa'!U313=0,0,'Perfil - interna'!U315+'Perfil - externa'!U313)</f>
        <v>9103698.1329810452</v>
      </c>
      <c r="V315" s="320">
        <f>IF('Perfil - interna'!V315+'Perfil - externa'!V313=0,0,'Perfil - interna'!V315+'Perfil - externa'!V313)</f>
        <v>14401871.432950925</v>
      </c>
      <c r="W315" s="320">
        <f>IF('Perfil - interna'!W315+'Perfil - externa'!W313=0,0,'Perfil - interna'!W315+'Perfil - externa'!W313)</f>
        <v>3016352.1037531169</v>
      </c>
      <c r="X315" s="320">
        <f>IF('Perfil - interna'!X315+'Perfil - externa'!X313=0,0,'Perfil - interna'!X315+'Perfil - externa'!X313)</f>
        <v>2845519.6165536344</v>
      </c>
      <c r="Y315" s="320">
        <f>IF('Perfil - interna'!Y315+'Perfil - externa'!Y313=0,0,'Perfil - interna'!Y315+'Perfil - externa'!Y313)</f>
        <v>8084922.036253226</v>
      </c>
      <c r="Z315" s="320">
        <f>IF('Perfil - interna'!Z315+'Perfil - externa'!Z313=0,0,'Perfil - interna'!Z315+'Perfil - externa'!Z313)</f>
        <v>8750657.6613779254</v>
      </c>
      <c r="AA315" s="320">
        <f>IF('Perfil - interna'!AA315+'Perfil - externa'!AA313=0,0,'Perfil - interna'!AA315+'Perfil - externa'!AA313)</f>
        <v>1457174.6509715053</v>
      </c>
      <c r="AB315" s="320">
        <f>IF('Perfil - interna'!AB315+'Perfil - externa'!AB313=0,0,'Perfil - interna'!AB315+'Perfil - externa'!AB313)</f>
        <v>1358348.8513917115</v>
      </c>
      <c r="AC315" s="320">
        <f>IF('Perfil - interna'!AC315+'Perfil - externa'!AC313=0,0,'Perfil - interna'!AC315+'Perfil - externa'!AC313)</f>
        <v>3640634.8388166185</v>
      </c>
      <c r="AD315" s="320">
        <f>IF('Perfil - interna'!AD315+'Perfil - externa'!AD313=0,0,'Perfil - interna'!AD315+'Perfil - externa'!AD313)</f>
        <v>932598.21069571306</v>
      </c>
      <c r="AE315" s="320">
        <f>IF('Perfil - interna'!AE315+'Perfil - externa'!AE313=0,0,'Perfil - interna'!AE315+'Perfil - externa'!AE313)</f>
        <v>825158.94566121139</v>
      </c>
      <c r="AF315" s="320">
        <f>IF('Perfil - interna'!AF315+'Perfil - externa'!AF313=0,0,'Perfil - interna'!AF315+'Perfil - externa'!AF313)</f>
        <v>760996.67779041349</v>
      </c>
      <c r="AG315" s="320">
        <f>IF('Perfil - interna'!AG315+'Perfil - externa'!AG313=0,0,'Perfil - interna'!AG315+'Perfil - externa'!AG313)</f>
        <v>732359.03947371175</v>
      </c>
      <c r="AH315" s="320">
        <f>IF('Perfil - interna'!AH315+'Perfil - externa'!AH313=0,0,'Perfil - interna'!AH315+'Perfil - externa'!AH313)</f>
        <v>689032.58113603177</v>
      </c>
      <c r="AI315" s="320">
        <f>IF('Perfil - interna'!AI315+'Perfil - externa'!AI313=0,0,'Perfil - interna'!AI315+'Perfil - externa'!AI313)</f>
        <v>1254945.984652644</v>
      </c>
      <c r="AJ315" s="320">
        <f>IF('Perfil - interna'!AJ315+'Perfil - externa'!AJ313=0,0,'Perfil - interna'!AJ315+'Perfil - externa'!AJ313)</f>
        <v>428665.53152353823</v>
      </c>
      <c r="AK315" s="320">
        <f>IF('Perfil - interna'!AK315+'Perfil - externa'!AK313=0,0,'Perfil - interna'!AK315+'Perfil - externa'!AK313)</f>
        <v>351513.85760383715</v>
      </c>
      <c r="AL315" s="320">
        <f>IF('Perfil - interna'!AL315+'Perfil - externa'!AL313=0,0,'Perfil - interna'!AL315+'Perfil - externa'!AL313)</f>
        <v>348386.8550633894</v>
      </c>
      <c r="AM315" s="320">
        <f>IF('Perfil - interna'!AM315+'Perfil - externa'!AM313=0,0,'Perfil - interna'!AM315+'Perfil - externa'!AM313)</f>
        <v>4216425.6489651604</v>
      </c>
      <c r="AN315" s="320">
        <f>IF('Perfil - interna'!AN315+'Perfil - externa'!AN313=0,0,'Perfil - interna'!AN315+'Perfil - externa'!AN313)</f>
        <v>784.96636803419995</v>
      </c>
      <c r="AO315" s="320"/>
      <c r="AP315" s="320"/>
      <c r="AQ315" s="320"/>
      <c r="AR315" s="320"/>
      <c r="AS315" s="320"/>
      <c r="AT315" s="320"/>
      <c r="AU315" s="320"/>
      <c r="AV315" s="320"/>
      <c r="AW315" s="320"/>
      <c r="AX315" s="320"/>
      <c r="AY315" s="320"/>
      <c r="AZ315" s="320"/>
      <c r="BA315" s="320"/>
      <c r="BB315" s="320"/>
      <c r="BC315" s="320"/>
      <c r="BD315" s="320"/>
      <c r="BE315" s="320"/>
      <c r="BF315" s="320"/>
      <c r="BG315" s="320"/>
      <c r="BH315" s="320"/>
      <c r="BI315" s="320"/>
      <c r="BJ315" s="320"/>
      <c r="BK315" s="320"/>
    </row>
    <row r="316" spans="1:63">
      <c r="A316" s="167"/>
      <c r="B316" s="217" t="str">
        <f>Servicio_internaColumna_título_amortizaciones</f>
        <v>Amortizaciones</v>
      </c>
      <c r="C316" s="218"/>
      <c r="D316" s="219"/>
      <c r="E316" s="219"/>
      <c r="F316" s="219">
        <f>IF('Perfil - interna'!F316+'Perfil - externa'!F314=0,0,'Perfil - interna'!F316+'Perfil - externa'!F314)</f>
        <v>0</v>
      </c>
      <c r="G316" s="219">
        <f>IF('Perfil - interna'!G316+'Perfil - externa'!G314=0,0,'Perfil - interna'!G316+'Perfil - externa'!G314)</f>
        <v>0</v>
      </c>
      <c r="H316" s="219">
        <f>IF('Perfil - interna'!H316+'Perfil - externa'!H314=0,0,'Perfil - interna'!H316+'Perfil - externa'!H314)</f>
        <v>0</v>
      </c>
      <c r="I316" s="219">
        <f>IF('Perfil - interna'!I316+'Perfil - externa'!I314=0,0,'Perfil - interna'!I316+'Perfil - externa'!I314)</f>
        <v>0</v>
      </c>
      <c r="J316" s="219">
        <f>IF('Perfil - interna'!J316+'Perfil - externa'!J314=0,0,'Perfil - interna'!J316+'Perfil - externa'!J314)</f>
        <v>0</v>
      </c>
      <c r="K316" s="219">
        <f>IF('Perfil - interna'!K316+'Perfil - externa'!K314=0,0,'Perfil - interna'!K316+'Perfil - externa'!K314)</f>
        <v>3386197.6650383794</v>
      </c>
      <c r="L316" s="219">
        <f>IF('Perfil - interna'!L316+'Perfil - externa'!L314=0,0,'Perfil - interna'!L316+'Perfil - externa'!L314)</f>
        <v>21994135.749724023</v>
      </c>
      <c r="M316" s="219">
        <f>IF('Perfil - interna'!M316+'Perfil - externa'!M314=0,0,'Perfil - interna'!M316+'Perfil - externa'!M314)</f>
        <v>15886467.723332658</v>
      </c>
      <c r="N316" s="219">
        <f>IF('Perfil - interna'!N316+'Perfil - externa'!N314=0,0,'Perfil - interna'!N316+'Perfil - externa'!N314)</f>
        <v>19395078.164051268</v>
      </c>
      <c r="O316" s="219">
        <f>IF('Perfil - interna'!O316+'Perfil - externa'!O314=0,0,'Perfil - interna'!O316+'Perfil - externa'!O314)</f>
        <v>16039948.051026829</v>
      </c>
      <c r="P316" s="219">
        <f>IF('Perfil - interna'!P316+'Perfil - externa'!P314=0,0,'Perfil - interna'!P316+'Perfil - externa'!P314)</f>
        <v>17773983.55867324</v>
      </c>
      <c r="Q316" s="219">
        <f>IF('Perfil - interna'!Q316+'Perfil - externa'!Q314=0,0,'Perfil - interna'!Q316+'Perfil - externa'!Q314)</f>
        <v>20621679.015354987</v>
      </c>
      <c r="R316" s="219">
        <f>IF('Perfil - interna'!R316+'Perfil - externa'!R314=0,0,'Perfil - interna'!R316+'Perfil - externa'!R314)</f>
        <v>2386168.1543049915</v>
      </c>
      <c r="S316" s="219">
        <f>IF('Perfil - interna'!S316+'Perfil - externa'!S314=0,0,'Perfil - interna'!S316+'Perfil - externa'!S314)</f>
        <v>5089502.0412409985</v>
      </c>
      <c r="T316" s="219">
        <f>IF('Perfil - interna'!T316+'Perfil - externa'!T314=0,0,'Perfil - interna'!T316+'Perfil - externa'!T314)</f>
        <v>6486009.2225839263</v>
      </c>
      <c r="U316" s="219">
        <f>IF('Perfil - interna'!U316+'Perfil - externa'!U314=0,0,'Perfil - interna'!U316+'Perfil - externa'!U314)</f>
        <v>5470395.9076995607</v>
      </c>
      <c r="V316" s="219">
        <f>IF('Perfil - interna'!V316+'Perfil - externa'!V314=0,0,'Perfil - interna'!V316+'Perfil - externa'!V314)</f>
        <v>11238586.909142863</v>
      </c>
      <c r="W316" s="219">
        <f>IF('Perfil - interna'!W316+'Perfil - externa'!W314=0,0,'Perfil - interna'!W316+'Perfil - externa'!W314)</f>
        <v>1032328.5369399944</v>
      </c>
      <c r="X316" s="219">
        <f>IF('Perfil - interna'!X316+'Perfil - externa'!X314=0,0,'Perfil - interna'!X316+'Perfil - externa'!X314)</f>
        <v>911185.29077803949</v>
      </c>
      <c r="Y316" s="219">
        <f>IF('Perfil - interna'!Y316+'Perfil - externa'!Y314=0,0,'Perfil - interna'!Y316+'Perfil - externa'!Y314)</f>
        <v>6346592.0936522335</v>
      </c>
      <c r="Z316" s="219">
        <f>IF('Perfil - interna'!Z316+'Perfil - externa'!Z314=0,0,'Perfil - interna'!Z316+'Perfil - externa'!Z314)</f>
        <v>7740787.582262706</v>
      </c>
      <c r="AA316" s="219">
        <f>IF('Perfil - interna'!AA316+'Perfil - externa'!AA314=0,0,'Perfil - interna'!AA316+'Perfil - externa'!AA314)</f>
        <v>669513.98022824957</v>
      </c>
      <c r="AB316" s="219">
        <f>IF('Perfil - interna'!AB316+'Perfil - externa'!AB314=0,0,'Perfil - interna'!AB316+'Perfil - externa'!AB314)</f>
        <v>608401.40992226673</v>
      </c>
      <c r="AC316" s="219">
        <f>IF('Perfil - interna'!AC316+'Perfil - externa'!AC314=0,0,'Perfil - interna'!AC316+'Perfil - externa'!AC314)</f>
        <v>2730285.5927350591</v>
      </c>
      <c r="AD316" s="219">
        <f>IF('Perfil - interna'!AD316+'Perfil - externa'!AD314=0,0,'Perfil - interna'!AD316+'Perfil - externa'!AD314)</f>
        <v>478317.81331332528</v>
      </c>
      <c r="AE316" s="219">
        <f>IF('Perfil - interna'!AE316+'Perfil - externa'!AE314=0,0,'Perfil - interna'!AE316+'Perfil - externa'!AE314)</f>
        <v>396170.22837982443</v>
      </c>
      <c r="AF316" s="219">
        <f>IF('Perfil - interna'!AF316+'Perfil - externa'!AF314=0,0,'Perfil - interna'!AF316+'Perfil - externa'!AF314)</f>
        <v>318406.07474238222</v>
      </c>
      <c r="AG316" s="219">
        <f>IF('Perfil - interna'!AG316+'Perfil - externa'!AG314=0,0,'Perfil - interna'!AG316+'Perfil - externa'!AG314)</f>
        <v>307265.32380380691</v>
      </c>
      <c r="AH316" s="219">
        <f>IF('Perfil - interna'!AH316+'Perfil - externa'!AH314=0,0,'Perfil - interna'!AH316+'Perfil - externa'!AH314)</f>
        <v>281253.24178763141</v>
      </c>
      <c r="AI316" s="219">
        <f>IF('Perfil - interna'!AI316+'Perfil - externa'!AI314=0,0,'Perfil - interna'!AI316+'Perfil - externa'!AI314)</f>
        <v>863113.42591378733</v>
      </c>
      <c r="AJ316" s="219">
        <f>IF('Perfil - interna'!AJ316+'Perfil - externa'!AJ314=0,0,'Perfil - interna'!AJ316+'Perfil - externa'!AJ314)</f>
        <v>121936.99597657059</v>
      </c>
      <c r="AK316" s="219">
        <f>IF('Perfil - interna'!AK316+'Perfil - externa'!AK314=0,0,'Perfil - interna'!AK316+'Perfil - externa'!AK314)</f>
        <v>53719.088526570602</v>
      </c>
      <c r="AL316" s="219">
        <f>IF('Perfil - interna'!AL316+'Perfil - externa'!AL314=0,0,'Perfil - interna'!AL316+'Perfil - externa'!AL314)</f>
        <v>53629.921765109895</v>
      </c>
      <c r="AM316" s="219">
        <f>IF('Perfil - interna'!AM316+'Perfil - externa'!AM314=0,0,'Perfil - interna'!AM316+'Perfil - externa'!AM314)</f>
        <v>3717180.9244188378</v>
      </c>
      <c r="AN316" s="219">
        <f>IF('Perfil - interna'!AN316+'Perfil - externa'!AN314=0,0,'Perfil - interna'!AN316+'Perfil - externa'!AN314)</f>
        <v>743.03933785619995</v>
      </c>
      <c r="AO316" s="219"/>
      <c r="AP316" s="219"/>
      <c r="AQ316" s="219"/>
      <c r="AR316" s="219"/>
      <c r="AS316" s="219"/>
      <c r="AT316" s="219"/>
      <c r="AU316" s="219"/>
      <c r="AV316" s="219"/>
      <c r="AW316" s="219"/>
      <c r="AX316" s="219"/>
      <c r="AY316" s="219"/>
      <c r="AZ316" s="219"/>
      <c r="BA316" s="219"/>
      <c r="BB316" s="219"/>
      <c r="BC316" s="219"/>
      <c r="BD316" s="219"/>
      <c r="BE316" s="219"/>
      <c r="BF316" s="219"/>
      <c r="BG316" s="219"/>
      <c r="BH316" s="219"/>
      <c r="BI316" s="219"/>
      <c r="BJ316" s="219"/>
      <c r="BK316" s="219"/>
    </row>
    <row r="317" spans="1:63">
      <c r="A317" s="170">
        <v>40056</v>
      </c>
      <c r="B317" s="220" t="str">
        <f>Servicio_internaColumna_título_intereses</f>
        <v>Intereses</v>
      </c>
      <c r="C317" s="221"/>
      <c r="D317" s="222"/>
      <c r="E317" s="222"/>
      <c r="F317" s="222">
        <f>IF('Perfil - interna'!F317+'Perfil - externa'!F315=0,0,'Perfil - interna'!F317+'Perfil - externa'!F315)</f>
        <v>0</v>
      </c>
      <c r="G317" s="222">
        <f>IF('Perfil - interna'!G317+'Perfil - externa'!G315=0,0,'Perfil - interna'!G317+'Perfil - externa'!G315)</f>
        <v>0</v>
      </c>
      <c r="H317" s="222">
        <f>IF('Perfil - interna'!H317+'Perfil - externa'!H315=0,0,'Perfil - interna'!H317+'Perfil - externa'!H315)</f>
        <v>0</v>
      </c>
      <c r="I317" s="222">
        <f>IF('Perfil - interna'!I317+'Perfil - externa'!I315=0,0,'Perfil - interna'!I317+'Perfil - externa'!I315)</f>
        <v>0</v>
      </c>
      <c r="J317" s="222">
        <f>IF('Perfil - interna'!J317+'Perfil - externa'!J315=0,0,'Perfil - interna'!J317+'Perfil - externa'!J315)</f>
        <v>0</v>
      </c>
      <c r="K317" s="222">
        <f>IF('Perfil - interna'!K317+'Perfil - externa'!K315=0,0,'Perfil - interna'!K317+'Perfil - externa'!K315)</f>
        <v>4816966.0225751633</v>
      </c>
      <c r="L317" s="222">
        <f>IF('Perfil - interna'!L317+'Perfil - externa'!L315=0,0,'Perfil - interna'!L317+'Perfil - externa'!L315)</f>
        <v>13899458.856790282</v>
      </c>
      <c r="M317" s="222">
        <f>IF('Perfil - interna'!M317+'Perfil - externa'!M315=0,0,'Perfil - interna'!M317+'Perfil - externa'!M315)</f>
        <v>12438901.689077504</v>
      </c>
      <c r="N317" s="222">
        <f>IF('Perfil - interna'!N317+'Perfil - externa'!N315=0,0,'Perfil - interna'!N317+'Perfil - externa'!N315)</f>
        <v>10887511.383849565</v>
      </c>
      <c r="O317" s="222">
        <f>IF('Perfil - interna'!O317+'Perfil - externa'!O315=0,0,'Perfil - interna'!O317+'Perfil - externa'!O315)</f>
        <v>9161134.1197797377</v>
      </c>
      <c r="P317" s="222">
        <f>IF('Perfil - interna'!P317+'Perfil - externa'!P315=0,0,'Perfil - interna'!P317+'Perfil - externa'!P315)</f>
        <v>7882001.8297377955</v>
      </c>
      <c r="Q317" s="222">
        <f>IF('Perfil - interna'!Q317+'Perfil - externa'!Q315=0,0,'Perfil - interna'!Q317+'Perfil - externa'!Q315)</f>
        <v>6193818.1778515242</v>
      </c>
      <c r="R317" s="222">
        <f>IF('Perfil - interna'!R317+'Perfil - externa'!R315=0,0,'Perfil - interna'!R317+'Perfil - externa'!R315)</f>
        <v>4541064.4079545317</v>
      </c>
      <c r="S317" s="222">
        <f>IF('Perfil - interna'!S317+'Perfil - externa'!S315=0,0,'Perfil - interna'!S317+'Perfil - externa'!S315)</f>
        <v>4314600.254691177</v>
      </c>
      <c r="T317" s="222">
        <f>IF('Perfil - interna'!T317+'Perfil - externa'!T315=0,0,'Perfil - interna'!T317+'Perfil - externa'!T315)</f>
        <v>4117130.6543392017</v>
      </c>
      <c r="U317" s="222">
        <f>IF('Perfil - interna'!U317+'Perfil - externa'!U315=0,0,'Perfil - interna'!U317+'Perfil - externa'!U315)</f>
        <v>3346818.8723612144</v>
      </c>
      <c r="V317" s="222">
        <f>IF('Perfil - interna'!V317+'Perfil - externa'!V315=0,0,'Perfil - interna'!V317+'Perfil - externa'!V315)</f>
        <v>3044889.1071366314</v>
      </c>
      <c r="W317" s="222">
        <f>IF('Perfil - interna'!W317+'Perfil - externa'!W315=0,0,'Perfil - interna'!W317+'Perfil - externa'!W315)</f>
        <v>1975746.5942311189</v>
      </c>
      <c r="X317" s="222">
        <f>IF('Perfil - interna'!X317+'Perfil - externa'!X315=0,0,'Perfil - interna'!X317+'Perfil - externa'!X315)</f>
        <v>1933162.9525793912</v>
      </c>
      <c r="Y317" s="222">
        <f>IF('Perfil - interna'!Y317+'Perfil - externa'!Y315=0,0,'Perfil - interna'!Y317+'Perfil - externa'!Y315)</f>
        <v>1899925.3432616338</v>
      </c>
      <c r="Z317" s="222">
        <f>IF('Perfil - interna'!Z317+'Perfil - externa'!Z315=0,0,'Perfil - interna'!Z317+'Perfil - externa'!Z315)</f>
        <v>1366613.0840075891</v>
      </c>
      <c r="AA317" s="222">
        <f>IF('Perfil - interna'!AA317+'Perfil - externa'!AA315=0,0,'Perfil - interna'!AA317+'Perfil - externa'!AA315)</f>
        <v>752219.5141038053</v>
      </c>
      <c r="AB317" s="222">
        <f>IF('Perfil - interna'!AB317+'Perfil - externa'!AB315=0,0,'Perfil - interna'!AB317+'Perfil - externa'!AB315)</f>
        <v>717905.9494241894</v>
      </c>
      <c r="AC317" s="222">
        <f>IF('Perfil - interna'!AC317+'Perfil - externa'!AC315=0,0,'Perfil - interna'!AC317+'Perfil - externa'!AC315)</f>
        <v>674318.17203742464</v>
      </c>
      <c r="AD317" s="222">
        <f>IF('Perfil - interna'!AD317+'Perfil - externa'!AD315=0,0,'Perfil - interna'!AD317+'Perfil - externa'!AD315)</f>
        <v>448860.13754041458</v>
      </c>
      <c r="AE317" s="222">
        <f>IF('Perfil - interna'!AE317+'Perfil - externa'!AE315=0,0,'Perfil - interna'!AE317+'Perfil - externa'!AE315)</f>
        <v>425662.27811111545</v>
      </c>
      <c r="AF317" s="222">
        <f>IF('Perfil - interna'!AF317+'Perfil - externa'!AF315=0,0,'Perfil - interna'!AF317+'Perfil - externa'!AF315)</f>
        <v>406149.63988924422</v>
      </c>
      <c r="AG317" s="222">
        <f>IF('Perfil - interna'!AG317+'Perfil - externa'!AG315=0,0,'Perfil - interna'!AG317+'Perfil - externa'!AG315)</f>
        <v>390230.75294927839</v>
      </c>
      <c r="AH317" s="222">
        <f>IF('Perfil - interna'!AH317+'Perfil - externa'!AH315=0,0,'Perfil - interna'!AH317+'Perfil - externa'!AH315)</f>
        <v>375243.19688641233</v>
      </c>
      <c r="AI317" s="222">
        <f>IF('Perfil - interna'!AI317+'Perfil - externa'!AI315=0,0,'Perfil - interna'!AI317+'Perfil - externa'!AI315)</f>
        <v>326427.27151014609</v>
      </c>
      <c r="AJ317" s="222">
        <f>IF('Perfil - interna'!AJ317+'Perfil - externa'!AJ315=0,0,'Perfil - interna'!AJ317+'Perfil - externa'!AJ315)</f>
        <v>283840.78776200762</v>
      </c>
      <c r="AK317" s="222">
        <f>IF('Perfil - interna'!AK317+'Perfil - externa'!AK315=0,0,'Perfil - interna'!AK317+'Perfil - externa'!AK315)</f>
        <v>279027.74092720309</v>
      </c>
      <c r="AL317" s="222">
        <f>IF('Perfil - interna'!AL317+'Perfil - externa'!AL315=0,0,'Perfil - interna'!AL317+'Perfil - externa'!AL315)</f>
        <v>276156.32429142448</v>
      </c>
      <c r="AM317" s="222">
        <f>IF('Perfil - interna'!AM317+'Perfil - externa'!AM315=0,0,'Perfil - interna'!AM317+'Perfil - externa'!AM315)</f>
        <v>274041.83056879858</v>
      </c>
      <c r="AN317" s="222">
        <f>IF('Perfil - interna'!AN317+'Perfil - externa'!AN315=0,0,'Perfil - interna'!AN317+'Perfil - externa'!AN315)</f>
        <v>0</v>
      </c>
      <c r="AO317" s="222"/>
      <c r="AP317" s="222"/>
      <c r="AQ317" s="222"/>
      <c r="AR317" s="222"/>
      <c r="AS317" s="222"/>
      <c r="AT317" s="222"/>
      <c r="AU317" s="222"/>
      <c r="AV317" s="222"/>
      <c r="AW317" s="222"/>
      <c r="AX317" s="222"/>
      <c r="AY317" s="222"/>
      <c r="AZ317" s="222"/>
      <c r="BA317" s="222"/>
      <c r="BB317" s="222"/>
      <c r="BC317" s="222"/>
      <c r="BD317" s="222"/>
      <c r="BE317" s="222"/>
      <c r="BF317" s="222"/>
      <c r="BG317" s="222"/>
      <c r="BH317" s="222"/>
      <c r="BI317" s="222"/>
      <c r="BJ317" s="222"/>
      <c r="BK317" s="222"/>
    </row>
    <row r="318" spans="1:63">
      <c r="A318" s="171"/>
      <c r="B318" s="318" t="str">
        <f>Servicio_internaColumna_título_total</f>
        <v>Total</v>
      </c>
      <c r="C318" s="319"/>
      <c r="D318" s="320"/>
      <c r="E318" s="320"/>
      <c r="F318" s="320">
        <f>IF('Perfil - interna'!F318+'Perfil - externa'!F316=0,0,'Perfil - interna'!F318+'Perfil - externa'!F316)</f>
        <v>0</v>
      </c>
      <c r="G318" s="320">
        <f>IF('Perfil - interna'!G318+'Perfil - externa'!G316=0,0,'Perfil - interna'!G318+'Perfil - externa'!G316)</f>
        <v>0</v>
      </c>
      <c r="H318" s="320">
        <f>IF('Perfil - interna'!H318+'Perfil - externa'!H316=0,0,'Perfil - interna'!H318+'Perfil - externa'!H316)</f>
        <v>0</v>
      </c>
      <c r="I318" s="320">
        <f>IF('Perfil - interna'!I318+'Perfil - externa'!I316=0,0,'Perfil - interna'!I318+'Perfil - externa'!I316)</f>
        <v>0</v>
      </c>
      <c r="J318" s="320">
        <f>IF('Perfil - interna'!J318+'Perfil - externa'!J316=0,0,'Perfil - interna'!J318+'Perfil - externa'!J316)</f>
        <v>0</v>
      </c>
      <c r="K318" s="320">
        <f>IF('Perfil - interna'!K318+'Perfil - externa'!K316=0,0,'Perfil - interna'!K318+'Perfil - externa'!K316)</f>
        <v>8203163.6876135431</v>
      </c>
      <c r="L318" s="320">
        <f>IF('Perfil - interna'!L318+'Perfil - externa'!L316=0,0,'Perfil - interna'!L318+'Perfil - externa'!L316)</f>
        <v>35893594.606514305</v>
      </c>
      <c r="M318" s="320">
        <f>IF('Perfil - interna'!M318+'Perfil - externa'!M316=0,0,'Perfil - interna'!M318+'Perfil - externa'!M316)</f>
        <v>28325369.412410162</v>
      </c>
      <c r="N318" s="320">
        <f>IF('Perfil - interna'!N318+'Perfil - externa'!N316=0,0,'Perfil - interna'!N318+'Perfil - externa'!N316)</f>
        <v>30282589.547900833</v>
      </c>
      <c r="O318" s="320">
        <f>IF('Perfil - interna'!O318+'Perfil - externa'!O316=0,0,'Perfil - interna'!O318+'Perfil - externa'!O316)</f>
        <v>25201082.170806564</v>
      </c>
      <c r="P318" s="320">
        <f>IF('Perfil - interna'!P318+'Perfil - externa'!P316=0,0,'Perfil - interna'!P318+'Perfil - externa'!P316)</f>
        <v>25655985.388411038</v>
      </c>
      <c r="Q318" s="320">
        <f>IF('Perfil - interna'!Q318+'Perfil - externa'!Q316=0,0,'Perfil - interna'!Q318+'Perfil - externa'!Q316)</f>
        <v>26815497.193206511</v>
      </c>
      <c r="R318" s="320">
        <f>IF('Perfil - interna'!R318+'Perfil - externa'!R316=0,0,'Perfil - interna'!R318+'Perfil - externa'!R316)</f>
        <v>6927232.5622595232</v>
      </c>
      <c r="S318" s="320">
        <f>IF('Perfil - interna'!S318+'Perfil - externa'!S316=0,0,'Perfil - interna'!S318+'Perfil - externa'!S316)</f>
        <v>9404102.2959321756</v>
      </c>
      <c r="T318" s="320">
        <f>IF('Perfil - interna'!T318+'Perfil - externa'!T316=0,0,'Perfil - interna'!T318+'Perfil - externa'!T316)</f>
        <v>10603139.876923129</v>
      </c>
      <c r="U318" s="320">
        <f>IF('Perfil - interna'!U318+'Perfil - externa'!U316=0,0,'Perfil - interna'!U318+'Perfil - externa'!U316)</f>
        <v>8817214.7800607756</v>
      </c>
      <c r="V318" s="320">
        <f>IF('Perfil - interna'!V318+'Perfil - externa'!V316=0,0,'Perfil - interna'!V318+'Perfil - externa'!V316)</f>
        <v>14283476.016279494</v>
      </c>
      <c r="W318" s="320">
        <f>IF('Perfil - interna'!W318+'Perfil - externa'!W316=0,0,'Perfil - interna'!W318+'Perfil - externa'!W316)</f>
        <v>3008075.1311711133</v>
      </c>
      <c r="X318" s="320">
        <f>IF('Perfil - interna'!X318+'Perfil - externa'!X316=0,0,'Perfil - interna'!X318+'Perfil - externa'!X316)</f>
        <v>2844348.2433574307</v>
      </c>
      <c r="Y318" s="320">
        <f>IF('Perfil - interna'!Y318+'Perfil - externa'!Y316=0,0,'Perfil - interna'!Y318+'Perfil - externa'!Y316)</f>
        <v>8246517.4369138665</v>
      </c>
      <c r="Z318" s="320">
        <f>IF('Perfil - interna'!Z318+'Perfil - externa'!Z316=0,0,'Perfil - interna'!Z318+'Perfil - externa'!Z316)</f>
        <v>9107400.6662702952</v>
      </c>
      <c r="AA318" s="320">
        <f>IF('Perfil - interna'!AA318+'Perfil - externa'!AA316=0,0,'Perfil - interna'!AA318+'Perfil - externa'!AA316)</f>
        <v>1421733.4943320549</v>
      </c>
      <c r="AB318" s="320">
        <f>IF('Perfil - interna'!AB318+'Perfil - externa'!AB316=0,0,'Perfil - interna'!AB318+'Perfil - externa'!AB316)</f>
        <v>1326307.3593464561</v>
      </c>
      <c r="AC318" s="320">
        <f>IF('Perfil - interna'!AC318+'Perfil - externa'!AC316=0,0,'Perfil - interna'!AC318+'Perfil - externa'!AC316)</f>
        <v>3404603.7647724836</v>
      </c>
      <c r="AD318" s="320">
        <f>IF('Perfil - interna'!AD318+'Perfil - externa'!AD316=0,0,'Perfil - interna'!AD318+'Perfil - externa'!AD316)</f>
        <v>927177.95085373987</v>
      </c>
      <c r="AE318" s="320">
        <f>IF('Perfil - interna'!AE318+'Perfil - externa'!AE316=0,0,'Perfil - interna'!AE318+'Perfil - externa'!AE316)</f>
        <v>821832.50649093988</v>
      </c>
      <c r="AF318" s="320">
        <f>IF('Perfil - interna'!AF318+'Perfil - externa'!AF316=0,0,'Perfil - interna'!AF318+'Perfil - externa'!AF316)</f>
        <v>724555.71463162638</v>
      </c>
      <c r="AG318" s="320">
        <f>IF('Perfil - interna'!AG318+'Perfil - externa'!AG316=0,0,'Perfil - interna'!AG318+'Perfil - externa'!AG316)</f>
        <v>697496.07675308525</v>
      </c>
      <c r="AH318" s="320">
        <f>IF('Perfil - interna'!AH318+'Perfil - externa'!AH316=0,0,'Perfil - interna'!AH318+'Perfil - externa'!AH316)</f>
        <v>656496.43867404375</v>
      </c>
      <c r="AI318" s="320">
        <f>IF('Perfil - interna'!AI318+'Perfil - externa'!AI316=0,0,'Perfil - interna'!AI318+'Perfil - externa'!AI316)</f>
        <v>1189540.6974239335</v>
      </c>
      <c r="AJ318" s="320">
        <f>IF('Perfil - interna'!AJ318+'Perfil - externa'!AJ316=0,0,'Perfil - interna'!AJ318+'Perfil - externa'!AJ316)</f>
        <v>405777.7837385782</v>
      </c>
      <c r="AK318" s="320">
        <f>IF('Perfil - interna'!AK318+'Perfil - externa'!AK316=0,0,'Perfil - interna'!AK318+'Perfil - externa'!AK316)</f>
        <v>332746.82945377368</v>
      </c>
      <c r="AL318" s="320">
        <f>IF('Perfil - interna'!AL318+'Perfil - externa'!AL316=0,0,'Perfil - interna'!AL318+'Perfil - externa'!AL316)</f>
        <v>329786.24605653435</v>
      </c>
      <c r="AM318" s="320">
        <f>IF('Perfil - interna'!AM318+'Perfil - externa'!AM316=0,0,'Perfil - interna'!AM318+'Perfil - externa'!AM316)</f>
        <v>3991222.7549876366</v>
      </c>
      <c r="AN318" s="320">
        <f>IF('Perfil - interna'!AN318+'Perfil - externa'!AN316=0,0,'Perfil - interna'!AN318+'Perfil - externa'!AN316)</f>
        <v>743.03933785619995</v>
      </c>
      <c r="AO318" s="320"/>
      <c r="AP318" s="320"/>
      <c r="AQ318" s="320"/>
      <c r="AR318" s="320"/>
      <c r="AS318" s="320"/>
      <c r="AT318" s="320"/>
      <c r="AU318" s="320"/>
      <c r="AV318" s="320"/>
      <c r="AW318" s="320"/>
      <c r="AX318" s="320"/>
      <c r="AY318" s="320"/>
      <c r="AZ318" s="320"/>
      <c r="BA318" s="320"/>
      <c r="BB318" s="320"/>
      <c r="BC318" s="320"/>
      <c r="BD318" s="320"/>
      <c r="BE318" s="320"/>
      <c r="BF318" s="320"/>
      <c r="BG318" s="320"/>
      <c r="BH318" s="320"/>
      <c r="BI318" s="320"/>
      <c r="BJ318" s="320"/>
      <c r="BK318" s="320"/>
    </row>
    <row r="319" spans="1:63">
      <c r="A319" s="167"/>
      <c r="B319" s="217" t="str">
        <f>Servicio_internaColumna_título_amortizaciones</f>
        <v>Amortizaciones</v>
      </c>
      <c r="C319" s="218"/>
      <c r="D319" s="219"/>
      <c r="E319" s="219"/>
      <c r="F319" s="219">
        <f>IF('Perfil - interna'!F319+'Perfil - externa'!F317=0,0,'Perfil - interna'!F319+'Perfil - externa'!F317)</f>
        <v>0</v>
      </c>
      <c r="G319" s="219">
        <f>IF('Perfil - interna'!G319+'Perfil - externa'!G317=0,0,'Perfil - interna'!G319+'Perfil - externa'!G317)</f>
        <v>0</v>
      </c>
      <c r="H319" s="219">
        <f>IF('Perfil - interna'!H319+'Perfil - externa'!H317=0,0,'Perfil - interna'!H319+'Perfil - externa'!H317)</f>
        <v>0</v>
      </c>
      <c r="I319" s="219">
        <f>IF('Perfil - interna'!I319+'Perfil - externa'!I317=0,0,'Perfil - interna'!I319+'Perfil - externa'!I317)</f>
        <v>0</v>
      </c>
      <c r="J319" s="219">
        <f>IF('Perfil - interna'!J319+'Perfil - externa'!J317=0,0,'Perfil - interna'!J319+'Perfil - externa'!J317)</f>
        <v>0</v>
      </c>
      <c r="K319" s="219">
        <f>IF('Perfil - interna'!K319+'Perfil - externa'!K317=0,0,'Perfil - interna'!K319+'Perfil - externa'!K317)</f>
        <v>2915862.7849502866</v>
      </c>
      <c r="L319" s="219">
        <f>IF('Perfil - interna'!L319+'Perfil - externa'!L317=0,0,'Perfil - interna'!L319+'Perfil - externa'!L317)</f>
        <v>22369775.925699744</v>
      </c>
      <c r="M319" s="219">
        <f>IF('Perfil - interna'!M319+'Perfil - externa'!M317=0,0,'Perfil - interna'!M319+'Perfil - externa'!M317)</f>
        <v>15887916.267006673</v>
      </c>
      <c r="N319" s="219">
        <f>IF('Perfil - interna'!N319+'Perfil - externa'!N317=0,0,'Perfil - interna'!N319+'Perfil - externa'!N317)</f>
        <v>19609405.732749175</v>
      </c>
      <c r="O319" s="219">
        <f>IF('Perfil - interna'!O319+'Perfil - externa'!O317=0,0,'Perfil - interna'!O319+'Perfil - externa'!O317)</f>
        <v>16255212.361329142</v>
      </c>
      <c r="P319" s="219">
        <f>IF('Perfil - interna'!P319+'Perfil - externa'!P317=0,0,'Perfil - interna'!P319+'Perfil - externa'!P317)</f>
        <v>18369423.75616765</v>
      </c>
      <c r="Q319" s="219">
        <f>IF('Perfil - interna'!Q319+'Perfil - externa'!Q317=0,0,'Perfil - interna'!Q319+'Perfil - externa'!Q317)</f>
        <v>20593455.588434633</v>
      </c>
      <c r="R319" s="219">
        <f>IF('Perfil - interna'!R319+'Perfil - externa'!R317=0,0,'Perfil - interna'!R319+'Perfil - externa'!R317)</f>
        <v>2370708.9702698165</v>
      </c>
      <c r="S319" s="219">
        <f>IF('Perfil - interna'!S319+'Perfil - externa'!S317=0,0,'Perfil - interna'!S319+'Perfil - externa'!S317)</f>
        <v>5063565.90091825</v>
      </c>
      <c r="T319" s="219">
        <f>IF('Perfil - interna'!T319+'Perfil - externa'!T317=0,0,'Perfil - interna'!T319+'Perfil - externa'!T317)</f>
        <v>6477995.6280853488</v>
      </c>
      <c r="U319" s="219">
        <f>IF('Perfil - interna'!U319+'Perfil - externa'!U317=0,0,'Perfil - interna'!U319+'Perfil - externa'!U317)</f>
        <v>5449564.5623550992</v>
      </c>
      <c r="V319" s="219">
        <f>IF('Perfil - interna'!V319+'Perfil - externa'!V317=0,0,'Perfil - interna'!V319+'Perfil - externa'!V317)</f>
        <v>11234779.09323965</v>
      </c>
      <c r="W319" s="219">
        <f>IF('Perfil - interna'!W319+'Perfil - externa'!W317=0,0,'Perfil - interna'!W319+'Perfil - externa'!W317)</f>
        <v>1035915.7058007999</v>
      </c>
      <c r="X319" s="219">
        <f>IF('Perfil - interna'!X319+'Perfil - externa'!X317=0,0,'Perfil - interna'!X319+'Perfil - externa'!X317)</f>
        <v>915455.48138934991</v>
      </c>
      <c r="Y319" s="219">
        <f>IF('Perfil - interna'!Y319+'Perfil - externa'!Y317=0,0,'Perfil - interna'!Y319+'Perfil - externa'!Y317)</f>
        <v>6516104.4483501865</v>
      </c>
      <c r="Z319" s="219">
        <f>IF('Perfil - interna'!Z319+'Perfil - externa'!Z317=0,0,'Perfil - interna'!Z319+'Perfil - externa'!Z317)</f>
        <v>8546124.4771421999</v>
      </c>
      <c r="AA319" s="219">
        <f>IF('Perfil - interna'!AA319+'Perfil - externa'!AA317=0,0,'Perfil - interna'!AA319+'Perfil - externa'!AA317)</f>
        <v>672487.2332711498</v>
      </c>
      <c r="AB319" s="219">
        <f>IF('Perfil - interna'!AB319+'Perfil - externa'!AB317=0,0,'Perfil - interna'!AB319+'Perfil - externa'!AB317)</f>
        <v>611624.99059255002</v>
      </c>
      <c r="AC319" s="219">
        <f>IF('Perfil - interna'!AC319+'Perfil - externa'!AC317=0,0,'Perfil - interna'!AC319+'Perfil - externa'!AC317)</f>
        <v>2716799.8566609998</v>
      </c>
      <c r="AD319" s="219">
        <f>IF('Perfil - interna'!AD319+'Perfil - externa'!AD317=0,0,'Perfil - interna'!AD319+'Perfil - externa'!AD317)</f>
        <v>482049.84702985</v>
      </c>
      <c r="AE319" s="219">
        <f>IF('Perfil - interna'!AE319+'Perfil - externa'!AE317=0,0,'Perfil - interna'!AE319+'Perfil - externa'!AE317)</f>
        <v>400238.75293544994</v>
      </c>
      <c r="AF319" s="219">
        <f>IF('Perfil - interna'!AF319+'Perfil - externa'!AF317=0,0,'Perfil - interna'!AF319+'Perfil - externa'!AF317)</f>
        <v>322792.77358460001</v>
      </c>
      <c r="AG319" s="219">
        <f>IF('Perfil - interna'!AG319+'Perfil - externa'!AG317=0,0,'Perfil - interna'!AG319+'Perfil - externa'!AG317)</f>
        <v>311697.29585225001</v>
      </c>
      <c r="AH319" s="219">
        <f>IF('Perfil - interna'!AH319+'Perfil - externa'!AH317=0,0,'Perfil - interna'!AH319+'Perfil - externa'!AH317)</f>
        <v>285791.72576679999</v>
      </c>
      <c r="AI319" s="219">
        <f>IF('Perfil - interna'!AI319+'Perfil - externa'!AI317=0,0,'Perfil - interna'!AI319+'Perfil - externa'!AI317)</f>
        <v>865268.47097405011</v>
      </c>
      <c r="AJ319" s="219">
        <f>IF('Perfil - interna'!AJ319+'Perfil - externa'!AJ317=0,0,'Perfil - interna'!AJ319+'Perfil - externa'!AJ317)</f>
        <v>127128.02899719999</v>
      </c>
      <c r="AK319" s="219">
        <f>IF('Perfil - interna'!AK319+'Perfil - externa'!AK317=0,0,'Perfil - interna'!AK319+'Perfil - externa'!AK317)</f>
        <v>59189.553997200004</v>
      </c>
      <c r="AL319" s="219">
        <f>IF('Perfil - interna'!AL319+'Perfil - externa'!AL317=0,0,'Perfil - interna'!AL319+'Perfil - externa'!AL317)</f>
        <v>59099.701828199999</v>
      </c>
      <c r="AM319" s="219">
        <f>IF('Perfil - interna'!AM319+'Perfil - externa'!AM317=0,0,'Perfil - interna'!AM319+'Perfil - externa'!AM317)</f>
        <v>3707643.1052958001</v>
      </c>
      <c r="AN319" s="219">
        <f>IF('Perfil - interna'!AN319+'Perfil - externa'!AN317=0,0,'Perfil - interna'!AN319+'Perfil - externa'!AN317)</f>
        <v>3588.9987308999998</v>
      </c>
      <c r="AO319" s="219"/>
      <c r="AP319" s="219"/>
      <c r="AQ319" s="219"/>
      <c r="AR319" s="219"/>
      <c r="AS319" s="219"/>
      <c r="AT319" s="219"/>
      <c r="AU319" s="219"/>
      <c r="AV319" s="219"/>
      <c r="AW319" s="219"/>
      <c r="AX319" s="219"/>
      <c r="AY319" s="219"/>
      <c r="AZ319" s="219"/>
      <c r="BA319" s="219"/>
      <c r="BB319" s="219"/>
      <c r="BC319" s="219"/>
      <c r="BD319" s="219"/>
      <c r="BE319" s="219"/>
      <c r="BF319" s="219"/>
      <c r="BG319" s="219"/>
      <c r="BH319" s="219"/>
      <c r="BI319" s="219"/>
      <c r="BJ319" s="219"/>
      <c r="BK319" s="219"/>
    </row>
    <row r="320" spans="1:63">
      <c r="A320" s="170">
        <v>40086</v>
      </c>
      <c r="B320" s="220" t="str">
        <f>Servicio_internaColumna_título_intereses</f>
        <v>Intereses</v>
      </c>
      <c r="C320" s="221"/>
      <c r="D320" s="222"/>
      <c r="E320" s="222"/>
      <c r="F320" s="222">
        <f>IF('Perfil - interna'!F320+'Perfil - externa'!F318=0,0,'Perfil - interna'!F320+'Perfil - externa'!F318)</f>
        <v>0</v>
      </c>
      <c r="G320" s="222">
        <f>IF('Perfil - interna'!G320+'Perfil - externa'!G318=0,0,'Perfil - interna'!G320+'Perfil - externa'!G318)</f>
        <v>0</v>
      </c>
      <c r="H320" s="222">
        <f>IF('Perfil - interna'!H320+'Perfil - externa'!H318=0,0,'Perfil - interna'!H320+'Perfil - externa'!H318)</f>
        <v>0</v>
      </c>
      <c r="I320" s="222">
        <f>IF('Perfil - interna'!I320+'Perfil - externa'!I318=0,0,'Perfil - interna'!I320+'Perfil - externa'!I318)</f>
        <v>0</v>
      </c>
      <c r="J320" s="222">
        <f>IF('Perfil - interna'!J320+'Perfil - externa'!J318=0,0,'Perfil - interna'!J320+'Perfil - externa'!J318)</f>
        <v>0</v>
      </c>
      <c r="K320" s="222">
        <f>IF('Perfil - interna'!K320+'Perfil - externa'!K318=0,0,'Perfil - interna'!K320+'Perfil - externa'!K318)</f>
        <v>3180482.8329189899</v>
      </c>
      <c r="L320" s="222">
        <f>IF('Perfil - interna'!L320+'Perfil - externa'!L318=0,0,'Perfil - interna'!L320+'Perfil - externa'!L318)</f>
        <v>14209694.121023236</v>
      </c>
      <c r="M320" s="222">
        <f>IF('Perfil - interna'!M320+'Perfil - externa'!M318=0,0,'Perfil - interna'!M320+'Perfil - externa'!M318)</f>
        <v>12606882.083508417</v>
      </c>
      <c r="N320" s="222">
        <f>IF('Perfil - interna'!N320+'Perfil - externa'!N318=0,0,'Perfil - interna'!N320+'Perfil - externa'!N318)</f>
        <v>11063235.775702916</v>
      </c>
      <c r="O320" s="222">
        <f>IF('Perfil - interna'!O320+'Perfil - externa'!O318=0,0,'Perfil - interna'!O320+'Perfil - externa'!O318)</f>
        <v>9314296.8335899971</v>
      </c>
      <c r="P320" s="222">
        <f>IF('Perfil - interna'!P320+'Perfil - externa'!P318=0,0,'Perfil - interna'!P320+'Perfil - externa'!P318)</f>
        <v>8020559.9141625119</v>
      </c>
      <c r="Q320" s="222">
        <f>IF('Perfil - interna'!Q320+'Perfil - externa'!Q318=0,0,'Perfil - interna'!Q320+'Perfil - externa'!Q318)</f>
        <v>6272586.7850668617</v>
      </c>
      <c r="R320" s="222">
        <f>IF('Perfil - interna'!R320+'Perfil - externa'!R318=0,0,'Perfil - interna'!R320+'Perfil - externa'!R318)</f>
        <v>4620880.1794279702</v>
      </c>
      <c r="S320" s="222">
        <f>IF('Perfil - interna'!S320+'Perfil - externa'!S318=0,0,'Perfil - interna'!S320+'Perfil - externa'!S318)</f>
        <v>4396113.4645777168</v>
      </c>
      <c r="T320" s="222">
        <f>IF('Perfil - interna'!T320+'Perfil - externa'!T318=0,0,'Perfil - interna'!T320+'Perfil - externa'!T318)</f>
        <v>4200905.2752183648</v>
      </c>
      <c r="U320" s="222">
        <f>IF('Perfil - interna'!U320+'Perfil - externa'!U318=0,0,'Perfil - interna'!U320+'Perfil - externa'!U318)</f>
        <v>3433434.2668361766</v>
      </c>
      <c r="V320" s="222">
        <f>IF('Perfil - interna'!V320+'Perfil - externa'!V318=0,0,'Perfil - interna'!V320+'Perfil - externa'!V318)</f>
        <v>3133354.6106536416</v>
      </c>
      <c r="W320" s="222">
        <f>IF('Perfil - interna'!W320+'Perfil - externa'!W318=0,0,'Perfil - interna'!W320+'Perfil - externa'!W318)</f>
        <v>2064082.2048370854</v>
      </c>
      <c r="X320" s="222">
        <f>IF('Perfil - interna'!X320+'Perfil - externa'!X318=0,0,'Perfil - interna'!X320+'Perfil - externa'!X318)</f>
        <v>2022811.5362795214</v>
      </c>
      <c r="Y320" s="222">
        <f>IF('Perfil - interna'!Y320+'Perfil - externa'!Y318=0,0,'Perfil - interna'!Y320+'Perfil - externa'!Y318)</f>
        <v>1989336.980464322</v>
      </c>
      <c r="Z320" s="222">
        <f>IF('Perfil - interna'!Z320+'Perfil - externa'!Z318=0,0,'Perfil - interna'!Z320+'Perfil - externa'!Z318)</f>
        <v>1444627.6916991996</v>
      </c>
      <c r="AA320" s="222">
        <f>IF('Perfil - interna'!AA320+'Perfil - externa'!AA318=0,0,'Perfil - interna'!AA320+'Perfil - externa'!AA318)</f>
        <v>750260.28988954995</v>
      </c>
      <c r="AB320" s="222">
        <f>IF('Perfil - interna'!AB320+'Perfil - externa'!AB318=0,0,'Perfil - interna'!AB320+'Perfil - externa'!AB318)</f>
        <v>715662.19329109997</v>
      </c>
      <c r="AC320" s="222">
        <f>IF('Perfil - interna'!AC320+'Perfil - externa'!AC318=0,0,'Perfil - interna'!AC320+'Perfil - externa'!AC318)</f>
        <v>671863.41641429998</v>
      </c>
      <c r="AD320" s="222">
        <f>IF('Perfil - interna'!AD320+'Perfil - externa'!AD318=0,0,'Perfil - interna'!AD320+'Perfil - externa'!AD318)</f>
        <v>447789.85334929998</v>
      </c>
      <c r="AE320" s="222">
        <f>IF('Perfil - interna'!AE320+'Perfil - externa'!AE318=0,0,'Perfil - interna'!AE320+'Perfil - externa'!AE318)</f>
        <v>424256.82529504999</v>
      </c>
      <c r="AF320" s="222">
        <f>IF('Perfil - interna'!AF320+'Perfil - externa'!AF318=0,0,'Perfil - interna'!AF320+'Perfil - externa'!AF318)</f>
        <v>404472.81876649999</v>
      </c>
      <c r="AG320" s="222">
        <f>IF('Perfil - interna'!AG320+'Perfil - externa'!AG318=0,0,'Perfil - interna'!AG320+'Perfil - externa'!AG318)</f>
        <v>388467.83896359999</v>
      </c>
      <c r="AH320" s="222">
        <f>IF('Perfil - interna'!AH320+'Perfil - externa'!AH318=0,0,'Perfil - interna'!AH320+'Perfil - externa'!AH318)</f>
        <v>373395.31221684994</v>
      </c>
      <c r="AI320" s="222">
        <f>IF('Perfil - interna'!AI320+'Perfil - externa'!AI318=0,0,'Perfil - interna'!AI320+'Perfil - externa'!AI318)</f>
        <v>324622.20417275</v>
      </c>
      <c r="AJ320" s="222">
        <f>IF('Perfil - interna'!AJ320+'Perfil - externa'!AJ318=0,0,'Perfil - interna'!AJ320+'Perfil - externa'!AJ318)</f>
        <v>282287.49715869996</v>
      </c>
      <c r="AK320" s="222">
        <f>IF('Perfil - interna'!AK320+'Perfil - externa'!AK318=0,0,'Perfil - interna'!AK320+'Perfil - externa'!AK318)</f>
        <v>277636.17486660002</v>
      </c>
      <c r="AL320" s="222">
        <f>IF('Perfil - interna'!AL320+'Perfil - externa'!AL318=0,0,'Perfil - interna'!AL320+'Perfil - externa'!AL318)</f>
        <v>274918.14089355001</v>
      </c>
      <c r="AM320" s="222">
        <f>IF('Perfil - interna'!AM320+'Perfil - externa'!AM318=0,0,'Perfil - interna'!AM320+'Perfil - externa'!AM318)</f>
        <v>272919.1633443</v>
      </c>
      <c r="AN320" s="222">
        <f>IF('Perfil - interna'!AN320+'Perfil - externa'!AN318=0,0,'Perfil - interna'!AN320+'Perfil - externa'!AN318)</f>
        <v>0</v>
      </c>
      <c r="AO320" s="222"/>
      <c r="AP320" s="222"/>
      <c r="AQ320" s="222"/>
      <c r="AR320" s="222"/>
      <c r="AS320" s="222"/>
      <c r="AT320" s="222"/>
      <c r="AU320" s="222"/>
      <c r="AV320" s="222"/>
      <c r="AW320" s="222"/>
      <c r="AX320" s="222"/>
      <c r="AY320" s="222"/>
      <c r="AZ320" s="222"/>
      <c r="BA320" s="222"/>
      <c r="BB320" s="222"/>
      <c r="BC320" s="222"/>
      <c r="BD320" s="222"/>
      <c r="BE320" s="222"/>
      <c r="BF320" s="222"/>
      <c r="BG320" s="222"/>
      <c r="BH320" s="222"/>
      <c r="BI320" s="222"/>
      <c r="BJ320" s="222"/>
      <c r="BK320" s="222"/>
    </row>
    <row r="321" spans="1:63">
      <c r="A321" s="171"/>
      <c r="B321" s="318" t="str">
        <f>Servicio_internaColumna_título_total</f>
        <v>Total</v>
      </c>
      <c r="C321" s="319"/>
      <c r="D321" s="320"/>
      <c r="E321" s="320"/>
      <c r="F321" s="320">
        <f>IF('Perfil - interna'!F321+'Perfil - externa'!F319=0,0,'Perfil - interna'!F321+'Perfil - externa'!F319)</f>
        <v>0</v>
      </c>
      <c r="G321" s="320">
        <f>IF('Perfil - interna'!G321+'Perfil - externa'!G319=0,0,'Perfil - interna'!G321+'Perfil - externa'!G319)</f>
        <v>0</v>
      </c>
      <c r="H321" s="320">
        <f>IF('Perfil - interna'!H321+'Perfil - externa'!H319=0,0,'Perfil - interna'!H321+'Perfil - externa'!H319)</f>
        <v>0</v>
      </c>
      <c r="I321" s="320">
        <f>IF('Perfil - interna'!I321+'Perfil - externa'!I319=0,0,'Perfil - interna'!I321+'Perfil - externa'!I319)</f>
        <v>0</v>
      </c>
      <c r="J321" s="320">
        <f>IF('Perfil - interna'!J321+'Perfil - externa'!J319=0,0,'Perfil - interna'!J321+'Perfil - externa'!J319)</f>
        <v>0</v>
      </c>
      <c r="K321" s="320">
        <f>IF('Perfil - interna'!K321+'Perfil - externa'!K319=0,0,'Perfil - interna'!K321+'Perfil - externa'!K319)</f>
        <v>6096345.6178692766</v>
      </c>
      <c r="L321" s="320">
        <f>IF('Perfil - interna'!L321+'Perfil - externa'!L319=0,0,'Perfil - interna'!L321+'Perfil - externa'!L319)</f>
        <v>36579470.046722978</v>
      </c>
      <c r="M321" s="320">
        <f>IF('Perfil - interna'!M321+'Perfil - externa'!M319=0,0,'Perfil - interna'!M321+'Perfil - externa'!M319)</f>
        <v>28494798.35051509</v>
      </c>
      <c r="N321" s="320">
        <f>IF('Perfil - interna'!N321+'Perfil - externa'!N319=0,0,'Perfil - interna'!N321+'Perfil - externa'!N319)</f>
        <v>30672641.508452091</v>
      </c>
      <c r="O321" s="320">
        <f>IF('Perfil - interna'!O321+'Perfil - externa'!O319=0,0,'Perfil - interna'!O321+'Perfil - externa'!O319)</f>
        <v>25569509.194919139</v>
      </c>
      <c r="P321" s="320">
        <f>IF('Perfil - interna'!P321+'Perfil - externa'!P319=0,0,'Perfil - interna'!P321+'Perfil - externa'!P319)</f>
        <v>26389983.670330159</v>
      </c>
      <c r="Q321" s="320">
        <f>IF('Perfil - interna'!Q321+'Perfil - externa'!Q319=0,0,'Perfil - interna'!Q321+'Perfil - externa'!Q319)</f>
        <v>26866042.373501495</v>
      </c>
      <c r="R321" s="320">
        <f>IF('Perfil - interna'!R321+'Perfil - externa'!R319=0,0,'Perfil - interna'!R321+'Perfil - externa'!R319)</f>
        <v>6991589.1496977862</v>
      </c>
      <c r="S321" s="320">
        <f>IF('Perfil - interna'!S321+'Perfil - externa'!S319=0,0,'Perfil - interna'!S321+'Perfil - externa'!S319)</f>
        <v>9459679.3654959667</v>
      </c>
      <c r="T321" s="320">
        <f>IF('Perfil - interna'!T321+'Perfil - externa'!T319=0,0,'Perfil - interna'!T321+'Perfil - externa'!T319)</f>
        <v>10678900.903303714</v>
      </c>
      <c r="U321" s="320">
        <f>IF('Perfil - interna'!U321+'Perfil - externa'!U319=0,0,'Perfil - interna'!U321+'Perfil - externa'!U319)</f>
        <v>8882998.8291912749</v>
      </c>
      <c r="V321" s="320">
        <f>IF('Perfil - interna'!V321+'Perfil - externa'!V319=0,0,'Perfil - interna'!V321+'Perfil - externa'!V319)</f>
        <v>14368133.703893293</v>
      </c>
      <c r="W321" s="320">
        <f>IF('Perfil - interna'!W321+'Perfil - externa'!W319=0,0,'Perfil - interna'!W321+'Perfil - externa'!W319)</f>
        <v>3099997.9106378853</v>
      </c>
      <c r="X321" s="320">
        <f>IF('Perfil - interna'!X321+'Perfil - externa'!X319=0,0,'Perfil - interna'!X321+'Perfil - externa'!X319)</f>
        <v>2938267.0176688712</v>
      </c>
      <c r="Y321" s="320">
        <f>IF('Perfil - interna'!Y321+'Perfil - externa'!Y319=0,0,'Perfil - interna'!Y321+'Perfil - externa'!Y319)</f>
        <v>8505441.428814508</v>
      </c>
      <c r="Z321" s="320">
        <f>IF('Perfil - interna'!Z321+'Perfil - externa'!Z319=0,0,'Perfil - interna'!Z321+'Perfil - externa'!Z319)</f>
        <v>9990752.1688413993</v>
      </c>
      <c r="AA321" s="320">
        <f>IF('Perfil - interna'!AA321+'Perfil - externa'!AA319=0,0,'Perfil - interna'!AA321+'Perfil - externa'!AA319)</f>
        <v>1422747.5231606998</v>
      </c>
      <c r="AB321" s="320">
        <f>IF('Perfil - interna'!AB321+'Perfil - externa'!AB319=0,0,'Perfil - interna'!AB321+'Perfil - externa'!AB319)</f>
        <v>1327287.18388365</v>
      </c>
      <c r="AC321" s="320">
        <f>IF('Perfil - interna'!AC321+'Perfil - externa'!AC319=0,0,'Perfil - interna'!AC321+'Perfil - externa'!AC319)</f>
        <v>3388663.2730752998</v>
      </c>
      <c r="AD321" s="320">
        <f>IF('Perfil - interna'!AD321+'Perfil - externa'!AD319=0,0,'Perfil - interna'!AD321+'Perfil - externa'!AD319)</f>
        <v>929839.70037914999</v>
      </c>
      <c r="AE321" s="320">
        <f>IF('Perfil - interna'!AE321+'Perfil - externa'!AE319=0,0,'Perfil - interna'!AE321+'Perfil - externa'!AE319)</f>
        <v>824495.57823049999</v>
      </c>
      <c r="AF321" s="320">
        <f>IF('Perfil - interna'!AF321+'Perfil - externa'!AF319=0,0,'Perfil - interna'!AF321+'Perfil - externa'!AF319)</f>
        <v>727265.59235109994</v>
      </c>
      <c r="AG321" s="320">
        <f>IF('Perfil - interna'!AG321+'Perfil - externa'!AG319=0,0,'Perfil - interna'!AG321+'Perfil - externa'!AG319)</f>
        <v>700165.13481585006</v>
      </c>
      <c r="AH321" s="320">
        <f>IF('Perfil - interna'!AH321+'Perfil - externa'!AH319=0,0,'Perfil - interna'!AH321+'Perfil - externa'!AH319)</f>
        <v>659187.03798364988</v>
      </c>
      <c r="AI321" s="320">
        <f>IF('Perfil - interna'!AI321+'Perfil - externa'!AI319=0,0,'Perfil - interna'!AI321+'Perfil - externa'!AI319)</f>
        <v>1189890.6751468</v>
      </c>
      <c r="AJ321" s="320">
        <f>IF('Perfil - interna'!AJ321+'Perfil - externa'!AJ319=0,0,'Perfil - interna'!AJ321+'Perfil - externa'!AJ319)</f>
        <v>409415.52615589998</v>
      </c>
      <c r="AK321" s="320">
        <f>IF('Perfil - interna'!AK321+'Perfil - externa'!AK319=0,0,'Perfil - interna'!AK321+'Perfil - externa'!AK319)</f>
        <v>336825.7288638</v>
      </c>
      <c r="AL321" s="320">
        <f>IF('Perfil - interna'!AL321+'Perfil - externa'!AL319=0,0,'Perfil - interna'!AL321+'Perfil - externa'!AL319)</f>
        <v>334017.84272175003</v>
      </c>
      <c r="AM321" s="320">
        <f>IF('Perfil - interna'!AM321+'Perfil - externa'!AM319=0,0,'Perfil - interna'!AM321+'Perfil - externa'!AM319)</f>
        <v>3980562.2686401</v>
      </c>
      <c r="AN321" s="320">
        <f>IF('Perfil - interna'!AN321+'Perfil - externa'!AN319=0,0,'Perfil - interna'!AN321+'Perfil - externa'!AN319)</f>
        <v>3588.9987308999998</v>
      </c>
      <c r="AO321" s="320"/>
      <c r="AP321" s="320"/>
      <c r="AQ321" s="320"/>
      <c r="AR321" s="320"/>
      <c r="AS321" s="320"/>
      <c r="AT321" s="320"/>
      <c r="AU321" s="320"/>
      <c r="AV321" s="320"/>
      <c r="AW321" s="320"/>
      <c r="AX321" s="320"/>
      <c r="AY321" s="320"/>
      <c r="AZ321" s="320"/>
      <c r="BA321" s="320"/>
      <c r="BB321" s="320"/>
      <c r="BC321" s="320"/>
      <c r="BD321" s="320"/>
      <c r="BE321" s="320"/>
      <c r="BF321" s="320"/>
      <c r="BG321" s="320"/>
      <c r="BH321" s="320"/>
      <c r="BI321" s="320"/>
      <c r="BJ321" s="320"/>
      <c r="BK321" s="320"/>
    </row>
    <row r="322" spans="1:63">
      <c r="A322" s="167"/>
      <c r="B322" s="217" t="str">
        <f>Servicio_internaColumna_título_amortizaciones</f>
        <v>Amortizaciones</v>
      </c>
      <c r="C322" s="218"/>
      <c r="D322" s="219"/>
      <c r="E322" s="219"/>
      <c r="F322" s="219">
        <f>IF('Perfil - interna'!F322+'Perfil - externa'!F320=0,0,'Perfil - interna'!F322+'Perfil - externa'!F320)</f>
        <v>0</v>
      </c>
      <c r="G322" s="219">
        <f>IF('Perfil - interna'!G322+'Perfil - externa'!G320=0,0,'Perfil - interna'!G322+'Perfil - externa'!G320)</f>
        <v>0</v>
      </c>
      <c r="H322" s="219">
        <f>IF('Perfil - interna'!H322+'Perfil - externa'!H320=0,0,'Perfil - interna'!H322+'Perfil - externa'!H320)</f>
        <v>0</v>
      </c>
      <c r="I322" s="219">
        <f>IF('Perfil - interna'!I322+'Perfil - externa'!I320=0,0,'Perfil - interna'!I322+'Perfil - externa'!I320)</f>
        <v>0</v>
      </c>
      <c r="J322" s="219">
        <f>IF('Perfil - interna'!J322+'Perfil - externa'!J320=0,0,'Perfil - interna'!J322+'Perfil - externa'!J320)</f>
        <v>0</v>
      </c>
      <c r="K322" s="219">
        <f>IF('Perfil - interna'!K322+'Perfil - externa'!K320=0,0,'Perfil - interna'!K322+'Perfil - externa'!K320)</f>
        <v>2300168.8822283563</v>
      </c>
      <c r="L322" s="219">
        <f>IF('Perfil - interna'!L322+'Perfil - externa'!L320=0,0,'Perfil - interna'!L322+'Perfil - externa'!L320)</f>
        <v>22850998.768638503</v>
      </c>
      <c r="M322" s="219">
        <f>IF('Perfil - interna'!M322+'Perfil - externa'!M320=0,0,'Perfil - interna'!M322+'Perfil - externa'!M320)</f>
        <v>15767962.102305805</v>
      </c>
      <c r="N322" s="219">
        <f>IF('Perfil - interna'!N322+'Perfil - externa'!N320=0,0,'Perfil - interna'!N322+'Perfil - externa'!N320)</f>
        <v>19459756.927844517</v>
      </c>
      <c r="O322" s="219">
        <f>IF('Perfil - interna'!O322+'Perfil - externa'!O320=0,0,'Perfil - interna'!O322+'Perfil - externa'!O320)</f>
        <v>16073593.543059772</v>
      </c>
      <c r="P322" s="219">
        <f>IF('Perfil - interna'!P322+'Perfil - externa'!P320=0,0,'Perfil - interna'!P322+'Perfil - externa'!P320)</f>
        <v>18560340.600666441</v>
      </c>
      <c r="Q322" s="219">
        <f>IF('Perfil - interna'!Q322+'Perfil - externa'!Q320=0,0,'Perfil - interna'!Q322+'Perfil - externa'!Q320)</f>
        <v>20430780.369724497</v>
      </c>
      <c r="R322" s="219">
        <f>IF('Perfil - interna'!R322+'Perfil - externa'!R320=0,0,'Perfil - interna'!R322+'Perfil - externa'!R320)</f>
        <v>2292580.6463872977</v>
      </c>
      <c r="S322" s="219">
        <f>IF('Perfil - interna'!S322+'Perfil - externa'!S320=0,0,'Perfil - interna'!S322+'Perfil - externa'!S320)</f>
        <v>4837309.4689825205</v>
      </c>
      <c r="T322" s="219">
        <f>IF('Perfil - interna'!T322+'Perfil - externa'!T320=0,0,'Perfil - interna'!T322+'Perfil - externa'!T320)</f>
        <v>6460542.7932347795</v>
      </c>
      <c r="U322" s="219">
        <f>IF('Perfil - interna'!U322+'Perfil - externa'!U320=0,0,'Perfil - interna'!U322+'Perfil - externa'!U320)</f>
        <v>5215769.4351114808</v>
      </c>
      <c r="V322" s="219">
        <f>IF('Perfil - interna'!V322+'Perfil - externa'!V320=0,0,'Perfil - interna'!V322+'Perfil - externa'!V320)</f>
        <v>11145164.231351119</v>
      </c>
      <c r="W322" s="219">
        <f>IF('Perfil - interna'!W322+'Perfil - externa'!W320=0,0,'Perfil - interna'!W322+'Perfil - externa'!W320)</f>
        <v>1102114.00778134</v>
      </c>
      <c r="X322" s="219">
        <f>IF('Perfil - interna'!X322+'Perfil - externa'!X320=0,0,'Perfil - interna'!X322+'Perfil - externa'!X320)</f>
        <v>986891.98159679992</v>
      </c>
      <c r="Y322" s="219">
        <f>IF('Perfil - interna'!Y322+'Perfil - externa'!Y320=0,0,'Perfil - interna'!Y322+'Perfil - externa'!Y320)</f>
        <v>6588120.5126908077</v>
      </c>
      <c r="Z322" s="219">
        <f>IF('Perfil - interna'!Z322+'Perfil - externa'!Z320=0,0,'Perfil - interna'!Z322+'Perfil - externa'!Z320)</f>
        <v>8787244.8069363199</v>
      </c>
      <c r="AA322" s="219">
        <f>IF('Perfil - interna'!AA322+'Perfil - externa'!AA320=0,0,'Perfil - interna'!AA322+'Perfil - externa'!AA320)</f>
        <v>756030.93262665963</v>
      </c>
      <c r="AB322" s="219">
        <f>IF('Perfil - interna'!AB322+'Perfil - externa'!AB320=0,0,'Perfil - interna'!AB322+'Perfil - externa'!AB320)</f>
        <v>698562.0599008</v>
      </c>
      <c r="AC322" s="219">
        <f>IF('Perfil - interna'!AC322+'Perfil - externa'!AC320=0,0,'Perfil - interna'!AC322+'Perfil - externa'!AC320)</f>
        <v>2703483.1493413202</v>
      </c>
      <c r="AD322" s="219">
        <f>IF('Perfil - interna'!AD322+'Perfil - externa'!AD320=0,0,'Perfil - interna'!AD322+'Perfil - externa'!AD320)</f>
        <v>576133.46992245992</v>
      </c>
      <c r="AE322" s="219">
        <f>IF('Perfil - interna'!AE322+'Perfil - externa'!AE320=0,0,'Perfil - interna'!AE322+'Perfil - externa'!AE320)</f>
        <v>498865.20335817995</v>
      </c>
      <c r="AF322" s="219">
        <f>IF('Perfil - interna'!AF322+'Perfil - externa'!AF320=0,0,'Perfil - interna'!AF322+'Perfil - externa'!AF320)</f>
        <v>393686.33062564</v>
      </c>
      <c r="AG322" s="219">
        <f>IF('Perfil - interna'!AG322+'Perfil - externa'!AG320=0,0,'Perfil - interna'!AG322+'Perfil - externa'!AG320)</f>
        <v>383206.96541602002</v>
      </c>
      <c r="AH322" s="219">
        <f>IF('Perfil - interna'!AH322+'Perfil - externa'!AH320=0,0,'Perfil - interna'!AH322+'Perfil - externa'!AH320)</f>
        <v>358739.96734285995</v>
      </c>
      <c r="AI322" s="219">
        <f>IF('Perfil - interna'!AI322+'Perfil - externa'!AI320=0,0,'Perfil - interna'!AI322+'Perfil - externa'!AI320)</f>
        <v>848379.46066654008</v>
      </c>
      <c r="AJ322" s="219">
        <f>IF('Perfil - interna'!AJ322+'Perfil - externa'!AJ320=0,0,'Perfil - interna'!AJ322+'Perfil - externa'!AJ320)</f>
        <v>151226.66976751998</v>
      </c>
      <c r="AK322" s="219">
        <f>IF('Perfil - interna'!AK322+'Perfil - externa'!AK320=0,0,'Perfil - interna'!AK322+'Perfil - externa'!AK320)</f>
        <v>87637.299767520017</v>
      </c>
      <c r="AL322" s="219">
        <f>IF('Perfil - interna'!AL322+'Perfil - externa'!AL320=0,0,'Perfil - interna'!AL322+'Perfil - externa'!AL320)</f>
        <v>55838.911592460005</v>
      </c>
      <c r="AM322" s="219">
        <f>IF('Perfil - interna'!AM322+'Perfil - externa'!AM320=0,0,'Perfil - interna'!AM322+'Perfil - externa'!AM320)</f>
        <v>3501784.54885846</v>
      </c>
      <c r="AN322" s="219">
        <f>IF('Perfil - interna'!AN322+'Perfil - externa'!AN320=0,0,'Perfil - interna'!AN322+'Perfil - externa'!AN320)</f>
        <v>3389.7078922800001</v>
      </c>
      <c r="AO322" s="219"/>
      <c r="AP322" s="219"/>
      <c r="AQ322" s="219"/>
      <c r="AR322" s="219"/>
      <c r="AS322" s="219"/>
      <c r="AT322" s="219"/>
      <c r="AU322" s="219"/>
      <c r="AV322" s="219"/>
      <c r="AW322" s="219"/>
      <c r="AX322" s="219"/>
      <c r="AY322" s="219"/>
      <c r="AZ322" s="219"/>
      <c r="BA322" s="219"/>
      <c r="BB322" s="219"/>
      <c r="BC322" s="219"/>
      <c r="BD322" s="219"/>
      <c r="BE322" s="219"/>
      <c r="BF322" s="219"/>
      <c r="BG322" s="219"/>
      <c r="BH322" s="219"/>
      <c r="BI322" s="219"/>
      <c r="BJ322" s="219"/>
      <c r="BK322" s="219"/>
    </row>
    <row r="323" spans="1:63">
      <c r="A323" s="170">
        <v>40117</v>
      </c>
      <c r="B323" s="220" t="str">
        <f>Servicio_internaColumna_título_intereses</f>
        <v>Intereses</v>
      </c>
      <c r="C323" s="221"/>
      <c r="D323" s="222"/>
      <c r="E323" s="222"/>
      <c r="F323" s="222">
        <f>IF('Perfil - interna'!F323+'Perfil - externa'!F321=0,0,'Perfil - interna'!F323+'Perfil - externa'!F321)</f>
        <v>0</v>
      </c>
      <c r="G323" s="222">
        <f>IF('Perfil - interna'!G323+'Perfil - externa'!G321=0,0,'Perfil - interna'!G323+'Perfil - externa'!G321)</f>
        <v>0</v>
      </c>
      <c r="H323" s="222">
        <f>IF('Perfil - interna'!H323+'Perfil - externa'!H321=0,0,'Perfil - interna'!H323+'Perfil - externa'!H321)</f>
        <v>0</v>
      </c>
      <c r="I323" s="222">
        <f>IF('Perfil - interna'!I323+'Perfil - externa'!I321=0,0,'Perfil - interna'!I323+'Perfil - externa'!I321)</f>
        <v>0</v>
      </c>
      <c r="J323" s="222">
        <f>IF('Perfil - interna'!J323+'Perfil - externa'!J321=0,0,'Perfil - interna'!J323+'Perfil - externa'!J321)</f>
        <v>0</v>
      </c>
      <c r="K323" s="222">
        <f>IF('Perfil - interna'!K323+'Perfil - externa'!K321=0,0,'Perfil - interna'!K323+'Perfil - externa'!K321)</f>
        <v>1623367.9623023146</v>
      </c>
      <c r="L323" s="222">
        <f>IF('Perfil - interna'!L323+'Perfil - externa'!L321=0,0,'Perfil - interna'!L323+'Perfil - externa'!L321)</f>
        <v>14244857.353408825</v>
      </c>
      <c r="M323" s="222">
        <f>IF('Perfil - interna'!M323+'Perfil - externa'!M321=0,0,'Perfil - interna'!M323+'Perfil - externa'!M321)</f>
        <v>12738752.597325826</v>
      </c>
      <c r="N323" s="222">
        <f>IF('Perfil - interna'!N323+'Perfil - externa'!N321=0,0,'Perfil - interna'!N323+'Perfil - externa'!N321)</f>
        <v>11212883.931036923</v>
      </c>
      <c r="O323" s="222">
        <f>IF('Perfil - interna'!O323+'Perfil - externa'!O321=0,0,'Perfil - interna'!O323+'Perfil - externa'!O321)</f>
        <v>9459019.8652870618</v>
      </c>
      <c r="P323" s="222">
        <f>IF('Perfil - interna'!P323+'Perfil - externa'!P321=0,0,'Perfil - interna'!P323+'Perfil - externa'!P321)</f>
        <v>8173071.289929565</v>
      </c>
      <c r="Q323" s="222">
        <f>IF('Perfil - interna'!Q323+'Perfil - externa'!Q321=0,0,'Perfil - interna'!Q323+'Perfil - externa'!Q321)</f>
        <v>6402025.5340492539</v>
      </c>
      <c r="R323" s="222">
        <f>IF('Perfil - interna'!R323+'Perfil - externa'!R321=0,0,'Perfil - interna'!R323+'Perfil - externa'!R321)</f>
        <v>4763226.6850203518</v>
      </c>
      <c r="S323" s="222">
        <f>IF('Perfil - interna'!S323+'Perfil - externa'!S321=0,0,'Perfil - interna'!S323+'Perfil - externa'!S321)</f>
        <v>4547714.915086627</v>
      </c>
      <c r="T323" s="222">
        <f>IF('Perfil - interna'!T323+'Perfil - externa'!T321=0,0,'Perfil - interna'!T323+'Perfil - externa'!T321)</f>
        <v>4359533.5328160757</v>
      </c>
      <c r="U323" s="222">
        <f>IF('Perfil - interna'!U323+'Perfil - externa'!U321=0,0,'Perfil - interna'!U323+'Perfil - externa'!U321)</f>
        <v>3600507.7602984468</v>
      </c>
      <c r="V323" s="222">
        <f>IF('Perfil - interna'!V323+'Perfil - externa'!V321=0,0,'Perfil - interna'!V323+'Perfil - externa'!V321)</f>
        <v>3312761.8205323322</v>
      </c>
      <c r="W323" s="222">
        <f>IF('Perfil - interna'!W323+'Perfil - externa'!W321=0,0,'Perfil - interna'!W323+'Perfil - externa'!W321)</f>
        <v>2247168.2469904558</v>
      </c>
      <c r="X323" s="222">
        <f>IF('Perfil - interna'!X323+'Perfil - externa'!X321=0,0,'Perfil - interna'!X323+'Perfil - externa'!X321)</f>
        <v>2200423.8839111216</v>
      </c>
      <c r="Y323" s="222">
        <f>IF('Perfil - interna'!Y323+'Perfil - externa'!Y321=0,0,'Perfil - interna'!Y323+'Perfil - externa'!Y321)</f>
        <v>2161211.3446619418</v>
      </c>
      <c r="Z323" s="222">
        <f>IF('Perfil - interna'!Z323+'Perfil - externa'!Z321=0,0,'Perfil - interna'!Z323+'Perfil - externa'!Z321)</f>
        <v>1617499.1767734997</v>
      </c>
      <c r="AA323" s="222">
        <f>IF('Perfil - interna'!AA323+'Perfil - externa'!AA321=0,0,'Perfil - interna'!AA323+'Perfil - externa'!AA321)</f>
        <v>890853.58012076002</v>
      </c>
      <c r="AB323" s="222">
        <f>IF('Perfil - interna'!AB323+'Perfil - externa'!AB321=0,0,'Perfil - interna'!AB323+'Perfil - externa'!AB321)</f>
        <v>849991.98656913999</v>
      </c>
      <c r="AC323" s="222">
        <f>IF('Perfil - interna'!AC323+'Perfil - externa'!AC321=0,0,'Perfil - interna'!AC323+'Perfil - externa'!AC321)</f>
        <v>801401.63973676006</v>
      </c>
      <c r="AD323" s="222">
        <f>IF('Perfil - interna'!AD323+'Perfil - externa'!AD321=0,0,'Perfil - interna'!AD323+'Perfil - externa'!AD321)</f>
        <v>577322.62850513996</v>
      </c>
      <c r="AE323" s="222">
        <f>IF('Perfil - interna'!AE323+'Perfil - externa'!AE321=0,0,'Perfil - interna'!AE323+'Perfil - externa'!AE321)</f>
        <v>548011.27315748006</v>
      </c>
      <c r="AF323" s="222">
        <f>IF('Perfil - interna'!AF323+'Perfil - externa'!AF321=0,0,'Perfil - interna'!AF323+'Perfil - externa'!AF321)</f>
        <v>521730.71947527997</v>
      </c>
      <c r="AG323" s="222">
        <f>IF('Perfil - interna'!AG323+'Perfil - externa'!AG321=0,0,'Perfil - interna'!AG323+'Perfil - externa'!AG321)</f>
        <v>500672.99314020004</v>
      </c>
      <c r="AH323" s="222">
        <f>IF('Perfil - interna'!AH323+'Perfil - externa'!AH321=0,0,'Perfil - interna'!AH323+'Perfil - externa'!AH321)</f>
        <v>480653.49397597997</v>
      </c>
      <c r="AI323" s="222">
        <f>IF('Perfil - interna'!AI323+'Perfil - externa'!AI321=0,0,'Perfil - interna'!AI323+'Perfil - externa'!AI321)</f>
        <v>429797.53444376</v>
      </c>
      <c r="AJ323" s="222">
        <f>IF('Perfil - interna'!AJ323+'Perfil - externa'!AJ321=0,0,'Perfil - interna'!AJ323+'Perfil - externa'!AJ321)</f>
        <v>387912.71047224005</v>
      </c>
      <c r="AK323" s="222">
        <f>IF('Perfil - interna'!AK323+'Perfil - externa'!AK321=0,0,'Perfil - interna'!AK323+'Perfil - externa'!AK321)</f>
        <v>381480.62843718001</v>
      </c>
      <c r="AL323" s="222">
        <f>IF('Perfil - interna'!AL323+'Perfil - externa'!AL321=0,0,'Perfil - interna'!AL323+'Perfil - externa'!AL321)</f>
        <v>377377.55559926003</v>
      </c>
      <c r="AM323" s="222">
        <f>IF('Perfil - interna'!AM323+'Perfil - externa'!AM321=0,0,'Perfil - interna'!AM323+'Perfil - externa'!AM321)</f>
        <v>375489.16630518</v>
      </c>
      <c r="AN323" s="222">
        <f>IF('Perfil - interna'!AN323+'Perfil - externa'!AN321=0,0,'Perfil - interna'!AN323+'Perfil - externa'!AN321)</f>
        <v>117724.42199999999</v>
      </c>
      <c r="AO323" s="222"/>
      <c r="AP323" s="222"/>
      <c r="AQ323" s="222"/>
      <c r="AR323" s="222"/>
      <c r="AS323" s="222"/>
      <c r="AT323" s="222"/>
      <c r="AU323" s="222"/>
      <c r="AV323" s="222"/>
      <c r="AW323" s="222"/>
      <c r="AX323" s="222"/>
      <c r="AY323" s="222"/>
      <c r="AZ323" s="222"/>
      <c r="BA323" s="222"/>
      <c r="BB323" s="222"/>
      <c r="BC323" s="222"/>
      <c r="BD323" s="222"/>
      <c r="BE323" s="222"/>
      <c r="BF323" s="222"/>
      <c r="BG323" s="222"/>
      <c r="BH323" s="222"/>
      <c r="BI323" s="222"/>
      <c r="BJ323" s="222"/>
      <c r="BK323" s="222"/>
    </row>
    <row r="324" spans="1:63">
      <c r="A324" s="171"/>
      <c r="B324" s="318" t="str">
        <f>Servicio_internaColumna_título_total</f>
        <v>Total</v>
      </c>
      <c r="C324" s="319"/>
      <c r="D324" s="320"/>
      <c r="E324" s="320"/>
      <c r="F324" s="320">
        <f>IF('Perfil - interna'!F324+'Perfil - externa'!F322=0,0,'Perfil - interna'!F324+'Perfil - externa'!F322)</f>
        <v>0</v>
      </c>
      <c r="G324" s="320">
        <f>IF('Perfil - interna'!G324+'Perfil - externa'!G322=0,0,'Perfil - interna'!G324+'Perfil - externa'!G322)</f>
        <v>0</v>
      </c>
      <c r="H324" s="320">
        <f>IF('Perfil - interna'!H324+'Perfil - externa'!H322=0,0,'Perfil - interna'!H324+'Perfil - externa'!H322)</f>
        <v>0</v>
      </c>
      <c r="I324" s="320">
        <f>IF('Perfil - interna'!I324+'Perfil - externa'!I322=0,0,'Perfil - interna'!I324+'Perfil - externa'!I322)</f>
        <v>0</v>
      </c>
      <c r="J324" s="320">
        <f>IF('Perfil - interna'!J324+'Perfil - externa'!J322=0,0,'Perfil - interna'!J324+'Perfil - externa'!J322)</f>
        <v>0</v>
      </c>
      <c r="K324" s="320">
        <f>IF('Perfil - interna'!K324+'Perfil - externa'!K322=0,0,'Perfil - interna'!K324+'Perfil - externa'!K322)</f>
        <v>3923536.8445306709</v>
      </c>
      <c r="L324" s="320">
        <f>IF('Perfil - interna'!L324+'Perfil - externa'!L322=0,0,'Perfil - interna'!L324+'Perfil - externa'!L322)</f>
        <v>37095856.122047327</v>
      </c>
      <c r="M324" s="320">
        <f>IF('Perfil - interna'!M324+'Perfil - externa'!M322=0,0,'Perfil - interna'!M324+'Perfil - externa'!M322)</f>
        <v>28506714.699631631</v>
      </c>
      <c r="N324" s="320">
        <f>IF('Perfil - interna'!N324+'Perfil - externa'!N322=0,0,'Perfil - interna'!N324+'Perfil - externa'!N322)</f>
        <v>30672640.858881444</v>
      </c>
      <c r="O324" s="320">
        <f>IF('Perfil - interna'!O324+'Perfil - externa'!O322=0,0,'Perfil - interna'!O324+'Perfil - externa'!O322)</f>
        <v>25532613.408346832</v>
      </c>
      <c r="P324" s="320">
        <f>IF('Perfil - interna'!P324+'Perfil - externa'!P322=0,0,'Perfil - interna'!P324+'Perfil - externa'!P322)</f>
        <v>26733411.890596006</v>
      </c>
      <c r="Q324" s="320">
        <f>IF('Perfil - interna'!Q324+'Perfil - externa'!Q322=0,0,'Perfil - interna'!Q324+'Perfil - externa'!Q322)</f>
        <v>26832805.903773751</v>
      </c>
      <c r="R324" s="320">
        <f>IF('Perfil - interna'!R324+'Perfil - externa'!R322=0,0,'Perfil - interna'!R324+'Perfil - externa'!R322)</f>
        <v>7055807.3314076494</v>
      </c>
      <c r="S324" s="320">
        <f>IF('Perfil - interna'!S324+'Perfil - externa'!S322=0,0,'Perfil - interna'!S324+'Perfil - externa'!S322)</f>
        <v>9385024.3840691485</v>
      </c>
      <c r="T324" s="320">
        <f>IF('Perfil - interna'!T324+'Perfil - externa'!T322=0,0,'Perfil - interna'!T324+'Perfil - externa'!T322)</f>
        <v>10820076.326050855</v>
      </c>
      <c r="U324" s="320">
        <f>IF('Perfil - interna'!U324+'Perfil - externa'!U322=0,0,'Perfil - interna'!U324+'Perfil - externa'!U322)</f>
        <v>8816277.1954099275</v>
      </c>
      <c r="V324" s="320">
        <f>IF('Perfil - interna'!V324+'Perfil - externa'!V322=0,0,'Perfil - interna'!V324+'Perfil - externa'!V322)</f>
        <v>14457926.051883452</v>
      </c>
      <c r="W324" s="320">
        <f>IF('Perfil - interna'!W324+'Perfil - externa'!W322=0,0,'Perfil - interna'!W324+'Perfil - externa'!W322)</f>
        <v>3349282.2547717961</v>
      </c>
      <c r="X324" s="320">
        <f>IF('Perfil - interna'!X324+'Perfil - externa'!X322=0,0,'Perfil - interna'!X324+'Perfil - externa'!X322)</f>
        <v>3187315.8655079212</v>
      </c>
      <c r="Y324" s="320">
        <f>IF('Perfil - interna'!Y324+'Perfil - externa'!Y322=0,0,'Perfil - interna'!Y324+'Perfil - externa'!Y322)</f>
        <v>8749331.8573527504</v>
      </c>
      <c r="Z324" s="320">
        <f>IF('Perfil - interna'!Z324+'Perfil - externa'!Z322=0,0,'Perfil - interna'!Z324+'Perfil - externa'!Z322)</f>
        <v>10404743.98370982</v>
      </c>
      <c r="AA324" s="320">
        <f>IF('Perfil - interna'!AA324+'Perfil - externa'!AA322=0,0,'Perfil - interna'!AA324+'Perfil - externa'!AA322)</f>
        <v>1646884.5127474195</v>
      </c>
      <c r="AB324" s="320">
        <f>IF('Perfil - interna'!AB324+'Perfil - externa'!AB322=0,0,'Perfil - interna'!AB324+'Perfil - externa'!AB322)</f>
        <v>1548554.0464699399</v>
      </c>
      <c r="AC324" s="320">
        <f>IF('Perfil - interna'!AC324+'Perfil - externa'!AC322=0,0,'Perfil - interna'!AC324+'Perfil - externa'!AC322)</f>
        <v>3504884.7890780801</v>
      </c>
      <c r="AD324" s="320">
        <f>IF('Perfil - interna'!AD324+'Perfil - externa'!AD322=0,0,'Perfil - interna'!AD324+'Perfil - externa'!AD322)</f>
        <v>1153456.0984275998</v>
      </c>
      <c r="AE324" s="320">
        <f>IF('Perfil - interna'!AE324+'Perfil - externa'!AE322=0,0,'Perfil - interna'!AE324+'Perfil - externa'!AE322)</f>
        <v>1046876.4765156601</v>
      </c>
      <c r="AF324" s="320">
        <f>IF('Perfil - interna'!AF324+'Perfil - externa'!AF322=0,0,'Perfil - interna'!AF324+'Perfil - externa'!AF322)</f>
        <v>915417.05010092002</v>
      </c>
      <c r="AG324" s="320">
        <f>IF('Perfil - interna'!AG324+'Perfil - externa'!AG322=0,0,'Perfil - interna'!AG324+'Perfil - externa'!AG322)</f>
        <v>883879.95855622005</v>
      </c>
      <c r="AH324" s="320">
        <f>IF('Perfil - interna'!AH324+'Perfil - externa'!AH322=0,0,'Perfil - interna'!AH324+'Perfil - externa'!AH322)</f>
        <v>839393.46131883992</v>
      </c>
      <c r="AI324" s="320">
        <f>IF('Perfil - interna'!AI324+'Perfil - externa'!AI322=0,0,'Perfil - interna'!AI324+'Perfil - externa'!AI322)</f>
        <v>1278176.9951103001</v>
      </c>
      <c r="AJ324" s="320">
        <f>IF('Perfil - interna'!AJ324+'Perfil - externa'!AJ322=0,0,'Perfil - interna'!AJ324+'Perfil - externa'!AJ322)</f>
        <v>539139.38023976004</v>
      </c>
      <c r="AK324" s="320">
        <f>IF('Perfil - interna'!AK324+'Perfil - externa'!AK322=0,0,'Perfil - interna'!AK324+'Perfil - externa'!AK322)</f>
        <v>469117.9282047</v>
      </c>
      <c r="AL324" s="320">
        <f>IF('Perfil - interna'!AL324+'Perfil - externa'!AL322=0,0,'Perfil - interna'!AL324+'Perfil - externa'!AL322)</f>
        <v>433216.46719172003</v>
      </c>
      <c r="AM324" s="320">
        <f>IF('Perfil - interna'!AM324+'Perfil - externa'!AM322=0,0,'Perfil - interna'!AM324+'Perfil - externa'!AM322)</f>
        <v>3877273.7151636402</v>
      </c>
      <c r="AN324" s="320">
        <f>IF('Perfil - interna'!AN324+'Perfil - externa'!AN322=0,0,'Perfil - interna'!AN324+'Perfil - externa'!AN322)</f>
        <v>121114.12989227999</v>
      </c>
      <c r="AO324" s="320"/>
      <c r="AP324" s="320"/>
      <c r="AQ324" s="320"/>
      <c r="AR324" s="320"/>
      <c r="AS324" s="320"/>
      <c r="AT324" s="320"/>
      <c r="AU324" s="320"/>
      <c r="AV324" s="320"/>
      <c r="AW324" s="320"/>
      <c r="AX324" s="320"/>
      <c r="AY324" s="320"/>
      <c r="AZ324" s="320"/>
      <c r="BA324" s="320"/>
      <c r="BB324" s="320"/>
      <c r="BC324" s="320"/>
      <c r="BD324" s="320"/>
      <c r="BE324" s="320"/>
      <c r="BF324" s="320"/>
      <c r="BG324" s="320"/>
      <c r="BH324" s="320"/>
      <c r="BI324" s="320"/>
      <c r="BJ324" s="320"/>
      <c r="BK324" s="320"/>
    </row>
    <row r="325" spans="1:63">
      <c r="A325" s="167"/>
      <c r="B325" s="217" t="str">
        <f>Servicio_internaColumna_título_amortizaciones</f>
        <v>Amortizaciones</v>
      </c>
      <c r="C325" s="218"/>
      <c r="D325" s="219"/>
      <c r="E325" s="219"/>
      <c r="F325" s="219">
        <f>IF('Perfil - interna'!F325+'Perfil - externa'!F323=0,0,'Perfil - interna'!F325+'Perfil - externa'!F323)</f>
        <v>0</v>
      </c>
      <c r="G325" s="219">
        <f>IF('Perfil - interna'!G325+'Perfil - externa'!G323=0,0,'Perfil - interna'!G325+'Perfil - externa'!G323)</f>
        <v>0</v>
      </c>
      <c r="H325" s="219">
        <f>IF('Perfil - interna'!H325+'Perfil - externa'!H323=0,0,'Perfil - interna'!H325+'Perfil - externa'!H323)</f>
        <v>0</v>
      </c>
      <c r="I325" s="219">
        <f>IF('Perfil - interna'!I325+'Perfil - externa'!I323=0,0,'Perfil - interna'!I325+'Perfil - externa'!I323)</f>
        <v>0</v>
      </c>
      <c r="J325" s="219">
        <f>IF('Perfil - interna'!J325+'Perfil - externa'!J323=0,0,'Perfil - interna'!J325+'Perfil - externa'!J323)</f>
        <v>0</v>
      </c>
      <c r="K325" s="219">
        <f>IF('Perfil - interna'!K325+'Perfil - externa'!K323=0,0,'Perfil - interna'!K325+'Perfil - externa'!K323)</f>
        <v>1340857.4824786717</v>
      </c>
      <c r="L325" s="219">
        <f>IF('Perfil - interna'!L325+'Perfil - externa'!L323=0,0,'Perfil - interna'!L325+'Perfil - externa'!L323)</f>
        <v>22046798.394459527</v>
      </c>
      <c r="M325" s="219">
        <f>IF('Perfil - interna'!M325+'Perfil - externa'!M323=0,0,'Perfil - interna'!M325+'Perfil - externa'!M323)</f>
        <v>15849073.736828683</v>
      </c>
      <c r="N325" s="219">
        <f>IF('Perfil - interna'!N325+'Perfil - externa'!N323=0,0,'Perfil - interna'!N325+'Perfil - externa'!N323)</f>
        <v>19128948.704763323</v>
      </c>
      <c r="O325" s="219">
        <f>IF('Perfil - interna'!O325+'Perfil - externa'!O323=0,0,'Perfil - interna'!O325+'Perfil - externa'!O323)</f>
        <v>17874623.030837163</v>
      </c>
      <c r="P325" s="219">
        <f>IF('Perfil - interna'!P325+'Perfil - externa'!P323=0,0,'Perfil - interna'!P325+'Perfil - externa'!P323)</f>
        <v>18784866.291487701</v>
      </c>
      <c r="Q325" s="219">
        <f>IF('Perfil - interna'!Q325+'Perfil - externa'!Q323=0,0,'Perfil - interna'!Q325+'Perfil - externa'!Q323)</f>
        <v>20312871.198619075</v>
      </c>
      <c r="R325" s="219">
        <f>IF('Perfil - interna'!R325+'Perfil - externa'!R323=0,0,'Perfil - interna'!R325+'Perfil - externa'!R323)</f>
        <v>3079129.9635195192</v>
      </c>
      <c r="S325" s="219">
        <f>IF('Perfil - interna'!S325+'Perfil - externa'!S323=0,0,'Perfil - interna'!S325+'Perfil - externa'!S323)</f>
        <v>5020308.4012672501</v>
      </c>
      <c r="T325" s="219">
        <f>IF('Perfil - interna'!T325+'Perfil - externa'!T323=0,0,'Perfil - interna'!T325+'Perfil - externa'!T323)</f>
        <v>5449490.9258168861</v>
      </c>
      <c r="U325" s="219">
        <f>IF('Perfil - interna'!U325+'Perfil - externa'!U323=0,0,'Perfil - interna'!U325+'Perfil - externa'!U323)</f>
        <v>6669727.8120027781</v>
      </c>
      <c r="V325" s="219">
        <f>IF('Perfil - interna'!V325+'Perfil - externa'!V323=0,0,'Perfil - interna'!V325+'Perfil - externa'!V323)</f>
        <v>11250699.942328807</v>
      </c>
      <c r="W325" s="219">
        <f>IF('Perfil - interna'!W325+'Perfil - externa'!W323=0,0,'Perfil - interna'!W325+'Perfil - externa'!W323)</f>
        <v>1147232.5562472839</v>
      </c>
      <c r="X325" s="219">
        <f>IF('Perfil - interna'!X325+'Perfil - externa'!X323=0,0,'Perfil - interna'!X325+'Perfil - externa'!X323)</f>
        <v>1028255.5131656878</v>
      </c>
      <c r="Y325" s="219">
        <f>IF('Perfil - interna'!Y325+'Perfil - externa'!Y323=0,0,'Perfil - interna'!Y325+'Perfil - externa'!Y323)</f>
        <v>6621115.0733713256</v>
      </c>
      <c r="Z325" s="219">
        <f>IF('Perfil - interna'!Z325+'Perfil - externa'!Z323=0,0,'Perfil - interna'!Z325+'Perfil - externa'!Z323)</f>
        <v>10463377.122376058</v>
      </c>
      <c r="AA325" s="219">
        <f>IF('Perfil - interna'!AA325+'Perfil - externa'!AA323=0,0,'Perfil - interna'!AA325+'Perfil - externa'!AA323)</f>
        <v>789288.65924550593</v>
      </c>
      <c r="AB325" s="219">
        <f>IF('Perfil - interna'!AB325+'Perfil - externa'!AB323=0,0,'Perfil - interna'!AB325+'Perfil - externa'!AB323)</f>
        <v>729672.92642597388</v>
      </c>
      <c r="AC325" s="219">
        <f>IF('Perfil - interna'!AC325+'Perfil - externa'!AC323=0,0,'Perfil - interna'!AC325+'Perfil - externa'!AC323)</f>
        <v>2781721.3238461982</v>
      </c>
      <c r="AD325" s="219">
        <f>IF('Perfil - interna'!AD325+'Perfil - externa'!AD323=0,0,'Perfil - interna'!AD325+'Perfil - externa'!AD323)</f>
        <v>602638.79907496786</v>
      </c>
      <c r="AE325" s="219">
        <f>IF('Perfil - interna'!AE325+'Perfil - externa'!AE323=0,0,'Perfil - interna'!AE325+'Perfil - externa'!AE323)</f>
        <v>520490.22806775587</v>
      </c>
      <c r="AF325" s="219">
        <f>IF('Perfil - interna'!AF325+'Perfil - externa'!AF323=0,0,'Perfil - interna'!AF325+'Perfil - externa'!AF323)</f>
        <v>409372.29318983998</v>
      </c>
      <c r="AG325" s="219">
        <f>IF('Perfil - interna'!AG325+'Perfil - externa'!AG323=0,0,'Perfil - interna'!AG325+'Perfil - externa'!AG323)</f>
        <v>398501.07952942199</v>
      </c>
      <c r="AH325" s="219">
        <f>IF('Perfil - interna'!AH325+'Perfil - externa'!AH323=0,0,'Perfil - interna'!AH325+'Perfil - externa'!AH323)</f>
        <v>373108.84399776597</v>
      </c>
      <c r="AI325" s="219">
        <f>IF('Perfil - interna'!AI325+'Perfil - externa'!AI323=0,0,'Perfil - interna'!AI325+'Perfil - externa'!AI323)</f>
        <v>880552.34831803804</v>
      </c>
      <c r="AJ325" s="219">
        <f>IF('Perfil - interna'!AJ325+'Perfil - externa'!AJ323=0,0,'Perfil - interna'!AJ325+'Perfil - externa'!AJ323)</f>
        <v>156868.70274544798</v>
      </c>
      <c r="AK325" s="219">
        <f>IF('Perfil - interna'!AK325+'Perfil - externa'!AK323=0,0,'Perfil - interna'!AK325+'Perfil - externa'!AK323)</f>
        <v>90903.829745447991</v>
      </c>
      <c r="AL325" s="219">
        <f>IF('Perfil - interna'!AL325+'Perfil - externa'!AL323=0,0,'Perfil - interna'!AL325+'Perfil - externa'!AL323)</f>
        <v>57916.253528117995</v>
      </c>
      <c r="AM325" s="219">
        <f>IF('Perfil - interna'!AM325+'Perfil - externa'!AM323=0,0,'Perfil - interna'!AM325+'Perfil - externa'!AM323)</f>
        <v>3632590.5030109081</v>
      </c>
      <c r="AN325" s="219">
        <f>IF('Perfil - interna'!AN325+'Perfil - externa'!AN323=0,0,'Perfil - interna'!AN325+'Perfil - externa'!AN323)</f>
        <v>3516.3369384120001</v>
      </c>
      <c r="AO325" s="219"/>
      <c r="AP325" s="219"/>
      <c r="AQ325" s="219"/>
      <c r="AR325" s="219"/>
      <c r="AS325" s="219"/>
      <c r="AT325" s="219"/>
      <c r="AU325" s="219"/>
      <c r="AV325" s="219"/>
      <c r="AW325" s="219"/>
      <c r="AX325" s="219"/>
      <c r="AY325" s="219"/>
      <c r="AZ325" s="219"/>
      <c r="BA325" s="219"/>
      <c r="BB325" s="219"/>
      <c r="BC325" s="219"/>
      <c r="BD325" s="219"/>
      <c r="BE325" s="219"/>
      <c r="BF325" s="219"/>
      <c r="BG325" s="219"/>
      <c r="BH325" s="219"/>
      <c r="BI325" s="219"/>
      <c r="BJ325" s="219"/>
      <c r="BK325" s="219"/>
    </row>
    <row r="326" spans="1:63">
      <c r="A326" s="170">
        <v>40147</v>
      </c>
      <c r="B326" s="220" t="str">
        <f>Servicio_internaColumna_título_intereses</f>
        <v>Intereses</v>
      </c>
      <c r="C326" s="221"/>
      <c r="D326" s="222"/>
      <c r="E326" s="222"/>
      <c r="F326" s="222">
        <f>IF('Perfil - interna'!F326+'Perfil - externa'!F324=0,0,'Perfil - interna'!F326+'Perfil - externa'!F324)</f>
        <v>0</v>
      </c>
      <c r="G326" s="222">
        <f>IF('Perfil - interna'!G326+'Perfil - externa'!G324=0,0,'Perfil - interna'!G326+'Perfil - externa'!G324)</f>
        <v>0</v>
      </c>
      <c r="H326" s="222">
        <f>IF('Perfil - interna'!H326+'Perfil - externa'!H324=0,0,'Perfil - interna'!H326+'Perfil - externa'!H324)</f>
        <v>0</v>
      </c>
      <c r="I326" s="222">
        <f>IF('Perfil - interna'!I326+'Perfil - externa'!I324=0,0,'Perfil - interna'!I326+'Perfil - externa'!I324)</f>
        <v>0</v>
      </c>
      <c r="J326" s="222">
        <f>IF('Perfil - interna'!J326+'Perfil - externa'!J324=0,0,'Perfil - interna'!J326+'Perfil - externa'!J324)</f>
        <v>0</v>
      </c>
      <c r="K326" s="222">
        <f>IF('Perfil - interna'!K326+'Perfil - externa'!K324=0,0,'Perfil - interna'!K326+'Perfil - externa'!K324)</f>
        <v>210764.5983461974</v>
      </c>
      <c r="L326" s="222">
        <f>IF('Perfil - interna'!L326+'Perfil - externa'!L324=0,0,'Perfil - interna'!L326+'Perfil - externa'!L324)</f>
        <v>14395427.492759427</v>
      </c>
      <c r="M326" s="222">
        <f>IF('Perfil - interna'!M326+'Perfil - externa'!M324=0,0,'Perfil - interna'!M326+'Perfil - externa'!M324)</f>
        <v>12990093.498761596</v>
      </c>
      <c r="N326" s="222">
        <f>IF('Perfil - interna'!N326+'Perfil - externa'!N324=0,0,'Perfil - interna'!N326+'Perfil - externa'!N324)</f>
        <v>11436630.986515606</v>
      </c>
      <c r="O326" s="222">
        <f>IF('Perfil - interna'!O326+'Perfil - externa'!O324=0,0,'Perfil - interna'!O326+'Perfil - externa'!O324)</f>
        <v>9762975.7813184801</v>
      </c>
      <c r="P326" s="222">
        <f>IF('Perfil - interna'!P326+'Perfil - externa'!P324=0,0,'Perfil - interna'!P326+'Perfil - externa'!P324)</f>
        <v>8371843.4158719145</v>
      </c>
      <c r="Q326" s="222">
        <f>IF('Perfil - interna'!Q326+'Perfil - externa'!Q324=0,0,'Perfil - interna'!Q326+'Perfil - externa'!Q324)</f>
        <v>6595637.504418252</v>
      </c>
      <c r="R326" s="222">
        <f>IF('Perfil - interna'!R326+'Perfil - externa'!R324=0,0,'Perfil - interna'!R326+'Perfil - externa'!R324)</f>
        <v>4966891.5068816692</v>
      </c>
      <c r="S326" s="222">
        <f>IF('Perfil - interna'!S326+'Perfil - externa'!S324=0,0,'Perfil - interna'!S326+'Perfil - externa'!S324)</f>
        <v>4692803.5708051454</v>
      </c>
      <c r="T326" s="222">
        <f>IF('Perfil - interna'!T326+'Perfil - externa'!T324=0,0,'Perfil - interna'!T326+'Perfil - externa'!T324)</f>
        <v>4497216.7540726475</v>
      </c>
      <c r="U326" s="222">
        <f>IF('Perfil - interna'!U326+'Perfil - externa'!U324=0,0,'Perfil - interna'!U326+'Perfil - externa'!U324)</f>
        <v>3850620.0208599968</v>
      </c>
      <c r="V326" s="222">
        <f>IF('Perfil - interna'!V326+'Perfil - externa'!V324=0,0,'Perfil - interna'!V326+'Perfil - externa'!V324)</f>
        <v>3521263.5003561946</v>
      </c>
      <c r="W326" s="222">
        <f>IF('Perfil - interna'!W326+'Perfil - externa'!W324=0,0,'Perfil - interna'!W326+'Perfil - externa'!W324)</f>
        <v>2449916.0603308417</v>
      </c>
      <c r="X326" s="222">
        <f>IF('Perfil - interna'!X326+'Perfil - externa'!X324=0,0,'Perfil - interna'!X326+'Perfil - externa'!X324)</f>
        <v>2400830.2243455313</v>
      </c>
      <c r="Y326" s="222">
        <f>IF('Perfil - interna'!Y326+'Perfil - externa'!Y324=0,0,'Perfil - interna'!Y326+'Perfil - externa'!Y324)</f>
        <v>2359504.1267556623</v>
      </c>
      <c r="Z326" s="222">
        <f>IF('Perfil - interna'!Z326+'Perfil - externa'!Z324=0,0,'Perfil - interna'!Z326+'Perfil - externa'!Z324)</f>
        <v>1810978.2649562245</v>
      </c>
      <c r="AA326" s="222">
        <f>IF('Perfil - interna'!AA326+'Perfil - externa'!AA324=0,0,'Perfil - interna'!AA326+'Perfil - externa'!AA324)</f>
        <v>922653.21769548592</v>
      </c>
      <c r="AB326" s="222">
        <f>IF('Perfil - interna'!AB326+'Perfil - externa'!AB324=0,0,'Perfil - interna'!AB326+'Perfil - externa'!AB324)</f>
        <v>880018.61569429189</v>
      </c>
      <c r="AC326" s="222">
        <f>IF('Perfil - interna'!AC326+'Perfil - externa'!AC324=0,0,'Perfil - interna'!AC326+'Perfil - externa'!AC324)</f>
        <v>829367.1183705359</v>
      </c>
      <c r="AD326" s="222">
        <f>IF('Perfil - interna'!AD326+'Perfil - externa'!AD324=0,0,'Perfil - interna'!AD326+'Perfil - externa'!AD324)</f>
        <v>599404.72093334387</v>
      </c>
      <c r="AE326" s="222">
        <f>IF('Perfil - interna'!AE326+'Perfil - externa'!AE324=0,0,'Perfil - interna'!AE326+'Perfil - externa'!AE324)</f>
        <v>568752.98806437606</v>
      </c>
      <c r="AF326" s="222">
        <f>IF('Perfil - interna'!AF326+'Perfil - externa'!AF324=0,0,'Perfil - interna'!AF326+'Perfil - externa'!AF324)</f>
        <v>541389.82259506197</v>
      </c>
      <c r="AG326" s="222">
        <f>IF('Perfil - interna'!AG326+'Perfil - externa'!AG324=0,0,'Perfil - interna'!AG326+'Perfil - externa'!AG324)</f>
        <v>519492.97211464198</v>
      </c>
      <c r="AH326" s="222">
        <f>IF('Perfil - interna'!AH326+'Perfil - externa'!AH324=0,0,'Perfil - interna'!AH326+'Perfil - externa'!AH324)</f>
        <v>498673.27984010393</v>
      </c>
      <c r="AI326" s="222">
        <f>IF('Perfil - interna'!AI326+'Perfil - externa'!AI324=0,0,'Perfil - interna'!AI326+'Perfil - externa'!AI324)</f>
        <v>445865.58752628596</v>
      </c>
      <c r="AJ326" s="222">
        <f>IF('Perfil - interna'!AJ326+'Perfil - externa'!AJ324=0,0,'Perfil - interna'!AJ326+'Perfil - externa'!AJ324)</f>
        <v>402403.23249891598</v>
      </c>
      <c r="AK326" s="222">
        <f>IF('Perfil - interna'!AK326+'Perfil - externa'!AK324=0,0,'Perfil - interna'!AK326+'Perfil - externa'!AK324)</f>
        <v>395731.04701301397</v>
      </c>
      <c r="AL326" s="222">
        <f>IF('Perfil - interna'!AL326+'Perfil - externa'!AL324=0,0,'Perfil - interna'!AL326+'Perfil - externa'!AL324)</f>
        <v>391474.87535415596</v>
      </c>
      <c r="AM326" s="222">
        <f>IF('Perfil - interna'!AM326+'Perfil - externa'!AM324=0,0,'Perfil - interna'!AM326+'Perfil - externa'!AM324)</f>
        <v>389516.13602808601</v>
      </c>
      <c r="AN326" s="222">
        <f>IF('Perfil - interna'!AN326+'Perfil - externa'!AN324=0,0,'Perfil - interna'!AN326+'Perfil - externa'!AN324)</f>
        <v>122122.2438</v>
      </c>
      <c r="AO326" s="222"/>
      <c r="AP326" s="222"/>
      <c r="AQ326" s="222"/>
      <c r="AR326" s="222"/>
      <c r="AS326" s="222"/>
      <c r="AT326" s="222"/>
      <c r="AU326" s="222"/>
      <c r="AV326" s="222"/>
      <c r="AW326" s="222"/>
      <c r="AX326" s="222"/>
      <c r="AY326" s="222"/>
      <c r="AZ326" s="222"/>
      <c r="BA326" s="222"/>
      <c r="BB326" s="222"/>
      <c r="BC326" s="222"/>
      <c r="BD326" s="222"/>
      <c r="BE326" s="222"/>
      <c r="BF326" s="222"/>
      <c r="BG326" s="222"/>
      <c r="BH326" s="222"/>
      <c r="BI326" s="222"/>
      <c r="BJ326" s="222"/>
      <c r="BK326" s="222"/>
    </row>
    <row r="327" spans="1:63">
      <c r="A327" s="171"/>
      <c r="B327" s="318" t="str">
        <f>Servicio_internaColumna_título_total</f>
        <v>Total</v>
      </c>
      <c r="C327" s="319"/>
      <c r="D327" s="320"/>
      <c r="E327" s="320"/>
      <c r="F327" s="320">
        <f>IF('Perfil - interna'!F327+'Perfil - externa'!F325=0,0,'Perfil - interna'!F327+'Perfil - externa'!F325)</f>
        <v>0</v>
      </c>
      <c r="G327" s="320">
        <f>IF('Perfil - interna'!G327+'Perfil - externa'!G325=0,0,'Perfil - interna'!G327+'Perfil - externa'!G325)</f>
        <v>0</v>
      </c>
      <c r="H327" s="320">
        <f>IF('Perfil - interna'!H327+'Perfil - externa'!H325=0,0,'Perfil - interna'!H327+'Perfil - externa'!H325)</f>
        <v>0</v>
      </c>
      <c r="I327" s="320">
        <f>IF('Perfil - interna'!I327+'Perfil - externa'!I325=0,0,'Perfil - interna'!I327+'Perfil - externa'!I325)</f>
        <v>0</v>
      </c>
      <c r="J327" s="320">
        <f>IF('Perfil - interna'!J327+'Perfil - externa'!J325=0,0,'Perfil - interna'!J327+'Perfil - externa'!J325)</f>
        <v>0</v>
      </c>
      <c r="K327" s="320">
        <f>IF('Perfil - interna'!K327+'Perfil - externa'!K325=0,0,'Perfil - interna'!K327+'Perfil - externa'!K325)</f>
        <v>1551622.0808248692</v>
      </c>
      <c r="L327" s="320">
        <f>IF('Perfil - interna'!L327+'Perfil - externa'!L325=0,0,'Perfil - interna'!L327+'Perfil - externa'!L325)</f>
        <v>36442225.887218952</v>
      </c>
      <c r="M327" s="320">
        <f>IF('Perfil - interna'!M327+'Perfil - externa'!M325=0,0,'Perfil - interna'!M327+'Perfil - externa'!M325)</f>
        <v>28839167.235590279</v>
      </c>
      <c r="N327" s="320">
        <f>IF('Perfil - interna'!N327+'Perfil - externa'!N325=0,0,'Perfil - interna'!N327+'Perfil - externa'!N325)</f>
        <v>30565579.691278927</v>
      </c>
      <c r="O327" s="320">
        <f>IF('Perfil - interna'!O327+'Perfil - externa'!O325=0,0,'Perfil - interna'!O327+'Perfil - externa'!O325)</f>
        <v>27637598.812155642</v>
      </c>
      <c r="P327" s="320">
        <f>IF('Perfil - interna'!P327+'Perfil - externa'!P325=0,0,'Perfil - interna'!P327+'Perfil - externa'!P325)</f>
        <v>27156709.707359612</v>
      </c>
      <c r="Q327" s="320">
        <f>IF('Perfil - interna'!Q327+'Perfil - externa'!Q325=0,0,'Perfil - interna'!Q327+'Perfil - externa'!Q325)</f>
        <v>26908508.703037329</v>
      </c>
      <c r="R327" s="320">
        <f>IF('Perfil - interna'!R327+'Perfil - externa'!R325=0,0,'Perfil - interna'!R327+'Perfil - externa'!R325)</f>
        <v>8046021.4704011884</v>
      </c>
      <c r="S327" s="320">
        <f>IF('Perfil - interna'!S327+'Perfil - externa'!S325=0,0,'Perfil - interna'!S327+'Perfil - externa'!S325)</f>
        <v>9713111.9720723964</v>
      </c>
      <c r="T327" s="320">
        <f>IF('Perfil - interna'!T327+'Perfil - externa'!T325=0,0,'Perfil - interna'!T327+'Perfil - externa'!T325)</f>
        <v>9946707.6798895337</v>
      </c>
      <c r="U327" s="320">
        <f>IF('Perfil - interna'!U327+'Perfil - externa'!U325=0,0,'Perfil - interna'!U327+'Perfil - externa'!U325)</f>
        <v>10520347.832862774</v>
      </c>
      <c r="V327" s="320">
        <f>IF('Perfil - interna'!V327+'Perfil - externa'!V325=0,0,'Perfil - interna'!V327+'Perfil - externa'!V325)</f>
        <v>14771963.442685002</v>
      </c>
      <c r="W327" s="320">
        <f>IF('Perfil - interna'!W327+'Perfil - externa'!W325=0,0,'Perfil - interna'!W327+'Perfil - externa'!W325)</f>
        <v>3597148.6165781254</v>
      </c>
      <c r="X327" s="320">
        <f>IF('Perfil - interna'!X327+'Perfil - externa'!X325=0,0,'Perfil - interna'!X327+'Perfil - externa'!X325)</f>
        <v>3429085.7375112195</v>
      </c>
      <c r="Y327" s="320">
        <f>IF('Perfil - interna'!Y327+'Perfil - externa'!Y325=0,0,'Perfil - interna'!Y327+'Perfil - externa'!Y325)</f>
        <v>8980619.200126987</v>
      </c>
      <c r="Z327" s="320">
        <f>IF('Perfil - interna'!Z327+'Perfil - externa'!Z325=0,0,'Perfil - interna'!Z327+'Perfil - externa'!Z325)</f>
        <v>12274355.387332283</v>
      </c>
      <c r="AA327" s="320">
        <f>IF('Perfil - interna'!AA327+'Perfil - externa'!AA325=0,0,'Perfil - interna'!AA327+'Perfil - externa'!AA325)</f>
        <v>1711941.8769409917</v>
      </c>
      <c r="AB327" s="320">
        <f>IF('Perfil - interna'!AB327+'Perfil - externa'!AB325=0,0,'Perfil - interna'!AB327+'Perfil - externa'!AB325)</f>
        <v>1609691.5421202658</v>
      </c>
      <c r="AC327" s="320">
        <f>IF('Perfil - interna'!AC327+'Perfil - externa'!AC325=0,0,'Perfil - interna'!AC327+'Perfil - externa'!AC325)</f>
        <v>3611088.4422167339</v>
      </c>
      <c r="AD327" s="320">
        <f>IF('Perfil - interna'!AD327+'Perfil - externa'!AD325=0,0,'Perfil - interna'!AD327+'Perfil - externa'!AD325)</f>
        <v>1202043.5200083116</v>
      </c>
      <c r="AE327" s="320">
        <f>IF('Perfil - interna'!AE327+'Perfil - externa'!AE325=0,0,'Perfil - interna'!AE327+'Perfil - externa'!AE325)</f>
        <v>1089243.2161321319</v>
      </c>
      <c r="AF327" s="320">
        <f>IF('Perfil - interna'!AF327+'Perfil - externa'!AF325=0,0,'Perfil - interna'!AF327+'Perfil - externa'!AF325)</f>
        <v>950762.11578490189</v>
      </c>
      <c r="AG327" s="320">
        <f>IF('Perfil - interna'!AG327+'Perfil - externa'!AG325=0,0,'Perfil - interna'!AG327+'Perfil - externa'!AG325)</f>
        <v>917994.05164406402</v>
      </c>
      <c r="AH327" s="320">
        <f>IF('Perfil - interna'!AH327+'Perfil - externa'!AH325=0,0,'Perfil - interna'!AH327+'Perfil - externa'!AH325)</f>
        <v>871782.12383786985</v>
      </c>
      <c r="AI327" s="320">
        <f>IF('Perfil - interna'!AI327+'Perfil - externa'!AI325=0,0,'Perfil - interna'!AI327+'Perfil - externa'!AI325)</f>
        <v>1326417.9358443241</v>
      </c>
      <c r="AJ327" s="320">
        <f>IF('Perfil - interna'!AJ327+'Perfil - externa'!AJ325=0,0,'Perfil - interna'!AJ327+'Perfil - externa'!AJ325)</f>
        <v>559271.93524436397</v>
      </c>
      <c r="AK327" s="320">
        <f>IF('Perfil - interna'!AK327+'Perfil - externa'!AK325=0,0,'Perfil - interna'!AK327+'Perfil - externa'!AK325)</f>
        <v>486634.87675846193</v>
      </c>
      <c r="AL327" s="320">
        <f>IF('Perfil - interna'!AL327+'Perfil - externa'!AL325=0,0,'Perfil - interna'!AL327+'Perfil - externa'!AL325)</f>
        <v>449391.12888227397</v>
      </c>
      <c r="AM327" s="320">
        <f>IF('Perfil - interna'!AM327+'Perfil - externa'!AM325=0,0,'Perfil - interna'!AM327+'Perfil - externa'!AM325)</f>
        <v>4022106.639038994</v>
      </c>
      <c r="AN327" s="320">
        <f>IF('Perfil - interna'!AN327+'Perfil - externa'!AN325=0,0,'Perfil - interna'!AN327+'Perfil - externa'!AN325)</f>
        <v>125638.580738412</v>
      </c>
      <c r="AO327" s="320"/>
      <c r="AP327" s="320"/>
      <c r="AQ327" s="320"/>
      <c r="AR327" s="320"/>
      <c r="AS327" s="320"/>
      <c r="AT327" s="320"/>
      <c r="AU327" s="320"/>
      <c r="AV327" s="320"/>
      <c r="AW327" s="320"/>
      <c r="AX327" s="320"/>
      <c r="AY327" s="320"/>
      <c r="AZ327" s="320"/>
      <c r="BA327" s="320"/>
      <c r="BB327" s="320"/>
      <c r="BC327" s="320"/>
      <c r="BD327" s="320"/>
      <c r="BE327" s="320"/>
      <c r="BF327" s="320"/>
      <c r="BG327" s="320"/>
      <c r="BH327" s="320"/>
      <c r="BI327" s="320"/>
      <c r="BJ327" s="320"/>
      <c r="BK327" s="320"/>
    </row>
    <row r="328" spans="1:63">
      <c r="A328" s="167"/>
      <c r="B328" s="217" t="str">
        <f>Servicio_internaColumna_título_amortizaciones</f>
        <v>Amortizaciones</v>
      </c>
      <c r="C328" s="218"/>
      <c r="D328" s="219"/>
      <c r="E328" s="219"/>
      <c r="F328" s="219">
        <f>IF('Perfil - interna'!F328+'Perfil - externa'!F326=0,0,'Perfil - interna'!F328+'Perfil - externa'!F326)</f>
        <v>0</v>
      </c>
      <c r="G328" s="219">
        <f>IF('Perfil - interna'!G328+'Perfil - externa'!G326=0,0,'Perfil - interna'!G328+'Perfil - externa'!G326)</f>
        <v>0</v>
      </c>
      <c r="H328" s="219">
        <f>IF('Perfil - interna'!H328+'Perfil - externa'!H326=0,0,'Perfil - interna'!H328+'Perfil - externa'!H326)</f>
        <v>0</v>
      </c>
      <c r="I328" s="219">
        <f>IF('Perfil - interna'!I328+'Perfil - externa'!I326=0,0,'Perfil - interna'!I328+'Perfil - externa'!I326)</f>
        <v>0</v>
      </c>
      <c r="J328" s="219">
        <f>IF('Perfil - interna'!J328+'Perfil - externa'!J326=0,0,'Perfil - interna'!J328+'Perfil - externa'!J326)</f>
        <v>0</v>
      </c>
      <c r="K328" s="219">
        <f>IF('Perfil - interna'!K328+'Perfil - externa'!K326=0,0,'Perfil - interna'!K328+'Perfil - externa'!K326)</f>
        <v>0</v>
      </c>
      <c r="L328" s="219">
        <f>IF('Perfil - interna'!L328+'Perfil - externa'!L326=0,0,'Perfil - interna'!L328+'Perfil - externa'!L326)</f>
        <v>20264857.829045519</v>
      </c>
      <c r="M328" s="219">
        <f>IF('Perfil - interna'!M328+'Perfil - externa'!M326=0,0,'Perfil - interna'!M328+'Perfil - externa'!M326)</f>
        <v>16682808.302314479</v>
      </c>
      <c r="N328" s="219">
        <f>IF('Perfil - interna'!N328+'Perfil - externa'!N326=0,0,'Perfil - interna'!N328+'Perfil - externa'!N326)</f>
        <v>19286191.548962254</v>
      </c>
      <c r="O328" s="219">
        <f>IF('Perfil - interna'!O328+'Perfil - externa'!O326=0,0,'Perfil - interna'!O328+'Perfil - externa'!O326)</f>
        <v>18763526.718624916</v>
      </c>
      <c r="P328" s="219">
        <f>IF('Perfil - interna'!P328+'Perfil - externa'!P326=0,0,'Perfil - interna'!P328+'Perfil - externa'!P326)</f>
        <v>18801119.94813858</v>
      </c>
      <c r="Q328" s="219">
        <f>IF('Perfil - interna'!Q328+'Perfil - externa'!Q326=0,0,'Perfil - interna'!Q328+'Perfil - externa'!Q326)</f>
        <v>20436534.613366332</v>
      </c>
      <c r="R328" s="219">
        <f>IF('Perfil - interna'!R328+'Perfil - externa'!R326=0,0,'Perfil - interna'!R328+'Perfil - externa'!R326)</f>
        <v>4426097.6325338278</v>
      </c>
      <c r="S328" s="219">
        <f>IF('Perfil - interna'!S328+'Perfil - externa'!S326=0,0,'Perfil - interna'!S328+'Perfil - externa'!S326)</f>
        <v>5154220.5826620776</v>
      </c>
      <c r="T328" s="219">
        <f>IF('Perfil - interna'!T328+'Perfil - externa'!T326=0,0,'Perfil - interna'!T328+'Perfil - externa'!T326)</f>
        <v>5492996.2145341933</v>
      </c>
      <c r="U328" s="219">
        <f>IF('Perfil - interna'!U328+'Perfil - externa'!U326=0,0,'Perfil - interna'!U328+'Perfil - externa'!U326)</f>
        <v>6724152.9253629623</v>
      </c>
      <c r="V328" s="219">
        <f>IF('Perfil - interna'!V328+'Perfil - externa'!V326=0,0,'Perfil - interna'!V328+'Perfil - externa'!V326)</f>
        <v>11296019.451375766</v>
      </c>
      <c r="W328" s="219">
        <f>IF('Perfil - interna'!W328+'Perfil - externa'!W326=0,0,'Perfil - interna'!W328+'Perfil - externa'!W326)</f>
        <v>1184517.7411616901</v>
      </c>
      <c r="X328" s="219">
        <f>IF('Perfil - interna'!X328+'Perfil - externa'!X326=0,0,'Perfil - interna'!X328+'Perfil - externa'!X326)</f>
        <v>1064097.8971872353</v>
      </c>
      <c r="Y328" s="219">
        <f>IF('Perfil - interna'!Y328+'Perfil - externa'!Y326=0,0,'Perfil - interna'!Y328+'Perfil - externa'!Y326)</f>
        <v>6701084.3179036183</v>
      </c>
      <c r="Z328" s="219">
        <f>IF('Perfil - interna'!Z328+'Perfil - externa'!Z326=0,0,'Perfil - interna'!Z328+'Perfil - externa'!Z326)</f>
        <v>10811840.538438525</v>
      </c>
      <c r="AA328" s="219">
        <f>IF('Perfil - interna'!AA328+'Perfil - externa'!AA326=0,0,'Perfil - interna'!AA328+'Perfil - externa'!AA326)</f>
        <v>820396.82139860699</v>
      </c>
      <c r="AB328" s="219">
        <f>IF('Perfil - interna'!AB328+'Perfil - externa'!AB326=0,0,'Perfil - interna'!AB328+'Perfil - externa'!AB326)</f>
        <v>760671.35357065056</v>
      </c>
      <c r="AC328" s="219">
        <f>IF('Perfil - interna'!AC328+'Perfil - externa'!AC326=0,0,'Perfil - interna'!AC328+'Perfil - externa'!AC326)</f>
        <v>2879607.3213223731</v>
      </c>
      <c r="AD328" s="219">
        <f>IF('Perfil - interna'!AD328+'Perfil - externa'!AD326=0,0,'Perfil - interna'!AD328+'Perfil - externa'!AD326)</f>
        <v>602785.59191190242</v>
      </c>
      <c r="AE328" s="219">
        <f>IF('Perfil - interna'!AE328+'Perfil - externa'!AE326=0,0,'Perfil - interna'!AE328+'Perfil - externa'!AE326)</f>
        <v>520485.80952160468</v>
      </c>
      <c r="AF328" s="219">
        <f>IF('Perfil - interna'!AF328+'Perfil - externa'!AF326=0,0,'Perfil - interna'!AF328+'Perfil - externa'!AF326)</f>
        <v>409163.33917322929</v>
      </c>
      <c r="AG328" s="219">
        <f>IF('Perfil - interna'!AG328+'Perfil - externa'!AG326=0,0,'Perfil - interna'!AG328+'Perfil - externa'!AG326)</f>
        <v>398272.11478256789</v>
      </c>
      <c r="AH328" s="219">
        <f>IF('Perfil - interna'!AH328+'Perfil - externa'!AH326=0,0,'Perfil - interna'!AH328+'Perfil - externa'!AH326)</f>
        <v>372831.09433635435</v>
      </c>
      <c r="AI328" s="219">
        <f>IF('Perfil - interna'!AI328+'Perfil - externa'!AI326=0,0,'Perfil - interna'!AI328+'Perfil - externa'!AI326)</f>
        <v>881696.98930789437</v>
      </c>
      <c r="AJ328" s="219">
        <f>IF('Perfil - interna'!AJ328+'Perfil - externa'!AJ326=0,0,'Perfil - interna'!AJ328+'Perfil - externa'!AJ326)</f>
        <v>157169.5256049468</v>
      </c>
      <c r="AK328" s="219">
        <f>IF('Perfil - interna'!AK328+'Perfil - externa'!AK326=0,0,'Perfil - interna'!AK328+'Perfil - externa'!AK326)</f>
        <v>91083.230654946805</v>
      </c>
      <c r="AL328" s="219">
        <f>IF('Perfil - interna'!AL328+'Perfil - externa'!AL326=0,0,'Perfil - interna'!AL328+'Perfil - externa'!AL326)</f>
        <v>58037.237324513706</v>
      </c>
      <c r="AM328" s="219">
        <f>IF('Perfil - interna'!AM328+'Perfil - externa'!AM326=0,0,'Perfil - interna'!AM328+'Perfil - externa'!AM326)</f>
        <v>3639293.7229353916</v>
      </c>
      <c r="AN328" s="219">
        <f>IF('Perfil - interna'!AN328+'Perfil - externa'!AN326=0,0,'Perfil - interna'!AN328+'Perfil - externa'!AN326)</f>
        <v>3522.8094815777999</v>
      </c>
      <c r="AO328" s="219"/>
      <c r="AP328" s="219"/>
      <c r="AQ328" s="219"/>
      <c r="AR328" s="219"/>
      <c r="AS328" s="219"/>
      <c r="AT328" s="219"/>
      <c r="AU328" s="219"/>
      <c r="AV328" s="219"/>
      <c r="AW328" s="219"/>
      <c r="AX328" s="219"/>
      <c r="AY328" s="219"/>
      <c r="AZ328" s="219"/>
      <c r="BA328" s="219"/>
      <c r="BB328" s="219"/>
      <c r="BC328" s="219"/>
      <c r="BD328" s="219"/>
      <c r="BE328" s="219"/>
      <c r="BF328" s="219"/>
      <c r="BG328" s="219"/>
      <c r="BH328" s="219"/>
      <c r="BI328" s="219"/>
      <c r="BJ328" s="219"/>
      <c r="BK328" s="219"/>
    </row>
    <row r="329" spans="1:63">
      <c r="A329" s="170">
        <v>40178</v>
      </c>
      <c r="B329" s="220" t="str">
        <f>Servicio_internaColumna_título_intereses</f>
        <v>Intereses</v>
      </c>
      <c r="C329" s="221"/>
      <c r="D329" s="222"/>
      <c r="E329" s="222"/>
      <c r="F329" s="222">
        <f>IF('Perfil - interna'!F329+'Perfil - externa'!F327=0,0,'Perfil - interna'!F329+'Perfil - externa'!F327)</f>
        <v>0</v>
      </c>
      <c r="G329" s="222">
        <f>IF('Perfil - interna'!G329+'Perfil - externa'!G327=0,0,'Perfil - interna'!G329+'Perfil - externa'!G327)</f>
        <v>0</v>
      </c>
      <c r="H329" s="222">
        <f>IF('Perfil - interna'!H329+'Perfil - externa'!H327=0,0,'Perfil - interna'!H329+'Perfil - externa'!H327)</f>
        <v>0</v>
      </c>
      <c r="I329" s="222">
        <f>IF('Perfil - interna'!I329+'Perfil - externa'!I327=0,0,'Perfil - interna'!I329+'Perfil - externa'!I327)</f>
        <v>0</v>
      </c>
      <c r="J329" s="222">
        <f>IF('Perfil - interna'!J329+'Perfil - externa'!J327=0,0,'Perfil - interna'!J329+'Perfil - externa'!J327)</f>
        <v>0</v>
      </c>
      <c r="K329" s="222">
        <f>IF('Perfil - interna'!K329+'Perfil - externa'!K327=0,0,'Perfil - interna'!K329+'Perfil - externa'!K327)</f>
        <v>0</v>
      </c>
      <c r="L329" s="222">
        <f>IF('Perfil - interna'!L329+'Perfil - externa'!L327=0,0,'Perfil - interna'!L329+'Perfil - externa'!L327)</f>
        <v>14365608.634119619</v>
      </c>
      <c r="M329" s="222">
        <f>IF('Perfil - interna'!M329+'Perfil - externa'!M327=0,0,'Perfil - interna'!M329+'Perfil - externa'!M327)</f>
        <v>13071243.24881909</v>
      </c>
      <c r="N329" s="222">
        <f>IF('Perfil - interna'!N329+'Perfil - externa'!N327=0,0,'Perfil - interna'!N329+'Perfil - externa'!N327)</f>
        <v>11516347.466327762</v>
      </c>
      <c r="O329" s="222">
        <f>IF('Perfil - interna'!O329+'Perfil - externa'!O327=0,0,'Perfil - interna'!O329+'Perfil - externa'!O327)</f>
        <v>9849321.3293916006</v>
      </c>
      <c r="P329" s="222">
        <f>IF('Perfil - interna'!P329+'Perfil - externa'!P327=0,0,'Perfil - interna'!P329+'Perfil - externa'!P327)</f>
        <v>8414482.5788086168</v>
      </c>
      <c r="Q329" s="222">
        <f>IF('Perfil - interna'!Q329+'Perfil - externa'!Q327=0,0,'Perfil - interna'!Q329+'Perfil - externa'!Q327)</f>
        <v>6636942.7185829775</v>
      </c>
      <c r="R329" s="222">
        <f>IF('Perfil - interna'!R329+'Perfil - externa'!R327=0,0,'Perfil - interna'!R329+'Perfil - externa'!R327)</f>
        <v>5026305.0575648593</v>
      </c>
      <c r="S329" s="222">
        <f>IF('Perfil - interna'!S329+'Perfil - externa'!S327=0,0,'Perfil - interna'!S329+'Perfil - externa'!S327)</f>
        <v>4712581.660560485</v>
      </c>
      <c r="T329" s="222">
        <f>IF('Perfil - interna'!T329+'Perfil - externa'!T327=0,0,'Perfil - interna'!T329+'Perfil - externa'!T327)</f>
        <v>4516549.0017992044</v>
      </c>
      <c r="U329" s="222">
        <f>IF('Perfil - interna'!U329+'Perfil - externa'!U327=0,0,'Perfil - interna'!U329+'Perfil - externa'!U327)</f>
        <v>3869075.4087137901</v>
      </c>
      <c r="V329" s="222">
        <f>IF('Perfil - interna'!V329+'Perfil - externa'!V327=0,0,'Perfil - interna'!V329+'Perfil - externa'!V327)</f>
        <v>3538615.5230327807</v>
      </c>
      <c r="W329" s="222">
        <f>IF('Perfil - interna'!W329+'Perfil - externa'!W327=0,0,'Perfil - interna'!W329+'Perfil - externa'!W327)</f>
        <v>2466488.6614837581</v>
      </c>
      <c r="X329" s="222">
        <f>IF('Perfil - interna'!X329+'Perfil - externa'!X327=0,0,'Perfil - interna'!X329+'Perfil - externa'!X327)</f>
        <v>2416785.0819044611</v>
      </c>
      <c r="Y329" s="222">
        <f>IF('Perfil - interna'!Y329+'Perfil - externa'!Y327=0,0,'Perfil - interna'!Y329+'Perfil - externa'!Y327)</f>
        <v>2374839.7023893395</v>
      </c>
      <c r="Z329" s="222">
        <f>IF('Perfil - interna'!Z329+'Perfil - externa'!Z327=0,0,'Perfil - interna'!Z329+'Perfil - externa'!Z327)</f>
        <v>1843954.4690842663</v>
      </c>
      <c r="AA329" s="222">
        <f>IF('Perfil - interna'!AA329+'Perfil - externa'!AA327=0,0,'Perfil - interna'!AA329+'Perfil - externa'!AA327)</f>
        <v>924351.55118377088</v>
      </c>
      <c r="AB329" s="222">
        <f>IF('Perfil - interna'!AB329+'Perfil - externa'!AB327=0,0,'Perfil - interna'!AB329+'Perfil - externa'!AB327)</f>
        <v>881638.47140679974</v>
      </c>
      <c r="AC329" s="222">
        <f>IF('Perfil - interna'!AC329+'Perfil - externa'!AC327=0,0,'Perfil - interna'!AC329+'Perfil - externa'!AC327)</f>
        <v>830893.73955842829</v>
      </c>
      <c r="AD329" s="222">
        <f>IF('Perfil - interna'!AD329+'Perfil - externa'!AD327=0,0,'Perfil - interna'!AD329+'Perfil - externa'!AD327)</f>
        <v>600508.04891299352</v>
      </c>
      <c r="AE329" s="222">
        <f>IF('Perfil - interna'!AE329+'Perfil - externa'!AE327=0,0,'Perfil - interna'!AE329+'Perfil - externa'!AE327)</f>
        <v>569799.89520962443</v>
      </c>
      <c r="AF329" s="222">
        <f>IF('Perfil - interna'!AF329+'Perfil - externa'!AF327=0,0,'Perfil - interna'!AF329+'Perfil - externa'!AF327)</f>
        <v>542386.36219227535</v>
      </c>
      <c r="AG329" s="222">
        <f>IF('Perfil - interna'!AG329+'Perfil - externa'!AG327=0,0,'Perfil - interna'!AG329+'Perfil - externa'!AG327)</f>
        <v>520449.20604365226</v>
      </c>
      <c r="AH329" s="222">
        <f>IF('Perfil - interna'!AH329+'Perfil - externa'!AH327=0,0,'Perfil - interna'!AH329+'Perfil - externa'!AH327)</f>
        <v>499591.19083268754</v>
      </c>
      <c r="AI329" s="222">
        <f>IF('Perfil - interna'!AI329+'Perfil - externa'!AI327=0,0,'Perfil - interna'!AI329+'Perfil - externa'!AI327)</f>
        <v>446686.29507279088</v>
      </c>
      <c r="AJ329" s="222">
        <f>IF('Perfil - interna'!AJ329+'Perfil - externa'!AJ327=0,0,'Perfil - interna'!AJ329+'Perfil - externa'!AJ327)</f>
        <v>403143.9386195254</v>
      </c>
      <c r="AK329" s="222">
        <f>IF('Perfil - interna'!AK329+'Perfil - externa'!AK327=0,0,'Perfil - interna'!AK329+'Perfil - externa'!AK327)</f>
        <v>396459.47160050413</v>
      </c>
      <c r="AL329" s="222">
        <f>IF('Perfil - interna'!AL329+'Perfil - externa'!AL327=0,0,'Perfil - interna'!AL329+'Perfil - externa'!AL327)</f>
        <v>392195.46558013139</v>
      </c>
      <c r="AM329" s="222">
        <f>IF('Perfil - interna'!AM329+'Perfil - externa'!AM327=0,0,'Perfil - interna'!AM329+'Perfil - externa'!AM327)</f>
        <v>390233.1207904609</v>
      </c>
      <c r="AN329" s="222">
        <f>IF('Perfil - interna'!AN329+'Perfil - externa'!AN327=0,0,'Perfil - interna'!AN329+'Perfil - externa'!AN327)</f>
        <v>122347.03496999999</v>
      </c>
      <c r="AO329" s="222"/>
      <c r="AP329" s="222"/>
      <c r="AQ329" s="222"/>
      <c r="AR329" s="222"/>
      <c r="AS329" s="222"/>
      <c r="AT329" s="222"/>
      <c r="AU329" s="222"/>
      <c r="AV329" s="222"/>
      <c r="AW329" s="222"/>
      <c r="AX329" s="222"/>
      <c r="AY329" s="222"/>
      <c r="AZ329" s="222"/>
      <c r="BA329" s="222"/>
      <c r="BB329" s="222"/>
      <c r="BC329" s="222"/>
      <c r="BD329" s="222"/>
      <c r="BE329" s="222"/>
      <c r="BF329" s="222"/>
      <c r="BG329" s="222"/>
      <c r="BH329" s="222"/>
      <c r="BI329" s="222"/>
      <c r="BJ329" s="222"/>
      <c r="BK329" s="222"/>
    </row>
    <row r="330" spans="1:63">
      <c r="A330" s="171"/>
      <c r="B330" s="318" t="str">
        <f>Servicio_internaColumna_título_total</f>
        <v>Total</v>
      </c>
      <c r="C330" s="319"/>
      <c r="D330" s="320"/>
      <c r="E330" s="320"/>
      <c r="F330" s="320">
        <f>IF('Perfil - interna'!F330+'Perfil - externa'!F328=0,0,'Perfil - interna'!F330+'Perfil - externa'!F328)</f>
        <v>0</v>
      </c>
      <c r="G330" s="320">
        <f>IF('Perfil - interna'!G330+'Perfil - externa'!G328=0,0,'Perfil - interna'!G330+'Perfil - externa'!G328)</f>
        <v>0</v>
      </c>
      <c r="H330" s="320">
        <f>IF('Perfil - interna'!H330+'Perfil - externa'!H328=0,0,'Perfil - interna'!H330+'Perfil - externa'!H328)</f>
        <v>0</v>
      </c>
      <c r="I330" s="320">
        <f>IF('Perfil - interna'!I330+'Perfil - externa'!I328=0,0,'Perfil - interna'!I330+'Perfil - externa'!I328)</f>
        <v>0</v>
      </c>
      <c r="J330" s="320">
        <f>IF('Perfil - interna'!J330+'Perfil - externa'!J328=0,0,'Perfil - interna'!J330+'Perfil - externa'!J328)</f>
        <v>0</v>
      </c>
      <c r="K330" s="320">
        <f>IF('Perfil - interna'!K330+'Perfil - externa'!K328=0,0,'Perfil - interna'!K330+'Perfil - externa'!K328)</f>
        <v>0</v>
      </c>
      <c r="L330" s="320">
        <f>IF('Perfil - interna'!L330+'Perfil - externa'!L328=0,0,'Perfil - interna'!L330+'Perfil - externa'!L328)</f>
        <v>34630466.463165134</v>
      </c>
      <c r="M330" s="320">
        <f>IF('Perfil - interna'!M330+'Perfil - externa'!M328=0,0,'Perfil - interna'!M330+'Perfil - externa'!M328)</f>
        <v>29754051.551133573</v>
      </c>
      <c r="N330" s="320">
        <f>IF('Perfil - interna'!N330+'Perfil - externa'!N328=0,0,'Perfil - interna'!N330+'Perfil - externa'!N328)</f>
        <v>30802539.015290014</v>
      </c>
      <c r="O330" s="320">
        <f>IF('Perfil - interna'!O330+'Perfil - externa'!O328=0,0,'Perfil - interna'!O330+'Perfil - externa'!O328)</f>
        <v>28612848.048016518</v>
      </c>
      <c r="P330" s="320">
        <f>IF('Perfil - interna'!P330+'Perfil - externa'!P328=0,0,'Perfil - interna'!P330+'Perfil - externa'!P328)</f>
        <v>27215602.5269472</v>
      </c>
      <c r="Q330" s="320">
        <f>IF('Perfil - interna'!Q330+'Perfil - externa'!Q328=0,0,'Perfil - interna'!Q330+'Perfil - externa'!Q328)</f>
        <v>27073477.331949309</v>
      </c>
      <c r="R330" s="320">
        <f>IF('Perfil - interna'!R330+'Perfil - externa'!R328=0,0,'Perfil - interna'!R330+'Perfil - externa'!R328)</f>
        <v>9452402.690098688</v>
      </c>
      <c r="S330" s="320">
        <f>IF('Perfil - interna'!S330+'Perfil - externa'!S328=0,0,'Perfil - interna'!S330+'Perfil - externa'!S328)</f>
        <v>9866802.2432225607</v>
      </c>
      <c r="T330" s="320">
        <f>IF('Perfil - interna'!T330+'Perfil - externa'!T328=0,0,'Perfil - interna'!T330+'Perfil - externa'!T328)</f>
        <v>10009545.216333399</v>
      </c>
      <c r="U330" s="320">
        <f>IF('Perfil - interna'!U330+'Perfil - externa'!U328=0,0,'Perfil - interna'!U330+'Perfil - externa'!U328)</f>
        <v>10593228.334076751</v>
      </c>
      <c r="V330" s="320">
        <f>IF('Perfil - interna'!V330+'Perfil - externa'!V328=0,0,'Perfil - interna'!V330+'Perfil - externa'!V328)</f>
        <v>14834634.974408546</v>
      </c>
      <c r="W330" s="320">
        <f>IF('Perfil - interna'!W330+'Perfil - externa'!W328=0,0,'Perfil - interna'!W330+'Perfil - externa'!W328)</f>
        <v>3651006.4026454482</v>
      </c>
      <c r="X330" s="320">
        <f>IF('Perfil - interna'!X330+'Perfil - externa'!X328=0,0,'Perfil - interna'!X330+'Perfil - externa'!X328)</f>
        <v>3480882.9790916964</v>
      </c>
      <c r="Y330" s="320">
        <f>IF('Perfil - interna'!Y330+'Perfil - externa'!Y328=0,0,'Perfil - interna'!Y330+'Perfil - externa'!Y328)</f>
        <v>9075924.0202929582</v>
      </c>
      <c r="Z330" s="320">
        <f>IF('Perfil - interna'!Z330+'Perfil - externa'!Z328=0,0,'Perfil - interna'!Z330+'Perfil - externa'!Z328)</f>
        <v>12655795.007522792</v>
      </c>
      <c r="AA330" s="320">
        <f>IF('Perfil - interna'!AA330+'Perfil - externa'!AA328=0,0,'Perfil - interna'!AA330+'Perfil - externa'!AA328)</f>
        <v>1744748.3725823779</v>
      </c>
      <c r="AB330" s="320">
        <f>IF('Perfil - interna'!AB330+'Perfil - externa'!AB328=0,0,'Perfil - interna'!AB330+'Perfil - externa'!AB328)</f>
        <v>1642309.8249774503</v>
      </c>
      <c r="AC330" s="320">
        <f>IF('Perfil - interna'!AC330+'Perfil - externa'!AC328=0,0,'Perfil - interna'!AC330+'Perfil - externa'!AC328)</f>
        <v>3710501.0608808016</v>
      </c>
      <c r="AD330" s="320">
        <f>IF('Perfil - interna'!AD330+'Perfil - externa'!AD328=0,0,'Perfil - interna'!AD330+'Perfil - externa'!AD328)</f>
        <v>1203293.6408248958</v>
      </c>
      <c r="AE330" s="320">
        <f>IF('Perfil - interna'!AE330+'Perfil - externa'!AE328=0,0,'Perfil - interna'!AE330+'Perfil - externa'!AE328)</f>
        <v>1090285.7047312292</v>
      </c>
      <c r="AF330" s="320">
        <f>IF('Perfil - interna'!AF330+'Perfil - externa'!AF328=0,0,'Perfil - interna'!AF330+'Perfil - externa'!AF328)</f>
        <v>951549.70136550465</v>
      </c>
      <c r="AG330" s="320">
        <f>IF('Perfil - interna'!AG330+'Perfil - externa'!AG328=0,0,'Perfil - interna'!AG330+'Perfil - externa'!AG328)</f>
        <v>918721.32082622009</v>
      </c>
      <c r="AH330" s="320">
        <f>IF('Perfil - interna'!AH330+'Perfil - externa'!AH328=0,0,'Perfil - interna'!AH330+'Perfil - externa'!AH328)</f>
        <v>872422.28516904195</v>
      </c>
      <c r="AI330" s="320">
        <f>IF('Perfil - interna'!AI330+'Perfil - externa'!AI328=0,0,'Perfil - interna'!AI330+'Perfil - externa'!AI328)</f>
        <v>1328383.2843806853</v>
      </c>
      <c r="AJ330" s="320">
        <f>IF('Perfil - interna'!AJ330+'Perfil - externa'!AJ328=0,0,'Perfil - interna'!AJ330+'Perfil - externa'!AJ328)</f>
        <v>560313.46422447218</v>
      </c>
      <c r="AK330" s="320">
        <f>IF('Perfil - interna'!AK330+'Perfil - externa'!AK328=0,0,'Perfil - interna'!AK330+'Perfil - externa'!AK328)</f>
        <v>487542.70225545095</v>
      </c>
      <c r="AL330" s="320">
        <f>IF('Perfil - interna'!AL330+'Perfil - externa'!AL328=0,0,'Perfil - interna'!AL330+'Perfil - externa'!AL328)</f>
        <v>450232.70290464512</v>
      </c>
      <c r="AM330" s="320">
        <f>IF('Perfil - interna'!AM330+'Perfil - externa'!AM328=0,0,'Perfil - interna'!AM330+'Perfil - externa'!AM328)</f>
        <v>4029526.8437258527</v>
      </c>
      <c r="AN330" s="320">
        <f>IF('Perfil - interna'!AN330+'Perfil - externa'!AN328=0,0,'Perfil - interna'!AN330+'Perfil - externa'!AN328)</f>
        <v>125869.8444515778</v>
      </c>
      <c r="AO330" s="320"/>
      <c r="AP330" s="320"/>
      <c r="AQ330" s="320"/>
      <c r="AR330" s="320"/>
      <c r="AS330" s="320"/>
      <c r="AT330" s="320"/>
      <c r="AU330" s="320"/>
      <c r="AV330" s="320"/>
      <c r="AW330" s="320"/>
      <c r="AX330" s="320"/>
      <c r="AY330" s="320"/>
      <c r="AZ330" s="320"/>
      <c r="BA330" s="320"/>
      <c r="BB330" s="320"/>
      <c r="BC330" s="320"/>
      <c r="BD330" s="320"/>
      <c r="BE330" s="320"/>
      <c r="BF330" s="320"/>
      <c r="BG330" s="320"/>
      <c r="BH330" s="320"/>
      <c r="BI330" s="320"/>
      <c r="BJ330" s="320"/>
      <c r="BK330" s="320"/>
    </row>
    <row r="331" spans="1:63">
      <c r="A331" s="167"/>
      <c r="B331" s="217" t="str">
        <f>Servicio_internaColumna_título_amortizaciones</f>
        <v>Amortizaciones</v>
      </c>
      <c r="C331" s="218"/>
      <c r="D331" s="219"/>
      <c r="E331" s="219"/>
      <c r="F331" s="219">
        <f>IF('Perfil - interna'!F331+'Perfil - externa'!F329=0,0,'Perfil - interna'!F331+'Perfil - externa'!F329)</f>
        <v>0</v>
      </c>
      <c r="G331" s="219">
        <f>IF('Perfil - interna'!G331+'Perfil - externa'!G329=0,0,'Perfil - interna'!G331+'Perfil - externa'!G329)</f>
        <v>0</v>
      </c>
      <c r="H331" s="219">
        <f>IF('Perfil - interna'!H331+'Perfil - externa'!H329=0,0,'Perfil - interna'!H331+'Perfil - externa'!H329)</f>
        <v>0</v>
      </c>
      <c r="I331" s="219">
        <f>IF('Perfil - interna'!I331+'Perfil - externa'!I329=0,0,'Perfil - interna'!I331+'Perfil - externa'!I329)</f>
        <v>0</v>
      </c>
      <c r="J331" s="219">
        <f>IF('Perfil - interna'!J331+'Perfil - externa'!J329=0,0,'Perfil - interna'!J331+'Perfil - externa'!J329)</f>
        <v>0</v>
      </c>
      <c r="K331" s="219">
        <f>IF('Perfil - interna'!K331+'Perfil - externa'!K329=0,0,'Perfil - interna'!K331+'Perfil - externa'!K329)</f>
        <v>0</v>
      </c>
      <c r="L331" s="219">
        <f>IF('Perfil - interna'!L331+'Perfil - externa'!L329=0,0,'Perfil - interna'!L331+'Perfil - externa'!L329)</f>
        <v>26958805.123125117</v>
      </c>
      <c r="M331" s="219">
        <f>IF('Perfil - interna'!M331+'Perfil - externa'!M329=0,0,'Perfil - interna'!M331+'Perfil - externa'!M329)</f>
        <v>16221248.46755523</v>
      </c>
      <c r="N331" s="219">
        <f>IF('Perfil - interna'!N331+'Perfil - externa'!N329=0,0,'Perfil - interna'!N331+'Perfil - externa'!N329)</f>
        <v>19206821.492143936</v>
      </c>
      <c r="O331" s="219">
        <f>IF('Perfil - interna'!O331+'Perfil - externa'!O329=0,0,'Perfil - interna'!O331+'Perfil - externa'!O329)</f>
        <v>20416146.365853623</v>
      </c>
      <c r="P331" s="219">
        <f>IF('Perfil - interna'!P331+'Perfil - externa'!P329=0,0,'Perfil - interna'!P331+'Perfil - externa'!P329)</f>
        <v>18807832.466868535</v>
      </c>
      <c r="Q331" s="219">
        <f>IF('Perfil - interna'!Q331+'Perfil - externa'!Q329=0,0,'Perfil - interna'!Q331+'Perfil - externa'!Q329)</f>
        <v>20164995.380808316</v>
      </c>
      <c r="R331" s="219">
        <f>IF('Perfil - interna'!R331+'Perfil - externa'!R329=0,0,'Perfil - interna'!R331+'Perfil - externa'!R329)</f>
        <v>4202700.3228713404</v>
      </c>
      <c r="S331" s="219">
        <f>IF('Perfil - interna'!S331+'Perfil - externa'!S329=0,0,'Perfil - interna'!S331+'Perfil - externa'!S329)</f>
        <v>5148566.2817379944</v>
      </c>
      <c r="T331" s="219">
        <f>IF('Perfil - interna'!T331+'Perfil - externa'!T329=0,0,'Perfil - interna'!T331+'Perfil - externa'!T329)</f>
        <v>5496457.4632767886</v>
      </c>
      <c r="U331" s="219">
        <f>IF('Perfil - interna'!U331+'Perfil - externa'!U329=0,0,'Perfil - interna'!U331+'Perfil - externa'!U329)</f>
        <v>6857136.3444302296</v>
      </c>
      <c r="V331" s="219">
        <f>IF('Perfil - interna'!V331+'Perfil - externa'!V329=0,0,'Perfil - interna'!V331+'Perfil - externa'!V329)</f>
        <v>11342231.414918376</v>
      </c>
      <c r="W331" s="219">
        <f>IF('Perfil - interna'!W331+'Perfil - externa'!W329=0,0,'Perfil - interna'!W331+'Perfil - externa'!W329)</f>
        <v>1195127.1581702388</v>
      </c>
      <c r="X331" s="219">
        <f>IF('Perfil - interna'!X331+'Perfil - externa'!X329=0,0,'Perfil - interna'!X331+'Perfil - externa'!X329)</f>
        <v>1080017.8093941172</v>
      </c>
      <c r="Y331" s="219">
        <f>IF('Perfil - interna'!Y331+'Perfil - externa'!Y329=0,0,'Perfil - interna'!Y331+'Perfil - externa'!Y329)</f>
        <v>6810962.8897428494</v>
      </c>
      <c r="Z331" s="219">
        <f>IF('Perfil - interna'!Z331+'Perfil - externa'!Z329=0,0,'Perfil - interna'!Z331+'Perfil - externa'!Z329)</f>
        <v>11436022.842689592</v>
      </c>
      <c r="AA331" s="219">
        <f>IF('Perfil - interna'!AA331+'Perfil - externa'!AA329=0,0,'Perfil - interna'!AA331+'Perfil - externa'!AA329)</f>
        <v>839518.5981999241</v>
      </c>
      <c r="AB331" s="219">
        <f>IF('Perfil - interna'!AB331+'Perfil - externa'!AB329=0,0,'Perfil - interna'!AB331+'Perfil - externa'!AB329)</f>
        <v>778394.98025383439</v>
      </c>
      <c r="AC331" s="219">
        <f>IF('Perfil - interna'!AC331+'Perfil - externa'!AC329=0,0,'Perfil - interna'!AC331+'Perfil - externa'!AC329)</f>
        <v>2509484.1521906625</v>
      </c>
      <c r="AD331" s="219">
        <f>IF('Perfil - interna'!AD331+'Perfil - externa'!AD329=0,0,'Perfil - interna'!AD331+'Perfil - externa'!AD329)</f>
        <v>616865.2171227471</v>
      </c>
      <c r="AE331" s="219">
        <f>IF('Perfil - interna'!AE331+'Perfil - externa'!AE329=0,0,'Perfil - interna'!AE331+'Perfil - externa'!AE329)</f>
        <v>532638.82866348675</v>
      </c>
      <c r="AF331" s="219">
        <f>IF('Perfil - interna'!AF331+'Perfil - externa'!AF329=0,0,'Perfil - interna'!AF331+'Perfil - externa'!AF329)</f>
        <v>418710.34234816837</v>
      </c>
      <c r="AG331" s="219">
        <f>IF('Perfil - interna'!AG331+'Perfil - externa'!AG329=0,0,'Perfil - interna'!AG331+'Perfil - externa'!AG329)</f>
        <v>407564.15860767575</v>
      </c>
      <c r="AH331" s="219">
        <f>IF('Perfil - interna'!AH331+'Perfil - externa'!AH329=0,0,'Perfil - interna'!AH331+'Perfil - externa'!AH329)</f>
        <v>381527.45414739149</v>
      </c>
      <c r="AI331" s="219">
        <f>IF('Perfil - interna'!AI331+'Perfil - externa'!AI329=0,0,'Perfil - interna'!AI331+'Perfil - externa'!AI329)</f>
        <v>902305.58330384968</v>
      </c>
      <c r="AJ331" s="219">
        <f>IF('Perfil - interna'!AJ331+'Perfil - externa'!AJ329=0,0,'Perfil - interna'!AJ331+'Perfil - externa'!AJ329)</f>
        <v>160817.21195135041</v>
      </c>
      <c r="AK331" s="219">
        <f>IF('Perfil - interna'!AK331+'Perfil - externa'!AK329=0,0,'Perfil - interna'!AK331+'Perfil - externa'!AK329)</f>
        <v>93183.862401350387</v>
      </c>
      <c r="AL331" s="219">
        <f>IF('Perfil - interna'!AL331+'Perfil - externa'!AL329=0,0,'Perfil - interna'!AL331+'Perfil - externa'!AL329)</f>
        <v>59365.006698690304</v>
      </c>
      <c r="AM331" s="219">
        <f>IF('Perfil - interna'!AM331+'Perfil - externa'!AM329=0,0,'Perfil - interna'!AM331+'Perfil - externa'!AM329)</f>
        <v>3724458.0387301845</v>
      </c>
      <c r="AN331" s="219">
        <f>IF('Perfil - interna'!AN331+'Perfil - externa'!AN329=0,0,'Perfil - interna'!AN331+'Perfil - externa'!AN329)</f>
        <v>3605.2770887801998</v>
      </c>
      <c r="AO331" s="219"/>
      <c r="AP331" s="219"/>
      <c r="AQ331" s="219"/>
      <c r="AR331" s="219"/>
      <c r="AS331" s="219"/>
      <c r="AT331" s="219"/>
      <c r="AU331" s="219"/>
      <c r="AV331" s="219"/>
      <c r="AW331" s="219"/>
      <c r="AX331" s="219"/>
      <c r="AY331" s="219"/>
      <c r="AZ331" s="219"/>
      <c r="BA331" s="219"/>
      <c r="BB331" s="219"/>
      <c r="BC331" s="219"/>
      <c r="BD331" s="219"/>
      <c r="BE331" s="219"/>
      <c r="BF331" s="219"/>
      <c r="BG331" s="219"/>
      <c r="BH331" s="219"/>
      <c r="BI331" s="219"/>
      <c r="BJ331" s="219"/>
      <c r="BK331" s="219"/>
    </row>
    <row r="332" spans="1:63">
      <c r="A332" s="170">
        <v>40209</v>
      </c>
      <c r="B332" s="220" t="str">
        <f>Servicio_internaColumna_título_intereses</f>
        <v>Intereses</v>
      </c>
      <c r="C332" s="221"/>
      <c r="D332" s="222"/>
      <c r="E332" s="222"/>
      <c r="F332" s="222">
        <f>IF('Perfil - interna'!F332+'Perfil - externa'!F330=0,0,'Perfil - interna'!F332+'Perfil - externa'!F330)</f>
        <v>0</v>
      </c>
      <c r="G332" s="222">
        <f>IF('Perfil - interna'!G332+'Perfil - externa'!G330=0,0,'Perfil - interna'!G332+'Perfil - externa'!G330)</f>
        <v>0</v>
      </c>
      <c r="H332" s="222">
        <f>IF('Perfil - interna'!H332+'Perfil - externa'!H330=0,0,'Perfil - interna'!H332+'Perfil - externa'!H330)</f>
        <v>0</v>
      </c>
      <c r="I332" s="222">
        <f>IF('Perfil - interna'!I332+'Perfil - externa'!I330=0,0,'Perfil - interna'!I332+'Perfil - externa'!I330)</f>
        <v>0</v>
      </c>
      <c r="J332" s="222">
        <f>IF('Perfil - interna'!J332+'Perfil - externa'!J330=0,0,'Perfil - interna'!J332+'Perfil - externa'!J330)</f>
        <v>0</v>
      </c>
      <c r="K332" s="222">
        <f>IF('Perfil - interna'!K332+'Perfil - externa'!K330=0,0,'Perfil - interna'!K332+'Perfil - externa'!K330)</f>
        <v>0</v>
      </c>
      <c r="L332" s="222">
        <f>IF('Perfil - interna'!L332+'Perfil - externa'!L330=0,0,'Perfil - interna'!L332+'Perfil - externa'!L330)</f>
        <v>14028334.79913578</v>
      </c>
      <c r="M332" s="222">
        <f>IF('Perfil - interna'!M332+'Perfil - externa'!M330=0,0,'Perfil - interna'!M332+'Perfil - externa'!M330)</f>
        <v>13332951.844507653</v>
      </c>
      <c r="N332" s="222">
        <f>IF('Perfil - interna'!N332+'Perfil - externa'!N330=0,0,'Perfil - interna'!N332+'Perfil - externa'!N330)</f>
        <v>11749988.513558678</v>
      </c>
      <c r="O332" s="222">
        <f>IF('Perfil - interna'!O332+'Perfil - externa'!O330=0,0,'Perfil - interna'!O332+'Perfil - externa'!O330)</f>
        <v>10002516.87604725</v>
      </c>
      <c r="P332" s="222">
        <f>IF('Perfil - interna'!P332+'Perfil - externa'!P330=0,0,'Perfil - interna'!P332+'Perfil - externa'!P330)</f>
        <v>8489150.4261864685</v>
      </c>
      <c r="Q332" s="222">
        <f>IF('Perfil - interna'!Q332+'Perfil - externa'!Q330=0,0,'Perfil - interna'!Q332+'Perfil - externa'!Q330)</f>
        <v>6721782.5073110713</v>
      </c>
      <c r="R332" s="222">
        <f>IF('Perfil - interna'!R332+'Perfil - externa'!R330=0,0,'Perfil - interna'!R332+'Perfil - externa'!R330)</f>
        <v>5163262.7695992626</v>
      </c>
      <c r="S332" s="222">
        <f>IF('Perfil - interna'!S332+'Perfil - externa'!S330=0,0,'Perfil - interna'!S332+'Perfil - externa'!S330)</f>
        <v>4806129.5914742276</v>
      </c>
      <c r="T332" s="222">
        <f>IF('Perfil - interna'!T332+'Perfil - externa'!T330=0,0,'Perfil - interna'!T332+'Perfil - externa'!T330)</f>
        <v>4608089.5767808789</v>
      </c>
      <c r="U332" s="222">
        <f>IF('Perfil - interna'!U332+'Perfil - externa'!U330=0,0,'Perfil - interna'!U332+'Perfil - externa'!U330)</f>
        <v>3955700.9961723108</v>
      </c>
      <c r="V332" s="222">
        <f>IF('Perfil - interna'!V332+'Perfil - externa'!V330=0,0,'Perfil - interna'!V332+'Perfil - externa'!V330)</f>
        <v>3617040.1689552469</v>
      </c>
      <c r="W332" s="222">
        <f>IF('Perfil - interna'!W332+'Perfil - externa'!W330=0,0,'Perfil - interna'!W332+'Perfil - externa'!W330)</f>
        <v>2540271.5080110896</v>
      </c>
      <c r="X332" s="222">
        <f>IF('Perfil - interna'!X332+'Perfil - externa'!X330=0,0,'Perfil - interna'!X332+'Perfil - externa'!X330)</f>
        <v>2487822.9359119101</v>
      </c>
      <c r="Y332" s="222">
        <f>IF('Perfil - interna'!Y332+'Perfil - externa'!Y330=0,0,'Perfil - interna'!Y332+'Perfil - externa'!Y330)</f>
        <v>2442913.1302775526</v>
      </c>
      <c r="Z332" s="222">
        <f>IF('Perfil - interna'!Z332+'Perfil - externa'!Z330=0,0,'Perfil - interna'!Z332+'Perfil - externa'!Z330)</f>
        <v>1897050.1386285361</v>
      </c>
      <c r="AA332" s="222">
        <f>IF('Perfil - interna'!AA332+'Perfil - externa'!AA330=0,0,'Perfil - interna'!AA332+'Perfil - externa'!AA330)</f>
        <v>915964.62454734696</v>
      </c>
      <c r="AB332" s="222">
        <f>IF('Perfil - interna'!AB332+'Perfil - externa'!AB330=0,0,'Perfil - interna'!AB332+'Perfil - externa'!AB330)</f>
        <v>869675.41711202788</v>
      </c>
      <c r="AC332" s="222">
        <f>IF('Perfil - interna'!AC332+'Perfil - externa'!AC330=0,0,'Perfil - interna'!AC332+'Perfil - externa'!AC330)</f>
        <v>815197.56176566053</v>
      </c>
      <c r="AD332" s="222">
        <f>IF('Perfil - interna'!AD332+'Perfil - externa'!AD330=0,0,'Perfil - interna'!AD332+'Perfil - externa'!AD330)</f>
        <v>614282.79091588245</v>
      </c>
      <c r="AE332" s="222">
        <f>IF('Perfil - interna'!AE332+'Perfil - externa'!AE330=0,0,'Perfil - interna'!AE332+'Perfil - externa'!AE330)</f>
        <v>582909.37846724817</v>
      </c>
      <c r="AF332" s="222">
        <f>IF('Perfil - interna'!AF332+'Perfil - externa'!AF330=0,0,'Perfil - interna'!AF332+'Perfil - externa'!AF330)</f>
        <v>554907.71252084733</v>
      </c>
      <c r="AG332" s="222">
        <f>IF('Perfil - interna'!AG332+'Perfil - externa'!AG330=0,0,'Perfil - interna'!AG332+'Perfil - externa'!AG330)</f>
        <v>532510.62324586441</v>
      </c>
      <c r="AH332" s="222">
        <f>IF('Perfil - interna'!AH332+'Perfil - externa'!AH330=0,0,'Perfil - interna'!AH332+'Perfil - externa'!AH330)</f>
        <v>511217.96314215718</v>
      </c>
      <c r="AI332" s="222">
        <f>IF('Perfil - interna'!AI332+'Perfil - externa'!AI330=0,0,'Perfil - interna'!AI332+'Perfil - externa'!AI330)</f>
        <v>457128.30010196549</v>
      </c>
      <c r="AJ332" s="222">
        <f>IF('Perfil - interna'!AJ332+'Perfil - externa'!AJ330=0,0,'Perfil - interna'!AJ332+'Perfil - externa'!AJ330)</f>
        <v>412580.29451544333</v>
      </c>
      <c r="AK332" s="222">
        <f>IF('Perfil - interna'!AK332+'Perfil - externa'!AK330=0,0,'Perfil - interna'!AK332+'Perfil - externa'!AK330)</f>
        <v>405739.65557203232</v>
      </c>
      <c r="AL332" s="222">
        <f>IF('Perfil - interna'!AL332+'Perfil - externa'!AL330=0,0,'Perfil - interna'!AL332+'Perfil - externa'!AL330)</f>
        <v>401376.13964203413</v>
      </c>
      <c r="AM332" s="222">
        <f>IF('Perfil - interna'!AM332+'Perfil - externa'!AM330=0,0,'Perfil - interna'!AM332+'Perfil - externa'!AM330)</f>
        <v>399364.31438759039</v>
      </c>
      <c r="AN332" s="222">
        <f>IF('Perfil - interna'!AN332+'Perfil - externa'!AN330=0,0,'Perfil - interna'!AN332+'Perfil - externa'!AN330)</f>
        <v>125211.13172999999</v>
      </c>
      <c r="AO332" s="222"/>
      <c r="AP332" s="222"/>
      <c r="AQ332" s="222"/>
      <c r="AR332" s="222"/>
      <c r="AS332" s="222"/>
      <c r="AT332" s="222"/>
      <c r="AU332" s="222"/>
      <c r="AV332" s="222"/>
      <c r="AW332" s="222"/>
      <c r="AX332" s="222"/>
      <c r="AY332" s="222"/>
      <c r="AZ332" s="222"/>
      <c r="BA332" s="222"/>
      <c r="BB332" s="222"/>
      <c r="BC332" s="222"/>
      <c r="BD332" s="222"/>
      <c r="BE332" s="222"/>
      <c r="BF332" s="222"/>
      <c r="BG332" s="222"/>
      <c r="BH332" s="222"/>
      <c r="BI332" s="222"/>
      <c r="BJ332" s="222"/>
      <c r="BK332" s="222"/>
    </row>
    <row r="333" spans="1:63">
      <c r="A333" s="171"/>
      <c r="B333" s="318" t="str">
        <f>Servicio_internaColumna_título_total</f>
        <v>Total</v>
      </c>
      <c r="C333" s="319"/>
      <c r="D333" s="320"/>
      <c r="E333" s="320"/>
      <c r="F333" s="320">
        <f>IF('Perfil - interna'!F333+'Perfil - externa'!F331=0,0,'Perfil - interna'!F333+'Perfil - externa'!F331)</f>
        <v>0</v>
      </c>
      <c r="G333" s="320">
        <f>IF('Perfil - interna'!G333+'Perfil - externa'!G331=0,0,'Perfil - interna'!G333+'Perfil - externa'!G331)</f>
        <v>0</v>
      </c>
      <c r="H333" s="320">
        <f>IF('Perfil - interna'!H333+'Perfil - externa'!H331=0,0,'Perfil - interna'!H333+'Perfil - externa'!H331)</f>
        <v>0</v>
      </c>
      <c r="I333" s="320">
        <f>IF('Perfil - interna'!I333+'Perfil - externa'!I331=0,0,'Perfil - interna'!I333+'Perfil - externa'!I331)</f>
        <v>0</v>
      </c>
      <c r="J333" s="320">
        <f>IF('Perfil - interna'!J333+'Perfil - externa'!J331=0,0,'Perfil - interna'!J333+'Perfil - externa'!J331)</f>
        <v>0</v>
      </c>
      <c r="K333" s="320">
        <f>IF('Perfil - interna'!K333+'Perfil - externa'!K331=0,0,'Perfil - interna'!K333+'Perfil - externa'!K331)</f>
        <v>0</v>
      </c>
      <c r="L333" s="320">
        <f>IF('Perfil - interna'!L333+'Perfil - externa'!L331=0,0,'Perfil - interna'!L333+'Perfil - externa'!L331)</f>
        <v>40987139.922260895</v>
      </c>
      <c r="M333" s="320">
        <f>IF('Perfil - interna'!M333+'Perfil - externa'!M331=0,0,'Perfil - interna'!M333+'Perfil - externa'!M331)</f>
        <v>29554200.312062882</v>
      </c>
      <c r="N333" s="320">
        <f>IF('Perfil - interna'!N333+'Perfil - externa'!N331=0,0,'Perfil - interna'!N333+'Perfil - externa'!N331)</f>
        <v>30956810.005702615</v>
      </c>
      <c r="O333" s="320">
        <f>IF('Perfil - interna'!O333+'Perfil - externa'!O331=0,0,'Perfil - interna'!O333+'Perfil - externa'!O331)</f>
        <v>30418663.241900869</v>
      </c>
      <c r="P333" s="320">
        <f>IF('Perfil - interna'!P333+'Perfil - externa'!P331=0,0,'Perfil - interna'!P333+'Perfil - externa'!P331)</f>
        <v>27296982.893054999</v>
      </c>
      <c r="Q333" s="320">
        <f>IF('Perfil - interna'!Q333+'Perfil - externa'!Q331=0,0,'Perfil - interna'!Q333+'Perfil - externa'!Q331)</f>
        <v>26886777.888119388</v>
      </c>
      <c r="R333" s="320">
        <f>IF('Perfil - interna'!R333+'Perfil - externa'!R331=0,0,'Perfil - interna'!R333+'Perfil - externa'!R331)</f>
        <v>9365963.0924706031</v>
      </c>
      <c r="S333" s="320">
        <f>IF('Perfil - interna'!S333+'Perfil - externa'!S331=0,0,'Perfil - interna'!S333+'Perfil - externa'!S331)</f>
        <v>9954695.873212222</v>
      </c>
      <c r="T333" s="320">
        <f>IF('Perfil - interna'!T333+'Perfil - externa'!T331=0,0,'Perfil - interna'!T333+'Perfil - externa'!T331)</f>
        <v>10104547.040057668</v>
      </c>
      <c r="U333" s="320">
        <f>IF('Perfil - interna'!U333+'Perfil - externa'!U331=0,0,'Perfil - interna'!U333+'Perfil - externa'!U331)</f>
        <v>10812837.340602541</v>
      </c>
      <c r="V333" s="320">
        <f>IF('Perfil - interna'!V333+'Perfil - externa'!V331=0,0,'Perfil - interna'!V333+'Perfil - externa'!V331)</f>
        <v>14959271.583873622</v>
      </c>
      <c r="W333" s="320">
        <f>IF('Perfil - interna'!W333+'Perfil - externa'!W331=0,0,'Perfil - interna'!W333+'Perfil - externa'!W331)</f>
        <v>3735398.6661813287</v>
      </c>
      <c r="X333" s="320">
        <f>IF('Perfil - interna'!X333+'Perfil - externa'!X331=0,0,'Perfil - interna'!X333+'Perfil - externa'!X331)</f>
        <v>3567840.7453060271</v>
      </c>
      <c r="Y333" s="320">
        <f>IF('Perfil - interna'!Y333+'Perfil - externa'!Y331=0,0,'Perfil - interna'!Y333+'Perfil - externa'!Y331)</f>
        <v>9253876.020020403</v>
      </c>
      <c r="Z333" s="320">
        <f>IF('Perfil - interna'!Z333+'Perfil - externa'!Z331=0,0,'Perfil - interna'!Z333+'Perfil - externa'!Z331)</f>
        <v>13333072.981318127</v>
      </c>
      <c r="AA333" s="320">
        <f>IF('Perfil - interna'!AA333+'Perfil - externa'!AA331=0,0,'Perfil - interna'!AA333+'Perfil - externa'!AA331)</f>
        <v>1755483.2227472709</v>
      </c>
      <c r="AB333" s="320">
        <f>IF('Perfil - interna'!AB333+'Perfil - externa'!AB331=0,0,'Perfil - interna'!AB333+'Perfil - externa'!AB331)</f>
        <v>1648070.3973658623</v>
      </c>
      <c r="AC333" s="320">
        <f>IF('Perfil - interna'!AC333+'Perfil - externa'!AC331=0,0,'Perfil - interna'!AC333+'Perfil - externa'!AC331)</f>
        <v>3324681.713956323</v>
      </c>
      <c r="AD333" s="320">
        <f>IF('Perfil - interna'!AD333+'Perfil - externa'!AD331=0,0,'Perfil - interna'!AD333+'Perfil - externa'!AD331)</f>
        <v>1231148.0080386295</v>
      </c>
      <c r="AE333" s="320">
        <f>IF('Perfil - interna'!AE333+'Perfil - externa'!AE331=0,0,'Perfil - interna'!AE333+'Perfil - externa'!AE331)</f>
        <v>1115548.2071307348</v>
      </c>
      <c r="AF333" s="320">
        <f>IF('Perfil - interna'!AF333+'Perfil - externa'!AF331=0,0,'Perfil - interna'!AF333+'Perfil - externa'!AF331)</f>
        <v>973618.0548690157</v>
      </c>
      <c r="AG333" s="320">
        <f>IF('Perfil - interna'!AG333+'Perfil - externa'!AG331=0,0,'Perfil - interna'!AG333+'Perfil - externa'!AG331)</f>
        <v>940074.7818535401</v>
      </c>
      <c r="AH333" s="320">
        <f>IF('Perfil - interna'!AH333+'Perfil - externa'!AH331=0,0,'Perfil - interna'!AH333+'Perfil - externa'!AH331)</f>
        <v>892745.41728954867</v>
      </c>
      <c r="AI333" s="320">
        <f>IF('Perfil - interna'!AI333+'Perfil - externa'!AI331=0,0,'Perfil - interna'!AI333+'Perfil - externa'!AI331)</f>
        <v>1359433.8834058151</v>
      </c>
      <c r="AJ333" s="320">
        <f>IF('Perfil - interna'!AJ333+'Perfil - externa'!AJ331=0,0,'Perfil - interna'!AJ333+'Perfil - externa'!AJ331)</f>
        <v>573397.50646679371</v>
      </c>
      <c r="AK333" s="320">
        <f>IF('Perfil - interna'!AK333+'Perfil - externa'!AK331=0,0,'Perfil - interna'!AK333+'Perfil - externa'!AK331)</f>
        <v>498923.51797338272</v>
      </c>
      <c r="AL333" s="320">
        <f>IF('Perfil - interna'!AL333+'Perfil - externa'!AL331=0,0,'Perfil - interna'!AL333+'Perfil - externa'!AL331)</f>
        <v>460741.14634072443</v>
      </c>
      <c r="AM333" s="320">
        <f>IF('Perfil - interna'!AM333+'Perfil - externa'!AM331=0,0,'Perfil - interna'!AM333+'Perfil - externa'!AM331)</f>
        <v>4123822.3531177752</v>
      </c>
      <c r="AN333" s="320">
        <f>IF('Perfil - interna'!AN333+'Perfil - externa'!AN331=0,0,'Perfil - interna'!AN333+'Perfil - externa'!AN331)</f>
        <v>128816.4088187802</v>
      </c>
      <c r="AO333" s="320"/>
      <c r="AP333" s="320"/>
      <c r="AQ333" s="320"/>
      <c r="AR333" s="320"/>
      <c r="AS333" s="320"/>
      <c r="AT333" s="320"/>
      <c r="AU333" s="320"/>
      <c r="AV333" s="320"/>
      <c r="AW333" s="320"/>
      <c r="AX333" s="320"/>
      <c r="AY333" s="320"/>
      <c r="AZ333" s="320"/>
      <c r="BA333" s="320"/>
      <c r="BB333" s="320"/>
      <c r="BC333" s="320"/>
      <c r="BD333" s="320"/>
      <c r="BE333" s="320"/>
      <c r="BF333" s="320"/>
      <c r="BG333" s="320"/>
      <c r="BH333" s="320"/>
      <c r="BI333" s="320"/>
      <c r="BJ333" s="320"/>
      <c r="BK333" s="320"/>
    </row>
    <row r="334" spans="1:63">
      <c r="A334" s="167"/>
      <c r="B334" s="217" t="str">
        <f>Servicio_internaColumna_título_amortizaciones</f>
        <v>Amortizaciones</v>
      </c>
      <c r="C334" s="218"/>
      <c r="D334" s="219"/>
      <c r="E334" s="219"/>
      <c r="F334" s="219">
        <f>IF('Perfil - interna'!F334+'Perfil - externa'!F332=0,0,'Perfil - interna'!F334+'Perfil - externa'!F332)</f>
        <v>0</v>
      </c>
      <c r="G334" s="219">
        <f>IF('Perfil - interna'!G334+'Perfil - externa'!G332=0,0,'Perfil - interna'!G334+'Perfil - externa'!G332)</f>
        <v>0</v>
      </c>
      <c r="H334" s="219">
        <f>IF('Perfil - interna'!H334+'Perfil - externa'!H332=0,0,'Perfil - interna'!H334+'Perfil - externa'!H332)</f>
        <v>0</v>
      </c>
      <c r="I334" s="219">
        <f>IF('Perfil - interna'!I334+'Perfil - externa'!I332=0,0,'Perfil - interna'!I334+'Perfil - externa'!I332)</f>
        <v>0</v>
      </c>
      <c r="J334" s="219">
        <f>IF('Perfil - interna'!J334+'Perfil - externa'!J332=0,0,'Perfil - interna'!J334+'Perfil - externa'!J332)</f>
        <v>0</v>
      </c>
      <c r="K334" s="219">
        <f>IF('Perfil - interna'!K334+'Perfil - externa'!K332=0,0,'Perfil - interna'!K334+'Perfil - externa'!K332)</f>
        <v>0</v>
      </c>
      <c r="L334" s="219">
        <f>IF('Perfil - interna'!L334+'Perfil - externa'!L332=0,0,'Perfil - interna'!L334+'Perfil - externa'!L332)</f>
        <v>23073530.736387379</v>
      </c>
      <c r="M334" s="219">
        <f>IF('Perfil - interna'!M334+'Perfil - externa'!M332=0,0,'Perfil - interna'!M334+'Perfil - externa'!M332)</f>
        <v>16277498.045743871</v>
      </c>
      <c r="N334" s="219">
        <f>IF('Perfil - interna'!N334+'Perfil - externa'!N332=0,0,'Perfil - interna'!N334+'Perfil - externa'!N332)</f>
        <v>18962414.605413288</v>
      </c>
      <c r="O334" s="219">
        <f>IF('Perfil - interna'!O334+'Perfil - externa'!O332=0,0,'Perfil - interna'!O334+'Perfil - externa'!O332)</f>
        <v>22029991.32175852</v>
      </c>
      <c r="P334" s="219">
        <f>IF('Perfil - interna'!P334+'Perfil - externa'!P332=0,0,'Perfil - interna'!P334+'Perfil - externa'!P332)</f>
        <v>18548921.534050494</v>
      </c>
      <c r="Q334" s="219">
        <f>IF('Perfil - interna'!Q334+'Perfil - externa'!Q332=0,0,'Perfil - interna'!Q334+'Perfil - externa'!Q332)</f>
        <v>19876496.786157697</v>
      </c>
      <c r="R334" s="219">
        <f>IF('Perfil - interna'!R334+'Perfil - externa'!R332=0,0,'Perfil - interna'!R334+'Perfil - externa'!R332)</f>
        <v>4723245.7630135603</v>
      </c>
      <c r="S334" s="219">
        <f>IF('Perfil - interna'!S334+'Perfil - externa'!S332=0,0,'Perfil - interna'!S334+'Perfil - externa'!S332)</f>
        <v>4874720.6338637332</v>
      </c>
      <c r="T334" s="219">
        <f>IF('Perfil - interna'!T334+'Perfil - externa'!T332=0,0,'Perfil - interna'!T334+'Perfil - externa'!T332)</f>
        <v>5244855.3144140523</v>
      </c>
      <c r="U334" s="219">
        <f>IF('Perfil - interna'!U334+'Perfil - externa'!U332=0,0,'Perfil - interna'!U334+'Perfil - externa'!U332)</f>
        <v>6550989.4645692715</v>
      </c>
      <c r="V334" s="219">
        <f>IF('Perfil - interna'!V334+'Perfil - externa'!V332=0,0,'Perfil - interna'!V334+'Perfil - externa'!V332)</f>
        <v>11162107.972870208</v>
      </c>
      <c r="W334" s="219">
        <f>IF('Perfil - interna'!W334+'Perfil - externa'!W332=0,0,'Perfil - interna'!W334+'Perfil - externa'!W332)</f>
        <v>1109224.8296888287</v>
      </c>
      <c r="X334" s="219">
        <f>IF('Perfil - interna'!X334+'Perfil - externa'!X332=0,0,'Perfil - interna'!X334+'Perfil - externa'!X332)</f>
        <v>1066174.4935346327</v>
      </c>
      <c r="Y334" s="219">
        <f>IF('Perfil - interna'!Y334+'Perfil - externa'!Y332=0,0,'Perfil - interna'!Y334+'Perfil - externa'!Y332)</f>
        <v>7031486.8727687467</v>
      </c>
      <c r="Z334" s="219">
        <f>IF('Perfil - interna'!Z334+'Perfil - externa'!Z332=0,0,'Perfil - interna'!Z334+'Perfil - externa'!Z332)</f>
        <v>11992177.648098469</v>
      </c>
      <c r="AA334" s="219">
        <f>IF('Perfil - interna'!AA334+'Perfil - externa'!AA332=0,0,'Perfil - interna'!AA334+'Perfil - externa'!AA332)</f>
        <v>946846.74473436084</v>
      </c>
      <c r="AB334" s="219">
        <f>IF('Perfil - interna'!AB334+'Perfil - externa'!AB332=0,0,'Perfil - interna'!AB334+'Perfil - externa'!AB332)</f>
        <v>924531.84527552826</v>
      </c>
      <c r="AC334" s="219">
        <f>IF('Perfil - interna'!AC334+'Perfil - externa'!AC332=0,0,'Perfil - interna'!AC334+'Perfil - externa'!AC332)</f>
        <v>2661345.3323666868</v>
      </c>
      <c r="AD334" s="219">
        <f>IF('Perfil - interna'!AD334+'Perfil - externa'!AD332=0,0,'Perfil - interna'!AD334+'Perfil - externa'!AD332)</f>
        <v>795013.4716344286</v>
      </c>
      <c r="AE334" s="219">
        <f>IF('Perfil - interna'!AE334+'Perfil - externa'!AE332=0,0,'Perfil - interna'!AE334+'Perfil - externa'!AE332)</f>
        <v>713338.72590424051</v>
      </c>
      <c r="AF334" s="219">
        <f>IF('Perfil - interna'!AF334+'Perfil - externa'!AF332=0,0,'Perfil - interna'!AF334+'Perfil - externa'!AF332)</f>
        <v>601546.12832237815</v>
      </c>
      <c r="AG334" s="219">
        <f>IF('Perfil - interna'!AG334+'Perfil - externa'!AG332=0,0,'Perfil - interna'!AG334+'Perfil - externa'!AG332)</f>
        <v>589413.11063592241</v>
      </c>
      <c r="AH334" s="219">
        <f>IF('Perfil - interna'!AH334+'Perfil - externa'!AH332=0,0,'Perfil - interna'!AH334+'Perfil - externa'!AH332)</f>
        <v>369947.2477183665</v>
      </c>
      <c r="AI334" s="219">
        <f>IF('Perfil - interna'!AI334+'Perfil - externa'!AI332=0,0,'Perfil - interna'!AI334+'Perfil - externa'!AI332)</f>
        <v>874945.77513785346</v>
      </c>
      <c r="AJ334" s="219">
        <f>IF('Perfil - interna'!AJ334+'Perfil - externa'!AJ332=0,0,'Perfil - interna'!AJ334+'Perfil - externa'!AJ332)</f>
        <v>155924.44013721959</v>
      </c>
      <c r="AK334" s="219">
        <f>IF('Perfil - interna'!AK334+'Perfil - externa'!AK332=0,0,'Perfil - interna'!AK334+'Perfil - externa'!AK332)</f>
        <v>90340.3754872196</v>
      </c>
      <c r="AL334" s="219">
        <f>IF('Perfil - interna'!AL334+'Perfil - externa'!AL332=0,0,'Perfil - interna'!AL334+'Perfil - externa'!AL332)</f>
        <v>57547.737988905501</v>
      </c>
      <c r="AM334" s="219">
        <f>IF('Perfil - interna'!AM334+'Perfil - externa'!AM332=0,0,'Perfil - interna'!AM334+'Perfil - externa'!AM332)</f>
        <v>3611590.2558728079</v>
      </c>
      <c r="AN334" s="219">
        <f>IF('Perfil - interna'!AN334+'Perfil - externa'!AN332=0,0,'Perfil - interna'!AN334+'Perfil - externa'!AN332)</f>
        <v>3496.0374910445998</v>
      </c>
      <c r="AO334" s="219"/>
      <c r="AP334" s="219"/>
      <c r="AQ334" s="219"/>
      <c r="AR334" s="219"/>
      <c r="AS334" s="219"/>
      <c r="AT334" s="219"/>
      <c r="AU334" s="219"/>
      <c r="AV334" s="219"/>
      <c r="AW334" s="219"/>
      <c r="AX334" s="219"/>
      <c r="AY334" s="219"/>
      <c r="AZ334" s="219"/>
      <c r="BA334" s="219"/>
      <c r="BB334" s="219"/>
      <c r="BC334" s="219"/>
      <c r="BD334" s="219"/>
      <c r="BE334" s="219"/>
      <c r="BF334" s="219"/>
      <c r="BG334" s="219"/>
      <c r="BH334" s="219"/>
      <c r="BI334" s="219"/>
      <c r="BJ334" s="219"/>
      <c r="BK334" s="219"/>
    </row>
    <row r="335" spans="1:63">
      <c r="A335" s="170">
        <v>40237</v>
      </c>
      <c r="B335" s="220" t="str">
        <f>Servicio_internaColumna_título_intereses</f>
        <v>Intereses</v>
      </c>
      <c r="C335" s="221"/>
      <c r="D335" s="222"/>
      <c r="E335" s="222"/>
      <c r="F335" s="222">
        <f>IF('Perfil - interna'!F335+'Perfil - externa'!F333=0,0,'Perfil - interna'!F335+'Perfil - externa'!F333)</f>
        <v>0</v>
      </c>
      <c r="G335" s="222">
        <f>IF('Perfil - interna'!G335+'Perfil - externa'!G333=0,0,'Perfil - interna'!G335+'Perfil - externa'!G333)</f>
        <v>0</v>
      </c>
      <c r="H335" s="222">
        <f>IF('Perfil - interna'!H335+'Perfil - externa'!H333=0,0,'Perfil - interna'!H335+'Perfil - externa'!H333)</f>
        <v>0</v>
      </c>
      <c r="I335" s="222">
        <f>IF('Perfil - interna'!I335+'Perfil - externa'!I333=0,0,'Perfil - interna'!I335+'Perfil - externa'!I333)</f>
        <v>0</v>
      </c>
      <c r="J335" s="222">
        <f>IF('Perfil - interna'!J335+'Perfil - externa'!J333=0,0,'Perfil - interna'!J335+'Perfil - externa'!J333)</f>
        <v>0</v>
      </c>
      <c r="K335" s="222">
        <f>IF('Perfil - interna'!K335+'Perfil - externa'!K333=0,0,'Perfil - interna'!K335+'Perfil - externa'!K333)</f>
        <v>0</v>
      </c>
      <c r="L335" s="222">
        <f>IF('Perfil - interna'!L335+'Perfil - externa'!L333=0,0,'Perfil - interna'!L335+'Perfil - externa'!L333)</f>
        <v>12511191.974422958</v>
      </c>
      <c r="M335" s="222">
        <f>IF('Perfil - interna'!M335+'Perfil - externa'!M333=0,0,'Perfil - interna'!M335+'Perfil - externa'!M333)</f>
        <v>13443245.645288855</v>
      </c>
      <c r="N335" s="222">
        <f>IF('Perfil - interna'!N335+'Perfil - externa'!N333=0,0,'Perfil - interna'!N335+'Perfil - externa'!N333)</f>
        <v>11949152.565595878</v>
      </c>
      <c r="O335" s="222">
        <f>IF('Perfil - interna'!O335+'Perfil - externa'!O333=0,0,'Perfil - interna'!O335+'Perfil - externa'!O333)</f>
        <v>10215973.948463136</v>
      </c>
      <c r="P335" s="222">
        <f>IF('Perfil - interna'!P335+'Perfil - externa'!P333=0,0,'Perfil - interna'!P335+'Perfil - externa'!P333)</f>
        <v>8586374.8585175537</v>
      </c>
      <c r="Q335" s="222">
        <f>IF('Perfil - interna'!Q335+'Perfil - externa'!Q333=0,0,'Perfil - interna'!Q335+'Perfil - externa'!Q333)</f>
        <v>6832122.3904527025</v>
      </c>
      <c r="R335" s="222">
        <f>IF('Perfil - interna'!R335+'Perfil - externa'!R333=0,0,'Perfil - interna'!R335+'Perfil - externa'!R333)</f>
        <v>5290766.3087260546</v>
      </c>
      <c r="S335" s="222">
        <f>IF('Perfil - interna'!S335+'Perfil - externa'!S333=0,0,'Perfil - interna'!S335+'Perfil - externa'!S333)</f>
        <v>4891426.3863849612</v>
      </c>
      <c r="T335" s="222">
        <f>IF('Perfil - interna'!T335+'Perfil - externa'!T333=0,0,'Perfil - interna'!T335+'Perfil - externa'!T333)</f>
        <v>4701414.1084221983</v>
      </c>
      <c r="U335" s="222">
        <f>IF('Perfil - interna'!U335+'Perfil - externa'!U333=0,0,'Perfil - interna'!U335+'Perfil - externa'!U333)</f>
        <v>4068510.2263260176</v>
      </c>
      <c r="V335" s="222">
        <f>IF('Perfil - interna'!V335+'Perfil - externa'!V333=0,0,'Perfil - interna'!V335+'Perfil - externa'!V333)</f>
        <v>3742312.6450673714</v>
      </c>
      <c r="W335" s="222">
        <f>IF('Perfil - interna'!W335+'Perfil - externa'!W333=0,0,'Perfil - interna'!W335+'Perfil - externa'!W333)</f>
        <v>2670407.7730064052</v>
      </c>
      <c r="X335" s="222">
        <f>IF('Perfil - interna'!X335+'Perfil - externa'!X333=0,0,'Perfil - interna'!X335+'Perfil - externa'!X333)</f>
        <v>2617229.1773265162</v>
      </c>
      <c r="Y335" s="222">
        <f>IF('Perfil - interna'!Y335+'Perfil - externa'!Y333=0,0,'Perfil - interna'!Y335+'Perfil - externa'!Y333)</f>
        <v>2569998.9854639461</v>
      </c>
      <c r="Z335" s="222">
        <f>IF('Perfil - interna'!Z335+'Perfil - externa'!Z333=0,0,'Perfil - interna'!Z335+'Perfil - externa'!Z333)</f>
        <v>2008534.4953654332</v>
      </c>
      <c r="AA335" s="222">
        <f>IF('Perfil - interna'!AA335+'Perfil - externa'!AA333=0,0,'Perfil - interna'!AA335+'Perfil - externa'!AA333)</f>
        <v>965738.88661126641</v>
      </c>
      <c r="AB335" s="222">
        <f>IF('Perfil - interna'!AB335+'Perfil - externa'!AB333=0,0,'Perfil - interna'!AB335+'Perfil - externa'!AB333)</f>
        <v>911389.67711201299</v>
      </c>
      <c r="AC335" s="222">
        <f>IF('Perfil - interna'!AC335+'Perfil - externa'!AC333=0,0,'Perfil - interna'!AC335+'Perfil - externa'!AC333)</f>
        <v>847705.55426994781</v>
      </c>
      <c r="AD335" s="222">
        <f>IF('Perfil - interna'!AD335+'Perfil - externa'!AD333=0,0,'Perfil - interna'!AD335+'Perfil - externa'!AD333)</f>
        <v>638357.80259777093</v>
      </c>
      <c r="AE335" s="222">
        <f>IF('Perfil - interna'!AE335+'Perfil - externa'!AE333=0,0,'Perfil - interna'!AE335+'Perfil - externa'!AE333)</f>
        <v>595778.52998930681</v>
      </c>
      <c r="AF335" s="222">
        <f>IF('Perfil - interna'!AF335+'Perfil - externa'!AF333=0,0,'Perfil - interna'!AF335+'Perfil - externa'!AF333)</f>
        <v>557316.69608413486</v>
      </c>
      <c r="AG335" s="222">
        <f>IF('Perfil - interna'!AG335+'Perfil - externa'!AG333=0,0,'Perfil - interna'!AG335+'Perfil - externa'!AG333)</f>
        <v>524496.67483530275</v>
      </c>
      <c r="AH335" s="222">
        <f>IF('Perfil - interna'!AH335+'Perfil - externa'!AH333=0,0,'Perfil - interna'!AH335+'Perfil - externa'!AH333)</f>
        <v>495619.43678155739</v>
      </c>
      <c r="AI335" s="222">
        <f>IF('Perfil - interna'!AI335+'Perfil - externa'!AI333=0,0,'Perfil - interna'!AI335+'Perfil - externa'!AI333)</f>
        <v>443275.050052026</v>
      </c>
      <c r="AJ335" s="222">
        <f>IF('Perfil - interna'!AJ335+'Perfil - externa'!AJ333=0,0,'Perfil - interna'!AJ335+'Perfil - externa'!AJ333)</f>
        <v>400077.81520712085</v>
      </c>
      <c r="AK335" s="222">
        <f>IF('Perfil - interna'!AK335+'Perfil - externa'!AK333=0,0,'Perfil - interna'!AK335+'Perfil - externa'!AK333)</f>
        <v>393444.81104625756</v>
      </c>
      <c r="AL335" s="222">
        <f>IF('Perfil - interna'!AL335+'Perfil - externa'!AL333=0,0,'Perfil - interna'!AL335+'Perfil - externa'!AL333)</f>
        <v>389213.8732762888</v>
      </c>
      <c r="AM335" s="222">
        <f>IF('Perfil - interna'!AM335+'Perfil - externa'!AM333=0,0,'Perfil - interna'!AM335+'Perfil - externa'!AM333)</f>
        <v>387263.43855765136</v>
      </c>
      <c r="AN335" s="222">
        <f>IF('Perfil - interna'!AN335+'Perfil - externa'!AN333=0,0,'Perfil - interna'!AN335+'Perfil - externa'!AN333)</f>
        <v>121417.24479</v>
      </c>
      <c r="AO335" s="222"/>
      <c r="AP335" s="222"/>
      <c r="AQ335" s="222"/>
      <c r="AR335" s="222"/>
      <c r="AS335" s="222"/>
      <c r="AT335" s="222"/>
      <c r="AU335" s="222"/>
      <c r="AV335" s="222"/>
      <c r="AW335" s="222"/>
      <c r="AX335" s="222"/>
      <c r="AY335" s="222"/>
      <c r="AZ335" s="222"/>
      <c r="BA335" s="222"/>
      <c r="BB335" s="222"/>
      <c r="BC335" s="222"/>
      <c r="BD335" s="222"/>
      <c r="BE335" s="222"/>
      <c r="BF335" s="222"/>
      <c r="BG335" s="222"/>
      <c r="BH335" s="222"/>
      <c r="BI335" s="222"/>
      <c r="BJ335" s="222"/>
      <c r="BK335" s="222"/>
    </row>
    <row r="336" spans="1:63">
      <c r="A336" s="171"/>
      <c r="B336" s="318" t="str">
        <f>Servicio_internaColumna_título_total</f>
        <v>Total</v>
      </c>
      <c r="C336" s="319"/>
      <c r="D336" s="320"/>
      <c r="E336" s="320"/>
      <c r="F336" s="320">
        <f>IF('Perfil - interna'!F336+'Perfil - externa'!F334=0,0,'Perfil - interna'!F336+'Perfil - externa'!F334)</f>
        <v>0</v>
      </c>
      <c r="G336" s="320">
        <f>IF('Perfil - interna'!G336+'Perfil - externa'!G334=0,0,'Perfil - interna'!G336+'Perfil - externa'!G334)</f>
        <v>0</v>
      </c>
      <c r="H336" s="320">
        <f>IF('Perfil - interna'!H336+'Perfil - externa'!H334=0,0,'Perfil - interna'!H336+'Perfil - externa'!H334)</f>
        <v>0</v>
      </c>
      <c r="I336" s="320">
        <f>IF('Perfil - interna'!I336+'Perfil - externa'!I334=0,0,'Perfil - interna'!I336+'Perfil - externa'!I334)</f>
        <v>0</v>
      </c>
      <c r="J336" s="320">
        <f>IF('Perfil - interna'!J336+'Perfil - externa'!J334=0,0,'Perfil - interna'!J336+'Perfil - externa'!J334)</f>
        <v>0</v>
      </c>
      <c r="K336" s="320">
        <f>IF('Perfil - interna'!K336+'Perfil - externa'!K334=0,0,'Perfil - interna'!K336+'Perfil - externa'!K334)</f>
        <v>0</v>
      </c>
      <c r="L336" s="320">
        <f>IF('Perfil - interna'!L336+'Perfil - externa'!L334=0,0,'Perfil - interna'!L336+'Perfil - externa'!L334)</f>
        <v>35584722.710810333</v>
      </c>
      <c r="M336" s="320">
        <f>IF('Perfil - interna'!M336+'Perfil - externa'!M334=0,0,'Perfil - interna'!M336+'Perfil - externa'!M334)</f>
        <v>29720743.691032723</v>
      </c>
      <c r="N336" s="320">
        <f>IF('Perfil - interna'!N336+'Perfil - externa'!N334=0,0,'Perfil - interna'!N336+'Perfil - externa'!N334)</f>
        <v>30911567.171009161</v>
      </c>
      <c r="O336" s="320">
        <f>IF('Perfil - interna'!O336+'Perfil - externa'!O334=0,0,'Perfil - interna'!O336+'Perfil - externa'!O334)</f>
        <v>32245965.270221658</v>
      </c>
      <c r="P336" s="320">
        <f>IF('Perfil - interna'!P336+'Perfil - externa'!P334=0,0,'Perfil - interna'!P336+'Perfil - externa'!P334)</f>
        <v>27135296.392568044</v>
      </c>
      <c r="Q336" s="320">
        <f>IF('Perfil - interna'!Q336+'Perfil - externa'!Q334=0,0,'Perfil - interna'!Q336+'Perfil - externa'!Q334)</f>
        <v>26708619.176610403</v>
      </c>
      <c r="R336" s="320">
        <f>IF('Perfil - interna'!R336+'Perfil - externa'!R334=0,0,'Perfil - interna'!R336+'Perfil - externa'!R334)</f>
        <v>10014012.071739614</v>
      </c>
      <c r="S336" s="320">
        <f>IF('Perfil - interna'!S336+'Perfil - externa'!S334=0,0,'Perfil - interna'!S336+'Perfil - externa'!S334)</f>
        <v>9766147.0202486943</v>
      </c>
      <c r="T336" s="320">
        <f>IF('Perfil - interna'!T336+'Perfil - externa'!T334=0,0,'Perfil - interna'!T336+'Perfil - externa'!T334)</f>
        <v>9946269.4228362497</v>
      </c>
      <c r="U336" s="320">
        <f>IF('Perfil - interna'!U336+'Perfil - externa'!U334=0,0,'Perfil - interna'!U336+'Perfil - externa'!U334)</f>
        <v>10619499.690895289</v>
      </c>
      <c r="V336" s="320">
        <f>IF('Perfil - interna'!V336+'Perfil - externa'!V334=0,0,'Perfil - interna'!V336+'Perfil - externa'!V334)</f>
        <v>14904420.61793758</v>
      </c>
      <c r="W336" s="320">
        <f>IF('Perfil - interna'!W336+'Perfil - externa'!W334=0,0,'Perfil - interna'!W336+'Perfil - externa'!W334)</f>
        <v>3779632.6026952341</v>
      </c>
      <c r="X336" s="320">
        <f>IF('Perfil - interna'!X336+'Perfil - externa'!X334=0,0,'Perfil - interna'!X336+'Perfil - externa'!X334)</f>
        <v>3683403.6708611492</v>
      </c>
      <c r="Y336" s="320">
        <f>IF('Perfil - interna'!Y336+'Perfil - externa'!Y334=0,0,'Perfil - interna'!Y336+'Perfil - externa'!Y334)</f>
        <v>9601485.8582326937</v>
      </c>
      <c r="Z336" s="320">
        <f>IF('Perfil - interna'!Z336+'Perfil - externa'!Z334=0,0,'Perfil - interna'!Z336+'Perfil - externa'!Z334)</f>
        <v>14000712.143463902</v>
      </c>
      <c r="AA336" s="320">
        <f>IF('Perfil - interna'!AA336+'Perfil - externa'!AA334=0,0,'Perfil - interna'!AA336+'Perfil - externa'!AA334)</f>
        <v>1912585.6313456274</v>
      </c>
      <c r="AB336" s="320">
        <f>IF('Perfil - interna'!AB336+'Perfil - externa'!AB334=0,0,'Perfil - interna'!AB336+'Perfil - externa'!AB334)</f>
        <v>1835921.5223875414</v>
      </c>
      <c r="AC336" s="320">
        <f>IF('Perfil - interna'!AC336+'Perfil - externa'!AC334=0,0,'Perfil - interna'!AC336+'Perfil - externa'!AC334)</f>
        <v>3509050.8866366344</v>
      </c>
      <c r="AD336" s="320">
        <f>IF('Perfil - interna'!AD336+'Perfil - externa'!AD334=0,0,'Perfil - interna'!AD336+'Perfil - externa'!AD334)</f>
        <v>1433371.2742321994</v>
      </c>
      <c r="AE336" s="320">
        <f>IF('Perfil - interna'!AE336+'Perfil - externa'!AE334=0,0,'Perfil - interna'!AE336+'Perfil - externa'!AE334)</f>
        <v>1309117.2558935473</v>
      </c>
      <c r="AF336" s="320">
        <f>IF('Perfil - interna'!AF336+'Perfil - externa'!AF334=0,0,'Perfil - interna'!AF336+'Perfil - externa'!AF334)</f>
        <v>1158862.824406513</v>
      </c>
      <c r="AG336" s="320">
        <f>IF('Perfil - interna'!AG336+'Perfil - externa'!AG334=0,0,'Perfil - interna'!AG336+'Perfil - externa'!AG334)</f>
        <v>1113909.7854712252</v>
      </c>
      <c r="AH336" s="320">
        <f>IF('Perfil - interna'!AH336+'Perfil - externa'!AH334=0,0,'Perfil - interna'!AH336+'Perfil - externa'!AH334)</f>
        <v>865566.68449992384</v>
      </c>
      <c r="AI336" s="320">
        <f>IF('Perfil - interna'!AI336+'Perfil - externa'!AI334=0,0,'Perfil - interna'!AI336+'Perfil - externa'!AI334)</f>
        <v>1318220.8251898794</v>
      </c>
      <c r="AJ336" s="320">
        <f>IF('Perfil - interna'!AJ336+'Perfil - externa'!AJ334=0,0,'Perfil - interna'!AJ336+'Perfil - externa'!AJ334)</f>
        <v>556002.25534434046</v>
      </c>
      <c r="AK336" s="320">
        <f>IF('Perfil - interna'!AK336+'Perfil - externa'!AK334=0,0,'Perfil - interna'!AK336+'Perfil - externa'!AK334)</f>
        <v>483785.18653347716</v>
      </c>
      <c r="AL336" s="320">
        <f>IF('Perfil - interna'!AL336+'Perfil - externa'!AL334=0,0,'Perfil - interna'!AL336+'Perfil - externa'!AL334)</f>
        <v>446761.61126519431</v>
      </c>
      <c r="AM336" s="320">
        <f>IF('Perfil - interna'!AM336+'Perfil - externa'!AM334=0,0,'Perfil - interna'!AM336+'Perfil - externa'!AM334)</f>
        <v>3998853.6944304593</v>
      </c>
      <c r="AN336" s="320">
        <f>IF('Perfil - interna'!AN336+'Perfil - externa'!AN334=0,0,'Perfil - interna'!AN336+'Perfil - externa'!AN334)</f>
        <v>124913.28228104459</v>
      </c>
      <c r="AO336" s="320"/>
      <c r="AP336" s="320"/>
      <c r="AQ336" s="320"/>
      <c r="AR336" s="320"/>
      <c r="AS336" s="320"/>
      <c r="AT336" s="320"/>
      <c r="AU336" s="320"/>
      <c r="AV336" s="320"/>
      <c r="AW336" s="320"/>
      <c r="AX336" s="320"/>
      <c r="AY336" s="320"/>
      <c r="AZ336" s="320"/>
      <c r="BA336" s="320"/>
      <c r="BB336" s="320"/>
      <c r="BC336" s="320"/>
      <c r="BD336" s="320"/>
      <c r="BE336" s="320"/>
      <c r="BF336" s="320"/>
      <c r="BG336" s="320"/>
      <c r="BH336" s="320"/>
      <c r="BI336" s="320"/>
      <c r="BJ336" s="320"/>
      <c r="BK336" s="320"/>
    </row>
    <row r="337" spans="1:63">
      <c r="A337" s="167"/>
      <c r="B337" s="217" t="str">
        <f>Servicio_internaColumna_título_amortizaciones</f>
        <v>Amortizaciones</v>
      </c>
      <c r="C337" s="218"/>
      <c r="D337" s="219"/>
      <c r="E337" s="219"/>
      <c r="F337" s="219">
        <f>IF('Perfil - interna'!F337+'Perfil - externa'!F335=0,0,'Perfil - interna'!F337+'Perfil - externa'!F335)</f>
        <v>0</v>
      </c>
      <c r="G337" s="219">
        <f>IF('Perfil - interna'!G337+'Perfil - externa'!G335=0,0,'Perfil - interna'!G337+'Perfil - externa'!G335)</f>
        <v>0</v>
      </c>
      <c r="H337" s="219">
        <f>IF('Perfil - interna'!H337+'Perfil - externa'!H335=0,0,'Perfil - interna'!H337+'Perfil - externa'!H335)</f>
        <v>0</v>
      </c>
      <c r="I337" s="219">
        <f>IF('Perfil - interna'!I337+'Perfil - externa'!I335=0,0,'Perfil - interna'!I337+'Perfil - externa'!I335)</f>
        <v>0</v>
      </c>
      <c r="J337" s="219">
        <f>IF('Perfil - interna'!J337+'Perfil - externa'!J335=0,0,'Perfil - interna'!J337+'Perfil - externa'!J335)</f>
        <v>0</v>
      </c>
      <c r="K337" s="219">
        <f>IF('Perfil - interna'!K337+'Perfil - externa'!K335=0,0,'Perfil - interna'!K337+'Perfil - externa'!K335)</f>
        <v>0</v>
      </c>
      <c r="L337" s="219">
        <f>IF('Perfil - interna'!L337+'Perfil - externa'!L335=0,0,'Perfil - interna'!L337+'Perfil - externa'!L335)</f>
        <v>20898413.127414182</v>
      </c>
      <c r="M337" s="219">
        <f>IF('Perfil - interna'!M337+'Perfil - externa'!M335=0,0,'Perfil - interna'!M337+'Perfil - externa'!M335)</f>
        <v>16557880.348569296</v>
      </c>
      <c r="N337" s="219">
        <f>IF('Perfil - interna'!N337+'Perfil - externa'!N335=0,0,'Perfil - interna'!N337+'Perfil - externa'!N335)</f>
        <v>19014473.37599561</v>
      </c>
      <c r="O337" s="219">
        <f>IF('Perfil - interna'!O337+'Perfil - externa'!O335=0,0,'Perfil - interna'!O337+'Perfil - externa'!O335)</f>
        <v>23113582.655699909</v>
      </c>
      <c r="P337" s="219">
        <f>IF('Perfil - interna'!P337+'Perfil - externa'!P335=0,0,'Perfil - interna'!P337+'Perfil - externa'!P335)</f>
        <v>18589561.863908112</v>
      </c>
      <c r="Q337" s="219">
        <f>IF('Perfil - interna'!Q337+'Perfil - externa'!Q335=0,0,'Perfil - interna'!Q337+'Perfil - externa'!Q335)</f>
        <v>19979224.739566911</v>
      </c>
      <c r="R337" s="219">
        <f>IF('Perfil - interna'!R337+'Perfil - externa'!R335=0,0,'Perfil - interna'!R337+'Perfil - externa'!R335)</f>
        <v>5597656.5603830041</v>
      </c>
      <c r="S337" s="219">
        <f>IF('Perfil - interna'!S337+'Perfil - externa'!S335=0,0,'Perfil - interna'!S337+'Perfil - externa'!S335)</f>
        <v>4873143.603351254</v>
      </c>
      <c r="T337" s="219">
        <f>IF('Perfil - interna'!T337+'Perfil - externa'!T335=0,0,'Perfil - interna'!T337+'Perfil - externa'!T335)</f>
        <v>5337827.0849521905</v>
      </c>
      <c r="U337" s="219">
        <f>IF('Perfil - interna'!U337+'Perfil - externa'!U335=0,0,'Perfil - interna'!U337+'Perfil - externa'!U335)</f>
        <v>6494676.1045483621</v>
      </c>
      <c r="V337" s="219">
        <f>IF('Perfil - interna'!V337+'Perfil - externa'!V335=0,0,'Perfil - interna'!V337+'Perfil - externa'!V335)</f>
        <v>11248424.138364939</v>
      </c>
      <c r="W337" s="219">
        <f>IF('Perfil - interna'!W337+'Perfil - externa'!W335=0,0,'Perfil - interna'!W337+'Perfil - externa'!W335)</f>
        <v>1205159.6721884098</v>
      </c>
      <c r="X337" s="219">
        <f>IF('Perfil - interna'!X337+'Perfil - externa'!X335=0,0,'Perfil - interna'!X337+'Perfil - externa'!X335)</f>
        <v>1085864.280786792</v>
      </c>
      <c r="Y337" s="219">
        <f>IF('Perfil - interna'!Y337+'Perfil - externa'!Y335=0,0,'Perfil - interna'!Y337+'Perfil - externa'!Y335)</f>
        <v>7195345.0339970635</v>
      </c>
      <c r="Z337" s="219">
        <f>IF('Perfil - interna'!Z337+'Perfil - externa'!Z335=0,0,'Perfil - interna'!Z337+'Perfil - externa'!Z335)</f>
        <v>12329873.706866553</v>
      </c>
      <c r="AA337" s="219">
        <f>IF('Perfil - interna'!AA337+'Perfil - externa'!AA335=0,0,'Perfil - interna'!AA337+'Perfil - externa'!AA335)</f>
        <v>836638.48780297721</v>
      </c>
      <c r="AB337" s="219">
        <f>IF('Perfil - interna'!AB337+'Perfil - externa'!AB335=0,0,'Perfil - interna'!AB337+'Perfil - externa'!AB335)</f>
        <v>789447.06220040948</v>
      </c>
      <c r="AC337" s="219">
        <f>IF('Perfil - interna'!AC337+'Perfil - externa'!AC335=0,0,'Perfil - interna'!AC337+'Perfil - externa'!AC335)</f>
        <v>2472662.5992029314</v>
      </c>
      <c r="AD337" s="219">
        <f>IF('Perfil - interna'!AD337+'Perfil - externa'!AD335=0,0,'Perfil - interna'!AD337+'Perfil - externa'!AD335)</f>
        <v>636833.26220325753</v>
      </c>
      <c r="AE337" s="219">
        <f>IF('Perfil - interna'!AE337+'Perfil - externa'!AE335=0,0,'Perfil - interna'!AE337+'Perfil - externa'!AE335)</f>
        <v>557217.39133201435</v>
      </c>
      <c r="AF337" s="219">
        <f>IF('Perfil - interna'!AF337+'Perfil - externa'!AF335=0,0,'Perfil - interna'!AF337+'Perfil - externa'!AF335)</f>
        <v>448058.433387656</v>
      </c>
      <c r="AG337" s="219">
        <f>IF('Perfil - interna'!AG337+'Perfil - externa'!AG335=0,0,'Perfil - interna'!AG337+'Perfil - externa'!AG335)</f>
        <v>436046.8143430464</v>
      </c>
      <c r="AH337" s="219">
        <f>IF('Perfil - interna'!AH337+'Perfil - externa'!AH335=0,0,'Perfil - interna'!AH337+'Perfil - externa'!AH335)</f>
        <v>411448.59109540156</v>
      </c>
      <c r="AI337" s="219">
        <f>IF('Perfil - interna'!AI337+'Perfil - externa'!AI335=0,0,'Perfil - interna'!AI337+'Perfil - externa'!AI335)</f>
        <v>903717.03775173589</v>
      </c>
      <c r="AJ337" s="219">
        <f>IF('Perfil - interna'!AJ337+'Perfil - externa'!AJ335=0,0,'Perfil - interna'!AJ337+'Perfil - externa'!AJ335)</f>
        <v>202820.94986932477</v>
      </c>
      <c r="AK337" s="219">
        <f>IF('Perfil - interna'!AK337+'Perfil - externa'!AK335=0,0,'Perfil - interna'!AK337+'Perfil - externa'!AK335)</f>
        <v>138890.14266932479</v>
      </c>
      <c r="AL337" s="219">
        <f>IF('Perfil - interna'!AL337+'Perfil - externa'!AL335=0,0,'Perfil - interna'!AL337+'Perfil - externa'!AL335)</f>
        <v>106924.71899251999</v>
      </c>
      <c r="AM337" s="219">
        <f>IF('Perfil - interna'!AM337+'Perfil - externa'!AM335=0,0,'Perfil - interna'!AM337+'Perfil - externa'!AM335)</f>
        <v>3546546.4172090371</v>
      </c>
      <c r="AN337" s="219">
        <f>IF('Perfil - interna'!AN337+'Perfil - externa'!AN335=0,0,'Perfil - interna'!AN337+'Perfil - externa'!AN335)</f>
        <v>3407.9086131168001</v>
      </c>
      <c r="AO337" s="219"/>
      <c r="AP337" s="219"/>
      <c r="AQ337" s="219"/>
      <c r="AR337" s="219"/>
      <c r="AS337" s="219"/>
      <c r="AT337" s="219"/>
      <c r="AU337" s="219"/>
      <c r="AV337" s="219"/>
      <c r="AW337" s="219"/>
      <c r="AX337" s="219"/>
      <c r="AY337" s="219"/>
      <c r="AZ337" s="219"/>
      <c r="BA337" s="219"/>
      <c r="BB337" s="219"/>
      <c r="BC337" s="219"/>
      <c r="BD337" s="219"/>
      <c r="BE337" s="219"/>
      <c r="BF337" s="219"/>
      <c r="BG337" s="219"/>
      <c r="BH337" s="219"/>
      <c r="BI337" s="219"/>
      <c r="BJ337" s="219"/>
      <c r="BK337" s="219"/>
    </row>
    <row r="338" spans="1:63">
      <c r="A338" s="170">
        <v>40268</v>
      </c>
      <c r="B338" s="220" t="str">
        <f>Servicio_internaColumna_título_intereses</f>
        <v>Intereses</v>
      </c>
      <c r="C338" s="221"/>
      <c r="D338" s="222"/>
      <c r="E338" s="222"/>
      <c r="F338" s="222">
        <f>IF('Perfil - interna'!F338+'Perfil - externa'!F336=0,0,'Perfil - interna'!F338+'Perfil - externa'!F336)</f>
        <v>0</v>
      </c>
      <c r="G338" s="222">
        <f>IF('Perfil - interna'!G338+'Perfil - externa'!G336=0,0,'Perfil - interna'!G338+'Perfil - externa'!G336)</f>
        <v>0</v>
      </c>
      <c r="H338" s="222">
        <f>IF('Perfil - interna'!H338+'Perfil - externa'!H336=0,0,'Perfil - interna'!H338+'Perfil - externa'!H336)</f>
        <v>0</v>
      </c>
      <c r="I338" s="222">
        <f>IF('Perfil - interna'!I338+'Perfil - externa'!I336=0,0,'Perfil - interna'!I338+'Perfil - externa'!I336)</f>
        <v>0</v>
      </c>
      <c r="J338" s="222">
        <f>IF('Perfil - interna'!J338+'Perfil - externa'!J336=0,0,'Perfil - interna'!J338+'Perfil - externa'!J336)</f>
        <v>0</v>
      </c>
      <c r="K338" s="222">
        <f>IF('Perfil - interna'!K338+'Perfil - externa'!K336=0,0,'Perfil - interna'!K338+'Perfil - externa'!K336)</f>
        <v>0</v>
      </c>
      <c r="L338" s="222">
        <f>IF('Perfil - interna'!L338+'Perfil - externa'!L336=0,0,'Perfil - interna'!L338+'Perfil - externa'!L336)</f>
        <v>11962746.360539686</v>
      </c>
      <c r="M338" s="222">
        <f>IF('Perfil - interna'!M338+'Perfil - externa'!M336=0,0,'Perfil - interna'!M338+'Perfil - externa'!M336)</f>
        <v>13680317.748382814</v>
      </c>
      <c r="N338" s="222">
        <f>IF('Perfil - interna'!N338+'Perfil - externa'!N336=0,0,'Perfil - interna'!N338+'Perfil - externa'!N336)</f>
        <v>12091407.310066715</v>
      </c>
      <c r="O338" s="222">
        <f>IF('Perfil - interna'!O338+'Perfil - externa'!O336=0,0,'Perfil - interna'!O338+'Perfil - externa'!O336)</f>
        <v>10355148.902689204</v>
      </c>
      <c r="P338" s="222">
        <f>IF('Perfil - interna'!P338+'Perfil - externa'!P336=0,0,'Perfil - interna'!P338+'Perfil - externa'!P336)</f>
        <v>8657151.3076731749</v>
      </c>
      <c r="Q338" s="222">
        <f>IF('Perfil - interna'!Q338+'Perfil - externa'!Q336=0,0,'Perfil - interna'!Q338+'Perfil - externa'!Q336)</f>
        <v>6898877.065105468</v>
      </c>
      <c r="R338" s="222">
        <f>IF('Perfil - interna'!R338+'Perfil - externa'!R336=0,0,'Perfil - interna'!R338+'Perfil - externa'!R336)</f>
        <v>5356737.3077604333</v>
      </c>
      <c r="S338" s="222">
        <f>IF('Perfil - interna'!S338+'Perfil - externa'!S336=0,0,'Perfil - interna'!S338+'Perfil - externa'!S336)</f>
        <v>4896938.6209544661</v>
      </c>
      <c r="T338" s="222">
        <f>IF('Perfil - interna'!T338+'Perfil - externa'!T336=0,0,'Perfil - interna'!T338+'Perfil - externa'!T336)</f>
        <v>4704811.3526733825</v>
      </c>
      <c r="U338" s="222">
        <f>IF('Perfil - interna'!U338+'Perfil - externa'!U336=0,0,'Perfil - interna'!U338+'Perfil - externa'!U336)</f>
        <v>4069551.0385973607</v>
      </c>
      <c r="V338" s="222">
        <f>IF('Perfil - interna'!V338+'Perfil - externa'!V336=0,0,'Perfil - interna'!V338+'Perfil - externa'!V336)</f>
        <v>3742675.8095399076</v>
      </c>
      <c r="W338" s="222">
        <f>IF('Perfil - interna'!W338+'Perfil - externa'!W336=0,0,'Perfil - interna'!W338+'Perfil - externa'!W336)</f>
        <v>2666253.736430414</v>
      </c>
      <c r="X338" s="222">
        <f>IF('Perfil - interna'!X338+'Perfil - externa'!X336=0,0,'Perfil - interna'!X338+'Perfil - externa'!X336)</f>
        <v>2609265.8664419781</v>
      </c>
      <c r="Y338" s="222">
        <f>IF('Perfil - interna'!Y338+'Perfil - externa'!Y336=0,0,'Perfil - interna'!Y338+'Perfil - externa'!Y336)</f>
        <v>2560537.1038167002</v>
      </c>
      <c r="Z338" s="222">
        <f>IF('Perfil - interna'!Z338+'Perfil - externa'!Z336=0,0,'Perfil - interna'!Z338+'Perfil - externa'!Z336)</f>
        <v>1993978.9034160268</v>
      </c>
      <c r="AA338" s="222">
        <f>IF('Perfil - interna'!AA338+'Perfil - externa'!AA336=0,0,'Perfil - interna'!AA338+'Perfil - externa'!AA336)</f>
        <v>914541.52129939036</v>
      </c>
      <c r="AB338" s="222">
        <f>IF('Perfil - interna'!AB338+'Perfil - externa'!AB336=0,0,'Perfil - interna'!AB338+'Perfil - externa'!AB336)</f>
        <v>866625.76923555345</v>
      </c>
      <c r="AC338" s="222">
        <f>IF('Perfil - interna'!AC338+'Perfil - externa'!AC336=0,0,'Perfil - interna'!AC338+'Perfil - externa'!AC336)</f>
        <v>811121.47928341909</v>
      </c>
      <c r="AD338" s="222">
        <f>IF('Perfil - interna'!AD338+'Perfil - externa'!AD336=0,0,'Perfil - interna'!AD338+'Perfil - externa'!AD336)</f>
        <v>612313.85021131521</v>
      </c>
      <c r="AE338" s="222">
        <f>IF('Perfil - interna'!AE338+'Perfil - externa'!AE336=0,0,'Perfil - interna'!AE338+'Perfil - externa'!AE336)</f>
        <v>579389.76436122076</v>
      </c>
      <c r="AF338" s="222">
        <f>IF('Perfil - interna'!AF338+'Perfil - externa'!AF336=0,0,'Perfil - interna'!AF338+'Perfil - externa'!AF336)</f>
        <v>549099.41957960953</v>
      </c>
      <c r="AG338" s="222">
        <f>IF('Perfil - interna'!AG338+'Perfil - externa'!AG336=0,0,'Perfil - interna'!AG338+'Perfil - externa'!AG336)</f>
        <v>524304.19922576798</v>
      </c>
      <c r="AH338" s="222">
        <f>IF('Perfil - interna'!AH338+'Perfil - externa'!AH336=0,0,'Perfil - interna'!AH338+'Perfil - externa'!AH336)</f>
        <v>500719.11071596952</v>
      </c>
      <c r="AI338" s="222">
        <f>IF('Perfil - interna'!AI338+'Perfil - externa'!AI336=0,0,'Perfil - interna'!AI338+'Perfil - externa'!AI336)</f>
        <v>446188.22439384955</v>
      </c>
      <c r="AJ338" s="222">
        <f>IF('Perfil - interna'!AJ338+'Perfil - externa'!AJ336=0,0,'Perfil - interna'!AJ338+'Perfil - externa'!AJ336)</f>
        <v>401017.46305108798</v>
      </c>
      <c r="AK338" s="222">
        <f>IF('Perfil - interna'!AK338+'Perfil - externa'!AK336=0,0,'Perfil - interna'!AK338+'Perfil - externa'!AK336)</f>
        <v>391091.38250940153</v>
      </c>
      <c r="AL338" s="222">
        <f>IF('Perfil - interna'!AL338+'Perfil - externa'!AL336=0,0,'Perfil - interna'!AL338+'Perfil - externa'!AL336)</f>
        <v>383588.37569351523</v>
      </c>
      <c r="AM338" s="222">
        <f>IF('Perfil - interna'!AM338+'Perfil - externa'!AM336=0,0,'Perfil - interna'!AM338+'Perfil - externa'!AM336)</f>
        <v>378345.39398287842</v>
      </c>
      <c r="AN338" s="222">
        <f>IF('Perfil - interna'!AN338+'Perfil - externa'!AN336=0,0,'Perfil - interna'!AN338+'Perfil - externa'!AN336)</f>
        <v>118356.53232</v>
      </c>
      <c r="AO338" s="222"/>
      <c r="AP338" s="222"/>
      <c r="AQ338" s="222"/>
      <c r="AR338" s="222"/>
      <c r="AS338" s="222"/>
      <c r="AT338" s="222"/>
      <c r="AU338" s="222"/>
      <c r="AV338" s="222"/>
      <c r="AW338" s="222"/>
      <c r="AX338" s="222"/>
      <c r="AY338" s="222"/>
      <c r="AZ338" s="222"/>
      <c r="BA338" s="222"/>
      <c r="BB338" s="222"/>
      <c r="BC338" s="222"/>
      <c r="BD338" s="222"/>
      <c r="BE338" s="222"/>
      <c r="BF338" s="222"/>
      <c r="BG338" s="222"/>
      <c r="BH338" s="222"/>
      <c r="BI338" s="222"/>
      <c r="BJ338" s="222"/>
      <c r="BK338" s="222"/>
    </row>
    <row r="339" spans="1:63">
      <c r="A339" s="171"/>
      <c r="B339" s="318" t="str">
        <f>Servicio_internaColumna_título_total</f>
        <v>Total</v>
      </c>
      <c r="C339" s="319"/>
      <c r="D339" s="320"/>
      <c r="E339" s="320"/>
      <c r="F339" s="320">
        <f>IF('Perfil - interna'!F339+'Perfil - externa'!F337=0,0,'Perfil - interna'!F339+'Perfil - externa'!F337)</f>
        <v>0</v>
      </c>
      <c r="G339" s="320">
        <f>IF('Perfil - interna'!G339+'Perfil - externa'!G337=0,0,'Perfil - interna'!G339+'Perfil - externa'!G337)</f>
        <v>0</v>
      </c>
      <c r="H339" s="320">
        <f>IF('Perfil - interna'!H339+'Perfil - externa'!H337=0,0,'Perfil - interna'!H339+'Perfil - externa'!H337)</f>
        <v>0</v>
      </c>
      <c r="I339" s="320">
        <f>IF('Perfil - interna'!I339+'Perfil - externa'!I337=0,0,'Perfil - interna'!I339+'Perfil - externa'!I337)</f>
        <v>0</v>
      </c>
      <c r="J339" s="320">
        <f>IF('Perfil - interna'!J339+'Perfil - externa'!J337=0,0,'Perfil - interna'!J339+'Perfil - externa'!J337)</f>
        <v>0</v>
      </c>
      <c r="K339" s="320">
        <f>IF('Perfil - interna'!K339+'Perfil - externa'!K337=0,0,'Perfil - interna'!K339+'Perfil - externa'!K337)</f>
        <v>0</v>
      </c>
      <c r="L339" s="320">
        <f>IF('Perfil - interna'!L339+'Perfil - externa'!L337=0,0,'Perfil - interna'!L339+'Perfil - externa'!L337)</f>
        <v>32861159.487953868</v>
      </c>
      <c r="M339" s="320">
        <f>IF('Perfil - interna'!M339+'Perfil - externa'!M337=0,0,'Perfil - interna'!M339+'Perfil - externa'!M337)</f>
        <v>30238198.096952111</v>
      </c>
      <c r="N339" s="320">
        <f>IF('Perfil - interna'!N339+'Perfil - externa'!N337=0,0,'Perfil - interna'!N339+'Perfil - externa'!N337)</f>
        <v>31105880.686062325</v>
      </c>
      <c r="O339" s="320">
        <f>IF('Perfil - interna'!O339+'Perfil - externa'!O337=0,0,'Perfil - interna'!O339+'Perfil - externa'!O337)</f>
        <v>33468731.558389112</v>
      </c>
      <c r="P339" s="320">
        <f>IF('Perfil - interna'!P339+'Perfil - externa'!P337=0,0,'Perfil - interna'!P339+'Perfil - externa'!P337)</f>
        <v>27246713.171581287</v>
      </c>
      <c r="Q339" s="320">
        <f>IF('Perfil - interna'!Q339+'Perfil - externa'!Q337=0,0,'Perfil - interna'!Q339+'Perfil - externa'!Q337)</f>
        <v>26878101.804672383</v>
      </c>
      <c r="R339" s="320">
        <f>IF('Perfil - interna'!R339+'Perfil - externa'!R337=0,0,'Perfil - interna'!R339+'Perfil - externa'!R337)</f>
        <v>10954393.868143437</v>
      </c>
      <c r="S339" s="320">
        <f>IF('Perfil - interna'!S339+'Perfil - externa'!S337=0,0,'Perfil - interna'!S339+'Perfil - externa'!S337)</f>
        <v>9770082.2243057191</v>
      </c>
      <c r="T339" s="320">
        <f>IF('Perfil - interna'!T339+'Perfil - externa'!T337=0,0,'Perfil - interna'!T339+'Perfil - externa'!T337)</f>
        <v>10042638.437625572</v>
      </c>
      <c r="U339" s="320">
        <f>IF('Perfil - interna'!U339+'Perfil - externa'!U337=0,0,'Perfil - interna'!U339+'Perfil - externa'!U337)</f>
        <v>10564227.143145723</v>
      </c>
      <c r="V339" s="320">
        <f>IF('Perfil - interna'!V339+'Perfil - externa'!V337=0,0,'Perfil - interna'!V339+'Perfil - externa'!V337)</f>
        <v>14991099.947904848</v>
      </c>
      <c r="W339" s="320">
        <f>IF('Perfil - interna'!W339+'Perfil - externa'!W337=0,0,'Perfil - interna'!W339+'Perfil - externa'!W337)</f>
        <v>3871413.4086188236</v>
      </c>
      <c r="X339" s="320">
        <f>IF('Perfil - interna'!X339+'Perfil - externa'!X337=0,0,'Perfil - interna'!X339+'Perfil - externa'!X337)</f>
        <v>3695130.14722877</v>
      </c>
      <c r="Y339" s="320">
        <f>IF('Perfil - interna'!Y339+'Perfil - externa'!Y337=0,0,'Perfil - interna'!Y339+'Perfil - externa'!Y337)</f>
        <v>9755882.1378137637</v>
      </c>
      <c r="Z339" s="320">
        <f>IF('Perfil - interna'!Z339+'Perfil - externa'!Z337=0,0,'Perfil - interna'!Z339+'Perfil - externa'!Z337)</f>
        <v>14323852.610282579</v>
      </c>
      <c r="AA339" s="320">
        <f>IF('Perfil - interna'!AA339+'Perfil - externa'!AA337=0,0,'Perfil - interna'!AA339+'Perfil - externa'!AA337)</f>
        <v>1751180.0091023676</v>
      </c>
      <c r="AB339" s="320">
        <f>IF('Perfil - interna'!AB339+'Perfil - externa'!AB337=0,0,'Perfil - interna'!AB339+'Perfil - externa'!AB337)</f>
        <v>1656072.831435963</v>
      </c>
      <c r="AC339" s="320">
        <f>IF('Perfil - interna'!AC339+'Perfil - externa'!AC337=0,0,'Perfil - interna'!AC339+'Perfil - externa'!AC337)</f>
        <v>3283784.0784863504</v>
      </c>
      <c r="AD339" s="320">
        <f>IF('Perfil - interna'!AD339+'Perfil - externa'!AD337=0,0,'Perfil - interna'!AD339+'Perfil - externa'!AD337)</f>
        <v>1249147.1124145729</v>
      </c>
      <c r="AE339" s="320">
        <f>IF('Perfil - interna'!AE339+'Perfil - externa'!AE337=0,0,'Perfil - interna'!AE339+'Perfil - externa'!AE337)</f>
        <v>1136607.1556932351</v>
      </c>
      <c r="AF339" s="320">
        <f>IF('Perfil - interna'!AF339+'Perfil - externa'!AF337=0,0,'Perfil - interna'!AF339+'Perfil - externa'!AF337)</f>
        <v>997157.85296726553</v>
      </c>
      <c r="AG339" s="320">
        <f>IF('Perfil - interna'!AG339+'Perfil - externa'!AG337=0,0,'Perfil - interna'!AG339+'Perfil - externa'!AG337)</f>
        <v>960351.01356881438</v>
      </c>
      <c r="AH339" s="320">
        <f>IF('Perfil - interna'!AH339+'Perfil - externa'!AH337=0,0,'Perfil - interna'!AH339+'Perfil - externa'!AH337)</f>
        <v>912167.70181137114</v>
      </c>
      <c r="AI339" s="320">
        <f>IF('Perfil - interna'!AI339+'Perfil - externa'!AI337=0,0,'Perfil - interna'!AI339+'Perfil - externa'!AI337)</f>
        <v>1349905.2621455854</v>
      </c>
      <c r="AJ339" s="320">
        <f>IF('Perfil - interna'!AJ339+'Perfil - externa'!AJ337=0,0,'Perfil - interna'!AJ339+'Perfil - externa'!AJ337)</f>
        <v>603838.41292041272</v>
      </c>
      <c r="AK339" s="320">
        <f>IF('Perfil - interna'!AK339+'Perfil - externa'!AK337=0,0,'Perfil - interna'!AK339+'Perfil - externa'!AK337)</f>
        <v>529981.5251787263</v>
      </c>
      <c r="AL339" s="320">
        <f>IF('Perfil - interna'!AL339+'Perfil - externa'!AL337=0,0,'Perfil - interna'!AL339+'Perfil - externa'!AL337)</f>
        <v>490513.09468603524</v>
      </c>
      <c r="AM339" s="320">
        <f>IF('Perfil - interna'!AM339+'Perfil - externa'!AM337=0,0,'Perfil - interna'!AM339+'Perfil - externa'!AM337)</f>
        <v>3924891.8111919155</v>
      </c>
      <c r="AN339" s="320">
        <f>IF('Perfil - interna'!AN339+'Perfil - externa'!AN337=0,0,'Perfil - interna'!AN339+'Perfil - externa'!AN337)</f>
        <v>121764.4409331168</v>
      </c>
      <c r="AO339" s="320"/>
      <c r="AP339" s="320"/>
      <c r="AQ339" s="320"/>
      <c r="AR339" s="320"/>
      <c r="AS339" s="320"/>
      <c r="AT339" s="320"/>
      <c r="AU339" s="320"/>
      <c r="AV339" s="320"/>
      <c r="AW339" s="320"/>
      <c r="AX339" s="320"/>
      <c r="AY339" s="320"/>
      <c r="AZ339" s="320"/>
      <c r="BA339" s="320"/>
      <c r="BB339" s="320"/>
      <c r="BC339" s="320"/>
      <c r="BD339" s="320"/>
      <c r="BE339" s="320"/>
      <c r="BF339" s="320"/>
      <c r="BG339" s="320"/>
      <c r="BH339" s="320"/>
      <c r="BI339" s="320"/>
      <c r="BJ339" s="320"/>
      <c r="BK339" s="320"/>
    </row>
    <row r="340" spans="1:63">
      <c r="A340" s="167"/>
      <c r="B340" s="217" t="str">
        <f>Servicio_internaColumna_título_amortizaciones</f>
        <v>Amortizaciones</v>
      </c>
      <c r="C340" s="218"/>
      <c r="D340" s="219"/>
      <c r="E340" s="219"/>
      <c r="F340" s="219">
        <f>IF('Perfil - interna'!F340+'Perfil - externa'!F338=0,0,'Perfil - interna'!F340+'Perfil - externa'!F338)</f>
        <v>0</v>
      </c>
      <c r="G340" s="219">
        <f>IF('Perfil - interna'!G340+'Perfil - externa'!G338=0,0,'Perfil - interna'!G340+'Perfil - externa'!G338)</f>
        <v>0</v>
      </c>
      <c r="H340" s="219">
        <f>IF('Perfil - interna'!H340+'Perfil - externa'!H338=0,0,'Perfil - interna'!H340+'Perfil - externa'!H338)</f>
        <v>0</v>
      </c>
      <c r="I340" s="219">
        <f>IF('Perfil - interna'!I340+'Perfil - externa'!I338=0,0,'Perfil - interna'!I340+'Perfil - externa'!I338)</f>
        <v>0</v>
      </c>
      <c r="J340" s="219">
        <f>IF('Perfil - interna'!J340+'Perfil - externa'!J338=0,0,'Perfil - interna'!J340+'Perfil - externa'!J338)</f>
        <v>0</v>
      </c>
      <c r="K340" s="219">
        <f>IF('Perfil - interna'!K340+'Perfil - externa'!K338=0,0,'Perfil - interna'!K340+'Perfil - externa'!K338)</f>
        <v>0</v>
      </c>
      <c r="L340" s="219">
        <f>IF('Perfil - interna'!L340+'Perfil - externa'!L338=0,0,'Perfil - interna'!L340+'Perfil - externa'!L338)</f>
        <v>17494060.3342514</v>
      </c>
      <c r="M340" s="219">
        <f>IF('Perfil - interna'!M340+'Perfil - externa'!M338=0,0,'Perfil - interna'!M340+'Perfil - externa'!M338)</f>
        <v>16814924.828435708</v>
      </c>
      <c r="N340" s="219">
        <f>IF('Perfil - interna'!N340+'Perfil - externa'!N338=0,0,'Perfil - interna'!N340+'Perfil - externa'!N338)</f>
        <v>17915398.371114083</v>
      </c>
      <c r="O340" s="219">
        <f>IF('Perfil - interna'!O340+'Perfil - externa'!O338=0,0,'Perfil - interna'!O340+'Perfil - externa'!O338)</f>
        <v>25222372.056204807</v>
      </c>
      <c r="P340" s="219">
        <f>IF('Perfil - interna'!P340+'Perfil - externa'!P338=0,0,'Perfil - interna'!P340+'Perfil - externa'!P338)</f>
        <v>18555187.925794236</v>
      </c>
      <c r="Q340" s="219">
        <f>IF('Perfil - interna'!Q340+'Perfil - externa'!Q338=0,0,'Perfil - interna'!Q340+'Perfil - externa'!Q338)</f>
        <v>19422887.114314932</v>
      </c>
      <c r="R340" s="219">
        <f>IF('Perfil - interna'!R340+'Perfil - externa'!R338=0,0,'Perfil - interna'!R340+'Perfil - externa'!R338)</f>
        <v>6289739.8229986262</v>
      </c>
      <c r="S340" s="219">
        <f>IF('Perfil - interna'!S340+'Perfil - externa'!S338=0,0,'Perfil - interna'!S340+'Perfil - externa'!S338)</f>
        <v>6038350.9926722301</v>
      </c>
      <c r="T340" s="219">
        <f>IF('Perfil - interna'!T340+'Perfil - externa'!T338=0,0,'Perfil - interna'!T340+'Perfil - externa'!T338)</f>
        <v>5339643.4684729753</v>
      </c>
      <c r="U340" s="219">
        <f>IF('Perfil - interna'!U340+'Perfil - externa'!U338=0,0,'Perfil - interna'!U340+'Perfil - externa'!U338)</f>
        <v>6466141.6353987698</v>
      </c>
      <c r="V340" s="219">
        <f>IF('Perfil - interna'!V340+'Perfil - externa'!V338=0,0,'Perfil - interna'!V340+'Perfil - externa'!V338)</f>
        <v>11245765.510474758</v>
      </c>
      <c r="W340" s="219">
        <f>IF('Perfil - interna'!W340+'Perfil - externa'!W338=0,0,'Perfil - interna'!W340+'Perfil - externa'!W338)</f>
        <v>2462996.1176277152</v>
      </c>
      <c r="X340" s="219">
        <f>IF('Perfil - interna'!X340+'Perfil - externa'!X338=0,0,'Perfil - interna'!X340+'Perfil - externa'!X338)</f>
        <v>1084883.9108075092</v>
      </c>
      <c r="Y340" s="219">
        <f>IF('Perfil - interna'!Y340+'Perfil - externa'!Y338=0,0,'Perfil - interna'!Y340+'Perfil - externa'!Y338)</f>
        <v>7832603.3978993613</v>
      </c>
      <c r="Z340" s="219">
        <f>IF('Perfil - interna'!Z340+'Perfil - externa'!Z338=0,0,'Perfil - interna'!Z340+'Perfil - externa'!Z338)</f>
        <v>12863676.951851914</v>
      </c>
      <c r="AA340" s="219">
        <f>IF('Perfil - interna'!AA340+'Perfil - externa'!AA338=0,0,'Perfil - interna'!AA340+'Perfil - externa'!AA338)</f>
        <v>834984.96725783916</v>
      </c>
      <c r="AB340" s="219">
        <f>IF('Perfil - interna'!AB340+'Perfil - externa'!AB338=0,0,'Perfil - interna'!AB340+'Perfil - externa'!AB338)</f>
        <v>787884.63630703592</v>
      </c>
      <c r="AC340" s="219">
        <f>IF('Perfil - interna'!AC340+'Perfil - externa'!AC338=0,0,'Perfil - interna'!AC340+'Perfil - externa'!AC338)</f>
        <v>2531228.4074237817</v>
      </c>
      <c r="AD340" s="219">
        <f>IF('Perfil - interna'!AD340+'Perfil - externa'!AD338=0,0,'Perfil - interna'!AD340+'Perfil - externa'!AD338)</f>
        <v>635590.7526417491</v>
      </c>
      <c r="AE340" s="219">
        <f>IF('Perfil - interna'!AE340+'Perfil - externa'!AE338=0,0,'Perfil - interna'!AE340+'Perfil - externa'!AE338)</f>
        <v>556128.5660455483</v>
      </c>
      <c r="AF340" s="219">
        <f>IF('Perfil - interna'!AF340+'Perfil - externa'!AF338=0,0,'Perfil - interna'!AF340+'Perfil - externa'!AF338)</f>
        <v>447180.32005010743</v>
      </c>
      <c r="AG340" s="219">
        <f>IF('Perfil - interna'!AG340+'Perfil - externa'!AG338=0,0,'Perfil - interna'!AG340+'Perfil - externa'!AG338)</f>
        <v>435191.88729919476</v>
      </c>
      <c r="AH340" s="219">
        <f>IF('Perfil - interna'!AH340+'Perfil - externa'!AH338=0,0,'Perfil - interna'!AH340+'Perfil - externa'!AH338)</f>
        <v>410641.09703859687</v>
      </c>
      <c r="AI340" s="219">
        <f>IF('Perfil - interna'!AI340+'Perfil - externa'!AI338=0,0,'Perfil - interna'!AI340+'Perfil - externa'!AI338)</f>
        <v>901959.25752638187</v>
      </c>
      <c r="AJ340" s="219">
        <f>IF('Perfil - interna'!AJ340+'Perfil - externa'!AJ338=0,0,'Perfil - interna'!AJ340+'Perfil - externa'!AJ338)</f>
        <v>202416.124852115</v>
      </c>
      <c r="AK340" s="219">
        <f>IF('Perfil - interna'!AK340+'Perfil - externa'!AK338=0,0,'Perfil - interna'!AK340+'Perfil - externa'!AK338)</f>
        <v>138608.72470211503</v>
      </c>
      <c r="AL340" s="219">
        <f>IF('Perfil - interna'!AL340+'Perfil - externa'!AL338=0,0,'Perfil - interna'!AL340+'Perfil - externa'!AL338)</f>
        <v>106705.4257931209</v>
      </c>
      <c r="AM340" s="219">
        <f>IF('Perfil - interna'!AM340+'Perfil - externa'!AM338=0,0,'Perfil - interna'!AM340+'Perfil - externa'!AM338)</f>
        <v>3539687.9616101291</v>
      </c>
      <c r="AN340" s="219">
        <f>IF('Perfil - interna'!AN340+'Perfil - externa'!AN338=0,0,'Perfil - interna'!AN340+'Perfil - externa'!AN338)</f>
        <v>3401.3302518065998</v>
      </c>
      <c r="AO340" s="219"/>
      <c r="AP340" s="219"/>
      <c r="AQ340" s="219"/>
      <c r="AR340" s="219"/>
      <c r="AS340" s="219"/>
      <c r="AT340" s="219"/>
      <c r="AU340" s="219"/>
      <c r="AV340" s="219"/>
      <c r="AW340" s="219"/>
      <c r="AX340" s="219"/>
      <c r="AY340" s="219"/>
      <c r="AZ340" s="219"/>
      <c r="BA340" s="219"/>
      <c r="BB340" s="219"/>
      <c r="BC340" s="219"/>
      <c r="BD340" s="219"/>
      <c r="BE340" s="219"/>
      <c r="BF340" s="219"/>
      <c r="BG340" s="219"/>
      <c r="BH340" s="219"/>
      <c r="BI340" s="219"/>
      <c r="BJ340" s="219"/>
      <c r="BK340" s="219"/>
    </row>
    <row r="341" spans="1:63">
      <c r="A341" s="170">
        <v>40298</v>
      </c>
      <c r="B341" s="220" t="str">
        <f>Servicio_internaColumna_título_intereses</f>
        <v>Intereses</v>
      </c>
      <c r="C341" s="221"/>
      <c r="D341" s="222"/>
      <c r="E341" s="222"/>
      <c r="F341" s="222">
        <f>IF('Perfil - interna'!F341+'Perfil - externa'!F339=0,0,'Perfil - interna'!F341+'Perfil - externa'!F339)</f>
        <v>0</v>
      </c>
      <c r="G341" s="222">
        <f>IF('Perfil - interna'!G341+'Perfil - externa'!G339=0,0,'Perfil - interna'!G341+'Perfil - externa'!G339)</f>
        <v>0</v>
      </c>
      <c r="H341" s="222">
        <f>IF('Perfil - interna'!H341+'Perfil - externa'!H339=0,0,'Perfil - interna'!H341+'Perfil - externa'!H339)</f>
        <v>0</v>
      </c>
      <c r="I341" s="222">
        <f>IF('Perfil - interna'!I341+'Perfil - externa'!I339=0,0,'Perfil - interna'!I341+'Perfil - externa'!I339)</f>
        <v>0</v>
      </c>
      <c r="J341" s="222">
        <f>IF('Perfil - interna'!J341+'Perfil - externa'!J339=0,0,'Perfil - interna'!J341+'Perfil - externa'!J339)</f>
        <v>0</v>
      </c>
      <c r="K341" s="222">
        <f>IF('Perfil - interna'!K341+'Perfil - externa'!K339=0,0,'Perfil - interna'!K341+'Perfil - externa'!K339)</f>
        <v>0</v>
      </c>
      <c r="L341" s="222">
        <f>IF('Perfil - interna'!L341+'Perfil - externa'!L339=0,0,'Perfil - interna'!L341+'Perfil - externa'!L339)</f>
        <v>11025416.697123658</v>
      </c>
      <c r="M341" s="222">
        <f>IF('Perfil - interna'!M341+'Perfil - externa'!M339=0,0,'Perfil - interna'!M341+'Perfil - externa'!M339)</f>
        <v>13914773.263691347</v>
      </c>
      <c r="N341" s="222">
        <f>IF('Perfil - interna'!N341+'Perfil - externa'!N339=0,0,'Perfil - interna'!N341+'Perfil - externa'!N339)</f>
        <v>12341218.170112869</v>
      </c>
      <c r="O341" s="222">
        <f>IF('Perfil - interna'!O341+'Perfil - externa'!O339=0,0,'Perfil - interna'!O341+'Perfil - externa'!O339)</f>
        <v>10711237.431149425</v>
      </c>
      <c r="P341" s="222">
        <f>IF('Perfil - interna'!P341+'Perfil - externa'!P339=0,0,'Perfil - interna'!P341+'Perfil - externa'!P339)</f>
        <v>8902926.9560724348</v>
      </c>
      <c r="Q341" s="222">
        <f>IF('Perfil - interna'!Q341+'Perfil - externa'!Q339=0,0,'Perfil - interna'!Q341+'Perfil - externa'!Q339)</f>
        <v>7151224.435613906</v>
      </c>
      <c r="R341" s="222">
        <f>IF('Perfil - interna'!R341+'Perfil - externa'!R339=0,0,'Perfil - interna'!R341+'Perfil - externa'!R339)</f>
        <v>5656162.063748436</v>
      </c>
      <c r="S341" s="222">
        <f>IF('Perfil - interna'!S341+'Perfil - externa'!S339=0,0,'Perfil - interna'!S341+'Perfil - externa'!S339)</f>
        <v>5149136.4027077584</v>
      </c>
      <c r="T341" s="222">
        <f>IF('Perfil - interna'!T341+'Perfil - externa'!T339=0,0,'Perfil - interna'!T341+'Perfil - externa'!T339)</f>
        <v>4896415.6370495157</v>
      </c>
      <c r="U341" s="222">
        <f>IF('Perfil - interna'!U341+'Perfil - externa'!U339=0,0,'Perfil - interna'!U341+'Perfil - externa'!U339)</f>
        <v>4262176.6409109365</v>
      </c>
      <c r="V341" s="222">
        <f>IF('Perfil - interna'!V341+'Perfil - externa'!V339=0,0,'Perfil - interna'!V341+'Perfil - externa'!V339)</f>
        <v>3937116.1155296918</v>
      </c>
      <c r="W341" s="222">
        <f>IF('Perfil - interna'!W341+'Perfil - externa'!W339=0,0,'Perfil - interna'!W341+'Perfil - externa'!W339)</f>
        <v>2861894.7925347313</v>
      </c>
      <c r="X341" s="222">
        <f>IF('Perfil - interna'!X341+'Perfil - externa'!X339=0,0,'Perfil - interna'!X341+'Perfil - externa'!X339)</f>
        <v>2708536.643290156</v>
      </c>
      <c r="Y341" s="222">
        <f>IF('Perfil - interna'!Y341+'Perfil - externa'!Y339=0,0,'Perfil - interna'!Y341+'Perfil - externa'!Y339)</f>
        <v>2661034.1723493496</v>
      </c>
      <c r="Z341" s="222">
        <f>IF('Perfil - interna'!Z341+'Perfil - externa'!Z339=0,0,'Perfil - interna'!Z341+'Perfil - externa'!Z339)</f>
        <v>2052122.8050337073</v>
      </c>
      <c r="AA341" s="222">
        <f>IF('Perfil - interna'!AA341+'Perfil - externa'!AA339=0,0,'Perfil - interna'!AA341+'Perfil - externa'!AA339)</f>
        <v>919011.53907052777</v>
      </c>
      <c r="AB341" s="222">
        <f>IF('Perfil - interna'!AB341+'Perfil - externa'!AB339=0,0,'Perfil - interna'!AB341+'Perfil - externa'!AB339)</f>
        <v>871189.85613629571</v>
      </c>
      <c r="AC341" s="222">
        <f>IF('Perfil - interna'!AC341+'Perfil - externa'!AC339=0,0,'Perfil - interna'!AC341+'Perfil - externa'!AC339)</f>
        <v>815794.02622725035</v>
      </c>
      <c r="AD341" s="222">
        <f>IF('Perfil - interna'!AD341+'Perfil - externa'!AD339=0,0,'Perfil - interna'!AD341+'Perfil - externa'!AD339)</f>
        <v>611129.40380885941</v>
      </c>
      <c r="AE341" s="222">
        <f>IF('Perfil - interna'!AE341+'Perfil - externa'!AE339=0,0,'Perfil - interna'!AE341+'Perfil - externa'!AE339)</f>
        <v>578269.1267388945</v>
      </c>
      <c r="AF341" s="222">
        <f>IF('Perfil - interna'!AF341+'Perfil - externa'!AF339=0,0,'Perfil - interna'!AF341+'Perfil - externa'!AF339)</f>
        <v>548037.46572842775</v>
      </c>
      <c r="AG341" s="222">
        <f>IF('Perfil - interna'!AG341+'Perfil - externa'!AG339=0,0,'Perfil - interna'!AG341+'Perfil - externa'!AG339)</f>
        <v>523290.40365425177</v>
      </c>
      <c r="AH341" s="222">
        <f>IF('Perfil - interna'!AH341+'Perfil - externa'!AH339=0,0,'Perfil - interna'!AH341+'Perfil - externa'!AH339)</f>
        <v>499751.09645876737</v>
      </c>
      <c r="AI341" s="222">
        <f>IF('Perfil - interna'!AI341+'Perfil - externa'!AI339=0,0,'Perfil - interna'!AI341+'Perfil - externa'!AI339)</f>
        <v>445325.72840910597</v>
      </c>
      <c r="AJ341" s="222">
        <f>IF('Perfil - interna'!AJ341+'Perfil - externa'!AJ339=0,0,'Perfil - interna'!AJ341+'Perfil - externa'!AJ339)</f>
        <v>400242.41772627359</v>
      </c>
      <c r="AK341" s="222">
        <f>IF('Perfil - interna'!AK341+'Perfil - externa'!AK339=0,0,'Perfil - interna'!AK341+'Perfil - externa'!AK339)</f>
        <v>390335.75429683534</v>
      </c>
      <c r="AL341" s="222">
        <f>IF('Perfil - interna'!AL341+'Perfil - externa'!AL339=0,0,'Perfil - interna'!AL341+'Perfil - externa'!AL339)</f>
        <v>382847.48724186292</v>
      </c>
      <c r="AM341" s="222">
        <f>IF('Perfil - interna'!AM341+'Perfil - externa'!AM339=0,0,'Perfil - interna'!AM341+'Perfil - externa'!AM339)</f>
        <v>377614.94072772033</v>
      </c>
      <c r="AN341" s="222">
        <f>IF('Perfil - interna'!AN341+'Perfil - externa'!AN339=0,0,'Perfil - interna'!AN341+'Perfil - externa'!AN339)</f>
        <v>118128.06608999999</v>
      </c>
      <c r="AO341" s="222"/>
      <c r="AP341" s="222"/>
      <c r="AQ341" s="222"/>
      <c r="AR341" s="222"/>
      <c r="AS341" s="222"/>
      <c r="AT341" s="222"/>
      <c r="AU341" s="222"/>
      <c r="AV341" s="222"/>
      <c r="AW341" s="222"/>
      <c r="AX341" s="222"/>
      <c r="AY341" s="222"/>
      <c r="AZ341" s="222"/>
      <c r="BA341" s="222"/>
      <c r="BB341" s="222"/>
      <c r="BC341" s="222"/>
      <c r="BD341" s="222"/>
      <c r="BE341" s="222"/>
      <c r="BF341" s="222"/>
      <c r="BG341" s="222"/>
      <c r="BH341" s="222"/>
      <c r="BI341" s="222"/>
      <c r="BJ341" s="222"/>
      <c r="BK341" s="222"/>
    </row>
    <row r="342" spans="1:63">
      <c r="A342" s="171"/>
      <c r="B342" s="318" t="str">
        <f>Servicio_internaColumna_título_total</f>
        <v>Total</v>
      </c>
      <c r="C342" s="319"/>
      <c r="D342" s="320"/>
      <c r="E342" s="320"/>
      <c r="F342" s="320">
        <f>IF('Perfil - interna'!F342+'Perfil - externa'!F340=0,0,'Perfil - interna'!F342+'Perfil - externa'!F340)</f>
        <v>0</v>
      </c>
      <c r="G342" s="320">
        <f>IF('Perfil - interna'!G342+'Perfil - externa'!G340=0,0,'Perfil - interna'!G342+'Perfil - externa'!G340)</f>
        <v>0</v>
      </c>
      <c r="H342" s="320">
        <f>IF('Perfil - interna'!H342+'Perfil - externa'!H340=0,0,'Perfil - interna'!H342+'Perfil - externa'!H340)</f>
        <v>0</v>
      </c>
      <c r="I342" s="320">
        <f>IF('Perfil - interna'!I342+'Perfil - externa'!I340=0,0,'Perfil - interna'!I342+'Perfil - externa'!I340)</f>
        <v>0</v>
      </c>
      <c r="J342" s="320">
        <f>IF('Perfil - interna'!J342+'Perfil - externa'!J340=0,0,'Perfil - interna'!J342+'Perfil - externa'!J340)</f>
        <v>0</v>
      </c>
      <c r="K342" s="320">
        <f>IF('Perfil - interna'!K342+'Perfil - externa'!K340=0,0,'Perfil - interna'!K342+'Perfil - externa'!K340)</f>
        <v>0</v>
      </c>
      <c r="L342" s="320">
        <f>IF('Perfil - interna'!L342+'Perfil - externa'!L340=0,0,'Perfil - interna'!L342+'Perfil - externa'!L340)</f>
        <v>28519477.031375054</v>
      </c>
      <c r="M342" s="320">
        <f>IF('Perfil - interna'!M342+'Perfil - externa'!M340=0,0,'Perfil - interna'!M342+'Perfil - externa'!M340)</f>
        <v>30729698.092127055</v>
      </c>
      <c r="N342" s="320">
        <f>IF('Perfil - interna'!N342+'Perfil - externa'!N340=0,0,'Perfil - interna'!N342+'Perfil - externa'!N340)</f>
        <v>30256616.54122695</v>
      </c>
      <c r="O342" s="320">
        <f>IF('Perfil - interna'!O342+'Perfil - externa'!O340=0,0,'Perfil - interna'!O342+'Perfil - externa'!O340)</f>
        <v>35933609.487354234</v>
      </c>
      <c r="P342" s="320">
        <f>IF('Perfil - interna'!P342+'Perfil - externa'!P340=0,0,'Perfil - interna'!P342+'Perfil - externa'!P340)</f>
        <v>27458114.881866671</v>
      </c>
      <c r="Q342" s="320">
        <f>IF('Perfil - interna'!Q342+'Perfil - externa'!Q340=0,0,'Perfil - interna'!Q342+'Perfil - externa'!Q340)</f>
        <v>26574111.549928837</v>
      </c>
      <c r="R342" s="320">
        <f>IF('Perfil - interna'!R342+'Perfil - externa'!R340=0,0,'Perfil - interna'!R342+'Perfil - externa'!R340)</f>
        <v>11945901.886747062</v>
      </c>
      <c r="S342" s="320">
        <f>IF('Perfil - interna'!S342+'Perfil - externa'!S340=0,0,'Perfil - interna'!S342+'Perfil - externa'!S340)</f>
        <v>11187487.395379987</v>
      </c>
      <c r="T342" s="320">
        <f>IF('Perfil - interna'!T342+'Perfil - externa'!T340=0,0,'Perfil - interna'!T342+'Perfil - externa'!T340)</f>
        <v>10236059.105522491</v>
      </c>
      <c r="U342" s="320">
        <f>IF('Perfil - interna'!U342+'Perfil - externa'!U340=0,0,'Perfil - interna'!U342+'Perfil - externa'!U340)</f>
        <v>10728318.276309706</v>
      </c>
      <c r="V342" s="320">
        <f>IF('Perfil - interna'!V342+'Perfil - externa'!V340=0,0,'Perfil - interna'!V342+'Perfil - externa'!V340)</f>
        <v>15182881.62600445</v>
      </c>
      <c r="W342" s="320">
        <f>IF('Perfil - interna'!W342+'Perfil - externa'!W340=0,0,'Perfil - interna'!W342+'Perfil - externa'!W340)</f>
        <v>5324890.9101624461</v>
      </c>
      <c r="X342" s="320">
        <f>IF('Perfil - interna'!X342+'Perfil - externa'!X340=0,0,'Perfil - interna'!X342+'Perfil - externa'!X340)</f>
        <v>3793420.5540976655</v>
      </c>
      <c r="Y342" s="320">
        <f>IF('Perfil - interna'!Y342+'Perfil - externa'!Y340=0,0,'Perfil - interna'!Y342+'Perfil - externa'!Y340)</f>
        <v>10493637.57024871</v>
      </c>
      <c r="Z342" s="320">
        <f>IF('Perfil - interna'!Z342+'Perfil - externa'!Z340=0,0,'Perfil - interna'!Z342+'Perfil - externa'!Z340)</f>
        <v>14915799.756885622</v>
      </c>
      <c r="AA342" s="320">
        <f>IF('Perfil - interna'!AA342+'Perfil - externa'!AA340=0,0,'Perfil - interna'!AA342+'Perfil - externa'!AA340)</f>
        <v>1753996.5063283669</v>
      </c>
      <c r="AB342" s="320">
        <f>IF('Perfil - interna'!AB342+'Perfil - externa'!AB340=0,0,'Perfil - interna'!AB342+'Perfil - externa'!AB340)</f>
        <v>1659074.4924433315</v>
      </c>
      <c r="AC342" s="320">
        <f>IF('Perfil - interna'!AC342+'Perfil - externa'!AC340=0,0,'Perfil - interna'!AC342+'Perfil - externa'!AC340)</f>
        <v>3347022.4336510319</v>
      </c>
      <c r="AD342" s="320">
        <f>IF('Perfil - interna'!AD342+'Perfil - externa'!AD340=0,0,'Perfil - interna'!AD342+'Perfil - externa'!AD340)</f>
        <v>1246720.1564506085</v>
      </c>
      <c r="AE342" s="320">
        <f>IF('Perfil - interna'!AE342+'Perfil - externa'!AE340=0,0,'Perfil - interna'!AE342+'Perfil - externa'!AE340)</f>
        <v>1134397.6927844428</v>
      </c>
      <c r="AF342" s="320">
        <f>IF('Perfil - interna'!AF342+'Perfil - externa'!AF340=0,0,'Perfil - interna'!AF342+'Perfil - externa'!AF340)</f>
        <v>995217.78577853518</v>
      </c>
      <c r="AG342" s="320">
        <f>IF('Perfil - interna'!AG342+'Perfil - externa'!AG340=0,0,'Perfil - interna'!AG342+'Perfil - externa'!AG340)</f>
        <v>958482.29095344653</v>
      </c>
      <c r="AH342" s="320">
        <f>IF('Perfil - interna'!AH342+'Perfil - externa'!AH340=0,0,'Perfil - interna'!AH342+'Perfil - externa'!AH340)</f>
        <v>910392.19349736418</v>
      </c>
      <c r="AI342" s="320">
        <f>IF('Perfil - interna'!AI342+'Perfil - externa'!AI340=0,0,'Perfil - interna'!AI342+'Perfil - externa'!AI340)</f>
        <v>1347284.9859354878</v>
      </c>
      <c r="AJ342" s="320">
        <f>IF('Perfil - interna'!AJ342+'Perfil - externa'!AJ340=0,0,'Perfil - interna'!AJ342+'Perfil - externa'!AJ340)</f>
        <v>602658.54257838859</v>
      </c>
      <c r="AK342" s="320">
        <f>IF('Perfil - interna'!AK342+'Perfil - externa'!AK340=0,0,'Perfil - interna'!AK342+'Perfil - externa'!AK340)</f>
        <v>528944.47899895033</v>
      </c>
      <c r="AL342" s="320">
        <f>IF('Perfil - interna'!AL342+'Perfil - externa'!AL340=0,0,'Perfil - interna'!AL342+'Perfil - externa'!AL340)</f>
        <v>489552.91303498379</v>
      </c>
      <c r="AM342" s="320">
        <f>IF('Perfil - interna'!AM342+'Perfil - externa'!AM340=0,0,'Perfil - interna'!AM342+'Perfil - externa'!AM340)</f>
        <v>3917302.9023378496</v>
      </c>
      <c r="AN342" s="320">
        <f>IF('Perfil - interna'!AN342+'Perfil - externa'!AN340=0,0,'Perfil - interna'!AN342+'Perfil - externa'!AN340)</f>
        <v>121529.3963418066</v>
      </c>
      <c r="AO342" s="320"/>
      <c r="AP342" s="320"/>
      <c r="AQ342" s="320"/>
      <c r="AR342" s="320"/>
      <c r="AS342" s="320"/>
      <c r="AT342" s="320"/>
      <c r="AU342" s="320"/>
      <c r="AV342" s="320"/>
      <c r="AW342" s="320"/>
      <c r="AX342" s="320"/>
      <c r="AY342" s="320"/>
      <c r="AZ342" s="320"/>
      <c r="BA342" s="320"/>
      <c r="BB342" s="320"/>
      <c r="BC342" s="320"/>
      <c r="BD342" s="320"/>
      <c r="BE342" s="320"/>
      <c r="BF342" s="320"/>
      <c r="BG342" s="320"/>
      <c r="BH342" s="320"/>
      <c r="BI342" s="320"/>
      <c r="BJ342" s="320"/>
      <c r="BK342" s="320"/>
    </row>
    <row r="343" spans="1:63">
      <c r="A343" s="167"/>
      <c r="B343" s="217" t="str">
        <f>Servicio_internaColumna_título_amortizaciones</f>
        <v>Amortizaciones</v>
      </c>
      <c r="C343" s="218"/>
      <c r="D343" s="219"/>
      <c r="E343" s="219"/>
      <c r="F343" s="219">
        <f>IF('Perfil - interna'!F343+'Perfil - externa'!F341=0,0,'Perfil - interna'!F343+'Perfil - externa'!F341)</f>
        <v>0</v>
      </c>
      <c r="G343" s="219">
        <f>IF('Perfil - interna'!G343+'Perfil - externa'!G341=0,0,'Perfil - interna'!G343+'Perfil - externa'!G341)</f>
        <v>0</v>
      </c>
      <c r="H343" s="219">
        <f>IF('Perfil - interna'!H343+'Perfil - externa'!H341=0,0,'Perfil - interna'!H343+'Perfil - externa'!H341)</f>
        <v>0</v>
      </c>
      <c r="I343" s="219">
        <f>IF('Perfil - interna'!I343+'Perfil - externa'!I341=0,0,'Perfil - interna'!I343+'Perfil - externa'!I341)</f>
        <v>0</v>
      </c>
      <c r="J343" s="219">
        <f>IF('Perfil - interna'!J343+'Perfil - externa'!J341=0,0,'Perfil - interna'!J343+'Perfil - externa'!J341)</f>
        <v>0</v>
      </c>
      <c r="K343" s="219">
        <f>IF('Perfil - interna'!K343+'Perfil - externa'!K341=0,0,'Perfil - interna'!K343+'Perfil - externa'!K341)</f>
        <v>0</v>
      </c>
      <c r="L343" s="219">
        <f>IF('Perfil - interna'!L343+'Perfil - externa'!L341=0,0,'Perfil - interna'!L343+'Perfil - externa'!L341)</f>
        <v>14371634.086594982</v>
      </c>
      <c r="M343" s="219">
        <f>IF('Perfil - interna'!M343+'Perfil - externa'!M341=0,0,'Perfil - interna'!M343+'Perfil - externa'!M341)</f>
        <v>17017534.107835107</v>
      </c>
      <c r="N343" s="219">
        <f>IF('Perfil - interna'!N343+'Perfil - externa'!N341=0,0,'Perfil - interna'!N343+'Perfil - externa'!N341)</f>
        <v>18014254.741271112</v>
      </c>
      <c r="O343" s="219">
        <f>IF('Perfil - interna'!O343+'Perfil - externa'!O341=0,0,'Perfil - interna'!O343+'Perfil - externa'!O341)</f>
        <v>25463674.550889548</v>
      </c>
      <c r="P343" s="219">
        <f>IF('Perfil - interna'!P343+'Perfil - externa'!P341=0,0,'Perfil - interna'!P343+'Perfil - externa'!P341)</f>
        <v>18721496.731148463</v>
      </c>
      <c r="Q343" s="219">
        <f>IF('Perfil - interna'!Q343+'Perfil - externa'!Q341=0,0,'Perfil - interna'!Q343+'Perfil - externa'!Q341)</f>
        <v>19495447.464266416</v>
      </c>
      <c r="R343" s="219">
        <f>IF('Perfil - interna'!R343+'Perfil - externa'!R341=0,0,'Perfil - interna'!R343+'Perfil - externa'!R341)</f>
        <v>7391454.7511551864</v>
      </c>
      <c r="S343" s="219">
        <f>IF('Perfil - interna'!S343+'Perfil - externa'!S341=0,0,'Perfil - interna'!S343+'Perfil - externa'!S341)</f>
        <v>6426028.7978531206</v>
      </c>
      <c r="T343" s="219">
        <f>IF('Perfil - interna'!T343+'Perfil - externa'!T341=0,0,'Perfil - interna'!T343+'Perfil - externa'!T341)</f>
        <v>5376142.6678759381</v>
      </c>
      <c r="U343" s="219">
        <f>IF('Perfil - interna'!U343+'Perfil - externa'!U341=0,0,'Perfil - interna'!U343+'Perfil - externa'!U341)</f>
        <v>6643857.6781862583</v>
      </c>
      <c r="V343" s="219">
        <f>IF('Perfil - interna'!V343+'Perfil - externa'!V341=0,0,'Perfil - interna'!V343+'Perfil - externa'!V341)</f>
        <v>11313205.475445922</v>
      </c>
      <c r="W343" s="219">
        <f>IF('Perfil - interna'!W343+'Perfil - externa'!W341=0,0,'Perfil - interna'!W343+'Perfil - externa'!W341)</f>
        <v>2486409.9582543378</v>
      </c>
      <c r="X343" s="219">
        <f>IF('Perfil - interna'!X343+'Perfil - externa'!X341=0,0,'Perfil - interna'!X343+'Perfil - externa'!X341)</f>
        <v>1113191.8624826598</v>
      </c>
      <c r="Y343" s="219">
        <f>IF('Perfil - interna'!Y343+'Perfil - externa'!Y341=0,0,'Perfil - interna'!Y343+'Perfil - externa'!Y341)</f>
        <v>8125501.4145415332</v>
      </c>
      <c r="Z343" s="219">
        <f>IF('Perfil - interna'!Z343+'Perfil - externa'!Z341=0,0,'Perfil - interna'!Z343+'Perfil - externa'!Z341)</f>
        <v>13424235.404391808</v>
      </c>
      <c r="AA343" s="219">
        <f>IF('Perfil - interna'!AA343+'Perfil - externa'!AA341=0,0,'Perfil - interna'!AA343+'Perfil - externa'!AA341)</f>
        <v>869567.06144513993</v>
      </c>
      <c r="AB343" s="219">
        <f>IF('Perfil - interna'!AB343+'Perfil - externa'!AB341=0,0,'Perfil - interna'!AB343+'Perfil - externa'!AB341)</f>
        <v>810670.4365564374</v>
      </c>
      <c r="AC343" s="219">
        <f>IF('Perfil - interna'!AC343+'Perfil - externa'!AC341=0,0,'Perfil - interna'!AC343+'Perfil - externa'!AC341)</f>
        <v>2549345.3758965372</v>
      </c>
      <c r="AD343" s="219">
        <f>IF('Perfil - interna'!AD343+'Perfil - externa'!AD341=0,0,'Perfil - interna'!AD343+'Perfil - externa'!AD341)</f>
        <v>655240.68745382503</v>
      </c>
      <c r="AE343" s="219">
        <f>IF('Perfil - interna'!AE343+'Perfil - externa'!AE341=0,0,'Perfil - interna'!AE343+'Perfil - externa'!AE341)</f>
        <v>574082.61754375242</v>
      </c>
      <c r="AF343" s="219">
        <f>IF('Perfil - interna'!AF343+'Perfil - externa'!AF341=0,0,'Perfil - interna'!AF343+'Perfil - externa'!AF341)</f>
        <v>462809.19626213249</v>
      </c>
      <c r="AG343" s="219">
        <f>IF('Perfil - interna'!AG343+'Perfil - externa'!AG341=0,0,'Perfil - interna'!AG343+'Perfil - externa'!AG341)</f>
        <v>450564.90617916494</v>
      </c>
      <c r="AH343" s="219">
        <f>IF('Perfil - interna'!AH343+'Perfil - externa'!AH341=0,0,'Perfil - interna'!AH343+'Perfil - externa'!AH341)</f>
        <v>425489.94538405997</v>
      </c>
      <c r="AI343" s="219">
        <f>IF('Perfil - interna'!AI343+'Perfil - externa'!AI341=0,0,'Perfil - interna'!AI343+'Perfil - externa'!AI341)</f>
        <v>927293.61910257745</v>
      </c>
      <c r="AJ343" s="219">
        <f>IF('Perfil - interna'!AJ343+'Perfil - externa'!AJ341=0,0,'Perfil - interna'!AJ343+'Perfil - externa'!AJ341)</f>
        <v>212820.82520385497</v>
      </c>
      <c r="AK343" s="219">
        <f>IF('Perfil - interna'!AK343+'Perfil - externa'!AK341=0,0,'Perfil - interna'!AK343+'Perfil - externa'!AK341)</f>
        <v>144581.1537662425</v>
      </c>
      <c r="AL343" s="219">
        <f>IF('Perfil - interna'!AL343+'Perfil - externa'!AL341=0,0,'Perfil - interna'!AL343+'Perfil - externa'!AL341)</f>
        <v>108928.50792982499</v>
      </c>
      <c r="AM343" s="219">
        <f>IF('Perfil - interna'!AM343+'Perfil - externa'!AM341=0,0,'Perfil - interna'!AM343+'Perfil - externa'!AM341)</f>
        <v>3615179.8164135856</v>
      </c>
      <c r="AN343" s="219">
        <f>IF('Perfil - interna'!AN343+'Perfil - externa'!AN341=0,0,'Perfil - interna'!AN343+'Perfil - externa'!AN341)</f>
        <v>3473.9214988650001</v>
      </c>
      <c r="AO343" s="219"/>
      <c r="AP343" s="219"/>
      <c r="AQ343" s="219"/>
      <c r="AR343" s="219"/>
      <c r="AS343" s="219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</row>
    <row r="344" spans="1:63">
      <c r="A344" s="170">
        <v>40329</v>
      </c>
      <c r="B344" s="220" t="str">
        <f>Servicio_internaColumna_título_intereses</f>
        <v>Intereses</v>
      </c>
      <c r="C344" s="221"/>
      <c r="D344" s="222"/>
      <c r="E344" s="222"/>
      <c r="F344" s="222">
        <f>IF('Perfil - interna'!F344+'Perfil - externa'!F342=0,0,'Perfil - interna'!F344+'Perfil - externa'!F342)</f>
        <v>0</v>
      </c>
      <c r="G344" s="222">
        <f>IF('Perfil - interna'!G344+'Perfil - externa'!G342=0,0,'Perfil - interna'!G344+'Perfil - externa'!G342)</f>
        <v>0</v>
      </c>
      <c r="H344" s="222">
        <f>IF('Perfil - interna'!H344+'Perfil - externa'!H342=0,0,'Perfil - interna'!H344+'Perfil - externa'!H342)</f>
        <v>0</v>
      </c>
      <c r="I344" s="222">
        <f>IF('Perfil - interna'!I344+'Perfil - externa'!I342=0,0,'Perfil - interna'!I344+'Perfil - externa'!I342)</f>
        <v>0</v>
      </c>
      <c r="J344" s="222">
        <f>IF('Perfil - interna'!J344+'Perfil - externa'!J342=0,0,'Perfil - interna'!J344+'Perfil - externa'!J342)</f>
        <v>0</v>
      </c>
      <c r="K344" s="222">
        <f>IF('Perfil - interna'!K344+'Perfil - externa'!K342=0,0,'Perfil - interna'!K344+'Perfil - externa'!K342)</f>
        <v>0</v>
      </c>
      <c r="L344" s="222">
        <f>IF('Perfil - interna'!L344+'Perfil - externa'!L342=0,0,'Perfil - interna'!L344+'Perfil - externa'!L342)</f>
        <v>8849526.7153982222</v>
      </c>
      <c r="M344" s="222">
        <f>IF('Perfil - interna'!M344+'Perfil - externa'!M342=0,0,'Perfil - interna'!M344+'Perfil - externa'!M342)</f>
        <v>14113614.228046644</v>
      </c>
      <c r="N344" s="222">
        <f>IF('Perfil - interna'!N344+'Perfil - externa'!N342=0,0,'Perfil - interna'!N344+'Perfil - externa'!N342)</f>
        <v>12541089.412744837</v>
      </c>
      <c r="O344" s="222">
        <f>IF('Perfil - interna'!O344+'Perfil - externa'!O342=0,0,'Perfil - interna'!O344+'Perfil - externa'!O342)</f>
        <v>10918845.083658744</v>
      </c>
      <c r="P344" s="222">
        <f>IF('Perfil - interna'!P344+'Perfil - externa'!P342=0,0,'Perfil - interna'!P344+'Perfil - externa'!P342)</f>
        <v>9108316.993151376</v>
      </c>
      <c r="Q344" s="222">
        <f>IF('Perfil - interna'!Q344+'Perfil - externa'!Q342=0,0,'Perfil - interna'!Q344+'Perfil - externa'!Q342)</f>
        <v>7343183.5862483252</v>
      </c>
      <c r="R344" s="222">
        <f>IF('Perfil - interna'!R344+'Perfil - externa'!R342=0,0,'Perfil - interna'!R344+'Perfil - externa'!R342)</f>
        <v>5851328.6171010621</v>
      </c>
      <c r="S344" s="222">
        <f>IF('Perfil - interna'!S344+'Perfil - externa'!S342=0,0,'Perfil - interna'!S344+'Perfil - externa'!S342)</f>
        <v>5268309.0890608002</v>
      </c>
      <c r="T344" s="222">
        <f>IF('Perfil - interna'!T344+'Perfil - externa'!T342=0,0,'Perfil - interna'!T344+'Perfil - externa'!T342)</f>
        <v>4991542.6332317498</v>
      </c>
      <c r="U344" s="222">
        <f>IF('Perfil - interna'!U344+'Perfil - externa'!U342=0,0,'Perfil - interna'!U344+'Perfil - externa'!U342)</f>
        <v>4360057.4215759905</v>
      </c>
      <c r="V344" s="222">
        <f>IF('Perfil - interna'!V344+'Perfil - externa'!V342=0,0,'Perfil - interna'!V344+'Perfil - externa'!V342)</f>
        <v>4026982.6217544577</v>
      </c>
      <c r="W344" s="222">
        <f>IF('Perfil - interna'!W344+'Perfil - externa'!W342=0,0,'Perfil - interna'!W344+'Perfil - externa'!W342)</f>
        <v>2950153.124828415</v>
      </c>
      <c r="X344" s="222">
        <f>IF('Perfil - interna'!X344+'Perfil - externa'!X342=0,0,'Perfil - interna'!X344+'Perfil - externa'!X342)</f>
        <v>2799210.9531539325</v>
      </c>
      <c r="Y344" s="222">
        <f>IF('Perfil - interna'!Y344+'Perfil - externa'!Y342=0,0,'Perfil - interna'!Y344+'Perfil - externa'!Y342)</f>
        <v>2750043.9407587387</v>
      </c>
      <c r="Z344" s="222">
        <f>IF('Perfil - interna'!Z344+'Perfil - externa'!Z342=0,0,'Perfil - interna'!Z344+'Perfil - externa'!Z342)</f>
        <v>2121759.9613767317</v>
      </c>
      <c r="AA344" s="222">
        <f>IF('Perfil - interna'!AA344+'Perfil - externa'!AA342=0,0,'Perfil - interna'!AA344+'Perfil - externa'!AA342)</f>
        <v>935271.1140285352</v>
      </c>
      <c r="AB344" s="222">
        <f>IF('Perfil - interna'!AB344+'Perfil - externa'!AB342=0,0,'Perfil - interna'!AB344+'Perfil - externa'!AB342)</f>
        <v>885606.200750435</v>
      </c>
      <c r="AC344" s="222">
        <f>IF('Perfil - interna'!AC344+'Perfil - externa'!AC342=0,0,'Perfil - interna'!AC344+'Perfil - externa'!AC342)</f>
        <v>829406.93459158007</v>
      </c>
      <c r="AD344" s="222">
        <f>IF('Perfil - interna'!AD344+'Perfil - externa'!AD342=0,0,'Perfil - interna'!AD344+'Perfil - externa'!AD342)</f>
        <v>624168.86816676008</v>
      </c>
      <c r="AE344" s="222">
        <f>IF('Perfil - interna'!AE344+'Perfil - externa'!AE342=0,0,'Perfil - interna'!AE344+'Perfil - externa'!AE342)</f>
        <v>590485.52509860497</v>
      </c>
      <c r="AF344" s="222">
        <f>IF('Perfil - interna'!AF344+'Perfil - externa'!AF342=0,0,'Perfil - interna'!AF344+'Perfil - externa'!AF342)</f>
        <v>559653.97095277009</v>
      </c>
      <c r="AG344" s="222">
        <f>IF('Perfil - interna'!AG344+'Perfil - externa'!AG342=0,0,'Perfil - interna'!AG344+'Perfil - externa'!AG342)</f>
        <v>534205.03923342738</v>
      </c>
      <c r="AH344" s="222">
        <f>IF('Perfil - interna'!AH344+'Perfil - externa'!AH342=0,0,'Perfil - interna'!AH344+'Perfil - externa'!AH342)</f>
        <v>510187.12094184756</v>
      </c>
      <c r="AI344" s="222">
        <f>IF('Perfil - interna'!AI344+'Perfil - externa'!AI342=0,0,'Perfil - interna'!AI344+'Perfil - externa'!AI342)</f>
        <v>454369.89476840751</v>
      </c>
      <c r="AJ344" s="222">
        <f>IF('Perfil - interna'!AJ344+'Perfil - externa'!AJ342=0,0,'Perfil - interna'!AJ344+'Perfil - externa'!AJ342)</f>
        <v>408174.56069499499</v>
      </c>
      <c r="AK344" s="222">
        <f>IF('Perfil - interna'!AK344+'Perfil - externa'!AK342=0,0,'Perfil - interna'!AK344+'Perfil - externa'!AK342)</f>
        <v>398326.88649365504</v>
      </c>
      <c r="AL344" s="222">
        <f>IF('Perfil - interna'!AL344+'Perfil - externa'!AL342=0,0,'Perfil - interna'!AL344+'Perfil - externa'!AL342)</f>
        <v>391011.19276221498</v>
      </c>
      <c r="AM344" s="222">
        <f>IF('Perfil - interna'!AM344+'Perfil - externa'!AM342=0,0,'Perfil - interna'!AM344+'Perfil - externa'!AM342)</f>
        <v>385673.48284184252</v>
      </c>
      <c r="AN344" s="222">
        <f>IF('Perfil - interna'!AN344+'Perfil - externa'!AN342=0,0,'Perfil - interna'!AN344+'Perfil - externa'!AN342)</f>
        <v>120649.15724999999</v>
      </c>
      <c r="AO344" s="222"/>
      <c r="AP344" s="222"/>
      <c r="AQ344" s="222"/>
      <c r="AR344" s="222"/>
      <c r="AS344" s="222"/>
      <c r="AT344" s="222"/>
      <c r="AU344" s="222"/>
      <c r="AV344" s="222"/>
      <c r="AW344" s="222"/>
      <c r="AX344" s="222"/>
      <c r="AY344" s="222"/>
      <c r="AZ344" s="222"/>
      <c r="BA344" s="222"/>
      <c r="BB344" s="222"/>
      <c r="BC344" s="222"/>
      <c r="BD344" s="222"/>
      <c r="BE344" s="222"/>
      <c r="BF344" s="222"/>
      <c r="BG344" s="222"/>
      <c r="BH344" s="222"/>
      <c r="BI344" s="222"/>
      <c r="BJ344" s="222"/>
      <c r="BK344" s="222"/>
    </row>
    <row r="345" spans="1:63">
      <c r="A345" s="171"/>
      <c r="B345" s="318" t="str">
        <f>Servicio_internaColumna_título_total</f>
        <v>Total</v>
      </c>
      <c r="C345" s="319"/>
      <c r="D345" s="320"/>
      <c r="E345" s="320"/>
      <c r="F345" s="320">
        <f>IF('Perfil - interna'!F345+'Perfil - externa'!F343=0,0,'Perfil - interna'!F345+'Perfil - externa'!F343)</f>
        <v>0</v>
      </c>
      <c r="G345" s="320">
        <f>IF('Perfil - interna'!G345+'Perfil - externa'!G343=0,0,'Perfil - interna'!G345+'Perfil - externa'!G343)</f>
        <v>0</v>
      </c>
      <c r="H345" s="320">
        <f>IF('Perfil - interna'!H345+'Perfil - externa'!H343=0,0,'Perfil - interna'!H345+'Perfil - externa'!H343)</f>
        <v>0</v>
      </c>
      <c r="I345" s="320">
        <f>IF('Perfil - interna'!I345+'Perfil - externa'!I343=0,0,'Perfil - interna'!I345+'Perfil - externa'!I343)</f>
        <v>0</v>
      </c>
      <c r="J345" s="320">
        <f>IF('Perfil - interna'!J345+'Perfil - externa'!J343=0,0,'Perfil - interna'!J345+'Perfil - externa'!J343)</f>
        <v>0</v>
      </c>
      <c r="K345" s="320">
        <f>IF('Perfil - interna'!K345+'Perfil - externa'!K343=0,0,'Perfil - interna'!K345+'Perfil - externa'!K343)</f>
        <v>0</v>
      </c>
      <c r="L345" s="320">
        <f>IF('Perfil - interna'!L345+'Perfil - externa'!L343=0,0,'Perfil - interna'!L345+'Perfil - externa'!L343)</f>
        <v>23221160.801993202</v>
      </c>
      <c r="M345" s="320">
        <f>IF('Perfil - interna'!M345+'Perfil - externa'!M343=0,0,'Perfil - interna'!M345+'Perfil - externa'!M343)</f>
        <v>31131148.335881747</v>
      </c>
      <c r="N345" s="320">
        <f>IF('Perfil - interna'!N345+'Perfil - externa'!N343=0,0,'Perfil - interna'!N345+'Perfil - externa'!N343)</f>
        <v>30555344.154015951</v>
      </c>
      <c r="O345" s="320">
        <f>IF('Perfil - interna'!O345+'Perfil - externa'!O343=0,0,'Perfil - interna'!O345+'Perfil - externa'!O343)</f>
        <v>36382519.634548292</v>
      </c>
      <c r="P345" s="320">
        <f>IF('Perfil - interna'!P345+'Perfil - externa'!P343=0,0,'Perfil - interna'!P345+'Perfil - externa'!P343)</f>
        <v>27829813.724299837</v>
      </c>
      <c r="Q345" s="320">
        <f>IF('Perfil - interna'!Q345+'Perfil - externa'!Q343=0,0,'Perfil - interna'!Q345+'Perfil - externa'!Q343)</f>
        <v>26838631.050514743</v>
      </c>
      <c r="R345" s="320">
        <f>IF('Perfil - interna'!R345+'Perfil - externa'!R343=0,0,'Perfil - interna'!R345+'Perfil - externa'!R343)</f>
        <v>13242783.368256249</v>
      </c>
      <c r="S345" s="320">
        <f>IF('Perfil - interna'!S345+'Perfil - externa'!S343=0,0,'Perfil - interna'!S345+'Perfil - externa'!S343)</f>
        <v>11694337.886913922</v>
      </c>
      <c r="T345" s="320">
        <f>IF('Perfil - interna'!T345+'Perfil - externa'!T343=0,0,'Perfil - interna'!T345+'Perfil - externa'!T343)</f>
        <v>10367685.301107688</v>
      </c>
      <c r="U345" s="320">
        <f>IF('Perfil - interna'!U345+'Perfil - externa'!U343=0,0,'Perfil - interna'!U345+'Perfil - externa'!U343)</f>
        <v>11003915.099762248</v>
      </c>
      <c r="V345" s="320">
        <f>IF('Perfil - interna'!V345+'Perfil - externa'!V343=0,0,'Perfil - interna'!V345+'Perfil - externa'!V343)</f>
        <v>15340188.097200379</v>
      </c>
      <c r="W345" s="320">
        <f>IF('Perfil - interna'!W345+'Perfil - externa'!W343=0,0,'Perfil - interna'!W345+'Perfil - externa'!W343)</f>
        <v>5436563.0830827523</v>
      </c>
      <c r="X345" s="320">
        <f>IF('Perfil - interna'!X345+'Perfil - externa'!X343=0,0,'Perfil - interna'!X345+'Perfil - externa'!X343)</f>
        <v>3912402.815636592</v>
      </c>
      <c r="Y345" s="320">
        <f>IF('Perfil - interna'!Y345+'Perfil - externa'!Y343=0,0,'Perfil - interna'!Y345+'Perfil - externa'!Y343)</f>
        <v>10875545.355300272</v>
      </c>
      <c r="Z345" s="320">
        <f>IF('Perfil - interna'!Z345+'Perfil - externa'!Z343=0,0,'Perfil - interna'!Z345+'Perfil - externa'!Z343)</f>
        <v>15545995.365768541</v>
      </c>
      <c r="AA345" s="320">
        <f>IF('Perfil - interna'!AA345+'Perfil - externa'!AA343=0,0,'Perfil - interna'!AA345+'Perfil - externa'!AA343)</f>
        <v>1804838.1754736751</v>
      </c>
      <c r="AB345" s="320">
        <f>IF('Perfil - interna'!AB345+'Perfil - externa'!AB343=0,0,'Perfil - interna'!AB345+'Perfil - externa'!AB343)</f>
        <v>1696276.6373068723</v>
      </c>
      <c r="AC345" s="320">
        <f>IF('Perfil - interna'!AC345+'Perfil - externa'!AC343=0,0,'Perfil - interna'!AC345+'Perfil - externa'!AC343)</f>
        <v>3378752.3104881174</v>
      </c>
      <c r="AD345" s="320">
        <f>IF('Perfil - interna'!AD345+'Perfil - externa'!AD343=0,0,'Perfil - interna'!AD345+'Perfil - externa'!AD343)</f>
        <v>1279409.5556205851</v>
      </c>
      <c r="AE345" s="320">
        <f>IF('Perfil - interna'!AE345+'Perfil - externa'!AE343=0,0,'Perfil - interna'!AE345+'Perfil - externa'!AE343)</f>
        <v>1164568.1426423574</v>
      </c>
      <c r="AF345" s="320">
        <f>IF('Perfil - interna'!AF345+'Perfil - externa'!AF343=0,0,'Perfil - interna'!AF345+'Perfil - externa'!AF343)</f>
        <v>1022463.1672149026</v>
      </c>
      <c r="AG345" s="320">
        <f>IF('Perfil - interna'!AG345+'Perfil - externa'!AG343=0,0,'Perfil - interna'!AG345+'Perfil - externa'!AG343)</f>
        <v>984769.94541259226</v>
      </c>
      <c r="AH345" s="320">
        <f>IF('Perfil - interna'!AH345+'Perfil - externa'!AH343=0,0,'Perfil - interna'!AH345+'Perfil - externa'!AH343)</f>
        <v>935677.0663259076</v>
      </c>
      <c r="AI345" s="320">
        <f>IF('Perfil - interna'!AI345+'Perfil - externa'!AI343=0,0,'Perfil - interna'!AI345+'Perfil - externa'!AI343)</f>
        <v>1381663.513870985</v>
      </c>
      <c r="AJ345" s="320">
        <f>IF('Perfil - interna'!AJ345+'Perfil - externa'!AJ343=0,0,'Perfil - interna'!AJ345+'Perfil - externa'!AJ343)</f>
        <v>620995.38589884993</v>
      </c>
      <c r="AK345" s="320">
        <f>IF('Perfil - interna'!AK345+'Perfil - externa'!AK343=0,0,'Perfil - interna'!AK345+'Perfil - externa'!AK343)</f>
        <v>542908.04025989748</v>
      </c>
      <c r="AL345" s="320">
        <f>IF('Perfil - interna'!AL345+'Perfil - externa'!AL343=0,0,'Perfil - interna'!AL345+'Perfil - externa'!AL343)</f>
        <v>499939.70069203997</v>
      </c>
      <c r="AM345" s="320">
        <f>IF('Perfil - interna'!AM345+'Perfil - externa'!AM343=0,0,'Perfil - interna'!AM345+'Perfil - externa'!AM343)</f>
        <v>4000853.2992554279</v>
      </c>
      <c r="AN345" s="320">
        <f>IF('Perfil - interna'!AN345+'Perfil - externa'!AN343=0,0,'Perfil - interna'!AN345+'Perfil - externa'!AN343)</f>
        <v>124123.07874886499</v>
      </c>
      <c r="AO345" s="320"/>
      <c r="AP345" s="320"/>
      <c r="AQ345" s="320"/>
      <c r="AR345" s="320"/>
      <c r="AS345" s="320"/>
      <c r="AT345" s="320"/>
      <c r="AU345" s="320"/>
      <c r="AV345" s="320"/>
      <c r="AW345" s="320"/>
      <c r="AX345" s="320"/>
      <c r="AY345" s="320"/>
      <c r="AZ345" s="320"/>
      <c r="BA345" s="320"/>
      <c r="BB345" s="320"/>
      <c r="BC345" s="320"/>
      <c r="BD345" s="320"/>
      <c r="BE345" s="320"/>
      <c r="BF345" s="320"/>
      <c r="BG345" s="320"/>
      <c r="BH345" s="320"/>
      <c r="BI345" s="320"/>
      <c r="BJ345" s="320"/>
      <c r="BK345" s="320"/>
    </row>
    <row r="346" spans="1:63">
      <c r="A346" s="167"/>
      <c r="B346" s="217" t="str">
        <f>Servicio_internaColumna_título_amortizaciones</f>
        <v>Amortizaciones</v>
      </c>
      <c r="C346" s="218"/>
      <c r="D346" s="219"/>
      <c r="E346" s="219"/>
      <c r="F346" s="219">
        <f>IF('Perfil - interna'!F346+'Perfil - externa'!F344=0,0,'Perfil - interna'!F346+'Perfil - externa'!F344)</f>
        <v>0</v>
      </c>
      <c r="G346" s="219">
        <f>IF('Perfil - interna'!G346+'Perfil - externa'!G344=0,0,'Perfil - interna'!G346+'Perfil - externa'!G344)</f>
        <v>0</v>
      </c>
      <c r="H346" s="219">
        <f>IF('Perfil - interna'!H346+'Perfil - externa'!H344=0,0,'Perfil - interna'!H346+'Perfil - externa'!H344)</f>
        <v>0</v>
      </c>
      <c r="I346" s="219">
        <f>IF('Perfil - interna'!I346+'Perfil - externa'!I344=0,0,'Perfil - interna'!I346+'Perfil - externa'!I344)</f>
        <v>0</v>
      </c>
      <c r="J346" s="219">
        <f>IF('Perfil - interna'!J346+'Perfil - externa'!J344=0,0,'Perfil - interna'!J346+'Perfil - externa'!J344)</f>
        <v>0</v>
      </c>
      <c r="K346" s="219">
        <f>IF('Perfil - interna'!K346+'Perfil - externa'!K344=0,0,'Perfil - interna'!K346+'Perfil - externa'!K344)</f>
        <v>0</v>
      </c>
      <c r="L346" s="219">
        <f>IF('Perfil - interna'!L346+'Perfil - externa'!L344=0,0,'Perfil - interna'!L346+'Perfil - externa'!L344)</f>
        <v>14200211.99159403</v>
      </c>
      <c r="M346" s="219">
        <f>IF('Perfil - interna'!M346+'Perfil - externa'!M344=0,0,'Perfil - interna'!M346+'Perfil - externa'!M344)</f>
        <v>17279899.727181137</v>
      </c>
      <c r="N346" s="219">
        <f>IF('Perfil - interna'!N346+'Perfil - externa'!N344=0,0,'Perfil - interna'!N346+'Perfil - externa'!N344)</f>
        <v>18030664.648021519</v>
      </c>
      <c r="O346" s="219">
        <f>IF('Perfil - interna'!O346+'Perfil - externa'!O344=0,0,'Perfil - interna'!O346+'Perfil - externa'!O344)</f>
        <v>25492813.270542234</v>
      </c>
      <c r="P346" s="219">
        <f>IF('Perfil - interna'!P346+'Perfil - externa'!P344=0,0,'Perfil - interna'!P346+'Perfil - externa'!P344)</f>
        <v>18743931.204368815</v>
      </c>
      <c r="Q346" s="219">
        <f>IF('Perfil - interna'!Q346+'Perfil - externa'!Q344=0,0,'Perfil - interna'!Q346+'Perfil - externa'!Q344)</f>
        <v>19612070.700538412</v>
      </c>
      <c r="R346" s="219">
        <f>IF('Perfil - interna'!R346+'Perfil - externa'!R344=0,0,'Perfil - interna'!R346+'Perfil - externa'!R344)</f>
        <v>8135912.4428090751</v>
      </c>
      <c r="S346" s="219">
        <f>IF('Perfil - interna'!S346+'Perfil - externa'!S344=0,0,'Perfil - interna'!S346+'Perfil - externa'!S344)</f>
        <v>6682440.1001631664</v>
      </c>
      <c r="T346" s="219">
        <f>IF('Perfil - interna'!T346+'Perfil - externa'!T344=0,0,'Perfil - interna'!T346+'Perfil - externa'!T344)</f>
        <v>5379103.4834156726</v>
      </c>
      <c r="U346" s="219">
        <f>IF('Perfil - interna'!U346+'Perfil - externa'!U344=0,0,'Perfil - interna'!U346+'Perfil - externa'!U344)</f>
        <v>6647292.524183495</v>
      </c>
      <c r="V346" s="219">
        <f>IF('Perfil - interna'!V346+'Perfil - externa'!V344=0,0,'Perfil - interna'!V346+'Perfil - externa'!V344)</f>
        <v>11315290.27506943</v>
      </c>
      <c r="W346" s="219">
        <f>IF('Perfil - interna'!W346+'Perfil - externa'!W344=0,0,'Perfil - interna'!W346+'Perfil - externa'!W344)</f>
        <v>2539509.031328626</v>
      </c>
      <c r="X346" s="219">
        <f>IF('Perfil - interna'!X346+'Perfil - externa'!X344=0,0,'Perfil - interna'!X346+'Perfil - externa'!X344)</f>
        <v>1115344.9300281645</v>
      </c>
      <c r="Y346" s="219">
        <f>IF('Perfil - interna'!Y346+'Perfil - externa'!Y344=0,0,'Perfil - interna'!Y346+'Perfil - externa'!Y344)</f>
        <v>8383932.0814670175</v>
      </c>
      <c r="Z346" s="219">
        <f>IF('Perfil - interna'!Z346+'Perfil - externa'!Z344=0,0,'Perfil - interna'!Z346+'Perfil - externa'!Z344)</f>
        <v>13840224.485573715</v>
      </c>
      <c r="AA346" s="219">
        <f>IF('Perfil - interna'!AA346+'Perfil - externa'!AA344=0,0,'Perfil - interna'!AA346+'Perfil - externa'!AA344)</f>
        <v>870380.96512873424</v>
      </c>
      <c r="AB346" s="219">
        <f>IF('Perfil - interna'!AB346+'Perfil - externa'!AB344=0,0,'Perfil - interna'!AB346+'Perfil - externa'!AB344)</f>
        <v>811430.5192152143</v>
      </c>
      <c r="AC346" s="219">
        <f>IF('Perfil - interna'!AC346+'Perfil - externa'!AC344=0,0,'Perfil - interna'!AC346+'Perfil - externa'!AC344)</f>
        <v>2612881.4171270402</v>
      </c>
      <c r="AD346" s="219">
        <f>IF('Perfil - interna'!AD346+'Perfil - externa'!AD344=0,0,'Perfil - interna'!AD346+'Perfil - externa'!AD344)</f>
        <v>655859.0301401004</v>
      </c>
      <c r="AE346" s="219">
        <f>IF('Perfil - interna'!AE346+'Perfil - externa'!AE344=0,0,'Perfil - interna'!AE346+'Perfil - externa'!AE344)</f>
        <v>574626.79623670992</v>
      </c>
      <c r="AF346" s="219">
        <f>IF('Perfil - interna'!AF346+'Perfil - externa'!AF344=0,0,'Perfil - interna'!AF346+'Perfil - externa'!AF344)</f>
        <v>463251.69090467406</v>
      </c>
      <c r="AG346" s="219">
        <f>IF('Perfil - interna'!AG346+'Perfil - externa'!AG344=0,0,'Perfil - interna'!AG346+'Perfil - externa'!AG344)</f>
        <v>450996.21154811297</v>
      </c>
      <c r="AH346" s="219">
        <f>IF('Perfil - interna'!AH346+'Perfil - externa'!AH344=0,0,'Perfil - interna'!AH346+'Perfil - externa'!AH344)</f>
        <v>425869.39384684101</v>
      </c>
      <c r="AI346" s="219">
        <f>IF('Perfil - interna'!AI346+'Perfil - externa'!AI344=0,0,'Perfil - interna'!AI346+'Perfil - externa'!AI344)</f>
        <v>928131.58694859745</v>
      </c>
      <c r="AJ346" s="219">
        <f>IF('Perfil - interna'!AJ346+'Perfil - externa'!AJ344=0,0,'Perfil - interna'!AJ346+'Perfil - externa'!AJ344)</f>
        <v>213005.89241323696</v>
      </c>
      <c r="AK346" s="219">
        <f>IF('Perfil - interna'!AK346+'Perfil - externa'!AK344=0,0,'Perfil - interna'!AK346+'Perfil - externa'!AK344)</f>
        <v>144703.86209323449</v>
      </c>
      <c r="AL346" s="219">
        <f>IF('Perfil - interna'!AL346+'Perfil - externa'!AL344=0,0,'Perfil - interna'!AL346+'Perfil - externa'!AL344)</f>
        <v>109018.347229197</v>
      </c>
      <c r="AM346" s="219">
        <f>IF('Perfil - interna'!AM346+'Perfil - externa'!AM344=0,0,'Perfil - interna'!AM346+'Perfil - externa'!AM344)</f>
        <v>3618473.4501776458</v>
      </c>
      <c r="AN346" s="219">
        <f>IF('Perfil - interna'!AN346+'Perfil - externa'!AN344=0,0,'Perfil - interna'!AN346+'Perfil - externa'!AN344)</f>
        <v>3477.0960431969997</v>
      </c>
      <c r="AO346" s="219"/>
      <c r="AP346" s="219"/>
      <c r="AQ346" s="219"/>
      <c r="AR346" s="219"/>
      <c r="AS346" s="219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</row>
    <row r="347" spans="1:63">
      <c r="A347" s="170">
        <v>40359</v>
      </c>
      <c r="B347" s="220" t="str">
        <f>Servicio_internaColumna_título_intereses</f>
        <v>Intereses</v>
      </c>
      <c r="C347" s="221"/>
      <c r="D347" s="222"/>
      <c r="E347" s="222"/>
      <c r="F347" s="222">
        <f>IF('Perfil - interna'!F347+'Perfil - externa'!F345=0,0,'Perfil - interna'!F347+'Perfil - externa'!F345)</f>
        <v>0</v>
      </c>
      <c r="G347" s="222">
        <f>IF('Perfil - interna'!G347+'Perfil - externa'!G345=0,0,'Perfil - interna'!G347+'Perfil - externa'!G345)</f>
        <v>0</v>
      </c>
      <c r="H347" s="222">
        <f>IF('Perfil - interna'!H347+'Perfil - externa'!H345=0,0,'Perfil - interna'!H347+'Perfil - externa'!H345)</f>
        <v>0</v>
      </c>
      <c r="I347" s="222">
        <f>IF('Perfil - interna'!I347+'Perfil - externa'!I345=0,0,'Perfil - interna'!I347+'Perfil - externa'!I345)</f>
        <v>0</v>
      </c>
      <c r="J347" s="222">
        <f>IF('Perfil - interna'!J347+'Perfil - externa'!J345=0,0,'Perfil - interna'!J347+'Perfil - externa'!J345)</f>
        <v>0</v>
      </c>
      <c r="K347" s="222">
        <f>IF('Perfil - interna'!K347+'Perfil - externa'!K345=0,0,'Perfil - interna'!K347+'Perfil - externa'!K345)</f>
        <v>0</v>
      </c>
      <c r="L347" s="222">
        <f>IF('Perfil - interna'!L347+'Perfil - externa'!L345=0,0,'Perfil - interna'!L347+'Perfil - externa'!L345)</f>
        <v>7824714.8906616988</v>
      </c>
      <c r="M347" s="222">
        <f>IF('Perfil - interna'!M347+'Perfil - externa'!M345=0,0,'Perfil - interna'!M347+'Perfil - externa'!M345)</f>
        <v>14314569.27181075</v>
      </c>
      <c r="N347" s="222">
        <f>IF('Perfil - interna'!N347+'Perfil - externa'!N345=0,0,'Perfil - interna'!N347+'Perfil - externa'!N345)</f>
        <v>12743708.626501648</v>
      </c>
      <c r="O347" s="222">
        <f>IF('Perfil - interna'!O347+'Perfil - externa'!O345=0,0,'Perfil - interna'!O347+'Perfil - externa'!O345)</f>
        <v>11111914.988410918</v>
      </c>
      <c r="P347" s="222">
        <f>IF('Perfil - interna'!P347+'Perfil - externa'!P345=0,0,'Perfil - interna'!P347+'Perfil - externa'!P345)</f>
        <v>9270450.4213125501</v>
      </c>
      <c r="Q347" s="222">
        <f>IF('Perfil - interna'!Q347+'Perfil - externa'!Q345=0,0,'Perfil - interna'!Q347+'Perfil - externa'!Q345)</f>
        <v>7505440.3139856812</v>
      </c>
      <c r="R347" s="222">
        <f>IF('Perfil - interna'!R347+'Perfil - externa'!R345=0,0,'Perfil - interna'!R347+'Perfil - externa'!R345)</f>
        <v>5999629.2187314834</v>
      </c>
      <c r="S347" s="222">
        <f>IF('Perfil - interna'!S347+'Perfil - externa'!S345=0,0,'Perfil - interna'!S347+'Perfil - externa'!S345)</f>
        <v>5358524.5323708691</v>
      </c>
      <c r="T347" s="222">
        <f>IF('Perfil - interna'!T347+'Perfil - externa'!T345=0,0,'Perfil - interna'!T347+'Perfil - externa'!T345)</f>
        <v>5074956.6200559177</v>
      </c>
      <c r="U347" s="222">
        <f>IF('Perfil - interna'!U347+'Perfil - externa'!U345=0,0,'Perfil - interna'!U347+'Perfil - externa'!U345)</f>
        <v>4436192.0231390521</v>
      </c>
      <c r="V347" s="222">
        <f>IF('Perfil - interna'!V347+'Perfil - externa'!V345=0,0,'Perfil - interna'!V347+'Perfil - externa'!V345)</f>
        <v>4103134.9566090838</v>
      </c>
      <c r="W347" s="222">
        <f>IF('Perfil - interna'!W347+'Perfil - externa'!W345=0,0,'Perfil - interna'!W347+'Perfil - externa'!W345)</f>
        <v>3024903.5402521268</v>
      </c>
      <c r="X347" s="222">
        <f>IF('Perfil - interna'!X347+'Perfil - externa'!X345=0,0,'Perfil - interna'!X347+'Perfil - externa'!X345)</f>
        <v>2867128.1683412958</v>
      </c>
      <c r="Y347" s="222">
        <f>IF('Perfil - interna'!Y347+'Perfil - externa'!Y345=0,0,'Perfil - interna'!Y347+'Perfil - externa'!Y345)</f>
        <v>2818811.7552414653</v>
      </c>
      <c r="Z347" s="222">
        <f>IF('Perfil - interna'!Z347+'Perfil - externa'!Z345=0,0,'Perfil - interna'!Z347+'Perfil - externa'!Z345)</f>
        <v>2173233.7509005535</v>
      </c>
      <c r="AA347" s="222">
        <f>IF('Perfil - interna'!AA347+'Perfil - externa'!AA345=0,0,'Perfil - interna'!AA347+'Perfil - externa'!AA345)</f>
        <v>945379.43489546899</v>
      </c>
      <c r="AB347" s="222">
        <f>IF('Perfil - interna'!AB347+'Perfil - externa'!AB345=0,0,'Perfil - interna'!AB347+'Perfil - externa'!AB345)</f>
        <v>896105.30788181897</v>
      </c>
      <c r="AC347" s="222">
        <f>IF('Perfil - interna'!AC347+'Perfil - externa'!AC345=0,0,'Perfil - interna'!AC347+'Perfil - externa'!AC345)</f>
        <v>839087.52905919903</v>
      </c>
      <c r="AD347" s="222">
        <f>IF('Perfil - interna'!AD347+'Perfil - externa'!AD345=0,0,'Perfil - interna'!AD347+'Perfil - externa'!AD345)</f>
        <v>627588.16992310598</v>
      </c>
      <c r="AE347" s="222">
        <f>IF('Perfil - interna'!AE347+'Perfil - externa'!AE345=0,0,'Perfil - interna'!AE347+'Perfil - externa'!AE345)</f>
        <v>593594.99984584795</v>
      </c>
      <c r="AF347" s="222">
        <f>IF('Perfil - interna'!AF347+'Perfil - externa'!AF345=0,0,'Perfil - interna'!AF347+'Perfil - externa'!AF345)</f>
        <v>562297.11830565694</v>
      </c>
      <c r="AG347" s="222">
        <f>IF('Perfil - interna'!AG347+'Perfil - externa'!AG345=0,0,'Perfil - interna'!AG347+'Perfil - externa'!AG345)</f>
        <v>536605.92138918105</v>
      </c>
      <c r="AH347" s="222">
        <f>IF('Perfil - interna'!AH347+'Perfil - externa'!AH345=0,0,'Perfil - interna'!AH347+'Perfil - externa'!AH345)</f>
        <v>512153.64998234843</v>
      </c>
      <c r="AI347" s="222">
        <f>IF('Perfil - interna'!AI347+'Perfil - externa'!AI345=0,0,'Perfil - interna'!AI347+'Perfil - externa'!AI345)</f>
        <v>456121.21598723397</v>
      </c>
      <c r="AJ347" s="222">
        <f>IF('Perfil - interna'!AJ347+'Perfil - externa'!AJ345=0,0,'Perfil - interna'!AJ347+'Perfil - externa'!AJ345)</f>
        <v>409604.51429996698</v>
      </c>
      <c r="AK347" s="222">
        <f>IF('Perfil - interna'!AK347+'Perfil - externa'!AK345=0,0,'Perfil - interna'!AK347+'Perfil - externa'!AK345)</f>
        <v>399116.816457793</v>
      </c>
      <c r="AL347" s="222">
        <f>IF('Perfil - interna'!AL347+'Perfil - externa'!AL345=0,0,'Perfil - interna'!AL347+'Perfil - externa'!AL345)</f>
        <v>391373.3548048205</v>
      </c>
      <c r="AM347" s="222">
        <f>IF('Perfil - interna'!AM347+'Perfil - externa'!AM345=0,0,'Perfil - interna'!AM347+'Perfil - externa'!AM345)</f>
        <v>386025.81964422698</v>
      </c>
      <c r="AN347" s="222">
        <f>IF('Perfil - interna'!AN347+'Perfil - externa'!AN345=0,0,'Perfil - interna'!AN347+'Perfil - externa'!AN345)</f>
        <v>120759.40904999999</v>
      </c>
      <c r="AO347" s="222"/>
      <c r="AP347" s="222"/>
      <c r="AQ347" s="222"/>
      <c r="AR347" s="222"/>
      <c r="AS347" s="222"/>
      <c r="AT347" s="222"/>
      <c r="AU347" s="222"/>
      <c r="AV347" s="222"/>
      <c r="AW347" s="222"/>
      <c r="AX347" s="222"/>
      <c r="AY347" s="222"/>
      <c r="AZ347" s="222"/>
      <c r="BA347" s="222"/>
      <c r="BB347" s="222"/>
      <c r="BC347" s="222"/>
      <c r="BD347" s="222"/>
      <c r="BE347" s="222"/>
      <c r="BF347" s="222"/>
      <c r="BG347" s="222"/>
      <c r="BH347" s="222"/>
      <c r="BI347" s="222"/>
      <c r="BJ347" s="222"/>
      <c r="BK347" s="222"/>
    </row>
    <row r="348" spans="1:63">
      <c r="A348" s="171"/>
      <c r="B348" s="318" t="str">
        <f>Servicio_internaColumna_título_total</f>
        <v>Total</v>
      </c>
      <c r="C348" s="319"/>
      <c r="D348" s="320"/>
      <c r="E348" s="320"/>
      <c r="F348" s="320">
        <f>IF('Perfil - interna'!F348+'Perfil - externa'!F346=0,0,'Perfil - interna'!F348+'Perfil - externa'!F346)</f>
        <v>0</v>
      </c>
      <c r="G348" s="320">
        <f>IF('Perfil - interna'!G348+'Perfil - externa'!G346=0,0,'Perfil - interna'!G348+'Perfil - externa'!G346)</f>
        <v>0</v>
      </c>
      <c r="H348" s="320">
        <f>IF('Perfil - interna'!H348+'Perfil - externa'!H346=0,0,'Perfil - interna'!H348+'Perfil - externa'!H346)</f>
        <v>0</v>
      </c>
      <c r="I348" s="320">
        <f>IF('Perfil - interna'!I348+'Perfil - externa'!I346=0,0,'Perfil - interna'!I348+'Perfil - externa'!I346)</f>
        <v>0</v>
      </c>
      <c r="J348" s="320">
        <f>IF('Perfil - interna'!J348+'Perfil - externa'!J346=0,0,'Perfil - interna'!J348+'Perfil - externa'!J346)</f>
        <v>0</v>
      </c>
      <c r="K348" s="320">
        <f>IF('Perfil - interna'!K348+'Perfil - externa'!K346=0,0,'Perfil - interna'!K348+'Perfil - externa'!K346)</f>
        <v>0</v>
      </c>
      <c r="L348" s="320">
        <f>IF('Perfil - interna'!L348+'Perfil - externa'!L346=0,0,'Perfil - interna'!L348+'Perfil - externa'!L346)</f>
        <v>22024926.882255729</v>
      </c>
      <c r="M348" s="320">
        <f>IF('Perfil - interna'!M348+'Perfil - externa'!M346=0,0,'Perfil - interna'!M348+'Perfil - externa'!M346)</f>
        <v>31594468.998991884</v>
      </c>
      <c r="N348" s="320">
        <f>IF('Perfil - interna'!N348+'Perfil - externa'!N346=0,0,'Perfil - interna'!N348+'Perfil - externa'!N346)</f>
        <v>30774373.274523169</v>
      </c>
      <c r="O348" s="320">
        <f>IF('Perfil - interna'!O348+'Perfil - externa'!O346=0,0,'Perfil - interna'!O348+'Perfil - externa'!O346)</f>
        <v>36604728.258953154</v>
      </c>
      <c r="P348" s="320">
        <f>IF('Perfil - interna'!P348+'Perfil - externa'!P346=0,0,'Perfil - interna'!P348+'Perfil - externa'!P346)</f>
        <v>28014381.625681367</v>
      </c>
      <c r="Q348" s="320">
        <f>IF('Perfil - interna'!Q348+'Perfil - externa'!Q346=0,0,'Perfil - interna'!Q348+'Perfil - externa'!Q346)</f>
        <v>27117511.014524095</v>
      </c>
      <c r="R348" s="320">
        <f>IF('Perfil - interna'!R348+'Perfil - externa'!R346=0,0,'Perfil - interna'!R348+'Perfil - externa'!R346)</f>
        <v>14135541.661540559</v>
      </c>
      <c r="S348" s="320">
        <f>IF('Perfil - interna'!S348+'Perfil - externa'!S346=0,0,'Perfil - interna'!S348+'Perfil - externa'!S346)</f>
        <v>12040964.632534035</v>
      </c>
      <c r="T348" s="320">
        <f>IF('Perfil - interna'!T348+'Perfil - externa'!T346=0,0,'Perfil - interna'!T348+'Perfil - externa'!T346)</f>
        <v>10454060.10347159</v>
      </c>
      <c r="U348" s="320">
        <f>IF('Perfil - interna'!U348+'Perfil - externa'!U346=0,0,'Perfil - interna'!U348+'Perfil - externa'!U346)</f>
        <v>11083484.547322545</v>
      </c>
      <c r="V348" s="320">
        <f>IF('Perfil - interna'!V348+'Perfil - externa'!V346=0,0,'Perfil - interna'!V348+'Perfil - externa'!V346)</f>
        <v>15418425.231678516</v>
      </c>
      <c r="W348" s="320">
        <f>IF('Perfil - interna'!W348+'Perfil - externa'!W346=0,0,'Perfil - interna'!W348+'Perfil - externa'!W346)</f>
        <v>5564412.5715807527</v>
      </c>
      <c r="X348" s="320">
        <f>IF('Perfil - interna'!X348+'Perfil - externa'!X346=0,0,'Perfil - interna'!X348+'Perfil - externa'!X346)</f>
        <v>3982473.0983694606</v>
      </c>
      <c r="Y348" s="320">
        <f>IF('Perfil - interna'!Y348+'Perfil - externa'!Y346=0,0,'Perfil - interna'!Y348+'Perfil - externa'!Y346)</f>
        <v>11202743.836708482</v>
      </c>
      <c r="Z348" s="320">
        <f>IF('Perfil - interna'!Z348+'Perfil - externa'!Z346=0,0,'Perfil - interna'!Z348+'Perfil - externa'!Z346)</f>
        <v>16013458.236474268</v>
      </c>
      <c r="AA348" s="320">
        <f>IF('Perfil - interna'!AA348+'Perfil - externa'!AA346=0,0,'Perfil - interna'!AA348+'Perfil - externa'!AA346)</f>
        <v>1815760.4000242031</v>
      </c>
      <c r="AB348" s="320">
        <f>IF('Perfil - interna'!AB348+'Perfil - externa'!AB346=0,0,'Perfil - interna'!AB348+'Perfil - externa'!AB346)</f>
        <v>1707535.8270970332</v>
      </c>
      <c r="AC348" s="320">
        <f>IF('Perfil - interna'!AC348+'Perfil - externa'!AC346=0,0,'Perfil - interna'!AC348+'Perfil - externa'!AC346)</f>
        <v>3451968.9461862394</v>
      </c>
      <c r="AD348" s="320">
        <f>IF('Perfil - interna'!AD348+'Perfil - externa'!AD346=0,0,'Perfil - interna'!AD348+'Perfil - externa'!AD346)</f>
        <v>1283447.2000632063</v>
      </c>
      <c r="AE348" s="320">
        <f>IF('Perfil - interna'!AE348+'Perfil - externa'!AE346=0,0,'Perfil - interna'!AE348+'Perfil - externa'!AE346)</f>
        <v>1168221.7960825579</v>
      </c>
      <c r="AF348" s="320">
        <f>IF('Perfil - interna'!AF348+'Perfil - externa'!AF346=0,0,'Perfil - interna'!AF348+'Perfil - externa'!AF346)</f>
        <v>1025548.8092103309</v>
      </c>
      <c r="AG348" s="320">
        <f>IF('Perfil - interna'!AG348+'Perfil - externa'!AG346=0,0,'Perfil - interna'!AG348+'Perfil - externa'!AG346)</f>
        <v>987602.13293729397</v>
      </c>
      <c r="AH348" s="320">
        <f>IF('Perfil - interna'!AH348+'Perfil - externa'!AH346=0,0,'Perfil - interna'!AH348+'Perfil - externa'!AH346)</f>
        <v>938023.04382918938</v>
      </c>
      <c r="AI348" s="320">
        <f>IF('Perfil - interna'!AI348+'Perfil - externa'!AI346=0,0,'Perfil - interna'!AI348+'Perfil - externa'!AI346)</f>
        <v>1384252.8029358315</v>
      </c>
      <c r="AJ348" s="320">
        <f>IF('Perfil - interna'!AJ348+'Perfil - externa'!AJ346=0,0,'Perfil - interna'!AJ348+'Perfil - externa'!AJ346)</f>
        <v>622610.40671320399</v>
      </c>
      <c r="AK348" s="320">
        <f>IF('Perfil - interna'!AK348+'Perfil - externa'!AK346=0,0,'Perfil - interna'!AK348+'Perfil - externa'!AK346)</f>
        <v>543820.67855102755</v>
      </c>
      <c r="AL348" s="320">
        <f>IF('Perfil - interna'!AL348+'Perfil - externa'!AL346=0,0,'Perfil - interna'!AL348+'Perfil - externa'!AL346)</f>
        <v>500391.70203401748</v>
      </c>
      <c r="AM348" s="320">
        <f>IF('Perfil - interna'!AM348+'Perfil - externa'!AM346=0,0,'Perfil - interna'!AM348+'Perfil - externa'!AM346)</f>
        <v>4004499.2698218729</v>
      </c>
      <c r="AN348" s="320">
        <f>IF('Perfil - interna'!AN348+'Perfil - externa'!AN346=0,0,'Perfil - interna'!AN348+'Perfil - externa'!AN346)</f>
        <v>124236.50509319699</v>
      </c>
      <c r="AO348" s="320"/>
      <c r="AP348" s="320"/>
      <c r="AQ348" s="320"/>
      <c r="AR348" s="320"/>
      <c r="AS348" s="320"/>
      <c r="AT348" s="320"/>
      <c r="AU348" s="320"/>
      <c r="AV348" s="320"/>
      <c r="AW348" s="320"/>
      <c r="AX348" s="320"/>
      <c r="AY348" s="320"/>
      <c r="AZ348" s="320"/>
      <c r="BA348" s="320"/>
      <c r="BB348" s="320"/>
      <c r="BC348" s="320"/>
      <c r="BD348" s="320"/>
      <c r="BE348" s="320"/>
      <c r="BF348" s="320"/>
      <c r="BG348" s="320"/>
      <c r="BH348" s="320"/>
      <c r="BI348" s="320"/>
      <c r="BJ348" s="320"/>
      <c r="BK348" s="320"/>
    </row>
    <row r="349" spans="1:63">
      <c r="A349" s="167"/>
      <c r="B349" s="217" t="str">
        <f>Servicio_internaColumna_título_amortizaciones</f>
        <v>Amortizaciones</v>
      </c>
      <c r="C349" s="218"/>
      <c r="D349" s="219"/>
      <c r="E349" s="219"/>
      <c r="F349" s="219">
        <f>IF('Perfil - interna'!F349+'Perfil - externa'!F347=0,0,'Perfil - interna'!F349+'Perfil - externa'!F347)</f>
        <v>0</v>
      </c>
      <c r="G349" s="219">
        <f>IF('Perfil - interna'!G349+'Perfil - externa'!G347=0,0,'Perfil - interna'!G349+'Perfil - externa'!G347)</f>
        <v>0</v>
      </c>
      <c r="H349" s="219">
        <f>IF('Perfil - interna'!H349+'Perfil - externa'!H347=0,0,'Perfil - interna'!H349+'Perfil - externa'!H347)</f>
        <v>0</v>
      </c>
      <c r="I349" s="219">
        <f>IF('Perfil - interna'!I349+'Perfil - externa'!I347=0,0,'Perfil - interna'!I349+'Perfil - externa'!I347)</f>
        <v>0</v>
      </c>
      <c r="J349" s="219">
        <f>IF('Perfil - interna'!J349+'Perfil - externa'!J347=0,0,'Perfil - interna'!J349+'Perfil - externa'!J347)</f>
        <v>0</v>
      </c>
      <c r="K349" s="219">
        <f>IF('Perfil - interna'!K349+'Perfil - externa'!K347=0,0,'Perfil - interna'!K349+'Perfil - externa'!K347)</f>
        <v>0</v>
      </c>
      <c r="L349" s="219">
        <f>IF('Perfil - interna'!L349+'Perfil - externa'!L347=0,0,'Perfil - interna'!L349+'Perfil - externa'!L347)</f>
        <v>12818583.424835332</v>
      </c>
      <c r="M349" s="219">
        <f>IF('Perfil - interna'!M349+'Perfil - externa'!M347=0,0,'Perfil - interna'!M349+'Perfil - externa'!M347)</f>
        <v>16424454.836086564</v>
      </c>
      <c r="N349" s="219">
        <f>IF('Perfil - interna'!N349+'Perfil - externa'!N347=0,0,'Perfil - interna'!N349+'Perfil - externa'!N347)</f>
        <v>15070927.179789681</v>
      </c>
      <c r="O349" s="219">
        <f>IF('Perfil - interna'!O349+'Perfil - externa'!O347=0,0,'Perfil - interna'!O349+'Perfil - externa'!O347)</f>
        <v>22975351.859666198</v>
      </c>
      <c r="P349" s="219">
        <f>IF('Perfil - interna'!P349+'Perfil - externa'!P347=0,0,'Perfil - interna'!P349+'Perfil - externa'!P347)</f>
        <v>15306656.449176336</v>
      </c>
      <c r="Q349" s="219">
        <f>IF('Perfil - interna'!Q349+'Perfil - externa'!Q347=0,0,'Perfil - interna'!Q349+'Perfil - externa'!Q347)</f>
        <v>15310559.099328574</v>
      </c>
      <c r="R349" s="219">
        <f>IF('Perfil - interna'!R349+'Perfil - externa'!R347=0,0,'Perfil - interna'!R349+'Perfil - externa'!R347)</f>
        <v>7988809.8581784824</v>
      </c>
      <c r="S349" s="219">
        <f>IF('Perfil - interna'!S349+'Perfil - externa'!S347=0,0,'Perfil - interna'!S349+'Perfil - externa'!S347)</f>
        <v>2628426.001695571</v>
      </c>
      <c r="T349" s="219">
        <f>IF('Perfil - interna'!T349+'Perfil - externa'!T347=0,0,'Perfil - interna'!T349+'Perfil - externa'!T347)</f>
        <v>4525582.3690395709</v>
      </c>
      <c r="U349" s="219">
        <f>IF('Perfil - interna'!U349+'Perfil - externa'!U347=0,0,'Perfil - interna'!U349+'Perfil - externa'!U347)</f>
        <v>781781.26903957094</v>
      </c>
      <c r="V349" s="219">
        <f>IF('Perfil - interna'!V349+'Perfil - externa'!V347=0,0,'Perfil - interna'!V349+'Perfil - externa'!V347)</f>
        <v>9200706.3690395709</v>
      </c>
      <c r="W349" s="219">
        <f>IF('Perfil - interna'!W349+'Perfil - externa'!W347=0,0,'Perfil - interna'!W349+'Perfil - externa'!W347)</f>
        <v>781781.26903957094</v>
      </c>
      <c r="X349" s="219">
        <f>IF('Perfil - interna'!X349+'Perfil - externa'!X347=0,0,'Perfil - interna'!X349+'Perfil - externa'!X347)</f>
        <v>781781.26903957094</v>
      </c>
      <c r="Y349" s="219">
        <f>IF('Perfil - interna'!Y349+'Perfil - externa'!Y347=0,0,'Perfil - interna'!Y349+'Perfil - externa'!Y347)</f>
        <v>8200854.0125630861</v>
      </c>
      <c r="Z349" s="219">
        <f>IF('Perfil - interna'!Z349+'Perfil - externa'!Z347=0,0,'Perfil - interna'!Z349+'Perfil - externa'!Z347)</f>
        <v>12482882.369039571</v>
      </c>
      <c r="AA349" s="219">
        <f>IF('Perfil - interna'!AA349+'Perfil - externa'!AA347=0,0,'Perfil - interna'!AA349+'Perfil - externa'!AA347)</f>
        <v>781781.26903957094</v>
      </c>
      <c r="AB349" s="219">
        <f>IF('Perfil - interna'!AB349+'Perfil - externa'!AB347=0,0,'Perfil - interna'!AB349+'Perfil - externa'!AB347)</f>
        <v>781781.26903957094</v>
      </c>
      <c r="AC349" s="219">
        <f>IF('Perfil - interna'!AC349+'Perfil - externa'!AC347=0,0,'Perfil - interna'!AC349+'Perfil - externa'!AC347)</f>
        <v>781781.26903957094</v>
      </c>
      <c r="AD349" s="219">
        <f>IF('Perfil - interna'!AD349+'Perfil - externa'!AD347=0,0,'Perfil - interna'!AD349+'Perfil - externa'!AD347)</f>
        <v>781781.26903957094</v>
      </c>
      <c r="AE349" s="219">
        <f>IF('Perfil - interna'!AE349+'Perfil - externa'!AE347=0,0,'Perfil - interna'!AE349+'Perfil - externa'!AE347)</f>
        <v>781781.26903957094</v>
      </c>
      <c r="AF349" s="219">
        <f>IF('Perfil - interna'!AF349+'Perfil - externa'!AF347=0,0,'Perfil - interna'!AF349+'Perfil - externa'!AF347)</f>
        <v>781781.26903957094</v>
      </c>
      <c r="AG349" s="219">
        <f>IF('Perfil - interna'!AG349+'Perfil - externa'!AG347=0,0,'Perfil - interna'!AG349+'Perfil - externa'!AG347)</f>
        <v>781781.26903957094</v>
      </c>
      <c r="AH349" s="219">
        <f>IF('Perfil - interna'!AH349+'Perfil - externa'!AH347=0,0,'Perfil - interna'!AH349+'Perfil - externa'!AH347)</f>
        <v>781781.26903957094</v>
      </c>
      <c r="AI349" s="219">
        <f>IF('Perfil - interna'!AI349+'Perfil - externa'!AI347=0,0,'Perfil - interna'!AI349+'Perfil - externa'!AI347)</f>
        <v>781781.26903957094</v>
      </c>
      <c r="AJ349" s="219">
        <f>IF('Perfil - interna'!AJ349+'Perfil - externa'!AJ347=0,0,'Perfil - interna'!AJ349+'Perfil - externa'!AJ347)</f>
        <v>781781.26903957094</v>
      </c>
      <c r="AK349" s="219">
        <f>IF('Perfil - interna'!AK349+'Perfil - externa'!AK347=0,0,'Perfil - interna'!AK349+'Perfil - externa'!AK347)</f>
        <v>781781.26903957094</v>
      </c>
      <c r="AL349" s="219">
        <f>IF('Perfil - interna'!AL349+'Perfil - externa'!AL347=0,0,'Perfil - interna'!AL349+'Perfil - externa'!AL347)</f>
        <v>781781.26903957094</v>
      </c>
      <c r="AM349" s="219">
        <f>IF('Perfil - interna'!AM349+'Perfil - externa'!AM347=0,0,'Perfil - interna'!AM349+'Perfil - externa'!AM347)</f>
        <v>781781.26903957094</v>
      </c>
      <c r="AN349" s="219">
        <f>IF('Perfil - interna'!AN349+'Perfil - externa'!AN347=0,0,'Perfil - interna'!AN349+'Perfil - externa'!AN347)</f>
        <v>781781.26903957094</v>
      </c>
      <c r="AO349" s="219"/>
      <c r="AP349" s="219"/>
      <c r="AQ349" s="219"/>
      <c r="AR349" s="219"/>
      <c r="AS349" s="219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</row>
    <row r="350" spans="1:63">
      <c r="A350" s="170">
        <v>40359</v>
      </c>
      <c r="B350" s="220" t="str">
        <f>Servicio_internaColumna_título_intereses</f>
        <v>Intereses</v>
      </c>
      <c r="C350" s="221"/>
      <c r="D350" s="222"/>
      <c r="E350" s="222"/>
      <c r="F350" s="222">
        <f>IF('Perfil - interna'!F350+'Perfil - externa'!F348=0,0,'Perfil - interna'!F350+'Perfil - externa'!F348)</f>
        <v>0</v>
      </c>
      <c r="G350" s="222">
        <f>IF('Perfil - interna'!G350+'Perfil - externa'!G348=0,0,'Perfil - interna'!G350+'Perfil - externa'!G348)</f>
        <v>0</v>
      </c>
      <c r="H350" s="222">
        <f>IF('Perfil - interna'!H350+'Perfil - externa'!H348=0,0,'Perfil - interna'!H350+'Perfil - externa'!H348)</f>
        <v>0</v>
      </c>
      <c r="I350" s="222">
        <f>IF('Perfil - interna'!I350+'Perfil - externa'!I348=0,0,'Perfil - interna'!I350+'Perfil - externa'!I348)</f>
        <v>0</v>
      </c>
      <c r="J350" s="222">
        <f>IF('Perfil - interna'!J350+'Perfil - externa'!J348=0,0,'Perfil - interna'!J350+'Perfil - externa'!J348)</f>
        <v>0</v>
      </c>
      <c r="K350" s="222">
        <f>IF('Perfil - interna'!K350+'Perfil - externa'!K348=0,0,'Perfil - interna'!K350+'Perfil - externa'!K348)</f>
        <v>0</v>
      </c>
      <c r="L350" s="222">
        <f>IF('Perfil - interna'!L350+'Perfil - externa'!L348=0,0,'Perfil - interna'!L350+'Perfil - externa'!L348)</f>
        <v>5266097.9545028545</v>
      </c>
      <c r="M350" s="222">
        <f>IF('Perfil - interna'!M350+'Perfil - externa'!M348=0,0,'Perfil - interna'!M350+'Perfil - externa'!M348)</f>
        <v>11925284.604982862</v>
      </c>
      <c r="N350" s="222">
        <f>IF('Perfil - interna'!N350+'Perfil - externa'!N348=0,0,'Perfil - interna'!N350+'Perfil - externa'!N348)</f>
        <v>10563518.773012413</v>
      </c>
      <c r="O350" s="222">
        <f>IF('Perfil - interna'!O350+'Perfil - externa'!O348=0,0,'Perfil - interna'!O350+'Perfil - externa'!O348)</f>
        <v>9211434.6411771215</v>
      </c>
      <c r="P350" s="222">
        <f>IF('Perfil - interna'!P350+'Perfil - externa'!P348=0,0,'Perfil - interna'!P350+'Perfil - externa'!P348)</f>
        <v>7592747.6502997866</v>
      </c>
      <c r="Q350" s="222">
        <f>IF('Perfil - interna'!Q350+'Perfil - externa'!Q348=0,0,'Perfil - interna'!Q350+'Perfil - externa'!Q348)</f>
        <v>6109974.2778850272</v>
      </c>
      <c r="R350" s="222">
        <f>IF('Perfil - interna'!R350+'Perfil - externa'!R348=0,0,'Perfil - interna'!R350+'Perfil - externa'!R348)</f>
        <v>5036081.4490644829</v>
      </c>
      <c r="S350" s="222">
        <f>IF('Perfil - interna'!S350+'Perfil - externa'!S348=0,0,'Perfil - interna'!S350+'Perfil - externa'!S348)</f>
        <v>4535070.6095601432</v>
      </c>
      <c r="T350" s="222">
        <f>IF('Perfil - interna'!T350+'Perfil - externa'!T348=0,0,'Perfil - interna'!T350+'Perfil - externa'!T348)</f>
        <v>4452078.3837060975</v>
      </c>
      <c r="U350" s="222">
        <f>IF('Perfil - interna'!U350+'Perfil - externa'!U348=0,0,'Perfil - interna'!U350+'Perfil - externa'!U348)</f>
        <v>4044276.2035840787</v>
      </c>
      <c r="V350" s="222">
        <f>IF('Perfil - interna'!V350+'Perfil - externa'!V348=0,0,'Perfil - interna'!V350+'Perfil - externa'!V348)</f>
        <v>4058052.9105209</v>
      </c>
      <c r="W350" s="222">
        <f>IF('Perfil - interna'!W350+'Perfil - externa'!W348=0,0,'Perfil - interna'!W350+'Perfil - externa'!W348)</f>
        <v>3146161.1576658254</v>
      </c>
      <c r="X350" s="222">
        <f>IF('Perfil - interna'!X350+'Perfil - externa'!X348=0,0,'Perfil - interna'!X350+'Perfil - externa'!X348)</f>
        <v>3160776.8660550984</v>
      </c>
      <c r="Y350" s="222">
        <f>IF('Perfil - interna'!Y350+'Perfil - externa'!Y348=0,0,'Perfil - interna'!Y350+'Perfil - externa'!Y348)</f>
        <v>3175831.0456960509</v>
      </c>
      <c r="Z350" s="222">
        <f>IF('Perfil - interna'!Z350+'Perfil - externa'!Z348=0,0,'Perfil - interna'!Z350+'Perfil - externa'!Z348)</f>
        <v>2658970.8780233804</v>
      </c>
      <c r="AA350" s="222">
        <f>IF('Perfil - interna'!AA350+'Perfil - externa'!AA348=0,0,'Perfil - interna'!AA350+'Perfil - externa'!AA348)</f>
        <v>1488860.7680233808</v>
      </c>
      <c r="AB350" s="222">
        <f>IF('Perfil - interna'!AB350+'Perfil - externa'!AB348=0,0,'Perfil - interna'!AB350+'Perfil - externa'!AB348)</f>
        <v>1488860.7680233808</v>
      </c>
      <c r="AC350" s="222">
        <f>IF('Perfil - interna'!AC350+'Perfil - externa'!AC348=0,0,'Perfil - interna'!AC350+'Perfil - externa'!AC348)</f>
        <v>1488860.7680233808</v>
      </c>
      <c r="AD350" s="222">
        <f>IF('Perfil - interna'!AD350+'Perfil - externa'!AD348=0,0,'Perfil - interna'!AD350+'Perfil - externa'!AD348)</f>
        <v>1488860.7680233808</v>
      </c>
      <c r="AE350" s="222">
        <f>IF('Perfil - interna'!AE350+'Perfil - externa'!AE348=0,0,'Perfil - interna'!AE350+'Perfil - externa'!AE348)</f>
        <v>1488860.7680233808</v>
      </c>
      <c r="AF350" s="222">
        <f>IF('Perfil - interna'!AF350+'Perfil - externa'!AF348=0,0,'Perfil - interna'!AF350+'Perfil - externa'!AF348)</f>
        <v>1488860.7680233808</v>
      </c>
      <c r="AG350" s="222">
        <f>IF('Perfil - interna'!AG350+'Perfil - externa'!AG348=0,0,'Perfil - interna'!AG350+'Perfil - externa'!AG348)</f>
        <v>1488860.7680233808</v>
      </c>
      <c r="AH350" s="222">
        <f>IF('Perfil - interna'!AH350+'Perfil - externa'!AH348=0,0,'Perfil - interna'!AH350+'Perfil - externa'!AH348)</f>
        <v>1488860.7680233808</v>
      </c>
      <c r="AI350" s="222">
        <f>IF('Perfil - interna'!AI350+'Perfil - externa'!AI348=0,0,'Perfil - interna'!AI350+'Perfil - externa'!AI348)</f>
        <v>1488860.7680233808</v>
      </c>
      <c r="AJ350" s="222">
        <f>IF('Perfil - interna'!AJ350+'Perfil - externa'!AJ348=0,0,'Perfil - interna'!AJ350+'Perfil - externa'!AJ348)</f>
        <v>1488860.7680233808</v>
      </c>
      <c r="AK350" s="222">
        <f>IF('Perfil - interna'!AK350+'Perfil - externa'!AK348=0,0,'Perfil - interna'!AK350+'Perfil - externa'!AK348)</f>
        <v>1488860.7680233808</v>
      </c>
      <c r="AL350" s="222">
        <f>IF('Perfil - interna'!AL350+'Perfil - externa'!AL348=0,0,'Perfil - interna'!AL350+'Perfil - externa'!AL348)</f>
        <v>1488860.7680233808</v>
      </c>
      <c r="AM350" s="222">
        <f>IF('Perfil - interna'!AM350+'Perfil - externa'!AM348=0,0,'Perfil - interna'!AM350+'Perfil - externa'!AM348)</f>
        <v>1488860.7680233808</v>
      </c>
      <c r="AN350" s="222">
        <f>IF('Perfil - interna'!AN350+'Perfil - externa'!AN348=0,0,'Perfil - interna'!AN350+'Perfil - externa'!AN348)</f>
        <v>1488860.7680233808</v>
      </c>
      <c r="AO350" s="222"/>
      <c r="AP350" s="222"/>
      <c r="AQ350" s="222"/>
      <c r="AR350" s="222"/>
      <c r="AS350" s="222"/>
      <c r="AT350" s="222"/>
      <c r="AU350" s="222"/>
      <c r="AV350" s="222"/>
      <c r="AW350" s="222"/>
      <c r="AX350" s="222"/>
      <c r="AY350" s="222"/>
      <c r="AZ350" s="222"/>
      <c r="BA350" s="222"/>
      <c r="BB350" s="222"/>
      <c r="BC350" s="222"/>
      <c r="BD350" s="222"/>
      <c r="BE350" s="222"/>
      <c r="BF350" s="222"/>
      <c r="BG350" s="222"/>
      <c r="BH350" s="222"/>
      <c r="BI350" s="222"/>
      <c r="BJ350" s="222"/>
      <c r="BK350" s="222"/>
    </row>
    <row r="351" spans="1:63">
      <c r="A351" s="171"/>
      <c r="B351" s="318" t="str">
        <f>Servicio_internaColumna_título_total</f>
        <v>Total</v>
      </c>
      <c r="C351" s="319"/>
      <c r="D351" s="320"/>
      <c r="E351" s="320"/>
      <c r="F351" s="320">
        <f>IF('Perfil - interna'!F351+'Perfil - externa'!F349=0,0,'Perfil - interna'!F351+'Perfil - externa'!F349)</f>
        <v>0</v>
      </c>
      <c r="G351" s="320">
        <f>IF('Perfil - interna'!G351+'Perfil - externa'!G349=0,0,'Perfil - interna'!G351+'Perfil - externa'!G349)</f>
        <v>0</v>
      </c>
      <c r="H351" s="320">
        <f>IF('Perfil - interna'!H351+'Perfil - externa'!H349=0,0,'Perfil - interna'!H351+'Perfil - externa'!H349)</f>
        <v>0</v>
      </c>
      <c r="I351" s="320">
        <f>IF('Perfil - interna'!I351+'Perfil - externa'!I349=0,0,'Perfil - interna'!I351+'Perfil - externa'!I349)</f>
        <v>0</v>
      </c>
      <c r="J351" s="320">
        <f>IF('Perfil - interna'!J351+'Perfil - externa'!J349=0,0,'Perfil - interna'!J351+'Perfil - externa'!J349)</f>
        <v>0</v>
      </c>
      <c r="K351" s="320">
        <f>IF('Perfil - interna'!K351+'Perfil - externa'!K349=0,0,'Perfil - interna'!K351+'Perfil - externa'!K349)</f>
        <v>0</v>
      </c>
      <c r="L351" s="320">
        <f>IF('Perfil - interna'!L351+'Perfil - externa'!L349=0,0,'Perfil - interna'!L351+'Perfil - externa'!L349)</f>
        <v>18084681.379338186</v>
      </c>
      <c r="M351" s="320">
        <f>IF('Perfil - interna'!M351+'Perfil - externa'!M349=0,0,'Perfil - interna'!M351+'Perfil - externa'!M349)</f>
        <v>28349171.092416424</v>
      </c>
      <c r="N351" s="320">
        <f>IF('Perfil - interna'!N351+'Perfil - externa'!N349=0,0,'Perfil - interna'!N351+'Perfil - externa'!N349)</f>
        <v>25634445.952802092</v>
      </c>
      <c r="O351" s="320">
        <f>IF('Perfil - interna'!O351+'Perfil - externa'!O349=0,0,'Perfil - interna'!O351+'Perfil - externa'!O349)</f>
        <v>32186786.500843316</v>
      </c>
      <c r="P351" s="320">
        <f>IF('Perfil - interna'!P351+'Perfil - externa'!P349=0,0,'Perfil - interna'!P351+'Perfil - externa'!P349)</f>
        <v>22899404.099476121</v>
      </c>
      <c r="Q351" s="320">
        <f>IF('Perfil - interna'!Q351+'Perfil - externa'!Q349=0,0,'Perfil - interna'!Q351+'Perfil - externa'!Q349)</f>
        <v>21420533.377213597</v>
      </c>
      <c r="R351" s="320">
        <f>IF('Perfil - interna'!R351+'Perfil - externa'!R349=0,0,'Perfil - interna'!R351+'Perfil - externa'!R349)</f>
        <v>13024892.038767606</v>
      </c>
      <c r="S351" s="320">
        <f>IF('Perfil - interna'!S351+'Perfil - externa'!S349=0,0,'Perfil - interna'!S351+'Perfil - externa'!S349)</f>
        <v>7163496.6112557147</v>
      </c>
      <c r="T351" s="320">
        <f>IF('Perfil - interna'!T351+'Perfil - externa'!T349=0,0,'Perfil - interna'!T351+'Perfil - externa'!T349)</f>
        <v>8977660.7527456693</v>
      </c>
      <c r="U351" s="320">
        <f>IF('Perfil - interna'!U351+'Perfil - externa'!U349=0,0,'Perfil - interna'!U351+'Perfil - externa'!U349)</f>
        <v>4826057.47262365</v>
      </c>
      <c r="V351" s="320">
        <f>IF('Perfil - interna'!V351+'Perfil - externa'!V349=0,0,'Perfil - interna'!V351+'Perfil - externa'!V349)</f>
        <v>13258759.279560471</v>
      </c>
      <c r="W351" s="320">
        <f>IF('Perfil - interna'!W351+'Perfil - externa'!W349=0,0,'Perfil - interna'!W351+'Perfil - externa'!W349)</f>
        <v>3927942.4267053967</v>
      </c>
      <c r="X351" s="320">
        <f>IF('Perfil - interna'!X351+'Perfil - externa'!X349=0,0,'Perfil - interna'!X351+'Perfil - externa'!X349)</f>
        <v>3942558.1350946696</v>
      </c>
      <c r="Y351" s="320">
        <f>IF('Perfil - interna'!Y351+'Perfil - externa'!Y349=0,0,'Perfil - interna'!Y351+'Perfil - externa'!Y349)</f>
        <v>11376685.058259137</v>
      </c>
      <c r="Z351" s="320">
        <f>IF('Perfil - interna'!Z351+'Perfil - externa'!Z349=0,0,'Perfil - interna'!Z351+'Perfil - externa'!Z349)</f>
        <v>15141853.247062951</v>
      </c>
      <c r="AA351" s="320">
        <f>IF('Perfil - interna'!AA351+'Perfil - externa'!AA349=0,0,'Perfil - interna'!AA351+'Perfil - externa'!AA349)</f>
        <v>2270642.0370629518</v>
      </c>
      <c r="AB351" s="320">
        <f>IF('Perfil - interna'!AB351+'Perfil - externa'!AB349=0,0,'Perfil - interna'!AB351+'Perfil - externa'!AB349)</f>
        <v>2270642.0370629518</v>
      </c>
      <c r="AC351" s="320">
        <f>IF('Perfil - interna'!AC351+'Perfil - externa'!AC349=0,0,'Perfil - interna'!AC351+'Perfil - externa'!AC349)</f>
        <v>2270642.0370629518</v>
      </c>
      <c r="AD351" s="320">
        <f>IF('Perfil - interna'!AD351+'Perfil - externa'!AD349=0,0,'Perfil - interna'!AD351+'Perfil - externa'!AD349)</f>
        <v>2270642.0370629518</v>
      </c>
      <c r="AE351" s="320">
        <f>IF('Perfil - interna'!AE351+'Perfil - externa'!AE349=0,0,'Perfil - interna'!AE351+'Perfil - externa'!AE349)</f>
        <v>2270642.0370629518</v>
      </c>
      <c r="AF351" s="320">
        <f>IF('Perfil - interna'!AF351+'Perfil - externa'!AF349=0,0,'Perfil - interna'!AF351+'Perfil - externa'!AF349)</f>
        <v>2270642.0370629518</v>
      </c>
      <c r="AG351" s="320">
        <f>IF('Perfil - interna'!AG351+'Perfil - externa'!AG349=0,0,'Perfil - interna'!AG351+'Perfil - externa'!AG349)</f>
        <v>2270642.0370629518</v>
      </c>
      <c r="AH351" s="320">
        <f>IF('Perfil - interna'!AH351+'Perfil - externa'!AH349=0,0,'Perfil - interna'!AH351+'Perfil - externa'!AH349)</f>
        <v>2270642.0370629518</v>
      </c>
      <c r="AI351" s="320">
        <f>IF('Perfil - interna'!AI351+'Perfil - externa'!AI349=0,0,'Perfil - interna'!AI351+'Perfil - externa'!AI349)</f>
        <v>2270642.0370629518</v>
      </c>
      <c r="AJ351" s="320">
        <f>IF('Perfil - interna'!AJ351+'Perfil - externa'!AJ349=0,0,'Perfil - interna'!AJ351+'Perfil - externa'!AJ349)</f>
        <v>2270642.0370629518</v>
      </c>
      <c r="AK351" s="320">
        <f>IF('Perfil - interna'!AK351+'Perfil - externa'!AK349=0,0,'Perfil - interna'!AK351+'Perfil - externa'!AK349)</f>
        <v>2270642.0370629518</v>
      </c>
      <c r="AL351" s="320">
        <f>IF('Perfil - interna'!AL351+'Perfil - externa'!AL349=0,0,'Perfil - interna'!AL351+'Perfil - externa'!AL349)</f>
        <v>2270642.0370629518</v>
      </c>
      <c r="AM351" s="320">
        <f>IF('Perfil - interna'!AM351+'Perfil - externa'!AM349=0,0,'Perfil - interna'!AM351+'Perfil - externa'!AM349)</f>
        <v>2270642.0370629518</v>
      </c>
      <c r="AN351" s="320">
        <f>IF('Perfil - interna'!AN351+'Perfil - externa'!AN349=0,0,'Perfil - interna'!AN351+'Perfil - externa'!AN349)</f>
        <v>2270642.0370629518</v>
      </c>
      <c r="AO351" s="320"/>
      <c r="AP351" s="320"/>
      <c r="AQ351" s="320"/>
      <c r="AR351" s="320"/>
      <c r="AS351" s="320"/>
      <c r="AT351" s="320"/>
      <c r="AU351" s="320"/>
      <c r="AV351" s="320"/>
      <c r="AW351" s="320"/>
      <c r="AX351" s="320"/>
      <c r="AY351" s="320"/>
      <c r="AZ351" s="320"/>
      <c r="BA351" s="320"/>
      <c r="BB351" s="320"/>
      <c r="BC351" s="320"/>
      <c r="BD351" s="320"/>
      <c r="BE351" s="320"/>
      <c r="BF351" s="320"/>
      <c r="BG351" s="320"/>
      <c r="BH351" s="320"/>
      <c r="BI351" s="320"/>
      <c r="BJ351" s="320"/>
      <c r="BK351" s="320"/>
    </row>
    <row r="352" spans="1:63">
      <c r="A352" s="167"/>
      <c r="B352" s="217" t="str">
        <f>Servicio_internaColumna_título_amortizaciones</f>
        <v>Amortizaciones</v>
      </c>
      <c r="C352" s="218"/>
      <c r="D352" s="219"/>
      <c r="E352" s="219"/>
      <c r="F352" s="219">
        <f>IF('Perfil - interna'!F352+'Perfil - externa'!F350=0,0,'Perfil - interna'!F352+'Perfil - externa'!F350)</f>
        <v>0</v>
      </c>
      <c r="G352" s="219">
        <f>IF('Perfil - interna'!G352+'Perfil - externa'!G350=0,0,'Perfil - interna'!G352+'Perfil - externa'!G350)</f>
        <v>0</v>
      </c>
      <c r="H352" s="219">
        <f>IF('Perfil - interna'!H352+'Perfil - externa'!H350=0,0,'Perfil - interna'!H352+'Perfil - externa'!H350)</f>
        <v>0</v>
      </c>
      <c r="I352" s="219">
        <f>IF('Perfil - interna'!I352+'Perfil - externa'!I350=0,0,'Perfil - interna'!I352+'Perfil - externa'!I350)</f>
        <v>0</v>
      </c>
      <c r="J352" s="219">
        <f>IF('Perfil - interna'!J352+'Perfil - externa'!J350=0,0,'Perfil - interna'!J352+'Perfil - externa'!J350)</f>
        <v>0</v>
      </c>
      <c r="K352" s="219">
        <f>IF('Perfil - interna'!K352+'Perfil - externa'!K350=0,0,'Perfil - interna'!K352+'Perfil - externa'!K350)</f>
        <v>0</v>
      </c>
      <c r="L352" s="219">
        <f>IF('Perfil - interna'!L352+'Perfil - externa'!L350=0,0,'Perfil - interna'!L352+'Perfil - externa'!L350)</f>
        <v>12256641.044453839</v>
      </c>
      <c r="M352" s="219">
        <f>IF('Perfil - interna'!M352+'Perfil - externa'!M350=0,0,'Perfil - interna'!M352+'Perfil - externa'!M350)</f>
        <v>18123207.790290777</v>
      </c>
      <c r="N352" s="219">
        <f>IF('Perfil - interna'!N352+'Perfil - externa'!N350=0,0,'Perfil - interna'!N352+'Perfil - externa'!N350)</f>
        <v>17792909.816818453</v>
      </c>
      <c r="O352" s="219">
        <f>IF('Perfil - interna'!O352+'Perfil - externa'!O350=0,0,'Perfil - interna'!O352+'Perfil - externa'!O350)</f>
        <v>25296353.652915284</v>
      </c>
      <c r="P352" s="219">
        <f>IF('Perfil - interna'!P352+'Perfil - externa'!P350=0,0,'Perfil - interna'!P352+'Perfil - externa'!P350)</f>
        <v>18473273.853293695</v>
      </c>
      <c r="Q352" s="219">
        <f>IF('Perfil - interna'!Q352+'Perfil - externa'!Q350=0,0,'Perfil - interna'!Q352+'Perfil - externa'!Q350)</f>
        <v>19344552.991329223</v>
      </c>
      <c r="R352" s="219">
        <f>IF('Perfil - interna'!R352+'Perfil - externa'!R350=0,0,'Perfil - interna'!R352+'Perfil - externa'!R350)</f>
        <v>10720672.818105141</v>
      </c>
      <c r="S352" s="219">
        <f>IF('Perfil - interna'!S352+'Perfil - externa'!S350=0,0,'Perfil - interna'!S352+'Perfil - externa'!S350)</f>
        <v>6793061.473929584</v>
      </c>
      <c r="T352" s="219">
        <f>IF('Perfil - interna'!T352+'Perfil - externa'!T350=0,0,'Perfil - interna'!T352+'Perfil - externa'!T350)</f>
        <v>5290403.9572589677</v>
      </c>
      <c r="U352" s="219">
        <f>IF('Perfil - interna'!U352+'Perfil - externa'!U350=0,0,'Perfil - interna'!U352+'Perfil - externa'!U350)</f>
        <v>6201025.158773208</v>
      </c>
      <c r="V352" s="219">
        <f>IF('Perfil - interna'!V352+'Perfil - externa'!V350=0,0,'Perfil - interna'!V352+'Perfil - externa'!V350)</f>
        <v>11130381.305733159</v>
      </c>
      <c r="W352" s="219">
        <f>IF('Perfil - interna'!W352+'Perfil - externa'!W350=0,0,'Perfil - interna'!W352+'Perfil - externa'!W350)</f>
        <v>3182437.1708381986</v>
      </c>
      <c r="X352" s="219">
        <f>IF('Perfil - interna'!X352+'Perfil - externa'!X350=0,0,'Perfil - interna'!X352+'Perfil - externa'!X350)</f>
        <v>1062627.1965961508</v>
      </c>
      <c r="Y352" s="219">
        <f>IF('Perfil - interna'!Y352+'Perfil - externa'!Y350=0,0,'Perfil - interna'!Y352+'Perfil - externa'!Y350)</f>
        <v>8712372.6227453407</v>
      </c>
      <c r="Z352" s="219">
        <f>IF('Perfil - interna'!Z352+'Perfil - externa'!Z350=0,0,'Perfil - interna'!Z352+'Perfil - externa'!Z350)</f>
        <v>15268710.396919509</v>
      </c>
      <c r="AA352" s="219">
        <f>IF('Perfil - interna'!AA352+'Perfil - externa'!AA350=0,0,'Perfil - interna'!AA352+'Perfil - externa'!AA350)</f>
        <v>807275.18871107919</v>
      </c>
      <c r="AB352" s="219">
        <f>IF('Perfil - interna'!AB352+'Perfil - externa'!AB350=0,0,'Perfil - interna'!AB352+'Perfil - externa'!AB350)</f>
        <v>752744.34433466324</v>
      </c>
      <c r="AC352" s="219">
        <f>IF('Perfil - interna'!AC352+'Perfil - externa'!AC350=0,0,'Perfil - interna'!AC352+'Perfil - externa'!AC350)</f>
        <v>2467766.9484358076</v>
      </c>
      <c r="AD352" s="219">
        <f>IF('Perfil - interna'!AD352+'Perfil - externa'!AD350=0,0,'Perfil - interna'!AD352+'Perfil - externa'!AD350)</f>
        <v>654369.76096644171</v>
      </c>
      <c r="AE352" s="219">
        <f>IF('Perfil - interna'!AE352+'Perfil - externa'!AE350=0,0,'Perfil - interna'!AE352+'Perfil - externa'!AE350)</f>
        <v>533634.12698101439</v>
      </c>
      <c r="AF352" s="219">
        <f>IF('Perfil - interna'!AF352+'Perfil - externa'!AF350=0,0,'Perfil - interna'!AF352+'Perfil - externa'!AF350)</f>
        <v>430608.97692230559</v>
      </c>
      <c r="AG352" s="219">
        <f>IF('Perfil - interna'!AG352+'Perfil - externa'!AG350=0,0,'Perfil - interna'!AG352+'Perfil - externa'!AG350)</f>
        <v>419272.30885822675</v>
      </c>
      <c r="AH352" s="219">
        <f>IF('Perfil - interna'!AH352+'Perfil - externa'!AH350=0,0,'Perfil - interna'!AH352+'Perfil - externa'!AH350)</f>
        <v>396029.33560199995</v>
      </c>
      <c r="AI352" s="219">
        <f>IF('Perfil - interna'!AI352+'Perfil - externa'!AI350=0,0,'Perfil - interna'!AI352+'Perfil - externa'!AI350)</f>
        <v>860636.24419605103</v>
      </c>
      <c r="AJ352" s="219">
        <f>IF('Perfil - interna'!AJ352+'Perfil - externa'!AJ350=0,0,'Perfil - interna'!AJ352+'Perfil - externa'!AJ350)</f>
        <v>199124.57360594757</v>
      </c>
      <c r="AK352" s="219">
        <f>IF('Perfil - interna'!AK352+'Perfil - externa'!AK350=0,0,'Perfil - interna'!AK352+'Perfil - externa'!AK350)</f>
        <v>135943.2466989714</v>
      </c>
      <c r="AL352" s="219">
        <f>IF('Perfil - interna'!AL352+'Perfil - externa'!AL350=0,0,'Perfil - interna'!AL352+'Perfil - externa'!AL350)</f>
        <v>100859.19137547519</v>
      </c>
      <c r="AM352" s="219">
        <f>IF('Perfil - interna'!AM352+'Perfil - externa'!AM350=0,0,'Perfil - interna'!AM352+'Perfil - externa'!AM350)</f>
        <v>3347203.790978143</v>
      </c>
      <c r="AN352" s="219">
        <f>IF('Perfil - interna'!AN352+'Perfil - externa'!AN350=0,0,'Perfil - interna'!AN352+'Perfil - externa'!AN350)</f>
        <v>3216.4130444676002</v>
      </c>
      <c r="AO352" s="219"/>
      <c r="AP352" s="219"/>
      <c r="AQ352" s="219"/>
      <c r="AR352" s="219"/>
      <c r="AS352" s="219"/>
      <c r="AT352" s="219"/>
      <c r="AU352" s="219"/>
      <c r="AV352" s="219"/>
      <c r="AW352" s="219"/>
      <c r="AX352" s="219"/>
      <c r="AY352" s="219"/>
      <c r="AZ352" s="219"/>
      <c r="BA352" s="219"/>
      <c r="BB352" s="219"/>
      <c r="BC352" s="219"/>
      <c r="BD352" s="219"/>
      <c r="BE352" s="219"/>
      <c r="BF352" s="219"/>
      <c r="BG352" s="219"/>
      <c r="BH352" s="219"/>
      <c r="BI352" s="219"/>
      <c r="BJ352" s="219"/>
      <c r="BK352" s="219"/>
    </row>
    <row r="353" spans="1:63">
      <c r="A353" s="170">
        <v>40391</v>
      </c>
      <c r="B353" s="220" t="str">
        <f>Servicio_internaColumna_título_intereses</f>
        <v>Intereses</v>
      </c>
      <c r="C353" s="221"/>
      <c r="D353" s="222"/>
      <c r="E353" s="222"/>
      <c r="F353" s="222">
        <f>IF('Perfil - interna'!F353+'Perfil - externa'!F351=0,0,'Perfil - interna'!F353+'Perfil - externa'!F351)</f>
        <v>0</v>
      </c>
      <c r="G353" s="222">
        <f>IF('Perfil - interna'!G353+'Perfil - externa'!G351=0,0,'Perfil - interna'!G353+'Perfil - externa'!G351)</f>
        <v>0</v>
      </c>
      <c r="H353" s="222">
        <f>IF('Perfil - interna'!H353+'Perfil - externa'!H351=0,0,'Perfil - interna'!H353+'Perfil - externa'!H351)</f>
        <v>0</v>
      </c>
      <c r="I353" s="222">
        <f>IF('Perfil - interna'!I353+'Perfil - externa'!I351=0,0,'Perfil - interna'!I353+'Perfil - externa'!I351)</f>
        <v>0</v>
      </c>
      <c r="J353" s="222">
        <f>IF('Perfil - interna'!J353+'Perfil - externa'!J351=0,0,'Perfil - interna'!J353+'Perfil - externa'!J351)</f>
        <v>0</v>
      </c>
      <c r="K353" s="222">
        <f>IF('Perfil - interna'!K353+'Perfil - externa'!K351=0,0,'Perfil - interna'!K353+'Perfil - externa'!K351)</f>
        <v>0</v>
      </c>
      <c r="L353" s="222">
        <f>IF('Perfil - interna'!L353+'Perfil - externa'!L351=0,0,'Perfil - interna'!L353+'Perfil - externa'!L351)</f>
        <v>4214871.8465252891</v>
      </c>
      <c r="M353" s="222">
        <f>IF('Perfil - interna'!M353+'Perfil - externa'!M351=0,0,'Perfil - interna'!M353+'Perfil - externa'!M351)</f>
        <v>14543569.696851669</v>
      </c>
      <c r="N353" s="222">
        <f>IF('Perfil - interna'!N353+'Perfil - externa'!N351=0,0,'Perfil - interna'!N353+'Perfil - externa'!N351)</f>
        <v>12985998.860835977</v>
      </c>
      <c r="O353" s="222">
        <f>IF('Perfil - interna'!O353+'Perfil - externa'!O351=0,0,'Perfil - interna'!O353+'Perfil - externa'!O351)</f>
        <v>11362948.848446194</v>
      </c>
      <c r="P353" s="222">
        <f>IF('Perfil - interna'!P353+'Perfil - externa'!P351=0,0,'Perfil - interna'!P353+'Perfil - externa'!P351)</f>
        <v>9526188.777671013</v>
      </c>
      <c r="Q353" s="222">
        <f>IF('Perfil - interna'!Q353+'Perfil - externa'!Q351=0,0,'Perfil - interna'!Q353+'Perfil - externa'!Q351)</f>
        <v>7780419.3595254552</v>
      </c>
      <c r="R353" s="222">
        <f>IF('Perfil - interna'!R353+'Perfil - externa'!R351=0,0,'Perfil - interna'!R353+'Perfil - externa'!R351)</f>
        <v>6297799.7985565271</v>
      </c>
      <c r="S353" s="222">
        <f>IF('Perfil - interna'!S353+'Perfil - externa'!S351=0,0,'Perfil - interna'!S353+'Perfil - externa'!S351)</f>
        <v>5475834.3727273848</v>
      </c>
      <c r="T353" s="222">
        <f>IF('Perfil - interna'!T353+'Perfil - externa'!T351=0,0,'Perfil - interna'!T353+'Perfil - externa'!T351)</f>
        <v>5182524.1268715765</v>
      </c>
      <c r="U353" s="222">
        <f>IF('Perfil - interna'!U353+'Perfil - externa'!U351=0,0,'Perfil - interna'!U353+'Perfil - externa'!U351)</f>
        <v>4559287.1850324096</v>
      </c>
      <c r="V353" s="222">
        <f>IF('Perfil - interna'!V353+'Perfil - externa'!V351=0,0,'Perfil - interna'!V353+'Perfil - externa'!V351)</f>
        <v>4249900.6917008292</v>
      </c>
      <c r="W353" s="222">
        <f>IF('Perfil - interna'!W353+'Perfil - externa'!W351=0,0,'Perfil - interna'!W353+'Perfil - externa'!W351)</f>
        <v>3182447.5463049905</v>
      </c>
      <c r="X353" s="222">
        <f>IF('Perfil - interna'!X353+'Perfil - externa'!X351=0,0,'Perfil - interna'!X353+'Perfil - externa'!X351)</f>
        <v>2973781.0669074552</v>
      </c>
      <c r="Y353" s="222">
        <f>IF('Perfil - interna'!Y353+'Perfil - externa'!Y351=0,0,'Perfil - interna'!Y353+'Perfil - externa'!Y351)</f>
        <v>2929150.9434810355</v>
      </c>
      <c r="Z353" s="222">
        <f>IF('Perfil - interna'!Z353+'Perfil - externa'!Z351=0,0,'Perfil - interna'!Z353+'Perfil - externa'!Z351)</f>
        <v>2266067.491593339</v>
      </c>
      <c r="AA353" s="222">
        <f>IF('Perfil - interna'!AA353+'Perfil - externa'!AA351=0,0,'Perfil - interna'!AA353+'Perfil - externa'!AA351)</f>
        <v>883702.38372314116</v>
      </c>
      <c r="AB353" s="222">
        <f>IF('Perfil - interna'!AB353+'Perfil - externa'!AB351=0,0,'Perfil - interna'!AB353+'Perfil - externa'!AB351)</f>
        <v>837965.1059886961</v>
      </c>
      <c r="AC353" s="222">
        <f>IF('Perfil - interna'!AC353+'Perfil - externa'!AC351=0,0,'Perfil - interna'!AC353+'Perfil - externa'!AC351)</f>
        <v>785062.54581583571</v>
      </c>
      <c r="AD353" s="222">
        <f>IF('Perfil - interna'!AD353+'Perfil - externa'!AD351=0,0,'Perfil - interna'!AD353+'Perfil - externa'!AD351)</f>
        <v>583026.44805703778</v>
      </c>
      <c r="AE353" s="222">
        <f>IF('Perfil - interna'!AE353+'Perfil - externa'!AE351=0,0,'Perfil - interna'!AE353+'Perfil - externa'!AE351)</f>
        <v>549975.39839991322</v>
      </c>
      <c r="AF353" s="222">
        <f>IF('Perfil - interna'!AF353+'Perfil - externa'!AF351=0,0,'Perfil - interna'!AF353+'Perfil - externa'!AF351)</f>
        <v>520893.25454682193</v>
      </c>
      <c r="AG353" s="222">
        <f>IF('Perfil - interna'!AG353+'Perfil - externa'!AG351=0,0,'Perfil - interna'!AG353+'Perfil - externa'!AG351)</f>
        <v>496997.45393415279</v>
      </c>
      <c r="AH353" s="222">
        <f>IF('Perfil - interna'!AH353+'Perfil - externa'!AH351=0,0,'Perfil - interna'!AH353+'Perfil - externa'!AH351)</f>
        <v>474248.94579643122</v>
      </c>
      <c r="AI353" s="222">
        <f>IF('Perfil - interna'!AI353+'Perfil - externa'!AI351=0,0,'Perfil - interna'!AI353+'Perfil - externa'!AI351)</f>
        <v>422285.38268006418</v>
      </c>
      <c r="AJ353" s="222">
        <f>IF('Perfil - interna'!AJ353+'Perfil - externa'!AJ351=0,0,'Perfil - interna'!AJ353+'Perfil - externa'!AJ351)</f>
        <v>379051.43417285744</v>
      </c>
      <c r="AK353" s="222">
        <f>IF('Perfil - interna'!AK353+'Perfil - externa'!AK351=0,0,'Perfil - interna'!AK353+'Perfil - externa'!AK351)</f>
        <v>369262.90095156222</v>
      </c>
      <c r="AL353" s="222">
        <f>IF('Perfil - interna'!AL353+'Perfil - externa'!AL351=0,0,'Perfil - interna'!AL353+'Perfil - externa'!AL351)</f>
        <v>362031.96752062679</v>
      </c>
      <c r="AM353" s="222">
        <f>IF('Perfil - interna'!AM353+'Perfil - externa'!AM351=0,0,'Perfil - interna'!AM353+'Perfil - externa'!AM351)</f>
        <v>357085.02292781259</v>
      </c>
      <c r="AN353" s="222">
        <f>IF('Perfil - interna'!AN353+'Perfil - externa'!AN351=0,0,'Perfil - interna'!AN353+'Perfil - externa'!AN351)</f>
        <v>111705.89873999999</v>
      </c>
      <c r="AO353" s="222"/>
      <c r="AP353" s="222"/>
      <c r="AQ353" s="222"/>
      <c r="AR353" s="222"/>
      <c r="AS353" s="222"/>
      <c r="AT353" s="222"/>
      <c r="AU353" s="222"/>
      <c r="AV353" s="222"/>
      <c r="AW353" s="222"/>
      <c r="AX353" s="222"/>
      <c r="AY353" s="222"/>
      <c r="AZ353" s="222"/>
      <c r="BA353" s="222"/>
      <c r="BB353" s="222"/>
      <c r="BC353" s="222"/>
      <c r="BD353" s="222"/>
      <c r="BE353" s="222"/>
      <c r="BF353" s="222"/>
      <c r="BG353" s="222"/>
      <c r="BH353" s="222"/>
      <c r="BI353" s="222"/>
      <c r="BJ353" s="222"/>
      <c r="BK353" s="222"/>
    </row>
    <row r="354" spans="1:63">
      <c r="A354" s="171"/>
      <c r="B354" s="318" t="str">
        <f>Servicio_internaColumna_título_total</f>
        <v>Total</v>
      </c>
      <c r="C354" s="319"/>
      <c r="D354" s="320"/>
      <c r="E354" s="320"/>
      <c r="F354" s="320">
        <f>IF('Perfil - interna'!F354+'Perfil - externa'!F352=0,0,'Perfil - interna'!F354+'Perfil - externa'!F352)</f>
        <v>0</v>
      </c>
      <c r="G354" s="320">
        <f>IF('Perfil - interna'!G354+'Perfil - externa'!G352=0,0,'Perfil - interna'!G354+'Perfil - externa'!G352)</f>
        <v>0</v>
      </c>
      <c r="H354" s="320">
        <f>IF('Perfil - interna'!H354+'Perfil - externa'!H352=0,0,'Perfil - interna'!H354+'Perfil - externa'!H352)</f>
        <v>0</v>
      </c>
      <c r="I354" s="320">
        <f>IF('Perfil - interna'!I354+'Perfil - externa'!I352=0,0,'Perfil - interna'!I354+'Perfil - externa'!I352)</f>
        <v>0</v>
      </c>
      <c r="J354" s="320">
        <f>IF('Perfil - interna'!J354+'Perfil - externa'!J352=0,0,'Perfil - interna'!J354+'Perfil - externa'!J352)</f>
        <v>0</v>
      </c>
      <c r="K354" s="320">
        <f>IF('Perfil - interna'!K354+'Perfil - externa'!K352=0,0,'Perfil - interna'!K354+'Perfil - externa'!K352)</f>
        <v>0</v>
      </c>
      <c r="L354" s="320">
        <f>IF('Perfil - interna'!L354+'Perfil - externa'!L352=0,0,'Perfil - interna'!L354+'Perfil - externa'!L352)</f>
        <v>16471512.890979128</v>
      </c>
      <c r="M354" s="320">
        <f>IF('Perfil - interna'!M354+'Perfil - externa'!M352=0,0,'Perfil - interna'!M354+'Perfil - externa'!M352)</f>
        <v>32666777.487142444</v>
      </c>
      <c r="N354" s="320">
        <f>IF('Perfil - interna'!N354+'Perfil - externa'!N352=0,0,'Perfil - interna'!N354+'Perfil - externa'!N352)</f>
        <v>30778908.67765443</v>
      </c>
      <c r="O354" s="320">
        <f>IF('Perfil - interna'!O354+'Perfil - externa'!O352=0,0,'Perfil - interna'!O354+'Perfil - externa'!O352)</f>
        <v>36659302.501361474</v>
      </c>
      <c r="P354" s="320">
        <f>IF('Perfil - interna'!P354+'Perfil - externa'!P352=0,0,'Perfil - interna'!P354+'Perfil - externa'!P352)</f>
        <v>27999462.630964704</v>
      </c>
      <c r="Q354" s="320">
        <f>IF('Perfil - interna'!Q354+'Perfil - externa'!Q352=0,0,'Perfil - interna'!Q354+'Perfil - externa'!Q352)</f>
        <v>27124972.35085468</v>
      </c>
      <c r="R354" s="320">
        <f>IF('Perfil - interna'!R354+'Perfil - externa'!R352=0,0,'Perfil - interna'!R354+'Perfil - externa'!R352)</f>
        <v>17018472.616661668</v>
      </c>
      <c r="S354" s="320">
        <f>IF('Perfil - interna'!S354+'Perfil - externa'!S352=0,0,'Perfil - interna'!S354+'Perfil - externa'!S352)</f>
        <v>12268895.846656967</v>
      </c>
      <c r="T354" s="320">
        <f>IF('Perfil - interna'!T354+'Perfil - externa'!T352=0,0,'Perfil - interna'!T354+'Perfil - externa'!T352)</f>
        <v>10472928.084130544</v>
      </c>
      <c r="U354" s="320">
        <f>IF('Perfil - interna'!U354+'Perfil - externa'!U352=0,0,'Perfil - interna'!U354+'Perfil - externa'!U352)</f>
        <v>10760312.343805619</v>
      </c>
      <c r="V354" s="320">
        <f>IF('Perfil - interna'!V354+'Perfil - externa'!V352=0,0,'Perfil - interna'!V354+'Perfil - externa'!V352)</f>
        <v>15380281.997433988</v>
      </c>
      <c r="W354" s="320">
        <f>IF('Perfil - interna'!W354+'Perfil - externa'!W352=0,0,'Perfil - interna'!W354+'Perfil - externa'!W352)</f>
        <v>6364884.7171431882</v>
      </c>
      <c r="X354" s="320">
        <f>IF('Perfil - interna'!X354+'Perfil - externa'!X352=0,0,'Perfil - interna'!X354+'Perfil - externa'!X352)</f>
        <v>4036408.2635036064</v>
      </c>
      <c r="Y354" s="320">
        <f>IF('Perfil - interna'!Y354+'Perfil - externa'!Y352=0,0,'Perfil - interna'!Y354+'Perfil - externa'!Y352)</f>
        <v>11641523.566226376</v>
      </c>
      <c r="Z354" s="320">
        <f>IF('Perfil - interna'!Z354+'Perfil - externa'!Z352=0,0,'Perfil - interna'!Z354+'Perfil - externa'!Z352)</f>
        <v>17534777.88851285</v>
      </c>
      <c r="AA354" s="320">
        <f>IF('Perfil - interna'!AA354+'Perfil - externa'!AA352=0,0,'Perfil - interna'!AA354+'Perfil - externa'!AA352)</f>
        <v>1690977.5724342205</v>
      </c>
      <c r="AB354" s="320">
        <f>IF('Perfil - interna'!AB354+'Perfil - externa'!AB352=0,0,'Perfil - interna'!AB354+'Perfil - externa'!AB352)</f>
        <v>1590709.4503233593</v>
      </c>
      <c r="AC354" s="320">
        <f>IF('Perfil - interna'!AC354+'Perfil - externa'!AC352=0,0,'Perfil - interna'!AC354+'Perfil - externa'!AC352)</f>
        <v>3252829.4942516433</v>
      </c>
      <c r="AD354" s="320">
        <f>IF('Perfil - interna'!AD354+'Perfil - externa'!AD352=0,0,'Perfil - interna'!AD354+'Perfil - externa'!AD352)</f>
        <v>1237396.2090234794</v>
      </c>
      <c r="AE354" s="320">
        <f>IF('Perfil - interna'!AE354+'Perfil - externa'!AE352=0,0,'Perfil - interna'!AE354+'Perfil - externa'!AE352)</f>
        <v>1083609.5253809276</v>
      </c>
      <c r="AF354" s="320">
        <f>IF('Perfil - interna'!AF354+'Perfil - externa'!AF352=0,0,'Perfil - interna'!AF354+'Perfil - externa'!AF352)</f>
        <v>951502.23146912758</v>
      </c>
      <c r="AG354" s="320">
        <f>IF('Perfil - interna'!AG354+'Perfil - externa'!AG352=0,0,'Perfil - interna'!AG354+'Perfil - externa'!AG352)</f>
        <v>916269.7627923796</v>
      </c>
      <c r="AH354" s="320">
        <f>IF('Perfil - interna'!AH354+'Perfil - externa'!AH352=0,0,'Perfil - interna'!AH354+'Perfil - externa'!AH352)</f>
        <v>870278.28139843117</v>
      </c>
      <c r="AI354" s="320">
        <f>IF('Perfil - interna'!AI354+'Perfil - externa'!AI352=0,0,'Perfil - interna'!AI354+'Perfil - externa'!AI352)</f>
        <v>1282921.6268761153</v>
      </c>
      <c r="AJ354" s="320">
        <f>IF('Perfil - interna'!AJ354+'Perfil - externa'!AJ352=0,0,'Perfil - interna'!AJ354+'Perfil - externa'!AJ352)</f>
        <v>578176.00777880498</v>
      </c>
      <c r="AK354" s="320">
        <f>IF('Perfil - interna'!AK354+'Perfil - externa'!AK352=0,0,'Perfil - interna'!AK354+'Perfil - externa'!AK352)</f>
        <v>505206.14765053359</v>
      </c>
      <c r="AL354" s="320">
        <f>IF('Perfil - interna'!AL354+'Perfil - externa'!AL352=0,0,'Perfil - interna'!AL354+'Perfil - externa'!AL352)</f>
        <v>462891.15889610199</v>
      </c>
      <c r="AM354" s="320">
        <f>IF('Perfil - interna'!AM354+'Perfil - externa'!AM352=0,0,'Perfil - interna'!AM354+'Perfil - externa'!AM352)</f>
        <v>3704288.8139059558</v>
      </c>
      <c r="AN354" s="320">
        <f>IF('Perfil - interna'!AN354+'Perfil - externa'!AN352=0,0,'Perfil - interna'!AN354+'Perfil - externa'!AN352)</f>
        <v>114922.31178446759</v>
      </c>
      <c r="AO354" s="320"/>
      <c r="AP354" s="320"/>
      <c r="AQ354" s="320"/>
      <c r="AR354" s="320"/>
      <c r="AS354" s="320"/>
      <c r="AT354" s="320"/>
      <c r="AU354" s="320"/>
      <c r="AV354" s="320"/>
      <c r="AW354" s="320"/>
      <c r="AX354" s="320"/>
      <c r="AY354" s="320"/>
      <c r="AZ354" s="320"/>
      <c r="BA354" s="320"/>
      <c r="BB354" s="320"/>
      <c r="BC354" s="320"/>
      <c r="BD354" s="320"/>
      <c r="BE354" s="320"/>
      <c r="BF354" s="320"/>
      <c r="BG354" s="320"/>
      <c r="BH354" s="320"/>
      <c r="BI354" s="320"/>
      <c r="BJ354" s="320"/>
      <c r="BK354" s="320"/>
    </row>
    <row r="355" spans="1:63">
      <c r="A355" s="167"/>
      <c r="B355" s="217" t="str">
        <f>Servicio_internaColumna_título_amortizaciones</f>
        <v>Amortizaciones</v>
      </c>
      <c r="C355" s="218"/>
      <c r="D355" s="219"/>
      <c r="E355" s="219"/>
      <c r="F355" s="219">
        <f>IF('Perfil - interna'!F355+'Perfil - externa'!F353=0,0,'Perfil - interna'!F355+'Perfil - externa'!F353)</f>
        <v>0</v>
      </c>
      <c r="G355" s="219">
        <f>IF('Perfil - interna'!G355+'Perfil - externa'!G353=0,0,'Perfil - interna'!G355+'Perfil - externa'!G353)</f>
        <v>0</v>
      </c>
      <c r="H355" s="219">
        <f>IF('Perfil - interna'!H355+'Perfil - externa'!H353=0,0,'Perfil - interna'!H355+'Perfil - externa'!H353)</f>
        <v>0</v>
      </c>
      <c r="I355" s="219">
        <f>IF('Perfil - interna'!I355+'Perfil - externa'!I353=0,0,'Perfil - interna'!I355+'Perfil - externa'!I353)</f>
        <v>0</v>
      </c>
      <c r="J355" s="219">
        <f>IF('Perfil - interna'!J355+'Perfil - externa'!J353=0,0,'Perfil - interna'!J355+'Perfil - externa'!J353)</f>
        <v>0</v>
      </c>
      <c r="K355" s="219">
        <f>IF('Perfil - interna'!K355+'Perfil - externa'!K353=0,0,'Perfil - interna'!K355+'Perfil - externa'!K353)</f>
        <v>0</v>
      </c>
      <c r="L355" s="219">
        <f>IF('Perfil - interna'!L355+'Perfil - externa'!L353=0,0,'Perfil - interna'!L355+'Perfil - externa'!L353)</f>
        <v>7436105.4162208512</v>
      </c>
      <c r="M355" s="219">
        <f>IF('Perfil - interna'!M355+'Perfil - externa'!M353=0,0,'Perfil - interna'!M355+'Perfil - externa'!M353)</f>
        <v>18962062.127903827</v>
      </c>
      <c r="N355" s="219">
        <f>IF('Perfil - interna'!N355+'Perfil - externa'!N353=0,0,'Perfil - interna'!N355+'Perfil - externa'!N353)</f>
        <v>17742043.184917975</v>
      </c>
      <c r="O355" s="219">
        <f>IF('Perfil - interna'!O355+'Perfil - externa'!O353=0,0,'Perfil - interna'!O355+'Perfil - externa'!O353)</f>
        <v>25292638.05405122</v>
      </c>
      <c r="P355" s="219">
        <f>IF('Perfil - interna'!P355+'Perfil - externa'!P353=0,0,'Perfil - interna'!P355+'Perfil - externa'!P353)</f>
        <v>18443512.081147939</v>
      </c>
      <c r="Q355" s="219">
        <f>IF('Perfil - interna'!Q355+'Perfil - externa'!Q353=0,0,'Perfil - interna'!Q355+'Perfil - externa'!Q353)</f>
        <v>19320173.862503607</v>
      </c>
      <c r="R355" s="219">
        <f>IF('Perfil - interna'!R355+'Perfil - externa'!R353=0,0,'Perfil - interna'!R355+'Perfil - externa'!R353)</f>
        <v>11450127.001316758</v>
      </c>
      <c r="S355" s="219">
        <f>IF('Perfil - interna'!S355+'Perfil - externa'!S353=0,0,'Perfil - interna'!S355+'Perfil - externa'!S353)</f>
        <v>6993963.1411531903</v>
      </c>
      <c r="T355" s="219">
        <f>IF('Perfil - interna'!T355+'Perfil - externa'!T353=0,0,'Perfil - interna'!T355+'Perfil - externa'!T353)</f>
        <v>5288380.7360995486</v>
      </c>
      <c r="U355" s="219">
        <f>IF('Perfil - interna'!U355+'Perfil - externa'!U353=0,0,'Perfil - interna'!U355+'Perfil - externa'!U353)</f>
        <v>6139826.9855178827</v>
      </c>
      <c r="V355" s="219">
        <f>IF('Perfil - interna'!V355+'Perfil - externa'!V353=0,0,'Perfil - interna'!V355+'Perfil - externa'!V353)</f>
        <v>11112697.829510726</v>
      </c>
      <c r="W355" s="219">
        <f>IF('Perfil - interna'!W355+'Perfil - externa'!W353=0,0,'Perfil - interna'!W355+'Perfil - externa'!W353)</f>
        <v>3176322.8549901661</v>
      </c>
      <c r="X355" s="219">
        <f>IF('Perfil - interna'!X355+'Perfil - externa'!X353=0,0,'Perfil - interna'!X355+'Perfil - externa'!X353)</f>
        <v>1068620.5106041611</v>
      </c>
      <c r="Y355" s="219">
        <f>IF('Perfil - interna'!Y355+'Perfil - externa'!Y353=0,0,'Perfil - interna'!Y355+'Perfil - externa'!Y353)</f>
        <v>8897059.6547665559</v>
      </c>
      <c r="Z355" s="219">
        <f>IF('Perfil - interna'!Z355+'Perfil - externa'!Z353=0,0,'Perfil - interna'!Z355+'Perfil - externa'!Z353)</f>
        <v>15915690.212868126</v>
      </c>
      <c r="AA355" s="219">
        <f>IF('Perfil - interna'!AA355+'Perfil - externa'!AA353=0,0,'Perfil - interna'!AA355+'Perfil - externa'!AA353)</f>
        <v>816383.00651235553</v>
      </c>
      <c r="AB355" s="219">
        <f>IF('Perfil - interna'!AB355+'Perfil - externa'!AB353=0,0,'Perfil - interna'!AB355+'Perfil - externa'!AB353)</f>
        <v>762565.29043578077</v>
      </c>
      <c r="AC355" s="219">
        <f>IF('Perfil - interna'!AC355+'Perfil - externa'!AC353=0,0,'Perfil - interna'!AC355+'Perfil - externa'!AC353)</f>
        <v>2467123.9297032016</v>
      </c>
      <c r="AD355" s="219">
        <f>IF('Perfil - interna'!AD355+'Perfil - externa'!AD353=0,0,'Perfil - interna'!AD355+'Perfil - externa'!AD353)</f>
        <v>665446.82702170697</v>
      </c>
      <c r="AE355" s="219">
        <f>IF('Perfil - interna'!AE355+'Perfil - externa'!AE353=0,0,'Perfil - interna'!AE355+'Perfil - externa'!AE353)</f>
        <v>546290.11594774318</v>
      </c>
      <c r="AF355" s="219">
        <f>IF('Perfil - interna'!AF355+'Perfil - externa'!AF353=0,0,'Perfil - interna'!AF355+'Perfil - externa'!AF353)</f>
        <v>444797.69238157017</v>
      </c>
      <c r="AG355" s="219">
        <f>IF('Perfil - interna'!AG355+'Perfil - externa'!AG353=0,0,'Perfil - interna'!AG355+'Perfil - externa'!AG353)</f>
        <v>433794.69302818016</v>
      </c>
      <c r="AH355" s="219">
        <f>IF('Perfil - interna'!AH355+'Perfil - externa'!AH353=0,0,'Perfil - interna'!AH355+'Perfil - externa'!AH353)</f>
        <v>410855.70046117617</v>
      </c>
      <c r="AI355" s="219">
        <f>IF('Perfil - interna'!AI355+'Perfil - externa'!AI353=0,0,'Perfil - interna'!AI355+'Perfil - externa'!AI353)</f>
        <v>869386.72217444051</v>
      </c>
      <c r="AJ355" s="219">
        <f>IF('Perfil - interna'!AJ355+'Perfil - externa'!AJ353=0,0,'Perfil - interna'!AJ355+'Perfil - externa'!AJ353)</f>
        <v>216525.98501979062</v>
      </c>
      <c r="AK355" s="219">
        <f>IF('Perfil - interna'!AK355+'Perfil - externa'!AK353=0,0,'Perfil - interna'!AK355+'Perfil - externa'!AK353)</f>
        <v>154170.91321639542</v>
      </c>
      <c r="AL355" s="219">
        <f>IF('Perfil - interna'!AL355+'Perfil - externa'!AL353=0,0,'Perfil - interna'!AL355+'Perfil - externa'!AL353)</f>
        <v>101945.9462232057</v>
      </c>
      <c r="AM355" s="219">
        <f>IF('Perfil - interna'!AM355+'Perfil - externa'!AM353=0,0,'Perfil - interna'!AM355+'Perfil - externa'!AM353)</f>
        <v>3305835.6054143808</v>
      </c>
      <c r="AN355" s="219">
        <f>IF('Perfil - interna'!AN355+'Perfil - externa'!AN353=0,0,'Perfil - interna'!AN355+'Perfil - externa'!AN353)</f>
        <v>5574.2036774012004</v>
      </c>
      <c r="AO355" s="219"/>
      <c r="AP355" s="219"/>
      <c r="AQ355" s="219"/>
      <c r="AR355" s="219"/>
      <c r="AS355" s="219"/>
      <c r="AT355" s="219"/>
      <c r="AU355" s="219"/>
      <c r="AV355" s="219"/>
      <c r="AW355" s="219"/>
      <c r="AX355" s="219"/>
      <c r="AY355" s="219"/>
      <c r="AZ355" s="219"/>
      <c r="BA355" s="219"/>
      <c r="BB355" s="219"/>
      <c r="BC355" s="219"/>
      <c r="BD355" s="219"/>
      <c r="BE355" s="219"/>
      <c r="BF355" s="219"/>
      <c r="BG355" s="219"/>
      <c r="BH355" s="219"/>
      <c r="BI355" s="219"/>
      <c r="BJ355" s="219"/>
      <c r="BK355" s="219"/>
    </row>
    <row r="356" spans="1:63">
      <c r="A356" s="170">
        <v>40422</v>
      </c>
      <c r="B356" s="220" t="str">
        <f>Servicio_internaColumna_título_intereses</f>
        <v>Intereses</v>
      </c>
      <c r="C356" s="221"/>
      <c r="D356" s="222"/>
      <c r="E356" s="222"/>
      <c r="F356" s="222">
        <f>IF('Perfil - interna'!F356+'Perfil - externa'!F354=0,0,'Perfil - interna'!F356+'Perfil - externa'!F354)</f>
        <v>0</v>
      </c>
      <c r="G356" s="222">
        <f>IF('Perfil - interna'!G356+'Perfil - externa'!G354=0,0,'Perfil - interna'!G356+'Perfil - externa'!G354)</f>
        <v>0</v>
      </c>
      <c r="H356" s="222">
        <f>IF('Perfil - interna'!H356+'Perfil - externa'!H354=0,0,'Perfil - interna'!H356+'Perfil - externa'!H354)</f>
        <v>0</v>
      </c>
      <c r="I356" s="222">
        <f>IF('Perfil - interna'!I356+'Perfil - externa'!I354=0,0,'Perfil - interna'!I356+'Perfil - externa'!I354)</f>
        <v>0</v>
      </c>
      <c r="J356" s="222">
        <f>IF('Perfil - interna'!J356+'Perfil - externa'!J354=0,0,'Perfil - interna'!J356+'Perfil - externa'!J354)</f>
        <v>0</v>
      </c>
      <c r="K356" s="222">
        <f>IF('Perfil - interna'!K356+'Perfil - externa'!K354=0,0,'Perfil - interna'!K356+'Perfil - externa'!K354)</f>
        <v>0</v>
      </c>
      <c r="L356" s="222">
        <f>IF('Perfil - interna'!L356+'Perfil - externa'!L354=0,0,'Perfil - interna'!L356+'Perfil - externa'!L354)</f>
        <v>2753912.0228743241</v>
      </c>
      <c r="M356" s="222">
        <f>IF('Perfil - interna'!M356+'Perfil - externa'!M354=0,0,'Perfil - interna'!M356+'Perfil - externa'!M354)</f>
        <v>14555504.024267895</v>
      </c>
      <c r="N356" s="222">
        <f>IF('Perfil - interna'!N356+'Perfil - externa'!N354=0,0,'Perfil - interna'!N356+'Perfil - externa'!N354)</f>
        <v>13009536.531828331</v>
      </c>
      <c r="O356" s="222">
        <f>IF('Perfil - interna'!O356+'Perfil - externa'!O354=0,0,'Perfil - interna'!O356+'Perfil - externa'!O354)</f>
        <v>11412194.034467362</v>
      </c>
      <c r="P356" s="222">
        <f>IF('Perfil - interna'!P356+'Perfil - externa'!P354=0,0,'Perfil - interna'!P356+'Perfil - externa'!P354)</f>
        <v>9592048.1081614271</v>
      </c>
      <c r="Q356" s="222">
        <f>IF('Perfil - interna'!Q356+'Perfil - externa'!Q354=0,0,'Perfil - interna'!Q356+'Perfil - externa'!Q354)</f>
        <v>7864227.2183360839</v>
      </c>
      <c r="R356" s="222">
        <f>IF('Perfil - interna'!R356+'Perfil - externa'!R354=0,0,'Perfil - interna'!R356+'Perfil - externa'!R354)</f>
        <v>6394398.7839231696</v>
      </c>
      <c r="S356" s="222">
        <f>IF('Perfil - interna'!S356+'Perfil - externa'!S354=0,0,'Perfil - interna'!S356+'Perfil - externa'!S354)</f>
        <v>5529809.6982825296</v>
      </c>
      <c r="T356" s="222">
        <f>IF('Perfil - interna'!T356+'Perfil - externa'!T354=0,0,'Perfil - interna'!T356+'Perfil - externa'!T354)</f>
        <v>5227715.0107970331</v>
      </c>
      <c r="U356" s="222">
        <f>IF('Perfil - interna'!U356+'Perfil - externa'!U354=0,0,'Perfil - interna'!U356+'Perfil - externa'!U354)</f>
        <v>4610816.8231390333</v>
      </c>
      <c r="V356" s="222">
        <f>IF('Perfil - interna'!V356+'Perfil - externa'!V354=0,0,'Perfil - interna'!V356+'Perfil - externa'!V354)</f>
        <v>4306744.5084988587</v>
      </c>
      <c r="W356" s="222">
        <f>IF('Perfil - interna'!W356+'Perfil - externa'!W354=0,0,'Perfil - interna'!W356+'Perfil - externa'!W354)</f>
        <v>3241698.7289201682</v>
      </c>
      <c r="X356" s="222">
        <f>IF('Perfil - interna'!X356+'Perfil - externa'!X354=0,0,'Perfil - interna'!X356+'Perfil - externa'!X354)</f>
        <v>3037517.9985971078</v>
      </c>
      <c r="Y356" s="222">
        <f>IF('Perfil - interna'!Y356+'Perfil - externa'!Y354=0,0,'Perfil - interna'!Y356+'Perfil - externa'!Y354)</f>
        <v>2992855.4458494391</v>
      </c>
      <c r="Z356" s="222">
        <f>IF('Perfil - interna'!Z356+'Perfil - externa'!Z354=0,0,'Perfil - interna'!Z356+'Perfil - externa'!Z354)</f>
        <v>2320516.7882655594</v>
      </c>
      <c r="AA356" s="222">
        <f>IF('Perfil - interna'!AA356+'Perfil - externa'!AA354=0,0,'Perfil - interna'!AA356+'Perfil - externa'!AA354)</f>
        <v>874074.30075779778</v>
      </c>
      <c r="AB356" s="222">
        <f>IF('Perfil - interna'!AB356+'Perfil - externa'!AB354=0,0,'Perfil - interna'!AB356+'Perfil - externa'!AB354)</f>
        <v>828115.21697212127</v>
      </c>
      <c r="AC356" s="222">
        <f>IF('Perfil - interna'!AC356+'Perfil - externa'!AC354=0,0,'Perfil - interna'!AC356+'Perfil - externa'!AC354)</f>
        <v>777073.45509753318</v>
      </c>
      <c r="AD356" s="222">
        <f>IF('Perfil - interna'!AD356+'Perfil - externa'!AD354=0,0,'Perfil - interna'!AD356+'Perfil - externa'!AD354)</f>
        <v>576176.52980816551</v>
      </c>
      <c r="AE356" s="222">
        <f>IF('Perfil - interna'!AE356+'Perfil - externa'!AE354=0,0,'Perfil - interna'!AE356+'Perfil - externa'!AE354)</f>
        <v>543372.02954414405</v>
      </c>
      <c r="AF356" s="222">
        <f>IF('Perfil - interna'!AF356+'Perfil - externa'!AF354=0,0,'Perfil - interna'!AF356+'Perfil - externa'!AF354)</f>
        <v>515380.96985144407</v>
      </c>
      <c r="AG356" s="222">
        <f>IF('Perfil - interna'!AG356+'Perfil - externa'!AG354=0,0,'Perfil - interna'!AG356+'Perfil - externa'!AG354)</f>
        <v>492117.56637076306</v>
      </c>
      <c r="AH356" s="222">
        <f>IF('Perfil - interna'!AH356+'Perfil - externa'!AH354=0,0,'Perfil - interna'!AH356+'Perfil - externa'!AH354)</f>
        <v>469930.48967653629</v>
      </c>
      <c r="AI356" s="222">
        <f>IF('Perfil - interna'!AI356+'Perfil - externa'!AI354=0,0,'Perfil - interna'!AI356+'Perfil - externa'!AI354)</f>
        <v>418433.17450901738</v>
      </c>
      <c r="AJ356" s="222">
        <f>IF('Perfil - interna'!AJ356+'Perfil - externa'!AJ354=0,0,'Perfil - interna'!AJ356+'Perfil - externa'!AJ354)</f>
        <v>374900.44390314032</v>
      </c>
      <c r="AK356" s="222">
        <f>IF('Perfil - interna'!AK356+'Perfil - externa'!AK354=0,0,'Perfil - interna'!AK356+'Perfil - externa'!AK354)</f>
        <v>364560.45329007326</v>
      </c>
      <c r="AL356" s="222">
        <f>IF('Perfil - interna'!AL356+'Perfil - externa'!AL354=0,0,'Perfil - interna'!AL356+'Perfil - externa'!AL354)</f>
        <v>356945.99267266056</v>
      </c>
      <c r="AM356" s="222">
        <f>IF('Perfil - interna'!AM356+'Perfil - externa'!AM354=0,0,'Perfil - interna'!AM356+'Perfil - externa'!AM354)</f>
        <v>352482.20917210146</v>
      </c>
      <c r="AN356" s="222">
        <f>IF('Perfil - interna'!AN356+'Perfil - externa'!AN354=0,0,'Perfil - interna'!AN356+'Perfil - externa'!AN354)</f>
        <v>110307.11858344531</v>
      </c>
      <c r="AO356" s="222"/>
      <c r="AP356" s="222"/>
      <c r="AQ356" s="222"/>
      <c r="AR356" s="222"/>
      <c r="AS356" s="222"/>
      <c r="AT356" s="222"/>
      <c r="AU356" s="222"/>
      <c r="AV356" s="222"/>
      <c r="AW356" s="222"/>
      <c r="AX356" s="222"/>
      <c r="AY356" s="222"/>
      <c r="AZ356" s="222"/>
      <c r="BA356" s="222"/>
      <c r="BB356" s="222"/>
      <c r="BC356" s="222"/>
      <c r="BD356" s="222"/>
      <c r="BE356" s="222"/>
      <c r="BF356" s="222"/>
      <c r="BG356" s="222"/>
      <c r="BH356" s="222"/>
      <c r="BI356" s="222"/>
      <c r="BJ356" s="222"/>
      <c r="BK356" s="222"/>
    </row>
    <row r="357" spans="1:63">
      <c r="A357" s="171"/>
      <c r="B357" s="318" t="str">
        <f>Servicio_internaColumna_título_total</f>
        <v>Total</v>
      </c>
      <c r="C357" s="319"/>
      <c r="D357" s="320"/>
      <c r="E357" s="320"/>
      <c r="F357" s="320">
        <f>IF('Perfil - interna'!F357+'Perfil - externa'!F355=0,0,'Perfil - interna'!F357+'Perfil - externa'!F355)</f>
        <v>0</v>
      </c>
      <c r="G357" s="320">
        <f>IF('Perfil - interna'!G357+'Perfil - externa'!G355=0,0,'Perfil - interna'!G357+'Perfil - externa'!G355)</f>
        <v>0</v>
      </c>
      <c r="H357" s="320">
        <f>IF('Perfil - interna'!H357+'Perfil - externa'!H355=0,0,'Perfil - interna'!H357+'Perfil - externa'!H355)</f>
        <v>0</v>
      </c>
      <c r="I357" s="320">
        <f>IF('Perfil - interna'!I357+'Perfil - externa'!I355=0,0,'Perfil - interna'!I357+'Perfil - externa'!I355)</f>
        <v>0</v>
      </c>
      <c r="J357" s="320">
        <f>IF('Perfil - interna'!J357+'Perfil - externa'!J355=0,0,'Perfil - interna'!J357+'Perfil - externa'!J355)</f>
        <v>0</v>
      </c>
      <c r="K357" s="320">
        <f>IF('Perfil - interna'!K357+'Perfil - externa'!K355=0,0,'Perfil - interna'!K357+'Perfil - externa'!K355)</f>
        <v>0</v>
      </c>
      <c r="L357" s="320">
        <f>IF('Perfil - interna'!L357+'Perfil - externa'!L355=0,0,'Perfil - interna'!L357+'Perfil - externa'!L355)</f>
        <v>10190017.439095175</v>
      </c>
      <c r="M357" s="320">
        <f>IF('Perfil - interna'!M357+'Perfil - externa'!M355=0,0,'Perfil - interna'!M357+'Perfil - externa'!M355)</f>
        <v>33517566.15217172</v>
      </c>
      <c r="N357" s="320">
        <f>IF('Perfil - interna'!N357+'Perfil - externa'!N355=0,0,'Perfil - interna'!N357+'Perfil - externa'!N355)</f>
        <v>30751579.716746308</v>
      </c>
      <c r="O357" s="320">
        <f>IF('Perfil - interna'!O357+'Perfil - externa'!O355=0,0,'Perfil - interna'!O357+'Perfil - externa'!O355)</f>
        <v>36704832.088518582</v>
      </c>
      <c r="P357" s="320">
        <f>IF('Perfil - interna'!P357+'Perfil - externa'!P355=0,0,'Perfil - interna'!P357+'Perfil - externa'!P355)</f>
        <v>28035560.189309366</v>
      </c>
      <c r="Q357" s="320">
        <f>IF('Perfil - interna'!Q357+'Perfil - externa'!Q355=0,0,'Perfil - interna'!Q357+'Perfil - externa'!Q355)</f>
        <v>27184401.08083969</v>
      </c>
      <c r="R357" s="320">
        <f>IF('Perfil - interna'!R357+'Perfil - externa'!R355=0,0,'Perfil - interna'!R357+'Perfil - externa'!R355)</f>
        <v>17844525.785239927</v>
      </c>
      <c r="S357" s="320">
        <f>IF('Perfil - interna'!S357+'Perfil - externa'!S355=0,0,'Perfil - interna'!S357+'Perfil - externa'!S355)</f>
        <v>12523772.839435721</v>
      </c>
      <c r="T357" s="320">
        <f>IF('Perfil - interna'!T357+'Perfil - externa'!T355=0,0,'Perfil - interna'!T357+'Perfil - externa'!T355)</f>
        <v>10516095.746896582</v>
      </c>
      <c r="U357" s="320">
        <f>IF('Perfil - interna'!U357+'Perfil - externa'!U355=0,0,'Perfil - interna'!U357+'Perfil - externa'!U355)</f>
        <v>10750643.808656916</v>
      </c>
      <c r="V357" s="320">
        <f>IF('Perfil - interna'!V357+'Perfil - externa'!V355=0,0,'Perfil - interna'!V357+'Perfil - externa'!V355)</f>
        <v>15419442.338009585</v>
      </c>
      <c r="W357" s="320">
        <f>IF('Perfil - interna'!W357+'Perfil - externa'!W355=0,0,'Perfil - interna'!W357+'Perfil - externa'!W355)</f>
        <v>6418021.5839103339</v>
      </c>
      <c r="X357" s="320">
        <f>IF('Perfil - interna'!X357+'Perfil - externa'!X355=0,0,'Perfil - interna'!X357+'Perfil - externa'!X355)</f>
        <v>4106138.5092012687</v>
      </c>
      <c r="Y357" s="320">
        <f>IF('Perfil - interna'!Y357+'Perfil - externa'!Y355=0,0,'Perfil - interna'!Y357+'Perfil - externa'!Y355)</f>
        <v>11889915.100615993</v>
      </c>
      <c r="Z357" s="320">
        <f>IF('Perfil - interna'!Z357+'Perfil - externa'!Z355=0,0,'Perfil - interna'!Z357+'Perfil - externa'!Z355)</f>
        <v>18236207.001133684</v>
      </c>
      <c r="AA357" s="320">
        <f>IF('Perfil - interna'!AA357+'Perfil - externa'!AA355=0,0,'Perfil - interna'!AA357+'Perfil - externa'!AA355)</f>
        <v>1690457.3072701534</v>
      </c>
      <c r="AB357" s="320">
        <f>IF('Perfil - interna'!AB357+'Perfil - externa'!AB355=0,0,'Perfil - interna'!AB357+'Perfil - externa'!AB355)</f>
        <v>1590680.507407902</v>
      </c>
      <c r="AC357" s="320">
        <f>IF('Perfil - interna'!AC357+'Perfil - externa'!AC355=0,0,'Perfil - interna'!AC357+'Perfil - externa'!AC355)</f>
        <v>3244197.3848007349</v>
      </c>
      <c r="AD357" s="320">
        <f>IF('Perfil - interna'!AD357+'Perfil - externa'!AD355=0,0,'Perfil - interna'!AD357+'Perfil - externa'!AD355)</f>
        <v>1241623.3568298724</v>
      </c>
      <c r="AE357" s="320">
        <f>IF('Perfil - interna'!AE357+'Perfil - externa'!AE355=0,0,'Perfil - interna'!AE357+'Perfil - externa'!AE355)</f>
        <v>1089662.1454918873</v>
      </c>
      <c r="AF357" s="320">
        <f>IF('Perfil - interna'!AF357+'Perfil - externa'!AF355=0,0,'Perfil - interna'!AF357+'Perfil - externa'!AF355)</f>
        <v>960178.66223301424</v>
      </c>
      <c r="AG357" s="320">
        <f>IF('Perfil - interna'!AG357+'Perfil - externa'!AG355=0,0,'Perfil - interna'!AG357+'Perfil - externa'!AG355)</f>
        <v>925912.25939894328</v>
      </c>
      <c r="AH357" s="320">
        <f>IF('Perfil - interna'!AH357+'Perfil - externa'!AH355=0,0,'Perfil - interna'!AH357+'Perfil - externa'!AH355)</f>
        <v>880786.19013771252</v>
      </c>
      <c r="AI357" s="320">
        <f>IF('Perfil - interna'!AI357+'Perfil - externa'!AI355=0,0,'Perfil - interna'!AI357+'Perfil - externa'!AI355)</f>
        <v>1287819.8966834578</v>
      </c>
      <c r="AJ357" s="320">
        <f>IF('Perfil - interna'!AJ357+'Perfil - externa'!AJ355=0,0,'Perfil - interna'!AJ357+'Perfil - externa'!AJ355)</f>
        <v>591426.42892293097</v>
      </c>
      <c r="AK357" s="320">
        <f>IF('Perfil - interna'!AK357+'Perfil - externa'!AK355=0,0,'Perfil - interna'!AK357+'Perfil - externa'!AK355)</f>
        <v>518731.36650646868</v>
      </c>
      <c r="AL357" s="320">
        <f>IF('Perfil - interna'!AL357+'Perfil - externa'!AL355=0,0,'Perfil - interna'!AL357+'Perfil - externa'!AL355)</f>
        <v>458891.93889586627</v>
      </c>
      <c r="AM357" s="320">
        <f>IF('Perfil - interna'!AM357+'Perfil - externa'!AM355=0,0,'Perfil - interna'!AM357+'Perfil - externa'!AM355)</f>
        <v>3658317.814586482</v>
      </c>
      <c r="AN357" s="320">
        <f>IF('Perfil - interna'!AN357+'Perfil - externa'!AN355=0,0,'Perfil - interna'!AN357+'Perfil - externa'!AN355)</f>
        <v>115881.3222608465</v>
      </c>
      <c r="AO357" s="320"/>
      <c r="AP357" s="320"/>
      <c r="AQ357" s="320"/>
      <c r="AR357" s="320"/>
      <c r="AS357" s="320"/>
      <c r="AT357" s="320"/>
      <c r="AU357" s="320"/>
      <c r="AV357" s="320"/>
      <c r="AW357" s="320"/>
      <c r="AX357" s="320"/>
      <c r="AY357" s="320"/>
      <c r="AZ357" s="320"/>
      <c r="BA357" s="320"/>
      <c r="BB357" s="320"/>
      <c r="BC357" s="320"/>
      <c r="BD357" s="320"/>
      <c r="BE357" s="320"/>
      <c r="BF357" s="320"/>
      <c r="BG357" s="320"/>
      <c r="BH357" s="320"/>
      <c r="BI357" s="320"/>
      <c r="BJ357" s="320"/>
      <c r="BK357" s="320"/>
    </row>
    <row r="358" spans="1:63">
      <c r="A358" s="167"/>
      <c r="B358" s="217" t="str">
        <f>Servicio_internaColumna_título_amortizaciones</f>
        <v>Amortizaciones</v>
      </c>
      <c r="C358" s="218"/>
      <c r="D358" s="219"/>
      <c r="E358" s="219"/>
      <c r="F358" s="219">
        <f>IF('Perfil - interna'!F358+'Perfil - externa'!F356=0,0,'Perfil - interna'!F358+'Perfil - externa'!F356)</f>
        <v>0</v>
      </c>
      <c r="G358" s="219">
        <f>IF('Perfil - interna'!G358+'Perfil - externa'!G356=0,0,'Perfil - interna'!G358+'Perfil - externa'!G356)</f>
        <v>0</v>
      </c>
      <c r="H358" s="219">
        <f>IF('Perfil - interna'!H358+'Perfil - externa'!H356=0,0,'Perfil - interna'!H358+'Perfil - externa'!H356)</f>
        <v>0</v>
      </c>
      <c r="I358" s="219">
        <f>IF('Perfil - interna'!I358+'Perfil - externa'!I356=0,0,'Perfil - interna'!I358+'Perfil - externa'!I356)</f>
        <v>0</v>
      </c>
      <c r="J358" s="219">
        <f>IF('Perfil - interna'!J358+'Perfil - externa'!J356=0,0,'Perfil - interna'!J358+'Perfil - externa'!J356)</f>
        <v>0</v>
      </c>
      <c r="K358" s="219">
        <f>IF('Perfil - interna'!K358+'Perfil - externa'!K356=0,0,'Perfil - interna'!K358+'Perfil - externa'!K356)</f>
        <v>0</v>
      </c>
      <c r="L358" s="219">
        <f>IF('Perfil - interna'!L358+'Perfil - externa'!L356=0,0,'Perfil - interna'!L358+'Perfil - externa'!L356)</f>
        <v>6583048.7415987914</v>
      </c>
      <c r="M358" s="219">
        <f>IF('Perfil - interna'!M358+'Perfil - externa'!M356=0,0,'Perfil - interna'!M358+'Perfil - externa'!M356)</f>
        <v>19978831.814059418</v>
      </c>
      <c r="N358" s="219">
        <f>IF('Perfil - interna'!N358+'Perfil - externa'!N356=0,0,'Perfil - interna'!N358+'Perfil - externa'!N356)</f>
        <v>18033975.136239491</v>
      </c>
      <c r="O358" s="219">
        <f>IF('Perfil - interna'!O358+'Perfil - externa'!O356=0,0,'Perfil - interna'!O358+'Perfil - externa'!O356)</f>
        <v>25842706.904885605</v>
      </c>
      <c r="P358" s="219">
        <f>IF('Perfil - interna'!P358+'Perfil - externa'!P356=0,0,'Perfil - interna'!P358+'Perfil - externa'!P356)</f>
        <v>18714065.881133903</v>
      </c>
      <c r="Q358" s="219">
        <f>IF('Perfil - interna'!Q358+'Perfil - externa'!Q356=0,0,'Perfil - interna'!Q358+'Perfil - externa'!Q356)</f>
        <v>19916238.221564837</v>
      </c>
      <c r="R358" s="219">
        <f>IF('Perfil - interna'!R358+'Perfil - externa'!R356=0,0,'Perfil - interna'!R358+'Perfil - externa'!R356)</f>
        <v>12340498.545317471</v>
      </c>
      <c r="S358" s="219">
        <f>IF('Perfil - interna'!S358+'Perfil - externa'!S356=0,0,'Perfil - interna'!S358+'Perfil - externa'!S356)</f>
        <v>7292617.9485498592</v>
      </c>
      <c r="T358" s="219">
        <f>IF('Perfil - interna'!T358+'Perfil - externa'!T356=0,0,'Perfil - interna'!T358+'Perfil - externa'!T356)</f>
        <v>5373882.024139218</v>
      </c>
      <c r="U358" s="219">
        <f>IF('Perfil - interna'!U358+'Perfil - externa'!U356=0,0,'Perfil - interna'!U358+'Perfil - externa'!U356)</f>
        <v>6192930.1704711597</v>
      </c>
      <c r="V358" s="219">
        <f>IF('Perfil - interna'!V358+'Perfil - externa'!V356=0,0,'Perfil - interna'!V358+'Perfil - externa'!V356)</f>
        <v>11212634.823158437</v>
      </c>
      <c r="W358" s="219">
        <f>IF('Perfil - interna'!W358+'Perfil - externa'!W356=0,0,'Perfil - interna'!W358+'Perfil - externa'!W356)</f>
        <v>3704157.1633307762</v>
      </c>
      <c r="X358" s="219">
        <f>IF('Perfil - interna'!X358+'Perfil - externa'!X356=0,0,'Perfil - interna'!X358+'Perfil - externa'!X356)</f>
        <v>1123376.7730194272</v>
      </c>
      <c r="Y358" s="219">
        <f>IF('Perfil - interna'!Y358+'Perfil - externa'!Y356=0,0,'Perfil - interna'!Y358+'Perfil - externa'!Y356)</f>
        <v>9085158.0088007376</v>
      </c>
      <c r="Z358" s="219">
        <f>IF('Perfil - interna'!Z358+'Perfil - externa'!Z356=0,0,'Perfil - interna'!Z358+'Perfil - externa'!Z356)</f>
        <v>16275866.881386448</v>
      </c>
      <c r="AA358" s="219">
        <f>IF('Perfil - interna'!AA358+'Perfil - externa'!AA356=0,0,'Perfil - interna'!AA358+'Perfil - externa'!AA356)</f>
        <v>854308.03984133084</v>
      </c>
      <c r="AB358" s="219">
        <f>IF('Perfil - interna'!AB358+'Perfil - externa'!AB356=0,0,'Perfil - interna'!AB358+'Perfil - externa'!AB356)</f>
        <v>804160.0683066959</v>
      </c>
      <c r="AC358" s="219">
        <f>IF('Perfil - interna'!AC358+'Perfil - externa'!AC356=0,0,'Perfil - interna'!AC358+'Perfil - externa'!AC356)</f>
        <v>2874240.1046605948</v>
      </c>
      <c r="AD358" s="219">
        <f>IF('Perfil - interna'!AD358+'Perfil - externa'!AD356=0,0,'Perfil - interna'!AD358+'Perfil - externa'!AD356)</f>
        <v>704790.90651014098</v>
      </c>
      <c r="AE358" s="219">
        <f>IF('Perfil - interna'!AE358+'Perfil - externa'!AE356=0,0,'Perfil - interna'!AE358+'Perfil - externa'!AE356)</f>
        <v>582985.44467359199</v>
      </c>
      <c r="AF358" s="219">
        <f>IF('Perfil - interna'!AF358+'Perfil - externa'!AF356=0,0,'Perfil - interna'!AF358+'Perfil - externa'!AF356)</f>
        <v>479240.95572828001</v>
      </c>
      <c r="AG358" s="219">
        <f>IF('Perfil - interna'!AG358+'Perfil - externa'!AG356=0,0,'Perfil - interna'!AG358+'Perfil - externa'!AG356)</f>
        <v>443465.39290522196</v>
      </c>
      <c r="AH358" s="219">
        <f>IF('Perfil - interna'!AH358+'Perfil - externa'!AH356=0,0,'Perfil - interna'!AH358+'Perfil - externa'!AH356)</f>
        <v>420012.38905587303</v>
      </c>
      <c r="AI358" s="219">
        <f>IF('Perfil - interna'!AI358+'Perfil - externa'!AI356=0,0,'Perfil - interna'!AI358+'Perfil - externa'!AI356)</f>
        <v>888736.23546764709</v>
      </c>
      <c r="AJ358" s="219">
        <f>IF('Perfil - interna'!AJ358+'Perfil - externa'!AJ356=0,0,'Perfil - interna'!AJ358+'Perfil - externa'!AJ356)</f>
        <v>221362.96805083804</v>
      </c>
      <c r="AK358" s="219">
        <f>IF('Perfil - interna'!AK358+'Perfil - externa'!AK356=0,0,'Perfil - interna'!AK358+'Perfil - externa'!AK356)</f>
        <v>157621.79686200604</v>
      </c>
      <c r="AL358" s="219">
        <f>IF('Perfil - interna'!AL358+'Perfil - externa'!AL356=0,0,'Perfil - interna'!AL358+'Perfil - externa'!AL356)</f>
        <v>104233.60912044899</v>
      </c>
      <c r="AM358" s="219">
        <f>IF('Perfil - interna'!AM358+'Perfil - externa'!AM356=0,0,'Perfil - interna'!AM358+'Perfil - externa'!AM356)</f>
        <v>3379340.6721132095</v>
      </c>
      <c r="AN358" s="219">
        <f>IF('Perfil - interna'!AN358+'Perfil - externa'!AN356=0,0,'Perfil - interna'!AN358+'Perfil - externa'!AN356)</f>
        <v>5698.1134102920005</v>
      </c>
      <c r="AO358" s="219"/>
      <c r="AP358" s="219"/>
      <c r="AQ358" s="219"/>
      <c r="AR358" s="219"/>
      <c r="AS358" s="219"/>
      <c r="AT358" s="219"/>
      <c r="AU358" s="219"/>
      <c r="AV358" s="219"/>
      <c r="AW358" s="219"/>
      <c r="AX358" s="219"/>
      <c r="AY358" s="219"/>
      <c r="AZ358" s="219"/>
      <c r="BA358" s="219"/>
      <c r="BB358" s="219"/>
      <c r="BC358" s="219"/>
      <c r="BD358" s="219"/>
      <c r="BE358" s="219"/>
      <c r="BF358" s="219"/>
      <c r="BG358" s="219"/>
      <c r="BH358" s="219"/>
      <c r="BI358" s="219"/>
      <c r="BJ358" s="219"/>
      <c r="BK358" s="219"/>
    </row>
    <row r="359" spans="1:63">
      <c r="A359" s="170">
        <v>40452</v>
      </c>
      <c r="B359" s="220" t="str">
        <f>Servicio_internaColumna_título_intereses</f>
        <v>Intereses</v>
      </c>
      <c r="C359" s="221"/>
      <c r="D359" s="222"/>
      <c r="E359" s="222"/>
      <c r="F359" s="222">
        <f>IF('Perfil - interna'!F359+'Perfil - externa'!F357=0,0,'Perfil - interna'!F359+'Perfil - externa'!F357)</f>
        <v>0</v>
      </c>
      <c r="G359" s="222">
        <f>IF('Perfil - interna'!G359+'Perfil - externa'!G357=0,0,'Perfil - interna'!G359+'Perfil - externa'!G357)</f>
        <v>0</v>
      </c>
      <c r="H359" s="222">
        <f>IF('Perfil - interna'!H359+'Perfil - externa'!H357=0,0,'Perfil - interna'!H359+'Perfil - externa'!H357)</f>
        <v>0</v>
      </c>
      <c r="I359" s="222">
        <f>IF('Perfil - interna'!I359+'Perfil - externa'!I357=0,0,'Perfil - interna'!I359+'Perfil - externa'!I357)</f>
        <v>0</v>
      </c>
      <c r="J359" s="222">
        <f>IF('Perfil - interna'!J359+'Perfil - externa'!J357=0,0,'Perfil - interna'!J359+'Perfil - externa'!J357)</f>
        <v>0</v>
      </c>
      <c r="K359" s="222">
        <f>IF('Perfil - interna'!K359+'Perfil - externa'!K357=0,0,'Perfil - interna'!K359+'Perfil - externa'!K357)</f>
        <v>0</v>
      </c>
      <c r="L359" s="222">
        <f>IF('Perfil - interna'!L359+'Perfil - externa'!L357=0,0,'Perfil - interna'!L359+'Perfil - externa'!L357)</f>
        <v>1465579.2126447745</v>
      </c>
      <c r="M359" s="222">
        <f>IF('Perfil - interna'!M359+'Perfil - externa'!M357=0,0,'Perfil - interna'!M359+'Perfil - externa'!M357)</f>
        <v>14900436.005813587</v>
      </c>
      <c r="N359" s="222">
        <f>IF('Perfil - interna'!N359+'Perfil - externa'!N357=0,0,'Perfil - interna'!N359+'Perfil - externa'!N357)</f>
        <v>13409887.005881658</v>
      </c>
      <c r="O359" s="222">
        <f>IF('Perfil - interna'!O359+'Perfil - externa'!O357=0,0,'Perfil - interna'!O359+'Perfil - externa'!O357)</f>
        <v>11819706.566062002</v>
      </c>
      <c r="P359" s="222">
        <f>IF('Perfil - interna'!P359+'Perfil - externa'!P357=0,0,'Perfil - interna'!P359+'Perfil - externa'!P357)</f>
        <v>9991012.4646514188</v>
      </c>
      <c r="Q359" s="222">
        <f>IF('Perfil - interna'!Q359+'Perfil - externa'!Q357=0,0,'Perfil - interna'!Q359+'Perfil - externa'!Q357)</f>
        <v>8228195.7765903519</v>
      </c>
      <c r="R359" s="222">
        <f>IF('Perfil - interna'!R359+'Perfil - externa'!R357=0,0,'Perfil - interna'!R359+'Perfil - externa'!R357)</f>
        <v>6683397.6797428606</v>
      </c>
      <c r="S359" s="222">
        <f>IF('Perfil - interna'!S359+'Perfil - externa'!S357=0,0,'Perfil - interna'!S359+'Perfil - externa'!S357)</f>
        <v>5744794.5768291391</v>
      </c>
      <c r="T359" s="222">
        <f>IF('Perfil - interna'!T359+'Perfil - externa'!T357=0,0,'Perfil - interna'!T359+'Perfil - externa'!T357)</f>
        <v>5424692.0696455501</v>
      </c>
      <c r="U359" s="222">
        <f>IF('Perfil - interna'!U359+'Perfil - externa'!U357=0,0,'Perfil - interna'!U359+'Perfil - externa'!U357)</f>
        <v>4795198.7737364406</v>
      </c>
      <c r="V359" s="222">
        <f>IF('Perfil - interna'!V359+'Perfil - externa'!V357=0,0,'Perfil - interna'!V359+'Perfil - externa'!V357)</f>
        <v>4481823.954319573</v>
      </c>
      <c r="W359" s="222">
        <f>IF('Perfil - interna'!W359+'Perfil - externa'!W357=0,0,'Perfil - interna'!W359+'Perfil - externa'!W357)</f>
        <v>3409629.4569580774</v>
      </c>
      <c r="X359" s="222">
        <f>IF('Perfil - interna'!X359+'Perfil - externa'!X357=0,0,'Perfil - interna'!X359+'Perfil - externa'!X357)</f>
        <v>3162094.870994241</v>
      </c>
      <c r="Y359" s="222">
        <f>IF('Perfil - interna'!Y359+'Perfil - externa'!Y357=0,0,'Perfil - interna'!Y359+'Perfil - externa'!Y357)</f>
        <v>3114206.4623102383</v>
      </c>
      <c r="Z359" s="222">
        <f>IF('Perfil - interna'!Z359+'Perfil - externa'!Z357=0,0,'Perfil - interna'!Z359+'Perfil - externa'!Z357)</f>
        <v>2425682.11653397</v>
      </c>
      <c r="AA359" s="222">
        <f>IF('Perfil - interna'!AA359+'Perfil - externa'!AA357=0,0,'Perfil - interna'!AA359+'Perfil - externa'!AA357)</f>
        <v>946054.45301301905</v>
      </c>
      <c r="AB359" s="222">
        <f>IF('Perfil - interna'!AB359+'Perfil - externa'!AB357=0,0,'Perfil - interna'!AB359+'Perfil - externa'!AB357)</f>
        <v>897240.49503050686</v>
      </c>
      <c r="AC359" s="222">
        <f>IF('Perfil - interna'!AC359+'Perfil - externa'!AC357=0,0,'Perfil - interna'!AC359+'Perfil - externa'!AC357)</f>
        <v>841210.5960904141</v>
      </c>
      <c r="AD359" s="222">
        <f>IF('Perfil - interna'!AD359+'Perfil - externa'!AD357=0,0,'Perfil - interna'!AD359+'Perfil - externa'!AD357)</f>
        <v>601281.14085703506</v>
      </c>
      <c r="AE359" s="222">
        <f>IF('Perfil - interna'!AE359+'Perfil - externa'!AE357=0,0,'Perfil - interna'!AE359+'Perfil - externa'!AE357)</f>
        <v>565245.98413270805</v>
      </c>
      <c r="AF359" s="222">
        <f>IF('Perfil - interna'!AF359+'Perfil - externa'!AF357=0,0,'Perfil - interna'!AF359+'Perfil - externa'!AF357)</f>
        <v>533252.56990532402</v>
      </c>
      <c r="AG359" s="222">
        <f>IF('Perfil - interna'!AG359+'Perfil - externa'!AG357=0,0,'Perfil - interna'!AG359+'Perfil - externa'!AG357)</f>
        <v>506864.25691791606</v>
      </c>
      <c r="AH359" s="222">
        <f>IF('Perfil - interna'!AH359+'Perfil - externa'!AH357=0,0,'Perfil - interna'!AH359+'Perfil - externa'!AH357)</f>
        <v>482795.53430536209</v>
      </c>
      <c r="AI359" s="222">
        <f>IF('Perfil - interna'!AI359+'Perfil - externa'!AI357=0,0,'Perfil - interna'!AI359+'Perfil - externa'!AI357)</f>
        <v>429227.76273792598</v>
      </c>
      <c r="AJ359" s="222">
        <f>IF('Perfil - interna'!AJ359+'Perfil - externa'!AJ357=0,0,'Perfil - interna'!AJ359+'Perfil - externa'!AJ357)</f>
        <v>384386.75493687304</v>
      </c>
      <c r="AK359" s="222">
        <f>IF('Perfil - interna'!AK359+'Perfil - externa'!AK357=0,0,'Perfil - interna'!AK359+'Perfil - externa'!AK357)</f>
        <v>373352.01119020203</v>
      </c>
      <c r="AL359" s="222">
        <f>IF('Perfil - interna'!AL359+'Perfil - externa'!AL357=0,0,'Perfil - interna'!AL359+'Perfil - externa'!AL357)</f>
        <v>365314.35127928702</v>
      </c>
      <c r="AM359" s="222">
        <f>IF('Perfil - interna'!AM359+'Perfil - externa'!AM357=0,0,'Perfil - interna'!AM359+'Perfil - externa'!AM357)</f>
        <v>360317.77617344103</v>
      </c>
      <c r="AN359" s="222">
        <f>IF('Perfil - interna'!AN359+'Perfil - externa'!AN357=0,0,'Perfil - interna'!AN359+'Perfil - externa'!AN357)</f>
        <v>112759.150549023</v>
      </c>
      <c r="AO359" s="222"/>
      <c r="AP359" s="222"/>
      <c r="AQ359" s="222"/>
      <c r="AR359" s="222"/>
      <c r="AS359" s="222"/>
      <c r="AT359" s="222"/>
      <c r="AU359" s="222"/>
      <c r="AV359" s="222"/>
      <c r="AW359" s="222"/>
      <c r="AX359" s="222"/>
      <c r="AY359" s="222"/>
      <c r="AZ359" s="222"/>
      <c r="BA359" s="222"/>
      <c r="BB359" s="222"/>
      <c r="BC359" s="222"/>
      <c r="BD359" s="222"/>
      <c r="BE359" s="222"/>
      <c r="BF359" s="222"/>
      <c r="BG359" s="222"/>
      <c r="BH359" s="222"/>
      <c r="BI359" s="222"/>
      <c r="BJ359" s="222"/>
      <c r="BK359" s="222"/>
    </row>
    <row r="360" spans="1:63">
      <c r="A360" s="171"/>
      <c r="B360" s="318" t="str">
        <f>Servicio_internaColumna_título_total</f>
        <v>Total</v>
      </c>
      <c r="C360" s="319"/>
      <c r="D360" s="320"/>
      <c r="E360" s="320"/>
      <c r="F360" s="320">
        <f>IF('Perfil - interna'!F360+'Perfil - externa'!F358=0,0,'Perfil - interna'!F360+'Perfil - externa'!F358)</f>
        <v>0</v>
      </c>
      <c r="G360" s="320">
        <f>IF('Perfil - interna'!G360+'Perfil - externa'!G358=0,0,'Perfil - interna'!G360+'Perfil - externa'!G358)</f>
        <v>0</v>
      </c>
      <c r="H360" s="320">
        <f>IF('Perfil - interna'!H360+'Perfil - externa'!H358=0,0,'Perfil - interna'!H360+'Perfil - externa'!H358)</f>
        <v>0</v>
      </c>
      <c r="I360" s="320">
        <f>IF('Perfil - interna'!I360+'Perfil - externa'!I358=0,0,'Perfil - interna'!I360+'Perfil - externa'!I358)</f>
        <v>0</v>
      </c>
      <c r="J360" s="320">
        <f>IF('Perfil - interna'!J360+'Perfil - externa'!J358=0,0,'Perfil - interna'!J360+'Perfil - externa'!J358)</f>
        <v>0</v>
      </c>
      <c r="K360" s="320">
        <f>IF('Perfil - interna'!K360+'Perfil - externa'!K358=0,0,'Perfil - interna'!K360+'Perfil - externa'!K358)</f>
        <v>0</v>
      </c>
      <c r="L360" s="320">
        <f>IF('Perfil - interna'!L360+'Perfil - externa'!L358=0,0,'Perfil - interna'!L360+'Perfil - externa'!L358)</f>
        <v>8048627.9542435659</v>
      </c>
      <c r="M360" s="320">
        <f>IF('Perfil - interna'!M360+'Perfil - externa'!M358=0,0,'Perfil - interna'!M360+'Perfil - externa'!M358)</f>
        <v>34879267.819873005</v>
      </c>
      <c r="N360" s="320">
        <f>IF('Perfil - interna'!N360+'Perfil - externa'!N358=0,0,'Perfil - interna'!N360+'Perfil - externa'!N358)</f>
        <v>31443862.142121151</v>
      </c>
      <c r="O360" s="320">
        <f>IF('Perfil - interna'!O360+'Perfil - externa'!O358=0,0,'Perfil - interna'!O360+'Perfil - externa'!O358)</f>
        <v>37662413.470947601</v>
      </c>
      <c r="P360" s="320">
        <f>IF('Perfil - interna'!P360+'Perfil - externa'!P358=0,0,'Perfil - interna'!P360+'Perfil - externa'!P358)</f>
        <v>28705078.345785324</v>
      </c>
      <c r="Q360" s="320">
        <f>IF('Perfil - interna'!Q360+'Perfil - externa'!Q358=0,0,'Perfil - interna'!Q360+'Perfil - externa'!Q358)</f>
        <v>28144433.998155188</v>
      </c>
      <c r="R360" s="320">
        <f>IF('Perfil - interna'!R360+'Perfil - externa'!R358=0,0,'Perfil - interna'!R360+'Perfil - externa'!R358)</f>
        <v>19023896.225060333</v>
      </c>
      <c r="S360" s="320">
        <f>IF('Perfil - interna'!S360+'Perfil - externa'!S358=0,0,'Perfil - interna'!S360+'Perfil - externa'!S358)</f>
        <v>13037412.525378998</v>
      </c>
      <c r="T360" s="320">
        <f>IF('Perfil - interna'!T360+'Perfil - externa'!T358=0,0,'Perfil - interna'!T360+'Perfil - externa'!T358)</f>
        <v>10798574.093784768</v>
      </c>
      <c r="U360" s="320">
        <f>IF('Perfil - interna'!U360+'Perfil - externa'!U358=0,0,'Perfil - interna'!U360+'Perfil - externa'!U358)</f>
        <v>10988128.944207601</v>
      </c>
      <c r="V360" s="320">
        <f>IF('Perfil - interna'!V360+'Perfil - externa'!V358=0,0,'Perfil - interna'!V360+'Perfil - externa'!V358)</f>
        <v>15694458.777478011</v>
      </c>
      <c r="W360" s="320">
        <f>IF('Perfil - interna'!W360+'Perfil - externa'!W358=0,0,'Perfil - interna'!W360+'Perfil - externa'!W358)</f>
        <v>7113786.6202888535</v>
      </c>
      <c r="X360" s="320">
        <f>IF('Perfil - interna'!X360+'Perfil - externa'!X358=0,0,'Perfil - interna'!X360+'Perfil - externa'!X358)</f>
        <v>4285471.6440136684</v>
      </c>
      <c r="Y360" s="320">
        <f>IF('Perfil - interna'!Y360+'Perfil - externa'!Y358=0,0,'Perfil - interna'!Y360+'Perfil - externa'!Y358)</f>
        <v>12199364.471110975</v>
      </c>
      <c r="Z360" s="320">
        <f>IF('Perfil - interna'!Z360+'Perfil - externa'!Z358=0,0,'Perfil - interna'!Z360+'Perfil - externa'!Z358)</f>
        <v>18701548.99792042</v>
      </c>
      <c r="AA360" s="320">
        <f>IF('Perfil - interna'!AA360+'Perfil - externa'!AA358=0,0,'Perfil - interna'!AA360+'Perfil - externa'!AA358)</f>
        <v>1800362.4928543498</v>
      </c>
      <c r="AB360" s="320">
        <f>IF('Perfil - interna'!AB360+'Perfil - externa'!AB358=0,0,'Perfil - interna'!AB360+'Perfil - externa'!AB358)</f>
        <v>1701400.5633372026</v>
      </c>
      <c r="AC360" s="320">
        <f>IF('Perfil - interna'!AC360+'Perfil - externa'!AC358=0,0,'Perfil - interna'!AC360+'Perfil - externa'!AC358)</f>
        <v>3715450.7007510089</v>
      </c>
      <c r="AD360" s="320">
        <f>IF('Perfil - interna'!AD360+'Perfil - externa'!AD358=0,0,'Perfil - interna'!AD360+'Perfil - externa'!AD358)</f>
        <v>1306072.047367176</v>
      </c>
      <c r="AE360" s="320">
        <f>IF('Perfil - interna'!AE360+'Perfil - externa'!AE358=0,0,'Perfil - interna'!AE360+'Perfil - externa'!AE358)</f>
        <v>1148231.4288063</v>
      </c>
      <c r="AF360" s="320">
        <f>IF('Perfil - interna'!AF360+'Perfil - externa'!AF358=0,0,'Perfil - interna'!AF360+'Perfil - externa'!AF358)</f>
        <v>1012493.525633604</v>
      </c>
      <c r="AG360" s="320">
        <f>IF('Perfil - interna'!AG360+'Perfil - externa'!AG358=0,0,'Perfil - interna'!AG360+'Perfil - externa'!AG358)</f>
        <v>950329.64982313802</v>
      </c>
      <c r="AH360" s="320">
        <f>IF('Perfil - interna'!AH360+'Perfil - externa'!AH358=0,0,'Perfil - interna'!AH360+'Perfil - externa'!AH358)</f>
        <v>902807.92336123507</v>
      </c>
      <c r="AI360" s="320">
        <f>IF('Perfil - interna'!AI360+'Perfil - externa'!AI358=0,0,'Perfil - interna'!AI360+'Perfil - externa'!AI358)</f>
        <v>1317963.9982055731</v>
      </c>
      <c r="AJ360" s="320">
        <f>IF('Perfil - interna'!AJ360+'Perfil - externa'!AJ358=0,0,'Perfil - interna'!AJ360+'Perfil - externa'!AJ358)</f>
        <v>605749.72298771108</v>
      </c>
      <c r="AK360" s="320">
        <f>IF('Perfil - interna'!AK360+'Perfil - externa'!AK358=0,0,'Perfil - interna'!AK360+'Perfil - externa'!AK358)</f>
        <v>530973.80805220804</v>
      </c>
      <c r="AL360" s="320">
        <f>IF('Perfil - interna'!AL360+'Perfil - externa'!AL358=0,0,'Perfil - interna'!AL360+'Perfil - externa'!AL358)</f>
        <v>469547.96039973601</v>
      </c>
      <c r="AM360" s="320">
        <f>IF('Perfil - interna'!AM360+'Perfil - externa'!AM358=0,0,'Perfil - interna'!AM360+'Perfil - externa'!AM358)</f>
        <v>3739658.4482866507</v>
      </c>
      <c r="AN360" s="320">
        <f>IF('Perfil - interna'!AN360+'Perfil - externa'!AN358=0,0,'Perfil - interna'!AN360+'Perfil - externa'!AN358)</f>
        <v>118457.26395931501</v>
      </c>
      <c r="AO360" s="320"/>
      <c r="AP360" s="320"/>
      <c r="AQ360" s="320"/>
      <c r="AR360" s="320"/>
      <c r="AS360" s="320"/>
      <c r="AT360" s="320"/>
      <c r="AU360" s="320"/>
      <c r="AV360" s="320"/>
      <c r="AW360" s="320"/>
      <c r="AX360" s="320"/>
      <c r="AY360" s="320"/>
      <c r="AZ360" s="320"/>
      <c r="BA360" s="320"/>
      <c r="BB360" s="320"/>
      <c r="BC360" s="320"/>
      <c r="BD360" s="320"/>
      <c r="BE360" s="320"/>
      <c r="BF360" s="320"/>
      <c r="BG360" s="320"/>
      <c r="BH360" s="320"/>
      <c r="BI360" s="320"/>
      <c r="BJ360" s="320"/>
      <c r="BK360" s="320"/>
    </row>
    <row r="361" spans="1:63">
      <c r="A361" s="167"/>
      <c r="B361" s="217" t="str">
        <f>Servicio_internaColumna_título_amortizaciones</f>
        <v>Amortizaciones</v>
      </c>
      <c r="C361" s="218"/>
      <c r="D361" s="219"/>
      <c r="E361" s="219"/>
      <c r="F361" s="219">
        <f>IF('Perfil - interna'!F361+'Perfil - externa'!F359=0,0,'Perfil - interna'!F361+'Perfil - externa'!F359)</f>
        <v>0</v>
      </c>
      <c r="G361" s="219">
        <f>IF('Perfil - interna'!G361+'Perfil - externa'!G359=0,0,'Perfil - interna'!G361+'Perfil - externa'!G359)</f>
        <v>0</v>
      </c>
      <c r="H361" s="219">
        <f>IF('Perfil - interna'!H361+'Perfil - externa'!H359=0,0,'Perfil - interna'!H361+'Perfil - externa'!H359)</f>
        <v>0</v>
      </c>
      <c r="I361" s="219">
        <f>IF('Perfil - interna'!I361+'Perfil - externa'!I359=0,0,'Perfil - interna'!I361+'Perfil - externa'!I359)</f>
        <v>0</v>
      </c>
      <c r="J361" s="219">
        <f>IF('Perfil - interna'!J361+'Perfil - externa'!J359=0,0,'Perfil - interna'!J361+'Perfil - externa'!J359)</f>
        <v>0</v>
      </c>
      <c r="K361" s="219">
        <f>IF('Perfil - interna'!K361+'Perfil - externa'!K359=0,0,'Perfil - interna'!K361+'Perfil - externa'!K359)</f>
        <v>0</v>
      </c>
      <c r="L361" s="219">
        <f>IF('Perfil - interna'!L361+'Perfil - externa'!L359=0,0,'Perfil - interna'!L361+'Perfil - externa'!L359)</f>
        <v>3875445.0301490435</v>
      </c>
      <c r="M361" s="219">
        <f>IF('Perfil - interna'!M361+'Perfil - externa'!M359=0,0,'Perfil - interna'!M361+'Perfil - externa'!M359)</f>
        <v>21002242.786033995</v>
      </c>
      <c r="N361" s="219">
        <f>IF('Perfil - interna'!N361+'Perfil - externa'!N359=0,0,'Perfil - interna'!N361+'Perfil - externa'!N359)</f>
        <v>18483570.222979248</v>
      </c>
      <c r="O361" s="219">
        <f>IF('Perfil - interna'!O361+'Perfil - externa'!O359=0,0,'Perfil - interna'!O361+'Perfil - externa'!O359)</f>
        <v>26279765.906018697</v>
      </c>
      <c r="P361" s="219">
        <f>IF('Perfil - interna'!P361+'Perfil - externa'!P359=0,0,'Perfil - interna'!P361+'Perfil - externa'!P359)</f>
        <v>18869449.893083517</v>
      </c>
      <c r="Q361" s="219">
        <f>IF('Perfil - interna'!Q361+'Perfil - externa'!Q359=0,0,'Perfil - interna'!Q361+'Perfil - externa'!Q359)</f>
        <v>19866285.826913178</v>
      </c>
      <c r="R361" s="219">
        <f>IF('Perfil - interna'!R361+'Perfil - externa'!R359=0,0,'Perfil - interna'!R361+'Perfil - externa'!R359)</f>
        <v>13089792.958969619</v>
      </c>
      <c r="S361" s="219">
        <f>IF('Perfil - interna'!S361+'Perfil - externa'!S359=0,0,'Perfil - interna'!S361+'Perfil - externa'!S359)</f>
        <v>7588115.2537637316</v>
      </c>
      <c r="T361" s="219">
        <f>IF('Perfil - interna'!T361+'Perfil - externa'!T359=0,0,'Perfil - interna'!T361+'Perfil - externa'!T359)</f>
        <v>5416813.452440612</v>
      </c>
      <c r="U361" s="219">
        <f>IF('Perfil - interna'!U361+'Perfil - externa'!U359=0,0,'Perfil - interna'!U361+'Perfil - externa'!U359)</f>
        <v>6625049.5051697297</v>
      </c>
      <c r="V361" s="219">
        <f>IF('Perfil - interna'!V361+'Perfil - externa'!V359=0,0,'Perfil - interna'!V361+'Perfil - externa'!V359)</f>
        <v>11314893.87499854</v>
      </c>
      <c r="W361" s="219">
        <f>IF('Perfil - interna'!W361+'Perfil - externa'!W359=0,0,'Perfil - interna'!W361+'Perfil - externa'!W359)</f>
        <v>3442992.2059365101</v>
      </c>
      <c r="X361" s="219">
        <f>IF('Perfil - interna'!X361+'Perfil - externa'!X359=0,0,'Perfil - interna'!X361+'Perfil - externa'!X359)</f>
        <v>1164214.8971420431</v>
      </c>
      <c r="Y361" s="219">
        <f>IF('Perfil - interna'!Y361+'Perfil - externa'!Y359=0,0,'Perfil - interna'!Y361+'Perfil - externa'!Y359)</f>
        <v>9278732.0343733132</v>
      </c>
      <c r="Z361" s="219">
        <f>IF('Perfil - interna'!Z361+'Perfil - externa'!Z359=0,0,'Perfil - interna'!Z361+'Perfil - externa'!Z359)</f>
        <v>16715648.836209636</v>
      </c>
      <c r="AA361" s="219">
        <f>IF('Perfil - interna'!AA361+'Perfil - externa'!AA359=0,0,'Perfil - interna'!AA361+'Perfil - externa'!AA359)</f>
        <v>895128.60667185427</v>
      </c>
      <c r="AB361" s="219">
        <f>IF('Perfil - interna'!AB361+'Perfil - externa'!AB359=0,0,'Perfil - interna'!AB361+'Perfil - externa'!AB359)</f>
        <v>837810.43224139034</v>
      </c>
      <c r="AC361" s="219">
        <f>IF('Perfil - interna'!AC361+'Perfil - externa'!AC359=0,0,'Perfil - interna'!AC361+'Perfil - externa'!AC359)</f>
        <v>2679177.2958734958</v>
      </c>
      <c r="AD361" s="219">
        <f>IF('Perfil - interna'!AD361+'Perfil - externa'!AD359=0,0,'Perfil - interna'!AD361+'Perfil - externa'!AD359)</f>
        <v>734296.46066396311</v>
      </c>
      <c r="AE361" s="219">
        <f>IF('Perfil - interna'!AE361+'Perfil - externa'!AE359=0,0,'Perfil - interna'!AE361+'Perfil - externa'!AE359)</f>
        <v>607389.45586903358</v>
      </c>
      <c r="AF361" s="219">
        <f>IF('Perfil - interna'!AF361+'Perfil - externa'!AF359=0,0,'Perfil - interna'!AF361+'Perfil - externa'!AF359)</f>
        <v>499309.76663271833</v>
      </c>
      <c r="AG361" s="219">
        <f>IF('Perfil - interna'!AG361+'Perfil - externa'!AG359=0,0,'Perfil - interna'!AG361+'Perfil - externa'!AG359)</f>
        <v>462045.72702299198</v>
      </c>
      <c r="AH361" s="219">
        <f>IF('Perfil - interna'!AH361+'Perfil - externa'!AH359=0,0,'Perfil - interna'!AH361+'Perfil - externa'!AH359)</f>
        <v>437610.48128023359</v>
      </c>
      <c r="AI361" s="219">
        <f>IF('Perfil - interna'!AI361+'Perfil - externa'!AI359=0,0,'Perfil - interna'!AI361+'Perfil - externa'!AI359)</f>
        <v>925965.78643393761</v>
      </c>
      <c r="AJ361" s="219">
        <f>IF('Perfil - interna'!AJ361+'Perfil - externa'!AJ359=0,0,'Perfil - interna'!AJ361+'Perfil - externa'!AJ359)</f>
        <v>230641.11754753921</v>
      </c>
      <c r="AK361" s="219">
        <f>IF('Perfil - interna'!AK361+'Perfil - externa'!AK359=0,0,'Perfil - interna'!AK361+'Perfil - externa'!AK359)</f>
        <v>164230.2933059264</v>
      </c>
      <c r="AL361" s="219">
        <f>IF('Perfil - interna'!AL361+'Perfil - externa'!AL359=0,0,'Perfil - interna'!AL361+'Perfil - externa'!AL359)</f>
        <v>108606.84924903839</v>
      </c>
      <c r="AM361" s="219">
        <f>IF('Perfil - interna'!AM361+'Perfil - externa'!AM359=0,0,'Perfil - interna'!AM361+'Perfil - externa'!AM359)</f>
        <v>3520885.0645830454</v>
      </c>
      <c r="AN361" s="219">
        <f>IF('Perfil - interna'!AN361+'Perfil - externa'!AN359=0,0,'Perfil - interna'!AN361+'Perfil - externa'!AN359)</f>
        <v>5936.7658475968001</v>
      </c>
      <c r="AO361" s="219"/>
      <c r="AP361" s="219"/>
      <c r="AQ361" s="219"/>
      <c r="AR361" s="219"/>
      <c r="AS361" s="219"/>
      <c r="AT361" s="219"/>
      <c r="AU361" s="219"/>
      <c r="AV361" s="219"/>
      <c r="AW361" s="219"/>
      <c r="AX361" s="219"/>
      <c r="AY361" s="219"/>
      <c r="AZ361" s="219"/>
      <c r="BA361" s="219"/>
      <c r="BB361" s="219"/>
      <c r="BC361" s="219"/>
      <c r="BD361" s="219"/>
      <c r="BE361" s="219"/>
      <c r="BF361" s="219"/>
      <c r="BG361" s="219"/>
      <c r="BH361" s="219"/>
      <c r="BI361" s="219"/>
      <c r="BJ361" s="219"/>
      <c r="BK361" s="219"/>
    </row>
    <row r="362" spans="1:63">
      <c r="A362" s="170">
        <v>40483</v>
      </c>
      <c r="B362" s="220" t="str">
        <f>Servicio_internaColumna_título_intereses</f>
        <v>Intereses</v>
      </c>
      <c r="C362" s="221"/>
      <c r="D362" s="222"/>
      <c r="E362" s="222"/>
      <c r="F362" s="222">
        <f>IF('Perfil - interna'!F362+'Perfil - externa'!F360=0,0,'Perfil - interna'!F362+'Perfil - externa'!F360)</f>
        <v>0</v>
      </c>
      <c r="G362" s="222">
        <f>IF('Perfil - interna'!G362+'Perfil - externa'!G360=0,0,'Perfil - interna'!G362+'Perfil - externa'!G360)</f>
        <v>0</v>
      </c>
      <c r="H362" s="222">
        <f>IF('Perfil - interna'!H362+'Perfil - externa'!H360=0,0,'Perfil - interna'!H362+'Perfil - externa'!H360)</f>
        <v>0</v>
      </c>
      <c r="I362" s="222">
        <f>IF('Perfil - interna'!I362+'Perfil - externa'!I360=0,0,'Perfil - interna'!I362+'Perfil - externa'!I360)</f>
        <v>0</v>
      </c>
      <c r="J362" s="222">
        <f>IF('Perfil - interna'!J362+'Perfil - externa'!J360=0,0,'Perfil - interna'!J362+'Perfil - externa'!J360)</f>
        <v>0</v>
      </c>
      <c r="K362" s="222">
        <f>IF('Perfil - interna'!K362+'Perfil - externa'!K360=0,0,'Perfil - interna'!K362+'Perfil - externa'!K360)</f>
        <v>0</v>
      </c>
      <c r="L362" s="222">
        <f>IF('Perfil - interna'!L362+'Perfil - externa'!L360=0,0,'Perfil - interna'!L362+'Perfil - externa'!L360)</f>
        <v>157715.41589039436</v>
      </c>
      <c r="M362" s="222">
        <f>IF('Perfil - interna'!M362+'Perfil - externa'!M360=0,0,'Perfil - interna'!M362+'Perfil - externa'!M360)</f>
        <v>15192146.344406597</v>
      </c>
      <c r="N362" s="222">
        <f>IF('Perfil - interna'!N362+'Perfil - externa'!N360=0,0,'Perfil - interna'!N362+'Perfil - externa'!N360)</f>
        <v>13651828.201051291</v>
      </c>
      <c r="O362" s="222">
        <f>IF('Perfil - interna'!O362+'Perfil - externa'!O360=0,0,'Perfil - interna'!O362+'Perfil - externa'!O360)</f>
        <v>11996481.622868948</v>
      </c>
      <c r="P362" s="222">
        <f>IF('Perfil - interna'!P362+'Perfil - externa'!P360=0,0,'Perfil - interna'!P362+'Perfil - externa'!P360)</f>
        <v>10098098.906273333</v>
      </c>
      <c r="Q362" s="222">
        <f>IF('Perfil - interna'!Q362+'Perfil - externa'!Q360=0,0,'Perfil - interna'!Q362+'Perfil - externa'!Q360)</f>
        <v>8331135.9754050523</v>
      </c>
      <c r="R362" s="222">
        <f>IF('Perfil - interna'!R362+'Perfil - externa'!R360=0,0,'Perfil - interna'!R362+'Perfil - externa'!R360)</f>
        <v>6811298.4386317674</v>
      </c>
      <c r="S362" s="222">
        <f>IF('Perfil - interna'!S362+'Perfil - externa'!S360=0,0,'Perfil - interna'!S362+'Perfil - externa'!S360)</f>
        <v>5820984.27246866</v>
      </c>
      <c r="T362" s="222">
        <f>IF('Perfil - interna'!T362+'Perfil - externa'!T360=0,0,'Perfil - interna'!T362+'Perfil - externa'!T360)</f>
        <v>5491119.4741659379</v>
      </c>
      <c r="U362" s="222">
        <f>IF('Perfil - interna'!U362+'Perfil - externa'!U360=0,0,'Perfil - interna'!U362+'Perfil - externa'!U360)</f>
        <v>4855877.204460795</v>
      </c>
      <c r="V362" s="222">
        <f>IF('Perfil - interna'!V362+'Perfil - externa'!V360=0,0,'Perfil - interna'!V362+'Perfil - externa'!V360)</f>
        <v>4529333.0437231632</v>
      </c>
      <c r="W362" s="222">
        <f>IF('Perfil - interna'!W362+'Perfil - externa'!W360=0,0,'Perfil - interna'!W362+'Perfil - externa'!W360)</f>
        <v>3451236.1969398577</v>
      </c>
      <c r="X362" s="222">
        <f>IF('Perfil - interna'!X362+'Perfil - externa'!X360=0,0,'Perfil - interna'!X362+'Perfil - externa'!X360)</f>
        <v>3225971.5870403023</v>
      </c>
      <c r="Y362" s="222">
        <f>IF('Perfil - interna'!Y362+'Perfil - externa'!Y360=0,0,'Perfil - interna'!Y362+'Perfil - externa'!Y360)</f>
        <v>3175637.5321886968</v>
      </c>
      <c r="Z362" s="222">
        <f>IF('Perfil - interna'!Z362+'Perfil - externa'!Z360=0,0,'Perfil - interna'!Z362+'Perfil - externa'!Z360)</f>
        <v>2470807.1838114909</v>
      </c>
      <c r="AA362" s="222">
        <f>IF('Perfil - interna'!AA362+'Perfil - externa'!AA360=0,0,'Perfil - interna'!AA362+'Perfil - externa'!AA360)</f>
        <v>953440.48765768798</v>
      </c>
      <c r="AB362" s="222">
        <f>IF('Perfil - interna'!AB362+'Perfil - externa'!AB360=0,0,'Perfil - interna'!AB362+'Perfil - externa'!AB360)</f>
        <v>902128.44649609434</v>
      </c>
      <c r="AC362" s="222">
        <f>IF('Perfil - interna'!AC362+'Perfil - externa'!AC360=0,0,'Perfil - interna'!AC362+'Perfil - externa'!AC360)</f>
        <v>844218.89458301279</v>
      </c>
      <c r="AD362" s="222">
        <f>IF('Perfil - interna'!AD362+'Perfil - externa'!AD360=0,0,'Perfil - interna'!AD362+'Perfil - externa'!AD360)</f>
        <v>625484.62955942238</v>
      </c>
      <c r="AE362" s="222">
        <f>IF('Perfil - interna'!AE362+'Perfil - externa'!AE360=0,0,'Perfil - interna'!AE362+'Perfil - externa'!AE360)</f>
        <v>587737.12888045434</v>
      </c>
      <c r="AF362" s="222">
        <f>IF('Perfil - interna'!AF362+'Perfil - externa'!AF360=0,0,'Perfil - interna'!AF362+'Perfil - externa'!AF360)</f>
        <v>554776.66642602719</v>
      </c>
      <c r="AG362" s="222">
        <f>IF('Perfil - interna'!AG362+'Perfil - externa'!AG360=0,0,'Perfil - interna'!AG362+'Perfil - externa'!AG360)</f>
        <v>527661.9495296001</v>
      </c>
      <c r="AH362" s="222">
        <f>IF('Perfil - interna'!AH362+'Perfil - externa'!AH360=0,0,'Perfil - interna'!AH362+'Perfil - externa'!AH360)</f>
        <v>502808.53780655836</v>
      </c>
      <c r="AI362" s="222">
        <f>IF('Perfil - interna'!AI362+'Perfil - externa'!AI360=0,0,'Perfil - interna'!AI362+'Perfil - externa'!AI360)</f>
        <v>447141.04890992644</v>
      </c>
      <c r="AJ362" s="222">
        <f>IF('Perfil - interna'!AJ362+'Perfil - externa'!AJ360=0,0,'Perfil - interna'!AJ362+'Perfil - externa'!AJ360)</f>
        <v>400527.86611958721</v>
      </c>
      <c r="AK362" s="222">
        <f>IF('Perfil - interna'!AK362+'Perfil - externa'!AK360=0,0,'Perfil - interna'!AK362+'Perfil - externa'!AK360)</f>
        <v>389008.32464783202</v>
      </c>
      <c r="AL362" s="222">
        <f>IF('Perfil - interna'!AL362+'Perfil - externa'!AL360=0,0,'Perfil - interna'!AL362+'Perfil - externa'!AL360)</f>
        <v>380614.99984493759</v>
      </c>
      <c r="AM362" s="222">
        <f>IF('Perfil - interna'!AM362+'Perfil - externa'!AM360=0,0,'Perfil - interna'!AM362+'Perfil - externa'!AM360)</f>
        <v>375408.94590925443</v>
      </c>
      <c r="AN362" s="222">
        <f>IF('Perfil - interna'!AN362+'Perfil - externa'!AN360=0,0,'Perfil - interna'!AN362+'Perfil - externa'!AN360)</f>
        <v>117481.8094659792</v>
      </c>
      <c r="AO362" s="222"/>
      <c r="AP362" s="222"/>
      <c r="AQ362" s="222"/>
      <c r="AR362" s="222"/>
      <c r="AS362" s="222"/>
      <c r="AT362" s="222"/>
      <c r="AU362" s="222"/>
      <c r="AV362" s="222"/>
      <c r="AW362" s="222"/>
      <c r="AX362" s="222"/>
      <c r="AY362" s="222"/>
      <c r="AZ362" s="222"/>
      <c r="BA362" s="222"/>
      <c r="BB362" s="222"/>
      <c r="BC362" s="222"/>
      <c r="BD362" s="222"/>
      <c r="BE362" s="222"/>
      <c r="BF362" s="222"/>
      <c r="BG362" s="222"/>
      <c r="BH362" s="222"/>
      <c r="BI362" s="222"/>
      <c r="BJ362" s="222"/>
      <c r="BK362" s="222"/>
    </row>
    <row r="363" spans="1:63">
      <c r="A363" s="171"/>
      <c r="B363" s="318" t="str">
        <f>Servicio_internaColumna_título_total</f>
        <v>Total</v>
      </c>
      <c r="C363" s="319"/>
      <c r="D363" s="320"/>
      <c r="E363" s="320"/>
      <c r="F363" s="320">
        <f>IF('Perfil - interna'!F363+'Perfil - externa'!F361=0,0,'Perfil - interna'!F363+'Perfil - externa'!F361)</f>
        <v>0</v>
      </c>
      <c r="G363" s="320">
        <f>IF('Perfil - interna'!G363+'Perfil - externa'!G361=0,0,'Perfil - interna'!G363+'Perfil - externa'!G361)</f>
        <v>0</v>
      </c>
      <c r="H363" s="320">
        <f>IF('Perfil - interna'!H363+'Perfil - externa'!H361=0,0,'Perfil - interna'!H363+'Perfil - externa'!H361)</f>
        <v>0</v>
      </c>
      <c r="I363" s="320">
        <f>IF('Perfil - interna'!I363+'Perfil - externa'!I361=0,0,'Perfil - interna'!I363+'Perfil - externa'!I361)</f>
        <v>0</v>
      </c>
      <c r="J363" s="320">
        <f>IF('Perfil - interna'!J363+'Perfil - externa'!J361=0,0,'Perfil - interna'!J363+'Perfil - externa'!J361)</f>
        <v>0</v>
      </c>
      <c r="K363" s="320">
        <f>IF('Perfil - interna'!K363+'Perfil - externa'!K361=0,0,'Perfil - interna'!K363+'Perfil - externa'!K361)</f>
        <v>0</v>
      </c>
      <c r="L363" s="320">
        <f>IF('Perfil - interna'!L363+'Perfil - externa'!L361=0,0,'Perfil - interna'!L363+'Perfil - externa'!L361)</f>
        <v>4033160.4460394382</v>
      </c>
      <c r="M363" s="320">
        <f>IF('Perfil - interna'!M363+'Perfil - externa'!M361=0,0,'Perfil - interna'!M363+'Perfil - externa'!M361)</f>
        <v>36194389.130440593</v>
      </c>
      <c r="N363" s="320">
        <f>IF('Perfil - interna'!N363+'Perfil - externa'!N361=0,0,'Perfil - interna'!N363+'Perfil - externa'!N361)</f>
        <v>32135398.424030535</v>
      </c>
      <c r="O363" s="320">
        <f>IF('Perfil - interna'!O363+'Perfil - externa'!O361=0,0,'Perfil - interna'!O363+'Perfil - externa'!O361)</f>
        <v>38276247.528887644</v>
      </c>
      <c r="P363" s="320">
        <f>IF('Perfil - interna'!P363+'Perfil - externa'!P361=0,0,'Perfil - interna'!P363+'Perfil - externa'!P361)</f>
        <v>28967548.799356848</v>
      </c>
      <c r="Q363" s="320">
        <f>IF('Perfil - interna'!Q363+'Perfil - externa'!Q361=0,0,'Perfil - interna'!Q363+'Perfil - externa'!Q361)</f>
        <v>28197421.80231823</v>
      </c>
      <c r="R363" s="320">
        <f>IF('Perfil - interna'!R363+'Perfil - externa'!R361=0,0,'Perfil - interna'!R363+'Perfil - externa'!R361)</f>
        <v>19901091.397601388</v>
      </c>
      <c r="S363" s="320">
        <f>IF('Perfil - interna'!S363+'Perfil - externa'!S361=0,0,'Perfil - interna'!S363+'Perfil - externa'!S361)</f>
        <v>13409099.526232392</v>
      </c>
      <c r="T363" s="320">
        <f>IF('Perfil - interna'!T363+'Perfil - externa'!T361=0,0,'Perfil - interna'!T363+'Perfil - externa'!T361)</f>
        <v>10907932.926606551</v>
      </c>
      <c r="U363" s="320">
        <f>IF('Perfil - interna'!U363+'Perfil - externa'!U361=0,0,'Perfil - interna'!U363+'Perfil - externa'!U361)</f>
        <v>11480926.709630525</v>
      </c>
      <c r="V363" s="320">
        <f>IF('Perfil - interna'!V363+'Perfil - externa'!V361=0,0,'Perfil - interna'!V363+'Perfil - externa'!V361)</f>
        <v>15844226.918721702</v>
      </c>
      <c r="W363" s="320">
        <f>IF('Perfil - interna'!W363+'Perfil - externa'!W361=0,0,'Perfil - interna'!W363+'Perfil - externa'!W361)</f>
        <v>6894228.4028763678</v>
      </c>
      <c r="X363" s="320">
        <f>IF('Perfil - interna'!X363+'Perfil - externa'!X361=0,0,'Perfil - interna'!X363+'Perfil - externa'!X361)</f>
        <v>4390186.4841823457</v>
      </c>
      <c r="Y363" s="320">
        <f>IF('Perfil - interna'!Y363+'Perfil - externa'!Y361=0,0,'Perfil - interna'!Y363+'Perfil - externa'!Y361)</f>
        <v>12454369.56656201</v>
      </c>
      <c r="Z363" s="320">
        <f>IF('Perfil - interna'!Z363+'Perfil - externa'!Z361=0,0,'Perfil - interna'!Z363+'Perfil - externa'!Z361)</f>
        <v>19186456.020021126</v>
      </c>
      <c r="AA363" s="320">
        <f>IF('Perfil - interna'!AA363+'Perfil - externa'!AA361=0,0,'Perfil - interna'!AA363+'Perfil - externa'!AA361)</f>
        <v>1848569.0943295422</v>
      </c>
      <c r="AB363" s="320">
        <f>IF('Perfil - interna'!AB363+'Perfil - externa'!AB361=0,0,'Perfil - interna'!AB363+'Perfil - externa'!AB361)</f>
        <v>1739938.8787374846</v>
      </c>
      <c r="AC363" s="320">
        <f>IF('Perfil - interna'!AC363+'Perfil - externa'!AC361=0,0,'Perfil - interna'!AC363+'Perfil - externa'!AC361)</f>
        <v>3523396.1904565087</v>
      </c>
      <c r="AD363" s="320">
        <f>IF('Perfil - interna'!AD363+'Perfil - externa'!AD361=0,0,'Perfil - interna'!AD363+'Perfil - externa'!AD361)</f>
        <v>1359781.0902233855</v>
      </c>
      <c r="AE363" s="320">
        <f>IF('Perfil - interna'!AE363+'Perfil - externa'!AE361=0,0,'Perfil - interna'!AE363+'Perfil - externa'!AE361)</f>
        <v>1195126.5847494879</v>
      </c>
      <c r="AF363" s="320">
        <f>IF('Perfil - interna'!AF363+'Perfil - externa'!AF361=0,0,'Perfil - interna'!AF363+'Perfil - externa'!AF361)</f>
        <v>1054086.4330587455</v>
      </c>
      <c r="AG363" s="320">
        <f>IF('Perfil - interna'!AG363+'Perfil - externa'!AG361=0,0,'Perfil - interna'!AG363+'Perfil - externa'!AG361)</f>
        <v>989707.67655259208</v>
      </c>
      <c r="AH363" s="320">
        <f>IF('Perfil - interna'!AH363+'Perfil - externa'!AH361=0,0,'Perfil - interna'!AH363+'Perfil - externa'!AH361)</f>
        <v>940419.0190867919</v>
      </c>
      <c r="AI363" s="320">
        <f>IF('Perfil - interna'!AI363+'Perfil - externa'!AI361=0,0,'Perfil - interna'!AI363+'Perfil - externa'!AI361)</f>
        <v>1373106.835343864</v>
      </c>
      <c r="AJ363" s="320">
        <f>IF('Perfil - interna'!AJ363+'Perfil - externa'!AJ361=0,0,'Perfil - interna'!AJ363+'Perfil - externa'!AJ361)</f>
        <v>631168.98366712639</v>
      </c>
      <c r="AK363" s="320">
        <f>IF('Perfil - interna'!AK363+'Perfil - externa'!AK361=0,0,'Perfil - interna'!AK363+'Perfil - externa'!AK361)</f>
        <v>553238.61795375845</v>
      </c>
      <c r="AL363" s="320">
        <f>IF('Perfil - interna'!AL363+'Perfil - externa'!AL361=0,0,'Perfil - interna'!AL363+'Perfil - externa'!AL361)</f>
        <v>489221.84909397596</v>
      </c>
      <c r="AM363" s="320">
        <f>IF('Perfil - interna'!AM363+'Perfil - externa'!AM361=0,0,'Perfil - interna'!AM363+'Perfil - externa'!AM361)</f>
        <v>3896294.0104922997</v>
      </c>
      <c r="AN363" s="320">
        <f>IF('Perfil - interna'!AN363+'Perfil - externa'!AN361=0,0,'Perfil - interna'!AN363+'Perfil - externa'!AN361)</f>
        <v>123418.575313576</v>
      </c>
      <c r="AO363" s="320"/>
      <c r="AP363" s="320"/>
      <c r="AQ363" s="320"/>
      <c r="AR363" s="320"/>
      <c r="AS363" s="320"/>
      <c r="AT363" s="320"/>
      <c r="AU363" s="320"/>
      <c r="AV363" s="320"/>
      <c r="AW363" s="320"/>
      <c r="AX363" s="320"/>
      <c r="AY363" s="320"/>
      <c r="AZ363" s="320"/>
      <c r="BA363" s="320"/>
      <c r="BB363" s="320"/>
      <c r="BC363" s="320"/>
      <c r="BD363" s="320"/>
      <c r="BE363" s="320"/>
      <c r="BF363" s="320"/>
      <c r="BG363" s="320"/>
      <c r="BH363" s="320"/>
      <c r="BI363" s="320"/>
      <c r="BJ363" s="320"/>
      <c r="BK363" s="320"/>
    </row>
    <row r="364" spans="1:63">
      <c r="A364" s="167"/>
      <c r="B364" s="217" t="str">
        <f>Servicio_internaColumna_título_amortizaciones</f>
        <v>Amortizaciones</v>
      </c>
      <c r="C364" s="218"/>
      <c r="D364" s="219"/>
      <c r="E364" s="219"/>
      <c r="F364" s="219">
        <f>IF('Perfil - interna'!F364+'Perfil - externa'!F362=0,0,'Perfil - interna'!F364+'Perfil - externa'!F362)</f>
        <v>0</v>
      </c>
      <c r="G364" s="219">
        <f>IF('Perfil - interna'!G364+'Perfil - externa'!G362=0,0,'Perfil - interna'!G364+'Perfil - externa'!G362)</f>
        <v>0</v>
      </c>
      <c r="H364" s="219">
        <f>IF('Perfil - interna'!H364+'Perfil - externa'!H362=0,0,'Perfil - interna'!H364+'Perfil - externa'!H362)</f>
        <v>0</v>
      </c>
      <c r="I364" s="219">
        <f>IF('Perfil - interna'!I364+'Perfil - externa'!I362=0,0,'Perfil - interna'!I364+'Perfil - externa'!I362)</f>
        <v>0</v>
      </c>
      <c r="J364" s="219">
        <f>IF('Perfil - interna'!J364+'Perfil - externa'!J362=0,0,'Perfil - interna'!J364+'Perfil - externa'!J362)</f>
        <v>0</v>
      </c>
      <c r="K364" s="219">
        <f>IF('Perfil - interna'!K364+'Perfil - externa'!K362=0,0,'Perfil - interna'!K364+'Perfil - externa'!K362)</f>
        <v>0</v>
      </c>
      <c r="L364" s="219">
        <f>IF('Perfil - interna'!L364+'Perfil - externa'!L362=0,0,'Perfil - interna'!L364+'Perfil - externa'!L362)</f>
        <v>0</v>
      </c>
      <c r="M364" s="219">
        <f>IF('Perfil - interna'!M364+'Perfil - externa'!M362=0,0,'Perfil - interna'!M364+'Perfil - externa'!M362)</f>
        <v>29916701.638272181</v>
      </c>
      <c r="N364" s="219">
        <f>IF('Perfil - interna'!N364+'Perfil - externa'!N362=0,0,'Perfil - interna'!N364+'Perfil - externa'!N362)</f>
        <v>18907028.391358696</v>
      </c>
      <c r="O364" s="219">
        <f>IF('Perfil - interna'!O364+'Perfil - externa'!O362=0,0,'Perfil - interna'!O364+'Perfil - externa'!O362)</f>
        <v>26282005.483717576</v>
      </c>
      <c r="P364" s="219">
        <f>IF('Perfil - interna'!P364+'Perfil - externa'!P362=0,0,'Perfil - interna'!P364+'Perfil - externa'!P362)</f>
        <v>18863311.206376895</v>
      </c>
      <c r="Q364" s="219">
        <f>IF('Perfil - interna'!Q364+'Perfil - externa'!Q362=0,0,'Perfil - interna'!Q364+'Perfil - externa'!Q362)</f>
        <v>19556652.470077727</v>
      </c>
      <c r="R364" s="219">
        <f>IF('Perfil - interna'!R364+'Perfil - externa'!R362=0,0,'Perfil - interna'!R364+'Perfil - externa'!R362)</f>
        <v>14262053.248742159</v>
      </c>
      <c r="S364" s="219">
        <f>IF('Perfil - interna'!S364+'Perfil - externa'!S362=0,0,'Perfil - interna'!S364+'Perfil - externa'!S362)</f>
        <v>7766596.8148064036</v>
      </c>
      <c r="T364" s="219">
        <f>IF('Perfil - interna'!T364+'Perfil - externa'!T362=0,0,'Perfil - interna'!T364+'Perfil - externa'!T362)</f>
        <v>5463884.8158600051</v>
      </c>
      <c r="U364" s="219">
        <f>IF('Perfil - interna'!U364+'Perfil - externa'!U362=0,0,'Perfil - interna'!U364+'Perfil - externa'!U362)</f>
        <v>6661301.2898007529</v>
      </c>
      <c r="V364" s="219">
        <f>IF('Perfil - interna'!V364+'Perfil - externa'!V362=0,0,'Perfil - interna'!V364+'Perfil - externa'!V362)</f>
        <v>11350311.941970438</v>
      </c>
      <c r="W364" s="219">
        <f>IF('Perfil - interna'!W364+'Perfil - externa'!W362=0,0,'Perfil - interna'!W364+'Perfil - externa'!W362)</f>
        <v>3396784.7298968751</v>
      </c>
      <c r="X364" s="219">
        <f>IF('Perfil - interna'!X364+'Perfil - externa'!X362=0,0,'Perfil - interna'!X364+'Perfil - externa'!X362)</f>
        <v>1170396.2593941544</v>
      </c>
      <c r="Y364" s="219">
        <f>IF('Perfil - interna'!Y364+'Perfil - externa'!Y362=0,0,'Perfil - interna'!Y364+'Perfil - externa'!Y362)</f>
        <v>9343411.0223043896</v>
      </c>
      <c r="Z364" s="219">
        <f>IF('Perfil - interna'!Z364+'Perfil - externa'!Z362=0,0,'Perfil - interna'!Z364+'Perfil - externa'!Z362)</f>
        <v>16740903.524879575</v>
      </c>
      <c r="AA364" s="219">
        <f>IF('Perfil - interna'!AA364+'Perfil - externa'!AA362=0,0,'Perfil - interna'!AA364+'Perfil - externa'!AA362)</f>
        <v>891952.15706818586</v>
      </c>
      <c r="AB364" s="219">
        <f>IF('Perfil - interna'!AB364+'Perfil - externa'!AB362=0,0,'Perfil - interna'!AB364+'Perfil - externa'!AB362)</f>
        <v>845208.63383611909</v>
      </c>
      <c r="AC364" s="219">
        <f>IF('Perfil - interna'!AC364+'Perfil - externa'!AC362=0,0,'Perfil - interna'!AC364+'Perfil - externa'!AC362)</f>
        <v>2646373.300784383</v>
      </c>
      <c r="AD364" s="219">
        <f>IF('Perfil - interna'!AD364+'Perfil - externa'!AD362=0,0,'Perfil - interna'!AD364+'Perfil - externa'!AD362)</f>
        <v>741922.54731326841</v>
      </c>
      <c r="AE364" s="219">
        <f>IF('Perfil - interna'!AE364+'Perfil - externa'!AE362=0,0,'Perfil - interna'!AE364+'Perfil - externa'!AE362)</f>
        <v>602197.76112949871</v>
      </c>
      <c r="AF364" s="219">
        <f>IF('Perfil - interna'!AF364+'Perfil - externa'!AF362=0,0,'Perfil - interna'!AF364+'Perfil - externa'!AF362)</f>
        <v>485354.17973636166</v>
      </c>
      <c r="AG364" s="219">
        <f>IF('Perfil - interna'!AG364+'Perfil - externa'!AG362=0,0,'Perfil - interna'!AG364+'Perfil - externa'!AG362)</f>
        <v>439216.16226010479</v>
      </c>
      <c r="AH364" s="219">
        <f>IF('Perfil - interna'!AH364+'Perfil - externa'!AH362=0,0,'Perfil - interna'!AH364+'Perfil - externa'!AH362)</f>
        <v>414817.76747682283</v>
      </c>
      <c r="AI364" s="219">
        <f>IF('Perfil - interna'!AI364+'Perfil - externa'!AI362=0,0,'Perfil - interna'!AI364+'Perfil - externa'!AI362)</f>
        <v>913455.99377055012</v>
      </c>
      <c r="AJ364" s="219">
        <f>IF('Perfil - interna'!AJ364+'Perfil - externa'!AJ362=0,0,'Perfil - interna'!AJ364+'Perfil - externa'!AJ362)</f>
        <v>230254.43043089079</v>
      </c>
      <c r="AK364" s="219">
        <f>IF('Perfil - interna'!AK364+'Perfil - externa'!AK362=0,0,'Perfil - interna'!AK364+'Perfil - externa'!AK362)</f>
        <v>163946.8447838444</v>
      </c>
      <c r="AL364" s="219">
        <f>IF('Perfil - interna'!AL364+'Perfil - externa'!AL362=0,0,'Perfil - interna'!AL364+'Perfil - externa'!AL362)</f>
        <v>108411.20805427199</v>
      </c>
      <c r="AM364" s="219">
        <f>IF('Perfil - interna'!AM364+'Perfil - externa'!AM362=0,0,'Perfil - interna'!AM364+'Perfil - externa'!AM362)</f>
        <v>3515386.2106805863</v>
      </c>
      <c r="AN364" s="219">
        <f>IF('Perfil - interna'!AN364+'Perfil - externa'!AN362=0,0,'Perfil - interna'!AN364+'Perfil - externa'!AN362)</f>
        <v>5927.5368797383999</v>
      </c>
      <c r="AO364" s="219"/>
      <c r="AP364" s="219"/>
      <c r="AQ364" s="219"/>
      <c r="AR364" s="219"/>
      <c r="AS364" s="219"/>
      <c r="AT364" s="219"/>
      <c r="AU364" s="219"/>
      <c r="AV364" s="219"/>
      <c r="AW364" s="219"/>
      <c r="AX364" s="219"/>
      <c r="AY364" s="219"/>
      <c r="AZ364" s="219"/>
      <c r="BA364" s="219"/>
      <c r="BB364" s="219"/>
      <c r="BC364" s="219"/>
      <c r="BD364" s="219"/>
      <c r="BE364" s="219"/>
      <c r="BF364" s="219"/>
      <c r="BG364" s="219"/>
      <c r="BH364" s="219"/>
      <c r="BI364" s="219"/>
      <c r="BJ364" s="219"/>
      <c r="BK364" s="219"/>
    </row>
    <row r="365" spans="1:63">
      <c r="A365" s="170">
        <v>40513</v>
      </c>
      <c r="B365" s="220" t="str">
        <f>Servicio_internaColumna_título_intereses</f>
        <v>Intereses</v>
      </c>
      <c r="C365" s="221"/>
      <c r="D365" s="222"/>
      <c r="E365" s="222"/>
      <c r="F365" s="222">
        <f>IF('Perfil - interna'!F365+'Perfil - externa'!F363=0,0,'Perfil - interna'!F365+'Perfil - externa'!F363)</f>
        <v>0</v>
      </c>
      <c r="G365" s="222">
        <f>IF('Perfil - interna'!G365+'Perfil - externa'!G363=0,0,'Perfil - interna'!G365+'Perfil - externa'!G363)</f>
        <v>0</v>
      </c>
      <c r="H365" s="222">
        <f>IF('Perfil - interna'!H365+'Perfil - externa'!H363=0,0,'Perfil - interna'!H365+'Perfil - externa'!H363)</f>
        <v>0</v>
      </c>
      <c r="I365" s="222">
        <f>IF('Perfil - interna'!I365+'Perfil - externa'!I363=0,0,'Perfil - interna'!I365+'Perfil - externa'!I363)</f>
        <v>0</v>
      </c>
      <c r="J365" s="222">
        <f>IF('Perfil - interna'!J365+'Perfil - externa'!J363=0,0,'Perfil - interna'!J365+'Perfil - externa'!J363)</f>
        <v>0</v>
      </c>
      <c r="K365" s="222">
        <f>IF('Perfil - interna'!K365+'Perfil - externa'!K363=0,0,'Perfil - interna'!K365+'Perfil - externa'!K363)</f>
        <v>0</v>
      </c>
      <c r="L365" s="222">
        <f>IF('Perfil - interna'!L365+'Perfil - externa'!L363=0,0,'Perfil - interna'!L365+'Perfil - externa'!L363)</f>
        <v>0</v>
      </c>
      <c r="M365" s="222">
        <f>IF('Perfil - interna'!M365+'Perfil - externa'!M363=0,0,'Perfil - interna'!M365+'Perfil - externa'!M363)</f>
        <v>15234584.049055962</v>
      </c>
      <c r="N365" s="222">
        <f>IF('Perfil - interna'!N365+'Perfil - externa'!N363=0,0,'Perfil - interna'!N365+'Perfil - externa'!N363)</f>
        <v>13685263.545058245</v>
      </c>
      <c r="O365" s="222">
        <f>IF('Perfil - interna'!O365+'Perfil - externa'!O363=0,0,'Perfil - interna'!O365+'Perfil - externa'!O363)</f>
        <v>12010293.020764589</v>
      </c>
      <c r="P365" s="222">
        <f>IF('Perfil - interna'!P365+'Perfil - externa'!P363=0,0,'Perfil - interna'!P365+'Perfil - externa'!P363)</f>
        <v>10118967.733855469</v>
      </c>
      <c r="Q365" s="222">
        <f>IF('Perfil - interna'!Q365+'Perfil - externa'!Q363=0,0,'Perfil - interna'!Q365+'Perfil - externa'!Q363)</f>
        <v>8351771.7677878849</v>
      </c>
      <c r="R365" s="222">
        <f>IF('Perfil - interna'!R365+'Perfil - externa'!R363=0,0,'Perfil - interna'!R365+'Perfil - externa'!R363)</f>
        <v>6838634.4511750629</v>
      </c>
      <c r="S365" s="222">
        <f>IF('Perfil - interna'!S365+'Perfil - externa'!S363=0,0,'Perfil - interna'!S365+'Perfil - externa'!S363)</f>
        <v>5831591.6633728379</v>
      </c>
      <c r="T365" s="222">
        <f>IF('Perfil - interna'!T365+'Perfil - externa'!T363=0,0,'Perfil - interna'!T365+'Perfil - externa'!T363)</f>
        <v>5495109.2009814661</v>
      </c>
      <c r="U365" s="222">
        <f>IF('Perfil - interna'!U365+'Perfil - externa'!U363=0,0,'Perfil - interna'!U365+'Perfil - externa'!U363)</f>
        <v>4858119.080839538</v>
      </c>
      <c r="V365" s="222">
        <f>IF('Perfil - interna'!V365+'Perfil - externa'!V363=0,0,'Perfil - interna'!V365+'Perfil - externa'!V363)</f>
        <v>4526310.1892471509</v>
      </c>
      <c r="W365" s="222">
        <f>IF('Perfil - interna'!W365+'Perfil - externa'!W363=0,0,'Perfil - interna'!W365+'Perfil - externa'!W363)</f>
        <v>3447579.0057940725</v>
      </c>
      <c r="X365" s="222">
        <f>IF('Perfil - interna'!X365+'Perfil - externa'!X363=0,0,'Perfil - interna'!X365+'Perfil - externa'!X363)</f>
        <v>3225695.6497941283</v>
      </c>
      <c r="Y365" s="222">
        <f>IF('Perfil - interna'!Y365+'Perfil - externa'!Y363=0,0,'Perfil - interna'!Y365+'Perfil - externa'!Y363)</f>
        <v>3174665.3044653465</v>
      </c>
      <c r="Z365" s="222">
        <f>IF('Perfil - interna'!Z365+'Perfil - externa'!Z363=0,0,'Perfil - interna'!Z365+'Perfil - externa'!Z363)</f>
        <v>2464861.4581342065</v>
      </c>
      <c r="AA365" s="222">
        <f>IF('Perfil - interna'!AA365+'Perfil - externa'!AA363=0,0,'Perfil - interna'!AA365+'Perfil - externa'!AA363)</f>
        <v>945747.68420053157</v>
      </c>
      <c r="AB365" s="222">
        <f>IF('Perfil - interna'!AB365+'Perfil - externa'!AB363=0,0,'Perfil - interna'!AB365+'Perfil - externa'!AB363)</f>
        <v>893847.27150324034</v>
      </c>
      <c r="AC365" s="222">
        <f>IF('Perfil - interna'!AC365+'Perfil - externa'!AC363=0,0,'Perfil - interna'!AC365+'Perfil - externa'!AC363)</f>
        <v>835498.70068576571</v>
      </c>
      <c r="AD365" s="222">
        <f>IF('Perfil - interna'!AD365+'Perfil - externa'!AD363=0,0,'Perfil - interna'!AD365+'Perfil - externa'!AD363)</f>
        <v>620011.74850414495</v>
      </c>
      <c r="AE365" s="222">
        <f>IF('Perfil - interna'!AE365+'Perfil - externa'!AE363=0,0,'Perfil - interna'!AE365+'Perfil - externa'!AE363)</f>
        <v>582360.478088659</v>
      </c>
      <c r="AF365" s="222">
        <f>IF('Perfil - interna'!AF365+'Perfil - externa'!AF363=0,0,'Perfil - interna'!AF365+'Perfil - externa'!AF363)</f>
        <v>549835.98257707758</v>
      </c>
      <c r="AG365" s="222">
        <f>IF('Perfil - interna'!AG365+'Perfil - externa'!AG363=0,0,'Perfil - interna'!AG365+'Perfil - externa'!AG363)</f>
        <v>523736.20484487747</v>
      </c>
      <c r="AH365" s="222">
        <f>IF('Perfil - interna'!AH365+'Perfil - externa'!AH363=0,0,'Perfil - interna'!AH365+'Perfil - externa'!AH363)</f>
        <v>500278.16481926438</v>
      </c>
      <c r="AI365" s="222">
        <f>IF('Perfil - interna'!AI365+'Perfil - externa'!AI363=0,0,'Perfil - interna'!AI365+'Perfil - externa'!AI363)</f>
        <v>446087.67503283318</v>
      </c>
      <c r="AJ365" s="222">
        <f>IF('Perfil - interna'!AJ365+'Perfil - externa'!AJ363=0,0,'Perfil - interna'!AJ365+'Perfil - externa'!AJ363)</f>
        <v>399806.95578218863</v>
      </c>
      <c r="AK365" s="222">
        <f>IF('Perfil - interna'!AK365+'Perfil - externa'!AK363=0,0,'Perfil - interna'!AK365+'Perfil - externa'!AK363)</f>
        <v>388357.34921151079</v>
      </c>
      <c r="AL365" s="222">
        <f>IF('Perfil - interna'!AL365+'Perfil - externa'!AL363=0,0,'Perfil - interna'!AL365+'Perfil - externa'!AL363)</f>
        <v>380022.41791509185</v>
      </c>
      <c r="AM365" s="222">
        <f>IF('Perfil - interna'!AM365+'Perfil - externa'!AM363=0,0,'Perfil - interna'!AM365+'Perfil - externa'!AM363)</f>
        <v>374825.10111548979</v>
      </c>
      <c r="AN365" s="222">
        <f>IF('Perfil - interna'!AN365+'Perfil - externa'!AN363=0,0,'Perfil - interna'!AN365+'Perfil - externa'!AN363)</f>
        <v>117299.1787422246</v>
      </c>
      <c r="AO365" s="222"/>
      <c r="AP365" s="222"/>
      <c r="AQ365" s="222"/>
      <c r="AR365" s="222"/>
      <c r="AS365" s="222"/>
      <c r="AT365" s="222"/>
      <c r="AU365" s="222"/>
      <c r="AV365" s="222"/>
      <c r="AW365" s="222"/>
      <c r="AX365" s="222"/>
      <c r="AY365" s="222"/>
      <c r="AZ365" s="222"/>
      <c r="BA365" s="222"/>
      <c r="BB365" s="222"/>
      <c r="BC365" s="222"/>
      <c r="BD365" s="222"/>
      <c r="BE365" s="222"/>
      <c r="BF365" s="222"/>
      <c r="BG365" s="222"/>
      <c r="BH365" s="222"/>
      <c r="BI365" s="222"/>
      <c r="BJ365" s="222"/>
      <c r="BK365" s="222"/>
    </row>
    <row r="366" spans="1:63">
      <c r="A366" s="171"/>
      <c r="B366" s="318" t="str">
        <f>Servicio_internaColumna_título_total</f>
        <v>Total</v>
      </c>
      <c r="C366" s="319"/>
      <c r="D366" s="320"/>
      <c r="E366" s="320"/>
      <c r="F366" s="320">
        <f>IF('Perfil - interna'!F366+'Perfil - externa'!F364=0,0,'Perfil - interna'!F366+'Perfil - externa'!F364)</f>
        <v>0</v>
      </c>
      <c r="G366" s="320">
        <f>IF('Perfil - interna'!G366+'Perfil - externa'!G364=0,0,'Perfil - interna'!G366+'Perfil - externa'!G364)</f>
        <v>0</v>
      </c>
      <c r="H366" s="320">
        <f>IF('Perfil - interna'!H366+'Perfil - externa'!H364=0,0,'Perfil - interna'!H366+'Perfil - externa'!H364)</f>
        <v>0</v>
      </c>
      <c r="I366" s="320">
        <f>IF('Perfil - interna'!I366+'Perfil - externa'!I364=0,0,'Perfil - interna'!I366+'Perfil - externa'!I364)</f>
        <v>0</v>
      </c>
      <c r="J366" s="320">
        <f>IF('Perfil - interna'!J366+'Perfil - externa'!J364=0,0,'Perfil - interna'!J366+'Perfil - externa'!J364)</f>
        <v>0</v>
      </c>
      <c r="K366" s="320">
        <f>IF('Perfil - interna'!K366+'Perfil - externa'!K364=0,0,'Perfil - interna'!K366+'Perfil - externa'!K364)</f>
        <v>0</v>
      </c>
      <c r="L366" s="320">
        <f>IF('Perfil - interna'!L366+'Perfil - externa'!L364=0,0,'Perfil - interna'!L366+'Perfil - externa'!L364)</f>
        <v>0</v>
      </c>
      <c r="M366" s="320">
        <f>IF('Perfil - interna'!M366+'Perfil - externa'!M364=0,0,'Perfil - interna'!M366+'Perfil - externa'!M364)</f>
        <v>45151285.687328137</v>
      </c>
      <c r="N366" s="320">
        <f>IF('Perfil - interna'!N366+'Perfil - externa'!N364=0,0,'Perfil - interna'!N366+'Perfil - externa'!N364)</f>
        <v>32592291.936416943</v>
      </c>
      <c r="O366" s="320">
        <f>IF('Perfil - interna'!O366+'Perfil - externa'!O364=0,0,'Perfil - interna'!O366+'Perfil - externa'!O364)</f>
        <v>38292298.504482165</v>
      </c>
      <c r="P366" s="320">
        <f>IF('Perfil - interna'!P366+'Perfil - externa'!P364=0,0,'Perfil - interna'!P366+'Perfil - externa'!P364)</f>
        <v>28982278.940232363</v>
      </c>
      <c r="Q366" s="320">
        <f>IF('Perfil - interna'!Q366+'Perfil - externa'!Q364=0,0,'Perfil - interna'!Q366+'Perfil - externa'!Q364)</f>
        <v>27908424.237865612</v>
      </c>
      <c r="R366" s="320">
        <f>IF('Perfil - interna'!R366+'Perfil - externa'!R364=0,0,'Perfil - interna'!R366+'Perfil - externa'!R364)</f>
        <v>21100687.699917223</v>
      </c>
      <c r="S366" s="320">
        <f>IF('Perfil - interna'!S366+'Perfil - externa'!S364=0,0,'Perfil - interna'!S366+'Perfil - externa'!S364)</f>
        <v>13598188.478179242</v>
      </c>
      <c r="T366" s="320">
        <f>IF('Perfil - interna'!T366+'Perfil - externa'!T364=0,0,'Perfil - interna'!T366+'Perfil - externa'!T364)</f>
        <v>10958994.016841471</v>
      </c>
      <c r="U366" s="320">
        <f>IF('Perfil - interna'!U366+'Perfil - externa'!U364=0,0,'Perfil - interna'!U366+'Perfil - externa'!U364)</f>
        <v>11519420.370640289</v>
      </c>
      <c r="V366" s="320">
        <f>IF('Perfil - interna'!V366+'Perfil - externa'!V364=0,0,'Perfil - interna'!V366+'Perfil - externa'!V364)</f>
        <v>15876622.13121759</v>
      </c>
      <c r="W366" s="320">
        <f>IF('Perfil - interna'!W366+'Perfil - externa'!W364=0,0,'Perfil - interna'!W366+'Perfil - externa'!W364)</f>
        <v>6844363.7356909476</v>
      </c>
      <c r="X366" s="320">
        <f>IF('Perfil - interna'!X366+'Perfil - externa'!X364=0,0,'Perfil - interna'!X366+'Perfil - externa'!X364)</f>
        <v>4396091.9091882827</v>
      </c>
      <c r="Y366" s="320">
        <f>IF('Perfil - interna'!Y366+'Perfil - externa'!Y364=0,0,'Perfil - interna'!Y366+'Perfil - externa'!Y364)</f>
        <v>12518076.326769736</v>
      </c>
      <c r="Z366" s="320">
        <f>IF('Perfil - interna'!Z366+'Perfil - externa'!Z364=0,0,'Perfil - interna'!Z366+'Perfil - externa'!Z364)</f>
        <v>19205764.983013783</v>
      </c>
      <c r="AA366" s="320">
        <f>IF('Perfil - interna'!AA366+'Perfil - externa'!AA364=0,0,'Perfil - interna'!AA366+'Perfil - externa'!AA364)</f>
        <v>1837699.8412687173</v>
      </c>
      <c r="AB366" s="320">
        <f>IF('Perfil - interna'!AB366+'Perfil - externa'!AB364=0,0,'Perfil - interna'!AB366+'Perfil - externa'!AB364)</f>
        <v>1739055.9053393593</v>
      </c>
      <c r="AC366" s="320">
        <f>IF('Perfil - interna'!AC366+'Perfil - externa'!AC364=0,0,'Perfil - interna'!AC366+'Perfil - externa'!AC364)</f>
        <v>3481872.0014701486</v>
      </c>
      <c r="AD366" s="320">
        <f>IF('Perfil - interna'!AD366+'Perfil - externa'!AD364=0,0,'Perfil - interna'!AD366+'Perfil - externa'!AD364)</f>
        <v>1361934.2958174134</v>
      </c>
      <c r="AE366" s="320">
        <f>IF('Perfil - interna'!AE366+'Perfil - externa'!AE364=0,0,'Perfil - interna'!AE366+'Perfil - externa'!AE364)</f>
        <v>1184558.2392181577</v>
      </c>
      <c r="AF366" s="320">
        <f>IF('Perfil - interna'!AF366+'Perfil - externa'!AF364=0,0,'Perfil - interna'!AF366+'Perfil - externa'!AF364)</f>
        <v>1035190.1623134392</v>
      </c>
      <c r="AG366" s="320">
        <f>IF('Perfil - interna'!AG366+'Perfil - externa'!AG364=0,0,'Perfil - interna'!AG366+'Perfil - externa'!AG364)</f>
        <v>962952.36710498226</v>
      </c>
      <c r="AH366" s="320">
        <f>IF('Perfil - interna'!AH366+'Perfil - externa'!AH364=0,0,'Perfil - interna'!AH366+'Perfil - externa'!AH364)</f>
        <v>915095.93229608727</v>
      </c>
      <c r="AI366" s="320">
        <f>IF('Perfil - interna'!AI366+'Perfil - externa'!AI364=0,0,'Perfil - interna'!AI366+'Perfil - externa'!AI364)</f>
        <v>1359543.6688033834</v>
      </c>
      <c r="AJ366" s="320">
        <f>IF('Perfil - interna'!AJ366+'Perfil - externa'!AJ364=0,0,'Perfil - interna'!AJ366+'Perfil - externa'!AJ364)</f>
        <v>630061.38621307944</v>
      </c>
      <c r="AK366" s="320">
        <f>IF('Perfil - interna'!AK366+'Perfil - externa'!AK364=0,0,'Perfil - interna'!AK366+'Perfil - externa'!AK364)</f>
        <v>552304.19399535516</v>
      </c>
      <c r="AL366" s="320">
        <f>IF('Perfil - interna'!AL366+'Perfil - externa'!AL364=0,0,'Perfil - interna'!AL366+'Perfil - externa'!AL364)</f>
        <v>488433.62596936384</v>
      </c>
      <c r="AM366" s="320">
        <f>IF('Perfil - interna'!AM366+'Perfil - externa'!AM364=0,0,'Perfil - interna'!AM366+'Perfil - externa'!AM364)</f>
        <v>3890211.3117960761</v>
      </c>
      <c r="AN366" s="320">
        <f>IF('Perfil - interna'!AN366+'Perfil - externa'!AN364=0,0,'Perfil - interna'!AN366+'Perfil - externa'!AN364)</f>
        <v>123226.715621963</v>
      </c>
      <c r="AO366" s="320"/>
      <c r="AP366" s="320"/>
      <c r="AQ366" s="320"/>
      <c r="AR366" s="320"/>
      <c r="AS366" s="320"/>
      <c r="AT366" s="320"/>
      <c r="AU366" s="320"/>
      <c r="AV366" s="320"/>
      <c r="AW366" s="320"/>
      <c r="AX366" s="320"/>
      <c r="AY366" s="320"/>
      <c r="AZ366" s="320"/>
      <c r="BA366" s="320"/>
      <c r="BB366" s="320"/>
      <c r="BC366" s="320"/>
      <c r="BD366" s="320"/>
      <c r="BE366" s="320"/>
      <c r="BF366" s="320"/>
      <c r="BG366" s="320"/>
      <c r="BH366" s="320"/>
      <c r="BI366" s="320"/>
      <c r="BJ366" s="320"/>
      <c r="BK366" s="320"/>
    </row>
    <row r="367" spans="1:63">
      <c r="A367" s="167"/>
      <c r="B367" s="217" t="str">
        <f>Servicio_internaColumna_título_amortizaciones</f>
        <v>Amortizaciones</v>
      </c>
      <c r="C367" s="218"/>
      <c r="D367" s="219"/>
      <c r="E367" s="219"/>
      <c r="F367" s="219">
        <f>IF('Perfil - interna'!F367+'Perfil - externa'!F365=0,0,'Perfil - interna'!F367+'Perfil - externa'!F365)</f>
        <v>0</v>
      </c>
      <c r="G367" s="219">
        <f>IF('Perfil - interna'!G367+'Perfil - externa'!G365=0,0,'Perfil - interna'!G367+'Perfil - externa'!G365)</f>
        <v>0</v>
      </c>
      <c r="H367" s="219">
        <f>IF('Perfil - interna'!H367+'Perfil - externa'!H365=0,0,'Perfil - interna'!H367+'Perfil - externa'!H365)</f>
        <v>0</v>
      </c>
      <c r="I367" s="219">
        <f>IF('Perfil - interna'!I367+'Perfil - externa'!I365=0,0,'Perfil - interna'!I367+'Perfil - externa'!I365)</f>
        <v>0</v>
      </c>
      <c r="J367" s="219">
        <f>IF('Perfil - interna'!J367+'Perfil - externa'!J365=0,0,'Perfil - interna'!J367+'Perfil - externa'!J365)</f>
        <v>0</v>
      </c>
      <c r="K367" s="219">
        <f>IF('Perfil - interna'!K367+'Perfil - externa'!K365=0,0,'Perfil - interna'!K367+'Perfil - externa'!K365)</f>
        <v>0</v>
      </c>
      <c r="L367" s="219">
        <f>IF('Perfil - interna'!L367+'Perfil - externa'!L365=0,0,'Perfil - interna'!L367+'Perfil - externa'!L365)</f>
        <v>0</v>
      </c>
      <c r="M367" s="219">
        <f>IF('Perfil - interna'!M367+'Perfil - externa'!M365=0,0,'Perfil - interna'!M367+'Perfil - externa'!M365)</f>
        <v>22010714.665737614</v>
      </c>
      <c r="N367" s="219">
        <f>IF('Perfil - interna'!N367+'Perfil - externa'!N365=0,0,'Perfil - interna'!N367+'Perfil - externa'!N365)</f>
        <v>19001342.99106653</v>
      </c>
      <c r="O367" s="219">
        <f>IF('Perfil - interna'!O367+'Perfil - externa'!O365=0,0,'Perfil - interna'!O367+'Perfil - externa'!O365)</f>
        <v>26232455.053999357</v>
      </c>
      <c r="P367" s="219">
        <f>IF('Perfil - interna'!P367+'Perfil - externa'!P365=0,0,'Perfil - interna'!P367+'Perfil - externa'!P365)</f>
        <v>19330291.237617221</v>
      </c>
      <c r="Q367" s="219">
        <f>IF('Perfil - interna'!Q367+'Perfil - externa'!Q365=0,0,'Perfil - interna'!Q367+'Perfil - externa'!Q365)</f>
        <v>19511140.665632717</v>
      </c>
      <c r="R367" s="219">
        <f>IF('Perfil - interna'!R367+'Perfil - externa'!R365=0,0,'Perfil - interna'!R367+'Perfil - externa'!R365)</f>
        <v>14205864.34806975</v>
      </c>
      <c r="S367" s="219">
        <f>IF('Perfil - interna'!S367+'Perfil - externa'!S365=0,0,'Perfil - interna'!S367+'Perfil - externa'!S365)</f>
        <v>7841457.9268536475</v>
      </c>
      <c r="T367" s="219">
        <f>IF('Perfil - interna'!T367+'Perfil - externa'!T365=0,0,'Perfil - interna'!T367+'Perfil - externa'!T365)</f>
        <v>5727391.0805113809</v>
      </c>
      <c r="U367" s="219">
        <f>IF('Perfil - interna'!U367+'Perfil - externa'!U365=0,0,'Perfil - interna'!U367+'Perfil - externa'!U365)</f>
        <v>6504304.8165929336</v>
      </c>
      <c r="V367" s="219">
        <f>IF('Perfil - interna'!V367+'Perfil - externa'!V365=0,0,'Perfil - interna'!V367+'Perfil - externa'!V365)</f>
        <v>11266782.561182</v>
      </c>
      <c r="W367" s="219">
        <f>IF('Perfil - interna'!W367+'Perfil - externa'!W365=0,0,'Perfil - interna'!W367+'Perfil - externa'!W365)</f>
        <v>3358312.0596432458</v>
      </c>
      <c r="X367" s="219">
        <f>IF('Perfil - interna'!X367+'Perfil - externa'!X365=0,0,'Perfil - interna'!X367+'Perfil - externa'!X365)</f>
        <v>1137067.2224358765</v>
      </c>
      <c r="Y367" s="219">
        <f>IF('Perfil - interna'!Y367+'Perfil - externa'!Y365=0,0,'Perfil - interna'!Y367+'Perfil - externa'!Y365)</f>
        <v>9525066.0253668856</v>
      </c>
      <c r="Z367" s="219">
        <f>IF('Perfil - interna'!Z367+'Perfil - externa'!Z365=0,0,'Perfil - interna'!Z367+'Perfil - externa'!Z365)</f>
        <v>16966830.509041041</v>
      </c>
      <c r="AA367" s="219">
        <f>IF('Perfil - interna'!AA367+'Perfil - externa'!AA365=0,0,'Perfil - interna'!AA367+'Perfil - externa'!AA365)</f>
        <v>865910.96490045032</v>
      </c>
      <c r="AB367" s="219">
        <f>IF('Perfil - interna'!AB367+'Perfil - externa'!AB365=0,0,'Perfil - interna'!AB367+'Perfil - externa'!AB365)</f>
        <v>820535.0825533435</v>
      </c>
      <c r="AC367" s="219">
        <f>IF('Perfil - interna'!AC367+'Perfil - externa'!AC365=0,0,'Perfil - interna'!AC367+'Perfil - externa'!AC365)</f>
        <v>2615062.9893350126</v>
      </c>
      <c r="AD367" s="219">
        <f>IF('Perfil - interna'!AD367+'Perfil - externa'!AD365=0,0,'Perfil - interna'!AD367+'Perfil - externa'!AD365)</f>
        <v>720230.03680140339</v>
      </c>
      <c r="AE367" s="219">
        <f>IF('Perfil - interna'!AE367+'Perfil - externa'!AE365=0,0,'Perfil - interna'!AE367+'Perfil - externa'!AE365)</f>
        <v>584593.37485419353</v>
      </c>
      <c r="AF367" s="219">
        <f>IF('Perfil - interna'!AF367+'Perfil - externa'!AF365=0,0,'Perfil - interna'!AF367+'Perfil - externa'!AF365)</f>
        <v>471168.45016489644</v>
      </c>
      <c r="AG367" s="219">
        <f>IF('Perfil - interna'!AG367+'Perfil - externa'!AG365=0,0,'Perfil - interna'!AG367+'Perfil - externa'!AG365)</f>
        <v>426424.59505356918</v>
      </c>
      <c r="AH367" s="219">
        <f>IF('Perfil - interna'!AH367+'Perfil - externa'!AH365=0,0,'Perfil - interna'!AH367+'Perfil - externa'!AH365)</f>
        <v>402695.87347818998</v>
      </c>
      <c r="AI367" s="219">
        <f>IF('Perfil - interna'!AI367+'Perfil - externa'!AI365=0,0,'Perfil - interna'!AI367+'Perfil - externa'!AI365)</f>
        <v>886744.79384954961</v>
      </c>
      <c r="AJ367" s="219">
        <f>IF('Perfil - interna'!AJ367+'Perfil - externa'!AJ365=0,0,'Perfil - interna'!AJ367+'Perfil - externa'!AJ365)</f>
        <v>223532.6178321304</v>
      </c>
      <c r="AK367" s="219">
        <f>IF('Perfil - interna'!AK367+'Perfil - externa'!AK365=0,0,'Perfil - interna'!AK367+'Perfil - externa'!AK365)</f>
        <v>159165.08631116402</v>
      </c>
      <c r="AL367" s="219">
        <f>IF('Perfil - interna'!AL367+'Perfil - externa'!AL365=0,0,'Perfil - interna'!AL367+'Perfil - externa'!AL365)</f>
        <v>105253.4474369914</v>
      </c>
      <c r="AM367" s="219">
        <f>IF('Perfil - interna'!AM367+'Perfil - externa'!AM365=0,0,'Perfil - interna'!AM367+'Perfil - externa'!AM365)</f>
        <v>3412544.9191614185</v>
      </c>
      <c r="AN367" s="219">
        <f>IF('Perfil - interna'!AN367+'Perfil - externa'!AN365=0,0,'Perfil - interna'!AN367+'Perfil - externa'!AN365)</f>
        <v>5754.1066112584003</v>
      </c>
      <c r="AO367" s="219"/>
      <c r="AP367" s="219"/>
      <c r="AQ367" s="219"/>
      <c r="AR367" s="219"/>
      <c r="AS367" s="219"/>
      <c r="AT367" s="219"/>
      <c r="AU367" s="219"/>
      <c r="AV367" s="219"/>
      <c r="AW367" s="219"/>
      <c r="AX367" s="219"/>
      <c r="AY367" s="219"/>
      <c r="AZ367" s="219"/>
      <c r="BA367" s="219"/>
      <c r="BB367" s="219"/>
      <c r="BC367" s="219"/>
      <c r="BD367" s="219"/>
      <c r="BE367" s="219"/>
      <c r="BF367" s="219"/>
      <c r="BG367" s="219"/>
      <c r="BH367" s="219"/>
      <c r="BI367" s="219"/>
      <c r="BJ367" s="219"/>
      <c r="BK367" s="219"/>
    </row>
    <row r="368" spans="1:63">
      <c r="A368" s="170">
        <v>40544</v>
      </c>
      <c r="B368" s="220" t="str">
        <f>Servicio_internaColumna_título_intereses</f>
        <v>Intereses</v>
      </c>
      <c r="C368" s="221"/>
      <c r="D368" s="222"/>
      <c r="E368" s="222"/>
      <c r="F368" s="222">
        <f>IF('Perfil - interna'!F368+'Perfil - externa'!F366=0,0,'Perfil - interna'!F368+'Perfil - externa'!F366)</f>
        <v>0</v>
      </c>
      <c r="G368" s="222">
        <f>IF('Perfil - interna'!G368+'Perfil - externa'!G366=0,0,'Perfil - interna'!G368+'Perfil - externa'!G366)</f>
        <v>0</v>
      </c>
      <c r="H368" s="222">
        <f>IF('Perfil - interna'!H368+'Perfil - externa'!H366=0,0,'Perfil - interna'!H368+'Perfil - externa'!H366)</f>
        <v>0</v>
      </c>
      <c r="I368" s="222">
        <f>IF('Perfil - interna'!I368+'Perfil - externa'!I366=0,0,'Perfil - interna'!I368+'Perfil - externa'!I366)</f>
        <v>0</v>
      </c>
      <c r="J368" s="222">
        <f>IF('Perfil - interna'!J368+'Perfil - externa'!J366=0,0,'Perfil - interna'!J368+'Perfil - externa'!J366)</f>
        <v>0</v>
      </c>
      <c r="K368" s="222">
        <f>IF('Perfil - interna'!K368+'Perfil - externa'!K366=0,0,'Perfil - interna'!K368+'Perfil - externa'!K366)</f>
        <v>0</v>
      </c>
      <c r="L368" s="222">
        <f>IF('Perfil - interna'!L368+'Perfil - externa'!L366=0,0,'Perfil - interna'!L368+'Perfil - externa'!L366)</f>
        <v>0</v>
      </c>
      <c r="M368" s="222">
        <f>IF('Perfil - interna'!M368+'Perfil - externa'!M366=0,0,'Perfil - interna'!M368+'Perfil - externa'!M366)</f>
        <v>14769550.939215589</v>
      </c>
      <c r="N368" s="222">
        <f>IF('Perfil - interna'!N368+'Perfil - externa'!N366=0,0,'Perfil - interna'!N368+'Perfil - externa'!N366)</f>
        <v>13803810.143416204</v>
      </c>
      <c r="O368" s="222">
        <f>IF('Perfil - interna'!O368+'Perfil - externa'!O366=0,0,'Perfil - interna'!O368+'Perfil - externa'!O366)</f>
        <v>12119559.718816888</v>
      </c>
      <c r="P368" s="222">
        <f>IF('Perfil - interna'!P368+'Perfil - externa'!P366=0,0,'Perfil - interna'!P368+'Perfil - externa'!P366)</f>
        <v>10203539.023296485</v>
      </c>
      <c r="Q368" s="222">
        <f>IF('Perfil - interna'!Q368+'Perfil - externa'!Q366=0,0,'Perfil - interna'!Q368+'Perfil - externa'!Q366)</f>
        <v>8379036.608661551</v>
      </c>
      <c r="R368" s="222">
        <f>IF('Perfil - interna'!R368+'Perfil - externa'!R366=0,0,'Perfil - interna'!R368+'Perfil - externa'!R366)</f>
        <v>6863778.8211966325</v>
      </c>
      <c r="S368" s="222">
        <f>IF('Perfil - interna'!S368+'Perfil - externa'!S366=0,0,'Perfil - interna'!S368+'Perfil - externa'!S366)</f>
        <v>5859577.8944070712</v>
      </c>
      <c r="T368" s="222">
        <f>IF('Perfil - interna'!T368+'Perfil - externa'!T366=0,0,'Perfil - interna'!T368+'Perfil - externa'!T366)</f>
        <v>5517492.1672314983</v>
      </c>
      <c r="U368" s="222">
        <f>IF('Perfil - interna'!U368+'Perfil - externa'!U366=0,0,'Perfil - interna'!U368+'Perfil - externa'!U366)</f>
        <v>4851908.0425963234</v>
      </c>
      <c r="V368" s="222">
        <f>IF('Perfil - interna'!V368+'Perfil - externa'!V366=0,0,'Perfil - interna'!V368+'Perfil - externa'!V366)</f>
        <v>4529294.5415639337</v>
      </c>
      <c r="W368" s="222">
        <f>IF('Perfil - interna'!W368+'Perfil - externa'!W366=0,0,'Perfil - interna'!W368+'Perfil - externa'!W366)</f>
        <v>3455662.1582260244</v>
      </c>
      <c r="X368" s="222">
        <f>IF('Perfil - interna'!X368+'Perfil - externa'!X366=0,0,'Perfil - interna'!X368+'Perfil - externa'!X366)</f>
        <v>3236093.7243534266</v>
      </c>
      <c r="Y368" s="222">
        <f>IF('Perfil - interna'!Y368+'Perfil - externa'!Y366=0,0,'Perfil - interna'!Y368+'Perfil - externa'!Y366)</f>
        <v>3188348.2660648599</v>
      </c>
      <c r="Z368" s="222">
        <f>IF('Perfil - interna'!Z368+'Perfil - externa'!Z366=0,0,'Perfil - interna'!Z368+'Perfil - externa'!Z366)</f>
        <v>2469788.2401498584</v>
      </c>
      <c r="AA368" s="222">
        <f>IF('Perfil - interna'!AA368+'Perfil - externa'!AA366=0,0,'Perfil - interna'!AA368+'Perfil - externa'!AA366)</f>
        <v>923122.09491929132</v>
      </c>
      <c r="AB368" s="222">
        <f>IF('Perfil - interna'!AB368+'Perfil - externa'!AB366=0,0,'Perfil - interna'!AB368+'Perfil - externa'!AB366)</f>
        <v>873419.00946245668</v>
      </c>
      <c r="AC368" s="222">
        <f>IF('Perfil - interna'!AC368+'Perfil - externa'!AC366=0,0,'Perfil - interna'!AC368+'Perfil - externa'!AC366)</f>
        <v>816404.46480117633</v>
      </c>
      <c r="AD368" s="222">
        <f>IF('Perfil - interna'!AD368+'Perfil - externa'!AD366=0,0,'Perfil - interna'!AD368+'Perfil - externa'!AD366)</f>
        <v>602662.04110035091</v>
      </c>
      <c r="AE368" s="222">
        <f>IF('Perfil - interna'!AE368+'Perfil - externa'!AE366=0,0,'Perfil - interna'!AE368+'Perfil - externa'!AE366)</f>
        <v>565992.43615123874</v>
      </c>
      <c r="AF368" s="222">
        <f>IF('Perfil - interna'!AF368+'Perfil - externa'!AF366=0,0,'Perfil - interna'!AF368+'Perfil - externa'!AF366)</f>
        <v>534224.18625098537</v>
      </c>
      <c r="AG368" s="222">
        <f>IF('Perfil - interna'!AG368+'Perfil - externa'!AG366=0,0,'Perfil - interna'!AG368+'Perfil - externa'!AG366)</f>
        <v>508767.67101173114</v>
      </c>
      <c r="AH368" s="222">
        <f>IF('Perfil - interna'!AH368+'Perfil - externa'!AH366=0,0,'Perfil - interna'!AH368+'Perfil - externa'!AH366)</f>
        <v>485839.85954789241</v>
      </c>
      <c r="AI368" s="222">
        <f>IF('Perfil - interna'!AI368+'Perfil - externa'!AI366=0,0,'Perfil - interna'!AI368+'Perfil - externa'!AI366)</f>
        <v>433108.38716248103</v>
      </c>
      <c r="AJ368" s="222">
        <f>IF('Perfil - interna'!AJ368+'Perfil - externa'!AJ366=0,0,'Perfil - interna'!AJ368+'Perfil - externa'!AJ366)</f>
        <v>388226.66241033486</v>
      </c>
      <c r="AK368" s="222">
        <f>IF('Perfil - interna'!AK368+'Perfil - externa'!AK366=0,0,'Perfil - interna'!AK368+'Perfil - externa'!AK366)</f>
        <v>377061.11307627423</v>
      </c>
      <c r="AL368" s="222">
        <f>IF('Perfil - interna'!AL368+'Perfil - externa'!AL366=0,0,'Perfil - interna'!AL368+'Perfil - externa'!AL366)</f>
        <v>368904.03836469393</v>
      </c>
      <c r="AM368" s="222">
        <f>IF('Perfil - interna'!AM368+'Perfil - externa'!AM366=0,0,'Perfil - interna'!AM368+'Perfil - externa'!AM366)</f>
        <v>363858.44988913822</v>
      </c>
      <c r="AN368" s="222">
        <f>IF('Perfil - interna'!AN368+'Perfil - externa'!AN366=0,0,'Perfil - interna'!AN368+'Perfil - externa'!AN366)</f>
        <v>113867.1919871046</v>
      </c>
      <c r="AO368" s="222"/>
      <c r="AP368" s="222"/>
      <c r="AQ368" s="222"/>
      <c r="AR368" s="222"/>
      <c r="AS368" s="222"/>
      <c r="AT368" s="222"/>
      <c r="AU368" s="222"/>
      <c r="AV368" s="222"/>
      <c r="AW368" s="222"/>
      <c r="AX368" s="222"/>
      <c r="AY368" s="222"/>
      <c r="AZ368" s="222"/>
      <c r="BA368" s="222"/>
      <c r="BB368" s="222"/>
      <c r="BC368" s="222"/>
      <c r="BD368" s="222"/>
      <c r="BE368" s="222"/>
      <c r="BF368" s="222"/>
      <c r="BG368" s="222"/>
      <c r="BH368" s="222"/>
      <c r="BI368" s="222"/>
      <c r="BJ368" s="222"/>
      <c r="BK368" s="222"/>
    </row>
    <row r="369" spans="1:63">
      <c r="A369" s="171"/>
      <c r="B369" s="318" t="str">
        <f>Servicio_internaColumna_título_total</f>
        <v>Total</v>
      </c>
      <c r="C369" s="319"/>
      <c r="D369" s="320"/>
      <c r="E369" s="320"/>
      <c r="F369" s="320">
        <f>IF('Perfil - interna'!F369+'Perfil - externa'!F367=0,0,'Perfil - interna'!F369+'Perfil - externa'!F367)</f>
        <v>0</v>
      </c>
      <c r="G369" s="320">
        <f>IF('Perfil - interna'!G369+'Perfil - externa'!G367=0,0,'Perfil - interna'!G369+'Perfil - externa'!G367)</f>
        <v>0</v>
      </c>
      <c r="H369" s="320">
        <f>IF('Perfil - interna'!H369+'Perfil - externa'!H367=0,0,'Perfil - interna'!H369+'Perfil - externa'!H367)</f>
        <v>0</v>
      </c>
      <c r="I369" s="320">
        <f>IF('Perfil - interna'!I369+'Perfil - externa'!I367=0,0,'Perfil - interna'!I369+'Perfil - externa'!I367)</f>
        <v>0</v>
      </c>
      <c r="J369" s="320">
        <f>IF('Perfil - interna'!J369+'Perfil - externa'!J367=0,0,'Perfil - interna'!J369+'Perfil - externa'!J367)</f>
        <v>0</v>
      </c>
      <c r="K369" s="320">
        <f>IF('Perfil - interna'!K369+'Perfil - externa'!K367=0,0,'Perfil - interna'!K369+'Perfil - externa'!K367)</f>
        <v>0</v>
      </c>
      <c r="L369" s="320">
        <f>IF('Perfil - interna'!L369+'Perfil - externa'!L367=0,0,'Perfil - interna'!L369+'Perfil - externa'!L367)</f>
        <v>0</v>
      </c>
      <c r="M369" s="320">
        <f>IF('Perfil - interna'!M369+'Perfil - externa'!M367=0,0,'Perfil - interna'!M369+'Perfil - externa'!M367)</f>
        <v>36780265.604953207</v>
      </c>
      <c r="N369" s="320">
        <f>IF('Perfil - interna'!N369+'Perfil - externa'!N367=0,0,'Perfil - interna'!N369+'Perfil - externa'!N367)</f>
        <v>32805153.134482734</v>
      </c>
      <c r="O369" s="320">
        <f>IF('Perfil - interna'!O369+'Perfil - externa'!O367=0,0,'Perfil - interna'!O369+'Perfil - externa'!O367)</f>
        <v>38352014.772816241</v>
      </c>
      <c r="P369" s="320">
        <f>IF('Perfil - interna'!P369+'Perfil - externa'!P367=0,0,'Perfil - interna'!P369+'Perfil - externa'!P367)</f>
        <v>29533830.260913707</v>
      </c>
      <c r="Q369" s="320">
        <f>IF('Perfil - interna'!Q369+'Perfil - externa'!Q367=0,0,'Perfil - interna'!Q369+'Perfil - externa'!Q367)</f>
        <v>27890177.274294268</v>
      </c>
      <c r="R369" s="320">
        <f>IF('Perfil - interna'!R369+'Perfil - externa'!R367=0,0,'Perfil - interna'!R369+'Perfil - externa'!R367)</f>
        <v>21069643.16926638</v>
      </c>
      <c r="S369" s="320">
        <f>IF('Perfil - interna'!S369+'Perfil - externa'!S367=0,0,'Perfil - interna'!S369+'Perfil - externa'!S367)</f>
        <v>13701035.821260719</v>
      </c>
      <c r="T369" s="320">
        <f>IF('Perfil - interna'!T369+'Perfil - externa'!T367=0,0,'Perfil - interna'!T369+'Perfil - externa'!T367)</f>
        <v>11244883.24774288</v>
      </c>
      <c r="U369" s="320">
        <f>IF('Perfil - interna'!U369+'Perfil - externa'!U367=0,0,'Perfil - interna'!U369+'Perfil - externa'!U367)</f>
        <v>11356212.859189257</v>
      </c>
      <c r="V369" s="320">
        <f>IF('Perfil - interna'!V369+'Perfil - externa'!V367=0,0,'Perfil - interna'!V369+'Perfil - externa'!V367)</f>
        <v>15796077.102745933</v>
      </c>
      <c r="W369" s="320">
        <f>IF('Perfil - interna'!W369+'Perfil - externa'!W367=0,0,'Perfil - interna'!W369+'Perfil - externa'!W367)</f>
        <v>6813974.2178692697</v>
      </c>
      <c r="X369" s="320">
        <f>IF('Perfil - interna'!X369+'Perfil - externa'!X367=0,0,'Perfil - interna'!X369+'Perfil - externa'!X367)</f>
        <v>4373160.9467893029</v>
      </c>
      <c r="Y369" s="320">
        <f>IF('Perfil - interna'!Y369+'Perfil - externa'!Y367=0,0,'Perfil - interna'!Y369+'Perfil - externa'!Y367)</f>
        <v>12713414.291431746</v>
      </c>
      <c r="Z369" s="320">
        <f>IF('Perfil - interna'!Z369+'Perfil - externa'!Z367=0,0,'Perfil - interna'!Z369+'Perfil - externa'!Z367)</f>
        <v>19436618.749190897</v>
      </c>
      <c r="AA369" s="320">
        <f>IF('Perfil - interna'!AA369+'Perfil - externa'!AA367=0,0,'Perfil - interna'!AA369+'Perfil - externa'!AA367)</f>
        <v>1789033.0598197416</v>
      </c>
      <c r="AB369" s="320">
        <f>IF('Perfil - interna'!AB369+'Perfil - externa'!AB367=0,0,'Perfil - interna'!AB369+'Perfil - externa'!AB367)</f>
        <v>1693954.0920158001</v>
      </c>
      <c r="AC369" s="320">
        <f>IF('Perfil - interna'!AC369+'Perfil - externa'!AC367=0,0,'Perfil - interna'!AC369+'Perfil - externa'!AC367)</f>
        <v>3431467.4541361891</v>
      </c>
      <c r="AD369" s="320">
        <f>IF('Perfil - interna'!AD369+'Perfil - externa'!AD367=0,0,'Perfil - interna'!AD369+'Perfil - externa'!AD367)</f>
        <v>1322892.0779017543</v>
      </c>
      <c r="AE369" s="320">
        <f>IF('Perfil - interna'!AE369+'Perfil - externa'!AE367=0,0,'Perfil - interna'!AE369+'Perfil - externa'!AE367)</f>
        <v>1150585.8110054322</v>
      </c>
      <c r="AF369" s="320">
        <f>IF('Perfil - interna'!AF369+'Perfil - externa'!AF367=0,0,'Perfil - interna'!AF369+'Perfil - externa'!AF367)</f>
        <v>1005392.6364158818</v>
      </c>
      <c r="AG369" s="320">
        <f>IF('Perfil - interna'!AG369+'Perfil - externa'!AG367=0,0,'Perfil - interna'!AG369+'Perfil - externa'!AG367)</f>
        <v>935192.26606530033</v>
      </c>
      <c r="AH369" s="320">
        <f>IF('Perfil - interna'!AH369+'Perfil - externa'!AH367=0,0,'Perfil - interna'!AH369+'Perfil - externa'!AH367)</f>
        <v>888535.73302608239</v>
      </c>
      <c r="AI369" s="320">
        <f>IF('Perfil - interna'!AI369+'Perfil - externa'!AI367=0,0,'Perfil - interna'!AI369+'Perfil - externa'!AI367)</f>
        <v>1319853.1810120307</v>
      </c>
      <c r="AJ369" s="320">
        <f>IF('Perfil - interna'!AJ369+'Perfil - externa'!AJ367=0,0,'Perfil - interna'!AJ369+'Perfil - externa'!AJ367)</f>
        <v>611759.2802424652</v>
      </c>
      <c r="AK369" s="320">
        <f>IF('Perfil - interna'!AK369+'Perfil - externa'!AK367=0,0,'Perfil - interna'!AK369+'Perfil - externa'!AK367)</f>
        <v>536226.19938743825</v>
      </c>
      <c r="AL369" s="320">
        <f>IF('Perfil - interna'!AL369+'Perfil - externa'!AL367=0,0,'Perfil - interna'!AL369+'Perfil - externa'!AL367)</f>
        <v>474157.48580168531</v>
      </c>
      <c r="AM369" s="320">
        <f>IF('Perfil - interna'!AM369+'Perfil - externa'!AM367=0,0,'Perfil - interna'!AM369+'Perfil - externa'!AM367)</f>
        <v>3776403.3690505568</v>
      </c>
      <c r="AN369" s="320">
        <f>IF('Perfil - interna'!AN369+'Perfil - externa'!AN367=0,0,'Perfil - interna'!AN369+'Perfil - externa'!AN367)</f>
        <v>119621.29859836299</v>
      </c>
      <c r="AO369" s="320"/>
      <c r="AP369" s="320"/>
      <c r="AQ369" s="320"/>
      <c r="AR369" s="320"/>
      <c r="AS369" s="320"/>
      <c r="AT369" s="320"/>
      <c r="AU369" s="320"/>
      <c r="AV369" s="320"/>
      <c r="AW369" s="320"/>
      <c r="AX369" s="320"/>
      <c r="AY369" s="320"/>
      <c r="AZ369" s="320"/>
      <c r="BA369" s="320"/>
      <c r="BB369" s="320"/>
      <c r="BC369" s="320"/>
      <c r="BD369" s="320"/>
      <c r="BE369" s="320"/>
      <c r="BF369" s="320"/>
      <c r="BG369" s="320"/>
      <c r="BH369" s="320"/>
      <c r="BI369" s="320"/>
      <c r="BJ369" s="320"/>
      <c r="BK369" s="320"/>
    </row>
    <row r="370" spans="1:63">
      <c r="A370" s="167"/>
      <c r="B370" s="217" t="str">
        <f>Servicio_internaColumna_título_amortizaciones</f>
        <v>Amortizaciones</v>
      </c>
      <c r="C370" s="218"/>
      <c r="D370" s="219"/>
      <c r="E370" s="219"/>
      <c r="F370" s="219">
        <f>IF('Perfil - interna'!F370+'Perfil - externa'!F368=0,0,'Perfil - interna'!F370+'Perfil - externa'!F368)</f>
        <v>0</v>
      </c>
      <c r="G370" s="219">
        <f>IF('Perfil - interna'!G370+'Perfil - externa'!G368=0,0,'Perfil - interna'!G370+'Perfil - externa'!G368)</f>
        <v>0</v>
      </c>
      <c r="H370" s="219">
        <f>IF('Perfil - interna'!H370+'Perfil - externa'!H368=0,0,'Perfil - interna'!H370+'Perfil - externa'!H368)</f>
        <v>0</v>
      </c>
      <c r="I370" s="219">
        <f>IF('Perfil - interna'!I370+'Perfil - externa'!I368=0,0,'Perfil - interna'!I370+'Perfil - externa'!I368)</f>
        <v>0</v>
      </c>
      <c r="J370" s="219">
        <f>IF('Perfil - interna'!J370+'Perfil - externa'!J368=0,0,'Perfil - interna'!J370+'Perfil - externa'!J368)</f>
        <v>0</v>
      </c>
      <c r="K370" s="219">
        <f>IF('Perfil - interna'!K370+'Perfil - externa'!K368=0,0,'Perfil - interna'!K370+'Perfil - externa'!K368)</f>
        <v>0</v>
      </c>
      <c r="L370" s="219">
        <f>IF('Perfil - interna'!L370+'Perfil - externa'!L368=0,0,'Perfil - interna'!L370+'Perfil - externa'!L368)</f>
        <v>0</v>
      </c>
      <c r="M370" s="219">
        <f>IF('Perfil - interna'!M370+'Perfil - externa'!M368=0,0,'Perfil - interna'!M370+'Perfil - externa'!M368)</f>
        <v>21703796.980106555</v>
      </c>
      <c r="N370" s="219">
        <f>IF('Perfil - interna'!N370+'Perfil - externa'!N368=0,0,'Perfil - interna'!N370+'Perfil - externa'!N368)</f>
        <v>19198542.735977609</v>
      </c>
      <c r="O370" s="219">
        <f>IF('Perfil - interna'!O370+'Perfil - externa'!O368=0,0,'Perfil - interna'!O370+'Perfil - externa'!O368)</f>
        <v>26352629.100876845</v>
      </c>
      <c r="P370" s="219">
        <f>IF('Perfil - interna'!P370+'Perfil - externa'!P368=0,0,'Perfil - interna'!P370+'Perfil - externa'!P368)</f>
        <v>20286280.554305997</v>
      </c>
      <c r="Q370" s="219">
        <f>IF('Perfil - interna'!Q370+'Perfil - externa'!Q368=0,0,'Perfil - interna'!Q370+'Perfil - externa'!Q368)</f>
        <v>19857902.547539633</v>
      </c>
      <c r="R370" s="219">
        <f>IF('Perfil - interna'!R370+'Perfil - externa'!R368=0,0,'Perfil - interna'!R370+'Perfil - externa'!R368)</f>
        <v>14363921.309894357</v>
      </c>
      <c r="S370" s="219">
        <f>IF('Perfil - interna'!S370+'Perfil - externa'!S368=0,0,'Perfil - interna'!S370+'Perfil - externa'!S368)</f>
        <v>8186341.5571830589</v>
      </c>
      <c r="T370" s="219">
        <f>IF('Perfil - interna'!T370+'Perfil - externa'!T368=0,0,'Perfil - interna'!T370+'Perfil - externa'!T368)</f>
        <v>6137068.6691871062</v>
      </c>
      <c r="U370" s="219">
        <f>IF('Perfil - interna'!U370+'Perfil - externa'!U368=0,0,'Perfil - interna'!U370+'Perfil - externa'!U368)</f>
        <v>6696617.0650250297</v>
      </c>
      <c r="V370" s="219">
        <f>IF('Perfil - interna'!V370+'Perfil - externa'!V368=0,0,'Perfil - interna'!V370+'Perfil - externa'!V368)</f>
        <v>11325167.932636824</v>
      </c>
      <c r="W370" s="219">
        <f>IF('Perfil - interna'!W370+'Perfil - externa'!W368=0,0,'Perfil - interna'!W370+'Perfil - externa'!W368)</f>
        <v>3443336.3060181052</v>
      </c>
      <c r="X370" s="219">
        <f>IF('Perfil - interna'!X370+'Perfil - externa'!X368=0,0,'Perfil - interna'!X370+'Perfil - externa'!X368)</f>
        <v>1160379.0477388767</v>
      </c>
      <c r="Y370" s="219">
        <f>IF('Perfil - interna'!Y370+'Perfil - externa'!Y368=0,0,'Perfil - interna'!Y370+'Perfil - externa'!Y368)</f>
        <v>9698774.0659294985</v>
      </c>
      <c r="Z370" s="219">
        <f>IF('Perfil - interna'!Z370+'Perfil - externa'!Z368=0,0,'Perfil - interna'!Z370+'Perfil - externa'!Z368)</f>
        <v>17238840.479668237</v>
      </c>
      <c r="AA370" s="219">
        <f>IF('Perfil - interna'!AA370+'Perfil - externa'!AA368=0,0,'Perfil - interna'!AA370+'Perfil - externa'!AA368)</f>
        <v>883491.61371427809</v>
      </c>
      <c r="AB370" s="219">
        <f>IF('Perfil - interna'!AB370+'Perfil - externa'!AB368=0,0,'Perfil - interna'!AB370+'Perfil - externa'!AB368)</f>
        <v>837197.94666368421</v>
      </c>
      <c r="AC370" s="219">
        <f>IF('Perfil - interna'!AC370+'Perfil - externa'!AC368=0,0,'Perfil - interna'!AC370+'Perfil - externa'!AC368)</f>
        <v>2680753.2417997792</v>
      </c>
      <c r="AD370" s="219">
        <f>IF('Perfil - interna'!AD370+'Perfil - externa'!AD368=0,0,'Perfil - interna'!AD370+'Perfil - externa'!AD368)</f>
        <v>734813.59479928343</v>
      </c>
      <c r="AE370" s="219">
        <f>IF('Perfil - interna'!AE370+'Perfil - externa'!AE368=0,0,'Perfil - interna'!AE370+'Perfil - externa'!AE368)</f>
        <v>596433.50948046788</v>
      </c>
      <c r="AF370" s="219">
        <f>IF('Perfil - interna'!AF370+'Perfil - externa'!AF368=0,0,'Perfil - interna'!AF370+'Perfil - externa'!AF368)</f>
        <v>480714.42195312964</v>
      </c>
      <c r="AG370" s="219">
        <f>IF('Perfil - interna'!AG370+'Perfil - externa'!AG368=0,0,'Perfil - interna'!AG370+'Perfil - externa'!AG368)</f>
        <v>435065.56567113119</v>
      </c>
      <c r="AH370" s="219">
        <f>IF('Perfil - interna'!AH370+'Perfil - externa'!AH368=0,0,'Perfil - interna'!AH370+'Perfil - externa'!AH368)</f>
        <v>410856.95524307241</v>
      </c>
      <c r="AI370" s="219">
        <f>IF('Perfil - interna'!AI370+'Perfil - externa'!AI368=0,0,'Perfil - interna'!AI370+'Perfil - externa'!AI368)</f>
        <v>904696.43304446735</v>
      </c>
      <c r="AJ370" s="219">
        <f>IF('Perfil - interna'!AJ370+'Perfil - externa'!AJ368=0,0,'Perfil - interna'!AJ370+'Perfil - externa'!AJ368)</f>
        <v>228069.9503204448</v>
      </c>
      <c r="AK370" s="219">
        <f>IF('Perfil - interna'!AK370+'Perfil - externa'!AK368=0,0,'Perfil - interna'!AK370+'Perfil - externa'!AK368)</f>
        <v>162400.50390558399</v>
      </c>
      <c r="AL370" s="219">
        <f>IF('Perfil - interna'!AL370+'Perfil - externa'!AL368=0,0,'Perfil - interna'!AL370+'Perfil - externa'!AL368)</f>
        <v>107397.26184850559</v>
      </c>
      <c r="AM370" s="219">
        <f>IF('Perfil - interna'!AM370+'Perfil - externa'!AM368=0,0,'Perfil - interna'!AM370+'Perfil - externa'!AM368)</f>
        <v>3481581.7291669669</v>
      </c>
      <c r="AN370" s="219">
        <f>IF('Perfil - interna'!AN370+'Perfil - externa'!AN368=0,0,'Perfil - interna'!AN370+'Perfil - externa'!AN368)</f>
        <v>5870.4907092847989</v>
      </c>
      <c r="AO370" s="219"/>
      <c r="AP370" s="219"/>
      <c r="AQ370" s="219"/>
      <c r="AR370" s="219"/>
      <c r="AS370" s="219"/>
      <c r="AT370" s="219"/>
      <c r="AU370" s="219"/>
      <c r="AV370" s="219"/>
      <c r="AW370" s="219"/>
      <c r="AX370" s="219"/>
      <c r="AY370" s="219"/>
      <c r="AZ370" s="219"/>
      <c r="BA370" s="219"/>
      <c r="BB370" s="219"/>
      <c r="BC370" s="219"/>
      <c r="BD370" s="219"/>
      <c r="BE370" s="219"/>
      <c r="BF370" s="219"/>
      <c r="BG370" s="219"/>
      <c r="BH370" s="219"/>
      <c r="BI370" s="219"/>
      <c r="BJ370" s="219"/>
      <c r="BK370" s="219"/>
    </row>
    <row r="371" spans="1:63">
      <c r="A371" s="170">
        <v>40575</v>
      </c>
      <c r="B371" s="220" t="str">
        <f>Servicio_internaColumna_título_intereses</f>
        <v>Intereses</v>
      </c>
      <c r="C371" s="221"/>
      <c r="D371" s="222"/>
      <c r="E371" s="222"/>
      <c r="F371" s="222">
        <f>IF('Perfil - interna'!F371+'Perfil - externa'!F369=0,0,'Perfil - interna'!F371+'Perfil - externa'!F369)</f>
        <v>0</v>
      </c>
      <c r="G371" s="222">
        <f>IF('Perfil - interna'!G371+'Perfil - externa'!G369=0,0,'Perfil - interna'!G371+'Perfil - externa'!G369)</f>
        <v>0</v>
      </c>
      <c r="H371" s="222">
        <f>IF('Perfil - interna'!H371+'Perfil - externa'!H369=0,0,'Perfil - interna'!H371+'Perfil - externa'!H369)</f>
        <v>0</v>
      </c>
      <c r="I371" s="222">
        <f>IF('Perfil - interna'!I371+'Perfil - externa'!I369=0,0,'Perfil - interna'!I371+'Perfil - externa'!I369)</f>
        <v>0</v>
      </c>
      <c r="J371" s="222">
        <f>IF('Perfil - interna'!J371+'Perfil - externa'!J369=0,0,'Perfil - interna'!J371+'Perfil - externa'!J369)</f>
        <v>0</v>
      </c>
      <c r="K371" s="222">
        <f>IF('Perfil - interna'!K371+'Perfil - externa'!K369=0,0,'Perfil - interna'!K371+'Perfil - externa'!K369)</f>
        <v>0</v>
      </c>
      <c r="L371" s="222">
        <f>IF('Perfil - interna'!L371+'Perfil - externa'!L369=0,0,'Perfil - interna'!L371+'Perfil - externa'!L369)</f>
        <v>0</v>
      </c>
      <c r="M371" s="222">
        <f>IF('Perfil - interna'!M371+'Perfil - externa'!M369=0,0,'Perfil - interna'!M371+'Perfil - externa'!M369)</f>
        <v>13622196.434408318</v>
      </c>
      <c r="N371" s="222">
        <f>IF('Perfil - interna'!N371+'Perfil - externa'!N369=0,0,'Perfil - interna'!N371+'Perfil - externa'!N369)</f>
        <v>13955895.797391066</v>
      </c>
      <c r="O371" s="222">
        <f>IF('Perfil - interna'!O371+'Perfil - externa'!O369=0,0,'Perfil - interna'!O371+'Perfil - externa'!O369)</f>
        <v>12308777.576006411</v>
      </c>
      <c r="P371" s="222">
        <f>IF('Perfil - interna'!P371+'Perfil - externa'!P369=0,0,'Perfil - interna'!P371+'Perfil - externa'!P369)</f>
        <v>10412686.573577214</v>
      </c>
      <c r="Q371" s="222">
        <f>IF('Perfil - interna'!Q371+'Perfil - externa'!Q369=0,0,'Perfil - interna'!Q371+'Perfil - externa'!Q369)</f>
        <v>8518113.1410527397</v>
      </c>
      <c r="R371" s="222">
        <f>IF('Perfil - interna'!R371+'Perfil - externa'!R369=0,0,'Perfil - interna'!R371+'Perfil - externa'!R369)</f>
        <v>6989760.4599065986</v>
      </c>
      <c r="S371" s="222">
        <f>IF('Perfil - interna'!S371+'Perfil - externa'!S369=0,0,'Perfil - interna'!S371+'Perfil - externa'!S369)</f>
        <v>5989002.128460478</v>
      </c>
      <c r="T371" s="222">
        <f>IF('Perfil - interna'!T371+'Perfil - externa'!T369=0,0,'Perfil - interna'!T371+'Perfil - externa'!T369)</f>
        <v>5633579.9134350754</v>
      </c>
      <c r="U371" s="222">
        <f>IF('Perfil - interna'!U371+'Perfil - externa'!U369=0,0,'Perfil - interna'!U371+'Perfil - externa'!U369)</f>
        <v>4922901.98281716</v>
      </c>
      <c r="V371" s="222">
        <f>IF('Perfil - interna'!V371+'Perfil - externa'!V369=0,0,'Perfil - interna'!V371+'Perfil - externa'!V369)</f>
        <v>4593247.2881863825</v>
      </c>
      <c r="W371" s="222">
        <f>IF('Perfil - interna'!W371+'Perfil - externa'!W369=0,0,'Perfil - interna'!W371+'Perfil - externa'!W369)</f>
        <v>3514176.8172055348</v>
      </c>
      <c r="X371" s="222">
        <f>IF('Perfil - interna'!X371+'Perfil - externa'!X369=0,0,'Perfil - interna'!X371+'Perfil - externa'!X369)</f>
        <v>3293669.1200788296</v>
      </c>
      <c r="Y371" s="222">
        <f>IF('Perfil - interna'!Y371+'Perfil - externa'!Y369=0,0,'Perfil - interna'!Y371+'Perfil - externa'!Y369)</f>
        <v>3242272.3560875165</v>
      </c>
      <c r="Z371" s="222">
        <f>IF('Perfil - interna'!Z371+'Perfil - externa'!Z369=0,0,'Perfil - interna'!Z371+'Perfil - externa'!Z369)</f>
        <v>2514174.8072960246</v>
      </c>
      <c r="AA371" s="222">
        <f>IF('Perfil - interna'!AA371+'Perfil - externa'!AA369=0,0,'Perfil - interna'!AA371+'Perfil - externa'!AA369)</f>
        <v>943712.72359748476</v>
      </c>
      <c r="AB371" s="222">
        <f>IF('Perfil - interna'!AB371+'Perfil - externa'!AB369=0,0,'Perfil - interna'!AB371+'Perfil - externa'!AB369)</f>
        <v>891516.96971470141</v>
      </c>
      <c r="AC371" s="222">
        <f>IF('Perfil - interna'!AC371+'Perfil - externa'!AC369=0,0,'Perfil - interna'!AC371+'Perfil - externa'!AC369)</f>
        <v>833366.0719909952</v>
      </c>
      <c r="AD371" s="222">
        <f>IF('Perfil - interna'!AD371+'Perfil - externa'!AD369=0,0,'Perfil - interna'!AD371+'Perfil - externa'!AD369)</f>
        <v>613936.86176612915</v>
      </c>
      <c r="AE371" s="222">
        <f>IF('Perfil - interna'!AE371+'Perfil - externa'!AE369=0,0,'Perfil - interna'!AE371+'Perfil - externa'!AE369)</f>
        <v>576519.2494399579</v>
      </c>
      <c r="AF371" s="222">
        <f>IF('Perfil - interna'!AF371+'Perfil - externa'!AF369=0,0,'Perfil - interna'!AF371+'Perfil - externa'!AF369)</f>
        <v>544256.14370493195</v>
      </c>
      <c r="AG371" s="222">
        <f>IF('Perfil - interna'!AG371+'Perfil - externa'!AG369=0,0,'Perfil - interna'!AG371+'Perfil - externa'!AG369)</f>
        <v>518468.14208869281</v>
      </c>
      <c r="AH371" s="222">
        <f>IF('Perfil - interna'!AH371+'Perfil - externa'!AH369=0,0,'Perfil - interna'!AH371+'Perfil - externa'!AH369)</f>
        <v>495194.76800084556</v>
      </c>
      <c r="AI371" s="222">
        <f>IF('Perfil - interna'!AI371+'Perfil - externa'!AI369=0,0,'Perfil - interna'!AI371+'Perfil - externa'!AI369)</f>
        <v>441514.99945295195</v>
      </c>
      <c r="AJ371" s="222">
        <f>IF('Perfil - interna'!AJ371+'Perfil - externa'!AJ369=0,0,'Perfil - interna'!AJ371+'Perfil - externa'!AJ369)</f>
        <v>395982.1179294528</v>
      </c>
      <c r="AK371" s="222">
        <f>IF('Perfil - interna'!AK371+'Perfil - externa'!AK369=0,0,'Perfil - interna'!AK371+'Perfil - externa'!AK369)</f>
        <v>384696.47754641436</v>
      </c>
      <c r="AL371" s="222">
        <f>IF('Perfil - interna'!AL371+'Perfil - externa'!AL369=0,0,'Perfil - interna'!AL371+'Perfil - externa'!AL369)</f>
        <v>376366.07732087717</v>
      </c>
      <c r="AM371" s="222">
        <f>IF('Perfil - interna'!AM371+'Perfil - externa'!AM369=0,0,'Perfil - interna'!AM371+'Perfil - externa'!AM369)</f>
        <v>371218.08576945204</v>
      </c>
      <c r="AN371" s="222">
        <f>IF('Perfil - interna'!AN371+'Perfil - externa'!AN369=0,0,'Perfil - interna'!AN371+'Perfil - externa'!AN369)</f>
        <v>116170.3002417012</v>
      </c>
      <c r="AO371" s="222"/>
      <c r="AP371" s="222"/>
      <c r="AQ371" s="222"/>
      <c r="AR371" s="222"/>
      <c r="AS371" s="222"/>
      <c r="AT371" s="222"/>
      <c r="AU371" s="222"/>
      <c r="AV371" s="222"/>
      <c r="AW371" s="222"/>
      <c r="AX371" s="222"/>
      <c r="AY371" s="222"/>
      <c r="AZ371" s="222"/>
      <c r="BA371" s="222"/>
      <c r="BB371" s="222"/>
      <c r="BC371" s="222"/>
      <c r="BD371" s="222"/>
      <c r="BE371" s="222"/>
      <c r="BF371" s="222"/>
      <c r="BG371" s="222"/>
      <c r="BH371" s="222"/>
      <c r="BI371" s="222"/>
      <c r="BJ371" s="222"/>
      <c r="BK371" s="222"/>
    </row>
    <row r="372" spans="1:63">
      <c r="A372" s="171"/>
      <c r="B372" s="318" t="str">
        <f>Servicio_internaColumna_título_total</f>
        <v>Total</v>
      </c>
      <c r="C372" s="319"/>
      <c r="D372" s="320"/>
      <c r="E372" s="320"/>
      <c r="F372" s="320">
        <f>IF('Perfil - interna'!F372+'Perfil - externa'!F370=0,0,'Perfil - interna'!F372+'Perfil - externa'!F370)</f>
        <v>0</v>
      </c>
      <c r="G372" s="320">
        <f>IF('Perfil - interna'!G372+'Perfil - externa'!G370=0,0,'Perfil - interna'!G372+'Perfil - externa'!G370)</f>
        <v>0</v>
      </c>
      <c r="H372" s="320">
        <f>IF('Perfil - interna'!H372+'Perfil - externa'!H370=0,0,'Perfil - interna'!H372+'Perfil - externa'!H370)</f>
        <v>0</v>
      </c>
      <c r="I372" s="320">
        <f>IF('Perfil - interna'!I372+'Perfil - externa'!I370=0,0,'Perfil - interna'!I372+'Perfil - externa'!I370)</f>
        <v>0</v>
      </c>
      <c r="J372" s="320">
        <f>IF('Perfil - interna'!J372+'Perfil - externa'!J370=0,0,'Perfil - interna'!J372+'Perfil - externa'!J370)</f>
        <v>0</v>
      </c>
      <c r="K372" s="320">
        <f>IF('Perfil - interna'!K372+'Perfil - externa'!K370=0,0,'Perfil - interna'!K372+'Perfil - externa'!K370)</f>
        <v>0</v>
      </c>
      <c r="L372" s="320">
        <f>IF('Perfil - interna'!L372+'Perfil - externa'!L370=0,0,'Perfil - interna'!L372+'Perfil - externa'!L370)</f>
        <v>0</v>
      </c>
      <c r="M372" s="320">
        <f>IF('Perfil - interna'!M372+'Perfil - externa'!M370=0,0,'Perfil - interna'!M372+'Perfil - externa'!M370)</f>
        <v>35325993.414514869</v>
      </c>
      <c r="N372" s="320">
        <f>IF('Perfil - interna'!N372+'Perfil - externa'!N370=0,0,'Perfil - interna'!N372+'Perfil - externa'!N370)</f>
        <v>33154438.533368677</v>
      </c>
      <c r="O372" s="320">
        <f>IF('Perfil - interna'!O372+'Perfil - externa'!O370=0,0,'Perfil - interna'!O372+'Perfil - externa'!O370)</f>
        <v>38661406.676883258</v>
      </c>
      <c r="P372" s="320">
        <f>IF('Perfil - interna'!P372+'Perfil - externa'!P370=0,0,'Perfil - interna'!P372+'Perfil - externa'!P370)</f>
        <v>30698967.127883211</v>
      </c>
      <c r="Q372" s="320">
        <f>IF('Perfil - interna'!Q372+'Perfil - externa'!Q370=0,0,'Perfil - interna'!Q372+'Perfil - externa'!Q370)</f>
        <v>28376015.688592374</v>
      </c>
      <c r="R372" s="320">
        <f>IF('Perfil - interna'!R372+'Perfil - externa'!R370=0,0,'Perfil - interna'!R372+'Perfil - externa'!R370)</f>
        <v>21353681.769800954</v>
      </c>
      <c r="S372" s="320">
        <f>IF('Perfil - interna'!S372+'Perfil - externa'!S370=0,0,'Perfil - interna'!S372+'Perfil - externa'!S370)</f>
        <v>14175343.685643537</v>
      </c>
      <c r="T372" s="320">
        <f>IF('Perfil - interna'!T372+'Perfil - externa'!T370=0,0,'Perfil - interna'!T372+'Perfil - externa'!T370)</f>
        <v>11770648.582622182</v>
      </c>
      <c r="U372" s="320">
        <f>IF('Perfil - interna'!U372+'Perfil - externa'!U370=0,0,'Perfil - interna'!U372+'Perfil - externa'!U370)</f>
        <v>11619519.04784219</v>
      </c>
      <c r="V372" s="320">
        <f>IF('Perfil - interna'!V372+'Perfil - externa'!V370=0,0,'Perfil - interna'!V372+'Perfil - externa'!V370)</f>
        <v>15918415.220823206</v>
      </c>
      <c r="W372" s="320">
        <f>IF('Perfil - interna'!W372+'Perfil - externa'!W370=0,0,'Perfil - interna'!W372+'Perfil - externa'!W370)</f>
        <v>6957513.12322364</v>
      </c>
      <c r="X372" s="320">
        <f>IF('Perfil - interna'!X372+'Perfil - externa'!X370=0,0,'Perfil - interna'!X372+'Perfil - externa'!X370)</f>
        <v>4454048.1678177062</v>
      </c>
      <c r="Y372" s="320">
        <f>IF('Perfil - interna'!Y372+'Perfil - externa'!Y370=0,0,'Perfil - interna'!Y372+'Perfil - externa'!Y370)</f>
        <v>12941046.422017016</v>
      </c>
      <c r="Z372" s="320">
        <f>IF('Perfil - interna'!Z372+'Perfil - externa'!Z370=0,0,'Perfil - interna'!Z372+'Perfil - externa'!Z370)</f>
        <v>19753015.28696426</v>
      </c>
      <c r="AA372" s="320">
        <f>IF('Perfil - interna'!AA372+'Perfil - externa'!AA370=0,0,'Perfil - interna'!AA372+'Perfil - externa'!AA370)</f>
        <v>1827204.3373117629</v>
      </c>
      <c r="AB372" s="320">
        <f>IF('Perfil - interna'!AB372+'Perfil - externa'!AB370=0,0,'Perfil - interna'!AB372+'Perfil - externa'!AB370)</f>
        <v>1728714.9163783856</v>
      </c>
      <c r="AC372" s="320">
        <f>IF('Perfil - interna'!AC372+'Perfil - externa'!AC370=0,0,'Perfil - interna'!AC372+'Perfil - externa'!AC370)</f>
        <v>3514119.3137907744</v>
      </c>
      <c r="AD372" s="320">
        <f>IF('Perfil - interna'!AD372+'Perfil - externa'!AD370=0,0,'Perfil - interna'!AD372+'Perfil - externa'!AD370)</f>
        <v>1348750.4565654127</v>
      </c>
      <c r="AE372" s="320">
        <f>IF('Perfil - interna'!AE372+'Perfil - externa'!AE370=0,0,'Perfil - interna'!AE372+'Perfil - externa'!AE370)</f>
        <v>1172952.7589204258</v>
      </c>
      <c r="AF372" s="320">
        <f>IF('Perfil - interna'!AF372+'Perfil - externa'!AF370=0,0,'Perfil - interna'!AF372+'Perfil - externa'!AF370)</f>
        <v>1024970.5656580615</v>
      </c>
      <c r="AG372" s="320">
        <f>IF('Perfil - interna'!AG372+'Perfil - externa'!AG370=0,0,'Perfil - interna'!AG372+'Perfil - externa'!AG370)</f>
        <v>953533.707759824</v>
      </c>
      <c r="AH372" s="320">
        <f>IF('Perfil - interna'!AH372+'Perfil - externa'!AH370=0,0,'Perfil - interna'!AH372+'Perfil - externa'!AH370)</f>
        <v>906051.72324391804</v>
      </c>
      <c r="AI372" s="320">
        <f>IF('Perfil - interna'!AI372+'Perfil - externa'!AI370=0,0,'Perfil - interna'!AI372+'Perfil - externa'!AI370)</f>
        <v>1346211.4324974194</v>
      </c>
      <c r="AJ372" s="320">
        <f>IF('Perfil - interna'!AJ372+'Perfil - externa'!AJ370=0,0,'Perfil - interna'!AJ372+'Perfil - externa'!AJ370)</f>
        <v>624052.06824989757</v>
      </c>
      <c r="AK372" s="320">
        <f>IF('Perfil - interna'!AK372+'Perfil - externa'!AK370=0,0,'Perfil - interna'!AK372+'Perfil - externa'!AK370)</f>
        <v>547096.98145199835</v>
      </c>
      <c r="AL372" s="320">
        <f>IF('Perfil - interna'!AL372+'Perfil - externa'!AL370=0,0,'Perfil - interna'!AL372+'Perfil - externa'!AL370)</f>
        <v>483763.33916938276</v>
      </c>
      <c r="AM372" s="320">
        <f>IF('Perfil - interna'!AM372+'Perfil - externa'!AM370=0,0,'Perfil - interna'!AM372+'Perfil - externa'!AM370)</f>
        <v>3852799.814936419</v>
      </c>
      <c r="AN372" s="320">
        <f>IF('Perfil - interna'!AN372+'Perfil - externa'!AN370=0,0,'Perfil - interna'!AN372+'Perfil - externa'!AN370)</f>
        <v>122040.790950986</v>
      </c>
      <c r="AO372" s="320"/>
      <c r="AP372" s="320"/>
      <c r="AQ372" s="320"/>
      <c r="AR372" s="320"/>
      <c r="AS372" s="320"/>
      <c r="AT372" s="320"/>
      <c r="AU372" s="320"/>
      <c r="AV372" s="320"/>
      <c r="AW372" s="320"/>
      <c r="AX372" s="320"/>
      <c r="AY372" s="320"/>
      <c r="AZ372" s="320"/>
      <c r="BA372" s="320"/>
      <c r="BB372" s="320"/>
      <c r="BC372" s="320"/>
      <c r="BD372" s="320"/>
      <c r="BE372" s="320"/>
      <c r="BF372" s="320"/>
      <c r="BG372" s="320"/>
      <c r="BH372" s="320"/>
      <c r="BI372" s="320"/>
      <c r="BJ372" s="320"/>
      <c r="BK372" s="320"/>
    </row>
    <row r="373" spans="1:63">
      <c r="A373" s="167"/>
      <c r="B373" s="217" t="str">
        <f>Servicio_internaColumna_título_amortizaciones</f>
        <v>Amortizaciones</v>
      </c>
      <c r="C373" s="218"/>
      <c r="D373" s="219"/>
      <c r="E373" s="219"/>
      <c r="F373" s="219">
        <f>IF('Perfil - interna'!F373+'Perfil - externa'!F371=0,0,'Perfil - interna'!F373+'Perfil - externa'!F371)</f>
        <v>0</v>
      </c>
      <c r="G373" s="219">
        <f>IF('Perfil - interna'!G373+'Perfil - externa'!G371=0,0,'Perfil - interna'!G373+'Perfil - externa'!G371)</f>
        <v>0</v>
      </c>
      <c r="H373" s="219">
        <f>IF('Perfil - interna'!H373+'Perfil - externa'!H371=0,0,'Perfil - interna'!H373+'Perfil - externa'!H371)</f>
        <v>0</v>
      </c>
      <c r="I373" s="219">
        <f>IF('Perfil - interna'!I373+'Perfil - externa'!I371=0,0,'Perfil - interna'!I373+'Perfil - externa'!I371)</f>
        <v>0</v>
      </c>
      <c r="J373" s="219">
        <f>IF('Perfil - interna'!J373+'Perfil - externa'!J371=0,0,'Perfil - interna'!J373+'Perfil - externa'!J371)</f>
        <v>0</v>
      </c>
      <c r="K373" s="219">
        <f>IF('Perfil - interna'!K373+'Perfil - externa'!K371=0,0,'Perfil - interna'!K373+'Perfil - externa'!K371)</f>
        <v>0</v>
      </c>
      <c r="L373" s="219">
        <f>IF('Perfil - interna'!L373+'Perfil - externa'!L371=0,0,'Perfil - interna'!L373+'Perfil - externa'!L371)</f>
        <v>0</v>
      </c>
      <c r="M373" s="219">
        <f>IF('Perfil - interna'!M373+'Perfil - externa'!M371=0,0,'Perfil - interna'!M373+'Perfil - externa'!M371)</f>
        <v>20718900.31132362</v>
      </c>
      <c r="N373" s="219">
        <f>IF('Perfil - interna'!N373+'Perfil - externa'!N371=0,0,'Perfil - interna'!N373+'Perfil - externa'!N371)</f>
        <v>19674986.304815784</v>
      </c>
      <c r="O373" s="219">
        <f>IF('Perfil - interna'!O373+'Perfil - externa'!O371=0,0,'Perfil - interna'!O373+'Perfil - externa'!O371)</f>
        <v>26450529.584687814</v>
      </c>
      <c r="P373" s="219">
        <f>IF('Perfil - interna'!P373+'Perfil - externa'!P371=0,0,'Perfil - interna'!P373+'Perfil - externa'!P371)</f>
        <v>21144149.651200593</v>
      </c>
      <c r="Q373" s="219">
        <f>IF('Perfil - interna'!Q373+'Perfil - externa'!Q371=0,0,'Perfil - interna'!Q373+'Perfil - externa'!Q371)</f>
        <v>20448252.671253406</v>
      </c>
      <c r="R373" s="219">
        <f>IF('Perfil - interna'!R373+'Perfil - externa'!R371=0,0,'Perfil - interna'!R373+'Perfil - externa'!R371)</f>
        <v>13606731.358295558</v>
      </c>
      <c r="S373" s="219">
        <f>IF('Perfil - interna'!S373+'Perfil - externa'!S371=0,0,'Perfil - interna'!S373+'Perfil - externa'!S371)</f>
        <v>8278796.3881930234</v>
      </c>
      <c r="T373" s="219">
        <f>IF('Perfil - interna'!T373+'Perfil - externa'!T371=0,0,'Perfil - interna'!T373+'Perfil - externa'!T371)</f>
        <v>6775097.9921291117</v>
      </c>
      <c r="U373" s="219">
        <f>IF('Perfil - interna'!U373+'Perfil - externa'!U371=0,0,'Perfil - interna'!U373+'Perfil - externa'!U371)</f>
        <v>6340529.5452772919</v>
      </c>
      <c r="V373" s="219">
        <f>IF('Perfil - interna'!V373+'Perfil - externa'!V371=0,0,'Perfil - interna'!V373+'Perfil - externa'!V371)</f>
        <v>11288582.101067031</v>
      </c>
      <c r="W373" s="219">
        <f>IF('Perfil - interna'!W373+'Perfil - externa'!W371=0,0,'Perfil - interna'!W373+'Perfil - externa'!W371)</f>
        <v>3698271.2926520444</v>
      </c>
      <c r="X373" s="219">
        <f>IF('Perfil - interna'!X373+'Perfil - externa'!X371=0,0,'Perfil - interna'!X373+'Perfil - externa'!X371)</f>
        <v>1154450.7024096386</v>
      </c>
      <c r="Y373" s="219">
        <f>IF('Perfil - interna'!Y373+'Perfil - externa'!Y371=0,0,'Perfil - interna'!Y373+'Perfil - externa'!Y371)</f>
        <v>9995003.4957398716</v>
      </c>
      <c r="Z373" s="219">
        <f>IF('Perfil - interna'!Z373+'Perfil - externa'!Z371=0,0,'Perfil - interna'!Z373+'Perfil - externa'!Z371)</f>
        <v>17646251.035489891</v>
      </c>
      <c r="AA373" s="219">
        <f>IF('Perfil - interna'!AA373+'Perfil - externa'!AA371=0,0,'Perfil - interna'!AA373+'Perfil - externa'!AA371)</f>
        <v>1168182.4106253283</v>
      </c>
      <c r="AB373" s="219">
        <f>IF('Perfil - interna'!AB373+'Perfil - externa'!AB371=0,0,'Perfil - interna'!AB373+'Perfil - externa'!AB371)</f>
        <v>830064.70811048569</v>
      </c>
      <c r="AC373" s="219">
        <f>IF('Perfil - interna'!AC373+'Perfil - externa'!AC371=0,0,'Perfil - interna'!AC373+'Perfil - externa'!AC371)</f>
        <v>2873511.2750777756</v>
      </c>
      <c r="AD373" s="219">
        <f>IF('Perfil - interna'!AD373+'Perfil - externa'!AD371=0,0,'Perfil - interna'!AD373+'Perfil - externa'!AD371)</f>
        <v>728559.72681837389</v>
      </c>
      <c r="AE373" s="219">
        <f>IF('Perfil - interna'!AE373+'Perfil - externa'!AE371=0,0,'Perfil - interna'!AE373+'Perfil - externa'!AE371)</f>
        <v>591354.24719538412</v>
      </c>
      <c r="AF373" s="219">
        <f>IF('Perfil - interna'!AF373+'Perfil - externa'!AF371=0,0,'Perfil - interna'!AF373+'Perfil - externa'!AF371)</f>
        <v>476617.29366843816</v>
      </c>
      <c r="AG373" s="219">
        <f>IF('Perfil - interna'!AG373+'Perfil - externa'!AG371=0,0,'Perfil - interna'!AG373+'Perfil - externa'!AG371)</f>
        <v>431355.79712183936</v>
      </c>
      <c r="AH373" s="219">
        <f>IF('Perfil - interna'!AH373+'Perfil - externa'!AH371=0,0,'Perfil - interna'!AH373+'Perfil - externa'!AH371)</f>
        <v>407352.60675011523</v>
      </c>
      <c r="AI373" s="219">
        <f>IF('Perfil - interna'!AI373+'Perfil - externa'!AI371=0,0,'Perfil - interna'!AI373+'Perfil - externa'!AI371)</f>
        <v>897000.17941654939</v>
      </c>
      <c r="AJ373" s="219">
        <f>IF('Perfil - interna'!AJ373+'Perfil - externa'!AJ371=0,0,'Perfil - interna'!AJ373+'Perfil - externa'!AJ371)</f>
        <v>226117.07601422042</v>
      </c>
      <c r="AK373" s="219">
        <f>IF('Perfil - interna'!AK373+'Perfil - externa'!AK371=0,0,'Perfil - interna'!AK373+'Perfil - externa'!AK371)</f>
        <v>161005.04872237082</v>
      </c>
      <c r="AL373" s="219">
        <f>IF('Perfil - interna'!AL373+'Perfil - externa'!AL371=0,0,'Perfil - interna'!AL373+'Perfil - externa'!AL371)</f>
        <v>106468.4935750833</v>
      </c>
      <c r="AM373" s="219">
        <f>IF('Perfil - interna'!AM373+'Perfil - externa'!AM371=0,0,'Perfil - interna'!AM373+'Perfil - externa'!AM371)</f>
        <v>3452011.8138996386</v>
      </c>
      <c r="AN373" s="219">
        <f>IF('Perfil - interna'!AN373+'Perfil - externa'!AN371=0,0,'Perfil - interna'!AN373+'Perfil - externa'!AN371)</f>
        <v>5820.6604767875997</v>
      </c>
      <c r="AO373" s="219"/>
      <c r="AP373" s="219"/>
      <c r="AQ373" s="219"/>
      <c r="AR373" s="219"/>
      <c r="AS373" s="219"/>
      <c r="AT373" s="219"/>
      <c r="AU373" s="219"/>
      <c r="AV373" s="219"/>
      <c r="AW373" s="219"/>
      <c r="AX373" s="219"/>
      <c r="AY373" s="219"/>
      <c r="AZ373" s="219"/>
      <c r="BA373" s="219"/>
      <c r="BB373" s="219"/>
      <c r="BC373" s="219"/>
      <c r="BD373" s="219"/>
      <c r="BE373" s="219"/>
      <c r="BF373" s="219"/>
      <c r="BG373" s="219"/>
      <c r="BH373" s="219"/>
      <c r="BI373" s="219"/>
      <c r="BJ373" s="219"/>
      <c r="BK373" s="219"/>
    </row>
    <row r="374" spans="1:63">
      <c r="A374" s="170">
        <v>40603</v>
      </c>
      <c r="B374" s="220" t="str">
        <f>Servicio_internaColumna_título_intereses</f>
        <v>Intereses</v>
      </c>
      <c r="C374" s="221"/>
      <c r="D374" s="222"/>
      <c r="E374" s="222"/>
      <c r="F374" s="222">
        <f>IF('Perfil - interna'!F374+'Perfil - externa'!F372=0,0,'Perfil - interna'!F374+'Perfil - externa'!F372)</f>
        <v>0</v>
      </c>
      <c r="G374" s="222">
        <f>IF('Perfil - interna'!G374+'Perfil - externa'!G372=0,0,'Perfil - interna'!G374+'Perfil - externa'!G372)</f>
        <v>0</v>
      </c>
      <c r="H374" s="222">
        <f>IF('Perfil - interna'!H374+'Perfil - externa'!H372=0,0,'Perfil - interna'!H374+'Perfil - externa'!H372)</f>
        <v>0</v>
      </c>
      <c r="I374" s="222">
        <f>IF('Perfil - interna'!I374+'Perfil - externa'!I372=0,0,'Perfil - interna'!I374+'Perfil - externa'!I372)</f>
        <v>0</v>
      </c>
      <c r="J374" s="222">
        <f>IF('Perfil - interna'!J374+'Perfil - externa'!J372=0,0,'Perfil - interna'!J374+'Perfil - externa'!J372)</f>
        <v>0</v>
      </c>
      <c r="K374" s="222">
        <f>IF('Perfil - interna'!K374+'Perfil - externa'!K372=0,0,'Perfil - interna'!K374+'Perfil - externa'!K372)</f>
        <v>0</v>
      </c>
      <c r="L374" s="222">
        <f>IF('Perfil - interna'!L374+'Perfil - externa'!L372=0,0,'Perfil - interna'!L374+'Perfil - externa'!L372)</f>
        <v>0</v>
      </c>
      <c r="M374" s="222">
        <f>IF('Perfil - interna'!M374+'Perfil - externa'!M372=0,0,'Perfil - interna'!M374+'Perfil - externa'!M372)</f>
        <v>13066806.033016505</v>
      </c>
      <c r="N374" s="222">
        <f>IF('Perfil - interna'!N374+'Perfil - externa'!N372=0,0,'Perfil - interna'!N374+'Perfil - externa'!N372)</f>
        <v>14247442.079270124</v>
      </c>
      <c r="O374" s="222">
        <f>IF('Perfil - interna'!O374+'Perfil - externa'!O372=0,0,'Perfil - interna'!O374+'Perfil - externa'!O372)</f>
        <v>12595383.274026752</v>
      </c>
      <c r="P374" s="222">
        <f>IF('Perfil - interna'!P374+'Perfil - externa'!P372=0,0,'Perfil - interna'!P374+'Perfil - externa'!P372)</f>
        <v>10744013.919072665</v>
      </c>
      <c r="Q374" s="222">
        <f>IF('Perfil - interna'!Q374+'Perfil - externa'!Q372=0,0,'Perfil - interna'!Q374+'Perfil - externa'!Q372)</f>
        <v>8761581.3167491071</v>
      </c>
      <c r="R374" s="222">
        <f>IF('Perfil - interna'!R374+'Perfil - externa'!R372=0,0,'Perfil - interna'!R374+'Perfil - externa'!R372)</f>
        <v>7178223.6637537889</v>
      </c>
      <c r="S374" s="222">
        <f>IF('Perfil - interna'!S374+'Perfil - externa'!S372=0,0,'Perfil - interna'!S374+'Perfil - externa'!S372)</f>
        <v>6167818.9387058653</v>
      </c>
      <c r="T374" s="222">
        <f>IF('Perfil - interna'!T374+'Perfil - externa'!T372=0,0,'Perfil - interna'!T374+'Perfil - externa'!T372)</f>
        <v>5802517.8040765682</v>
      </c>
      <c r="U374" s="222">
        <f>IF('Perfil - interna'!U374+'Perfil - externa'!U372=0,0,'Perfil - interna'!U374+'Perfil - externa'!U372)</f>
        <v>5019716.4865748389</v>
      </c>
      <c r="V374" s="222">
        <f>IF('Perfil - interna'!V374+'Perfil - externa'!V372=0,0,'Perfil - interna'!V374+'Perfil - externa'!V372)</f>
        <v>4699418.0679496117</v>
      </c>
      <c r="W374" s="222">
        <f>IF('Perfil - interna'!W374+'Perfil - externa'!W372=0,0,'Perfil - interna'!W374+'Perfil - externa'!W372)</f>
        <v>3624476.4213821008</v>
      </c>
      <c r="X374" s="222">
        <f>IF('Perfil - interna'!X374+'Perfil - externa'!X372=0,0,'Perfil - interna'!X374+'Perfil - externa'!X372)</f>
        <v>3379238.4427150455</v>
      </c>
      <c r="Y374" s="222">
        <f>IF('Perfil - interna'!Y374+'Perfil - externa'!Y372=0,0,'Perfil - interna'!Y374+'Perfil - externa'!Y372)</f>
        <v>3331099.7247931645</v>
      </c>
      <c r="Z374" s="222">
        <f>IF('Perfil - interna'!Z374+'Perfil - externa'!Z372=0,0,'Perfil - interna'!Z374+'Perfil - externa'!Z372)</f>
        <v>2588647.7298672171</v>
      </c>
      <c r="AA374" s="222">
        <f>IF('Perfil - interna'!AA374+'Perfil - externa'!AA372=0,0,'Perfil - interna'!AA374+'Perfil - externa'!AA372)</f>
        <v>974828.49242673884</v>
      </c>
      <c r="AB374" s="222">
        <f>IF('Perfil - interna'!AB374+'Perfil - externa'!AB372=0,0,'Perfil - interna'!AB374+'Perfil - externa'!AB372)</f>
        <v>906000.58456317184</v>
      </c>
      <c r="AC374" s="222">
        <f>IF('Perfil - interna'!AC374+'Perfil - externa'!AC372=0,0,'Perfil - interna'!AC374+'Perfil - externa'!AC372)</f>
        <v>848325.10450390645</v>
      </c>
      <c r="AD374" s="222">
        <f>IF('Perfil - interna'!AD374+'Perfil - externa'!AD372=0,0,'Perfil - interna'!AD374+'Perfil - externa'!AD372)</f>
        <v>609632.11474723625</v>
      </c>
      <c r="AE374" s="222">
        <f>IF('Perfil - interna'!AE374+'Perfil - externa'!AE372=0,0,'Perfil - interna'!AE374+'Perfil - externa'!AE372)</f>
        <v>572538.41197259852</v>
      </c>
      <c r="AF374" s="222">
        <f>IF('Perfil - interna'!AF374+'Perfil - externa'!AF372=0,0,'Perfil - interna'!AF374+'Perfil - externa'!AF372)</f>
        <v>540402.75545592059</v>
      </c>
      <c r="AG374" s="222">
        <f>IF('Perfil - interna'!AG374+'Perfil - externa'!AG372=0,0,'Perfil - interna'!AG374+'Perfil - externa'!AG372)</f>
        <v>514651.84858124913</v>
      </c>
      <c r="AH374" s="222">
        <f>IF('Perfil - interna'!AH374+'Perfil - externa'!AH372=0,0,'Perfil - interna'!AH374+'Perfil - externa'!AH372)</f>
        <v>491458.90184256417</v>
      </c>
      <c r="AI374" s="222">
        <f>IF('Perfil - interna'!AI374+'Perfil - externa'!AI372=0,0,'Perfil - interna'!AI374+'Perfil - externa'!AI372)</f>
        <v>438117.57344523602</v>
      </c>
      <c r="AJ374" s="222">
        <f>IF('Perfil - interna'!AJ374+'Perfil - externa'!AJ372=0,0,'Perfil - interna'!AJ374+'Perfil - externa'!AJ372)</f>
        <v>392718.88994778815</v>
      </c>
      <c r="AK374" s="222">
        <f>IF('Perfil - interna'!AK374+'Perfil - externa'!AK372=0,0,'Perfil - interna'!AK374+'Perfil - externa'!AK372)</f>
        <v>381428.3794748247</v>
      </c>
      <c r="AL374" s="222">
        <f>IF('Perfil - interna'!AL374+'Perfil - externa'!AL372=0,0,'Perfil - interna'!AL374+'Perfil - externa'!AL372)</f>
        <v>373170.7773903042</v>
      </c>
      <c r="AM374" s="222">
        <f>IF('Perfil - interna'!AM374+'Perfil - externa'!AM372=0,0,'Perfil - interna'!AM374+'Perfil - externa'!AM372)</f>
        <v>368066.91779008921</v>
      </c>
      <c r="AN374" s="222">
        <f>IF('Perfil - interna'!AN374+'Perfil - externa'!AN372=0,0,'Perfil - interna'!AN374+'Perfil - externa'!AN372)</f>
        <v>115184.2169043819</v>
      </c>
      <c r="AO374" s="222"/>
      <c r="AP374" s="222"/>
      <c r="AQ374" s="222"/>
      <c r="AR374" s="222"/>
      <c r="AS374" s="222"/>
      <c r="AT374" s="222"/>
      <c r="AU374" s="222"/>
      <c r="AV374" s="222"/>
      <c r="AW374" s="222"/>
      <c r="AX374" s="222"/>
      <c r="AY374" s="222"/>
      <c r="AZ374" s="222"/>
      <c r="BA374" s="222"/>
      <c r="BB374" s="222"/>
      <c r="BC374" s="222"/>
      <c r="BD374" s="222"/>
      <c r="BE374" s="222"/>
      <c r="BF374" s="222"/>
      <c r="BG374" s="222"/>
      <c r="BH374" s="222"/>
      <c r="BI374" s="222"/>
      <c r="BJ374" s="222"/>
      <c r="BK374" s="222"/>
    </row>
    <row r="375" spans="1:63">
      <c r="A375" s="171"/>
      <c r="B375" s="318" t="str">
        <f>Servicio_internaColumna_título_total</f>
        <v>Total</v>
      </c>
      <c r="C375" s="319"/>
      <c r="D375" s="320"/>
      <c r="E375" s="320"/>
      <c r="F375" s="320">
        <f>IF('Perfil - interna'!F375+'Perfil - externa'!F373=0,0,'Perfil - interna'!F375+'Perfil - externa'!F373)</f>
        <v>0</v>
      </c>
      <c r="G375" s="320">
        <f>IF('Perfil - interna'!G375+'Perfil - externa'!G373=0,0,'Perfil - interna'!G375+'Perfil - externa'!G373)</f>
        <v>0</v>
      </c>
      <c r="H375" s="320">
        <f>IF('Perfil - interna'!H375+'Perfil - externa'!H373=0,0,'Perfil - interna'!H375+'Perfil - externa'!H373)</f>
        <v>0</v>
      </c>
      <c r="I375" s="320">
        <f>IF('Perfil - interna'!I375+'Perfil - externa'!I373=0,0,'Perfil - interna'!I375+'Perfil - externa'!I373)</f>
        <v>0</v>
      </c>
      <c r="J375" s="320">
        <f>IF('Perfil - interna'!J375+'Perfil - externa'!J373=0,0,'Perfil - interna'!J375+'Perfil - externa'!J373)</f>
        <v>0</v>
      </c>
      <c r="K375" s="320">
        <f>IF('Perfil - interna'!K375+'Perfil - externa'!K373=0,0,'Perfil - interna'!K375+'Perfil - externa'!K373)</f>
        <v>0</v>
      </c>
      <c r="L375" s="320">
        <f>IF('Perfil - interna'!L375+'Perfil - externa'!L373=0,0,'Perfil - interna'!L375+'Perfil - externa'!L373)</f>
        <v>0</v>
      </c>
      <c r="M375" s="320">
        <f>IF('Perfil - interna'!M375+'Perfil - externa'!M373=0,0,'Perfil - interna'!M375+'Perfil - externa'!M373)</f>
        <v>33785706.344340123</v>
      </c>
      <c r="N375" s="320">
        <f>IF('Perfil - interna'!N375+'Perfil - externa'!N373=0,0,'Perfil - interna'!N375+'Perfil - externa'!N373)</f>
        <v>33922428.384085909</v>
      </c>
      <c r="O375" s="320">
        <f>IF('Perfil - interna'!O375+'Perfil - externa'!O373=0,0,'Perfil - interna'!O375+'Perfil - externa'!O373)</f>
        <v>39045912.858714566</v>
      </c>
      <c r="P375" s="320">
        <f>IF('Perfil - interna'!P375+'Perfil - externa'!P373=0,0,'Perfil - interna'!P375+'Perfil - externa'!P373)</f>
        <v>31888163.570273258</v>
      </c>
      <c r="Q375" s="320">
        <f>IF('Perfil - interna'!Q375+'Perfil - externa'!Q373=0,0,'Perfil - interna'!Q375+'Perfil - externa'!Q373)</f>
        <v>29209833.988002513</v>
      </c>
      <c r="R375" s="320">
        <f>IF('Perfil - interna'!R375+'Perfil - externa'!R373=0,0,'Perfil - interna'!R375+'Perfil - externa'!R373)</f>
        <v>20784955.022049345</v>
      </c>
      <c r="S375" s="320">
        <f>IF('Perfil - interna'!S375+'Perfil - externa'!S373=0,0,'Perfil - interna'!S375+'Perfil - externa'!S373)</f>
        <v>14446615.326898888</v>
      </c>
      <c r="T375" s="320">
        <f>IF('Perfil - interna'!T375+'Perfil - externa'!T373=0,0,'Perfil - interna'!T375+'Perfil - externa'!T373)</f>
        <v>12577615.796205679</v>
      </c>
      <c r="U375" s="320">
        <f>IF('Perfil - interna'!U375+'Perfil - externa'!U373=0,0,'Perfil - interna'!U375+'Perfil - externa'!U373)</f>
        <v>11360246.03185213</v>
      </c>
      <c r="V375" s="320">
        <f>IF('Perfil - interna'!V375+'Perfil - externa'!V373=0,0,'Perfil - interna'!V375+'Perfil - externa'!V373)</f>
        <v>15988000.169016642</v>
      </c>
      <c r="W375" s="320">
        <f>IF('Perfil - interna'!W375+'Perfil - externa'!W373=0,0,'Perfil - interna'!W375+'Perfil - externa'!W373)</f>
        <v>7322747.7140341457</v>
      </c>
      <c r="X375" s="320">
        <f>IF('Perfil - interna'!X375+'Perfil - externa'!X373=0,0,'Perfil - interna'!X375+'Perfil - externa'!X373)</f>
        <v>4533689.1451246841</v>
      </c>
      <c r="Y375" s="320">
        <f>IF('Perfil - interna'!Y375+'Perfil - externa'!Y373=0,0,'Perfil - interna'!Y375+'Perfil - externa'!Y373)</f>
        <v>13326103.220533036</v>
      </c>
      <c r="Z375" s="320">
        <f>IF('Perfil - interna'!Z375+'Perfil - externa'!Z373=0,0,'Perfil - interna'!Z375+'Perfil - externa'!Z373)</f>
        <v>20234898.765357107</v>
      </c>
      <c r="AA375" s="320">
        <f>IF('Perfil - interna'!AA375+'Perfil - externa'!AA373=0,0,'Perfil - interna'!AA375+'Perfil - externa'!AA373)</f>
        <v>2143010.9030520674</v>
      </c>
      <c r="AB375" s="320">
        <f>IF('Perfil - interna'!AB375+'Perfil - externa'!AB373=0,0,'Perfil - interna'!AB375+'Perfil - externa'!AB373)</f>
        <v>1736065.2926736576</v>
      </c>
      <c r="AC375" s="320">
        <f>IF('Perfil - interna'!AC375+'Perfil - externa'!AC373=0,0,'Perfil - interna'!AC375+'Perfil - externa'!AC373)</f>
        <v>3721836.3795816819</v>
      </c>
      <c r="AD375" s="320">
        <f>IF('Perfil - interna'!AD375+'Perfil - externa'!AD373=0,0,'Perfil - interna'!AD375+'Perfil - externa'!AD373)</f>
        <v>1338191.8415656101</v>
      </c>
      <c r="AE375" s="320">
        <f>IF('Perfil - interna'!AE375+'Perfil - externa'!AE373=0,0,'Perfil - interna'!AE375+'Perfil - externa'!AE373)</f>
        <v>1163892.6591679826</v>
      </c>
      <c r="AF375" s="320">
        <f>IF('Perfil - interna'!AF375+'Perfil - externa'!AF373=0,0,'Perfil - interna'!AF375+'Perfil - externa'!AF373)</f>
        <v>1017020.0491243587</v>
      </c>
      <c r="AG375" s="320">
        <f>IF('Perfil - interna'!AG375+'Perfil - externa'!AG373=0,0,'Perfil - interna'!AG375+'Perfil - externa'!AG373)</f>
        <v>946007.64570308849</v>
      </c>
      <c r="AH375" s="320">
        <f>IF('Perfil - interna'!AH375+'Perfil - externa'!AH373=0,0,'Perfil - interna'!AH375+'Perfil - externa'!AH373)</f>
        <v>898811.5085926794</v>
      </c>
      <c r="AI375" s="320">
        <f>IF('Perfil - interna'!AI375+'Perfil - externa'!AI373=0,0,'Perfil - interna'!AI375+'Perfil - externa'!AI373)</f>
        <v>1335117.7528617855</v>
      </c>
      <c r="AJ375" s="320">
        <f>IF('Perfil - interna'!AJ375+'Perfil - externa'!AJ373=0,0,'Perfil - interna'!AJ375+'Perfil - externa'!AJ373)</f>
        <v>618835.96596200857</v>
      </c>
      <c r="AK375" s="320">
        <f>IF('Perfil - interna'!AK375+'Perfil - externa'!AK373=0,0,'Perfil - interna'!AK375+'Perfil - externa'!AK373)</f>
        <v>542433.42819719552</v>
      </c>
      <c r="AL375" s="320">
        <f>IF('Perfil - interna'!AL375+'Perfil - externa'!AL373=0,0,'Perfil - interna'!AL375+'Perfil - externa'!AL373)</f>
        <v>479639.27096538746</v>
      </c>
      <c r="AM375" s="320">
        <f>IF('Perfil - interna'!AM375+'Perfil - externa'!AM373=0,0,'Perfil - interna'!AM375+'Perfil - externa'!AM373)</f>
        <v>3820078.7316897279</v>
      </c>
      <c r="AN375" s="320">
        <f>IF('Perfil - interna'!AN375+'Perfil - externa'!AN373=0,0,'Perfil - interna'!AN375+'Perfil - externa'!AN373)</f>
        <v>121004.8773811695</v>
      </c>
      <c r="AO375" s="320"/>
      <c r="AP375" s="320"/>
      <c r="AQ375" s="320"/>
      <c r="AR375" s="320"/>
      <c r="AS375" s="320"/>
      <c r="AT375" s="320"/>
      <c r="AU375" s="320"/>
      <c r="AV375" s="320"/>
      <c r="AW375" s="320"/>
      <c r="AX375" s="320"/>
      <c r="AY375" s="320"/>
      <c r="AZ375" s="320"/>
      <c r="BA375" s="320"/>
      <c r="BB375" s="320"/>
      <c r="BC375" s="320"/>
      <c r="BD375" s="320"/>
      <c r="BE375" s="320"/>
      <c r="BF375" s="320"/>
      <c r="BG375" s="320"/>
      <c r="BH375" s="320"/>
      <c r="BI375" s="320"/>
      <c r="BJ375" s="320"/>
      <c r="BK375" s="320"/>
    </row>
    <row r="376" spans="1:63">
      <c r="A376" s="167"/>
      <c r="B376" s="217" t="str">
        <f>Servicio_internaColumna_título_amortizaciones</f>
        <v>Amortizaciones</v>
      </c>
      <c r="C376" s="218"/>
      <c r="D376" s="219"/>
      <c r="E376" s="219"/>
      <c r="F376" s="219">
        <f>IF('Perfil - interna'!F376+'Perfil - externa'!F374=0,0,'Perfil - interna'!F376+'Perfil - externa'!F374)</f>
        <v>0</v>
      </c>
      <c r="G376" s="219">
        <f>IF('Perfil - interna'!G376+'Perfil - externa'!G374=0,0,'Perfil - interna'!G376+'Perfil - externa'!G374)</f>
        <v>0</v>
      </c>
      <c r="H376" s="219">
        <f>IF('Perfil - interna'!H376+'Perfil - externa'!H374=0,0,'Perfil - interna'!H376+'Perfil - externa'!H374)</f>
        <v>0</v>
      </c>
      <c r="I376" s="219">
        <f>IF('Perfil - interna'!I376+'Perfil - externa'!I374=0,0,'Perfil - interna'!I376+'Perfil - externa'!I374)</f>
        <v>0</v>
      </c>
      <c r="J376" s="219">
        <f>IF('Perfil - interna'!J376+'Perfil - externa'!J374=0,0,'Perfil - interna'!J376+'Perfil - externa'!J374)</f>
        <v>0</v>
      </c>
      <c r="K376" s="219">
        <f>IF('Perfil - interna'!K376+'Perfil - externa'!K374=0,0,'Perfil - interna'!K376+'Perfil - externa'!K374)</f>
        <v>0</v>
      </c>
      <c r="L376" s="219">
        <f>IF('Perfil - interna'!L376+'Perfil - externa'!L374=0,0,'Perfil - interna'!L376+'Perfil - externa'!L374)</f>
        <v>0</v>
      </c>
      <c r="M376" s="219">
        <f>IF('Perfil - interna'!M376+'Perfil - externa'!M374=0,0,'Perfil - interna'!M376+'Perfil - externa'!M374)</f>
        <v>20286778.171737403</v>
      </c>
      <c r="N376" s="219">
        <f>IF('Perfil - interna'!N376+'Perfil - externa'!N374=0,0,'Perfil - interna'!N376+'Perfil - externa'!N374)</f>
        <v>19732136.188130341</v>
      </c>
      <c r="O376" s="219">
        <f>IF('Perfil - interna'!O376+'Perfil - externa'!O374=0,0,'Perfil - interna'!O376+'Perfil - externa'!O374)</f>
        <v>26302197.478987575</v>
      </c>
      <c r="P376" s="219">
        <f>IF('Perfil - interna'!P376+'Perfil - externa'!P374=0,0,'Perfil - interna'!P376+'Perfil - externa'!P374)</f>
        <v>22034525.283670679</v>
      </c>
      <c r="Q376" s="219">
        <f>IF('Perfil - interna'!Q376+'Perfil - externa'!Q374=0,0,'Perfil - interna'!Q376+'Perfil - externa'!Q374)</f>
        <v>20561033.51336538</v>
      </c>
      <c r="R376" s="219">
        <f>IF('Perfil - interna'!R376+'Perfil - externa'!R374=0,0,'Perfil - interna'!R376+'Perfil - externa'!R374)</f>
        <v>13463771.520218041</v>
      </c>
      <c r="S376" s="219">
        <f>IF('Perfil - interna'!S376+'Perfil - externa'!S374=0,0,'Perfil - interna'!S376+'Perfil - externa'!S374)</f>
        <v>8188674.5579543896</v>
      </c>
      <c r="T376" s="219">
        <f>IF('Perfil - interna'!T376+'Perfil - externa'!T374=0,0,'Perfil - interna'!T376+'Perfil - externa'!T374)</f>
        <v>7566474.4394955523</v>
      </c>
      <c r="U376" s="219">
        <f>IF('Perfil - interna'!U376+'Perfil - externa'!U374=0,0,'Perfil - interna'!U376+'Perfil - externa'!U374)</f>
        <v>6208628.4761911603</v>
      </c>
      <c r="V376" s="219">
        <f>IF('Perfil - interna'!V376+'Perfil - externa'!V374=0,0,'Perfil - interna'!V376+'Perfil - externa'!V374)</f>
        <v>11110467.449692443</v>
      </c>
      <c r="W376" s="219">
        <f>IF('Perfil - interna'!W376+'Perfil - externa'!W374=0,0,'Perfil - interna'!W376+'Perfil - externa'!W374)</f>
        <v>3261201.2017860566</v>
      </c>
      <c r="X376" s="219">
        <f>IF('Perfil - interna'!X376+'Perfil - externa'!X374=0,0,'Perfil - interna'!X376+'Perfil - externa'!X374)</f>
        <v>1082892.2147583859</v>
      </c>
      <c r="Y376" s="219">
        <f>IF('Perfil - interna'!Y376+'Perfil - externa'!Y374=0,0,'Perfil - interna'!Y376+'Perfil - externa'!Y374)</f>
        <v>10151969.232421067</v>
      </c>
      <c r="Z376" s="219">
        <f>IF('Perfil - interna'!Z376+'Perfil - externa'!Z374=0,0,'Perfil - interna'!Z376+'Perfil - externa'!Z374)</f>
        <v>17935373.090440921</v>
      </c>
      <c r="AA376" s="219">
        <f>IF('Perfil - interna'!AA376+'Perfil - externa'!AA374=0,0,'Perfil - interna'!AA376+'Perfil - externa'!AA374)</f>
        <v>1169492.2463465179</v>
      </c>
      <c r="AB376" s="219">
        <f>IF('Perfil - interna'!AB376+'Perfil - externa'!AB374=0,0,'Perfil - interna'!AB376+'Perfil - externa'!AB374)</f>
        <v>780809.21333450626</v>
      </c>
      <c r="AC376" s="219">
        <f>IF('Perfil - interna'!AC376+'Perfil - externa'!AC374=0,0,'Perfil - interna'!AC376+'Perfil - externa'!AC374)</f>
        <v>2537752.9790215078</v>
      </c>
      <c r="AD376" s="219">
        <f>IF('Perfil - interna'!AD376+'Perfil - externa'!AD374=0,0,'Perfil - interna'!AD376+'Perfil - externa'!AD374)</f>
        <v>685226.49074065615</v>
      </c>
      <c r="AE376" s="219">
        <f>IF('Perfil - interna'!AE376+'Perfil - externa'!AE374=0,0,'Perfil - interna'!AE376+'Perfil - externa'!AE374)</f>
        <v>556192.14943549072</v>
      </c>
      <c r="AF376" s="219">
        <f>IF('Perfil - interna'!AF376+'Perfil - externa'!AF374=0,0,'Perfil - interna'!AF376+'Perfil - externa'!AF374)</f>
        <v>448288.24310178065</v>
      </c>
      <c r="AG376" s="219">
        <f>IF('Perfil - interna'!AG376+'Perfil - externa'!AG374=0,0,'Perfil - interna'!AG376+'Perfil - externa'!AG374)</f>
        <v>405722.25077097717</v>
      </c>
      <c r="AH376" s="219">
        <f>IF('Perfil - interna'!AH376+'Perfil - externa'!AH374=0,0,'Perfil - interna'!AH376+'Perfil - externa'!AH374)</f>
        <v>383148.7501167804</v>
      </c>
      <c r="AI376" s="219">
        <f>IF('Perfil - interna'!AI376+'Perfil - externa'!AI374=0,0,'Perfil - interna'!AI376+'Perfil - externa'!AI374)</f>
        <v>843636.04303761607</v>
      </c>
      <c r="AJ376" s="219">
        <f>IF('Perfil - interna'!AJ376+'Perfil - externa'!AJ374=0,0,'Perfil - interna'!AJ376+'Perfil - externa'!AJ374)</f>
        <v>212706.72754561438</v>
      </c>
      <c r="AK376" s="219">
        <f>IF('Perfil - interna'!AK376+'Perfil - externa'!AK374=0,0,'Perfil - interna'!AK376+'Perfil - externa'!AK374)</f>
        <v>151472.38343826719</v>
      </c>
      <c r="AL376" s="219">
        <f>IF('Perfil - interna'!AL376+'Perfil - externa'!AL374=0,0,'Perfil - interna'!AL376+'Perfil - externa'!AL374)</f>
        <v>100180.30508974919</v>
      </c>
      <c r="AM376" s="219">
        <f>IF('Perfil - interna'!AM376+'Perfil - externa'!AM374=0,0,'Perfil - interna'!AM376+'Perfil - externa'!AM374)</f>
        <v>3246481.8414442372</v>
      </c>
      <c r="AN376" s="219">
        <f>IF('Perfil - interna'!AN376+'Perfil - externa'!AN374=0,0,'Perfil - interna'!AN376+'Perfil - externa'!AN374)</f>
        <v>5474.0167276631992</v>
      </c>
      <c r="AO376" s="219"/>
      <c r="AP376" s="219"/>
      <c r="AQ376" s="219"/>
      <c r="AR376" s="219"/>
      <c r="AS376" s="219"/>
      <c r="AT376" s="219"/>
      <c r="AU376" s="219"/>
      <c r="AV376" s="219"/>
      <c r="AW376" s="219"/>
      <c r="AX376" s="219"/>
      <c r="AY376" s="219"/>
      <c r="AZ376" s="219"/>
      <c r="BA376" s="219"/>
      <c r="BB376" s="219"/>
      <c r="BC376" s="219"/>
      <c r="BD376" s="219"/>
      <c r="BE376" s="219"/>
      <c r="BF376" s="219"/>
      <c r="BG376" s="219"/>
      <c r="BH376" s="219"/>
      <c r="BI376" s="219"/>
      <c r="BJ376" s="219"/>
      <c r="BK376" s="219"/>
    </row>
    <row r="377" spans="1:63">
      <c r="A377" s="170">
        <v>40634</v>
      </c>
      <c r="B377" s="220" t="str">
        <f>Servicio_internaColumna_título_intereses</f>
        <v>Intereses</v>
      </c>
      <c r="C377" s="221"/>
      <c r="D377" s="222"/>
      <c r="E377" s="222"/>
      <c r="F377" s="222">
        <f>IF('Perfil - interna'!F377+'Perfil - externa'!F375=0,0,'Perfil - interna'!F377+'Perfil - externa'!F375)</f>
        <v>0</v>
      </c>
      <c r="G377" s="222">
        <f>IF('Perfil - interna'!G377+'Perfil - externa'!G375=0,0,'Perfil - interna'!G377+'Perfil - externa'!G375)</f>
        <v>0</v>
      </c>
      <c r="H377" s="222">
        <f>IF('Perfil - interna'!H377+'Perfil - externa'!H375=0,0,'Perfil - interna'!H377+'Perfil - externa'!H375)</f>
        <v>0</v>
      </c>
      <c r="I377" s="222">
        <f>IF('Perfil - interna'!I377+'Perfil - externa'!I375=0,0,'Perfil - interna'!I377+'Perfil - externa'!I375)</f>
        <v>0</v>
      </c>
      <c r="J377" s="222">
        <f>IF('Perfil - interna'!J377+'Perfil - externa'!J375=0,0,'Perfil - interna'!J377+'Perfil - externa'!J375)</f>
        <v>0</v>
      </c>
      <c r="K377" s="222">
        <f>IF('Perfil - interna'!K377+'Perfil - externa'!K375=0,0,'Perfil - interna'!K377+'Perfil - externa'!K375)</f>
        <v>0</v>
      </c>
      <c r="L377" s="222">
        <f>IF('Perfil - interna'!L377+'Perfil - externa'!L375=0,0,'Perfil - interna'!L377+'Perfil - externa'!L375)</f>
        <v>0</v>
      </c>
      <c r="M377" s="222">
        <f>IF('Perfil - interna'!M377+'Perfil - externa'!M375=0,0,'Perfil - interna'!M377+'Perfil - externa'!M375)</f>
        <v>12085769.74195645</v>
      </c>
      <c r="N377" s="222">
        <f>IF('Perfil - interna'!N377+'Perfil - externa'!N375=0,0,'Perfil - interna'!N377+'Perfil - externa'!N375)</f>
        <v>14367786.025581488</v>
      </c>
      <c r="O377" s="222">
        <f>IF('Perfil - interna'!O377+'Perfil - externa'!O375=0,0,'Perfil - interna'!O377+'Perfil - externa'!O375)</f>
        <v>12712898.815636348</v>
      </c>
      <c r="P377" s="222">
        <f>IF('Perfil - interna'!P377+'Perfil - externa'!P375=0,0,'Perfil - interna'!P377+'Perfil - externa'!P375)</f>
        <v>10843446.110660143</v>
      </c>
      <c r="Q377" s="222">
        <f>IF('Perfil - interna'!Q377+'Perfil - externa'!Q375=0,0,'Perfil - interna'!Q377+'Perfil - externa'!Q375)</f>
        <v>8773183.6063464694</v>
      </c>
      <c r="R377" s="222">
        <f>IF('Perfil - interna'!R377+'Perfil - externa'!R375=0,0,'Perfil - interna'!R377+'Perfil - externa'!R375)</f>
        <v>7155450.1455212161</v>
      </c>
      <c r="S377" s="222">
        <f>IF('Perfil - interna'!S377+'Perfil - externa'!S375=0,0,'Perfil - interna'!S377+'Perfil - externa'!S375)</f>
        <v>6155962.5974205639</v>
      </c>
      <c r="T377" s="222">
        <f>IF('Perfil - interna'!T377+'Perfil - externa'!T375=0,0,'Perfil - interna'!T377+'Perfil - externa'!T375)</f>
        <v>5792657.1590890978</v>
      </c>
      <c r="U377" s="222">
        <f>IF('Perfil - interna'!U377+'Perfil - externa'!U375=0,0,'Perfil - interna'!U377+'Perfil - externa'!U375)</f>
        <v>4924393.0995135643</v>
      </c>
      <c r="V377" s="222">
        <f>IF('Perfil - interna'!V377+'Perfil - externa'!V375=0,0,'Perfil - interna'!V377+'Perfil - externa'!V375)</f>
        <v>4619556.7654970158</v>
      </c>
      <c r="W377" s="222">
        <f>IF('Perfil - interna'!W377+'Perfil - externa'!W375=0,0,'Perfil - interna'!W377+'Perfil - externa'!W375)</f>
        <v>3555837.5358063974</v>
      </c>
      <c r="X377" s="222">
        <f>IF('Perfil - interna'!X377+'Perfil - externa'!X375=0,0,'Perfil - interna'!X377+'Perfil - externa'!X375)</f>
        <v>3343777.0800087634</v>
      </c>
      <c r="Y377" s="222">
        <f>IF('Perfil - interna'!Y377+'Perfil - externa'!Y375=0,0,'Perfil - interna'!Y377+'Perfil - externa'!Y375)</f>
        <v>3300510.393519788</v>
      </c>
      <c r="Z377" s="222">
        <f>IF('Perfil - interna'!Z377+'Perfil - externa'!Z375=0,0,'Perfil - interna'!Z377+'Perfil - externa'!Z375)</f>
        <v>2553788.9978848938</v>
      </c>
      <c r="AA377" s="222">
        <f>IF('Perfil - interna'!AA377+'Perfil - externa'!AA375=0,0,'Perfil - interna'!AA377+'Perfil - externa'!AA375)</f>
        <v>900056.55137965805</v>
      </c>
      <c r="AB377" s="222">
        <f>IF('Perfil - interna'!AB377+'Perfil - externa'!AB375=0,0,'Perfil - interna'!AB377+'Perfil - externa'!AB375)</f>
        <v>833360.80300307157</v>
      </c>
      <c r="AC377" s="222">
        <f>IF('Perfil - interna'!AC377+'Perfil - externa'!AC375=0,0,'Perfil - interna'!AC377+'Perfil - externa'!AC375)</f>
        <v>779359.79456506728</v>
      </c>
      <c r="AD377" s="222">
        <f>IF('Perfil - interna'!AD377+'Perfil - externa'!AD375=0,0,'Perfil - interna'!AD377+'Perfil - externa'!AD375)</f>
        <v>571291.85529160197</v>
      </c>
      <c r="AE377" s="222">
        <f>IF('Perfil - interna'!AE377+'Perfil - externa'!AE375=0,0,'Perfil - interna'!AE377+'Perfil - externa'!AE375)</f>
        <v>536684.06252437015</v>
      </c>
      <c r="AF377" s="222">
        <f>IF('Perfil - interna'!AF377+'Perfil - externa'!AF375=0,0,'Perfil - interna'!AF377+'Perfil - externa'!AF375)</f>
        <v>506733.64684093313</v>
      </c>
      <c r="AG377" s="222">
        <f>IF('Perfil - interna'!AG377+'Perfil - externa'!AG375=0,0,'Perfil - interna'!AG377+'Perfil - externa'!AG375)</f>
        <v>482787.74286460679</v>
      </c>
      <c r="AH377" s="222">
        <f>IF('Perfil - interna'!AH377+'Perfil - externa'!AH375=0,0,'Perfil - interna'!AH377+'Perfil - externa'!AH375)</f>
        <v>461245.05149450642</v>
      </c>
      <c r="AI377" s="222">
        <f>IF('Perfil - interna'!AI377+'Perfil - externa'!AI375=0,0,'Perfil - interna'!AI377+'Perfil - externa'!AI375)</f>
        <v>411327.59246836678</v>
      </c>
      <c r="AJ377" s="222">
        <f>IF('Perfil - interna'!AJ377+'Perfil - externa'!AJ375=0,0,'Perfil - interna'!AJ377+'Perfil - externa'!AJ375)</f>
        <v>368780.04105913738</v>
      </c>
      <c r="AK377" s="222">
        <f>IF('Perfil - interna'!AK377+'Perfil - externa'!AK375=0,0,'Perfil - interna'!AK377+'Perfil - externa'!AK375)</f>
        <v>358326.92866668419</v>
      </c>
      <c r="AL377" s="222">
        <f>IF('Perfil - interna'!AL377+'Perfil - externa'!AL375=0,0,'Perfil - interna'!AL377+'Perfil - externa'!AL375)</f>
        <v>350739.87759419758</v>
      </c>
      <c r="AM377" s="222">
        <f>IF('Perfil - interna'!AM377+'Perfil - externa'!AM375=0,0,'Perfil - interna'!AM377+'Perfil - externa'!AM375)</f>
        <v>346105.03622119321</v>
      </c>
      <c r="AN377" s="222">
        <f>IF('Perfil - interna'!AN377+'Perfil - externa'!AN375=0,0,'Perfil - interna'!AN377+'Perfil - externa'!AN375)</f>
        <v>108324.5333775858</v>
      </c>
      <c r="AO377" s="222"/>
      <c r="AP377" s="222"/>
      <c r="AQ377" s="222"/>
      <c r="AR377" s="222"/>
      <c r="AS377" s="222"/>
      <c r="AT377" s="222"/>
      <c r="AU377" s="222"/>
      <c r="AV377" s="222"/>
      <c r="AW377" s="222"/>
      <c r="AX377" s="222"/>
      <c r="AY377" s="222"/>
      <c r="AZ377" s="222"/>
      <c r="BA377" s="222"/>
      <c r="BB377" s="222"/>
      <c r="BC377" s="222"/>
      <c r="BD377" s="222"/>
      <c r="BE377" s="222"/>
      <c r="BF377" s="222"/>
      <c r="BG377" s="222"/>
      <c r="BH377" s="222"/>
      <c r="BI377" s="222"/>
      <c r="BJ377" s="222"/>
      <c r="BK377" s="222"/>
    </row>
    <row r="378" spans="1:63">
      <c r="A378" s="171"/>
      <c r="B378" s="318" t="str">
        <f>Servicio_internaColumna_título_total</f>
        <v>Total</v>
      </c>
      <c r="C378" s="319"/>
      <c r="D378" s="320"/>
      <c r="E378" s="320"/>
      <c r="F378" s="320">
        <f>IF('Perfil - interna'!F378+'Perfil - externa'!F376=0,0,'Perfil - interna'!F378+'Perfil - externa'!F376)</f>
        <v>0</v>
      </c>
      <c r="G378" s="320">
        <f>IF('Perfil - interna'!G378+'Perfil - externa'!G376=0,0,'Perfil - interna'!G378+'Perfil - externa'!G376)</f>
        <v>0</v>
      </c>
      <c r="H378" s="320">
        <f>IF('Perfil - interna'!H378+'Perfil - externa'!H376=0,0,'Perfil - interna'!H378+'Perfil - externa'!H376)</f>
        <v>0</v>
      </c>
      <c r="I378" s="320">
        <f>IF('Perfil - interna'!I378+'Perfil - externa'!I376=0,0,'Perfil - interna'!I378+'Perfil - externa'!I376)</f>
        <v>0</v>
      </c>
      <c r="J378" s="320">
        <f>IF('Perfil - interna'!J378+'Perfil - externa'!J376=0,0,'Perfil - interna'!J378+'Perfil - externa'!J376)</f>
        <v>0</v>
      </c>
      <c r="K378" s="320">
        <f>IF('Perfil - interna'!K378+'Perfil - externa'!K376=0,0,'Perfil - interna'!K378+'Perfil - externa'!K376)</f>
        <v>0</v>
      </c>
      <c r="L378" s="320">
        <f>IF('Perfil - interna'!L378+'Perfil - externa'!L376=0,0,'Perfil - interna'!L378+'Perfil - externa'!L376)</f>
        <v>0</v>
      </c>
      <c r="M378" s="320">
        <f>IF('Perfil - interna'!M378+'Perfil - externa'!M376=0,0,'Perfil - interna'!M378+'Perfil - externa'!M376)</f>
        <v>32372547.913693853</v>
      </c>
      <c r="N378" s="320">
        <f>IF('Perfil - interna'!N378+'Perfil - externa'!N376=0,0,'Perfil - interna'!N378+'Perfil - externa'!N376)</f>
        <v>34099922.213711828</v>
      </c>
      <c r="O378" s="320">
        <f>IF('Perfil - interna'!O378+'Perfil - externa'!O376=0,0,'Perfil - interna'!O378+'Perfil - externa'!O376)</f>
        <v>39015096.294623919</v>
      </c>
      <c r="P378" s="320">
        <f>IF('Perfil - interna'!P378+'Perfil - externa'!P376=0,0,'Perfil - interna'!P378+'Perfil - externa'!P376)</f>
        <v>32877971.394330822</v>
      </c>
      <c r="Q378" s="320">
        <f>IF('Perfil - interna'!Q378+'Perfil - externa'!Q376=0,0,'Perfil - interna'!Q378+'Perfil - externa'!Q376)</f>
        <v>29334217.119711846</v>
      </c>
      <c r="R378" s="320">
        <f>IF('Perfil - interna'!R378+'Perfil - externa'!R376=0,0,'Perfil - interna'!R378+'Perfil - externa'!R376)</f>
        <v>20619221.665739257</v>
      </c>
      <c r="S378" s="320">
        <f>IF('Perfil - interna'!S378+'Perfil - externa'!S376=0,0,'Perfil - interna'!S378+'Perfil - externa'!S376)</f>
        <v>14344637.155374954</v>
      </c>
      <c r="T378" s="320">
        <f>IF('Perfil - interna'!T378+'Perfil - externa'!T376=0,0,'Perfil - interna'!T378+'Perfil - externa'!T376)</f>
        <v>13359131.598584652</v>
      </c>
      <c r="U378" s="320">
        <f>IF('Perfil - interna'!U378+'Perfil - externa'!U376=0,0,'Perfil - interna'!U378+'Perfil - externa'!U376)</f>
        <v>11133021.575704724</v>
      </c>
      <c r="V378" s="320">
        <f>IF('Perfil - interna'!V378+'Perfil - externa'!V376=0,0,'Perfil - interna'!V378+'Perfil - externa'!V376)</f>
        <v>15730024.215189459</v>
      </c>
      <c r="W378" s="320">
        <f>IF('Perfil - interna'!W378+'Perfil - externa'!W376=0,0,'Perfil - interna'!W378+'Perfil - externa'!W376)</f>
        <v>6817038.7375924541</v>
      </c>
      <c r="X378" s="320">
        <f>IF('Perfil - interna'!X378+'Perfil - externa'!X376=0,0,'Perfil - interna'!X378+'Perfil - externa'!X376)</f>
        <v>4426669.2947671488</v>
      </c>
      <c r="Y378" s="320">
        <f>IF('Perfil - interna'!Y378+'Perfil - externa'!Y376=0,0,'Perfil - interna'!Y378+'Perfil - externa'!Y376)</f>
        <v>13452479.625940856</v>
      </c>
      <c r="Z378" s="320">
        <f>IF('Perfil - interna'!Z378+'Perfil - externa'!Z376=0,0,'Perfil - interna'!Z378+'Perfil - externa'!Z376)</f>
        <v>20489162.088325817</v>
      </c>
      <c r="AA378" s="320">
        <f>IF('Perfil - interna'!AA378+'Perfil - externa'!AA376=0,0,'Perfil - interna'!AA378+'Perfil - externa'!AA376)</f>
        <v>2069548.797726176</v>
      </c>
      <c r="AB378" s="320">
        <f>IF('Perfil - interna'!AB378+'Perfil - externa'!AB376=0,0,'Perfil - interna'!AB378+'Perfil - externa'!AB376)</f>
        <v>1614170.0163375777</v>
      </c>
      <c r="AC378" s="320">
        <f>IF('Perfil - interna'!AC378+'Perfil - externa'!AC376=0,0,'Perfil - interna'!AC378+'Perfil - externa'!AC376)</f>
        <v>3317112.7735865749</v>
      </c>
      <c r="AD378" s="320">
        <f>IF('Perfil - interna'!AD378+'Perfil - externa'!AD376=0,0,'Perfil - interna'!AD378+'Perfil - externa'!AD376)</f>
        <v>1256518.3460322581</v>
      </c>
      <c r="AE378" s="320">
        <f>IF('Perfil - interna'!AE378+'Perfil - externa'!AE376=0,0,'Perfil - interna'!AE378+'Perfil - externa'!AE376)</f>
        <v>1092876.2119598608</v>
      </c>
      <c r="AF378" s="320">
        <f>IF('Perfil - interna'!AF378+'Perfil - externa'!AF376=0,0,'Perfil - interna'!AF378+'Perfil - externa'!AF376)</f>
        <v>955021.88994271378</v>
      </c>
      <c r="AG378" s="320">
        <f>IF('Perfil - interna'!AG378+'Perfil - externa'!AG376=0,0,'Perfil - interna'!AG378+'Perfil - externa'!AG376)</f>
        <v>888509.9936355839</v>
      </c>
      <c r="AH378" s="320">
        <f>IF('Perfil - interna'!AH378+'Perfil - externa'!AH376=0,0,'Perfil - interna'!AH378+'Perfil - externa'!AH376)</f>
        <v>844393.80161128682</v>
      </c>
      <c r="AI378" s="320">
        <f>IF('Perfil - interna'!AI378+'Perfil - externa'!AI376=0,0,'Perfil - interna'!AI378+'Perfil - externa'!AI376)</f>
        <v>1254963.6355059829</v>
      </c>
      <c r="AJ378" s="320">
        <f>IF('Perfil - interna'!AJ378+'Perfil - externa'!AJ376=0,0,'Perfil - interna'!AJ378+'Perfil - externa'!AJ376)</f>
        <v>581486.76860475179</v>
      </c>
      <c r="AK378" s="320">
        <f>IF('Perfil - interna'!AK378+'Perfil - externa'!AK376=0,0,'Perfil - interna'!AK378+'Perfil - externa'!AK376)</f>
        <v>509799.31210495136</v>
      </c>
      <c r="AL378" s="320">
        <f>IF('Perfil - interna'!AL378+'Perfil - externa'!AL376=0,0,'Perfil - interna'!AL378+'Perfil - externa'!AL376)</f>
        <v>450920.1826839468</v>
      </c>
      <c r="AM378" s="320">
        <f>IF('Perfil - interna'!AM378+'Perfil - externa'!AM376=0,0,'Perfil - interna'!AM378+'Perfil - externa'!AM376)</f>
        <v>3592586.8776654303</v>
      </c>
      <c r="AN378" s="320">
        <f>IF('Perfil - interna'!AN378+'Perfil - externa'!AN376=0,0,'Perfil - interna'!AN378+'Perfil - externa'!AN376)</f>
        <v>113798.550105249</v>
      </c>
      <c r="AO378" s="320"/>
      <c r="AP378" s="320"/>
      <c r="AQ378" s="320"/>
      <c r="AR378" s="320"/>
      <c r="AS378" s="320"/>
      <c r="AT378" s="320"/>
      <c r="AU378" s="320"/>
      <c r="AV378" s="320"/>
      <c r="AW378" s="320"/>
      <c r="AX378" s="320"/>
      <c r="AY378" s="320"/>
      <c r="AZ378" s="320"/>
      <c r="BA378" s="320"/>
      <c r="BB378" s="320"/>
      <c r="BC378" s="320"/>
      <c r="BD378" s="320"/>
      <c r="BE378" s="320"/>
      <c r="BF378" s="320"/>
      <c r="BG378" s="320"/>
      <c r="BH378" s="320"/>
      <c r="BI378" s="320"/>
      <c r="BJ378" s="320"/>
      <c r="BK378" s="320"/>
    </row>
    <row r="379" spans="1:63">
      <c r="A379" s="167"/>
      <c r="B379" s="217" t="str">
        <f>Servicio_internaColumna_título_amortizaciones</f>
        <v>Amortizaciones</v>
      </c>
      <c r="C379" s="218"/>
      <c r="D379" s="219"/>
      <c r="E379" s="219"/>
      <c r="F379" s="219">
        <f>IF('Perfil - interna'!F379+'Perfil - externa'!F377=0,0,'Perfil - interna'!F379+'Perfil - externa'!F377)</f>
        <v>0</v>
      </c>
      <c r="G379" s="219">
        <f>IF('Perfil - interna'!G379+'Perfil - externa'!G377=0,0,'Perfil - interna'!G379+'Perfil - externa'!G377)</f>
        <v>0</v>
      </c>
      <c r="H379" s="219">
        <f>IF('Perfil - interna'!H379+'Perfil - externa'!H377=0,0,'Perfil - interna'!H379+'Perfil - externa'!H377)</f>
        <v>0</v>
      </c>
      <c r="I379" s="219">
        <f>IF('Perfil - interna'!I379+'Perfil - externa'!I377=0,0,'Perfil - interna'!I379+'Perfil - externa'!I377)</f>
        <v>0</v>
      </c>
      <c r="J379" s="219">
        <f>IF('Perfil - interna'!J379+'Perfil - externa'!J377=0,0,'Perfil - interna'!J379+'Perfil - externa'!J377)</f>
        <v>0</v>
      </c>
      <c r="K379" s="219">
        <f>IF('Perfil - interna'!K379+'Perfil - externa'!K377=0,0,'Perfil - interna'!K379+'Perfil - externa'!K377)</f>
        <v>0</v>
      </c>
      <c r="L379" s="219">
        <f>IF('Perfil - interna'!L379+'Perfil - externa'!L377=0,0,'Perfil - interna'!L379+'Perfil - externa'!L377)</f>
        <v>0</v>
      </c>
      <c r="M379" s="219">
        <f>IF('Perfil - interna'!M379+'Perfil - externa'!M377=0,0,'Perfil - interna'!M379+'Perfil - externa'!M377)</f>
        <v>10138768.105970021</v>
      </c>
      <c r="N379" s="219">
        <f>IF('Perfil - interna'!N379+'Perfil - externa'!N377=0,0,'Perfil - interna'!N379+'Perfil - externa'!N377)</f>
        <v>20071089.685092803</v>
      </c>
      <c r="O379" s="219">
        <f>IF('Perfil - interna'!O379+'Perfil - externa'!O377=0,0,'Perfil - interna'!O379+'Perfil - externa'!O377)</f>
        <v>26425535.31113686</v>
      </c>
      <c r="P379" s="219">
        <f>IF('Perfil - interna'!P379+'Perfil - externa'!P377=0,0,'Perfil - interna'!P379+'Perfil - externa'!P377)</f>
        <v>23615712.255258471</v>
      </c>
      <c r="Q379" s="219">
        <f>IF('Perfil - interna'!Q379+'Perfil - externa'!Q377=0,0,'Perfil - interna'!Q379+'Perfil - externa'!Q377)</f>
        <v>21417336.818430796</v>
      </c>
      <c r="R379" s="219">
        <f>IF('Perfil - interna'!R379+'Perfil - externa'!R377=0,0,'Perfil - interna'!R379+'Perfil - externa'!R377)</f>
        <v>13476825.920359677</v>
      </c>
      <c r="S379" s="219">
        <f>IF('Perfil - interna'!S379+'Perfil - externa'!S377=0,0,'Perfil - interna'!S379+'Perfil - externa'!S377)</f>
        <v>8607299.3537260778</v>
      </c>
      <c r="T379" s="219">
        <f>IF('Perfil - interna'!T379+'Perfil - externa'!T377=0,0,'Perfil - interna'!T379+'Perfil - externa'!T377)</f>
        <v>8306744.7890200391</v>
      </c>
      <c r="U379" s="219">
        <f>IF('Perfil - interna'!U379+'Perfil - externa'!U377=0,0,'Perfil - interna'!U379+'Perfil - externa'!U377)</f>
        <v>6358702.4929511119</v>
      </c>
      <c r="V379" s="219">
        <f>IF('Perfil - interna'!V379+'Perfil - externa'!V377=0,0,'Perfil - interna'!V379+'Perfil - externa'!V377)</f>
        <v>11187387.033504739</v>
      </c>
      <c r="W379" s="219">
        <f>IF('Perfil - interna'!W379+'Perfil - externa'!W377=0,0,'Perfil - interna'!W379+'Perfil - externa'!W377)</f>
        <v>3354101.0804513986</v>
      </c>
      <c r="X379" s="219">
        <f>IF('Perfil - interna'!X379+'Perfil - externa'!X377=0,0,'Perfil - interna'!X379+'Perfil - externa'!X377)</f>
        <v>1114547.031871056</v>
      </c>
      <c r="Y379" s="219">
        <f>IF('Perfil - interna'!Y379+'Perfil - externa'!Y377=0,0,'Perfil - interna'!Y379+'Perfil - externa'!Y377)</f>
        <v>10476304.259766694</v>
      </c>
      <c r="Z379" s="219">
        <f>IF('Perfil - interna'!Z379+'Perfil - externa'!Z377=0,0,'Perfil - interna'!Z379+'Perfil - externa'!Z377)</f>
        <v>18409451.055401511</v>
      </c>
      <c r="AA379" s="219">
        <f>IF('Perfil - interna'!AA379+'Perfil - externa'!AA377=0,0,'Perfil - interna'!AA379+'Perfil - externa'!AA377)</f>
        <v>1203680.756930904</v>
      </c>
      <c r="AB379" s="219">
        <f>IF('Perfil - interna'!AB379+'Perfil - externa'!AB377=0,0,'Perfil - interna'!AB379+'Perfil - externa'!AB377)</f>
        <v>803981.07549722737</v>
      </c>
      <c r="AC379" s="219">
        <f>IF('Perfil - interna'!AC379+'Perfil - externa'!AC377=0,0,'Perfil - interna'!AC379+'Perfil - externa'!AC377)</f>
        <v>2610457.0258094999</v>
      </c>
      <c r="AD379" s="219">
        <f>IF('Perfil - interna'!AD379+'Perfil - externa'!AD377=0,0,'Perfil - interna'!AD379+'Perfil - externa'!AD377)</f>
        <v>705719.93113551289</v>
      </c>
      <c r="AE379" s="219">
        <f>IF('Perfil - interna'!AE379+'Perfil - externa'!AE377=0,0,'Perfil - interna'!AE379+'Perfil - externa'!AE377)</f>
        <v>573050.07934854948</v>
      </c>
      <c r="AF379" s="219">
        <f>IF('Perfil - interna'!AF379+'Perfil - externa'!AF377=0,0,'Perfil - interna'!AF379+'Perfil - externa'!AF377)</f>
        <v>462106.00728426536</v>
      </c>
      <c r="AG379" s="219">
        <f>IF('Perfil - interna'!AG379+'Perfil - externa'!AG377=0,0,'Perfil - interna'!AG379+'Perfil - externa'!AG377)</f>
        <v>417754.48971253197</v>
      </c>
      <c r="AH379" s="219">
        <f>IF('Perfil - interna'!AH379+'Perfil - externa'!AH377=0,0,'Perfil - interna'!AH379+'Perfil - externa'!AH377)</f>
        <v>393958.81504968239</v>
      </c>
      <c r="AI379" s="219">
        <f>IF('Perfil - interna'!AI379+'Perfil - externa'!AI377=0,0,'Perfil - interna'!AI379+'Perfil - externa'!AI377)</f>
        <v>867420.29015332332</v>
      </c>
      <c r="AJ379" s="219">
        <f>IF('Perfil - interna'!AJ379+'Perfil - externa'!AJ377=0,0,'Perfil - interna'!AJ379+'Perfil - externa'!AJ377)</f>
        <v>218714.69807832959</v>
      </c>
      <c r="AK379" s="219">
        <f>IF('Perfil - interna'!AK379+'Perfil - externa'!AK377=0,0,'Perfil - interna'!AK379+'Perfil - externa'!AK377)</f>
        <v>155755.09155171839</v>
      </c>
      <c r="AL379" s="219">
        <f>IF('Perfil - interna'!AL379+'Perfil - externa'!AL377=0,0,'Perfil - interna'!AL379+'Perfil - externa'!AL377)</f>
        <v>103019.94023679539</v>
      </c>
      <c r="AM379" s="219">
        <f>IF('Perfil - interna'!AM379+'Perfil - externa'!AM377=0,0,'Perfil - interna'!AM379+'Perfil - externa'!AM377)</f>
        <v>3337967.6048379987</v>
      </c>
      <c r="AN379" s="219">
        <f>IF('Perfil - interna'!AN379+'Perfil - externa'!AN377=0,0,'Perfil - interna'!AN379+'Perfil - externa'!AN377)</f>
        <v>5628.2457878471987</v>
      </c>
      <c r="AO379" s="219"/>
      <c r="AP379" s="219"/>
      <c r="AQ379" s="219"/>
      <c r="AR379" s="219"/>
      <c r="AS379" s="219"/>
      <c r="AT379" s="219"/>
      <c r="AU379" s="219"/>
      <c r="AV379" s="219"/>
      <c r="AW379" s="219"/>
      <c r="AX379" s="219"/>
      <c r="AY379" s="219"/>
      <c r="AZ379" s="219"/>
      <c r="BA379" s="219"/>
      <c r="BB379" s="219"/>
      <c r="BC379" s="219"/>
      <c r="BD379" s="219"/>
      <c r="BE379" s="219"/>
      <c r="BF379" s="219"/>
      <c r="BG379" s="219"/>
      <c r="BH379" s="219"/>
      <c r="BI379" s="219"/>
      <c r="BJ379" s="219"/>
      <c r="BK379" s="219"/>
    </row>
    <row r="380" spans="1:63">
      <c r="A380" s="170">
        <v>40664</v>
      </c>
      <c r="B380" s="220" t="str">
        <f>Servicio_internaColumna_título_intereses</f>
        <v>Intereses</v>
      </c>
      <c r="C380" s="221"/>
      <c r="D380" s="222"/>
      <c r="E380" s="222"/>
      <c r="F380" s="222">
        <f>IF('Perfil - interna'!F380+'Perfil - externa'!F378=0,0,'Perfil - interna'!F380+'Perfil - externa'!F378)</f>
        <v>0</v>
      </c>
      <c r="G380" s="222">
        <f>IF('Perfil - interna'!G380+'Perfil - externa'!G378=0,0,'Perfil - interna'!G380+'Perfil - externa'!G378)</f>
        <v>0</v>
      </c>
      <c r="H380" s="222">
        <f>IF('Perfil - interna'!H380+'Perfil - externa'!H378=0,0,'Perfil - interna'!H380+'Perfil - externa'!H378)</f>
        <v>0</v>
      </c>
      <c r="I380" s="222">
        <f>IF('Perfil - interna'!I380+'Perfil - externa'!I378=0,0,'Perfil - interna'!I380+'Perfil - externa'!I378)</f>
        <v>0</v>
      </c>
      <c r="J380" s="222">
        <f>IF('Perfil - interna'!J380+'Perfil - externa'!J378=0,0,'Perfil - interna'!J380+'Perfil - externa'!J378)</f>
        <v>0</v>
      </c>
      <c r="K380" s="222">
        <f>IF('Perfil - interna'!K380+'Perfil - externa'!K378=0,0,'Perfil - interna'!K380+'Perfil - externa'!K378)</f>
        <v>0</v>
      </c>
      <c r="L380" s="222">
        <f>IF('Perfil - interna'!L380+'Perfil - externa'!L378=0,0,'Perfil - interna'!L380+'Perfil - externa'!L378)</f>
        <v>0</v>
      </c>
      <c r="M380" s="222">
        <f>IF('Perfil - interna'!M380+'Perfil - externa'!M378=0,0,'Perfil - interna'!M380+'Perfil - externa'!M378)</f>
        <v>9586315.7287509497</v>
      </c>
      <c r="N380" s="222">
        <f>IF('Perfil - interna'!N380+'Perfil - externa'!N378=0,0,'Perfil - interna'!N380+'Perfil - externa'!N378)</f>
        <v>14784888.270991413</v>
      </c>
      <c r="O380" s="222">
        <f>IF('Perfil - interna'!O380+'Perfil - externa'!O378=0,0,'Perfil - interna'!O380+'Perfil - externa'!O378)</f>
        <v>13130081.976267122</v>
      </c>
      <c r="P380" s="222">
        <f>IF('Perfil - interna'!P380+'Perfil - externa'!P378=0,0,'Perfil - interna'!P380+'Perfil - externa'!P378)</f>
        <v>11264862.731851464</v>
      </c>
      <c r="Q380" s="222">
        <f>IF('Perfil - interna'!Q380+'Perfil - externa'!Q378=0,0,'Perfil - interna'!Q380+'Perfil - externa'!Q378)</f>
        <v>9045190.4851492587</v>
      </c>
      <c r="R380" s="222">
        <f>IF('Perfil - interna'!R380+'Perfil - externa'!R378=0,0,'Perfil - interna'!R380+'Perfil - externa'!R378)</f>
        <v>7379706.6801006887</v>
      </c>
      <c r="S380" s="222">
        <f>IF('Perfil - interna'!S380+'Perfil - externa'!S378=0,0,'Perfil - interna'!S380+'Perfil - externa'!S378)</f>
        <v>6363311.9345855676</v>
      </c>
      <c r="T380" s="222">
        <f>IF('Perfil - interna'!T380+'Perfil - externa'!T378=0,0,'Perfil - interna'!T380+'Perfil - externa'!T378)</f>
        <v>5984101.7393153226</v>
      </c>
      <c r="U380" s="222">
        <f>IF('Perfil - interna'!U380+'Perfil - externa'!U378=0,0,'Perfil - interna'!U380+'Perfil - externa'!U378)</f>
        <v>5032297.3058908917</v>
      </c>
      <c r="V380" s="222">
        <f>IF('Perfil - interna'!V380+'Perfil - externa'!V378=0,0,'Perfil - interna'!V380+'Perfil - externa'!V378)</f>
        <v>4720613.6220504194</v>
      </c>
      <c r="W380" s="222">
        <f>IF('Perfil - interna'!W380+'Perfil - externa'!W378=0,0,'Perfil - interna'!W380+'Perfil - externa'!W378)</f>
        <v>3652521.8476997348</v>
      </c>
      <c r="X380" s="222">
        <f>IF('Perfil - interna'!X380+'Perfil - externa'!X378=0,0,'Perfil - interna'!X380+'Perfil - externa'!X378)</f>
        <v>3436128.6983997859</v>
      </c>
      <c r="Y380" s="222">
        <f>IF('Perfil - interna'!Y380+'Perfil - externa'!Y378=0,0,'Perfil - interna'!Y380+'Perfil - externa'!Y378)</f>
        <v>3391326.7815680178</v>
      </c>
      <c r="Z380" s="222">
        <f>IF('Perfil - interna'!Z380+'Perfil - externa'!Z378=0,0,'Perfil - interna'!Z380+'Perfil - externa'!Z378)</f>
        <v>2622158.4870099332</v>
      </c>
      <c r="AA380" s="222">
        <f>IF('Perfil - interna'!AA380+'Perfil - externa'!AA378=0,0,'Perfil - interna'!AA380+'Perfil - externa'!AA378)</f>
        <v>925888.01632935717</v>
      </c>
      <c r="AB380" s="222">
        <f>IF('Perfil - interna'!AB380+'Perfil - externa'!AB378=0,0,'Perfil - interna'!AB380+'Perfil - externa'!AB378)</f>
        <v>856646.20126717794</v>
      </c>
      <c r="AC380" s="222">
        <f>IF('Perfil - interna'!AC380+'Perfil - externa'!AC378=0,0,'Perfil - interna'!AC380+'Perfil - externa'!AC378)</f>
        <v>801179.14595516678</v>
      </c>
      <c r="AD380" s="222">
        <f>IF('Perfil - interna'!AD380+'Perfil - externa'!AD378=0,0,'Perfil - interna'!AD380+'Perfil - externa'!AD378)</f>
        <v>587410.88196245697</v>
      </c>
      <c r="AE380" s="222">
        <f>IF('Perfil - interna'!AE380+'Perfil - externa'!AE378=0,0,'Perfil - interna'!AE380+'Perfil - externa'!AE378)</f>
        <v>551869.6068135096</v>
      </c>
      <c r="AF380" s="222">
        <f>IF('Perfil - interna'!AF380+'Perfil - externa'!AF378=0,0,'Perfil - interna'!AF380+'Perfil - externa'!AF378)</f>
        <v>521014.53138541372</v>
      </c>
      <c r="AG380" s="222">
        <f>IF('Perfil - interna'!AG380+'Perfil - externa'!AG378=0,0,'Perfil - interna'!AG380+'Perfil - externa'!AG378)</f>
        <v>496338.91957672685</v>
      </c>
      <c r="AH380" s="222">
        <f>IF('Perfil - interna'!AH380+'Perfil - externa'!AH378=0,0,'Perfil - interna'!AH380+'Perfil - externa'!AH378)</f>
        <v>474188.24285430356</v>
      </c>
      <c r="AI380" s="222">
        <f>IF('Perfil - interna'!AI380+'Perfil - externa'!AI378=0,0,'Perfil - interna'!AI380+'Perfil - externa'!AI378)</f>
        <v>422876.51669734379</v>
      </c>
      <c r="AJ380" s="222">
        <f>IF('Perfil - interna'!AJ380+'Perfil - externa'!AJ378=0,0,'Perfil - interna'!AJ380+'Perfil - externa'!AJ378)</f>
        <v>379153.67360540456</v>
      </c>
      <c r="AK380" s="222">
        <f>IF('Perfil - interna'!AK380+'Perfil - externa'!AK378=0,0,'Perfil - interna'!AK380+'Perfil - externa'!AK378)</f>
        <v>368421.74111907778</v>
      </c>
      <c r="AL380" s="222">
        <f>IF('Perfil - interna'!AL380+'Perfil - externa'!AL378=0,0,'Perfil - interna'!AL380+'Perfil - externa'!AL378)</f>
        <v>360622.48133995855</v>
      </c>
      <c r="AM380" s="222">
        <f>IF('Perfil - interna'!AM380+'Perfil - externa'!AM378=0,0,'Perfil - interna'!AM380+'Perfil - externa'!AM378)</f>
        <v>355856.62898808537</v>
      </c>
      <c r="AN380" s="222">
        <f>IF('Perfil - interna'!AN380+'Perfil - externa'!AN378=0,0,'Perfil - interna'!AN380+'Perfil - externa'!AN378)</f>
        <v>111376.5501705318</v>
      </c>
      <c r="AO380" s="222"/>
      <c r="AP380" s="222"/>
      <c r="AQ380" s="222"/>
      <c r="AR380" s="222"/>
      <c r="AS380" s="222"/>
      <c r="AT380" s="222"/>
      <c r="AU380" s="222"/>
      <c r="AV380" s="222"/>
      <c r="AW380" s="222"/>
      <c r="AX380" s="222"/>
      <c r="AY380" s="222"/>
      <c r="AZ380" s="222"/>
      <c r="BA380" s="222"/>
      <c r="BB380" s="222"/>
      <c r="BC380" s="222"/>
      <c r="BD380" s="222"/>
      <c r="BE380" s="222"/>
      <c r="BF380" s="222"/>
      <c r="BG380" s="222"/>
      <c r="BH380" s="222"/>
      <c r="BI380" s="222"/>
      <c r="BJ380" s="222"/>
      <c r="BK380" s="222"/>
    </row>
    <row r="381" spans="1:63">
      <c r="A381" s="171"/>
      <c r="B381" s="318" t="str">
        <f>Servicio_internaColumna_título_total</f>
        <v>Total</v>
      </c>
      <c r="C381" s="319"/>
      <c r="D381" s="320"/>
      <c r="E381" s="320"/>
      <c r="F381" s="320">
        <f>IF('Perfil - interna'!F381+'Perfil - externa'!F379=0,0,'Perfil - interna'!F381+'Perfil - externa'!F379)</f>
        <v>0</v>
      </c>
      <c r="G381" s="320">
        <f>IF('Perfil - interna'!G381+'Perfil - externa'!G379=0,0,'Perfil - interna'!G381+'Perfil - externa'!G379)</f>
        <v>0</v>
      </c>
      <c r="H381" s="320">
        <f>IF('Perfil - interna'!H381+'Perfil - externa'!H379=0,0,'Perfil - interna'!H381+'Perfil - externa'!H379)</f>
        <v>0</v>
      </c>
      <c r="I381" s="320">
        <f>IF('Perfil - interna'!I381+'Perfil - externa'!I379=0,0,'Perfil - interna'!I381+'Perfil - externa'!I379)</f>
        <v>0</v>
      </c>
      <c r="J381" s="320">
        <f>IF('Perfil - interna'!J381+'Perfil - externa'!J379=0,0,'Perfil - interna'!J381+'Perfil - externa'!J379)</f>
        <v>0</v>
      </c>
      <c r="K381" s="320">
        <f>IF('Perfil - interna'!K381+'Perfil - externa'!K379=0,0,'Perfil - interna'!K381+'Perfil - externa'!K379)</f>
        <v>0</v>
      </c>
      <c r="L381" s="320">
        <f>IF('Perfil - interna'!L381+'Perfil - externa'!L379=0,0,'Perfil - interna'!L381+'Perfil - externa'!L379)</f>
        <v>0</v>
      </c>
      <c r="M381" s="320">
        <f>IF('Perfil - interna'!M381+'Perfil - externa'!M379=0,0,'Perfil - interna'!M381+'Perfil - externa'!M379)</f>
        <v>19725083.834720973</v>
      </c>
      <c r="N381" s="320">
        <f>IF('Perfil - interna'!N381+'Perfil - externa'!N379=0,0,'Perfil - interna'!N381+'Perfil - externa'!N379)</f>
        <v>34855977.956084214</v>
      </c>
      <c r="O381" s="320">
        <f>IF('Perfil - interna'!O381+'Perfil - externa'!O379=0,0,'Perfil - interna'!O381+'Perfil - externa'!O379)</f>
        <v>39555617.287403978</v>
      </c>
      <c r="P381" s="320">
        <f>IF('Perfil - interna'!P381+'Perfil - externa'!P379=0,0,'Perfil - interna'!P381+'Perfil - externa'!P379)</f>
        <v>34880574.987109929</v>
      </c>
      <c r="Q381" s="320">
        <f>IF('Perfil - interna'!Q381+'Perfil - externa'!Q379=0,0,'Perfil - interna'!Q381+'Perfil - externa'!Q379)</f>
        <v>30462527.303580053</v>
      </c>
      <c r="R381" s="320">
        <f>IF('Perfil - interna'!R381+'Perfil - externa'!R379=0,0,'Perfil - interna'!R381+'Perfil - externa'!R379)</f>
        <v>20856532.600460365</v>
      </c>
      <c r="S381" s="320">
        <f>IF('Perfil - interna'!S381+'Perfil - externa'!S379=0,0,'Perfil - interna'!S381+'Perfil - externa'!S379)</f>
        <v>14970611.288311645</v>
      </c>
      <c r="T381" s="320">
        <f>IF('Perfil - interna'!T381+'Perfil - externa'!T379=0,0,'Perfil - interna'!T381+'Perfil - externa'!T379)</f>
        <v>14290846.528335361</v>
      </c>
      <c r="U381" s="320">
        <f>IF('Perfil - interna'!U381+'Perfil - externa'!U379=0,0,'Perfil - interna'!U381+'Perfil - externa'!U379)</f>
        <v>11390999.798842004</v>
      </c>
      <c r="V381" s="320">
        <f>IF('Perfil - interna'!V381+'Perfil - externa'!V379=0,0,'Perfil - interna'!V381+'Perfil - externa'!V379)</f>
        <v>15908000.655555159</v>
      </c>
      <c r="W381" s="320">
        <f>IF('Perfil - interna'!W381+'Perfil - externa'!W379=0,0,'Perfil - interna'!W381+'Perfil - externa'!W379)</f>
        <v>7006622.9281511335</v>
      </c>
      <c r="X381" s="320">
        <f>IF('Perfil - interna'!X381+'Perfil - externa'!X379=0,0,'Perfil - interna'!X381+'Perfil - externa'!X379)</f>
        <v>4550675.7302708421</v>
      </c>
      <c r="Y381" s="320">
        <f>IF('Perfil - interna'!Y381+'Perfil - externa'!Y379=0,0,'Perfil - interna'!Y381+'Perfil - externa'!Y379)</f>
        <v>13867631.041334713</v>
      </c>
      <c r="Z381" s="320">
        <f>IF('Perfil - interna'!Z381+'Perfil - externa'!Z379=0,0,'Perfil - interna'!Z381+'Perfil - externa'!Z379)</f>
        <v>21031609.542411443</v>
      </c>
      <c r="AA381" s="320">
        <f>IF('Perfil - interna'!AA381+'Perfil - externa'!AA379=0,0,'Perfil - interna'!AA381+'Perfil - externa'!AA379)</f>
        <v>2129568.7732602609</v>
      </c>
      <c r="AB381" s="320">
        <f>IF('Perfil - interna'!AB381+'Perfil - externa'!AB379=0,0,'Perfil - interna'!AB381+'Perfil - externa'!AB379)</f>
        <v>1660627.2767644054</v>
      </c>
      <c r="AC381" s="320">
        <f>IF('Perfil - interna'!AC381+'Perfil - externa'!AC379=0,0,'Perfil - interna'!AC381+'Perfil - externa'!AC379)</f>
        <v>3411636.1717646667</v>
      </c>
      <c r="AD381" s="320">
        <f>IF('Perfil - interna'!AD381+'Perfil - externa'!AD379=0,0,'Perfil - interna'!AD381+'Perfil - externa'!AD379)</f>
        <v>1293130.8130979699</v>
      </c>
      <c r="AE381" s="320">
        <f>IF('Perfil - interna'!AE381+'Perfil - externa'!AE379=0,0,'Perfil - interna'!AE381+'Perfil - externa'!AE379)</f>
        <v>1124919.6861620592</v>
      </c>
      <c r="AF381" s="320">
        <f>IF('Perfil - interna'!AF381+'Perfil - externa'!AF379=0,0,'Perfil - interna'!AF381+'Perfil - externa'!AF379)</f>
        <v>983120.53866967908</v>
      </c>
      <c r="AG381" s="320">
        <f>IF('Perfil - interna'!AG381+'Perfil - externa'!AG379=0,0,'Perfil - interna'!AG381+'Perfil - externa'!AG379)</f>
        <v>914093.40928925877</v>
      </c>
      <c r="AH381" s="320">
        <f>IF('Perfil - interna'!AH381+'Perfil - externa'!AH379=0,0,'Perfil - interna'!AH381+'Perfil - externa'!AH379)</f>
        <v>868147.05790398596</v>
      </c>
      <c r="AI381" s="320">
        <f>IF('Perfil - interna'!AI381+'Perfil - externa'!AI379=0,0,'Perfil - interna'!AI381+'Perfil - externa'!AI379)</f>
        <v>1290296.8068506671</v>
      </c>
      <c r="AJ381" s="320">
        <f>IF('Perfil - interna'!AJ381+'Perfil - externa'!AJ379=0,0,'Perfil - interna'!AJ381+'Perfil - externa'!AJ379)</f>
        <v>597868.37168373412</v>
      </c>
      <c r="AK381" s="320">
        <f>IF('Perfil - interna'!AK381+'Perfil - externa'!AK379=0,0,'Perfil - interna'!AK381+'Perfil - externa'!AK379)</f>
        <v>524176.8326707962</v>
      </c>
      <c r="AL381" s="320">
        <f>IF('Perfil - interna'!AL381+'Perfil - externa'!AL379=0,0,'Perfil - interna'!AL381+'Perfil - externa'!AL379)</f>
        <v>463642.42157675396</v>
      </c>
      <c r="AM381" s="320">
        <f>IF('Perfil - interna'!AM381+'Perfil - externa'!AM379=0,0,'Perfil - interna'!AM381+'Perfil - externa'!AM379)</f>
        <v>3693824.2338260841</v>
      </c>
      <c r="AN381" s="320">
        <f>IF('Perfil - interna'!AN381+'Perfil - externa'!AN379=0,0,'Perfil - interna'!AN381+'Perfil - externa'!AN379)</f>
        <v>117004.79595837901</v>
      </c>
      <c r="AO381" s="320"/>
      <c r="AP381" s="320"/>
      <c r="AQ381" s="320"/>
      <c r="AR381" s="320"/>
      <c r="AS381" s="320"/>
      <c r="AT381" s="320"/>
      <c r="AU381" s="320"/>
      <c r="AV381" s="320"/>
      <c r="AW381" s="320"/>
      <c r="AX381" s="320"/>
      <c r="AY381" s="320"/>
      <c r="AZ381" s="320"/>
      <c r="BA381" s="320"/>
      <c r="BB381" s="320"/>
      <c r="BC381" s="320"/>
      <c r="BD381" s="320"/>
      <c r="BE381" s="320"/>
      <c r="BF381" s="320"/>
      <c r="BG381" s="320"/>
      <c r="BH381" s="320"/>
      <c r="BI381" s="320"/>
      <c r="BJ381" s="320"/>
      <c r="BK381" s="320"/>
    </row>
    <row r="382" spans="1:63">
      <c r="A382" s="167"/>
      <c r="B382" s="217" t="str">
        <f>Servicio_internaColumna_título_amortizaciones</f>
        <v>Amortizaciones</v>
      </c>
      <c r="C382" s="218"/>
      <c r="D382" s="219"/>
      <c r="E382" s="219"/>
      <c r="F382" s="219">
        <f>IF('Perfil - interna'!F382+'Perfil - externa'!F380=0,0,'Perfil - interna'!F382+'Perfil - externa'!F380)</f>
        <v>0</v>
      </c>
      <c r="G382" s="219">
        <f>IF('Perfil - interna'!G382+'Perfil - externa'!G380=0,0,'Perfil - interna'!G382+'Perfil - externa'!G380)</f>
        <v>0</v>
      </c>
      <c r="H382" s="219">
        <f>IF('Perfil - interna'!H382+'Perfil - externa'!H380=0,0,'Perfil - interna'!H382+'Perfil - externa'!H380)</f>
        <v>0</v>
      </c>
      <c r="I382" s="219">
        <f>IF('Perfil - interna'!I382+'Perfil - externa'!I380=0,0,'Perfil - interna'!I382+'Perfil - externa'!I380)</f>
        <v>0</v>
      </c>
      <c r="J382" s="219">
        <f>IF('Perfil - interna'!J382+'Perfil - externa'!J380=0,0,'Perfil - interna'!J382+'Perfil - externa'!J380)</f>
        <v>0</v>
      </c>
      <c r="K382" s="219">
        <f>IF('Perfil - interna'!K382+'Perfil - externa'!K380=0,0,'Perfil - interna'!K382+'Perfil - externa'!K380)</f>
        <v>0</v>
      </c>
      <c r="L382" s="219">
        <f>IF('Perfil - interna'!L382+'Perfil - externa'!L380=0,0,'Perfil - interna'!L382+'Perfil - externa'!L380)</f>
        <v>0</v>
      </c>
      <c r="M382" s="219">
        <f>IF('Perfil - interna'!M382+'Perfil - externa'!M380=0,0,'Perfil - interna'!M382+'Perfil - externa'!M380)</f>
        <v>6259186.916303101</v>
      </c>
      <c r="N382" s="219">
        <f>IF('Perfil - interna'!N382+'Perfil - externa'!N380=0,0,'Perfil - interna'!N382+'Perfil - externa'!N380)</f>
        <v>20449614.445990618</v>
      </c>
      <c r="O382" s="219">
        <f>IF('Perfil - interna'!O382+'Perfil - externa'!O380=0,0,'Perfil - interna'!O382+'Perfil - externa'!O380)</f>
        <v>26379273.17765167</v>
      </c>
      <c r="P382" s="219">
        <f>IF('Perfil - interna'!P382+'Perfil - externa'!P380=0,0,'Perfil - interna'!P382+'Perfil - externa'!P380)</f>
        <v>23952710.666935176</v>
      </c>
      <c r="Q382" s="219">
        <f>IF('Perfil - interna'!Q382+'Perfil - externa'!Q380=0,0,'Perfil - interna'!Q382+'Perfil - externa'!Q380)</f>
        <v>22844809.181166831</v>
      </c>
      <c r="R382" s="219">
        <f>IF('Perfil - interna'!R382+'Perfil - externa'!R380=0,0,'Perfil - interna'!R382+'Perfil - externa'!R380)</f>
        <v>13436581.122294493</v>
      </c>
      <c r="S382" s="219">
        <f>IF('Perfil - interna'!S382+'Perfil - externa'!S380=0,0,'Perfil - interna'!S382+'Perfil - externa'!S380)</f>
        <v>8806523.4456162024</v>
      </c>
      <c r="T382" s="219">
        <f>IF('Perfil - interna'!T382+'Perfil - externa'!T380=0,0,'Perfil - interna'!T382+'Perfil - externa'!T380)</f>
        <v>9003122.2665704191</v>
      </c>
      <c r="U382" s="219">
        <f>IF('Perfil - interna'!U382+'Perfil - externa'!U380=0,0,'Perfil - interna'!U382+'Perfil - externa'!U380)</f>
        <v>6233129.4411636451</v>
      </c>
      <c r="V382" s="219">
        <f>IF('Perfil - interna'!V382+'Perfil - externa'!V380=0,0,'Perfil - interna'!V382+'Perfil - externa'!V380)</f>
        <v>11141507.437470719</v>
      </c>
      <c r="W382" s="219">
        <f>IF('Perfil - interna'!W382+'Perfil - externa'!W380=0,0,'Perfil - interna'!W382+'Perfil - externa'!W380)</f>
        <v>3306060.1303082341</v>
      </c>
      <c r="X382" s="219">
        <f>IF('Perfil - interna'!X382+'Perfil - externa'!X380=0,0,'Perfil - interna'!X382+'Perfil - externa'!X380)</f>
        <v>1092041.3005107078</v>
      </c>
      <c r="Y382" s="219">
        <f>IF('Perfil - interna'!Y382+'Perfil - externa'!Y380=0,0,'Perfil - interna'!Y382+'Perfil - externa'!Y380)</f>
        <v>10775613.45482487</v>
      </c>
      <c r="Z382" s="219">
        <f>IF('Perfil - interna'!Z382+'Perfil - externa'!Z380=0,0,'Perfil - interna'!Z382+'Perfil - externa'!Z380)</f>
        <v>18842448.183812227</v>
      </c>
      <c r="AA382" s="219">
        <f>IF('Perfil - interna'!AA382+'Perfil - externa'!AA380=0,0,'Perfil - interna'!AA382+'Perfil - externa'!AA380)</f>
        <v>1179018.544468045</v>
      </c>
      <c r="AB382" s="219">
        <f>IF('Perfil - interna'!AB382+'Perfil - externa'!AB380=0,0,'Perfil - interna'!AB382+'Perfil - externa'!AB380)</f>
        <v>787459.54679807683</v>
      </c>
      <c r="AC382" s="219">
        <f>IF('Perfil - interna'!AC382+'Perfil - externa'!AC380=0,0,'Perfil - interna'!AC382+'Perfil - externa'!AC380)</f>
        <v>2572564.4066209085</v>
      </c>
      <c r="AD382" s="219">
        <f>IF('Perfil - interna'!AD382+'Perfil - externa'!AD380=0,0,'Perfil - interna'!AD382+'Perfil - externa'!AD380)</f>
        <v>691248.4393729408</v>
      </c>
      <c r="AE382" s="219">
        <f>IF('Perfil - interna'!AE382+'Perfil - externa'!AE380=0,0,'Perfil - interna'!AE382+'Perfil - externa'!AE380)</f>
        <v>561292.81007017917</v>
      </c>
      <c r="AF382" s="219">
        <f>IF('Perfil - interna'!AF382+'Perfil - externa'!AF380=0,0,'Perfil - interna'!AF382+'Perfil - externa'!AF380)</f>
        <v>452618.48422803846</v>
      </c>
      <c r="AG382" s="219">
        <f>IF('Perfil - interna'!AG382+'Perfil - externa'!AG380=0,0,'Perfil - interna'!AG382+'Perfil - externa'!AG380)</f>
        <v>409162.28430344956</v>
      </c>
      <c r="AH382" s="219">
        <f>IF('Perfil - interna'!AH382+'Perfil - externa'!AH380=0,0,'Perfil - interna'!AH382+'Perfil - externa'!AH380)</f>
        <v>385888.29307672643</v>
      </c>
      <c r="AI382" s="219">
        <f>IF('Perfil - interna'!AI382+'Perfil - externa'!AI380=0,0,'Perfil - interna'!AI382+'Perfil - externa'!AI380)</f>
        <v>849663.42708495376</v>
      </c>
      <c r="AJ382" s="219">
        <f>IF('Perfil - interna'!AJ382+'Perfil - externa'!AJ380=0,0,'Perfil - interna'!AJ382+'Perfil - externa'!AJ380)</f>
        <v>214229.36037854722</v>
      </c>
      <c r="AK382" s="219">
        <f>IF('Perfil - interna'!AK382+'Perfil - externa'!AK380=0,0,'Perfil - interna'!AK382+'Perfil - externa'!AK380)</f>
        <v>152557.81121635842</v>
      </c>
      <c r="AL382" s="219">
        <f>IF('Perfil - interna'!AL382+'Perfil - externa'!AL380=0,0,'Perfil - interna'!AL382+'Perfil - externa'!AL380)</f>
        <v>100901.55329615361</v>
      </c>
      <c r="AM382" s="219">
        <f>IF('Perfil - interna'!AM382+'Perfil - externa'!AM380=0,0,'Perfil - interna'!AM382+'Perfil - externa'!AM380)</f>
        <v>3269667.1385412961</v>
      </c>
      <c r="AN382" s="219">
        <f>IF('Perfil - interna'!AN382+'Perfil - externa'!AN380=0,0,'Perfil - interna'!AN382+'Perfil - externa'!AN380)</f>
        <v>5513.1004774527992</v>
      </c>
      <c r="AO382" s="219"/>
      <c r="AP382" s="219"/>
      <c r="AQ382" s="219"/>
      <c r="AR382" s="219"/>
      <c r="AS382" s="219"/>
      <c r="AT382" s="219"/>
      <c r="AU382" s="219"/>
      <c r="AV382" s="219"/>
      <c r="AW382" s="219"/>
      <c r="AX382" s="219"/>
      <c r="AY382" s="219"/>
      <c r="AZ382" s="219"/>
      <c r="BA382" s="219"/>
      <c r="BB382" s="219"/>
      <c r="BC382" s="219"/>
      <c r="BD382" s="219"/>
      <c r="BE382" s="219"/>
      <c r="BF382" s="219"/>
      <c r="BG382" s="219"/>
      <c r="BH382" s="219"/>
      <c r="BI382" s="219"/>
      <c r="BJ382" s="219"/>
      <c r="BK382" s="219"/>
    </row>
    <row r="383" spans="1:63">
      <c r="A383" s="170">
        <v>40695</v>
      </c>
      <c r="B383" s="220" t="str">
        <f>Servicio_internaColumna_título_intereses</f>
        <v>Intereses</v>
      </c>
      <c r="C383" s="221"/>
      <c r="D383" s="222"/>
      <c r="E383" s="222"/>
      <c r="F383" s="222">
        <f>IF('Perfil - interna'!F383+'Perfil - externa'!F381=0,0,'Perfil - interna'!F383+'Perfil - externa'!F381)</f>
        <v>0</v>
      </c>
      <c r="G383" s="222">
        <f>IF('Perfil - interna'!G383+'Perfil - externa'!G381=0,0,'Perfil - interna'!G383+'Perfil - externa'!G381)</f>
        <v>0</v>
      </c>
      <c r="H383" s="222">
        <f>IF('Perfil - interna'!H383+'Perfil - externa'!H381=0,0,'Perfil - interna'!H383+'Perfil - externa'!H381)</f>
        <v>0</v>
      </c>
      <c r="I383" s="222">
        <f>IF('Perfil - interna'!I383+'Perfil - externa'!I381=0,0,'Perfil - interna'!I383+'Perfil - externa'!I381)</f>
        <v>0</v>
      </c>
      <c r="J383" s="222">
        <f>IF('Perfil - interna'!J383+'Perfil - externa'!J381=0,0,'Perfil - interna'!J383+'Perfil - externa'!J381)</f>
        <v>0</v>
      </c>
      <c r="K383" s="222">
        <f>IF('Perfil - interna'!K383+'Perfil - externa'!K381=0,0,'Perfil - interna'!K383+'Perfil - externa'!K381)</f>
        <v>0</v>
      </c>
      <c r="L383" s="222">
        <f>IF('Perfil - interna'!L383+'Perfil - externa'!L381=0,0,'Perfil - interna'!L383+'Perfil - externa'!L381)</f>
        <v>0</v>
      </c>
      <c r="M383" s="222">
        <f>IF('Perfil - interna'!M383+'Perfil - externa'!M381=0,0,'Perfil - interna'!M383+'Perfil - externa'!M381)</f>
        <v>8263170.1607554387</v>
      </c>
      <c r="N383" s="222">
        <f>IF('Perfil - interna'!N383+'Perfil - externa'!N381=0,0,'Perfil - interna'!N383+'Perfil - externa'!N381)</f>
        <v>15051716.402847126</v>
      </c>
      <c r="O383" s="222">
        <f>IF('Perfil - interna'!O383+'Perfil - externa'!O381=0,0,'Perfil - interna'!O383+'Perfil - externa'!O381)</f>
        <v>13410002.659263186</v>
      </c>
      <c r="P383" s="222">
        <f>IF('Perfil - interna'!P383+'Perfil - externa'!P381=0,0,'Perfil - interna'!P383+'Perfil - externa'!P381)</f>
        <v>11546819.453213397</v>
      </c>
      <c r="Q383" s="222">
        <f>IF('Perfil - interna'!Q383+'Perfil - externa'!Q381=0,0,'Perfil - interna'!Q383+'Perfil - externa'!Q381)</f>
        <v>9282271.8836755585</v>
      </c>
      <c r="R383" s="222">
        <f>IF('Perfil - interna'!R383+'Perfil - externa'!R381=0,0,'Perfil - interna'!R383+'Perfil - externa'!R381)</f>
        <v>7516017.4333405849</v>
      </c>
      <c r="S383" s="222">
        <f>IF('Perfil - interna'!S383+'Perfil - externa'!S381=0,0,'Perfil - interna'!S383+'Perfil - externa'!S381)</f>
        <v>6486734.0896780193</v>
      </c>
      <c r="T383" s="222">
        <f>IF('Perfil - interna'!T383+'Perfil - externa'!T381=0,0,'Perfil - interna'!T383+'Perfil - externa'!T381)</f>
        <v>6095451.3374722824</v>
      </c>
      <c r="U383" s="222">
        <f>IF('Perfil - interna'!U383+'Perfil - externa'!U381=0,0,'Perfil - interna'!U383+'Perfil - externa'!U381)</f>
        <v>5066271.7619421454</v>
      </c>
      <c r="V383" s="222">
        <f>IF('Perfil - interna'!V383+'Perfil - externa'!V381=0,0,'Perfil - interna'!V383+'Perfil - externa'!V381)</f>
        <v>4760845.1590117086</v>
      </c>
      <c r="W383" s="222">
        <f>IF('Perfil - interna'!W383+'Perfil - externa'!W381=0,0,'Perfil - interna'!W383+'Perfil - externa'!W381)</f>
        <v>3695838.765332947</v>
      </c>
      <c r="X383" s="222">
        <f>IF('Perfil - interna'!X383+'Perfil - externa'!X381=0,0,'Perfil - interna'!X383+'Perfil - externa'!X381)</f>
        <v>3481564.2343586995</v>
      </c>
      <c r="Y383" s="222">
        <f>IF('Perfil - interna'!Y383+'Perfil - externa'!Y381=0,0,'Perfil - interna'!Y383+'Perfil - externa'!Y381)</f>
        <v>3438889.9344266094</v>
      </c>
      <c r="Z383" s="222">
        <f>IF('Perfil - interna'!Z383+'Perfil - externa'!Z381=0,0,'Perfil - interna'!Z383+'Perfil - externa'!Z381)</f>
        <v>2651889.6692726631</v>
      </c>
      <c r="AA383" s="222">
        <f>IF('Perfil - interna'!AA383+'Perfil - externa'!AA381=0,0,'Perfil - interna'!AA383+'Perfil - externa'!AA381)</f>
        <v>909012.28875760955</v>
      </c>
      <c r="AB383" s="222">
        <f>IF('Perfil - interna'!AB383+'Perfil - externa'!AB381=0,0,'Perfil - interna'!AB383+'Perfil - externa'!AB381)</f>
        <v>841215.0812377343</v>
      </c>
      <c r="AC383" s="222">
        <f>IF('Perfil - interna'!AC383+'Perfil - externa'!AC381=0,0,'Perfil - interna'!AC383+'Perfil - externa'!AC381)</f>
        <v>786758.71607051825</v>
      </c>
      <c r="AD383" s="222">
        <f>IF('Perfil - interna'!AD383+'Perfil - externa'!AD381=0,0,'Perfil - interna'!AD383+'Perfil - externa'!AD381)</f>
        <v>575599.36220000952</v>
      </c>
      <c r="AE383" s="222">
        <f>IF('Perfil - interna'!AE383+'Perfil - externa'!AE381=0,0,'Perfil - interna'!AE383+'Perfil - externa'!AE381)</f>
        <v>540671.72919947526</v>
      </c>
      <c r="AF383" s="222">
        <f>IF('Perfil - interna'!AF383+'Perfil - externa'!AF381=0,0,'Perfil - interna'!AF383+'Perfil - externa'!AF381)</f>
        <v>510435.41320905602</v>
      </c>
      <c r="AG383" s="222">
        <f>IF('Perfil - interna'!AG383+'Perfil - externa'!AG381=0,0,'Perfil - interna'!AG383+'Perfil - externa'!AG381)</f>
        <v>486250.61403071356</v>
      </c>
      <c r="AH383" s="222">
        <f>IF('Perfil - interna'!AH383+'Perfil - externa'!AH381=0,0,'Perfil - interna'!AH383+'Perfil - externa'!AH381)</f>
        <v>464538.89170063363</v>
      </c>
      <c r="AI383" s="222">
        <f>IF('Perfil - interna'!AI383+'Perfil - externa'!AI381=0,0,'Perfil - interna'!AI383+'Perfil - externa'!AI381)</f>
        <v>414264.92634707841</v>
      </c>
      <c r="AJ383" s="222">
        <f>IF('Perfil - interna'!AJ383+'Perfil - externa'!AJ381=0,0,'Perfil - interna'!AJ383+'Perfil - externa'!AJ381)</f>
        <v>371373.41083367681</v>
      </c>
      <c r="AK383" s="222">
        <f>IF('Perfil - interna'!AK383+'Perfil - externa'!AK381=0,0,'Perfil - interna'!AK383+'Perfil - externa'!AK381)</f>
        <v>360853.45128112636</v>
      </c>
      <c r="AL383" s="222">
        <f>IF('Perfil - interna'!AL383+'Perfil - externa'!AL381=0,0,'Perfil - interna'!AL383+'Perfil - externa'!AL381)</f>
        <v>353244.31923107518</v>
      </c>
      <c r="AM383" s="222">
        <f>IF('Perfil - interna'!AM383+'Perfil - externa'!AM381=0,0,'Perfil - interna'!AM383+'Perfil - externa'!AM381)</f>
        <v>348576.2385248288</v>
      </c>
      <c r="AN383" s="222">
        <f>IF('Perfil - interna'!AN383+'Perfil - externa'!AN381=0,0,'Perfil - interna'!AN383+'Perfil - externa'!AN381)</f>
        <v>109097.95610704321</v>
      </c>
      <c r="AO383" s="222"/>
      <c r="AP383" s="222"/>
      <c r="AQ383" s="222"/>
      <c r="AR383" s="222"/>
      <c r="AS383" s="222"/>
      <c r="AT383" s="222"/>
      <c r="AU383" s="222"/>
      <c r="AV383" s="222"/>
      <c r="AW383" s="222"/>
      <c r="AX383" s="222"/>
      <c r="AY383" s="222"/>
      <c r="AZ383" s="222"/>
      <c r="BA383" s="222"/>
      <c r="BB383" s="222"/>
      <c r="BC383" s="222"/>
      <c r="BD383" s="222"/>
      <c r="BE383" s="222"/>
      <c r="BF383" s="222"/>
      <c r="BG383" s="222"/>
      <c r="BH383" s="222"/>
      <c r="BI383" s="222"/>
      <c r="BJ383" s="222"/>
      <c r="BK383" s="222"/>
    </row>
    <row r="384" spans="1:63">
      <c r="A384" s="171"/>
      <c r="B384" s="318" t="str">
        <f>Servicio_internaColumna_título_total</f>
        <v>Total</v>
      </c>
      <c r="C384" s="319"/>
      <c r="D384" s="320"/>
      <c r="E384" s="320"/>
      <c r="F384" s="320">
        <f>IF('Perfil - interna'!F384+'Perfil - externa'!F382=0,0,'Perfil - interna'!F384+'Perfil - externa'!F382)</f>
        <v>0</v>
      </c>
      <c r="G384" s="320">
        <f>IF('Perfil - interna'!G384+'Perfil - externa'!G382=0,0,'Perfil - interna'!G384+'Perfil - externa'!G382)</f>
        <v>0</v>
      </c>
      <c r="H384" s="320">
        <f>IF('Perfil - interna'!H384+'Perfil - externa'!H382=0,0,'Perfil - interna'!H384+'Perfil - externa'!H382)</f>
        <v>0</v>
      </c>
      <c r="I384" s="320">
        <f>IF('Perfil - interna'!I384+'Perfil - externa'!I382=0,0,'Perfil - interna'!I384+'Perfil - externa'!I382)</f>
        <v>0</v>
      </c>
      <c r="J384" s="320">
        <f>IF('Perfil - interna'!J384+'Perfil - externa'!J382=0,0,'Perfil - interna'!J384+'Perfil - externa'!J382)</f>
        <v>0</v>
      </c>
      <c r="K384" s="320">
        <f>IF('Perfil - interna'!K384+'Perfil - externa'!K382=0,0,'Perfil - interna'!K384+'Perfil - externa'!K382)</f>
        <v>0</v>
      </c>
      <c r="L384" s="320">
        <f>IF('Perfil - interna'!L384+'Perfil - externa'!L382=0,0,'Perfil - interna'!L384+'Perfil - externa'!L382)</f>
        <v>0</v>
      </c>
      <c r="M384" s="320">
        <f>IF('Perfil - interna'!M384+'Perfil - externa'!M382=0,0,'Perfil - interna'!M384+'Perfil - externa'!M382)</f>
        <v>14522357.077058539</v>
      </c>
      <c r="N384" s="320">
        <f>IF('Perfil - interna'!N384+'Perfil - externa'!N382=0,0,'Perfil - interna'!N384+'Perfil - externa'!N382)</f>
        <v>35501330.848837748</v>
      </c>
      <c r="O384" s="320">
        <f>IF('Perfil - interna'!O384+'Perfil - externa'!O382=0,0,'Perfil - interna'!O384+'Perfil - externa'!O382)</f>
        <v>39789275.836914852</v>
      </c>
      <c r="P384" s="320">
        <f>IF('Perfil - interna'!P384+'Perfil - externa'!P382=0,0,'Perfil - interna'!P384+'Perfil - externa'!P382)</f>
        <v>35499530.120148569</v>
      </c>
      <c r="Q384" s="320">
        <f>IF('Perfil - interna'!Q384+'Perfil - externa'!Q382=0,0,'Perfil - interna'!Q384+'Perfil - externa'!Q382)</f>
        <v>32127081.064842395</v>
      </c>
      <c r="R384" s="320">
        <f>IF('Perfil - interna'!R384+'Perfil - externa'!R382=0,0,'Perfil - interna'!R384+'Perfil - externa'!R382)</f>
        <v>20952598.55563508</v>
      </c>
      <c r="S384" s="320">
        <f>IF('Perfil - interna'!S384+'Perfil - externa'!S382=0,0,'Perfil - interna'!S384+'Perfil - externa'!S382)</f>
        <v>15293257.535294222</v>
      </c>
      <c r="T384" s="320">
        <f>IF('Perfil - interna'!T384+'Perfil - externa'!T382=0,0,'Perfil - interna'!T384+'Perfil - externa'!T382)</f>
        <v>15098573.604042701</v>
      </c>
      <c r="U384" s="320">
        <f>IF('Perfil - interna'!U384+'Perfil - externa'!U382=0,0,'Perfil - interna'!U384+'Perfil - externa'!U382)</f>
        <v>11299401.203105791</v>
      </c>
      <c r="V384" s="320">
        <f>IF('Perfil - interna'!V384+'Perfil - externa'!V382=0,0,'Perfil - interna'!V384+'Perfil - externa'!V382)</f>
        <v>15902352.596482428</v>
      </c>
      <c r="W384" s="320">
        <f>IF('Perfil - interna'!W384+'Perfil - externa'!W382=0,0,'Perfil - interna'!W384+'Perfil - externa'!W382)</f>
        <v>7001898.8956411816</v>
      </c>
      <c r="X384" s="320">
        <f>IF('Perfil - interna'!X384+'Perfil - externa'!X382=0,0,'Perfil - interna'!X384+'Perfil - externa'!X382)</f>
        <v>4573605.5348694073</v>
      </c>
      <c r="Y384" s="320">
        <f>IF('Perfil - interna'!Y384+'Perfil - externa'!Y382=0,0,'Perfil - interna'!Y384+'Perfil - externa'!Y382)</f>
        <v>14214503.389251478</v>
      </c>
      <c r="Z384" s="320">
        <f>IF('Perfil - interna'!Z384+'Perfil - externa'!Z382=0,0,'Perfil - interna'!Z384+'Perfil - externa'!Z382)</f>
        <v>21494337.853084892</v>
      </c>
      <c r="AA384" s="320">
        <f>IF('Perfil - interna'!AA384+'Perfil - externa'!AA382=0,0,'Perfil - interna'!AA384+'Perfil - externa'!AA382)</f>
        <v>2088030.8332256544</v>
      </c>
      <c r="AB384" s="320">
        <f>IF('Perfil - interna'!AB384+'Perfil - externa'!AB382=0,0,'Perfil - interna'!AB384+'Perfil - externa'!AB382)</f>
        <v>1628674.6280358112</v>
      </c>
      <c r="AC384" s="320">
        <f>IF('Perfil - interna'!AC384+'Perfil - externa'!AC382=0,0,'Perfil - interna'!AC384+'Perfil - externa'!AC382)</f>
        <v>3359323.1226914269</v>
      </c>
      <c r="AD384" s="320">
        <f>IF('Perfil - interna'!AD384+'Perfil - externa'!AD382=0,0,'Perfil - interna'!AD384+'Perfil - externa'!AD382)</f>
        <v>1266847.8015729503</v>
      </c>
      <c r="AE384" s="320">
        <f>IF('Perfil - interna'!AE384+'Perfil - externa'!AE382=0,0,'Perfil - interna'!AE384+'Perfil - externa'!AE382)</f>
        <v>1101964.5392696545</v>
      </c>
      <c r="AF384" s="320">
        <f>IF('Perfil - interna'!AF384+'Perfil - externa'!AF382=0,0,'Perfil - interna'!AF384+'Perfil - externa'!AF382)</f>
        <v>963053.89743709448</v>
      </c>
      <c r="AG384" s="320">
        <f>IF('Perfil - interna'!AG384+'Perfil - externa'!AG382=0,0,'Perfil - interna'!AG384+'Perfil - externa'!AG382)</f>
        <v>895412.89833416312</v>
      </c>
      <c r="AH384" s="320">
        <f>IF('Perfil - interna'!AH384+'Perfil - externa'!AH382=0,0,'Perfil - interna'!AH384+'Perfil - externa'!AH382)</f>
        <v>850427.18477736006</v>
      </c>
      <c r="AI384" s="320">
        <f>IF('Perfil - interna'!AI384+'Perfil - externa'!AI382=0,0,'Perfil - interna'!AI384+'Perfil - externa'!AI382)</f>
        <v>1263928.3534320323</v>
      </c>
      <c r="AJ384" s="320">
        <f>IF('Perfil - interna'!AJ384+'Perfil - externa'!AJ382=0,0,'Perfil - interna'!AJ384+'Perfil - externa'!AJ382)</f>
        <v>585602.77121222403</v>
      </c>
      <c r="AK384" s="320">
        <f>IF('Perfil - interna'!AK384+'Perfil - externa'!AK382=0,0,'Perfil - interna'!AK384+'Perfil - externa'!AK382)</f>
        <v>513411.2624974848</v>
      </c>
      <c r="AL384" s="320">
        <f>IF('Perfil - interna'!AL384+'Perfil - externa'!AL382=0,0,'Perfil - interna'!AL384+'Perfil - externa'!AL382)</f>
        <v>454145.87252722878</v>
      </c>
      <c r="AM384" s="320">
        <f>IF('Perfil - interna'!AM384+'Perfil - externa'!AM382=0,0,'Perfil - interna'!AM384+'Perfil - externa'!AM382)</f>
        <v>3618243.3770661252</v>
      </c>
      <c r="AN384" s="320">
        <f>IF('Perfil - interna'!AN384+'Perfil - externa'!AN382=0,0,'Perfil - interna'!AN384+'Perfil - externa'!AN382)</f>
        <v>114611.05658449601</v>
      </c>
      <c r="AO384" s="320"/>
      <c r="AP384" s="320"/>
      <c r="AQ384" s="320"/>
      <c r="AR384" s="320"/>
      <c r="AS384" s="320"/>
      <c r="AT384" s="320"/>
      <c r="AU384" s="320"/>
      <c r="AV384" s="320"/>
      <c r="AW384" s="320"/>
      <c r="AX384" s="320"/>
      <c r="AY384" s="320"/>
      <c r="AZ384" s="320"/>
      <c r="BA384" s="320"/>
      <c r="BB384" s="320"/>
      <c r="BC384" s="320"/>
      <c r="BD384" s="320"/>
      <c r="BE384" s="320"/>
      <c r="BF384" s="320"/>
      <c r="BG384" s="320"/>
      <c r="BH384" s="320"/>
      <c r="BI384" s="320"/>
      <c r="BJ384" s="320"/>
      <c r="BK384" s="320"/>
    </row>
    <row r="385" spans="1:63">
      <c r="A385" s="167"/>
      <c r="B385" s="217" t="str">
        <f>Servicio_internaColumna_título_amortizaciones</f>
        <v>Amortizaciones</v>
      </c>
      <c r="C385" s="218"/>
      <c r="D385" s="219"/>
      <c r="E385" s="219"/>
      <c r="F385" s="219">
        <f>IF('Perfil - interna'!F385+'Perfil - externa'!F383=0,0,'Perfil - interna'!F385+'Perfil - externa'!F383)</f>
        <v>0</v>
      </c>
      <c r="G385" s="219">
        <f>IF('Perfil - interna'!G385+'Perfil - externa'!G383=0,0,'Perfil - interna'!G385+'Perfil - externa'!G383)</f>
        <v>0</v>
      </c>
      <c r="H385" s="219">
        <f>IF('Perfil - interna'!H385+'Perfil - externa'!H383=0,0,'Perfil - interna'!H385+'Perfil - externa'!H383)</f>
        <v>0</v>
      </c>
      <c r="I385" s="219">
        <f>IF('Perfil - interna'!I385+'Perfil - externa'!I383=0,0,'Perfil - interna'!I385+'Perfil - externa'!I383)</f>
        <v>0</v>
      </c>
      <c r="J385" s="219">
        <f>IF('Perfil - interna'!J385+'Perfil - externa'!J383=0,0,'Perfil - interna'!J385+'Perfil - externa'!J383)</f>
        <v>0</v>
      </c>
      <c r="K385" s="219">
        <f>IF('Perfil - interna'!K385+'Perfil - externa'!K383=0,0,'Perfil - interna'!K385+'Perfil - externa'!K383)</f>
        <v>0</v>
      </c>
      <c r="L385" s="219">
        <f>IF('Perfil - interna'!L385+'Perfil - externa'!L383=0,0,'Perfil - interna'!L385+'Perfil - externa'!L383)</f>
        <v>0</v>
      </c>
      <c r="M385" s="219">
        <f>IF('Perfil - interna'!M385+'Perfil - externa'!M383=0,0,'Perfil - interna'!M385+'Perfil - externa'!M383)</f>
        <v>5596551.3294026647</v>
      </c>
      <c r="N385" s="219">
        <f>IF('Perfil - interna'!N385+'Perfil - externa'!N383=0,0,'Perfil - interna'!N385+'Perfil - externa'!N383)</f>
        <v>20984498.524843283</v>
      </c>
      <c r="O385" s="219">
        <f>IF('Perfil - interna'!O385+'Perfil - externa'!O383=0,0,'Perfil - interna'!O385+'Perfil - externa'!O383)</f>
        <v>26391861.589051448</v>
      </c>
      <c r="P385" s="219">
        <f>IF('Perfil - interna'!P385+'Perfil - externa'!P383=0,0,'Perfil - interna'!P385+'Perfil - externa'!P383)</f>
        <v>24005778.026273247</v>
      </c>
      <c r="Q385" s="219">
        <f>IF('Perfil - interna'!Q385+'Perfil - externa'!Q383=0,0,'Perfil - interna'!Q385+'Perfil - externa'!Q383)</f>
        <v>23979164.068220213</v>
      </c>
      <c r="R385" s="219">
        <f>IF('Perfil - interna'!R385+'Perfil - externa'!R383=0,0,'Perfil - interna'!R385+'Perfil - externa'!R383)</f>
        <v>13473051.443750015</v>
      </c>
      <c r="S385" s="219">
        <f>IF('Perfil - interna'!S385+'Perfil - externa'!S383=0,0,'Perfil - interna'!S385+'Perfil - externa'!S383)</f>
        <v>8904970.7464122325</v>
      </c>
      <c r="T385" s="219">
        <f>IF('Perfil - interna'!T385+'Perfil - externa'!T383=0,0,'Perfil - interna'!T385+'Perfil - externa'!T383)</f>
        <v>9456151.8378104735</v>
      </c>
      <c r="U385" s="219">
        <f>IF('Perfil - interna'!U385+'Perfil - externa'!U383=0,0,'Perfil - interna'!U385+'Perfil - externa'!U383)</f>
        <v>6270658.7336807577</v>
      </c>
      <c r="V385" s="219">
        <f>IF('Perfil - interna'!V385+'Perfil - externa'!V383=0,0,'Perfil - interna'!V385+'Perfil - externa'!V383)</f>
        <v>11127785.949855046</v>
      </c>
      <c r="W385" s="219">
        <f>IF('Perfil - interna'!W385+'Perfil - externa'!W383=0,0,'Perfil - interna'!W385+'Perfil - externa'!W383)</f>
        <v>6831623.3878946519</v>
      </c>
      <c r="X385" s="219">
        <f>IF('Perfil - interna'!X385+'Perfil - externa'!X383=0,0,'Perfil - interna'!X385+'Perfil - externa'!X383)</f>
        <v>1086501.0436135682</v>
      </c>
      <c r="Y385" s="219">
        <f>IF('Perfil - interna'!Y385+'Perfil - externa'!Y383=0,0,'Perfil - interna'!Y385+'Perfil - externa'!Y383)</f>
        <v>10951750.471344398</v>
      </c>
      <c r="Z385" s="219">
        <f>IF('Perfil - interna'!Z385+'Perfil - externa'!Z383=0,0,'Perfil - interna'!Z385+'Perfil - externa'!Z383)</f>
        <v>19016877.568829332</v>
      </c>
      <c r="AA385" s="219">
        <f>IF('Perfil - interna'!AA385+'Perfil - externa'!AA383=0,0,'Perfil - interna'!AA385+'Perfil - externa'!AA383)</f>
        <v>1173068.4610358968</v>
      </c>
      <c r="AB385" s="219">
        <f>IF('Perfil - interna'!AB385+'Perfil - externa'!AB383=0,0,'Perfil - interna'!AB385+'Perfil - externa'!AB383)</f>
        <v>783473.2444858395</v>
      </c>
      <c r="AC385" s="219">
        <f>IF('Perfil - interna'!AC385+'Perfil - externa'!AC383=0,0,'Perfil - interna'!AC385+'Perfil - externa'!AC383)</f>
        <v>2559559.1862259661</v>
      </c>
      <c r="AD385" s="219">
        <f>IF('Perfil - interna'!AD385+'Perfil - externa'!AD383=0,0,'Perfil - interna'!AD385+'Perfil - externa'!AD383)</f>
        <v>687763.61873676383</v>
      </c>
      <c r="AE385" s="219">
        <f>IF('Perfil - interna'!AE385+'Perfil - externa'!AE383=0,0,'Perfil - interna'!AE385+'Perfil - externa'!AE383)</f>
        <v>558465.73910397035</v>
      </c>
      <c r="AF385" s="219">
        <f>IF('Perfil - interna'!AF385+'Perfil - externa'!AF383=0,0,'Perfil - interna'!AF385+'Perfil - externa'!AF383)</f>
        <v>450328.26846740406</v>
      </c>
      <c r="AG385" s="219">
        <f>IF('Perfil - interna'!AG385+'Perfil - externa'!AG383=0,0,'Perfil - interna'!AG385+'Perfil - externa'!AG383)</f>
        <v>407087.83863007452</v>
      </c>
      <c r="AH385" s="219">
        <f>IF('Perfil - interna'!AH385+'Perfil - externa'!AH383=0,0,'Perfil - interna'!AH385+'Perfil - externa'!AH383)</f>
        <v>383945.91184165404</v>
      </c>
      <c r="AI385" s="219">
        <f>IF('Perfil - interna'!AI385+'Perfil - externa'!AI383=0,0,'Perfil - interna'!AI385+'Perfil - externa'!AI383)</f>
        <v>845361.97976607305</v>
      </c>
      <c r="AJ385" s="219">
        <f>IF('Perfil - interna'!AJ385+'Perfil - externa'!AJ383=0,0,'Perfil - interna'!AJ385+'Perfil - externa'!AJ383)</f>
        <v>213144.06269847701</v>
      </c>
      <c r="AK385" s="219">
        <f>IF('Perfil - interna'!AK385+'Perfil - externa'!AK383=0,0,'Perfil - interna'!AK385+'Perfil - externa'!AK383)</f>
        <v>151784.65438764502</v>
      </c>
      <c r="AL385" s="219">
        <f>IF('Perfil - interna'!AL385+'Perfil - externa'!AL383=0,0,'Perfil - interna'!AL385+'Perfil - externa'!AL383)</f>
        <v>100390.35122118851</v>
      </c>
      <c r="AM385" s="219">
        <f>IF('Perfil - interna'!AM385+'Perfil - externa'!AM383=0,0,'Perfil - interna'!AM385+'Perfil - externa'!AM383)</f>
        <v>3253118.2323091277</v>
      </c>
      <c r="AN385" s="219">
        <f>IF('Perfil - interna'!AN385+'Perfil - externa'!AN383=0,0,'Perfil - interna'!AN385+'Perfil - externa'!AN383)</f>
        <v>5485.196786042</v>
      </c>
      <c r="AO385" s="219"/>
      <c r="AP385" s="219"/>
      <c r="AQ385" s="219"/>
      <c r="AR385" s="219"/>
      <c r="AS385" s="219"/>
      <c r="AT385" s="219"/>
      <c r="AU385" s="219"/>
      <c r="AV385" s="219"/>
      <c r="AW385" s="219"/>
      <c r="AX385" s="219"/>
      <c r="AY385" s="219"/>
      <c r="AZ385" s="219"/>
      <c r="BA385" s="219"/>
      <c r="BB385" s="219"/>
      <c r="BC385" s="219"/>
      <c r="BD385" s="219"/>
      <c r="BE385" s="219"/>
      <c r="BF385" s="219"/>
      <c r="BG385" s="219"/>
      <c r="BH385" s="219"/>
      <c r="BI385" s="219"/>
      <c r="BJ385" s="219"/>
      <c r="BK385" s="219"/>
    </row>
    <row r="386" spans="1:63">
      <c r="A386" s="170">
        <v>40725</v>
      </c>
      <c r="B386" s="220" t="str">
        <f>Servicio_internaColumna_título_intereses</f>
        <v>Intereses</v>
      </c>
      <c r="C386" s="221"/>
      <c r="D386" s="222"/>
      <c r="E386" s="222"/>
      <c r="F386" s="222">
        <f>IF('Perfil - interna'!F386+'Perfil - externa'!F384=0,0,'Perfil - interna'!F386+'Perfil - externa'!F384)</f>
        <v>0</v>
      </c>
      <c r="G386" s="222">
        <f>IF('Perfil - interna'!G386+'Perfil - externa'!G384=0,0,'Perfil - interna'!G386+'Perfil - externa'!G384)</f>
        <v>0</v>
      </c>
      <c r="H386" s="222">
        <f>IF('Perfil - interna'!H386+'Perfil - externa'!H384=0,0,'Perfil - interna'!H386+'Perfil - externa'!H384)</f>
        <v>0</v>
      </c>
      <c r="I386" s="222">
        <f>IF('Perfil - interna'!I386+'Perfil - externa'!I384=0,0,'Perfil - interna'!I386+'Perfil - externa'!I384)</f>
        <v>0</v>
      </c>
      <c r="J386" s="222">
        <f>IF('Perfil - interna'!J386+'Perfil - externa'!J384=0,0,'Perfil - interna'!J386+'Perfil - externa'!J384)</f>
        <v>0</v>
      </c>
      <c r="K386" s="222">
        <f>IF('Perfil - interna'!K386+'Perfil - externa'!K384=0,0,'Perfil - interna'!K386+'Perfil - externa'!K384)</f>
        <v>0</v>
      </c>
      <c r="L386" s="222">
        <f>IF('Perfil - interna'!L386+'Perfil - externa'!L384=0,0,'Perfil - interna'!L386+'Perfil - externa'!L384)</f>
        <v>0</v>
      </c>
      <c r="M386" s="222">
        <f>IF('Perfil - interna'!M386+'Perfil - externa'!M384=0,0,'Perfil - interna'!M386+'Perfil - externa'!M384)</f>
        <v>5456289.1404280327</v>
      </c>
      <c r="N386" s="222">
        <f>IF('Perfil - interna'!N386+'Perfil - externa'!N384=0,0,'Perfil - interna'!N386+'Perfil - externa'!N384)</f>
        <v>15356340.62918058</v>
      </c>
      <c r="O386" s="222">
        <f>IF('Perfil - interna'!O386+'Perfil - externa'!O384=0,0,'Perfil - interna'!O386+'Perfil - externa'!O384)</f>
        <v>13729923.727193888</v>
      </c>
      <c r="P386" s="222">
        <f>IF('Perfil - interna'!P386+'Perfil - externa'!P384=0,0,'Perfil - interna'!P386+'Perfil - externa'!P384)</f>
        <v>11892794.571069315</v>
      </c>
      <c r="Q386" s="222">
        <f>IF('Perfil - interna'!Q386+'Perfil - externa'!Q384=0,0,'Perfil - interna'!Q386+'Perfil - externa'!Q384)</f>
        <v>9638645.8160779439</v>
      </c>
      <c r="R386" s="222">
        <f>IF('Perfil - interna'!R386+'Perfil - externa'!R384=0,0,'Perfil - interna'!R386+'Perfil - externa'!R384)</f>
        <v>7780355.5497180745</v>
      </c>
      <c r="S386" s="222">
        <f>IF('Perfil - interna'!S386+'Perfil - externa'!S384=0,0,'Perfil - interna'!S386+'Perfil - externa'!S384)</f>
        <v>6776030.3857145784</v>
      </c>
      <c r="T386" s="222">
        <f>IF('Perfil - interna'!T386+'Perfil - externa'!T384=0,0,'Perfil - interna'!T386+'Perfil - externa'!T384)</f>
        <v>6319988.6287358198</v>
      </c>
      <c r="U386" s="222">
        <f>IF('Perfil - interna'!U386+'Perfil - externa'!U384=0,0,'Perfil - interna'!U386+'Perfil - externa'!U384)</f>
        <v>5240669.3128937623</v>
      </c>
      <c r="V386" s="222">
        <f>IF('Perfil - interna'!V386+'Perfil - externa'!V384=0,0,'Perfil - interna'!V386+'Perfil - externa'!V384)</f>
        <v>4935978.3582610441</v>
      </c>
      <c r="W386" s="222">
        <f>IF('Perfil - interna'!W386+'Perfil - externa'!W384=0,0,'Perfil - interna'!W386+'Perfil - externa'!W384)</f>
        <v>3871935.6478017047</v>
      </c>
      <c r="X386" s="222">
        <f>IF('Perfil - interna'!X386+'Perfil - externa'!X384=0,0,'Perfil - interna'!X386+'Perfil - externa'!X384)</f>
        <v>3504148.193846439</v>
      </c>
      <c r="Y386" s="222">
        <f>IF('Perfil - interna'!Y386+'Perfil - externa'!Y384=0,0,'Perfil - interna'!Y386+'Perfil - externa'!Y384)</f>
        <v>3462083.7337374594</v>
      </c>
      <c r="Z386" s="222">
        <f>IF('Perfil - interna'!Z386+'Perfil - externa'!Z384=0,0,'Perfil - interna'!Z386+'Perfil - externa'!Z384)</f>
        <v>2665457.4471292086</v>
      </c>
      <c r="AA386" s="222">
        <f>IF('Perfil - interna'!AA386+'Perfil - externa'!AA384=0,0,'Perfil - interna'!AA386+'Perfil - externa'!AA384)</f>
        <v>904424.66617575288</v>
      </c>
      <c r="AB386" s="222">
        <f>IF('Perfil - interna'!AB386+'Perfil - externa'!AB384=0,0,'Perfil - interna'!AB386+'Perfil - externa'!AB384)</f>
        <v>836966.75062206399</v>
      </c>
      <c r="AC386" s="222">
        <f>IF('Perfil - interna'!AC386+'Perfil - externa'!AC384=0,0,'Perfil - interna'!AC386+'Perfil - externa'!AC384)</f>
        <v>782785.6039290136</v>
      </c>
      <c r="AD386" s="222">
        <f>IF('Perfil - interna'!AD386+'Perfil - externa'!AD384=0,0,'Perfil - interna'!AD386+'Perfil - externa'!AD384)</f>
        <v>572693.94349616603</v>
      </c>
      <c r="AE386" s="222">
        <f>IF('Perfil - interna'!AE386+'Perfil - externa'!AE384=0,0,'Perfil - interna'!AE386+'Perfil - externa'!AE384)</f>
        <v>537942.08065440704</v>
      </c>
      <c r="AF386" s="222">
        <f>IF('Perfil - interna'!AF386+'Perfil - externa'!AF384=0,0,'Perfil - interna'!AF386+'Perfil - externa'!AF384)</f>
        <v>507852.13397285645</v>
      </c>
      <c r="AG386" s="222">
        <f>IF('Perfil - interna'!AG386+'Perfil - externa'!AG384=0,0,'Perfil - interna'!AG386+'Perfil - externa'!AG384)</f>
        <v>483789.03013888252</v>
      </c>
      <c r="AH386" s="222">
        <f>IF('Perfil - interna'!AH386+'Perfil - externa'!AH384=0,0,'Perfil - interna'!AH386+'Perfil - externa'!AH384)</f>
        <v>462189.08747545502</v>
      </c>
      <c r="AI386" s="222">
        <f>IF('Perfil - interna'!AI386+'Perfil - externa'!AI384=0,0,'Perfil - interna'!AI386+'Perfil - externa'!AI384)</f>
        <v>412168.16444735549</v>
      </c>
      <c r="AJ386" s="222">
        <f>IF('Perfil - interna'!AJ386+'Perfil - externa'!AJ384=0,0,'Perfil - interna'!AJ386+'Perfil - externa'!AJ384)</f>
        <v>369494.22597410751</v>
      </c>
      <c r="AK386" s="222">
        <f>IF('Perfil - interna'!AK386+'Perfil - externa'!AK384=0,0,'Perfil - interna'!AK386+'Perfil - externa'!AK384)</f>
        <v>359027.47872369201</v>
      </c>
      <c r="AL386" s="222">
        <f>IF('Perfil - interna'!AL386+'Perfil - externa'!AL384=0,0,'Perfil - interna'!AL386+'Perfil - externa'!AL384)</f>
        <v>351456.42670851195</v>
      </c>
      <c r="AM386" s="222">
        <f>IF('Perfil - interna'!AM386+'Perfil - externa'!AM384=0,0,'Perfil - interna'!AM386+'Perfil - externa'!AM384)</f>
        <v>346811.97468949453</v>
      </c>
      <c r="AN386" s="222">
        <f>IF('Perfil - interna'!AN386+'Perfil - externa'!AN384=0,0,'Perfil - interna'!AN386+'Perfil - externa'!AN384)</f>
        <v>108545.77395233551</v>
      </c>
      <c r="AO386" s="222"/>
      <c r="AP386" s="222"/>
      <c r="AQ386" s="222"/>
      <c r="AR386" s="222"/>
      <c r="AS386" s="222"/>
      <c r="AT386" s="222"/>
      <c r="AU386" s="222"/>
      <c r="AV386" s="222"/>
      <c r="AW386" s="222"/>
      <c r="AX386" s="222"/>
      <c r="AY386" s="222"/>
      <c r="AZ386" s="222"/>
      <c r="BA386" s="222"/>
      <c r="BB386" s="222"/>
      <c r="BC386" s="222"/>
      <c r="BD386" s="222"/>
      <c r="BE386" s="222"/>
      <c r="BF386" s="222"/>
      <c r="BG386" s="222"/>
      <c r="BH386" s="222"/>
      <c r="BI386" s="222"/>
      <c r="BJ386" s="222"/>
      <c r="BK386" s="222"/>
    </row>
    <row r="387" spans="1:63">
      <c r="A387" s="171"/>
      <c r="B387" s="318" t="str">
        <f>Servicio_internaColumna_título_total</f>
        <v>Total</v>
      </c>
      <c r="C387" s="319"/>
      <c r="D387" s="320"/>
      <c r="E387" s="320"/>
      <c r="F387" s="320">
        <f>IF('Perfil - interna'!F387+'Perfil - externa'!F385=0,0,'Perfil - interna'!F387+'Perfil - externa'!F385)</f>
        <v>0</v>
      </c>
      <c r="G387" s="320">
        <f>IF('Perfil - interna'!G387+'Perfil - externa'!G385=0,0,'Perfil - interna'!G387+'Perfil - externa'!G385)</f>
        <v>0</v>
      </c>
      <c r="H387" s="320">
        <f>IF('Perfil - interna'!H387+'Perfil - externa'!H385=0,0,'Perfil - interna'!H387+'Perfil - externa'!H385)</f>
        <v>0</v>
      </c>
      <c r="I387" s="320">
        <f>IF('Perfil - interna'!I387+'Perfil - externa'!I385=0,0,'Perfil - interna'!I387+'Perfil - externa'!I385)</f>
        <v>0</v>
      </c>
      <c r="J387" s="320">
        <f>IF('Perfil - interna'!J387+'Perfil - externa'!J385=0,0,'Perfil - interna'!J387+'Perfil - externa'!J385)</f>
        <v>0</v>
      </c>
      <c r="K387" s="320">
        <f>IF('Perfil - interna'!K387+'Perfil - externa'!K385=0,0,'Perfil - interna'!K387+'Perfil - externa'!K385)</f>
        <v>0</v>
      </c>
      <c r="L387" s="320">
        <f>IF('Perfil - interna'!L387+'Perfil - externa'!L385=0,0,'Perfil - interna'!L387+'Perfil - externa'!L385)</f>
        <v>0</v>
      </c>
      <c r="M387" s="320">
        <f>IF('Perfil - interna'!M387+'Perfil - externa'!M385=0,0,'Perfil - interna'!M387+'Perfil - externa'!M385)</f>
        <v>11052840.469830697</v>
      </c>
      <c r="N387" s="320">
        <f>IF('Perfil - interna'!N387+'Perfil - externa'!N385=0,0,'Perfil - interna'!N387+'Perfil - externa'!N385)</f>
        <v>36340839.154023863</v>
      </c>
      <c r="O387" s="320">
        <f>IF('Perfil - interna'!O387+'Perfil - externa'!O385=0,0,'Perfil - interna'!O387+'Perfil - externa'!O385)</f>
        <v>40121785.31624534</v>
      </c>
      <c r="P387" s="320">
        <f>IF('Perfil - interna'!P387+'Perfil - externa'!P385=0,0,'Perfil - interna'!P387+'Perfil - externa'!P385)</f>
        <v>35898572.597342566</v>
      </c>
      <c r="Q387" s="320">
        <f>IF('Perfil - interna'!Q387+'Perfil - externa'!Q385=0,0,'Perfil - interna'!Q387+'Perfil - externa'!Q385)</f>
        <v>33617809.884298161</v>
      </c>
      <c r="R387" s="320">
        <f>IF('Perfil - interna'!R387+'Perfil - externa'!R385=0,0,'Perfil - interna'!R387+'Perfil - externa'!R385)</f>
        <v>21253406.993468091</v>
      </c>
      <c r="S387" s="320">
        <f>IF('Perfil - interna'!S387+'Perfil - externa'!S385=0,0,'Perfil - interna'!S387+'Perfil - externa'!S385)</f>
        <v>15681001.132126812</v>
      </c>
      <c r="T387" s="320">
        <f>IF('Perfil - interna'!T387+'Perfil - externa'!T385=0,0,'Perfil - interna'!T387+'Perfil - externa'!T385)</f>
        <v>15776140.466546291</v>
      </c>
      <c r="U387" s="320">
        <f>IF('Perfil - interna'!U387+'Perfil - externa'!U385=0,0,'Perfil - interna'!U387+'Perfil - externa'!U385)</f>
        <v>11511328.04657452</v>
      </c>
      <c r="V387" s="320">
        <f>IF('Perfil - interna'!V387+'Perfil - externa'!V385=0,0,'Perfil - interna'!V387+'Perfil - externa'!V385)</f>
        <v>16063764.30811609</v>
      </c>
      <c r="W387" s="320">
        <f>IF('Perfil - interna'!W387+'Perfil - externa'!W385=0,0,'Perfil - interna'!W387+'Perfil - externa'!W385)</f>
        <v>10703559.035696356</v>
      </c>
      <c r="X387" s="320">
        <f>IF('Perfil - interna'!X387+'Perfil - externa'!X385=0,0,'Perfil - interna'!X387+'Perfil - externa'!X385)</f>
        <v>4590649.237460007</v>
      </c>
      <c r="Y387" s="320">
        <f>IF('Perfil - interna'!Y387+'Perfil - externa'!Y385=0,0,'Perfil - interna'!Y387+'Perfil - externa'!Y385)</f>
        <v>14413834.205081858</v>
      </c>
      <c r="Z387" s="320">
        <f>IF('Perfil - interna'!Z387+'Perfil - externa'!Z385=0,0,'Perfil - interna'!Z387+'Perfil - externa'!Z385)</f>
        <v>21682335.01595854</v>
      </c>
      <c r="AA387" s="320">
        <f>IF('Perfil - interna'!AA387+'Perfil - externa'!AA385=0,0,'Perfil - interna'!AA387+'Perfil - externa'!AA385)</f>
        <v>2077493.1272116497</v>
      </c>
      <c r="AB387" s="320">
        <f>IF('Perfil - interna'!AB387+'Perfil - externa'!AB385=0,0,'Perfil - interna'!AB387+'Perfil - externa'!AB385)</f>
        <v>1620439.9951079036</v>
      </c>
      <c r="AC387" s="320">
        <f>IF('Perfil - interna'!AC387+'Perfil - externa'!AC385=0,0,'Perfil - interna'!AC387+'Perfil - externa'!AC385)</f>
        <v>3342344.7901549796</v>
      </c>
      <c r="AD387" s="320">
        <f>IF('Perfil - interna'!AD387+'Perfil - externa'!AD385=0,0,'Perfil - interna'!AD387+'Perfil - externa'!AD385)</f>
        <v>1260457.5622329297</v>
      </c>
      <c r="AE387" s="320">
        <f>IF('Perfil - interna'!AE387+'Perfil - externa'!AE385=0,0,'Perfil - interna'!AE387+'Perfil - externa'!AE385)</f>
        <v>1096407.8197583775</v>
      </c>
      <c r="AF387" s="320">
        <f>IF('Perfil - interna'!AF387+'Perfil - externa'!AF385=0,0,'Perfil - interna'!AF387+'Perfil - externa'!AF385)</f>
        <v>958180.40244026051</v>
      </c>
      <c r="AG387" s="320">
        <f>IF('Perfil - interna'!AG387+'Perfil - externa'!AG385=0,0,'Perfil - interna'!AG387+'Perfil - externa'!AG385)</f>
        <v>890876.86876895698</v>
      </c>
      <c r="AH387" s="320">
        <f>IF('Perfil - interna'!AH387+'Perfil - externa'!AH385=0,0,'Perfil - interna'!AH387+'Perfil - externa'!AH385)</f>
        <v>846134.99931710912</v>
      </c>
      <c r="AI387" s="320">
        <f>IF('Perfil - interna'!AI387+'Perfil - externa'!AI385=0,0,'Perfil - interna'!AI387+'Perfil - externa'!AI385)</f>
        <v>1257530.1442134285</v>
      </c>
      <c r="AJ387" s="320">
        <f>IF('Perfil - interna'!AJ387+'Perfil - externa'!AJ385=0,0,'Perfil - interna'!AJ387+'Perfil - externa'!AJ385)</f>
        <v>582638.28867258457</v>
      </c>
      <c r="AK387" s="320">
        <f>IF('Perfil - interna'!AK387+'Perfil - externa'!AK385=0,0,'Perfil - interna'!AK387+'Perfil - externa'!AK385)</f>
        <v>510812.13311133703</v>
      </c>
      <c r="AL387" s="320">
        <f>IF('Perfil - interna'!AL387+'Perfil - externa'!AL385=0,0,'Perfil - interna'!AL387+'Perfil - externa'!AL385)</f>
        <v>451846.77792970045</v>
      </c>
      <c r="AM387" s="320">
        <f>IF('Perfil - interna'!AM387+'Perfil - externa'!AM385=0,0,'Perfil - interna'!AM387+'Perfil - externa'!AM385)</f>
        <v>3599930.206998622</v>
      </c>
      <c r="AN387" s="320">
        <f>IF('Perfil - interna'!AN387+'Perfil - externa'!AN385=0,0,'Perfil - interna'!AN387+'Perfil - externa'!AN385)</f>
        <v>114030.97073837751</v>
      </c>
      <c r="AO387" s="320"/>
      <c r="AP387" s="320"/>
      <c r="AQ387" s="320"/>
      <c r="AR387" s="320"/>
      <c r="AS387" s="320"/>
      <c r="AT387" s="320"/>
      <c r="AU387" s="320"/>
      <c r="AV387" s="320"/>
      <c r="AW387" s="320"/>
      <c r="AX387" s="320"/>
      <c r="AY387" s="320"/>
      <c r="AZ387" s="320"/>
      <c r="BA387" s="320"/>
      <c r="BB387" s="320"/>
      <c r="BC387" s="320"/>
      <c r="BD387" s="320"/>
      <c r="BE387" s="320"/>
      <c r="BF387" s="320"/>
      <c r="BG387" s="320"/>
      <c r="BH387" s="320"/>
      <c r="BI387" s="320"/>
      <c r="BJ387" s="320"/>
      <c r="BK387" s="320"/>
    </row>
    <row r="388" spans="1:63">
      <c r="A388" s="167"/>
      <c r="B388" s="217" t="str">
        <f>Servicio_internaColumna_título_amortizaciones</f>
        <v>Amortizaciones</v>
      </c>
      <c r="C388" s="218"/>
      <c r="D388" s="219"/>
      <c r="E388" s="219"/>
      <c r="F388" s="219">
        <f>IF('Perfil - interna'!F388+'Perfil - externa'!F386=0,0,'Perfil - interna'!F388+'Perfil - externa'!F386)</f>
        <v>0</v>
      </c>
      <c r="G388" s="219">
        <f>IF('Perfil - interna'!G388+'Perfil - externa'!G386=0,0,'Perfil - interna'!G388+'Perfil - externa'!G386)</f>
        <v>0</v>
      </c>
      <c r="H388" s="219">
        <f>IF('Perfil - interna'!H388+'Perfil - externa'!H386=0,0,'Perfil - interna'!H388+'Perfil - externa'!H386)</f>
        <v>0</v>
      </c>
      <c r="I388" s="219">
        <f>IF('Perfil - interna'!I388+'Perfil - externa'!I386=0,0,'Perfil - interna'!I388+'Perfil - externa'!I386)</f>
        <v>0</v>
      </c>
      <c r="J388" s="219">
        <f>IF('Perfil - interna'!J388+'Perfil - externa'!J386=0,0,'Perfil - interna'!J388+'Perfil - externa'!J386)</f>
        <v>0</v>
      </c>
      <c r="K388" s="219">
        <f>IF('Perfil - interna'!K388+'Perfil - externa'!K386=0,0,'Perfil - interna'!K388+'Perfil - externa'!K386)</f>
        <v>0</v>
      </c>
      <c r="L388" s="219">
        <f>IF('Perfil - interna'!L388+'Perfil - externa'!L386=0,0,'Perfil - interna'!L388+'Perfil - externa'!L386)</f>
        <v>0</v>
      </c>
      <c r="M388" s="219">
        <f>IF('Perfil - interna'!M388+'Perfil - externa'!M386=0,0,'Perfil - interna'!M388+'Perfil - externa'!M386)</f>
        <v>4981209.6104110135</v>
      </c>
      <c r="N388" s="219">
        <f>IF('Perfil - interna'!N388+'Perfil - externa'!N386=0,0,'Perfil - interna'!N388+'Perfil - externa'!N386)</f>
        <v>21560047.597999632</v>
      </c>
      <c r="O388" s="219">
        <f>IF('Perfil - interna'!O388+'Perfil - externa'!O386=0,0,'Perfil - interna'!O388+'Perfil - externa'!O386)</f>
        <v>26422022.843467522</v>
      </c>
      <c r="P388" s="219">
        <f>IF('Perfil - interna'!P388+'Perfil - externa'!P386=0,0,'Perfil - interna'!P388+'Perfil - externa'!P386)</f>
        <v>24037071.615289401</v>
      </c>
      <c r="Q388" s="219">
        <f>IF('Perfil - interna'!Q388+'Perfil - externa'!Q386=0,0,'Perfil - interna'!Q388+'Perfil - externa'!Q386)</f>
        <v>25061926.457578368</v>
      </c>
      <c r="R388" s="219">
        <f>IF('Perfil - interna'!R388+'Perfil - externa'!R386=0,0,'Perfil - interna'!R388+'Perfil - externa'!R386)</f>
        <v>13479779.868656686</v>
      </c>
      <c r="S388" s="219">
        <f>IF('Perfil - interna'!S388+'Perfil - externa'!S386=0,0,'Perfil - interna'!S388+'Perfil - externa'!S386)</f>
        <v>9205436.5944822971</v>
      </c>
      <c r="T388" s="219">
        <f>IF('Perfil - interna'!T388+'Perfil - externa'!T386=0,0,'Perfil - interna'!T388+'Perfil - externa'!T386)</f>
        <v>9923509.9316194728</v>
      </c>
      <c r="U388" s="219">
        <f>IF('Perfil - interna'!U388+'Perfil - externa'!U386=0,0,'Perfil - interna'!U388+'Perfil - externa'!U386)</f>
        <v>6253994.4857808789</v>
      </c>
      <c r="V388" s="219">
        <f>IF('Perfil - interna'!V388+'Perfil - externa'!V386=0,0,'Perfil - interna'!V388+'Perfil - externa'!V386)</f>
        <v>11146801.082685022</v>
      </c>
      <c r="W388" s="219">
        <f>IF('Perfil - interna'!W388+'Perfil - externa'!W386=0,0,'Perfil - interna'!W388+'Perfil - externa'!W386)</f>
        <v>6879834.9474599632</v>
      </c>
      <c r="X388" s="219">
        <f>IF('Perfil - interna'!X388+'Perfil - externa'!X386=0,0,'Perfil - interna'!X388+'Perfil - externa'!X386)</f>
        <v>1094180.6180135813</v>
      </c>
      <c r="Y388" s="219">
        <f>IF('Perfil - interna'!Y388+'Perfil - externa'!Y386=0,0,'Perfil - interna'!Y388+'Perfil - externa'!Y386)</f>
        <v>11371240.049028896</v>
      </c>
      <c r="Z388" s="219">
        <f>IF('Perfil - interna'!Z388+'Perfil - externa'!Z386=0,0,'Perfil - interna'!Z388+'Perfil - externa'!Z386)</f>
        <v>19386466.404970091</v>
      </c>
      <c r="AA388" s="219">
        <f>IF('Perfil - interna'!AA388+'Perfil - externa'!AA386=0,0,'Perfil - interna'!AA388+'Perfil - externa'!AA386)</f>
        <v>1176337.8160371147</v>
      </c>
      <c r="AB388" s="219">
        <f>IF('Perfil - interna'!AB388+'Perfil - externa'!AB386=0,0,'Perfil - interna'!AB388+'Perfil - externa'!AB386)</f>
        <v>784043.13997607992</v>
      </c>
      <c r="AC388" s="219">
        <f>IF('Perfil - interna'!AC388+'Perfil - externa'!AC386=0,0,'Perfil - interna'!AC388+'Perfil - externa'!AC386)</f>
        <v>2572645.4180097575</v>
      </c>
      <c r="AD388" s="219">
        <f>IF('Perfil - interna'!AD388+'Perfil - externa'!AD386=0,0,'Perfil - interna'!AD388+'Perfil - externa'!AD386)</f>
        <v>687628.96999135683</v>
      </c>
      <c r="AE388" s="219">
        <f>IF('Perfil - interna'!AE388+'Perfil - externa'!AE386=0,0,'Perfil - interna'!AE388+'Perfil - externa'!AE386)</f>
        <v>557417.83260275132</v>
      </c>
      <c r="AF388" s="219">
        <f>IF('Perfil - interna'!AF388+'Perfil - externa'!AF386=0,0,'Perfil - interna'!AF388+'Perfil - externa'!AF386)</f>
        <v>451397.86465872021</v>
      </c>
      <c r="AG388" s="219">
        <f>IF('Perfil - interna'!AG388+'Perfil - externa'!AG386=0,0,'Perfil - interna'!AG388+'Perfil - externa'!AG386)</f>
        <v>410733.31878055981</v>
      </c>
      <c r="AH388" s="219">
        <f>IF('Perfil - interna'!AH388+'Perfil - externa'!AH386=0,0,'Perfil - interna'!AH388+'Perfil - externa'!AH386)</f>
        <v>387427.9357608076</v>
      </c>
      <c r="AI388" s="219">
        <f>IF('Perfil - interna'!AI388+'Perfil - externa'!AI386=0,0,'Perfil - interna'!AI388+'Perfil - externa'!AI386)</f>
        <v>852103.08112628735</v>
      </c>
      <c r="AJ388" s="219">
        <f>IF('Perfil - interna'!AJ388+'Perfil - externa'!AJ386=0,0,'Perfil - interna'!AJ388+'Perfil - externa'!AJ386)</f>
        <v>215419.67771224081</v>
      </c>
      <c r="AK388" s="219">
        <f>IF('Perfil - interna'!AK388+'Perfil - externa'!AK386=0,0,'Perfil - interna'!AK388+'Perfil - externa'!AK386)</f>
        <v>153626.87516717199</v>
      </c>
      <c r="AL388" s="219">
        <f>IF('Perfil - interna'!AL388+'Perfil - externa'!AL386=0,0,'Perfil - interna'!AL388+'Perfil - externa'!AL386)</f>
        <v>101867.77578802541</v>
      </c>
      <c r="AM388" s="219">
        <f>IF('Perfil - interna'!AM388+'Perfil - externa'!AM386=0,0,'Perfil - interna'!AM388+'Perfil - externa'!AM386)</f>
        <v>3276864.0281558735</v>
      </c>
      <c r="AN388" s="219">
        <f>IF('Perfil - interna'!AN388+'Perfil - externa'!AN386=0,0,'Perfil - interna'!AN388+'Perfil - externa'!AN386)</f>
        <v>8789.4134061907971</v>
      </c>
      <c r="AO388" s="219"/>
      <c r="AP388" s="219"/>
      <c r="AQ388" s="219"/>
      <c r="AR388" s="219"/>
      <c r="AS388" s="219"/>
      <c r="AT388" s="219"/>
      <c r="AU388" s="219"/>
      <c r="AV388" s="219"/>
      <c r="AW388" s="219"/>
      <c r="AX388" s="219"/>
      <c r="AY388" s="219"/>
      <c r="AZ388" s="219"/>
      <c r="BA388" s="219"/>
      <c r="BB388" s="219"/>
      <c r="BC388" s="219"/>
      <c r="BD388" s="219"/>
      <c r="BE388" s="219"/>
      <c r="BF388" s="219"/>
      <c r="BG388" s="219"/>
      <c r="BH388" s="219"/>
      <c r="BI388" s="219"/>
      <c r="BJ388" s="219"/>
      <c r="BK388" s="219"/>
    </row>
    <row r="389" spans="1:63">
      <c r="A389" s="170">
        <v>40756</v>
      </c>
      <c r="B389" s="220" t="str">
        <f>Servicio_internaColumna_título_intereses</f>
        <v>Intereses</v>
      </c>
      <c r="C389" s="221"/>
      <c r="D389" s="222"/>
      <c r="E389" s="222"/>
      <c r="F389" s="222">
        <f>IF('Perfil - interna'!F389+'Perfil - externa'!F387=0,0,'Perfil - interna'!F389+'Perfil - externa'!F387)</f>
        <v>0</v>
      </c>
      <c r="G389" s="222">
        <f>IF('Perfil - interna'!G389+'Perfil - externa'!G387=0,0,'Perfil - interna'!G389+'Perfil - externa'!G387)</f>
        <v>0</v>
      </c>
      <c r="H389" s="222">
        <f>IF('Perfil - interna'!H389+'Perfil - externa'!H387=0,0,'Perfil - interna'!H389+'Perfil - externa'!H387)</f>
        <v>0</v>
      </c>
      <c r="I389" s="222">
        <f>IF('Perfil - interna'!I389+'Perfil - externa'!I387=0,0,'Perfil - interna'!I389+'Perfil - externa'!I387)</f>
        <v>0</v>
      </c>
      <c r="J389" s="222">
        <f>IF('Perfil - interna'!J389+'Perfil - externa'!J387=0,0,'Perfil - interna'!J389+'Perfil - externa'!J387)</f>
        <v>0</v>
      </c>
      <c r="K389" s="222">
        <f>IF('Perfil - interna'!K389+'Perfil - externa'!K387=0,0,'Perfil - interna'!K389+'Perfil - externa'!K387)</f>
        <v>0</v>
      </c>
      <c r="L389" s="222">
        <f>IF('Perfil - interna'!L389+'Perfil - externa'!L387=0,0,'Perfil - interna'!L389+'Perfil - externa'!L387)</f>
        <v>0</v>
      </c>
      <c r="M389" s="222">
        <f>IF('Perfil - interna'!M389+'Perfil - externa'!M387=0,0,'Perfil - interna'!M389+'Perfil - externa'!M387)</f>
        <v>4329840.2076897183</v>
      </c>
      <c r="N389" s="222">
        <f>IF('Perfil - interna'!N389+'Perfil - externa'!N387=0,0,'Perfil - interna'!N389+'Perfil - externa'!N387)</f>
        <v>15137669.834690131</v>
      </c>
      <c r="O389" s="222">
        <f>IF('Perfil - interna'!O389+'Perfil - externa'!O387=0,0,'Perfil - interna'!O389+'Perfil - externa'!O387)</f>
        <v>13440025.009065324</v>
      </c>
      <c r="P389" s="222">
        <f>IF('Perfil - interna'!P389+'Perfil - externa'!P387=0,0,'Perfil - interna'!P389+'Perfil - externa'!P387)</f>
        <v>11667183.804799905</v>
      </c>
      <c r="Q389" s="222">
        <f>IF('Perfil - interna'!Q389+'Perfil - externa'!Q387=0,0,'Perfil - interna'!Q389+'Perfil - externa'!Q387)</f>
        <v>9495878.468308676</v>
      </c>
      <c r="R389" s="222">
        <f>IF('Perfil - interna'!R389+'Perfil - externa'!R387=0,0,'Perfil - interna'!R389+'Perfil - externa'!R387)</f>
        <v>7661749.5303754006</v>
      </c>
      <c r="S389" s="222">
        <f>IF('Perfil - interna'!S389+'Perfil - externa'!S387=0,0,'Perfil - interna'!S389+'Perfil - externa'!S387)</f>
        <v>6685042.1647837358</v>
      </c>
      <c r="T389" s="222">
        <f>IF('Perfil - interna'!T389+'Perfil - externa'!T387=0,0,'Perfil - interna'!T389+'Perfil - externa'!T387)</f>
        <v>6309738.511450896</v>
      </c>
      <c r="U389" s="222">
        <f>IF('Perfil - interna'!U389+'Perfil - externa'!U387=0,0,'Perfil - interna'!U389+'Perfil - externa'!U387)</f>
        <v>5197538.7985965591</v>
      </c>
      <c r="V389" s="222">
        <f>IF('Perfil - interna'!V389+'Perfil - externa'!V387=0,0,'Perfil - interna'!V389+'Perfil - externa'!V387)</f>
        <v>4909594.9052667543</v>
      </c>
      <c r="W389" s="222">
        <f>IF('Perfil - interna'!W389+'Perfil - externa'!W387=0,0,'Perfil - interna'!W389+'Perfil - externa'!W387)</f>
        <v>3858614.2620850699</v>
      </c>
      <c r="X389" s="222">
        <f>IF('Perfil - interna'!X389+'Perfil - externa'!X387=0,0,'Perfil - interna'!X389+'Perfil - externa'!X387)</f>
        <v>3501670.5883737775</v>
      </c>
      <c r="Y389" s="222">
        <f>IF('Perfil - interna'!Y389+'Perfil - externa'!Y387=0,0,'Perfil - interna'!Y389+'Perfil - externa'!Y387)</f>
        <v>3467521.9790857239</v>
      </c>
      <c r="Z389" s="222">
        <f>IF('Perfil - interna'!Z389+'Perfil - externa'!Z387=0,0,'Perfil - interna'!Z389+'Perfil - externa'!Z387)</f>
        <v>2641078.2424136512</v>
      </c>
      <c r="AA389" s="222">
        <f>IF('Perfil - interna'!AA389+'Perfil - externa'!AA387=0,0,'Perfil - interna'!AA389+'Perfil - externa'!AA387)</f>
        <v>856995.06949054613</v>
      </c>
      <c r="AB389" s="222">
        <f>IF('Perfil - interna'!AB389+'Perfil - externa'!AB387=0,0,'Perfil - interna'!AB389+'Perfil - externa'!AB387)</f>
        <v>802484.42563380999</v>
      </c>
      <c r="AC389" s="222">
        <f>IF('Perfil - interna'!AC389+'Perfil - externa'!AC387=0,0,'Perfil - interna'!AC389+'Perfil - externa'!AC387)</f>
        <v>753436.34139304678</v>
      </c>
      <c r="AD389" s="222">
        <f>IF('Perfil - interna'!AD389+'Perfil - externa'!AD387=0,0,'Perfil - interna'!AD389+'Perfil - externa'!AD387)</f>
        <v>549102.06705950201</v>
      </c>
      <c r="AE389" s="222">
        <f>IF('Perfil - interna'!AE389+'Perfil - externa'!AE387=0,0,'Perfil - interna'!AE389+'Perfil - externa'!AE387)</f>
        <v>518927.90321810235</v>
      </c>
      <c r="AF389" s="222">
        <f>IF('Perfil - interna'!AF389+'Perfil - externa'!AF387=0,0,'Perfil - interna'!AF389+'Perfil - externa'!AF387)</f>
        <v>494453.56977556803</v>
      </c>
      <c r="AG389" s="222">
        <f>IF('Perfil - interna'!AG389+'Perfil - externa'!AG387=0,0,'Perfil - interna'!AG389+'Perfil - externa'!AG387)</f>
        <v>474287.41900943749</v>
      </c>
      <c r="AH389" s="222">
        <f>IF('Perfil - interna'!AH389+'Perfil - externa'!AH387=0,0,'Perfil - interna'!AH389+'Perfil - externa'!AH387)</f>
        <v>455397.70965175383</v>
      </c>
      <c r="AI389" s="222">
        <f>IF('Perfil - interna'!AI389+'Perfil - externa'!AI387=0,0,'Perfil - interna'!AI389+'Perfil - externa'!AI387)</f>
        <v>408361.80382777262</v>
      </c>
      <c r="AJ389" s="222">
        <f>IF('Perfil - interna'!AJ389+'Perfil - externa'!AJ387=0,0,'Perfil - interna'!AJ389+'Perfil - externa'!AJ387)</f>
        <v>367296.63444697921</v>
      </c>
      <c r="AK389" s="222">
        <f>IF('Perfil - interna'!AK389+'Perfil - externa'!AK387=0,0,'Perfil - interna'!AK389+'Perfil - externa'!AK387)</f>
        <v>358865.06383289001</v>
      </c>
      <c r="AL389" s="222">
        <f>IF('Perfil - interna'!AL389+'Perfil - externa'!AL387=0,0,'Perfil - interna'!AL389+'Perfil - externa'!AL387)</f>
        <v>352851.20890747663</v>
      </c>
      <c r="AM389" s="222">
        <f>IF('Perfil - interna'!AM389+'Perfil - externa'!AM387=0,0,'Perfil - interna'!AM389+'Perfil - externa'!AM387)</f>
        <v>349147.86988540582</v>
      </c>
      <c r="AN389" s="222">
        <f>IF('Perfil - interna'!AN389+'Perfil - externa'!AN387=0,0,'Perfil - interna'!AN389+'Perfil - externa'!AN387)</f>
        <v>109341.6764637568</v>
      </c>
      <c r="AO389" s="222"/>
      <c r="AP389" s="222"/>
      <c r="AQ389" s="222"/>
      <c r="AR389" s="222"/>
      <c r="AS389" s="222"/>
      <c r="AT389" s="222"/>
      <c r="AU389" s="222"/>
      <c r="AV389" s="222"/>
      <c r="AW389" s="222"/>
      <c r="AX389" s="222"/>
      <c r="AY389" s="222"/>
      <c r="AZ389" s="222"/>
      <c r="BA389" s="222"/>
      <c r="BB389" s="222"/>
      <c r="BC389" s="222"/>
      <c r="BD389" s="222"/>
      <c r="BE389" s="222"/>
      <c r="BF389" s="222"/>
      <c r="BG389" s="222"/>
      <c r="BH389" s="222"/>
      <c r="BI389" s="222"/>
      <c r="BJ389" s="222"/>
      <c r="BK389" s="222"/>
    </row>
    <row r="390" spans="1:63">
      <c r="A390" s="171"/>
      <c r="B390" s="318" t="str">
        <f>Servicio_internaColumna_título_total</f>
        <v>Total</v>
      </c>
      <c r="C390" s="319"/>
      <c r="D390" s="320"/>
      <c r="E390" s="320"/>
      <c r="F390" s="320">
        <f>IF('Perfil - interna'!F390+'Perfil - externa'!F388=0,0,'Perfil - interna'!F390+'Perfil - externa'!F388)</f>
        <v>0</v>
      </c>
      <c r="G390" s="320">
        <f>IF('Perfil - interna'!G390+'Perfil - externa'!G388=0,0,'Perfil - interna'!G390+'Perfil - externa'!G388)</f>
        <v>0</v>
      </c>
      <c r="H390" s="320">
        <f>IF('Perfil - interna'!H390+'Perfil - externa'!H388=0,0,'Perfil - interna'!H390+'Perfil - externa'!H388)</f>
        <v>0</v>
      </c>
      <c r="I390" s="320">
        <f>IF('Perfil - interna'!I390+'Perfil - externa'!I388=0,0,'Perfil - interna'!I390+'Perfil - externa'!I388)</f>
        <v>0</v>
      </c>
      <c r="J390" s="320">
        <f>IF('Perfil - interna'!J390+'Perfil - externa'!J388=0,0,'Perfil - interna'!J390+'Perfil - externa'!J388)</f>
        <v>0</v>
      </c>
      <c r="K390" s="320">
        <f>IF('Perfil - interna'!K390+'Perfil - externa'!K388=0,0,'Perfil - interna'!K390+'Perfil - externa'!K388)</f>
        <v>0</v>
      </c>
      <c r="L390" s="320">
        <f>IF('Perfil - interna'!L390+'Perfil - externa'!L388=0,0,'Perfil - interna'!L390+'Perfil - externa'!L388)</f>
        <v>0</v>
      </c>
      <c r="M390" s="320">
        <f>IF('Perfil - interna'!M390+'Perfil - externa'!M388=0,0,'Perfil - interna'!M390+'Perfil - externa'!M388)</f>
        <v>9311049.8181007318</v>
      </c>
      <c r="N390" s="320">
        <f>IF('Perfil - interna'!N390+'Perfil - externa'!N388=0,0,'Perfil - interna'!N390+'Perfil - externa'!N388)</f>
        <v>36697717.432689764</v>
      </c>
      <c r="O390" s="320">
        <f>IF('Perfil - interna'!O390+'Perfil - externa'!O388=0,0,'Perfil - interna'!O390+'Perfil - externa'!O388)</f>
        <v>39862047.852532849</v>
      </c>
      <c r="P390" s="320">
        <f>IF('Perfil - interna'!P390+'Perfil - externa'!P388=0,0,'Perfil - interna'!P390+'Perfil - externa'!P388)</f>
        <v>35704255.420089304</v>
      </c>
      <c r="Q390" s="320">
        <f>IF('Perfil - interna'!Q390+'Perfil - externa'!Q388=0,0,'Perfil - interna'!Q390+'Perfil - externa'!Q388)</f>
        <v>34557804.925887041</v>
      </c>
      <c r="R390" s="320">
        <f>IF('Perfil - interna'!R390+'Perfil - externa'!R388=0,0,'Perfil - interna'!R390+'Perfil - externa'!R388)</f>
        <v>21141529.399032086</v>
      </c>
      <c r="S390" s="320">
        <f>IF('Perfil - interna'!S390+'Perfil - externa'!S388=0,0,'Perfil - interna'!S390+'Perfil - externa'!S388)</f>
        <v>15890478.759266032</v>
      </c>
      <c r="T390" s="320">
        <f>IF('Perfil - interna'!T390+'Perfil - externa'!T388=0,0,'Perfil - interna'!T390+'Perfil - externa'!T388)</f>
        <v>16233248.443070371</v>
      </c>
      <c r="U390" s="320">
        <f>IF('Perfil - interna'!U390+'Perfil - externa'!U388=0,0,'Perfil - interna'!U390+'Perfil - externa'!U388)</f>
        <v>11451533.284377439</v>
      </c>
      <c r="V390" s="320">
        <f>IF('Perfil - interna'!V390+'Perfil - externa'!V388=0,0,'Perfil - interna'!V390+'Perfil - externa'!V388)</f>
        <v>16056395.987951774</v>
      </c>
      <c r="W390" s="320">
        <f>IF('Perfil - interna'!W390+'Perfil - externa'!W388=0,0,'Perfil - interna'!W390+'Perfil - externa'!W388)</f>
        <v>10738449.209545033</v>
      </c>
      <c r="X390" s="320">
        <f>IF('Perfil - interna'!X390+'Perfil - externa'!X388=0,0,'Perfil - interna'!X390+'Perfil - externa'!X388)</f>
        <v>4595851.2063873587</v>
      </c>
      <c r="Y390" s="320">
        <f>IF('Perfil - interna'!Y390+'Perfil - externa'!Y388=0,0,'Perfil - interna'!Y390+'Perfil - externa'!Y388)</f>
        <v>14838762.028114621</v>
      </c>
      <c r="Z390" s="320">
        <f>IF('Perfil - interna'!Z390+'Perfil - externa'!Z388=0,0,'Perfil - interna'!Z390+'Perfil - externa'!Z388)</f>
        <v>22027544.647383742</v>
      </c>
      <c r="AA390" s="320">
        <f>IF('Perfil - interna'!AA390+'Perfil - externa'!AA388=0,0,'Perfil - interna'!AA390+'Perfil - externa'!AA388)</f>
        <v>2033332.8855276608</v>
      </c>
      <c r="AB390" s="320">
        <f>IF('Perfil - interna'!AB390+'Perfil - externa'!AB388=0,0,'Perfil - interna'!AB390+'Perfil - externa'!AB388)</f>
        <v>1586527.56560989</v>
      </c>
      <c r="AC390" s="320">
        <f>IF('Perfil - interna'!AC390+'Perfil - externa'!AC388=0,0,'Perfil - interna'!AC390+'Perfil - externa'!AC388)</f>
        <v>3326081.7594028041</v>
      </c>
      <c r="AD390" s="320">
        <f>IF('Perfil - interna'!AD390+'Perfil - externa'!AD388=0,0,'Perfil - interna'!AD390+'Perfil - externa'!AD388)</f>
        <v>1236731.0370508588</v>
      </c>
      <c r="AE390" s="320">
        <f>IF('Perfil - interna'!AE390+'Perfil - externa'!AE388=0,0,'Perfil - interna'!AE390+'Perfil - externa'!AE388)</f>
        <v>1076345.7358208536</v>
      </c>
      <c r="AF390" s="320">
        <f>IF('Perfil - interna'!AF390+'Perfil - externa'!AF388=0,0,'Perfil - interna'!AF390+'Perfil - externa'!AF388)</f>
        <v>945851.43443428818</v>
      </c>
      <c r="AG390" s="320">
        <f>IF('Perfil - interna'!AG390+'Perfil - externa'!AG388=0,0,'Perfil - interna'!AG390+'Perfil - externa'!AG388)</f>
        <v>885020.73778999737</v>
      </c>
      <c r="AH390" s="320">
        <f>IF('Perfil - interna'!AH390+'Perfil - externa'!AH388=0,0,'Perfil - interna'!AH390+'Perfil - externa'!AH388)</f>
        <v>842825.64541256148</v>
      </c>
      <c r="AI390" s="320">
        <f>IF('Perfil - interna'!AI390+'Perfil - externa'!AI388=0,0,'Perfil - interna'!AI390+'Perfil - externa'!AI388)</f>
        <v>1260464.88495406</v>
      </c>
      <c r="AJ390" s="320">
        <f>IF('Perfil - interna'!AJ390+'Perfil - externa'!AJ388=0,0,'Perfil - interna'!AJ390+'Perfil - externa'!AJ388)</f>
        <v>582716.31215921999</v>
      </c>
      <c r="AK390" s="320">
        <f>IF('Perfil - interna'!AK390+'Perfil - externa'!AK388=0,0,'Perfil - interna'!AK390+'Perfil - externa'!AK388)</f>
        <v>512491.939000062</v>
      </c>
      <c r="AL390" s="320">
        <f>IF('Perfil - interna'!AL390+'Perfil - externa'!AL388=0,0,'Perfil - interna'!AL390+'Perfil - externa'!AL388)</f>
        <v>454718.98469550203</v>
      </c>
      <c r="AM390" s="320">
        <f>IF('Perfil - interna'!AM390+'Perfil - externa'!AM388=0,0,'Perfil - interna'!AM390+'Perfil - externa'!AM388)</f>
        <v>3626011.8980412795</v>
      </c>
      <c r="AN390" s="320">
        <f>IF('Perfil - interna'!AN390+'Perfil - externa'!AN388=0,0,'Perfil - interna'!AN390+'Perfil - externa'!AN388)</f>
        <v>118131.08986994759</v>
      </c>
      <c r="AO390" s="320"/>
      <c r="AP390" s="320"/>
      <c r="AQ390" s="320"/>
      <c r="AR390" s="320"/>
      <c r="AS390" s="320"/>
      <c r="AT390" s="320"/>
      <c r="AU390" s="320"/>
      <c r="AV390" s="320"/>
      <c r="AW390" s="320"/>
      <c r="AX390" s="320"/>
      <c r="AY390" s="320"/>
      <c r="AZ390" s="320"/>
      <c r="BA390" s="320"/>
      <c r="BB390" s="320"/>
      <c r="BC390" s="320"/>
      <c r="BD390" s="320"/>
      <c r="BE390" s="320"/>
      <c r="BF390" s="320"/>
      <c r="BG390" s="320"/>
      <c r="BH390" s="320"/>
      <c r="BI390" s="320"/>
      <c r="BJ390" s="320"/>
      <c r="BK390" s="320"/>
    </row>
    <row r="391" spans="1:63">
      <c r="A391" s="167"/>
      <c r="B391" s="217" t="str">
        <f>Servicio_internaColumna_título_amortizaciones</f>
        <v>Amortizaciones</v>
      </c>
      <c r="C391" s="218"/>
      <c r="D391" s="219"/>
      <c r="E391" s="219"/>
      <c r="F391" s="219">
        <v>0</v>
      </c>
      <c r="G391" s="219">
        <v>0</v>
      </c>
      <c r="H391" s="219">
        <v>0</v>
      </c>
      <c r="I391" s="219">
        <v>0</v>
      </c>
      <c r="J391" s="219">
        <v>0</v>
      </c>
      <c r="K391" s="219">
        <v>0</v>
      </c>
      <c r="L391" s="219">
        <v>0</v>
      </c>
      <c r="M391" s="219">
        <f>IF('Perfil - interna'!M391+'Perfil - externa'!M389=0,0,'Perfil - interna'!M391+'Perfil - externa'!M389)</f>
        <v>3737514.6221732395</v>
      </c>
      <c r="N391" s="219">
        <f>IF('Perfil - interna'!N391+'Perfil - externa'!N389=0,0,'Perfil - interna'!N391+'Perfil - externa'!N389)</f>
        <v>21121988.753342099</v>
      </c>
      <c r="O391" s="219">
        <f>IF('Perfil - interna'!O391+'Perfil - externa'!O389=0,0,'Perfil - interna'!O391+'Perfil - externa'!O389)</f>
        <v>24574101.782595158</v>
      </c>
      <c r="P391" s="219">
        <f>IF('Perfil - interna'!P391+'Perfil - externa'!P389=0,0,'Perfil - interna'!P391+'Perfil - externa'!P389)</f>
        <v>22049381.826682363</v>
      </c>
      <c r="Q391" s="219">
        <f>IF('Perfil - interna'!Q391+'Perfil - externa'!Q389=0,0,'Perfil - interna'!Q391+'Perfil - externa'!Q389)</f>
        <v>27586987.462467123</v>
      </c>
      <c r="R391" s="219">
        <f>IF('Perfil - interna'!R391+'Perfil - externa'!R389=0,0,'Perfil - interna'!R391+'Perfil - externa'!R389)</f>
        <v>13765434.439263565</v>
      </c>
      <c r="S391" s="219">
        <f>IF('Perfil - interna'!S391+'Perfil - externa'!S389=0,0,'Perfil - interna'!S391+'Perfil - externa'!S389)</f>
        <v>9612052.1752342731</v>
      </c>
      <c r="T391" s="219">
        <f>IF('Perfil - interna'!T391+'Perfil - externa'!T389=0,0,'Perfil - interna'!T391+'Perfil - externa'!T389)</f>
        <v>11992495.853220539</v>
      </c>
      <c r="U391" s="219">
        <f>IF('Perfil - interna'!U391+'Perfil - externa'!U389=0,0,'Perfil - interna'!U391+'Perfil - externa'!U389)</f>
        <v>6785249.4479296198</v>
      </c>
      <c r="V391" s="219">
        <f>IF('Perfil - interna'!V391+'Perfil - externa'!V389=0,0,'Perfil - interna'!V391+'Perfil - externa'!V389)</f>
        <v>11406454.956592049</v>
      </c>
      <c r="W391" s="219">
        <f>IF('Perfil - interna'!W391+'Perfil - externa'!W389=0,0,'Perfil - interna'!W391+'Perfil - externa'!W389)</f>
        <v>7478624.164566149</v>
      </c>
      <c r="X391" s="219">
        <f>IF('Perfil - interna'!X391+'Perfil - externa'!X389=0,0,'Perfil - interna'!X391+'Perfil - externa'!X389)</f>
        <v>1221701.0277261902</v>
      </c>
      <c r="Y391" s="219">
        <f>IF('Perfil - interna'!Y391+'Perfil - externa'!Y389=0,0,'Perfil - interna'!Y391+'Perfil - externa'!Y389)</f>
        <v>11501261.185687998</v>
      </c>
      <c r="Z391" s="219">
        <f>IF('Perfil - interna'!Z391+'Perfil - externa'!Z389=0,0,'Perfil - interna'!Z391+'Perfil - externa'!Z389)</f>
        <v>19742252.418683179</v>
      </c>
      <c r="AA391" s="219">
        <f>IF('Perfil - interna'!AA391+'Perfil - externa'!AA389=0,0,'Perfil - interna'!AA391+'Perfil - externa'!AA389)</f>
        <v>1310605.0609743902</v>
      </c>
      <c r="AB391" s="219">
        <f>IF('Perfil - interna'!AB391+'Perfil - externa'!AB389=0,0,'Perfil - interna'!AB391+'Perfil - externa'!AB389)</f>
        <v>3184794.95970219</v>
      </c>
      <c r="AC391" s="219">
        <f>IF('Perfil - interna'!AC391+'Perfil - externa'!AC389=0,0,'Perfil - interna'!AC391+'Perfil - externa'!AC389)</f>
        <v>2820789.0423399899</v>
      </c>
      <c r="AD391" s="219">
        <f>IF('Perfil - interna'!AD391+'Perfil - externa'!AD389=0,0,'Perfil - interna'!AD391+'Perfil - externa'!AD389)</f>
        <v>782203.5951766799</v>
      </c>
      <c r="AE391" s="219">
        <f>IF('Perfil - interna'!AE391+'Perfil - externa'!AE389=0,0,'Perfil - interna'!AE391+'Perfil - externa'!AE389)</f>
        <v>641382.31532366993</v>
      </c>
      <c r="AF391" s="219">
        <f>IF('Perfil - interna'!AF391+'Perfil - externa'!AF389=0,0,'Perfil - interna'!AF391+'Perfil - externa'!AF389)</f>
        <v>526723.40153738996</v>
      </c>
      <c r="AG391" s="219">
        <f>IF('Perfil - interna'!AG391+'Perfil - externa'!AG389=0,0,'Perfil - interna'!AG391+'Perfil - externa'!AG389)</f>
        <v>482724.15443067002</v>
      </c>
      <c r="AH391" s="219">
        <f>IF('Perfil - interna'!AH391+'Perfil - externa'!AH389=0,0,'Perfil - interna'!AH391+'Perfil - externa'!AH389)</f>
        <v>418955.34525041998</v>
      </c>
      <c r="AI391" s="219">
        <f>IF('Perfil - interna'!AI391+'Perfil - externa'!AI389=0,0,'Perfil - interna'!AI391+'Perfil - externa'!AI389)</f>
        <v>921530.92353780009</v>
      </c>
      <c r="AJ391" s="219">
        <f>IF('Perfil - interna'!AJ391+'Perfil - externa'!AJ389=0,0,'Perfil - interna'!AJ391+'Perfil - externa'!AJ389)</f>
        <v>232967.92095564</v>
      </c>
      <c r="AK391" s="219">
        <f>IF('Perfil - interna'!AK391+'Perfil - externa'!AK389=0,0,'Perfil - interna'!AK391+'Perfil - externa'!AK389)</f>
        <v>166139.98507692001</v>
      </c>
      <c r="AL391" s="219">
        <f>IF('Perfil - interna'!AL391+'Perfil - externa'!AL389=0,0,'Perfil - interna'!AL391+'Perfil - externa'!AL389)</f>
        <v>110166.82855047</v>
      </c>
      <c r="AM391" s="219">
        <f>IF('Perfil - interna'!AM391+'Perfil - externa'!AM389=0,0,'Perfil - interna'!AM391+'Perfil - externa'!AM389)</f>
        <v>3543876.4732699506</v>
      </c>
      <c r="AN391" s="219">
        <f>IF('Perfil - interna'!AN391+'Perfil - externa'!AN389=0,0,'Perfil - interna'!AN391+'Perfil - externa'!AN389)</f>
        <v>9505.6111930199968</v>
      </c>
      <c r="AO391" s="219"/>
      <c r="AP391" s="219"/>
      <c r="AQ391" s="219"/>
      <c r="AR391" s="219"/>
      <c r="AS391" s="219"/>
      <c r="AT391" s="219"/>
      <c r="AU391" s="219"/>
      <c r="AV391" s="219"/>
      <c r="AW391" s="219"/>
      <c r="AX391" s="219"/>
      <c r="AY391" s="219"/>
      <c r="AZ391" s="219"/>
      <c r="BA391" s="219"/>
      <c r="BB391" s="219"/>
      <c r="BC391" s="219"/>
      <c r="BD391" s="219"/>
      <c r="BE391" s="219"/>
      <c r="BF391" s="219"/>
      <c r="BG391" s="219"/>
      <c r="BH391" s="219"/>
      <c r="BI391" s="219"/>
      <c r="BJ391" s="219"/>
      <c r="BK391" s="219"/>
    </row>
    <row r="392" spans="1:63">
      <c r="A392" s="170">
        <v>40787</v>
      </c>
      <c r="B392" s="220" t="str">
        <f>Servicio_internaColumna_título_intereses</f>
        <v>Intereses</v>
      </c>
      <c r="C392" s="221"/>
      <c r="D392" s="222"/>
      <c r="E392" s="222"/>
      <c r="F392" s="222">
        <v>0</v>
      </c>
      <c r="G392" s="222">
        <v>0</v>
      </c>
      <c r="H392" s="222">
        <v>0</v>
      </c>
      <c r="I392" s="222">
        <v>0</v>
      </c>
      <c r="J392" s="222">
        <v>0</v>
      </c>
      <c r="K392" s="222">
        <v>0</v>
      </c>
      <c r="L392" s="222">
        <v>0</v>
      </c>
      <c r="M392" s="222">
        <f>IF('Perfil - interna'!M392+'Perfil - externa'!M390=0,0,'Perfil - interna'!M392+'Perfil - externa'!M390)</f>
        <v>3527781.8838249519</v>
      </c>
      <c r="N392" s="222">
        <f>IF('Perfil - interna'!N392+'Perfil - externa'!N390=0,0,'Perfil - interna'!N392+'Perfil - externa'!N390)</f>
        <v>15427361.612090496</v>
      </c>
      <c r="O392" s="222">
        <f>IF('Perfil - interna'!O392+'Perfil - externa'!O390=0,0,'Perfil - interna'!O392+'Perfil - externa'!O390)</f>
        <v>13852393.607890017</v>
      </c>
      <c r="P392" s="222">
        <f>IF('Perfil - interna'!P392+'Perfil - externa'!P390=0,0,'Perfil - interna'!P392+'Perfil - externa'!P390)</f>
        <v>12242251.470764484</v>
      </c>
      <c r="Q392" s="222">
        <f>IF('Perfil - interna'!Q392+'Perfil - externa'!Q390=0,0,'Perfil - interna'!Q392+'Perfil - externa'!Q390)</f>
        <v>10265067.000621453</v>
      </c>
      <c r="R392" s="222">
        <f>IF('Perfil - interna'!R392+'Perfil - externa'!R390=0,0,'Perfil - interna'!R392+'Perfil - externa'!R390)</f>
        <v>8230498.165791899</v>
      </c>
      <c r="S392" s="222">
        <f>IF('Perfil - interna'!S392+'Perfil - externa'!S390=0,0,'Perfil - interna'!S392+'Perfil - externa'!S390)</f>
        <v>7224871.676615187</v>
      </c>
      <c r="T392" s="222">
        <f>IF('Perfil - interna'!T392+'Perfil - externa'!T390=0,0,'Perfil - interna'!T392+'Perfil - externa'!T390)</f>
        <v>6856195.1963113211</v>
      </c>
      <c r="U392" s="222">
        <f>IF('Perfil - interna'!U392+'Perfil - externa'!U390=0,0,'Perfil - interna'!U392+'Perfil - externa'!U390)</f>
        <v>5507976.4954526825</v>
      </c>
      <c r="V392" s="222">
        <f>IF('Perfil - interna'!V392+'Perfil - externa'!V390=0,0,'Perfil - interna'!V392+'Perfil - externa'!V390)</f>
        <v>5195586.55664628</v>
      </c>
      <c r="W392" s="222">
        <f>IF('Perfil - interna'!W392+'Perfil - externa'!W390=0,0,'Perfil - interna'!W392+'Perfil - externa'!W390)</f>
        <v>4132628.7723528082</v>
      </c>
      <c r="X392" s="222">
        <f>IF('Perfil - interna'!X392+'Perfil - externa'!X390=0,0,'Perfil - interna'!X392+'Perfil - externa'!X390)</f>
        <v>3745764.4872632506</v>
      </c>
      <c r="Y392" s="222">
        <f>IF('Perfil - interna'!Y392+'Perfil - externa'!Y390=0,0,'Perfil - interna'!Y392+'Perfil - externa'!Y390)</f>
        <v>3717789.9888369967</v>
      </c>
      <c r="Z392" s="222">
        <f>IF('Perfil - interna'!Z392+'Perfil - externa'!Z390=0,0,'Perfil - interna'!Z392+'Perfil - externa'!Z390)</f>
        <v>2887608.9593829489</v>
      </c>
      <c r="AA392" s="222">
        <f>IF('Perfil - interna'!AA392+'Perfil - externa'!AA390=0,0,'Perfil - interna'!AA392+'Perfil - externa'!AA390)</f>
        <v>1086448.9109936999</v>
      </c>
      <c r="AB392" s="222">
        <f>IF('Perfil - interna'!AB392+'Perfil - externa'!AB390=0,0,'Perfil - interna'!AB392+'Perfil - externa'!AB390)</f>
        <v>858465.25021238986</v>
      </c>
      <c r="AC392" s="222">
        <f>IF('Perfil - interna'!AC392+'Perfil - externa'!AC390=0,0,'Perfil - interna'!AC392+'Perfil - externa'!AC390)</f>
        <v>800646.24259437004</v>
      </c>
      <c r="AD392" s="222">
        <f>IF('Perfil - interna'!AD392+'Perfil - externa'!AD390=0,0,'Perfil - interna'!AD392+'Perfil - externa'!AD390)</f>
        <v>581923.41621414002</v>
      </c>
      <c r="AE392" s="222">
        <f>IF('Perfil - interna'!AE392+'Perfil - externa'!AE390=0,0,'Perfil - interna'!AE392+'Perfil - externa'!AE390)</f>
        <v>551401.26369836996</v>
      </c>
      <c r="AF392" s="222">
        <f>IF('Perfil - interna'!AF392+'Perfil - externa'!AF390=0,0,'Perfil - interna'!AF392+'Perfil - externa'!AF390)</f>
        <v>526367.64858659997</v>
      </c>
      <c r="AG392" s="222">
        <f>IF('Perfil - interna'!AG392+'Perfil - externa'!AG390=0,0,'Perfil - interna'!AG392+'Perfil - externa'!AG390)</f>
        <v>505534.27846808999</v>
      </c>
      <c r="AH392" s="222">
        <f>IF('Perfil - interna'!AH392+'Perfil - externa'!AH390=0,0,'Perfil - interna'!AH392+'Perfil - externa'!AH390)</f>
        <v>485937.21386309993</v>
      </c>
      <c r="AI392" s="222">
        <f>IF('Perfil - interna'!AI392+'Perfil - externa'!AI390=0,0,'Perfil - interna'!AI392+'Perfil - externa'!AI390)</f>
        <v>437203.47863522999</v>
      </c>
      <c r="AJ392" s="222">
        <f>IF('Perfil - interna'!AJ392+'Perfil - externa'!AJ390=0,0,'Perfil - interna'!AJ392+'Perfil - externa'!AJ390)</f>
        <v>394170.86569694994</v>
      </c>
      <c r="AK392" s="222">
        <f>IF('Perfil - interna'!AK392+'Perfil - externa'!AK390=0,0,'Perfil - interna'!AK392+'Perfil - externa'!AK390)</f>
        <v>386282.85896600998</v>
      </c>
      <c r="AL392" s="222">
        <f>IF('Perfil - interna'!AL392+'Perfil - externa'!AL390=0,0,'Perfil - interna'!AL392+'Perfil - externa'!AL390)</f>
        <v>380850.41441288998</v>
      </c>
      <c r="AM392" s="222">
        <f>IF('Perfil - interna'!AM392+'Perfil - externa'!AM390=0,0,'Perfil - interna'!AM392+'Perfil - externa'!AM390)</f>
        <v>377494.51561686001</v>
      </c>
      <c r="AN392" s="222">
        <f>IF('Perfil - interna'!AN392+'Perfil - externa'!AN390=0,0,'Perfil - interna'!AN392+'Perfil - externa'!AN390)</f>
        <v>118251.28886592</v>
      </c>
      <c r="AO392" s="222"/>
      <c r="AP392" s="222"/>
      <c r="AQ392" s="222"/>
      <c r="AR392" s="222"/>
      <c r="AS392" s="222"/>
      <c r="AT392" s="222"/>
      <c r="AU392" s="222"/>
      <c r="AV392" s="222"/>
      <c r="AW392" s="222"/>
      <c r="AX392" s="222"/>
      <c r="AY392" s="222"/>
      <c r="AZ392" s="222"/>
      <c r="BA392" s="222"/>
      <c r="BB392" s="222"/>
      <c r="BC392" s="222"/>
      <c r="BD392" s="222"/>
      <c r="BE392" s="222"/>
      <c r="BF392" s="222"/>
      <c r="BG392" s="222"/>
      <c r="BH392" s="222"/>
      <c r="BI392" s="222"/>
      <c r="BJ392" s="222"/>
      <c r="BK392" s="222"/>
    </row>
    <row r="393" spans="1:63">
      <c r="A393" s="171"/>
      <c r="B393" s="318" t="str">
        <f>Servicio_internaColumna_título_total</f>
        <v>Total</v>
      </c>
      <c r="C393" s="319"/>
      <c r="D393" s="320"/>
      <c r="E393" s="320"/>
      <c r="F393" s="320">
        <v>0</v>
      </c>
      <c r="G393" s="320">
        <v>0</v>
      </c>
      <c r="H393" s="320">
        <v>0</v>
      </c>
      <c r="I393" s="320">
        <v>0</v>
      </c>
      <c r="J393" s="320">
        <v>0</v>
      </c>
      <c r="K393" s="320">
        <v>0</v>
      </c>
      <c r="L393" s="320">
        <v>0</v>
      </c>
      <c r="M393" s="320">
        <f>IF('Perfil - interna'!M393+'Perfil - externa'!M391=0,0,'Perfil - interna'!M393+'Perfil - externa'!M391)</f>
        <v>7265296.5059981914</v>
      </c>
      <c r="N393" s="320">
        <f>IF('Perfil - interna'!N393+'Perfil - externa'!N391=0,0,'Perfil - interna'!N393+'Perfil - externa'!N391)</f>
        <v>36549350.365432598</v>
      </c>
      <c r="O393" s="320">
        <f>IF('Perfil - interna'!O393+'Perfil - externa'!O391=0,0,'Perfil - interna'!O393+'Perfil - externa'!O391)</f>
        <v>38426495.390485175</v>
      </c>
      <c r="P393" s="320">
        <f>IF('Perfil - interna'!P393+'Perfil - externa'!P391=0,0,'Perfil - interna'!P393+'Perfil - externa'!P391)</f>
        <v>34291633.297446847</v>
      </c>
      <c r="Q393" s="320">
        <f>IF('Perfil - interna'!Q393+'Perfil - externa'!Q391=0,0,'Perfil - interna'!Q393+'Perfil - externa'!Q391)</f>
        <v>37852054.463088572</v>
      </c>
      <c r="R393" s="320">
        <f>IF('Perfil - interna'!R393+'Perfil - externa'!R391=0,0,'Perfil - interna'!R393+'Perfil - externa'!R391)</f>
        <v>21995932.605055466</v>
      </c>
      <c r="S393" s="320">
        <f>IF('Perfil - interna'!S393+'Perfil - externa'!S391=0,0,'Perfil - interna'!S393+'Perfil - externa'!S391)</f>
        <v>16836923.851849459</v>
      </c>
      <c r="T393" s="320">
        <f>IF('Perfil - interna'!T393+'Perfil - externa'!T391=0,0,'Perfil - interna'!T393+'Perfil - externa'!T391)</f>
        <v>18848691.049531862</v>
      </c>
      <c r="U393" s="320">
        <f>IF('Perfil - interna'!U393+'Perfil - externa'!U391=0,0,'Perfil - interna'!U393+'Perfil - externa'!U391)</f>
        <v>12293225.943382302</v>
      </c>
      <c r="V393" s="320">
        <f>IF('Perfil - interna'!V393+'Perfil - externa'!V391=0,0,'Perfil - interna'!V393+'Perfil - externa'!V391)</f>
        <v>16602041.513238329</v>
      </c>
      <c r="W393" s="320">
        <f>IF('Perfil - interna'!W393+'Perfil - externa'!W391=0,0,'Perfil - interna'!W393+'Perfil - externa'!W391)</f>
        <v>11611252.936918957</v>
      </c>
      <c r="X393" s="320">
        <f>IF('Perfil - interna'!X393+'Perfil - externa'!X391=0,0,'Perfil - interna'!X393+'Perfil - externa'!X391)</f>
        <v>4967465.5149894413</v>
      </c>
      <c r="Y393" s="320">
        <f>IF('Perfil - interna'!Y393+'Perfil - externa'!Y391=0,0,'Perfil - interna'!Y393+'Perfil - externa'!Y391)</f>
        <v>15219051.174524996</v>
      </c>
      <c r="Z393" s="320">
        <f>IF('Perfil - interna'!Z393+'Perfil - externa'!Z391=0,0,'Perfil - interna'!Z393+'Perfil - externa'!Z391)</f>
        <v>22629861.37806613</v>
      </c>
      <c r="AA393" s="320">
        <f>IF('Perfil - interna'!AA393+'Perfil - externa'!AA391=0,0,'Perfil - interna'!AA393+'Perfil - externa'!AA391)</f>
        <v>2397053.9719680902</v>
      </c>
      <c r="AB393" s="320">
        <f>IF('Perfil - interna'!AB393+'Perfil - externa'!AB391=0,0,'Perfil - interna'!AB393+'Perfil - externa'!AB391)</f>
        <v>4043260.20991458</v>
      </c>
      <c r="AC393" s="320">
        <f>IF('Perfil - interna'!AC393+'Perfil - externa'!AC391=0,0,'Perfil - interna'!AC393+'Perfil - externa'!AC391)</f>
        <v>3621435.2849343601</v>
      </c>
      <c r="AD393" s="320">
        <f>IF('Perfil - interna'!AD393+'Perfil - externa'!AD391=0,0,'Perfil - interna'!AD393+'Perfil - externa'!AD391)</f>
        <v>1364127.0113908199</v>
      </c>
      <c r="AE393" s="320">
        <f>IF('Perfil - interna'!AE393+'Perfil - externa'!AE391=0,0,'Perfil - interna'!AE393+'Perfil - externa'!AE391)</f>
        <v>1192783.5790220399</v>
      </c>
      <c r="AF393" s="320">
        <f>IF('Perfil - interna'!AF393+'Perfil - externa'!AF391=0,0,'Perfil - interna'!AF393+'Perfil - externa'!AF391)</f>
        <v>1053091.05012399</v>
      </c>
      <c r="AG393" s="320">
        <f>IF('Perfil - interna'!AG393+'Perfil - externa'!AG391=0,0,'Perfil - interna'!AG393+'Perfil - externa'!AG391)</f>
        <v>988258.43289876007</v>
      </c>
      <c r="AH393" s="320">
        <f>IF('Perfil - interna'!AH393+'Perfil - externa'!AH391=0,0,'Perfil - interna'!AH393+'Perfil - externa'!AH391)</f>
        <v>904892.55911351996</v>
      </c>
      <c r="AI393" s="320">
        <f>IF('Perfil - interna'!AI393+'Perfil - externa'!AI391=0,0,'Perfil - interna'!AI393+'Perfil - externa'!AI391)</f>
        <v>1358734.4021730302</v>
      </c>
      <c r="AJ393" s="320">
        <f>IF('Perfil - interna'!AJ393+'Perfil - externa'!AJ391=0,0,'Perfil - interna'!AJ393+'Perfil - externa'!AJ391)</f>
        <v>627138.78665258992</v>
      </c>
      <c r="AK393" s="320">
        <f>IF('Perfil - interna'!AK393+'Perfil - externa'!AK391=0,0,'Perfil - interna'!AK393+'Perfil - externa'!AK391)</f>
        <v>552422.84404293005</v>
      </c>
      <c r="AL393" s="320">
        <f>IF('Perfil - interna'!AL393+'Perfil - externa'!AL391=0,0,'Perfil - interna'!AL393+'Perfil - externa'!AL391)</f>
        <v>491017.24296335998</v>
      </c>
      <c r="AM393" s="320">
        <f>IF('Perfil - interna'!AM393+'Perfil - externa'!AM391=0,0,'Perfil - interna'!AM393+'Perfil - externa'!AM391)</f>
        <v>3921370.9888868108</v>
      </c>
      <c r="AN393" s="320">
        <f>IF('Perfil - interna'!AN393+'Perfil - externa'!AN391=0,0,'Perfil - interna'!AN393+'Perfil - externa'!AN391)</f>
        <v>127756.90005893999</v>
      </c>
      <c r="AO393" s="320"/>
      <c r="AP393" s="320"/>
      <c r="AQ393" s="320"/>
      <c r="AR393" s="320"/>
      <c r="AS393" s="320"/>
      <c r="AT393" s="320"/>
      <c r="AU393" s="320"/>
      <c r="AV393" s="320"/>
      <c r="AW393" s="320"/>
      <c r="AX393" s="320"/>
      <c r="AY393" s="320"/>
      <c r="AZ393" s="320"/>
      <c r="BA393" s="320"/>
      <c r="BB393" s="320"/>
      <c r="BC393" s="320"/>
      <c r="BD393" s="320"/>
      <c r="BE393" s="320"/>
      <c r="BF393" s="320"/>
      <c r="BG393" s="320"/>
      <c r="BH393" s="320"/>
      <c r="BI393" s="320"/>
      <c r="BJ393" s="320"/>
      <c r="BK393" s="320"/>
    </row>
    <row r="394" spans="1:63">
      <c r="A394" s="167"/>
      <c r="B394" s="217" t="str">
        <f>Servicio_internaColumna_título_amortizaciones</f>
        <v>Amortizaciones</v>
      </c>
      <c r="C394" s="218"/>
      <c r="D394" s="219"/>
      <c r="E394" s="219"/>
      <c r="F394" s="219">
        <v>0</v>
      </c>
      <c r="G394" s="219">
        <v>0</v>
      </c>
      <c r="H394" s="219">
        <v>0</v>
      </c>
      <c r="I394" s="219">
        <v>0</v>
      </c>
      <c r="J394" s="219">
        <v>0</v>
      </c>
      <c r="K394" s="219">
        <v>0</v>
      </c>
      <c r="L394" s="219">
        <v>0</v>
      </c>
      <c r="M394" s="219">
        <f>IF('Perfil - interna'!M394+'Perfil - externa'!M392=0,0,'Perfil - interna'!M394+'Perfil - externa'!M392)</f>
        <v>2702500.9285801561</v>
      </c>
      <c r="N394" s="219">
        <f>IF('Perfil - interna'!N394+'Perfil - externa'!N392=0,0,'Perfil - interna'!N394+'Perfil - externa'!N392)</f>
        <v>21706029.95490979</v>
      </c>
      <c r="O394" s="219">
        <f>IF('Perfil - interna'!O394+'Perfil - externa'!O392=0,0,'Perfil - interna'!O394+'Perfil - externa'!O392)</f>
        <v>24484647.365884241</v>
      </c>
      <c r="P394" s="219">
        <f>IF('Perfil - interna'!P394+'Perfil - externa'!P392=0,0,'Perfil - interna'!P394+'Perfil - externa'!P392)</f>
        <v>21931048.656219088</v>
      </c>
      <c r="Q394" s="219">
        <f>IF('Perfil - interna'!Q394+'Perfil - externa'!Q392=0,0,'Perfil - interna'!Q394+'Perfil - externa'!Q392)</f>
        <v>27695027.644037858</v>
      </c>
      <c r="R394" s="219">
        <f>IF('Perfil - interna'!R394+'Perfil - externa'!R392=0,0,'Perfil - interna'!R394+'Perfil - externa'!R392)</f>
        <v>14190305.04784541</v>
      </c>
      <c r="S394" s="219">
        <f>IF('Perfil - interna'!S394+'Perfil - externa'!S392=0,0,'Perfil - interna'!S394+'Perfil - externa'!S392)</f>
        <v>9563228.4079359733</v>
      </c>
      <c r="T394" s="219">
        <f>IF('Perfil - interna'!T394+'Perfil - externa'!T392=0,0,'Perfil - interna'!T394+'Perfil - externa'!T392)</f>
        <v>12119843.763142033</v>
      </c>
      <c r="U394" s="219">
        <f>IF('Perfil - interna'!U394+'Perfil - externa'!U392=0,0,'Perfil - interna'!U394+'Perfil - externa'!U392)</f>
        <v>6565868.6386992913</v>
      </c>
      <c r="V394" s="219">
        <f>IF('Perfil - interna'!V394+'Perfil - externa'!V392=0,0,'Perfil - interna'!V394+'Perfil - externa'!V392)</f>
        <v>11304947.657075925</v>
      </c>
      <c r="W394" s="219">
        <f>IF('Perfil - interna'!W394+'Perfil - externa'!W392=0,0,'Perfil - interna'!W394+'Perfil - externa'!W392)</f>
        <v>7223257.0236015366</v>
      </c>
      <c r="X394" s="219">
        <f>IF('Perfil - interna'!X394+'Perfil - externa'!X392=0,0,'Perfil - interna'!X394+'Perfil - externa'!X392)</f>
        <v>1180090.4242355851</v>
      </c>
      <c r="Y394" s="219">
        <f>IF('Perfil - interna'!Y394+'Perfil - externa'!Y392=0,0,'Perfil - interna'!Y394+'Perfil - externa'!Y392)</f>
        <v>11577075.811107114</v>
      </c>
      <c r="Z394" s="219">
        <f>IF('Perfil - interna'!Z394+'Perfil - externa'!Z392=0,0,'Perfil - interna'!Z394+'Perfil - externa'!Z392)</f>
        <v>19649025.597723138</v>
      </c>
      <c r="AA394" s="219">
        <f>IF('Perfil - interna'!AA394+'Perfil - externa'!AA392=0,0,'Perfil - interna'!AA394+'Perfil - externa'!AA392)</f>
        <v>1265896.1902282417</v>
      </c>
      <c r="AB394" s="219">
        <f>IF('Perfil - interna'!AB394+'Perfil - externa'!AB392=0,0,'Perfil - interna'!AB394+'Perfil - externa'!AB392)</f>
        <v>3649974.8167527327</v>
      </c>
      <c r="AC394" s="219">
        <f>IF('Perfil - interna'!AC394+'Perfil - externa'!AC392=0,0,'Perfil - interna'!AC394+'Perfil - externa'!AC392)</f>
        <v>2724372.6490156762</v>
      </c>
      <c r="AD394" s="219">
        <f>IF('Perfil - interna'!AD394+'Perfil - externa'!AD392=0,0,'Perfil - interna'!AD394+'Perfil - externa'!AD392)</f>
        <v>755470.4942020654</v>
      </c>
      <c r="AE394" s="219">
        <f>IF('Perfil - interna'!AE394+'Perfil - externa'!AE392=0,0,'Perfil - interna'!AE394+'Perfil - externa'!AE392)</f>
        <v>1178380.9806494741</v>
      </c>
      <c r="AF394" s="219">
        <f>IF('Perfil - interna'!AF394+'Perfil - externa'!AF392=0,0,'Perfil - interna'!AF394+'Perfil - externa'!AF392)</f>
        <v>508723.51153663505</v>
      </c>
      <c r="AG394" s="219">
        <f>IF('Perfil - interna'!AG394+'Perfil - externa'!AG392=0,0,'Perfil - interna'!AG394+'Perfil - externa'!AG392)</f>
        <v>466221.10598406062</v>
      </c>
      <c r="AH394" s="219">
        <f>IF('Perfil - interna'!AH394+'Perfil - externa'!AH392=0,0,'Perfil - interna'!AH394+'Perfil - externa'!AH392)</f>
        <v>404630.720654673</v>
      </c>
      <c r="AI394" s="219">
        <f>IF('Perfil - interna'!AI394+'Perfil - externa'!AI392=0,0,'Perfil - interna'!AI394+'Perfil - externa'!AI392)</f>
        <v>890032.28841585724</v>
      </c>
      <c r="AJ394" s="219">
        <f>IF('Perfil - interna'!AJ394+'Perfil - externa'!AJ392=0,0,'Perfil - interna'!AJ394+'Perfil - externa'!AJ392)</f>
        <v>225006.7894056348</v>
      </c>
      <c r="AK394" s="219">
        <f>IF('Perfil - interna'!AK394+'Perfil - externa'!AK392=0,0,'Perfil - interna'!AK394+'Perfil - externa'!AK392)</f>
        <v>160463.26726037401</v>
      </c>
      <c r="AL394" s="219">
        <f>IF('Perfil - interna'!AL394+'Perfil - externa'!AL392=0,0,'Perfil - interna'!AL394+'Perfil - externa'!AL392)</f>
        <v>106402.2045480384</v>
      </c>
      <c r="AM394" s="219">
        <f>IF('Perfil - interna'!AM394+'Perfil - externa'!AM392=0,0,'Perfil - interna'!AM394+'Perfil - externa'!AM392)</f>
        <v>3422734.3194869435</v>
      </c>
      <c r="AN394" s="219">
        <f>IF('Perfil - interna'!AN394+'Perfil - externa'!AN392=0,0,'Perfil - interna'!AN394+'Perfil - externa'!AN392)</f>
        <v>9180.6759923627978</v>
      </c>
      <c r="AO394" s="219"/>
      <c r="AP394" s="219"/>
      <c r="AQ394" s="219"/>
      <c r="AR394" s="219"/>
      <c r="AS394" s="219"/>
      <c r="AT394" s="219"/>
      <c r="AU394" s="219"/>
      <c r="AV394" s="219"/>
      <c r="AW394" s="219"/>
      <c r="AX394" s="219"/>
      <c r="AY394" s="219"/>
      <c r="AZ394" s="219"/>
      <c r="BA394" s="219"/>
      <c r="BB394" s="219"/>
      <c r="BC394" s="219"/>
      <c r="BD394" s="219"/>
      <c r="BE394" s="219"/>
      <c r="BF394" s="219"/>
      <c r="BG394" s="219"/>
      <c r="BH394" s="219"/>
      <c r="BI394" s="219"/>
      <c r="BJ394" s="219"/>
      <c r="BK394" s="219"/>
    </row>
    <row r="395" spans="1:63">
      <c r="A395" s="170">
        <v>40817</v>
      </c>
      <c r="B395" s="220" t="str">
        <f>Servicio_internaColumna_título_intereses</f>
        <v>Intereses</v>
      </c>
      <c r="C395" s="221"/>
      <c r="D395" s="222"/>
      <c r="E395" s="222"/>
      <c r="F395" s="222">
        <v>0</v>
      </c>
      <c r="G395" s="222">
        <v>0</v>
      </c>
      <c r="H395" s="222">
        <v>0</v>
      </c>
      <c r="I395" s="222">
        <v>0</v>
      </c>
      <c r="J395" s="222">
        <v>0</v>
      </c>
      <c r="K395" s="222">
        <v>0</v>
      </c>
      <c r="L395" s="222">
        <v>0</v>
      </c>
      <c r="M395" s="222">
        <f>IF('Perfil - interna'!M395+'Perfil - externa'!M393=0,0,'Perfil - interna'!M395+'Perfil - externa'!M393)</f>
        <v>1021279.2515837429</v>
      </c>
      <c r="N395" s="222">
        <f>IF('Perfil - interna'!N395+'Perfil - externa'!N393=0,0,'Perfil - interna'!N395+'Perfil - externa'!N393)</f>
        <v>15481784.909343945</v>
      </c>
      <c r="O395" s="222">
        <f>IF('Perfil - interna'!O395+'Perfil - externa'!O393=0,0,'Perfil - interna'!O395+'Perfil - externa'!O393)</f>
        <v>13894775.892041145</v>
      </c>
      <c r="P395" s="222">
        <f>IF('Perfil - interna'!P395+'Perfil - externa'!P393=0,0,'Perfil - interna'!P395+'Perfil - externa'!P393)</f>
        <v>12302803.872661456</v>
      </c>
      <c r="Q395" s="222">
        <f>IF('Perfil - interna'!Q395+'Perfil - externa'!Q393=0,0,'Perfil - interna'!Q395+'Perfil - externa'!Q393)</f>
        <v>10326652.705615392</v>
      </c>
      <c r="R395" s="222">
        <f>IF('Perfil - interna'!R395+'Perfil - externa'!R393=0,0,'Perfil - interna'!R395+'Perfil - externa'!R393)</f>
        <v>8300735.6682938058</v>
      </c>
      <c r="S395" s="222">
        <f>IF('Perfil - interna'!S395+'Perfil - externa'!S393=0,0,'Perfil - interna'!S395+'Perfil - externa'!S393)</f>
        <v>7280082.82537957</v>
      </c>
      <c r="T395" s="222">
        <f>IF('Perfil - interna'!T395+'Perfil - externa'!T393=0,0,'Perfil - interna'!T395+'Perfil - externa'!T393)</f>
        <v>6910235.9434244931</v>
      </c>
      <c r="U395" s="222">
        <f>IF('Perfil - interna'!U395+'Perfil - externa'!U393=0,0,'Perfil - interna'!U395+'Perfil - externa'!U393)</f>
        <v>5545639.9135520533</v>
      </c>
      <c r="V395" s="222">
        <f>IF('Perfil - interna'!V395+'Perfil - externa'!V393=0,0,'Perfil - interna'!V395+'Perfil - externa'!V393)</f>
        <v>5241079.4619569285</v>
      </c>
      <c r="W395" s="222">
        <f>IF('Perfil - interna'!W395+'Perfil - externa'!W393=0,0,'Perfil - interna'!W395+'Perfil - externa'!W393)</f>
        <v>4181075.0381600405</v>
      </c>
      <c r="X395" s="222">
        <f>IF('Perfil - interna'!X395+'Perfil - externa'!X393=0,0,'Perfil - interna'!X395+'Perfil - externa'!X393)</f>
        <v>3802383.7468545027</v>
      </c>
      <c r="Y395" s="222">
        <f>IF('Perfil - interna'!Y395+'Perfil - externa'!Y393=0,0,'Perfil - interna'!Y395+'Perfil - externa'!Y393)</f>
        <v>3777745.6934705009</v>
      </c>
      <c r="Z395" s="222">
        <f>IF('Perfil - interna'!Z395+'Perfil - externa'!Z393=0,0,'Perfil - interna'!Z395+'Perfil - externa'!Z393)</f>
        <v>2932991.315013499</v>
      </c>
      <c r="AA395" s="222">
        <f>IF('Perfil - interna'!AA395+'Perfil - externa'!AA393=0,0,'Perfil - interna'!AA395+'Perfil - externa'!AA393)</f>
        <v>1133262.6089257551</v>
      </c>
      <c r="AB395" s="222">
        <f>IF('Perfil - interna'!AB395+'Perfil - externa'!AB393=0,0,'Perfil - interna'!AB395+'Perfil - externa'!AB393)</f>
        <v>1078617.4170060405</v>
      </c>
      <c r="AC395" s="222">
        <f>IF('Perfil - interna'!AC395+'Perfil - externa'!AC393=0,0,'Perfil - interna'!AC395+'Perfil - externa'!AC393)</f>
        <v>808080.8159209385</v>
      </c>
      <c r="AD395" s="222">
        <f>IF('Perfil - interna'!AD395+'Perfil - externa'!AD393=0,0,'Perfil - interna'!AD395+'Perfil - externa'!AD393)</f>
        <v>595143.31196098076</v>
      </c>
      <c r="AE395" s="222">
        <f>IF('Perfil - interna'!AE395+'Perfil - externa'!AE393=0,0,'Perfil - interna'!AE395+'Perfil - externa'!AE393)</f>
        <v>551330.9096492033</v>
      </c>
      <c r="AF395" s="222">
        <f>IF('Perfil - interna'!AF395+'Perfil - externa'!AF393=0,0,'Perfil - interna'!AF395+'Perfil - externa'!AF393)</f>
        <v>512948.31216781557</v>
      </c>
      <c r="AG395" s="222">
        <f>IF('Perfil - interna'!AG395+'Perfil - externa'!AG393=0,0,'Perfil - interna'!AG395+'Perfil - externa'!AG393)</f>
        <v>491940.38718877971</v>
      </c>
      <c r="AH395" s="222">
        <f>IF('Perfil - interna'!AH395+'Perfil - externa'!AH393=0,0,'Perfil - interna'!AH395+'Perfil - externa'!AH393)</f>
        <v>472633.02637737239</v>
      </c>
      <c r="AI395" s="222">
        <f>IF('Perfil - interna'!AI395+'Perfil - externa'!AI393=0,0,'Perfil - interna'!AI395+'Perfil - externa'!AI393)</f>
        <v>424491.47549318039</v>
      </c>
      <c r="AJ395" s="222">
        <f>IF('Perfil - interna'!AJ395+'Perfil - externa'!AJ393=0,0,'Perfil - interna'!AJ395+'Perfil - externa'!AJ393)</f>
        <v>382233.04338583077</v>
      </c>
      <c r="AK395" s="222">
        <f>IF('Perfil - interna'!AK395+'Perfil - externa'!AK393=0,0,'Perfil - interna'!AK395+'Perfil - externa'!AK393)</f>
        <v>373995.0017713554</v>
      </c>
      <c r="AL395" s="222">
        <f>IF('Perfil - interna'!AL395+'Perfil - externa'!AL393=0,0,'Perfil - interna'!AL395+'Perfil - externa'!AL393)</f>
        <v>368207.22643141617</v>
      </c>
      <c r="AM395" s="222">
        <f>IF('Perfil - interna'!AM395+'Perfil - externa'!AM393=0,0,'Perfil - interna'!AM395+'Perfil - externa'!AM393)</f>
        <v>364629.89897309215</v>
      </c>
      <c r="AN395" s="222">
        <f>IF('Perfil - interna'!AN395+'Perfil - externa'!AN393=0,0,'Perfil - interna'!AN395+'Perfil - externa'!AN393)</f>
        <v>114209.04418586878</v>
      </c>
      <c r="AO395" s="222"/>
      <c r="AP395" s="222"/>
      <c r="AQ395" s="222"/>
      <c r="AR395" s="222"/>
      <c r="AS395" s="222"/>
      <c r="AT395" s="222"/>
      <c r="AU395" s="222"/>
      <c r="AV395" s="222"/>
      <c r="AW395" s="222"/>
      <c r="AX395" s="222"/>
      <c r="AY395" s="222"/>
      <c r="AZ395" s="222"/>
      <c r="BA395" s="222"/>
      <c r="BB395" s="222"/>
      <c r="BC395" s="222"/>
      <c r="BD395" s="222"/>
      <c r="BE395" s="222"/>
      <c r="BF395" s="222"/>
      <c r="BG395" s="222"/>
      <c r="BH395" s="222"/>
      <c r="BI395" s="222"/>
      <c r="BJ395" s="222"/>
      <c r="BK395" s="222"/>
    </row>
    <row r="396" spans="1:63">
      <c r="A396" s="171"/>
      <c r="B396" s="318" t="str">
        <f>Servicio_internaColumna_título_total</f>
        <v>Total</v>
      </c>
      <c r="C396" s="319"/>
      <c r="D396" s="320"/>
      <c r="E396" s="320"/>
      <c r="F396" s="320">
        <v>0</v>
      </c>
      <c r="G396" s="320">
        <v>0</v>
      </c>
      <c r="H396" s="320">
        <v>0</v>
      </c>
      <c r="I396" s="320">
        <v>0</v>
      </c>
      <c r="J396" s="320">
        <v>0</v>
      </c>
      <c r="K396" s="320">
        <v>0</v>
      </c>
      <c r="L396" s="320">
        <v>0</v>
      </c>
      <c r="M396" s="320">
        <f>IF('Perfil - interna'!M396+'Perfil - externa'!M394=0,0,'Perfil - interna'!M396+'Perfil - externa'!M394)</f>
        <v>3723780.1801638994</v>
      </c>
      <c r="N396" s="320">
        <f>IF('Perfil - interna'!N396+'Perfil - externa'!N394=0,0,'Perfil - interna'!N396+'Perfil - externa'!N394)</f>
        <v>37187814.86425373</v>
      </c>
      <c r="O396" s="320">
        <f>IF('Perfil - interna'!O396+'Perfil - externa'!O394=0,0,'Perfil - interna'!O396+'Perfil - externa'!O394)</f>
        <v>38379423.257925384</v>
      </c>
      <c r="P396" s="320">
        <f>IF('Perfil - interna'!P396+'Perfil - externa'!P394=0,0,'Perfil - interna'!P396+'Perfil - externa'!P394)</f>
        <v>34233852.528880537</v>
      </c>
      <c r="Q396" s="320">
        <f>IF('Perfil - interna'!Q396+'Perfil - externa'!Q394=0,0,'Perfil - interna'!Q396+'Perfil - externa'!Q394)</f>
        <v>38021680.349653251</v>
      </c>
      <c r="R396" s="320">
        <f>IF('Perfil - interna'!R396+'Perfil - externa'!R394=0,0,'Perfil - interna'!R396+'Perfil - externa'!R394)</f>
        <v>22491040.71613922</v>
      </c>
      <c r="S396" s="320">
        <f>IF('Perfil - interna'!S396+'Perfil - externa'!S394=0,0,'Perfil - interna'!S396+'Perfil - externa'!S394)</f>
        <v>16843311.233315542</v>
      </c>
      <c r="T396" s="320">
        <f>IF('Perfil - interna'!T396+'Perfil - externa'!T394=0,0,'Perfil - interna'!T396+'Perfil - externa'!T394)</f>
        <v>19030079.706566527</v>
      </c>
      <c r="U396" s="320">
        <f>IF('Perfil - interna'!U396+'Perfil - externa'!U394=0,0,'Perfil - interna'!U396+'Perfil - externa'!U394)</f>
        <v>12111508.552251345</v>
      </c>
      <c r="V396" s="320">
        <f>IF('Perfil - interna'!V396+'Perfil - externa'!V394=0,0,'Perfil - interna'!V396+'Perfil - externa'!V394)</f>
        <v>16546027.119032854</v>
      </c>
      <c r="W396" s="320">
        <f>IF('Perfil - interna'!W396+'Perfil - externa'!W394=0,0,'Perfil - interna'!W396+'Perfil - externa'!W394)</f>
        <v>11404332.061761577</v>
      </c>
      <c r="X396" s="320">
        <f>IF('Perfil - interna'!X396+'Perfil - externa'!X394=0,0,'Perfil - interna'!X396+'Perfil - externa'!X394)</f>
        <v>4982474.1710900879</v>
      </c>
      <c r="Y396" s="320">
        <f>IF('Perfil - interna'!Y396+'Perfil - externa'!Y394=0,0,'Perfil - interna'!Y396+'Perfil - externa'!Y394)</f>
        <v>15354821.504577614</v>
      </c>
      <c r="Z396" s="320">
        <f>IF('Perfil - interna'!Z396+'Perfil - externa'!Z394=0,0,'Perfil - interna'!Z396+'Perfil - externa'!Z394)</f>
        <v>22582016.912736636</v>
      </c>
      <c r="AA396" s="320">
        <f>IF('Perfil - interna'!AA396+'Perfil - externa'!AA394=0,0,'Perfil - interna'!AA396+'Perfil - externa'!AA394)</f>
        <v>2399158.7991539966</v>
      </c>
      <c r="AB396" s="320">
        <f>IF('Perfil - interna'!AB396+'Perfil - externa'!AB394=0,0,'Perfil - interna'!AB396+'Perfil - externa'!AB394)</f>
        <v>4728592.2337587737</v>
      </c>
      <c r="AC396" s="320">
        <f>IF('Perfil - interna'!AC396+'Perfil - externa'!AC394=0,0,'Perfil - interna'!AC396+'Perfil - externa'!AC394)</f>
        <v>3532453.464936615</v>
      </c>
      <c r="AD396" s="320">
        <f>IF('Perfil - interna'!AD396+'Perfil - externa'!AD394=0,0,'Perfil - interna'!AD396+'Perfil - externa'!AD394)</f>
        <v>1350613.806163046</v>
      </c>
      <c r="AE396" s="320">
        <f>IF('Perfil - interna'!AE396+'Perfil - externa'!AE394=0,0,'Perfil - interna'!AE396+'Perfil - externa'!AE394)</f>
        <v>1729711.8902986774</v>
      </c>
      <c r="AF396" s="320">
        <f>IF('Perfil - interna'!AF396+'Perfil - externa'!AF394=0,0,'Perfil - interna'!AF396+'Perfil - externa'!AF394)</f>
        <v>1021671.8237044506</v>
      </c>
      <c r="AG396" s="320">
        <f>IF('Perfil - interna'!AG396+'Perfil - externa'!AG394=0,0,'Perfil - interna'!AG396+'Perfil - externa'!AG394)</f>
        <v>958161.49317284033</v>
      </c>
      <c r="AH396" s="320">
        <f>IF('Perfil - interna'!AH396+'Perfil - externa'!AH394=0,0,'Perfil - interna'!AH396+'Perfil - externa'!AH394)</f>
        <v>877263.74703204539</v>
      </c>
      <c r="AI396" s="320">
        <f>IF('Perfil - interna'!AI396+'Perfil - externa'!AI394=0,0,'Perfil - interna'!AI396+'Perfil - externa'!AI394)</f>
        <v>1314523.7639090377</v>
      </c>
      <c r="AJ396" s="320">
        <f>IF('Perfil - interna'!AJ396+'Perfil - externa'!AJ394=0,0,'Perfil - interna'!AJ396+'Perfil - externa'!AJ394)</f>
        <v>607239.83279146557</v>
      </c>
      <c r="AK396" s="320">
        <f>IF('Perfil - interna'!AK396+'Perfil - externa'!AK394=0,0,'Perfil - interna'!AK396+'Perfil - externa'!AK394)</f>
        <v>534458.26903172943</v>
      </c>
      <c r="AL396" s="320">
        <f>IF('Perfil - interna'!AL396+'Perfil - externa'!AL394=0,0,'Perfil - interna'!AL396+'Perfil - externa'!AL394)</f>
        <v>474609.43097945454</v>
      </c>
      <c r="AM396" s="320">
        <f>IF('Perfil - interna'!AM396+'Perfil - externa'!AM394=0,0,'Perfil - interna'!AM396+'Perfil - externa'!AM394)</f>
        <v>3787364.2184600355</v>
      </c>
      <c r="AN396" s="320">
        <f>IF('Perfil - interna'!AN396+'Perfil - externa'!AN394=0,0,'Perfil - interna'!AN396+'Perfil - externa'!AN394)</f>
        <v>123389.72017823158</v>
      </c>
      <c r="AO396" s="320"/>
      <c r="AP396" s="320"/>
      <c r="AQ396" s="320"/>
      <c r="AR396" s="320"/>
      <c r="AS396" s="320"/>
      <c r="AT396" s="320"/>
      <c r="AU396" s="320"/>
      <c r="AV396" s="320"/>
      <c r="AW396" s="320"/>
      <c r="AX396" s="320"/>
      <c r="AY396" s="320"/>
      <c r="AZ396" s="320"/>
      <c r="BA396" s="320"/>
      <c r="BB396" s="320"/>
      <c r="BC396" s="320"/>
      <c r="BD396" s="320"/>
      <c r="BE396" s="320"/>
      <c r="BF396" s="320"/>
      <c r="BG396" s="320"/>
      <c r="BH396" s="320"/>
      <c r="BI396" s="320"/>
      <c r="BJ396" s="320"/>
      <c r="BK396" s="320"/>
    </row>
    <row r="397" spans="1:63">
      <c r="A397" s="167"/>
      <c r="B397" s="217" t="str">
        <f>Servicio_internaColumna_título_amortizaciones</f>
        <v>Amortizaciones</v>
      </c>
      <c r="C397" s="218"/>
      <c r="D397" s="219"/>
      <c r="E397" s="219"/>
      <c r="F397" s="219">
        <v>0</v>
      </c>
      <c r="G397" s="219">
        <v>0</v>
      </c>
      <c r="H397" s="219">
        <v>0</v>
      </c>
      <c r="I397" s="219">
        <v>0</v>
      </c>
      <c r="J397" s="219">
        <v>0</v>
      </c>
      <c r="K397" s="219">
        <v>0</v>
      </c>
      <c r="L397" s="219">
        <v>0</v>
      </c>
      <c r="M397" s="219">
        <f>+'Perfil - interna'!M397+'Perfil - externa'!M395</f>
        <v>1506057.5131574669</v>
      </c>
      <c r="N397" s="219">
        <f>+'Perfil - interna'!N397+'Perfil - externa'!N395</f>
        <v>22666622.550156191</v>
      </c>
      <c r="O397" s="219">
        <f>+'Perfil - interna'!O397+'Perfil - externa'!O395</f>
        <v>24675834.271009106</v>
      </c>
      <c r="P397" s="219">
        <f>+'Perfil - interna'!P397+'Perfil - externa'!P395</f>
        <v>22168304.296545684</v>
      </c>
      <c r="Q397" s="219">
        <f>+'Perfil - interna'!Q397+'Perfil - externa'!Q395</f>
        <v>28405061.31918782</v>
      </c>
      <c r="R397" s="219">
        <f>+'Perfil - interna'!R397+'Perfil - externa'!R395</f>
        <v>14479715.170004664</v>
      </c>
      <c r="S397" s="219">
        <f>+'Perfil - interna'!S397+'Perfil - externa'!S395</f>
        <v>9877371.9937610216</v>
      </c>
      <c r="T397" s="219">
        <f>+'Perfil - interna'!T397+'Perfil - externa'!T395</f>
        <v>12420374.930250466</v>
      </c>
      <c r="U397" s="219">
        <f>+'Perfil - interna'!U397+'Perfil - externa'!U395</f>
        <v>6732223.8710844768</v>
      </c>
      <c r="V397" s="219">
        <f>+'Perfil - interna'!V397+'Perfil - externa'!V395</f>
        <v>11485498.644153731</v>
      </c>
      <c r="W397" s="219">
        <f>+'Perfil - interna'!W397+'Perfil - externa'!W395</f>
        <v>7626766.2077049399</v>
      </c>
      <c r="X397" s="219">
        <f>+'Perfil - interna'!X397+'Perfil - externa'!X395</f>
        <v>1245936.1894107067</v>
      </c>
      <c r="Y397" s="219">
        <f>+'Perfil - interna'!Y397+'Perfil - externa'!Y395</f>
        <v>11666380.810148133</v>
      </c>
      <c r="Z397" s="219">
        <f>+'Perfil - interna'!Z397+'Perfil - externa'!Z395</f>
        <v>19837406.242298491</v>
      </c>
      <c r="AA397" s="219">
        <f>+'Perfil - interna'!AA397+'Perfil - externa'!AA395</f>
        <v>1336552.3204003763</v>
      </c>
      <c r="AB397" s="219">
        <f>+'Perfil - interna'!AB397+'Perfil - externa'!AB395</f>
        <v>3757276.1168193943</v>
      </c>
      <c r="AC397" s="219">
        <f>+'Perfil - interna'!AC397+'Perfil - externa'!AC395</f>
        <v>2876598.6473524487</v>
      </c>
      <c r="AD397" s="219">
        <f>+'Perfil - interna'!AD397+'Perfil - externa'!AD395</f>
        <v>797674.86315857829</v>
      </c>
      <c r="AE397" s="219">
        <f>+'Perfil - interna'!AE397+'Perfil - externa'!AE395</f>
        <v>1244220.3585959843</v>
      </c>
      <c r="AF397" s="219">
        <f>+'Perfil - interna'!AF397+'Perfil - externa'!AF395</f>
        <v>537138.04235850659</v>
      </c>
      <c r="AG397" s="219">
        <f>+'Perfil - interna'!AG397+'Perfil - externa'!AG395</f>
        <v>492260.6525941696</v>
      </c>
      <c r="AH397" s="219">
        <f>+'Perfil - interna'!AH397+'Perfil - externa'!AH395</f>
        <v>427235.2353251524</v>
      </c>
      <c r="AI397" s="219">
        <f>+'Perfil - interna'!AI397+'Perfil - externa'!AI395</f>
        <v>939770.9368070846</v>
      </c>
      <c r="AJ397" s="219">
        <f>+'Perfil - interna'!AJ397+'Perfil - externa'!AJ395</f>
        <v>237579.45551129719</v>
      </c>
      <c r="AK397" s="219">
        <f>+'Perfil - interna'!AK397+'Perfil - externa'!AK395</f>
        <v>169428.8184444748</v>
      </c>
      <c r="AL397" s="219">
        <f>+'Perfil - interna'!AL397+'Perfil - externa'!AL395</f>
        <v>112347.56311861159</v>
      </c>
      <c r="AM397" s="219">
        <f>+'Perfil - interna'!AM397+'Perfil - externa'!AM395</f>
        <v>3614019.1398067297</v>
      </c>
      <c r="AN397" s="219">
        <f>+'Perfil - interna'!AN397+'Perfil - externa'!AN395</f>
        <v>9693.7523207283975</v>
      </c>
      <c r="AO397" s="219"/>
      <c r="AP397" s="219"/>
      <c r="AQ397" s="219"/>
      <c r="AR397" s="219"/>
      <c r="AS397" s="219"/>
      <c r="AT397" s="219"/>
      <c r="AU397" s="219"/>
      <c r="AV397" s="219"/>
      <c r="AW397" s="219"/>
      <c r="AX397" s="219"/>
      <c r="AY397" s="219"/>
      <c r="AZ397" s="219"/>
      <c r="BA397" s="219"/>
      <c r="BB397" s="219"/>
      <c r="BC397" s="219"/>
      <c r="BD397" s="219"/>
      <c r="BE397" s="219"/>
      <c r="BF397" s="219"/>
      <c r="BG397" s="219"/>
      <c r="BH397" s="219"/>
      <c r="BI397" s="219"/>
      <c r="BJ397" s="219"/>
      <c r="BK397" s="219"/>
    </row>
    <row r="398" spans="1:63">
      <c r="A398" s="170">
        <v>40848</v>
      </c>
      <c r="B398" s="220" t="str">
        <f>Servicio_internaColumna_título_intereses</f>
        <v>Intereses</v>
      </c>
      <c r="C398" s="221"/>
      <c r="D398" s="222"/>
      <c r="E398" s="222"/>
      <c r="F398" s="222">
        <v>0</v>
      </c>
      <c r="G398" s="222">
        <v>0</v>
      </c>
      <c r="H398" s="222">
        <v>0</v>
      </c>
      <c r="I398" s="222">
        <v>0</v>
      </c>
      <c r="J398" s="222">
        <v>0</v>
      </c>
      <c r="K398" s="222">
        <v>0</v>
      </c>
      <c r="L398" s="222">
        <v>0</v>
      </c>
      <c r="M398" s="222">
        <f>+'Perfil - interna'!M398+'Perfil - externa'!M396</f>
        <v>149820.69264951599</v>
      </c>
      <c r="N398" s="222">
        <f>+'Perfil - interna'!N398+'Perfil - externa'!N396</f>
        <v>15735427.730104532</v>
      </c>
      <c r="O398" s="222">
        <f>+'Perfil - interna'!O398+'Perfil - externa'!O396</f>
        <v>14173234.545083389</v>
      </c>
      <c r="P398" s="222">
        <f>+'Perfil - interna'!P398+'Perfil - externa'!P396</f>
        <v>12553478.638141222</v>
      </c>
      <c r="Q398" s="222">
        <f>+'Perfil - interna'!Q398+'Perfil - externa'!Q396</f>
        <v>10574830.066262418</v>
      </c>
      <c r="R398" s="222">
        <f>+'Perfil - interna'!R398+'Perfil - externa'!R396</f>
        <v>8481274.8300209846</v>
      </c>
      <c r="S398" s="222">
        <f>+'Perfil - interna'!S398+'Perfil - externa'!S396</f>
        <v>7459228.8143071616</v>
      </c>
      <c r="T398" s="222">
        <f>+'Perfil - interna'!T398+'Perfil - externa'!T396</f>
        <v>7018647.0296119601</v>
      </c>
      <c r="U398" s="222">
        <f>+'Perfil - interna'!U398+'Perfil - externa'!U396</f>
        <v>5622400.1354756188</v>
      </c>
      <c r="V398" s="222">
        <f>+'Perfil - interna'!V398+'Perfil - externa'!V396</f>
        <v>5306532.272707697</v>
      </c>
      <c r="W398" s="222">
        <f>+'Perfil - interna'!W398+'Perfil - externa'!W396</f>
        <v>4237541.3719147071</v>
      </c>
      <c r="X398" s="222">
        <f>+'Perfil - interna'!X398+'Perfil - externa'!X396</f>
        <v>3835837.8139650323</v>
      </c>
      <c r="Y398" s="222">
        <f>+'Perfil - interna'!Y398+'Perfil - externa'!Y396</f>
        <v>3830069.4060962731</v>
      </c>
      <c r="Z398" s="222">
        <f>+'Perfil - interna'!Z398+'Perfil - externa'!Z396</f>
        <v>2973098.4980718442</v>
      </c>
      <c r="AA398" s="222">
        <f>+'Perfil - interna'!AA398+'Perfil - externa'!AA396</f>
        <v>1166133.9048246723</v>
      </c>
      <c r="AB398" s="222">
        <f>+'Perfil - interna'!AB398+'Perfil - externa'!AB396</f>
        <v>1112833.0624378356</v>
      </c>
      <c r="AC398" s="222">
        <f>+'Perfil - interna'!AC398+'Perfil - externa'!AC396</f>
        <v>837423.25016094255</v>
      </c>
      <c r="AD398" s="222">
        <f>+'Perfil - interna'!AD398+'Perfil - externa'!AD396</f>
        <v>614875.80866222107</v>
      </c>
      <c r="AE398" s="222">
        <f>+'Perfil - interna'!AE398+'Perfil - externa'!AE396</f>
        <v>572276.41719355667</v>
      </c>
      <c r="AF398" s="222">
        <f>+'Perfil - interna'!AF398+'Perfil - externa'!AF396</f>
        <v>535006.62220522959</v>
      </c>
      <c r="AG398" s="222">
        <f>+'Perfil - interna'!AG398+'Perfil - externa'!AG396</f>
        <v>514382.17651711183</v>
      </c>
      <c r="AH398" s="222">
        <f>+'Perfil - interna'!AH398+'Perfil - externa'!AH396</f>
        <v>494952.28870714986</v>
      </c>
      <c r="AI398" s="222">
        <f>+'Perfil - interna'!AI398+'Perfil - externa'!AI396</f>
        <v>445442.193760783</v>
      </c>
      <c r="AJ398" s="222">
        <f>+'Perfil - interna'!AJ398+'Perfil - externa'!AJ396</f>
        <v>401683.73025595216</v>
      </c>
      <c r="AK398" s="222">
        <f>+'Perfil - interna'!AK398+'Perfil - externa'!AK396</f>
        <v>393754.02403666917</v>
      </c>
      <c r="AL398" s="222">
        <f>+'Perfil - interna'!AL398+'Perfil - externa'!AL396</f>
        <v>388313.01287446724</v>
      </c>
      <c r="AM398" s="222">
        <f>+'Perfil - interna'!AM398+'Perfil - externa'!AM396</f>
        <v>384954.93089821405</v>
      </c>
      <c r="AN398" s="222">
        <f>+'Perfil - interna'!AN398+'Perfil - externa'!AN396</f>
        <v>120591.79389904639</v>
      </c>
      <c r="AO398" s="222"/>
      <c r="AP398" s="222"/>
      <c r="AQ398" s="222"/>
      <c r="AR398" s="222"/>
      <c r="AS398" s="222"/>
      <c r="AT398" s="222"/>
      <c r="AU398" s="222"/>
      <c r="AV398" s="222"/>
      <c r="AW398" s="222"/>
      <c r="AX398" s="222"/>
      <c r="AY398" s="222"/>
      <c r="AZ398" s="222"/>
      <c r="BA398" s="222"/>
      <c r="BB398" s="222"/>
      <c r="BC398" s="222"/>
      <c r="BD398" s="222"/>
      <c r="BE398" s="222"/>
      <c r="BF398" s="222"/>
      <c r="BG398" s="222"/>
      <c r="BH398" s="222"/>
      <c r="BI398" s="222"/>
      <c r="BJ398" s="222"/>
      <c r="BK398" s="222"/>
    </row>
    <row r="399" spans="1:63">
      <c r="A399" s="171"/>
      <c r="B399" s="318" t="str">
        <f>Servicio_internaColumna_título_total</f>
        <v>Total</v>
      </c>
      <c r="C399" s="319"/>
      <c r="D399" s="320"/>
      <c r="E399" s="320"/>
      <c r="F399" s="320">
        <v>0</v>
      </c>
      <c r="G399" s="320">
        <v>0</v>
      </c>
      <c r="H399" s="320">
        <v>0</v>
      </c>
      <c r="I399" s="320">
        <v>0</v>
      </c>
      <c r="J399" s="320">
        <v>0</v>
      </c>
      <c r="K399" s="320">
        <v>0</v>
      </c>
      <c r="L399" s="320">
        <v>0</v>
      </c>
      <c r="M399" s="320">
        <f>+'Perfil - interna'!M399+'Perfil - externa'!M397</f>
        <v>1655878.2058069832</v>
      </c>
      <c r="N399" s="320">
        <f>+'Perfil - interna'!N399+'Perfil - externa'!N397</f>
        <v>38402050.280260727</v>
      </c>
      <c r="O399" s="320">
        <f>+'Perfil - interna'!O399+'Perfil - externa'!O397</f>
        <v>38849068.816092491</v>
      </c>
      <c r="P399" s="320">
        <f>+'Perfil - interna'!P399+'Perfil - externa'!P397</f>
        <v>34721782.934686914</v>
      </c>
      <c r="Q399" s="320">
        <f>+'Perfil - interna'!Q399+'Perfil - externa'!Q397</f>
        <v>38979891.385450236</v>
      </c>
      <c r="R399" s="320">
        <f>+'Perfil - interna'!R399+'Perfil - externa'!R397</f>
        <v>22960990.000025649</v>
      </c>
      <c r="S399" s="320">
        <f>+'Perfil - interna'!S399+'Perfil - externa'!S397</f>
        <v>17336600.808068182</v>
      </c>
      <c r="T399" s="320">
        <f>+'Perfil - interna'!T399+'Perfil - externa'!T397</f>
        <v>19439021.959862426</v>
      </c>
      <c r="U399" s="320">
        <f>+'Perfil - interna'!U399+'Perfil - externa'!U397</f>
        <v>12354624.006560095</v>
      </c>
      <c r="V399" s="320">
        <f>+'Perfil - interna'!V399+'Perfil - externa'!V397</f>
        <v>16792030.91686143</v>
      </c>
      <c r="W399" s="320">
        <f>+'Perfil - interna'!W399+'Perfil - externa'!W397</f>
        <v>11864307.579619646</v>
      </c>
      <c r="X399" s="320">
        <f>+'Perfil - interna'!X399+'Perfil - externa'!X397</f>
        <v>5081774.0033757389</v>
      </c>
      <c r="Y399" s="320">
        <f>+'Perfil - interna'!Y399+'Perfil - externa'!Y397</f>
        <v>15496450.216244407</v>
      </c>
      <c r="Z399" s="320">
        <f>+'Perfil - interna'!Z399+'Perfil - externa'!Z397</f>
        <v>22810504.740370337</v>
      </c>
      <c r="AA399" s="320">
        <f>+'Perfil - interna'!AA399+'Perfil - externa'!AA397</f>
        <v>2502686.2252250486</v>
      </c>
      <c r="AB399" s="320">
        <f>+'Perfil - interna'!AB399+'Perfil - externa'!AB397</f>
        <v>4870109.1792572299</v>
      </c>
      <c r="AC399" s="320">
        <f>+'Perfil - interna'!AC399+'Perfil - externa'!AC397</f>
        <v>3714021.8975133915</v>
      </c>
      <c r="AD399" s="320">
        <f>+'Perfil - interna'!AD399+'Perfil - externa'!AD397</f>
        <v>1412550.6718207994</v>
      </c>
      <c r="AE399" s="320">
        <f>+'Perfil - interna'!AE399+'Perfil - externa'!AE397</f>
        <v>1816496.775789541</v>
      </c>
      <c r="AF399" s="320">
        <f>+'Perfil - interna'!AF399+'Perfil - externa'!AF397</f>
        <v>1072144.6645637362</v>
      </c>
      <c r="AG399" s="320">
        <f>+'Perfil - interna'!AG399+'Perfil - externa'!AG397</f>
        <v>1006642.8291112814</v>
      </c>
      <c r="AH399" s="320">
        <f>+'Perfil - interna'!AH399+'Perfil - externa'!AH397</f>
        <v>922187.5240323022</v>
      </c>
      <c r="AI399" s="320">
        <f>+'Perfil - interna'!AI399+'Perfil - externa'!AI397</f>
        <v>1385213.1305678675</v>
      </c>
      <c r="AJ399" s="320">
        <f>+'Perfil - interna'!AJ399+'Perfil - externa'!AJ397</f>
        <v>639263.18576724932</v>
      </c>
      <c r="AK399" s="320">
        <f>+'Perfil - interna'!AK399+'Perfil - externa'!AK397</f>
        <v>563182.84248114401</v>
      </c>
      <c r="AL399" s="320">
        <f>+'Perfil - interna'!AL399+'Perfil - externa'!AL397</f>
        <v>500660.57599307882</v>
      </c>
      <c r="AM399" s="320">
        <f>+'Perfil - interna'!AM399+'Perfil - externa'!AM397</f>
        <v>3998974.070704944</v>
      </c>
      <c r="AN399" s="320">
        <f>+'Perfil - interna'!AN399+'Perfil - externa'!AN397</f>
        <v>130285.54621977478</v>
      </c>
      <c r="AO399" s="320"/>
      <c r="AP399" s="320"/>
      <c r="AQ399" s="320"/>
      <c r="AR399" s="320"/>
      <c r="AS399" s="320"/>
      <c r="AT399" s="320"/>
      <c r="AU399" s="320"/>
      <c r="AV399" s="320"/>
      <c r="AW399" s="320"/>
      <c r="AX399" s="320"/>
      <c r="AY399" s="320"/>
      <c r="AZ399" s="320"/>
      <c r="BA399" s="320"/>
      <c r="BB399" s="320"/>
      <c r="BC399" s="320"/>
      <c r="BD399" s="320"/>
      <c r="BE399" s="320"/>
      <c r="BF399" s="320"/>
      <c r="BG399" s="320"/>
      <c r="BH399" s="320"/>
      <c r="BI399" s="320"/>
      <c r="BJ399" s="320"/>
      <c r="BK399" s="320"/>
    </row>
    <row r="400" spans="1:63">
      <c r="A400" s="167"/>
      <c r="B400" s="217" t="str">
        <f>Servicio_internaColumna_título_amortizaciones</f>
        <v>Amortizaciones</v>
      </c>
      <c r="C400" s="218"/>
      <c r="D400" s="219"/>
      <c r="E400" s="219"/>
      <c r="F400" s="219"/>
      <c r="G400" s="219"/>
      <c r="H400" s="219"/>
      <c r="I400" s="219"/>
      <c r="J400" s="219"/>
      <c r="K400" s="219"/>
      <c r="L400" s="219"/>
      <c r="M400" s="219">
        <f>+'Perfil - interna'!M400+'Perfil - externa'!M398</f>
        <v>0</v>
      </c>
      <c r="N400" s="219">
        <f>+'Perfil - interna'!N400+'Perfil - externa'!N398</f>
        <v>25127912.089316588</v>
      </c>
      <c r="O400" s="219">
        <f>+'Perfil - interna'!O400+'Perfil - externa'!O398</f>
        <v>24702671.110680722</v>
      </c>
      <c r="P400" s="219">
        <f>+'Perfil - interna'!P400+'Perfil - externa'!P398</f>
        <v>22040701.258942056</v>
      </c>
      <c r="Q400" s="219">
        <f>+'Perfil - interna'!Q400+'Perfil - externa'!Q398</f>
        <v>28021985.771101564</v>
      </c>
      <c r="R400" s="219">
        <f>+'Perfil - interna'!R400+'Perfil - externa'!R398</f>
        <v>15329766.459956149</v>
      </c>
      <c r="S400" s="219">
        <f>+'Perfil - interna'!S400+'Perfil - externa'!S398</f>
        <v>10072645.250635743</v>
      </c>
      <c r="T400" s="219">
        <f>+'Perfil - interna'!T400+'Perfil - externa'!T398</f>
        <v>12675244.808749778</v>
      </c>
      <c r="U400" s="219">
        <f>+'Perfil - interna'!U400+'Perfil - externa'!U398</f>
        <v>6833754.5703949062</v>
      </c>
      <c r="V400" s="219">
        <f>+'Perfil - interna'!V400+'Perfil - externa'!V398</f>
        <v>11463445.938552845</v>
      </c>
      <c r="W400" s="219">
        <f>+'Perfil - interna'!W400+'Perfil - externa'!W398</f>
        <v>7547572.7953380141</v>
      </c>
      <c r="X400" s="219">
        <f>+'Perfil - interna'!X400+'Perfil - externa'!X398</f>
        <v>1246282.9803189063</v>
      </c>
      <c r="Y400" s="219">
        <f>+'Perfil - interna'!Y400+'Perfil - externa'!Y398</f>
        <v>11704585.221366888</v>
      </c>
      <c r="Z400" s="219">
        <f>+'Perfil - interna'!Z400+'Perfil - externa'!Z398</f>
        <v>19816014.793497525</v>
      </c>
      <c r="AA400" s="219">
        <f>+'Perfil - interna'!AA400+'Perfil - externa'!AA398</f>
        <v>1324661.0559172311</v>
      </c>
      <c r="AB400" s="219">
        <f>+'Perfil - interna'!AB400+'Perfil - externa'!AB398</f>
        <v>3802493.5283078761</v>
      </c>
      <c r="AC400" s="219">
        <f>+'Perfil - interna'!AC400+'Perfil - externa'!AC398</f>
        <v>2856310.0348008638</v>
      </c>
      <c r="AD400" s="219">
        <f>+'Perfil - interna'!AD400+'Perfil - externa'!AD398</f>
        <v>803276.12196634396</v>
      </c>
      <c r="AE400" s="219">
        <f>+'Perfil - interna'!AE400+'Perfil - externa'!AE398</f>
        <v>1244264.711717281</v>
      </c>
      <c r="AF400" s="219">
        <f>+'Perfil - interna'!AF400+'Perfil - externa'!AF398</f>
        <v>545981.47594091704</v>
      </c>
      <c r="AG400" s="219">
        <f>+'Perfil - interna'!AG400+'Perfil - externa'!AG398</f>
        <v>501665.98060438497</v>
      </c>
      <c r="AH400" s="219">
        <f>+'Perfil - interna'!AH400+'Perfil - externa'!AH398</f>
        <v>421865.02865067101</v>
      </c>
      <c r="AI400" s="219">
        <f>+'Perfil - interna'!AI400+'Perfil - externa'!AI398</f>
        <v>928073.06376871222</v>
      </c>
      <c r="AJ400" s="219">
        <f>+'Perfil - interna'!AJ400+'Perfil - externa'!AJ398</f>
        <v>234619.80035950401</v>
      </c>
      <c r="AK400" s="219">
        <f>+'Perfil - interna'!AK400+'Perfil - externa'!AK398</f>
        <v>167317.244096368</v>
      </c>
      <c r="AL400" s="219">
        <f>+'Perfil - interna'!AL400+'Perfil - externa'!AL398</f>
        <v>110962.080935839</v>
      </c>
      <c r="AM400" s="219">
        <f>+'Perfil - interna'!AM400+'Perfil - externa'!AM398</f>
        <v>3569045.5285751857</v>
      </c>
      <c r="AN400" s="219">
        <f>+'Perfil - interna'!AN400+'Perfil - externa'!AN398</f>
        <v>9573.1212362259976</v>
      </c>
      <c r="AO400" s="219"/>
      <c r="AP400" s="219"/>
      <c r="AQ400" s="219"/>
      <c r="AR400" s="219"/>
      <c r="AS400" s="219"/>
      <c r="AT400" s="219"/>
      <c r="AU400" s="219"/>
      <c r="AV400" s="219"/>
      <c r="AW400" s="219"/>
      <c r="AX400" s="219"/>
      <c r="AY400" s="219"/>
      <c r="AZ400" s="219"/>
      <c r="BA400" s="219"/>
      <c r="BB400" s="219"/>
      <c r="BC400" s="219"/>
      <c r="BD400" s="219"/>
      <c r="BE400" s="219"/>
      <c r="BF400" s="219"/>
      <c r="BG400" s="219"/>
      <c r="BH400" s="219"/>
      <c r="BI400" s="219"/>
      <c r="BJ400" s="219"/>
      <c r="BK400" s="219"/>
    </row>
    <row r="401" spans="1:63">
      <c r="A401" s="170">
        <v>40878</v>
      </c>
      <c r="B401" s="220" t="str">
        <f>Servicio_internaColumna_título_intereses</f>
        <v>Intereses</v>
      </c>
      <c r="C401" s="221"/>
      <c r="D401" s="222"/>
      <c r="E401" s="222"/>
      <c r="F401" s="222"/>
      <c r="G401" s="222"/>
      <c r="H401" s="222"/>
      <c r="I401" s="222"/>
      <c r="J401" s="222"/>
      <c r="K401" s="222"/>
      <c r="L401" s="222"/>
      <c r="M401" s="222">
        <f>+'Perfil - interna'!M401+'Perfil - externa'!M399</f>
        <v>0</v>
      </c>
      <c r="N401" s="222">
        <f>+'Perfil - interna'!N401+'Perfil - externa'!N399</f>
        <v>15752060.673756473</v>
      </c>
      <c r="O401" s="222">
        <f>+'Perfil - interna'!O401+'Perfil - externa'!O399</f>
        <v>14150027.731632911</v>
      </c>
      <c r="P401" s="222">
        <f>+'Perfil - interna'!P401+'Perfil - externa'!P399</f>
        <v>12526305.781982746</v>
      </c>
      <c r="Q401" s="222">
        <f>+'Perfil - interna'!Q401+'Perfil - externa'!Q399</f>
        <v>10529470.836499944</v>
      </c>
      <c r="R401" s="222">
        <f>+'Perfil - interna'!R401+'Perfil - externa'!R399</f>
        <v>8456766.5914807729</v>
      </c>
      <c r="S401" s="222">
        <f>+'Perfil - interna'!S401+'Perfil - externa'!S399</f>
        <v>7394967.9545084815</v>
      </c>
      <c r="T401" s="222">
        <f>+'Perfil - interna'!T401+'Perfil - externa'!T399</f>
        <v>7026056.3211852694</v>
      </c>
      <c r="U401" s="222">
        <f>+'Perfil - interna'!U401+'Perfil - externa'!U399</f>
        <v>5602408.6238109572</v>
      </c>
      <c r="V401" s="222">
        <f>+'Perfil - interna'!V401+'Perfil - externa'!V399</f>
        <v>5289381.5071085375</v>
      </c>
      <c r="W401" s="222">
        <f>+'Perfil - interna'!W401+'Perfil - externa'!W399</f>
        <v>4226064.5887559727</v>
      </c>
      <c r="X401" s="222">
        <f>+'Perfil - interna'!X401+'Perfil - externa'!X399</f>
        <v>3828151.5428669974</v>
      </c>
      <c r="Y401" s="222">
        <f>+'Perfil - interna'!Y401+'Perfil - externa'!Y399</f>
        <v>3827901.5098376139</v>
      </c>
      <c r="Z401" s="222">
        <f>+'Perfil - interna'!Z401+'Perfil - externa'!Z399</f>
        <v>2963364.9235751014</v>
      </c>
      <c r="AA401" s="222">
        <f>+'Perfil - interna'!AA401+'Perfil - externa'!AA399</f>
        <v>1158452.2847546048</v>
      </c>
      <c r="AB401" s="222">
        <f>+'Perfil - interna'!AB401+'Perfil - externa'!AB399</f>
        <v>1106512.5733987708</v>
      </c>
      <c r="AC401" s="222">
        <f>+'Perfil - interna'!AC401+'Perfil - externa'!AC399</f>
        <v>827375.40484997095</v>
      </c>
      <c r="AD401" s="222">
        <f>+'Perfil - interna'!AD401+'Perfil - externa'!AD399</f>
        <v>607475.53979744518</v>
      </c>
      <c r="AE401" s="222">
        <f>+'Perfil - interna'!AE401+'Perfil - externa'!AE399</f>
        <v>565429.89650080295</v>
      </c>
      <c r="AF401" s="222">
        <f>+'Perfil - interna'!AF401+'Perfil - externa'!AF399</f>
        <v>528532.17061195092</v>
      </c>
      <c r="AG401" s="222">
        <f>+'Perfil - interna'!AG401+'Perfil - externa'!AG399</f>
        <v>507820.08250759396</v>
      </c>
      <c r="AH401" s="222">
        <f>+'Perfil - interna'!AH401+'Perfil - externa'!AH399</f>
        <v>488429.20860710804</v>
      </c>
      <c r="AI401" s="222">
        <f>+'Perfil - interna'!AI401+'Perfil - externa'!AI399</f>
        <v>439672.50353684003</v>
      </c>
      <c r="AJ401" s="222">
        <f>+'Perfil - interna'!AJ401+'Perfil - externa'!AJ399</f>
        <v>396539.59486789297</v>
      </c>
      <c r="AK401" s="222">
        <f>+'Perfil - interna'!AK401+'Perfil - externa'!AK399</f>
        <v>388773.07774431299</v>
      </c>
      <c r="AL401" s="222">
        <f>+'Perfil - interna'!AL401+'Perfil - externa'!AL399</f>
        <v>383449.14750086406</v>
      </c>
      <c r="AM401" s="222">
        <f>+'Perfil - interna'!AM401+'Perfil - externa'!AM399</f>
        <v>380160.78511686501</v>
      </c>
      <c r="AN401" s="222">
        <f>+'Perfil - interna'!AN401+'Perfil - externa'!AN399</f>
        <v>119091.12435449599</v>
      </c>
      <c r="AO401" s="222"/>
      <c r="AP401" s="222"/>
      <c r="AQ401" s="222"/>
      <c r="AR401" s="222"/>
      <c r="AS401" s="222"/>
      <c r="AT401" s="222"/>
      <c r="AU401" s="222"/>
      <c r="AV401" s="222"/>
      <c r="AW401" s="222"/>
      <c r="AX401" s="222"/>
      <c r="AY401" s="222"/>
      <c r="AZ401" s="222"/>
      <c r="BA401" s="222"/>
      <c r="BB401" s="222"/>
      <c r="BC401" s="222"/>
      <c r="BD401" s="222"/>
      <c r="BE401" s="222"/>
      <c r="BF401" s="222"/>
      <c r="BG401" s="222"/>
      <c r="BH401" s="222"/>
      <c r="BI401" s="222"/>
      <c r="BJ401" s="222"/>
      <c r="BK401" s="222"/>
    </row>
    <row r="402" spans="1:63">
      <c r="A402" s="171"/>
      <c r="B402" s="318" t="str">
        <f>Servicio_internaColumna_título_total</f>
        <v>Total</v>
      </c>
      <c r="C402" s="319"/>
      <c r="D402" s="320"/>
      <c r="E402" s="320"/>
      <c r="F402" s="320"/>
      <c r="G402" s="320"/>
      <c r="H402" s="320"/>
      <c r="I402" s="320"/>
      <c r="J402" s="320"/>
      <c r="K402" s="320"/>
      <c r="L402" s="320"/>
      <c r="M402" s="320">
        <f>+'Perfil - interna'!M402+'Perfil - externa'!M400</f>
        <v>0</v>
      </c>
      <c r="N402" s="320">
        <f>+'Perfil - interna'!N402+'Perfil - externa'!N400</f>
        <v>40879972.763073064</v>
      </c>
      <c r="O402" s="320">
        <f>+'Perfil - interna'!O402+'Perfil - externa'!O400</f>
        <v>38852698.842313632</v>
      </c>
      <c r="P402" s="320">
        <f>+'Perfil - interna'!P402+'Perfil - externa'!P400</f>
        <v>34567007.040924802</v>
      </c>
      <c r="Q402" s="320">
        <f>+'Perfil - interna'!Q402+'Perfil - externa'!Q400</f>
        <v>38551456.607601508</v>
      </c>
      <c r="R402" s="320">
        <f>+'Perfil - interna'!R402+'Perfil - externa'!R400</f>
        <v>23786533.051436923</v>
      </c>
      <c r="S402" s="320">
        <f>+'Perfil - interna'!S402+'Perfil - externa'!S400</f>
        <v>17467613.205144227</v>
      </c>
      <c r="T402" s="320">
        <f>+'Perfil - interna'!T402+'Perfil - externa'!T400</f>
        <v>19701301.129935049</v>
      </c>
      <c r="U402" s="320">
        <f>+'Perfil - interna'!U402+'Perfil - externa'!U400</f>
        <v>12436163.194205863</v>
      </c>
      <c r="V402" s="320">
        <f>+'Perfil - interna'!V402+'Perfil - externa'!V400</f>
        <v>16752827.445661385</v>
      </c>
      <c r="W402" s="320">
        <f>+'Perfil - interna'!W402+'Perfil - externa'!W400</f>
        <v>11773637.384093987</v>
      </c>
      <c r="X402" s="320">
        <f>+'Perfil - interna'!X402+'Perfil - externa'!X400</f>
        <v>5074434.5231859032</v>
      </c>
      <c r="Y402" s="320">
        <f>+'Perfil - interna'!Y402+'Perfil - externa'!Y400</f>
        <v>15532486.731204502</v>
      </c>
      <c r="Z402" s="320">
        <f>+'Perfil - interna'!Z402+'Perfil - externa'!Z400</f>
        <v>22779379.717072628</v>
      </c>
      <c r="AA402" s="320">
        <f>+'Perfil - interna'!AA402+'Perfil - externa'!AA400</f>
        <v>2483113.3406718359</v>
      </c>
      <c r="AB402" s="320">
        <f>+'Perfil - interna'!AB402+'Perfil - externa'!AB400</f>
        <v>4909006.1017066464</v>
      </c>
      <c r="AC402" s="320">
        <f>+'Perfil - interna'!AC402+'Perfil - externa'!AC400</f>
        <v>3683685.4396508345</v>
      </c>
      <c r="AD402" s="320">
        <f>+'Perfil - interna'!AD402+'Perfil - externa'!AD400</f>
        <v>1410751.6617637891</v>
      </c>
      <c r="AE402" s="320">
        <f>+'Perfil - interna'!AE402+'Perfil - externa'!AE400</f>
        <v>1809694.6082180841</v>
      </c>
      <c r="AF402" s="320">
        <f>+'Perfil - interna'!AF402+'Perfil - externa'!AF400</f>
        <v>1074513.646552868</v>
      </c>
      <c r="AG402" s="320">
        <f>+'Perfil - interna'!AG402+'Perfil - externa'!AG400</f>
        <v>1009486.0631119789</v>
      </c>
      <c r="AH402" s="320">
        <f>+'Perfil - interna'!AH402+'Perfil - externa'!AH400</f>
        <v>910294.23725777911</v>
      </c>
      <c r="AI402" s="320">
        <f>+'Perfil - interna'!AI402+'Perfil - externa'!AI400</f>
        <v>1367745.5673055523</v>
      </c>
      <c r="AJ402" s="320">
        <f>+'Perfil - interna'!AJ402+'Perfil - externa'!AJ400</f>
        <v>631159.39522739698</v>
      </c>
      <c r="AK402" s="320">
        <f>+'Perfil - interna'!AK402+'Perfil - externa'!AK400</f>
        <v>556090.32184068102</v>
      </c>
      <c r="AL402" s="320">
        <f>+'Perfil - interna'!AL402+'Perfil - externa'!AL400</f>
        <v>494411.22843670304</v>
      </c>
      <c r="AM402" s="320">
        <f>+'Perfil - interna'!AM402+'Perfil - externa'!AM400</f>
        <v>3949206.3136920505</v>
      </c>
      <c r="AN402" s="320">
        <f>+'Perfil - interna'!AN402+'Perfil - externa'!AN400</f>
        <v>128664.24559072198</v>
      </c>
      <c r="AO402" s="320"/>
      <c r="AP402" s="320"/>
      <c r="AQ402" s="320"/>
      <c r="AR402" s="320"/>
      <c r="AS402" s="320"/>
      <c r="AT402" s="320"/>
      <c r="AU402" s="320"/>
      <c r="AV402" s="320"/>
      <c r="AW402" s="320"/>
      <c r="AX402" s="320"/>
      <c r="AY402" s="320"/>
      <c r="AZ402" s="320"/>
      <c r="BA402" s="320"/>
      <c r="BB402" s="320"/>
      <c r="BC402" s="320"/>
      <c r="BD402" s="320"/>
      <c r="BE402" s="320"/>
      <c r="BF402" s="320"/>
      <c r="BG402" s="320"/>
      <c r="BH402" s="320"/>
      <c r="BI402" s="320"/>
      <c r="BJ402" s="320"/>
      <c r="BK402" s="320"/>
    </row>
    <row r="403" spans="1:63">
      <c r="A403" s="167"/>
      <c r="B403" s="217" t="str">
        <f>Servicio_internaColumna_título_amortizaciones</f>
        <v>Amortizaciones</v>
      </c>
      <c r="C403" s="218"/>
      <c r="D403" s="219"/>
      <c r="E403" s="219"/>
      <c r="F403" s="219"/>
      <c r="G403" s="219"/>
      <c r="H403" s="219"/>
      <c r="I403" s="219"/>
      <c r="J403" s="219"/>
      <c r="K403" s="219"/>
      <c r="L403" s="219"/>
      <c r="M403" s="219">
        <f>+'Perfil - interna'!M403+'Perfil - externa'!M401</f>
        <v>0</v>
      </c>
      <c r="N403" s="219">
        <f>+'Perfil - interna'!N403+'Perfil - externa'!N401</f>
        <v>19749188.805908214</v>
      </c>
      <c r="O403" s="219">
        <f>+'Perfil - interna'!O403+'Perfil - externa'!O401</f>
        <v>24483783.926220793</v>
      </c>
      <c r="P403" s="219">
        <f>+'Perfil - interna'!P403+'Perfil - externa'!P401</f>
        <v>21826184.648108672</v>
      </c>
      <c r="Q403" s="219">
        <f>+'Perfil - interna'!Q403+'Perfil - externa'!Q401</f>
        <v>28306912.201789327</v>
      </c>
      <c r="R403" s="219">
        <f>+'Perfil - interna'!R403+'Perfil - externa'!R401</f>
        <v>14966734.784086578</v>
      </c>
      <c r="S403" s="219">
        <f>+'Perfil - interna'!S403+'Perfil - externa'!S401</f>
        <v>9881500.7304952983</v>
      </c>
      <c r="T403" s="219">
        <f>+'Perfil - interna'!T403+'Perfil - externa'!T401</f>
        <v>13141063.997668184</v>
      </c>
      <c r="U403" s="219">
        <f>+'Perfil - interna'!U403+'Perfil - externa'!U401</f>
        <v>6383102.1748045841</v>
      </c>
      <c r="V403" s="219">
        <f>+'Perfil - interna'!V403+'Perfil - externa'!V401</f>
        <v>11265333.118301189</v>
      </c>
      <c r="W403" s="219">
        <f>+'Perfil - interna'!W403+'Perfil - externa'!W401</f>
        <v>7051640.2495140219</v>
      </c>
      <c r="X403" s="219">
        <f>+'Perfil - interna'!X403+'Perfil - externa'!X401</f>
        <v>1164336.4066998016</v>
      </c>
      <c r="Y403" s="219">
        <f>+'Perfil - interna'!Y403+'Perfil - externa'!Y401</f>
        <v>11780204.320289964</v>
      </c>
      <c r="Z403" s="219">
        <f>+'Perfil - interna'!Z403+'Perfil - externa'!Z401</f>
        <v>19620665.65416164</v>
      </c>
      <c r="AA403" s="219">
        <f>+'Perfil - interna'!AA403+'Perfil - externa'!AA401</f>
        <v>1237582.4619872221</v>
      </c>
      <c r="AB403" s="219">
        <f>+'Perfil - interna'!AB403+'Perfil - externa'!AB401</f>
        <v>4554581.5905370424</v>
      </c>
      <c r="AC403" s="219">
        <f>+'Perfil - interna'!AC403+'Perfil - externa'!AC401</f>
        <v>2668634.5937834908</v>
      </c>
      <c r="AD403" s="219">
        <f>+'Perfil - interna'!AD403+'Perfil - externa'!AD401</f>
        <v>750487.19428709033</v>
      </c>
      <c r="AE403" s="219">
        <f>+'Perfil - interna'!AE403+'Perfil - externa'!AE401</f>
        <v>1162506.3271872452</v>
      </c>
      <c r="AF403" s="219">
        <f>+'Perfil - interna'!AF403+'Perfil - externa'!AF401</f>
        <v>510094.7682265396</v>
      </c>
      <c r="AG403" s="219">
        <f>+'Perfil - interna'!AG403+'Perfil - externa'!AG401</f>
        <v>468701.34036599757</v>
      </c>
      <c r="AH403" s="219">
        <f>+'Perfil - interna'!AH403+'Perfil - externa'!AH401</f>
        <v>394153.57954685565</v>
      </c>
      <c r="AI403" s="219">
        <f>+'Perfil - interna'!AI403+'Perfil - externa'!AI401</f>
        <v>867105.18026834575</v>
      </c>
      <c r="AJ403" s="219">
        <f>+'Perfil - interna'!AJ403+'Perfil - externa'!AJ401</f>
        <v>219206.30275314237</v>
      </c>
      <c r="AK403" s="219">
        <f>+'Perfil - interna'!AK403+'Perfil - externa'!AK401</f>
        <v>156324.99126804798</v>
      </c>
      <c r="AL403" s="219">
        <f>+'Perfil - interna'!AL403+'Perfil - externa'!AL401</f>
        <v>103672.262690912</v>
      </c>
      <c r="AM403" s="219">
        <f>+'Perfil - interna'!AM403+'Perfil - externa'!AM401</f>
        <v>3334587.5111989742</v>
      </c>
      <c r="AN403" s="219">
        <f>+'Perfil - interna'!AN403+'Perfil - externa'!AN401</f>
        <v>8944.2430089303962</v>
      </c>
      <c r="AO403" s="219"/>
      <c r="AP403" s="219"/>
      <c r="AQ403" s="219"/>
      <c r="AR403" s="219"/>
      <c r="AS403" s="219"/>
      <c r="AT403" s="219"/>
      <c r="AU403" s="219"/>
      <c r="AV403" s="219"/>
      <c r="AW403" s="219"/>
      <c r="AX403" s="219"/>
      <c r="AY403" s="219"/>
      <c r="AZ403" s="219"/>
      <c r="BA403" s="219"/>
      <c r="BB403" s="219"/>
      <c r="BC403" s="219"/>
      <c r="BD403" s="219"/>
      <c r="BE403" s="219"/>
      <c r="BF403" s="219"/>
      <c r="BG403" s="219"/>
      <c r="BH403" s="219"/>
      <c r="BI403" s="219"/>
      <c r="BJ403" s="219"/>
      <c r="BK403" s="219"/>
    </row>
    <row r="404" spans="1:63">
      <c r="A404" s="170">
        <v>40909</v>
      </c>
      <c r="B404" s="220" t="str">
        <f>Servicio_internaColumna_título_intereses</f>
        <v>Intereses</v>
      </c>
      <c r="C404" s="221"/>
      <c r="D404" s="222"/>
      <c r="E404" s="222"/>
      <c r="F404" s="222"/>
      <c r="G404" s="222"/>
      <c r="H404" s="222"/>
      <c r="I404" s="222"/>
      <c r="J404" s="222"/>
      <c r="K404" s="222"/>
      <c r="L404" s="222"/>
      <c r="M404" s="222">
        <f>+'Perfil - interna'!M404+'Perfil - externa'!M402</f>
        <v>0</v>
      </c>
      <c r="N404" s="222">
        <f>+'Perfil - interna'!N404+'Perfil - externa'!N402</f>
        <v>15303307.186861722</v>
      </c>
      <c r="O404" s="222">
        <f>+'Perfil - interna'!O404+'Perfil - externa'!O402</f>
        <v>14465316.741165951</v>
      </c>
      <c r="P404" s="222">
        <f>+'Perfil - interna'!P404+'Perfil - externa'!P402</f>
        <v>12844985.82028381</v>
      </c>
      <c r="Q404" s="222">
        <f>+'Perfil - interna'!Q404+'Perfil - externa'!Q402</f>
        <v>10853599.300398355</v>
      </c>
      <c r="R404" s="222">
        <f>+'Perfil - interna'!R404+'Perfil - externa'!R402</f>
        <v>8753147.4166738372</v>
      </c>
      <c r="S404" s="222">
        <f>+'Perfil - interna'!S404+'Perfil - externa'!S402</f>
        <v>7686061.4028009679</v>
      </c>
      <c r="T404" s="222">
        <f>+'Perfil - interna'!T404+'Perfil - externa'!T402</f>
        <v>7286884.7013473399</v>
      </c>
      <c r="U404" s="222">
        <f>+'Perfil - interna'!U404+'Perfil - externa'!U402</f>
        <v>5813742.2524827458</v>
      </c>
      <c r="V404" s="222">
        <f>+'Perfil - interna'!V404+'Perfil - externa'!V402</f>
        <v>5518627.9403704274</v>
      </c>
      <c r="W404" s="222">
        <f>+'Perfil - interna'!W404+'Perfil - externa'!W402</f>
        <v>4458580.2307279631</v>
      </c>
      <c r="X404" s="222">
        <f>+'Perfil - interna'!X404+'Perfil - externa'!X402</f>
        <v>4076760.3634102298</v>
      </c>
      <c r="Y404" s="222">
        <f>+'Perfil - interna'!Y404+'Perfil - externa'!Y402</f>
        <v>4074658.1939124186</v>
      </c>
      <c r="Z404" s="222">
        <f>+'Perfil - interna'!Z404+'Perfil - externa'!Z402</f>
        <v>3204376.7699831049</v>
      </c>
      <c r="AA404" s="222">
        <f>+'Perfil - interna'!AA404+'Perfil - externa'!AA402</f>
        <v>1401965.079899339</v>
      </c>
      <c r="AB404" s="222">
        <f>+'Perfil - interna'!AB404+'Perfil - externa'!AB402</f>
        <v>1347861.83622979</v>
      </c>
      <c r="AC404" s="222">
        <f>+'Perfil - interna'!AC404+'Perfil - externa'!AC402</f>
        <v>1006265.8336827341</v>
      </c>
      <c r="AD404" s="222">
        <f>+'Perfil - interna'!AD404+'Perfil - externa'!AD402</f>
        <v>795208.91469480633</v>
      </c>
      <c r="AE404" s="222">
        <f>+'Perfil - interna'!AE404+'Perfil - externa'!AE402</f>
        <v>749681.92758280411</v>
      </c>
      <c r="AF404" s="222">
        <f>+'Perfil - interna'!AF404+'Perfil - externa'!AF402</f>
        <v>709006.9939219004</v>
      </c>
      <c r="AG404" s="222">
        <f>+'Perfil - interna'!AG404+'Perfil - externa'!AG402</f>
        <v>683871.57636065688</v>
      </c>
      <c r="AH404" s="222">
        <f>+'Perfil - interna'!AH404+'Perfil - externa'!AH402</f>
        <v>659548.87054375955</v>
      </c>
      <c r="AI404" s="222">
        <f>+'Perfil - interna'!AI404+'Perfil - externa'!AI402</f>
        <v>609682.7127049152</v>
      </c>
      <c r="AJ404" s="222">
        <f>+'Perfil - interna'!AJ404+'Perfil - externa'!AJ402</f>
        <v>565566.11221872398</v>
      </c>
      <c r="AK404" s="222">
        <f>+'Perfil - interna'!AK404+'Perfil - externa'!AK402</f>
        <v>554503.9815306348</v>
      </c>
      <c r="AL404" s="222">
        <f>+'Perfil - interna'!AL404+'Perfil - externa'!AL402</f>
        <v>545738.210158734</v>
      </c>
      <c r="AM404" s="222">
        <f>+'Perfil - interna'!AM404+'Perfil - externa'!AM402</f>
        <v>538887.24320230586</v>
      </c>
      <c r="AN404" s="222">
        <f>+'Perfil - interna'!AN404+'Perfil - externa'!AN402</f>
        <v>278028.25592003844</v>
      </c>
      <c r="AO404" s="222"/>
      <c r="AP404" s="222"/>
      <c r="AQ404" s="222"/>
      <c r="AR404" s="222"/>
      <c r="AS404" s="222"/>
      <c r="AT404" s="222"/>
      <c r="AU404" s="222"/>
      <c r="AV404" s="222"/>
      <c r="AW404" s="222"/>
      <c r="AX404" s="222"/>
      <c r="AY404" s="222"/>
      <c r="AZ404" s="222"/>
      <c r="BA404" s="222"/>
      <c r="BB404" s="222"/>
      <c r="BC404" s="222"/>
      <c r="BD404" s="222"/>
      <c r="BE404" s="222"/>
      <c r="BF404" s="222"/>
      <c r="BG404" s="222"/>
      <c r="BH404" s="222"/>
      <c r="BI404" s="222"/>
      <c r="BJ404" s="222"/>
      <c r="BK404" s="222"/>
    </row>
    <row r="405" spans="1:63">
      <c r="A405" s="171"/>
      <c r="B405" s="318" t="str">
        <f>Servicio_internaColumna_título_total</f>
        <v>Total</v>
      </c>
      <c r="C405" s="319"/>
      <c r="D405" s="320"/>
      <c r="E405" s="320"/>
      <c r="F405" s="320"/>
      <c r="G405" s="320"/>
      <c r="H405" s="320"/>
      <c r="I405" s="320"/>
      <c r="J405" s="320"/>
      <c r="K405" s="320"/>
      <c r="L405" s="320"/>
      <c r="M405" s="320">
        <f>+'Perfil - interna'!M405+'Perfil - externa'!M403</f>
        <v>0</v>
      </c>
      <c r="N405" s="320">
        <f>+'Perfil - interna'!N405+'Perfil - externa'!N403</f>
        <v>35052495.992769934</v>
      </c>
      <c r="O405" s="320">
        <f>+'Perfil - interna'!O405+'Perfil - externa'!O403</f>
        <v>38949100.66738674</v>
      </c>
      <c r="P405" s="320">
        <f>+'Perfil - interna'!P405+'Perfil - externa'!P403</f>
        <v>34671170.468392484</v>
      </c>
      <c r="Q405" s="320">
        <f>+'Perfil - interna'!Q405+'Perfil - externa'!Q403</f>
        <v>39160511.502187677</v>
      </c>
      <c r="R405" s="320">
        <f>+'Perfil - interna'!R405+'Perfil - externa'!R403</f>
        <v>23719882.200760417</v>
      </c>
      <c r="S405" s="320">
        <f>+'Perfil - interna'!S405+'Perfil - externa'!S403</f>
        <v>17567562.133296266</v>
      </c>
      <c r="T405" s="320">
        <f>+'Perfil - interna'!T405+'Perfil - externa'!T403</f>
        <v>20427948.699015524</v>
      </c>
      <c r="U405" s="320">
        <f>+'Perfil - interna'!U405+'Perfil - externa'!U403</f>
        <v>12196844.427287331</v>
      </c>
      <c r="V405" s="320">
        <f>+'Perfil - interna'!V405+'Perfil - externa'!V403</f>
        <v>16783961.058671616</v>
      </c>
      <c r="W405" s="320">
        <f>+'Perfil - interna'!W405+'Perfil - externa'!W403</f>
        <v>11510220.480241984</v>
      </c>
      <c r="X405" s="320">
        <f>+'Perfil - interna'!X405+'Perfil - externa'!X403</f>
        <v>5241096.7701100316</v>
      </c>
      <c r="Y405" s="320">
        <f>+'Perfil - interna'!Y405+'Perfil - externa'!Y403</f>
        <v>15854862.514202381</v>
      </c>
      <c r="Z405" s="320">
        <f>+'Perfil - interna'!Z405+'Perfil - externa'!Z403</f>
        <v>22825042.424144745</v>
      </c>
      <c r="AA405" s="320">
        <f>+'Perfil - interna'!AA405+'Perfil - externa'!AA403</f>
        <v>2639547.5418865611</v>
      </c>
      <c r="AB405" s="320">
        <f>+'Perfil - interna'!AB405+'Perfil - externa'!AB403</f>
        <v>5902443.4267668314</v>
      </c>
      <c r="AC405" s="320">
        <f>+'Perfil - interna'!AC405+'Perfil - externa'!AC403</f>
        <v>3674900.4274662249</v>
      </c>
      <c r="AD405" s="320">
        <f>+'Perfil - interna'!AD405+'Perfil - externa'!AD403</f>
        <v>1545696.1089818967</v>
      </c>
      <c r="AE405" s="320">
        <f>+'Perfil - interna'!AE405+'Perfil - externa'!AE403</f>
        <v>1912188.2547700494</v>
      </c>
      <c r="AF405" s="320">
        <f>+'Perfil - interna'!AF405+'Perfil - externa'!AF403</f>
        <v>1219101.7621484399</v>
      </c>
      <c r="AG405" s="320">
        <f>+'Perfil - interna'!AG405+'Perfil - externa'!AG403</f>
        <v>1152572.9167266544</v>
      </c>
      <c r="AH405" s="320">
        <f>+'Perfil - interna'!AH405+'Perfil - externa'!AH403</f>
        <v>1053702.4500906153</v>
      </c>
      <c r="AI405" s="320">
        <f>+'Perfil - interna'!AI405+'Perfil - externa'!AI403</f>
        <v>1476787.892973261</v>
      </c>
      <c r="AJ405" s="320">
        <f>+'Perfil - interna'!AJ405+'Perfil - externa'!AJ403</f>
        <v>784772.4149718663</v>
      </c>
      <c r="AK405" s="320">
        <f>+'Perfil - interna'!AK405+'Perfil - externa'!AK403</f>
        <v>710828.97279868275</v>
      </c>
      <c r="AL405" s="320">
        <f>+'Perfil - interna'!AL405+'Perfil - externa'!AL403</f>
        <v>649410.472849646</v>
      </c>
      <c r="AM405" s="320">
        <f>+'Perfil - interna'!AM405+'Perfil - externa'!AM403</f>
        <v>3873474.7544012801</v>
      </c>
      <c r="AN405" s="320">
        <f>+'Perfil - interna'!AN405+'Perfil - externa'!AN403</f>
        <v>286972.49892896885</v>
      </c>
      <c r="AO405" s="320"/>
      <c r="AP405" s="320"/>
      <c r="AQ405" s="320"/>
      <c r="AR405" s="320"/>
      <c r="AS405" s="320"/>
      <c r="AT405" s="320"/>
      <c r="AU405" s="320"/>
      <c r="AV405" s="320"/>
      <c r="AW405" s="320"/>
      <c r="AX405" s="320"/>
      <c r="AY405" s="320"/>
      <c r="AZ405" s="320"/>
      <c r="BA405" s="320"/>
      <c r="BB405" s="320"/>
      <c r="BC405" s="320"/>
      <c r="BD405" s="320"/>
      <c r="BE405" s="320"/>
      <c r="BF405" s="320"/>
      <c r="BG405" s="320"/>
      <c r="BH405" s="320"/>
      <c r="BI405" s="320"/>
      <c r="BJ405" s="320"/>
      <c r="BK405" s="320"/>
    </row>
    <row r="406" spans="1:63">
      <c r="A406" s="167"/>
      <c r="B406" s="217" t="str">
        <f>Servicio_internaColumna_título_amortizaciones</f>
        <v>Amortizaciones</v>
      </c>
      <c r="C406" s="218"/>
      <c r="D406" s="219"/>
      <c r="E406" s="219"/>
      <c r="F406" s="219"/>
      <c r="G406" s="219"/>
      <c r="H406" s="219"/>
      <c r="I406" s="219"/>
      <c r="J406" s="219"/>
      <c r="K406" s="219"/>
      <c r="L406" s="219"/>
      <c r="M406" s="219">
        <f>+'Perfil - interna'!M406+'Perfil - externa'!M404</f>
        <v>0</v>
      </c>
      <c r="N406" s="219">
        <f>+'Perfil - interna'!N406+'Perfil - externa'!N404</f>
        <v>19515946.002481479</v>
      </c>
      <c r="O406" s="219">
        <f>+'Perfil - interna'!O406+'Perfil - externa'!O404</f>
        <v>24273658.054513138</v>
      </c>
      <c r="P406" s="219">
        <f>+'Perfil - interna'!P406+'Perfil - externa'!P404</f>
        <v>21741068.291922938</v>
      </c>
      <c r="Q406" s="219">
        <f>+'Perfil - interna'!Q406+'Perfil - externa'!Q404</f>
        <v>28189182.104362816</v>
      </c>
      <c r="R406" s="219">
        <f>+'Perfil - interna'!R406+'Perfil - externa'!R404</f>
        <v>15564579.432230035</v>
      </c>
      <c r="S406" s="219">
        <f>+'Perfil - interna'!S406+'Perfil - externa'!S404</f>
        <v>10028971.118501823</v>
      </c>
      <c r="T406" s="219">
        <f>+'Perfil - interna'!T406+'Perfil - externa'!T404</f>
        <v>13628274.989372764</v>
      </c>
      <c r="U406" s="219">
        <f>+'Perfil - interna'!U406+'Perfil - externa'!U404</f>
        <v>6153271.4491783688</v>
      </c>
      <c r="V406" s="219">
        <f>+'Perfil - interna'!V406+'Perfil - externa'!V404</f>
        <v>11192202.508475566</v>
      </c>
      <c r="W406" s="219">
        <f>+'Perfil - interna'!W406+'Perfil - externa'!W404</f>
        <v>6868294.8767764457</v>
      </c>
      <c r="X406" s="219">
        <f>+'Perfil - interna'!X406+'Perfil - externa'!X404</f>
        <v>1134152.7713415411</v>
      </c>
      <c r="Y406" s="219">
        <f>+'Perfil - interna'!Y406+'Perfil - externa'!Y404</f>
        <v>11955078.957479002</v>
      </c>
      <c r="Z406" s="219">
        <f>+'Perfil - interna'!Z406+'Perfil - externa'!Z404</f>
        <v>19548464.833125334</v>
      </c>
      <c r="AA406" s="219">
        <f>+'Perfil - interna'!AA406+'Perfil - externa'!AA404</f>
        <v>1205506.2554841582</v>
      </c>
      <c r="AB406" s="219">
        <f>+'Perfil - interna'!AB406+'Perfil - externa'!AB404</f>
        <v>5135281.7784105279</v>
      </c>
      <c r="AC406" s="219">
        <f>+'Perfil - interna'!AC406+'Perfil - externa'!AC404</f>
        <v>2456673.8226217744</v>
      </c>
      <c r="AD406" s="219">
        <f>+'Perfil - interna'!AD406+'Perfil - externa'!AD404</f>
        <v>730948.78334541747</v>
      </c>
      <c r="AE406" s="219">
        <f>+'Perfil - interna'!AE406+'Perfil - externa'!AE404</f>
        <v>1132284.7140959429</v>
      </c>
      <c r="AF406" s="219">
        <f>+'Perfil - interna'!AF406+'Perfil - externa'!AF404</f>
        <v>496814.23139033921</v>
      </c>
      <c r="AG406" s="219">
        <f>+'Perfil - interna'!AG406+'Perfil - externa'!AG404</f>
        <v>456484.62994305801</v>
      </c>
      <c r="AH406" s="219">
        <f>+'Perfil - interna'!AH406+'Perfil - externa'!AH404</f>
        <v>383865.99048248929</v>
      </c>
      <c r="AI406" s="219">
        <f>+'Perfil - interna'!AI406+'Perfil - externa'!AI404</f>
        <v>844509.35831413069</v>
      </c>
      <c r="AJ406" s="219">
        <f>+'Perfil - interna'!AJ406+'Perfil - externa'!AJ404</f>
        <v>213476.52635206739</v>
      </c>
      <c r="AK406" s="219">
        <f>+'Perfil - interna'!AK406+'Perfil - externa'!AK404</f>
        <v>152232.13553585298</v>
      </c>
      <c r="AL406" s="219">
        <f>+'Perfil - interna'!AL406+'Perfil - externa'!AL404</f>
        <v>100948.93488262649</v>
      </c>
      <c r="AM406" s="219">
        <f>+'Perfil - interna'!AM406+'Perfil - externa'!AM404</f>
        <v>3247781.8277557367</v>
      </c>
      <c r="AN406" s="219">
        <f>+'Perfil - interna'!AN406+'Perfil - externa'!AN404</f>
        <v>8711.4072759753963</v>
      </c>
      <c r="AO406" s="219"/>
      <c r="AP406" s="219"/>
      <c r="AQ406" s="219"/>
      <c r="AR406" s="219"/>
      <c r="AS406" s="219"/>
      <c r="AT406" s="219"/>
      <c r="AU406" s="219"/>
      <c r="AV406" s="219"/>
      <c r="AW406" s="219"/>
      <c r="AX406" s="219"/>
      <c r="AY406" s="219"/>
      <c r="AZ406" s="219"/>
      <c r="BA406" s="219"/>
      <c r="BB406" s="219"/>
      <c r="BC406" s="219"/>
      <c r="BD406" s="219"/>
      <c r="BE406" s="219"/>
      <c r="BF406" s="219"/>
      <c r="BG406" s="219"/>
      <c r="BH406" s="219"/>
      <c r="BI406" s="219"/>
      <c r="BJ406" s="219"/>
      <c r="BK406" s="219"/>
    </row>
    <row r="407" spans="1:63">
      <c r="A407" s="170">
        <v>40940</v>
      </c>
      <c r="B407" s="220" t="str">
        <f>Servicio_internaColumna_título_intereses</f>
        <v>Intereses</v>
      </c>
      <c r="C407" s="221"/>
      <c r="D407" s="222"/>
      <c r="E407" s="222"/>
      <c r="F407" s="222"/>
      <c r="G407" s="222"/>
      <c r="H407" s="222"/>
      <c r="I407" s="222"/>
      <c r="J407" s="222"/>
      <c r="K407" s="222"/>
      <c r="L407" s="222"/>
      <c r="M407" s="222">
        <f>+'Perfil - interna'!M407+'Perfil - externa'!M405</f>
        <v>0</v>
      </c>
      <c r="N407" s="222">
        <f>+'Perfil - interna'!N407+'Perfil - externa'!N405</f>
        <v>13833434.279882131</v>
      </c>
      <c r="O407" s="222">
        <f>+'Perfil - interna'!O407+'Perfil - externa'!O405</f>
        <v>14590881.165590288</v>
      </c>
      <c r="P407" s="222">
        <f>+'Perfil - interna'!P407+'Perfil - externa'!P405</f>
        <v>12936976.943911497</v>
      </c>
      <c r="Q407" s="222">
        <f>+'Perfil - interna'!Q407+'Perfil - externa'!Q405</f>
        <v>10949338.281419942</v>
      </c>
      <c r="R407" s="222">
        <f>+'Perfil - interna'!R407+'Perfil - externa'!R405</f>
        <v>8849981.2232655883</v>
      </c>
      <c r="S407" s="222">
        <f>+'Perfil - interna'!S407+'Perfil - externa'!S405</f>
        <v>7723129.8528874852</v>
      </c>
      <c r="T407" s="222">
        <f>+'Perfil - interna'!T407+'Perfil - externa'!T405</f>
        <v>7323909.8083090866</v>
      </c>
      <c r="U407" s="222">
        <f>+'Perfil - interna'!U407+'Perfil - externa'!U405</f>
        <v>5801191.7073614653</v>
      </c>
      <c r="V407" s="222">
        <f>+'Perfil - interna'!V407+'Perfil - externa'!V405</f>
        <v>5516884.3118902659</v>
      </c>
      <c r="W407" s="222">
        <f>+'Perfil - interna'!W407+'Perfil - externa'!W405</f>
        <v>4468880.4116952289</v>
      </c>
      <c r="X407" s="222">
        <f>+'Perfil - interna'!X407+'Perfil - externa'!X405</f>
        <v>4109635.048300866</v>
      </c>
      <c r="Y407" s="222">
        <f>+'Perfil - interna'!Y407+'Perfil - externa'!Y405</f>
        <v>4080872.3136841478</v>
      </c>
      <c r="Z407" s="222">
        <f>+'Perfil - interna'!Z407+'Perfil - externa'!Z405</f>
        <v>3219467.3058464136</v>
      </c>
      <c r="AA407" s="222">
        <f>+'Perfil - interna'!AA407+'Perfil - externa'!AA405</f>
        <v>1416065.4667653069</v>
      </c>
      <c r="AB407" s="222">
        <f>+'Perfil - interna'!AB407+'Perfil - externa'!AB405</f>
        <v>1361914.8450422962</v>
      </c>
      <c r="AC407" s="222">
        <f>+'Perfil - interna'!AC407+'Perfil - externa'!AC405</f>
        <v>985439.79888014297</v>
      </c>
      <c r="AD407" s="222">
        <f>+'Perfil - interna'!AD407+'Perfil - externa'!AD405</f>
        <v>781373.17199797928</v>
      </c>
      <c r="AE407" s="222">
        <f>+'Perfil - interna'!AE407+'Perfil - externa'!AE405</f>
        <v>735439.29587654013</v>
      </c>
      <c r="AF407" s="222">
        <f>+'Perfil - interna'!AF407+'Perfil - externa'!AF405</f>
        <v>694352.00116879388</v>
      </c>
      <c r="AG407" s="222">
        <f>+'Perfil - interna'!AG407+'Perfil - externa'!AG405</f>
        <v>669111.27792747796</v>
      </c>
      <c r="AH407" s="222">
        <f>+'Perfil - interna'!AH407+'Perfil - externa'!AH405</f>
        <v>645155.57567549974</v>
      </c>
      <c r="AI407" s="222">
        <f>+'Perfil - interna'!AI407+'Perfil - externa'!AI405</f>
        <v>595582.87161624664</v>
      </c>
      <c r="AJ407" s="222">
        <f>+'Perfil - interna'!AJ407+'Perfil - externa'!AJ405</f>
        <v>552166.07085920346</v>
      </c>
      <c r="AK407" s="222">
        <f>+'Perfil - interna'!AK407+'Perfil - externa'!AK405</f>
        <v>540979.02582797571</v>
      </c>
      <c r="AL407" s="222">
        <f>+'Perfil - interna'!AL407+'Perfil - externa'!AL405</f>
        <v>532070.69860483648</v>
      </c>
      <c r="AM407" s="222">
        <f>+'Perfil - interna'!AM407+'Perfil - externa'!AM405</f>
        <v>525174.65861092391</v>
      </c>
      <c r="AN407" s="222">
        <f>+'Perfil - interna'!AN407+'Perfil - externa'!AN405</f>
        <v>270790.64926235843</v>
      </c>
      <c r="AO407" s="222"/>
      <c r="AP407" s="222"/>
      <c r="AQ407" s="222"/>
      <c r="AR407" s="222"/>
      <c r="AS407" s="222"/>
      <c r="AT407" s="222"/>
      <c r="AU407" s="222"/>
      <c r="AV407" s="222"/>
      <c r="AW407" s="222"/>
      <c r="AX407" s="222"/>
      <c r="AY407" s="222"/>
      <c r="AZ407" s="222"/>
      <c r="BA407" s="222"/>
      <c r="BB407" s="222"/>
      <c r="BC407" s="222"/>
      <c r="BD407" s="222"/>
      <c r="BE407" s="222"/>
      <c r="BF407" s="222"/>
      <c r="BG407" s="222"/>
      <c r="BH407" s="222"/>
      <c r="BI407" s="222"/>
      <c r="BJ407" s="222"/>
      <c r="BK407" s="222"/>
    </row>
    <row r="408" spans="1:63">
      <c r="A408" s="171"/>
      <c r="B408" s="318" t="str">
        <f>Servicio_internaColumna_título_total</f>
        <v>Total</v>
      </c>
      <c r="C408" s="319"/>
      <c r="D408" s="320"/>
      <c r="E408" s="320"/>
      <c r="F408" s="320"/>
      <c r="G408" s="320"/>
      <c r="H408" s="320"/>
      <c r="I408" s="320"/>
      <c r="J408" s="320"/>
      <c r="K408" s="320"/>
      <c r="L408" s="320"/>
      <c r="M408" s="320">
        <f>+'Perfil - interna'!M408+'Perfil - externa'!M406</f>
        <v>0</v>
      </c>
      <c r="N408" s="320">
        <f>+'Perfil - interna'!N408+'Perfil - externa'!N406</f>
        <v>33349380.282363608</v>
      </c>
      <c r="O408" s="320">
        <f>+'Perfil - interna'!O408+'Perfil - externa'!O406</f>
        <v>38864539.220103428</v>
      </c>
      <c r="P408" s="320">
        <f>+'Perfil - interna'!P408+'Perfil - externa'!P406</f>
        <v>34678045.235834435</v>
      </c>
      <c r="Q408" s="320">
        <f>+'Perfil - interna'!Q408+'Perfil - externa'!Q406</f>
        <v>39138520.385782756</v>
      </c>
      <c r="R408" s="320">
        <f>+'Perfil - interna'!R408+'Perfil - externa'!R406</f>
        <v>24414560.655495621</v>
      </c>
      <c r="S408" s="320">
        <f>+'Perfil - interna'!S408+'Perfil - externa'!S406</f>
        <v>17752100.971389309</v>
      </c>
      <c r="T408" s="320">
        <f>+'Perfil - interna'!T408+'Perfil - externa'!T406</f>
        <v>20952184.797681853</v>
      </c>
      <c r="U408" s="320">
        <f>+'Perfil - interna'!U408+'Perfil - externa'!U406</f>
        <v>11954463.156539835</v>
      </c>
      <c r="V408" s="320">
        <f>+'Perfil - interna'!V408+'Perfil - externa'!V406</f>
        <v>16709086.820365831</v>
      </c>
      <c r="W408" s="320">
        <f>+'Perfil - interna'!W408+'Perfil - externa'!W406</f>
        <v>11337175.288471675</v>
      </c>
      <c r="X408" s="320">
        <f>+'Perfil - interna'!X408+'Perfil - externa'!X406</f>
        <v>5243787.8196424069</v>
      </c>
      <c r="Y408" s="320">
        <f>+'Perfil - interna'!Y408+'Perfil - externa'!Y406</f>
        <v>16035951.271163151</v>
      </c>
      <c r="Z408" s="320">
        <f>+'Perfil - interna'!Z408+'Perfil - externa'!Z406</f>
        <v>22767932.13897175</v>
      </c>
      <c r="AA408" s="320">
        <f>+'Perfil - interna'!AA408+'Perfil - externa'!AA406</f>
        <v>2621571.7222494651</v>
      </c>
      <c r="AB408" s="320">
        <f>+'Perfil - interna'!AB408+'Perfil - externa'!AB406</f>
        <v>6497196.6234528236</v>
      </c>
      <c r="AC408" s="320">
        <f>+'Perfil - interna'!AC408+'Perfil - externa'!AC406</f>
        <v>3442113.6215019175</v>
      </c>
      <c r="AD408" s="320">
        <f>+'Perfil - interna'!AD408+'Perfil - externa'!AD406</f>
        <v>1512321.9553433966</v>
      </c>
      <c r="AE408" s="320">
        <f>+'Perfil - interna'!AE408+'Perfil - externa'!AE406</f>
        <v>1867724.0099724832</v>
      </c>
      <c r="AF408" s="320">
        <f>+'Perfil - interna'!AF408+'Perfil - externa'!AF406</f>
        <v>1191166.2325591331</v>
      </c>
      <c r="AG408" s="320">
        <f>+'Perfil - interna'!AG408+'Perfil - externa'!AG406</f>
        <v>1125595.9078705357</v>
      </c>
      <c r="AH408" s="320">
        <f>+'Perfil - interna'!AH408+'Perfil - externa'!AH406</f>
        <v>1029021.5661579891</v>
      </c>
      <c r="AI408" s="320">
        <f>+'Perfil - interna'!AI408+'Perfil - externa'!AI406</f>
        <v>1440092.2299303771</v>
      </c>
      <c r="AJ408" s="320">
        <f>+'Perfil - interna'!AJ408+'Perfil - externa'!AJ406</f>
        <v>765642.59721127083</v>
      </c>
      <c r="AK408" s="320">
        <f>+'Perfil - interna'!AK408+'Perfil - externa'!AK406</f>
        <v>693211.16136382858</v>
      </c>
      <c r="AL408" s="320">
        <f>+'Perfil - interna'!AL408+'Perfil - externa'!AL406</f>
        <v>633019.633487463</v>
      </c>
      <c r="AM408" s="320">
        <f>+'Perfil - interna'!AM408+'Perfil - externa'!AM406</f>
        <v>3772956.4863666608</v>
      </c>
      <c r="AN408" s="320">
        <f>+'Perfil - interna'!AN408+'Perfil - externa'!AN406</f>
        <v>279502.05653833383</v>
      </c>
      <c r="AO408" s="320"/>
      <c r="AP408" s="320"/>
      <c r="AQ408" s="320"/>
      <c r="AR408" s="320"/>
      <c r="AS408" s="320"/>
      <c r="AT408" s="320"/>
      <c r="AU408" s="320"/>
      <c r="AV408" s="320"/>
      <c r="AW408" s="320"/>
      <c r="AX408" s="320"/>
      <c r="AY408" s="320"/>
      <c r="AZ408" s="320"/>
      <c r="BA408" s="320"/>
      <c r="BB408" s="320"/>
      <c r="BC408" s="320"/>
      <c r="BD408" s="320"/>
      <c r="BE408" s="320"/>
      <c r="BF408" s="320"/>
      <c r="BG408" s="320"/>
      <c r="BH408" s="320"/>
      <c r="BI408" s="320"/>
      <c r="BJ408" s="320"/>
      <c r="BK408" s="320"/>
    </row>
    <row r="409" spans="1:63">
      <c r="A409" s="167"/>
      <c r="B409" s="217" t="str">
        <f>Servicio_internaColumna_título_amortizaciones</f>
        <v>Amortizaciones</v>
      </c>
      <c r="C409" s="218"/>
      <c r="D409" s="219"/>
      <c r="E409" s="219"/>
      <c r="F409" s="219"/>
      <c r="G409" s="219"/>
      <c r="H409" s="219"/>
      <c r="I409" s="219"/>
      <c r="J409" s="219"/>
      <c r="K409" s="219"/>
      <c r="L409" s="219"/>
      <c r="M409" s="219"/>
      <c r="N409" s="219">
        <f>+'Perfil - interna'!N409+'Perfil - externa'!N407</f>
        <v>17505822.117904767</v>
      </c>
      <c r="O409" s="219">
        <f>+'Perfil - interna'!O409+'Perfil - externa'!O407</f>
        <v>24344583.40894578</v>
      </c>
      <c r="P409" s="219">
        <f>+'Perfil - interna'!P409+'Perfil - externa'!P407</f>
        <v>21779609.749670867</v>
      </c>
      <c r="Q409" s="219">
        <f>+'Perfil - interna'!Q409+'Perfil - externa'!Q407</f>
        <v>28455550.250641752</v>
      </c>
      <c r="R409" s="219">
        <f>+'Perfil - interna'!R409+'Perfil - externa'!R407</f>
        <v>16175129.897617834</v>
      </c>
      <c r="S409" s="219">
        <f>+'Perfil - interna'!S409+'Perfil - externa'!S407</f>
        <v>10300182.067871811</v>
      </c>
      <c r="T409" s="219">
        <f>+'Perfil - interna'!T409+'Perfil - externa'!T407</f>
        <v>14148065.542996835</v>
      </c>
      <c r="U409" s="219">
        <f>+'Perfil - interna'!U409+'Perfil - externa'!U407</f>
        <v>6348282.0824026363</v>
      </c>
      <c r="V409" s="219">
        <f>+'Perfil - interna'!V409+'Perfil - externa'!V407</f>
        <v>11386378.720291721</v>
      </c>
      <c r="W409" s="219">
        <f>+'Perfil - interna'!W409+'Perfil - externa'!W407</f>
        <v>7101741.6267581917</v>
      </c>
      <c r="X409" s="219">
        <f>+'Perfil - interna'!X409+'Perfil - externa'!X407</f>
        <v>2919188.9359174115</v>
      </c>
      <c r="Y409" s="219">
        <f>+'Perfil - interna'!Y409+'Perfil - externa'!Y407</f>
        <v>12347553.647858497</v>
      </c>
      <c r="Z409" s="219">
        <f>+'Perfil - interna'!Z409+'Perfil - externa'!Z407</f>
        <v>19745854.723333701</v>
      </c>
      <c r="AA409" s="219">
        <f>+'Perfil - interna'!AA409+'Perfil - externa'!AA407</f>
        <v>1380273.9197434981</v>
      </c>
      <c r="AB409" s="219">
        <f>+'Perfil - interna'!AB409+'Perfil - externa'!AB407</f>
        <v>5888922.1629304299</v>
      </c>
      <c r="AC409" s="219">
        <f>+'Perfil - interna'!AC409+'Perfil - externa'!AC407</f>
        <v>3017971.7019762103</v>
      </c>
      <c r="AD409" s="219">
        <f>+'Perfil - interna'!AD409+'Perfil - externa'!AD407</f>
        <v>896189.74859037937</v>
      </c>
      <c r="AE409" s="219">
        <f>+'Perfil - interna'!AE409+'Perfil - externa'!AE407</f>
        <v>1296513.0017605897</v>
      </c>
      <c r="AF409" s="219">
        <f>+'Perfil - interna'!AF409+'Perfil - externa'!AF407</f>
        <v>623455.61225173331</v>
      </c>
      <c r="AG409" s="219">
        <f>+'Perfil - interna'!AG409+'Perfil - externa'!AG407</f>
        <v>587195.57562763337</v>
      </c>
      <c r="AH409" s="219">
        <f>+'Perfil - interna'!AH409+'Perfil - externa'!AH407</f>
        <v>514811.92966018448</v>
      </c>
      <c r="AI409" s="219">
        <f>+'Perfil - interna'!AI409+'Perfil - externa'!AI407</f>
        <v>933929.37923540513</v>
      </c>
      <c r="AJ409" s="219">
        <f>+'Perfil - interna'!AJ409+'Perfil - externa'!AJ407</f>
        <v>272096.88038610719</v>
      </c>
      <c r="AK409" s="219">
        <f>+'Perfil - interna'!AK409+'Perfil - externa'!AK407</f>
        <v>190861.25651735842</v>
      </c>
      <c r="AL409" s="219">
        <f>+'Perfil - interna'!AL409+'Perfil - externa'!AL407</f>
        <v>139089.3822602432</v>
      </c>
      <c r="AM409" s="219">
        <f>+'Perfil - interna'!AM409+'Perfil - externa'!AM407</f>
        <v>3315881.6021559876</v>
      </c>
      <c r="AN409" s="219">
        <f>+'Perfil - interna'!AN409+'Perfil - externa'!AN407</f>
        <v>45974.757825135202</v>
      </c>
      <c r="AO409" s="219"/>
      <c r="AP409" s="219"/>
      <c r="AQ409" s="219"/>
      <c r="AR409" s="219"/>
      <c r="AS409" s="219"/>
      <c r="AT409" s="219"/>
      <c r="AU409" s="219"/>
      <c r="AV409" s="219"/>
      <c r="AW409" s="219"/>
      <c r="AX409" s="219"/>
      <c r="AY409" s="219"/>
      <c r="AZ409" s="219"/>
      <c r="BA409" s="219"/>
      <c r="BB409" s="219"/>
      <c r="BC409" s="219"/>
      <c r="BD409" s="219"/>
      <c r="BE409" s="219"/>
      <c r="BF409" s="219"/>
      <c r="BG409" s="219"/>
      <c r="BH409" s="219"/>
      <c r="BI409" s="219"/>
      <c r="BJ409" s="219"/>
      <c r="BK409" s="219"/>
    </row>
    <row r="410" spans="1:63">
      <c r="A410" s="170">
        <v>40969</v>
      </c>
      <c r="B410" s="220" t="str">
        <f>Servicio_internaColumna_título_intereses</f>
        <v>Intereses</v>
      </c>
      <c r="C410" s="221"/>
      <c r="D410" s="222"/>
      <c r="E410" s="222"/>
      <c r="F410" s="222"/>
      <c r="G410" s="222"/>
      <c r="H410" s="222"/>
      <c r="I410" s="222"/>
      <c r="J410" s="222"/>
      <c r="K410" s="222"/>
      <c r="L410" s="222"/>
      <c r="M410" s="222"/>
      <c r="N410" s="222">
        <f>+'Perfil - interna'!N410+'Perfil - externa'!N408</f>
        <v>13256504.151936186</v>
      </c>
      <c r="O410" s="222">
        <f>+'Perfil - interna'!O410+'Perfil - externa'!O408</f>
        <v>14854976.532657292</v>
      </c>
      <c r="P410" s="222">
        <f>+'Perfil - interna'!P410+'Perfil - externa'!P408</f>
        <v>13270476.991348933</v>
      </c>
      <c r="Q410" s="222">
        <f>+'Perfil - interna'!Q410+'Perfil - externa'!Q408</f>
        <v>11326910.725649428</v>
      </c>
      <c r="R410" s="222">
        <f>+'Perfil - interna'!R410+'Perfil - externa'!R408</f>
        <v>9250016.5065468587</v>
      </c>
      <c r="S410" s="222">
        <f>+'Perfil - interna'!S410+'Perfil - externa'!S408</f>
        <v>8102296.7992116325</v>
      </c>
      <c r="T410" s="222">
        <f>+'Perfil - interna'!T410+'Perfil - externa'!T408</f>
        <v>7699853.5717064347</v>
      </c>
      <c r="U410" s="222">
        <f>+'Perfil - interna'!U410+'Perfil - externa'!U408</f>
        <v>6125516.9101547021</v>
      </c>
      <c r="V410" s="222">
        <f>+'Perfil - interna'!V410+'Perfil - externa'!V408</f>
        <v>5837248.910221206</v>
      </c>
      <c r="W410" s="222">
        <f>+'Perfil - interna'!W410+'Perfil - externa'!W408</f>
        <v>4781109.9682483217</v>
      </c>
      <c r="X410" s="222">
        <f>+'Perfil - interna'!X410+'Perfil - externa'!X408</f>
        <v>4405919.1710101701</v>
      </c>
      <c r="Y410" s="222">
        <f>+'Perfil - interna'!Y410+'Perfil - externa'!Y408</f>
        <v>4274184.5516113797</v>
      </c>
      <c r="Z410" s="222">
        <f>+'Perfil - interna'!Z410+'Perfil - externa'!Z408</f>
        <v>3387260.8292813236</v>
      </c>
      <c r="AA410" s="222">
        <f>+'Perfil - interna'!AA410+'Perfil - externa'!AA408</f>
        <v>1577284.6355653559</v>
      </c>
      <c r="AB410" s="222">
        <f>+'Perfil - interna'!AB410+'Perfil - externa'!AB408</f>
        <v>1510940.8065346088</v>
      </c>
      <c r="AC410" s="222">
        <f>+'Perfil - interna'!AC410+'Perfil - externa'!AC408</f>
        <v>1065853.7977359435</v>
      </c>
      <c r="AD410" s="222">
        <f>+'Perfil - interna'!AD410+'Perfil - externa'!AD408</f>
        <v>847060.3635517105</v>
      </c>
      <c r="AE410" s="222">
        <f>+'Perfil - interna'!AE410+'Perfil - externa'!AE408</f>
        <v>791914.5908542861</v>
      </c>
      <c r="AF410" s="222">
        <f>+'Perfil - interna'!AF410+'Perfil - externa'!AF408</f>
        <v>742408.99306971952</v>
      </c>
      <c r="AG410" s="222">
        <f>+'Perfil - interna'!AG410+'Perfil - externa'!AG408</f>
        <v>710278.71483635937</v>
      </c>
      <c r="AH410" s="222">
        <f>+'Perfil - interna'!AH410+'Perfil - externa'!AH408</f>
        <v>678971.16095454374</v>
      </c>
      <c r="AI410" s="222">
        <f>+'Perfil - interna'!AI410+'Perfil - externa'!AI408</f>
        <v>623603.17681325995</v>
      </c>
      <c r="AJ410" s="222">
        <f>+'Perfil - interna'!AJ410+'Perfil - externa'!AJ408</f>
        <v>576306.68708918791</v>
      </c>
      <c r="AK410" s="222">
        <f>+'Perfil - interna'!AK410+'Perfil - externa'!AK408</f>
        <v>562436.08897120738</v>
      </c>
      <c r="AL410" s="222">
        <f>+'Perfil - interna'!AL410+'Perfil - externa'!AL408</f>
        <v>551597.16277172603</v>
      </c>
      <c r="AM410" s="222">
        <f>+'Perfil - interna'!AM410+'Perfil - externa'!AM408</f>
        <v>542808.92263167037</v>
      </c>
      <c r="AN410" s="222">
        <f>+'Perfil - interna'!AN410+'Perfil - externa'!AN408</f>
        <v>284421.76667102298</v>
      </c>
      <c r="AO410" s="222"/>
      <c r="AP410" s="222"/>
      <c r="AQ410" s="222"/>
      <c r="AR410" s="222"/>
      <c r="AS410" s="222"/>
      <c r="AT410" s="222"/>
      <c r="AU410" s="222"/>
      <c r="AV410" s="222"/>
      <c r="AW410" s="222"/>
      <c r="AX410" s="222"/>
      <c r="AY410" s="222"/>
      <c r="AZ410" s="222"/>
      <c r="BA410" s="222"/>
      <c r="BB410" s="222"/>
      <c r="BC410" s="222"/>
      <c r="BD410" s="222"/>
      <c r="BE410" s="222"/>
      <c r="BF410" s="222"/>
      <c r="BG410" s="222"/>
      <c r="BH410" s="222"/>
      <c r="BI410" s="222"/>
      <c r="BJ410" s="222"/>
      <c r="BK410" s="222"/>
    </row>
    <row r="411" spans="1:63">
      <c r="A411" s="171"/>
      <c r="B411" s="318" t="str">
        <f>Servicio_internaColumna_título_total</f>
        <v>Total</v>
      </c>
      <c r="C411" s="319"/>
      <c r="D411" s="320"/>
      <c r="E411" s="320"/>
      <c r="F411" s="320"/>
      <c r="G411" s="320"/>
      <c r="H411" s="320"/>
      <c r="I411" s="320"/>
      <c r="J411" s="320"/>
      <c r="K411" s="320"/>
      <c r="L411" s="320"/>
      <c r="M411" s="320"/>
      <c r="N411" s="320">
        <f>+'Perfil - interna'!N411+'Perfil - externa'!N409</f>
        <v>30762326.269840956</v>
      </c>
      <c r="O411" s="320">
        <f>+'Perfil - interna'!O411+'Perfil - externa'!O409</f>
        <v>39199559.941603072</v>
      </c>
      <c r="P411" s="320">
        <f>+'Perfil - interna'!P411+'Perfil - externa'!P409</f>
        <v>35050086.7410198</v>
      </c>
      <c r="Q411" s="320">
        <f>+'Perfil - interna'!Q411+'Perfil - externa'!Q409</f>
        <v>39782460.97629118</v>
      </c>
      <c r="R411" s="320">
        <f>+'Perfil - interna'!R411+'Perfil - externa'!R409</f>
        <v>25425146.404164694</v>
      </c>
      <c r="S411" s="320">
        <f>+'Perfil - interna'!S411+'Perfil - externa'!S409</f>
        <v>18402478.867083445</v>
      </c>
      <c r="T411" s="320">
        <f>+'Perfil - interna'!T411+'Perfil - externa'!T409</f>
        <v>21847919.114703272</v>
      </c>
      <c r="U411" s="320">
        <f>+'Perfil - interna'!U411+'Perfil - externa'!U409</f>
        <v>12473798.992557338</v>
      </c>
      <c r="V411" s="320">
        <f>+'Perfil - interna'!V411+'Perfil - externa'!V409</f>
        <v>17223627.630512927</v>
      </c>
      <c r="W411" s="320">
        <f>+'Perfil - interna'!W411+'Perfil - externa'!W409</f>
        <v>11882851.595006512</v>
      </c>
      <c r="X411" s="320">
        <f>+'Perfil - interna'!X411+'Perfil - externa'!X409</f>
        <v>7325108.1069275821</v>
      </c>
      <c r="Y411" s="320">
        <f>+'Perfil - interna'!Y411+'Perfil - externa'!Y409</f>
        <v>16621738.199469877</v>
      </c>
      <c r="Z411" s="320">
        <f>+'Perfil - interna'!Z411+'Perfil - externa'!Z409</f>
        <v>23133115.552615028</v>
      </c>
      <c r="AA411" s="320">
        <f>+'Perfil - interna'!AA411+'Perfil - externa'!AA409</f>
        <v>2957558.5553088542</v>
      </c>
      <c r="AB411" s="320">
        <f>+'Perfil - interna'!AB411+'Perfil - externa'!AB409</f>
        <v>7399862.9694650387</v>
      </c>
      <c r="AC411" s="320">
        <f>+'Perfil - interna'!AC411+'Perfil - externa'!AC409</f>
        <v>4083825.4997121538</v>
      </c>
      <c r="AD411" s="320">
        <f>+'Perfil - interna'!AD411+'Perfil - externa'!AD409</f>
        <v>1743250.11214209</v>
      </c>
      <c r="AE411" s="320">
        <f>+'Perfil - interna'!AE411+'Perfil - externa'!AE409</f>
        <v>2088427.5926148759</v>
      </c>
      <c r="AF411" s="320">
        <f>+'Perfil - interna'!AF411+'Perfil - externa'!AF409</f>
        <v>1365864.605321453</v>
      </c>
      <c r="AG411" s="320">
        <f>+'Perfil - interna'!AG411+'Perfil - externa'!AG409</f>
        <v>1297474.2904639929</v>
      </c>
      <c r="AH411" s="320">
        <f>+'Perfil - interna'!AH411+'Perfil - externa'!AH409</f>
        <v>1193783.0906147282</v>
      </c>
      <c r="AI411" s="320">
        <f>+'Perfil - interna'!AI411+'Perfil - externa'!AI409</f>
        <v>1557532.556048665</v>
      </c>
      <c r="AJ411" s="320">
        <f>+'Perfil - interna'!AJ411+'Perfil - externa'!AJ409</f>
        <v>848403.56747529516</v>
      </c>
      <c r="AK411" s="320">
        <f>+'Perfil - interna'!AK411+'Perfil - externa'!AK409</f>
        <v>753297.34548856574</v>
      </c>
      <c r="AL411" s="320">
        <f>+'Perfil - interna'!AL411+'Perfil - externa'!AL409</f>
        <v>690686.5450319692</v>
      </c>
      <c r="AM411" s="320">
        <f>+'Perfil - interna'!AM411+'Perfil - externa'!AM409</f>
        <v>3858690.5247876579</v>
      </c>
      <c r="AN411" s="320">
        <f>+'Perfil - interna'!AN411+'Perfil - externa'!AN409</f>
        <v>330396.52449615818</v>
      </c>
      <c r="AO411" s="320"/>
      <c r="AP411" s="320"/>
      <c r="AQ411" s="320"/>
      <c r="AR411" s="320"/>
      <c r="AS411" s="320"/>
      <c r="AT411" s="320"/>
      <c r="AU411" s="320"/>
      <c r="AV411" s="320"/>
      <c r="AW411" s="320"/>
      <c r="AX411" s="320"/>
      <c r="AY411" s="320"/>
      <c r="AZ411" s="320"/>
      <c r="BA411" s="320"/>
      <c r="BB411" s="320"/>
      <c r="BC411" s="320"/>
      <c r="BD411" s="320"/>
      <c r="BE411" s="320"/>
      <c r="BF411" s="320"/>
      <c r="BG411" s="320"/>
      <c r="BH411" s="320"/>
      <c r="BI411" s="320"/>
      <c r="BJ411" s="320"/>
      <c r="BK411" s="320"/>
    </row>
    <row r="412" spans="1:63">
      <c r="A412" s="167"/>
      <c r="B412" s="217" t="str">
        <f>Servicio_internaColumna_título_amortizaciones</f>
        <v>Amortizaciones</v>
      </c>
      <c r="C412" s="218"/>
      <c r="D412" s="219"/>
      <c r="E412" s="219"/>
      <c r="F412" s="219"/>
      <c r="G412" s="219"/>
      <c r="H412" s="219"/>
      <c r="I412" s="219"/>
      <c r="J412" s="219"/>
      <c r="K412" s="219"/>
      <c r="L412" s="219"/>
      <c r="M412" s="219"/>
      <c r="N412" s="219">
        <f>+'Perfil - interna'!N412+'Perfil - externa'!N410</f>
        <v>14451934.218768811</v>
      </c>
      <c r="O412" s="219">
        <f>+'Perfil - interna'!O412+'Perfil - externa'!O410</f>
        <v>24330112.700917531</v>
      </c>
      <c r="P412" s="219">
        <f>+'Perfil - interna'!P412+'Perfil - externa'!P410</f>
        <v>21715026.649522275</v>
      </c>
      <c r="Q412" s="219">
        <f>+'Perfil - interna'!Q412+'Perfil - externa'!Q410</f>
        <v>28485162.631563522</v>
      </c>
      <c r="R412" s="219">
        <f>+'Perfil - interna'!R412+'Perfil - externa'!R410</f>
        <v>16667469.24692679</v>
      </c>
      <c r="S412" s="219">
        <f>+'Perfil - interna'!S412+'Perfil - externa'!S410</f>
        <v>10352903.315753482</v>
      </c>
      <c r="T412" s="219">
        <f>+'Perfil - interna'!T412+'Perfil - externa'!T410</f>
        <v>14489136.089403287</v>
      </c>
      <c r="U412" s="219">
        <f>+'Perfil - interna'!U412+'Perfil - externa'!U410</f>
        <v>6165128.4988104282</v>
      </c>
      <c r="V412" s="219">
        <f>+'Perfil - interna'!V412+'Perfil - externa'!V410</f>
        <v>11182101.607195791</v>
      </c>
      <c r="W412" s="219">
        <f>+'Perfil - interna'!W412+'Perfil - externa'!W410</f>
        <v>6848805.2592894202</v>
      </c>
      <c r="X412" s="219">
        <f>+'Perfil - interna'!X412+'Perfil - externa'!X410</f>
        <v>1129957.0982790161</v>
      </c>
      <c r="Y412" s="219">
        <f>+'Perfil - interna'!Y412+'Perfil - externa'!Y410</f>
        <v>12587920.351889348</v>
      </c>
      <c r="Z412" s="219">
        <f>+'Perfil - interna'!Z412+'Perfil - externa'!Z410</f>
        <v>19538285.422790617</v>
      </c>
      <c r="AA412" s="219">
        <f>+'Perfil - interna'!AA412+'Perfil - externa'!AA410</f>
        <v>1200912.9810707963</v>
      </c>
      <c r="AB412" s="219">
        <f>+'Perfil - interna'!AB412+'Perfil - externa'!AB410</f>
        <v>6391264.6615552166</v>
      </c>
      <c r="AC412" s="219">
        <f>+'Perfil - interna'!AC412+'Perfil - externa'!AC410</f>
        <v>2452257.245498396</v>
      </c>
      <c r="AD412" s="219">
        <f>+'Perfil - interna'!AD412+'Perfil - externa'!AD410</f>
        <v>728216.84450659202</v>
      </c>
      <c r="AE412" s="219">
        <f>+'Perfil - interna'!AE412+'Perfil - externa'!AE410</f>
        <v>1128047.576760412</v>
      </c>
      <c r="AF412" s="219">
        <f>+'Perfil - interna'!AF412+'Perfil - externa'!AF410</f>
        <v>494960.38155297999</v>
      </c>
      <c r="AG412" s="219">
        <f>+'Perfil - interna'!AG412+'Perfil - externa'!AG410</f>
        <v>454781.98662444798</v>
      </c>
      <c r="AH412" s="219">
        <f>+'Perfil - interna'!AH412+'Perfil - externa'!AH410</f>
        <v>382433.53984735202</v>
      </c>
      <c r="AI412" s="219">
        <f>+'Perfil - interna'!AI412+'Perfil - externa'!AI410</f>
        <v>841268.79998599202</v>
      </c>
      <c r="AJ412" s="219">
        <f>+'Perfil - interna'!AJ412+'Perfil - externa'!AJ410</f>
        <v>212602.613083784</v>
      </c>
      <c r="AK412" s="219">
        <f>+'Perfil - interna'!AK412+'Perfil - externa'!AK410</f>
        <v>151587.86643632801</v>
      </c>
      <c r="AL412" s="219">
        <f>+'Perfil - interna'!AL412+'Perfil - externa'!AL410</f>
        <v>100497.570130664</v>
      </c>
      <c r="AM412" s="219">
        <f>+'Perfil - interna'!AM412+'Perfil - externa'!AM410</f>
        <v>3235529.2005784162</v>
      </c>
      <c r="AN412" s="219">
        <f>+'Perfil - interna'!AN412+'Perfil - externa'!AN410</f>
        <v>8678.7363572559971</v>
      </c>
      <c r="AO412" s="219"/>
      <c r="AP412" s="219"/>
      <c r="AQ412" s="219"/>
      <c r="AR412" s="219"/>
      <c r="AS412" s="219"/>
      <c r="AT412" s="219"/>
      <c r="AU412" s="219"/>
      <c r="AV412" s="219"/>
      <c r="AW412" s="219"/>
      <c r="AX412" s="219"/>
      <c r="AY412" s="219"/>
      <c r="AZ412" s="219"/>
      <c r="BA412" s="219"/>
      <c r="BB412" s="219"/>
      <c r="BC412" s="219"/>
      <c r="BD412" s="219"/>
      <c r="BE412" s="219"/>
      <c r="BF412" s="219"/>
      <c r="BG412" s="219"/>
      <c r="BH412" s="219"/>
      <c r="BI412" s="219"/>
      <c r="BJ412" s="219"/>
      <c r="BK412" s="219"/>
    </row>
    <row r="413" spans="1:63">
      <c r="A413" s="170">
        <v>41000</v>
      </c>
      <c r="B413" s="220" t="str">
        <f>Servicio_internaColumna_título_intereses</f>
        <v>Intereses</v>
      </c>
      <c r="C413" s="221"/>
      <c r="D413" s="222"/>
      <c r="E413" s="222"/>
      <c r="F413" s="222"/>
      <c r="G413" s="222"/>
      <c r="H413" s="222"/>
      <c r="I413" s="222"/>
      <c r="J413" s="222"/>
      <c r="K413" s="222"/>
      <c r="L413" s="222"/>
      <c r="M413" s="222"/>
      <c r="N413" s="222">
        <f>+'Perfil - interna'!N413+'Perfil - externa'!N411</f>
        <v>12407954.063673278</v>
      </c>
      <c r="O413" s="222">
        <f>+'Perfil - interna'!O413+'Perfil - externa'!O411</f>
        <v>14893551.473167881</v>
      </c>
      <c r="P413" s="222">
        <f>+'Perfil - interna'!P413+'Perfil - externa'!P411</f>
        <v>13256061.255354043</v>
      </c>
      <c r="Q413" s="222">
        <f>+'Perfil - interna'!Q413+'Perfil - externa'!Q411</f>
        <v>11253249.67412433</v>
      </c>
      <c r="R413" s="222">
        <f>+'Perfil - interna'!R413+'Perfil - externa'!R411</f>
        <v>9146817.8428592477</v>
      </c>
      <c r="S413" s="222">
        <f>+'Perfil - interna'!S413+'Perfil - externa'!S411</f>
        <v>7963446.8975271787</v>
      </c>
      <c r="T413" s="222">
        <f>+'Perfil - interna'!T413+'Perfil - externa'!T411</f>
        <v>7549597.7025732594</v>
      </c>
      <c r="U413" s="222">
        <f>+'Perfil - interna'!U413+'Perfil - externa'!U411</f>
        <v>5926506.7963315332</v>
      </c>
      <c r="V413" s="222">
        <f>+'Perfil - interna'!V413+'Perfil - externa'!V411</f>
        <v>5644509.1918318393</v>
      </c>
      <c r="W413" s="222">
        <f>+'Perfil - interna'!W413+'Perfil - externa'!W411</f>
        <v>4597332.1494834675</v>
      </c>
      <c r="X413" s="222">
        <f>+'Perfil - interna'!X413+'Perfil - externa'!X411</f>
        <v>4236087.4853297649</v>
      </c>
      <c r="Y413" s="222">
        <f>+'Perfil - interna'!Y413+'Perfil - externa'!Y411</f>
        <v>4215600.2548692562</v>
      </c>
      <c r="Z413" s="222">
        <f>+'Perfil - interna'!Z413+'Perfil - externa'!Z411</f>
        <v>3312128.2160201645</v>
      </c>
      <c r="AA413" s="222">
        <f>+'Perfil - interna'!AA413+'Perfil - externa'!AA411</f>
        <v>1511393.5561370142</v>
      </c>
      <c r="AB413" s="222">
        <f>+'Perfil - interna'!AB413+'Perfil - externa'!AB411</f>
        <v>1455533.1791676842</v>
      </c>
      <c r="AC413" s="222">
        <f>+'Perfil - interna'!AC413+'Perfil - externa'!AC411</f>
        <v>981001.73786767013</v>
      </c>
      <c r="AD413" s="222">
        <f>+'Perfil - interna'!AD413+'Perfil - externa'!AD411</f>
        <v>780264.99389604398</v>
      </c>
      <c r="AE413" s="222">
        <f>+'Perfil - interna'!AE413+'Perfil - externa'!AE411</f>
        <v>734021.1794272</v>
      </c>
      <c r="AF413" s="222">
        <f>+'Perfil - interna'!AF413+'Perfil - externa'!AF411</f>
        <v>692653.39203467802</v>
      </c>
      <c r="AG413" s="222">
        <f>+'Perfil - interna'!AG413+'Perfil - externa'!AG411</f>
        <v>667156.85548521194</v>
      </c>
      <c r="AH413" s="222">
        <f>+'Perfil - interna'!AH413+'Perfil - externa'!AH411</f>
        <v>643014.95672946412</v>
      </c>
      <c r="AI413" s="222">
        <f>+'Perfil - interna'!AI413+'Perfil - externa'!AI411</f>
        <v>593823.19546856591</v>
      </c>
      <c r="AJ413" s="222">
        <f>+'Perfil - interna'!AJ413+'Perfil - externa'!AJ411</f>
        <v>550445.78936840012</v>
      </c>
      <c r="AK413" s="222">
        <f>+'Perfil - interna'!AK413+'Perfil - externa'!AK411</f>
        <v>539193.02821063809</v>
      </c>
      <c r="AL413" s="222">
        <f>+'Perfil - interna'!AL413+'Perfil - externa'!AL411</f>
        <v>530224.43957728008</v>
      </c>
      <c r="AM413" s="222">
        <f>+'Perfil - interna'!AM413+'Perfil - externa'!AM411</f>
        <v>523294.24010026804</v>
      </c>
      <c r="AN413" s="222">
        <f>+'Perfil - interna'!AN413+'Perfil - externa'!AN411</f>
        <v>269774.68878707202</v>
      </c>
      <c r="AO413" s="222"/>
      <c r="AP413" s="222"/>
      <c r="AQ413" s="222"/>
      <c r="AR413" s="222"/>
      <c r="AS413" s="222"/>
      <c r="AT413" s="222"/>
      <c r="AU413" s="222"/>
      <c r="AV413" s="222"/>
      <c r="AW413" s="222"/>
      <c r="AX413" s="222"/>
      <c r="AY413" s="222"/>
      <c r="AZ413" s="222"/>
      <c r="BA413" s="222"/>
      <c r="BB413" s="222"/>
      <c r="BC413" s="222"/>
      <c r="BD413" s="222"/>
      <c r="BE413" s="222"/>
      <c r="BF413" s="222"/>
      <c r="BG413" s="222"/>
      <c r="BH413" s="222"/>
      <c r="BI413" s="222"/>
      <c r="BJ413" s="222"/>
      <c r="BK413" s="222"/>
    </row>
    <row r="414" spans="1:63">
      <c r="A414" s="171"/>
      <c r="B414" s="318" t="str">
        <f>Servicio_internaColumna_título_total</f>
        <v>Total</v>
      </c>
      <c r="C414" s="319"/>
      <c r="D414" s="320"/>
      <c r="E414" s="320"/>
      <c r="F414" s="320"/>
      <c r="G414" s="320"/>
      <c r="H414" s="320"/>
      <c r="I414" s="320"/>
      <c r="J414" s="320"/>
      <c r="K414" s="320"/>
      <c r="L414" s="320"/>
      <c r="M414" s="320"/>
      <c r="N414" s="320">
        <f>+'Perfil - interna'!N414+'Perfil - externa'!N412</f>
        <v>26859888.282442093</v>
      </c>
      <c r="O414" s="320">
        <f>+'Perfil - interna'!O414+'Perfil - externa'!O412</f>
        <v>39223664.174085408</v>
      </c>
      <c r="P414" s="320">
        <f>+'Perfil - interna'!P414+'Perfil - externa'!P412</f>
        <v>34971087.904876314</v>
      </c>
      <c r="Q414" s="320">
        <f>+'Perfil - interna'!Q414+'Perfil - externa'!Q412</f>
        <v>39738412.305687852</v>
      </c>
      <c r="R414" s="320">
        <f>+'Perfil - interna'!R414+'Perfil - externa'!R412</f>
        <v>25814287.089786042</v>
      </c>
      <c r="S414" s="320">
        <f>+'Perfil - interna'!S414+'Perfil - externa'!S412</f>
        <v>18316350.213280659</v>
      </c>
      <c r="T414" s="320">
        <f>+'Perfil - interna'!T414+'Perfil - externa'!T412</f>
        <v>22038733.791976545</v>
      </c>
      <c r="U414" s="320">
        <f>+'Perfil - interna'!U414+'Perfil - externa'!U412</f>
        <v>12091635.295141961</v>
      </c>
      <c r="V414" s="320">
        <f>+'Perfil - interna'!V414+'Perfil - externa'!V412</f>
        <v>16826610.799027629</v>
      </c>
      <c r="W414" s="320">
        <f>+'Perfil - interna'!W414+'Perfil - externa'!W412</f>
        <v>11446137.408772888</v>
      </c>
      <c r="X414" s="320">
        <f>+'Perfil - interna'!X414+'Perfil - externa'!X412</f>
        <v>5366044.5836087801</v>
      </c>
      <c r="Y414" s="320">
        <f>+'Perfil - interna'!Y414+'Perfil - externa'!Y412</f>
        <v>16803520.606758602</v>
      </c>
      <c r="Z414" s="320">
        <f>+'Perfil - interna'!Z414+'Perfil - externa'!Z412</f>
        <v>22850413.638810784</v>
      </c>
      <c r="AA414" s="320">
        <f>+'Perfil - interna'!AA414+'Perfil - externa'!AA412</f>
        <v>2712306.5372078102</v>
      </c>
      <c r="AB414" s="320">
        <f>+'Perfil - interna'!AB414+'Perfil - externa'!AB412</f>
        <v>7846797.8407228999</v>
      </c>
      <c r="AC414" s="320">
        <f>+'Perfil - interna'!AC414+'Perfil - externa'!AC412</f>
        <v>3433258.9833660661</v>
      </c>
      <c r="AD414" s="320">
        <f>+'Perfil - interna'!AD414+'Perfil - externa'!AD412</f>
        <v>1508481.8384026361</v>
      </c>
      <c r="AE414" s="320">
        <f>+'Perfil - interna'!AE414+'Perfil - externa'!AE412</f>
        <v>1862068.756187612</v>
      </c>
      <c r="AF414" s="320">
        <f>+'Perfil - interna'!AF414+'Perfil - externa'!AF412</f>
        <v>1187613.7735876581</v>
      </c>
      <c r="AG414" s="320">
        <f>+'Perfil - interna'!AG414+'Perfil - externa'!AG412</f>
        <v>1121938.8421096599</v>
      </c>
      <c r="AH414" s="320">
        <f>+'Perfil - interna'!AH414+'Perfil - externa'!AH412</f>
        <v>1025448.4965768161</v>
      </c>
      <c r="AI414" s="320">
        <f>+'Perfil - interna'!AI414+'Perfil - externa'!AI412</f>
        <v>1435091.9954545579</v>
      </c>
      <c r="AJ414" s="320">
        <f>+'Perfil - interna'!AJ414+'Perfil - externa'!AJ412</f>
        <v>763048.40245218412</v>
      </c>
      <c r="AK414" s="320">
        <f>+'Perfil - interna'!AK414+'Perfil - externa'!AK412</f>
        <v>690780.89464696601</v>
      </c>
      <c r="AL414" s="320">
        <f>+'Perfil - interna'!AL414+'Perfil - externa'!AL412</f>
        <v>630722.009707944</v>
      </c>
      <c r="AM414" s="320">
        <f>+'Perfil - interna'!AM414+'Perfil - externa'!AM412</f>
        <v>3758823.440678684</v>
      </c>
      <c r="AN414" s="320">
        <f>+'Perfil - interna'!AN414+'Perfil - externa'!AN412</f>
        <v>278453.42514432804</v>
      </c>
      <c r="AO414" s="320"/>
      <c r="AP414" s="320"/>
      <c r="AQ414" s="320"/>
      <c r="AR414" s="320"/>
      <c r="AS414" s="320"/>
      <c r="AT414" s="320"/>
      <c r="AU414" s="320"/>
      <c r="AV414" s="320"/>
      <c r="AW414" s="320"/>
      <c r="AX414" s="320"/>
      <c r="AY414" s="320"/>
      <c r="AZ414" s="320"/>
      <c r="BA414" s="320"/>
      <c r="BB414" s="320"/>
      <c r="BC414" s="320"/>
      <c r="BD414" s="320"/>
      <c r="BE414" s="320"/>
      <c r="BF414" s="320"/>
      <c r="BG414" s="320"/>
      <c r="BH414" s="320"/>
      <c r="BI414" s="320"/>
      <c r="BJ414" s="320"/>
      <c r="BK414" s="320"/>
    </row>
    <row r="415" spans="1:63">
      <c r="A415" s="167"/>
      <c r="B415" s="217" t="str">
        <f>Servicio_internaColumna_título_amortizaciones</f>
        <v>Amortizaciones</v>
      </c>
      <c r="C415" s="218"/>
      <c r="D415" s="219"/>
      <c r="E415" s="219"/>
      <c r="F415" s="219"/>
      <c r="G415" s="219"/>
      <c r="H415" s="219"/>
      <c r="I415" s="219"/>
      <c r="J415" s="219"/>
      <c r="K415" s="219"/>
      <c r="L415" s="219"/>
      <c r="M415" s="219"/>
      <c r="N415" s="219">
        <f>'Perfil - externa'!N413+'Perfil - interna'!N415</f>
        <v>12068615.332895946</v>
      </c>
      <c r="O415" s="219">
        <f>'Perfil - externa'!O413+'Perfil - interna'!O415</f>
        <v>24432730.985666648</v>
      </c>
      <c r="P415" s="219">
        <f>'Perfil - externa'!P413+'Perfil - interna'!P415</f>
        <v>21866546.279431492</v>
      </c>
      <c r="Q415" s="219">
        <f>'Perfil - externa'!Q413+'Perfil - interna'!Q415</f>
        <v>28697114.26757168</v>
      </c>
      <c r="R415" s="219">
        <f>'Perfil - externa'!R413+'Perfil - interna'!R415</f>
        <v>17187750.17962537</v>
      </c>
      <c r="S415" s="219">
        <f>'Perfil - externa'!S413+'Perfil - interna'!S415</f>
        <v>10530301.098828513</v>
      </c>
      <c r="T415" s="219">
        <f>'Perfil - externa'!T413+'Perfil - interna'!T415</f>
        <v>14671345.39371351</v>
      </c>
      <c r="U415" s="219">
        <f>'Perfil - externa'!U413+'Perfil - interna'!U415</f>
        <v>6403893.4774888298</v>
      </c>
      <c r="V415" s="219">
        <f>'Perfil - externa'!V413+'Perfil - interna'!V415</f>
        <v>11284877.527060149</v>
      </c>
      <c r="W415" s="219">
        <f>'Perfil - externa'!W413+'Perfil - interna'!W415</f>
        <v>7107285.7323481599</v>
      </c>
      <c r="X415" s="219">
        <f>'Perfil - externa'!X413+'Perfil - interna'!X415</f>
        <v>2392532.4471866274</v>
      </c>
      <c r="Y415" s="219">
        <f>'Perfil - externa'!Y413+'Perfil - interna'!Y415</f>
        <v>12644037.783069951</v>
      </c>
      <c r="Z415" s="219">
        <f>'Perfil - externa'!Z413+'Perfil - interna'!Z415</f>
        <v>19639769.854530081</v>
      </c>
      <c r="AA415" s="219">
        <f>'Perfil - externa'!AA413+'Perfil - interna'!AA415</f>
        <v>1256425.2967443308</v>
      </c>
      <c r="AB415" s="219">
        <f>'Perfil - externa'!AB413+'Perfil - interna'!AB415</f>
        <v>6609249.521968754</v>
      </c>
      <c r="AC415" s="219">
        <f>'Perfil - externa'!AC413+'Perfil - interna'!AC415</f>
        <v>2545020.6016177679</v>
      </c>
      <c r="AD415" s="219">
        <f>'Perfil - externa'!AD413+'Perfil - interna'!AD415</f>
        <v>755759.92987403518</v>
      </c>
      <c r="AE415" s="219">
        <f>'Perfil - externa'!AE413+'Perfil - interna'!AE415</f>
        <v>1170717.1680155608</v>
      </c>
      <c r="AF415" s="219">
        <f>'Perfil - externa'!AF413+'Perfil - interna'!AF415</f>
        <v>513678.87111835711</v>
      </c>
      <c r="AG415" s="219">
        <f>'Perfil - externa'!AG413+'Perfil - interna'!AG415</f>
        <v>471980.48642447579</v>
      </c>
      <c r="AH415" s="219">
        <f>'Perfil - externa'!AH413+'Perfil - interna'!AH415</f>
        <v>396929.02076370578</v>
      </c>
      <c r="AI415" s="219">
        <f>'Perfil - externa'!AI413+'Perfil - interna'!AI415</f>
        <v>873093.0414945404</v>
      </c>
      <c r="AJ415" s="219">
        <f>'Perfil - externa'!AJ413+'Perfil - interna'!AJ415</f>
        <v>220643.0548913932</v>
      </c>
      <c r="AK415" s="219">
        <f>'Perfil - externa'!AK413+'Perfil - interna'!AK415</f>
        <v>157319.98859306282</v>
      </c>
      <c r="AL415" s="219">
        <f>'Perfil - externa'!AL413+'Perfil - interna'!AL415</f>
        <v>104298.22252913169</v>
      </c>
      <c r="AM415" s="219">
        <f>'Perfil - externa'!AM413+'Perfil - interna'!AM415</f>
        <v>3357936.2586266445</v>
      </c>
      <c r="AN415" s="219">
        <f>'Perfil - externa'!AN413+'Perfil - interna'!AN415</f>
        <v>9007.0716987753967</v>
      </c>
      <c r="AO415" s="219"/>
      <c r="AP415" s="219"/>
      <c r="AQ415" s="219"/>
      <c r="AR415" s="219"/>
      <c r="AS415" s="219"/>
      <c r="AT415" s="219"/>
      <c r="AU415" s="219"/>
      <c r="AV415" s="219"/>
      <c r="AW415" s="219"/>
      <c r="AX415" s="219"/>
      <c r="AY415" s="219"/>
      <c r="AZ415" s="219"/>
      <c r="BA415" s="219"/>
      <c r="BB415" s="219"/>
      <c r="BC415" s="219"/>
      <c r="BD415" s="219"/>
      <c r="BE415" s="219"/>
      <c r="BF415" s="219"/>
      <c r="BG415" s="219"/>
      <c r="BH415" s="219"/>
      <c r="BI415" s="219"/>
      <c r="BJ415" s="219"/>
      <c r="BK415" s="219"/>
    </row>
    <row r="416" spans="1:63">
      <c r="A416" s="170">
        <v>41030</v>
      </c>
      <c r="B416" s="220" t="str">
        <f>Servicio_internaColumna_título_intereses</f>
        <v>Intereses</v>
      </c>
      <c r="C416" s="221"/>
      <c r="D416" s="222"/>
      <c r="E416" s="222"/>
      <c r="F416" s="222"/>
      <c r="G416" s="222"/>
      <c r="H416" s="222"/>
      <c r="I416" s="222"/>
      <c r="J416" s="222"/>
      <c r="K416" s="222"/>
      <c r="L416" s="222"/>
      <c r="M416" s="222"/>
      <c r="N416" s="222">
        <f>'Perfil - externa'!N414+'Perfil - interna'!N416</f>
        <v>10863421.396335432</v>
      </c>
      <c r="O416" s="222">
        <f>'Perfil - externa'!O414+'Perfil - interna'!O416</f>
        <v>15163337.680475369</v>
      </c>
      <c r="P416" s="222">
        <f>'Perfil - externa'!P414+'Perfil - interna'!P416</f>
        <v>13494013.697375951</v>
      </c>
      <c r="Q416" s="222">
        <f>'Perfil - externa'!Q414+'Perfil - interna'!Q416</f>
        <v>11480215.664996495</v>
      </c>
      <c r="R416" s="222">
        <f>'Perfil - externa'!R414+'Perfil - interna'!R416</f>
        <v>9345673.198054364</v>
      </c>
      <c r="S416" s="222">
        <f>'Perfil - externa'!S414+'Perfil - interna'!S416</f>
        <v>8103446.6462387405</v>
      </c>
      <c r="T416" s="222">
        <f>'Perfil - externa'!T414+'Perfil - interna'!T416</f>
        <v>7668203.7812679168</v>
      </c>
      <c r="U416" s="222">
        <f>'Perfil - externa'!U414+'Perfil - interna'!U416</f>
        <v>6047637.0972465966</v>
      </c>
      <c r="V416" s="222">
        <f>'Perfil - externa'!V414+'Perfil - interna'!V416</f>
        <v>5759354.8956280677</v>
      </c>
      <c r="W416" s="222">
        <f>'Perfil - externa'!W414+'Perfil - interna'!W416</f>
        <v>4711299.3694975255</v>
      </c>
      <c r="X416" s="222">
        <f>'Perfil - externa'!X414+'Perfil - interna'!X416</f>
        <v>4339823.6849851916</v>
      </c>
      <c r="Y416" s="222">
        <f>'Perfil - externa'!Y414+'Perfil - interna'!Y416</f>
        <v>4240433.7930194577</v>
      </c>
      <c r="Z416" s="222">
        <f>'Perfil - externa'!Z414+'Perfil - interna'!Z416</f>
        <v>3335242.9947640086</v>
      </c>
      <c r="AA416" s="222">
        <f>'Perfil - externa'!AA414+'Perfil - interna'!AA416</f>
        <v>1533982.3564653401</v>
      </c>
      <c r="AB416" s="222">
        <f>'Perfil - externa'!AB414+'Perfil - interna'!AB416</f>
        <v>1483036.1138030665</v>
      </c>
      <c r="AC416" s="222">
        <f>'Perfil - externa'!AC414+'Perfil - interna'!AC416</f>
        <v>997020.96794250503</v>
      </c>
      <c r="AD416" s="222">
        <f>'Perfil - externa'!AD414+'Perfil - interna'!AD416</f>
        <v>791854.92717432219</v>
      </c>
      <c r="AE416" s="222">
        <f>'Perfil - externa'!AE414+'Perfil - interna'!AE416</f>
        <v>748526.38343913853</v>
      </c>
      <c r="AF416" s="222">
        <f>'Perfil - externa'!AF414+'Perfil - interna'!AF416</f>
        <v>709683.60871674318</v>
      </c>
      <c r="AG416" s="222">
        <f>'Perfil - externa'!AG414+'Perfil - interna'!AG416</f>
        <v>685349.61711105378</v>
      </c>
      <c r="AH416" s="222">
        <f>'Perfil - externa'!AH414+'Perfil - interna'!AH416</f>
        <v>661451.96649034345</v>
      </c>
      <c r="AI416" s="222">
        <f>'Perfil - externa'!AI414+'Perfil - interna'!AI416</f>
        <v>611932.3612583091</v>
      </c>
      <c r="AJ416" s="222">
        <f>'Perfil - externa'!AJ414+'Perfil - interna'!AJ416</f>
        <v>568040.74494822114</v>
      </c>
      <c r="AK416" s="222">
        <f>'Perfil - externa'!AK414+'Perfil - interna'!AK416</f>
        <v>557372.9291083432</v>
      </c>
      <c r="AL416" s="222">
        <f>'Perfil - externa'!AL414+'Perfil - interna'!AL416</f>
        <v>548970.86333408975</v>
      </c>
      <c r="AM416" s="222">
        <f>'Perfil - externa'!AM414+'Perfil - interna'!AM416</f>
        <v>542376.57070784294</v>
      </c>
      <c r="AN416" s="222">
        <f>'Perfil - externa'!AN414+'Perfil - interna'!AN416</f>
        <v>279980.84794780478</v>
      </c>
      <c r="AO416" s="222"/>
      <c r="AP416" s="222"/>
      <c r="AQ416" s="222"/>
      <c r="AR416" s="222"/>
      <c r="AS416" s="222"/>
      <c r="AT416" s="222"/>
      <c r="AU416" s="222"/>
      <c r="AV416" s="222"/>
      <c r="AW416" s="222"/>
      <c r="AX416" s="222"/>
      <c r="AY416" s="222"/>
      <c r="AZ416" s="222"/>
      <c r="BA416" s="222"/>
      <c r="BB416" s="222"/>
      <c r="BC416" s="222"/>
      <c r="BD416" s="222"/>
      <c r="BE416" s="222"/>
      <c r="BF416" s="222"/>
      <c r="BG416" s="222"/>
      <c r="BH416" s="222"/>
      <c r="BI416" s="222"/>
      <c r="BJ416" s="222"/>
      <c r="BK416" s="222"/>
    </row>
    <row r="417" spans="1:63">
      <c r="A417" s="171"/>
      <c r="B417" s="318" t="str">
        <f>Servicio_internaColumna_título_total</f>
        <v>Total</v>
      </c>
      <c r="C417" s="319"/>
      <c r="D417" s="320"/>
      <c r="E417" s="320"/>
      <c r="F417" s="320"/>
      <c r="G417" s="320"/>
      <c r="H417" s="320"/>
      <c r="I417" s="320"/>
      <c r="J417" s="320"/>
      <c r="K417" s="320"/>
      <c r="L417" s="320"/>
      <c r="M417" s="320"/>
      <c r="N417" s="320">
        <f>'Perfil - externa'!N415+'Perfil - interna'!N417</f>
        <v>22932036.729231376</v>
      </c>
      <c r="O417" s="320">
        <f>'Perfil - externa'!O415+'Perfil - interna'!O417</f>
        <v>39596068.666142017</v>
      </c>
      <c r="P417" s="320">
        <f>'Perfil - externa'!P415+'Perfil - interna'!P417</f>
        <v>35360559.976807445</v>
      </c>
      <c r="Q417" s="320">
        <f>'Perfil - externa'!Q415+'Perfil - interna'!Q417</f>
        <v>40177329.932568178</v>
      </c>
      <c r="R417" s="320">
        <f>'Perfil - externa'!R415+'Perfil - interna'!R417</f>
        <v>26533423.377679735</v>
      </c>
      <c r="S417" s="320">
        <f>'Perfil - externa'!S415+'Perfil - interna'!S417</f>
        <v>18633747.745067254</v>
      </c>
      <c r="T417" s="320">
        <f>'Perfil - externa'!T415+'Perfil - interna'!T417</f>
        <v>22339549.174981426</v>
      </c>
      <c r="U417" s="320">
        <f>'Perfil - externa'!U415+'Perfil - interna'!U417</f>
        <v>12451530.574735425</v>
      </c>
      <c r="V417" s="320">
        <f>'Perfil - externa'!V415+'Perfil - interna'!V417</f>
        <v>17044232.422688216</v>
      </c>
      <c r="W417" s="320">
        <f>'Perfil - externa'!W415+'Perfil - interna'!W417</f>
        <v>11818585.101845685</v>
      </c>
      <c r="X417" s="320">
        <f>'Perfil - externa'!X415+'Perfil - interna'!X417</f>
        <v>6732356.1321718181</v>
      </c>
      <c r="Y417" s="320">
        <f>'Perfil - externa'!Y415+'Perfil - interna'!Y417</f>
        <v>16884471.576089408</v>
      </c>
      <c r="Z417" s="320">
        <f>'Perfil - externa'!Z415+'Perfil - interna'!Z417</f>
        <v>22975012.849294093</v>
      </c>
      <c r="AA417" s="320">
        <f>'Perfil - externa'!AA415+'Perfil - interna'!AA417</f>
        <v>2790407.6532096709</v>
      </c>
      <c r="AB417" s="320">
        <f>'Perfil - externa'!AB415+'Perfil - interna'!AB417</f>
        <v>8092285.6357718203</v>
      </c>
      <c r="AC417" s="320">
        <f>'Perfil - externa'!AC415+'Perfil - interna'!AC417</f>
        <v>3542041.5695602731</v>
      </c>
      <c r="AD417" s="320">
        <f>'Perfil - externa'!AD415+'Perfil - interna'!AD417</f>
        <v>1547614.8570483574</v>
      </c>
      <c r="AE417" s="320">
        <f>'Perfil - externa'!AE415+'Perfil - interna'!AE417</f>
        <v>1919243.5514546994</v>
      </c>
      <c r="AF417" s="320">
        <f>'Perfil - externa'!AF415+'Perfil - interna'!AF417</f>
        <v>1223362.4798351005</v>
      </c>
      <c r="AG417" s="320">
        <f>'Perfil - externa'!AG415+'Perfil - interna'!AG417</f>
        <v>1157330.1035355297</v>
      </c>
      <c r="AH417" s="320">
        <f>'Perfil - externa'!AH415+'Perfil - interna'!AH417</f>
        <v>1058380.9872540492</v>
      </c>
      <c r="AI417" s="320">
        <f>'Perfil - externa'!AI415+'Perfil - interna'!AI417</f>
        <v>1485025.4027528495</v>
      </c>
      <c r="AJ417" s="320">
        <f>'Perfil - externa'!AJ415+'Perfil - interna'!AJ417</f>
        <v>788683.79983961431</v>
      </c>
      <c r="AK417" s="320">
        <f>'Perfil - externa'!AK415+'Perfil - interna'!AK417</f>
        <v>714692.91770140606</v>
      </c>
      <c r="AL417" s="320">
        <f>'Perfil - externa'!AL415+'Perfil - interna'!AL417</f>
        <v>653269.08586322144</v>
      </c>
      <c r="AM417" s="320">
        <f>'Perfil - externa'!AM415+'Perfil - interna'!AM417</f>
        <v>3900312.8293344872</v>
      </c>
      <c r="AN417" s="320">
        <f>'Perfil - externa'!AN415+'Perfil - interna'!AN417</f>
        <v>288987.91964658018</v>
      </c>
      <c r="AO417" s="320"/>
      <c r="AP417" s="320"/>
      <c r="AQ417" s="320"/>
      <c r="AR417" s="320"/>
      <c r="AS417" s="320"/>
      <c r="AT417" s="320"/>
      <c r="AU417" s="320"/>
      <c r="AV417" s="320"/>
      <c r="AW417" s="320"/>
      <c r="AX417" s="320"/>
      <c r="AY417" s="320"/>
      <c r="AZ417" s="320"/>
      <c r="BA417" s="320"/>
      <c r="BB417" s="320"/>
      <c r="BC417" s="320"/>
      <c r="BD417" s="320"/>
      <c r="BE417" s="320"/>
      <c r="BF417" s="320"/>
      <c r="BG417" s="320"/>
      <c r="BH417" s="320"/>
      <c r="BI417" s="320"/>
      <c r="BJ417" s="320"/>
      <c r="BK417" s="320"/>
    </row>
    <row r="418" spans="1:63">
      <c r="A418" s="167"/>
      <c r="B418" s="217" t="str">
        <f>Servicio_internaColumna_título_amortizaciones</f>
        <v>Amortizaciones</v>
      </c>
      <c r="C418" s="218"/>
      <c r="D418" s="219"/>
      <c r="E418" s="219"/>
      <c r="F418" s="219"/>
      <c r="G418" s="219"/>
      <c r="H418" s="219"/>
      <c r="I418" s="219"/>
      <c r="J418" s="219"/>
      <c r="K418" s="219"/>
      <c r="L418" s="219"/>
      <c r="M418" s="219"/>
      <c r="N418" s="219">
        <f>'Perfil - externa'!N416+'Perfil - interna'!N418</f>
        <v>9480666.9096660502</v>
      </c>
      <c r="O418" s="219">
        <f>'Perfil - externa'!O416+'Perfil - interna'!O418</f>
        <v>24422215.644077424</v>
      </c>
      <c r="P418" s="219">
        <f>'Perfil - externa'!P416+'Perfil - interna'!P418</f>
        <v>21834727.483608868</v>
      </c>
      <c r="Q418" s="219">
        <f>'Perfil - externa'!Q416+'Perfil - interna'!Q418</f>
        <v>28829129.152682737</v>
      </c>
      <c r="R418" s="219">
        <f>'Perfil - externa'!R416+'Perfil - interna'!R418</f>
        <v>17921708.911677547</v>
      </c>
      <c r="S418" s="219">
        <f>'Perfil - externa'!S416+'Perfil - interna'!S418</f>
        <v>10651891.308229752</v>
      </c>
      <c r="T418" s="219">
        <f>'Perfil - externa'!T416+'Perfil - interna'!T418</f>
        <v>14652585.440029392</v>
      </c>
      <c r="U418" s="219">
        <f>'Perfil - externa'!U416+'Perfil - interna'!U418</f>
        <v>6304216.7313109124</v>
      </c>
      <c r="V418" s="219">
        <f>'Perfil - externa'!V416+'Perfil - interna'!V418</f>
        <v>11250414.411156127</v>
      </c>
      <c r="W418" s="219">
        <f>'Perfil - externa'!W416+'Perfil - interna'!W418</f>
        <v>7020874.7263499824</v>
      </c>
      <c r="X418" s="219">
        <f>'Perfil - externa'!X416+'Perfil - interna'!X418</f>
        <v>7312257.2256252803</v>
      </c>
      <c r="Y418" s="219">
        <f>'Perfil - externa'!Y416+'Perfil - interna'!Y418</f>
        <v>12798942.11473649</v>
      </c>
      <c r="Z418" s="219">
        <f>'Perfil - externa'!Z416+'Perfil - interna'!Z418</f>
        <v>5156075.4522173759</v>
      </c>
      <c r="AA418" s="219">
        <f>'Perfil - externa'!AA416+'Perfil - interna'!AA418</f>
        <v>1241090.585259008</v>
      </c>
      <c r="AB418" s="219">
        <f>'Perfil - externa'!AB416+'Perfil - interna'!AB418</f>
        <v>17687176.661403503</v>
      </c>
      <c r="AC418" s="219">
        <f>'Perfil - externa'!AC416+'Perfil - interna'!AC418</f>
        <v>2514046.6526436955</v>
      </c>
      <c r="AD418" s="219">
        <f>'Perfil - externa'!AD416+'Perfil - interna'!AD418</f>
        <v>746557.72766715207</v>
      </c>
      <c r="AE418" s="219">
        <f>'Perfil - externa'!AE416+'Perfil - interna'!AE418</f>
        <v>1156468.2714203116</v>
      </c>
      <c r="AF418" s="219">
        <f>'Perfil - externa'!AF416+'Perfil - interna'!AF418</f>
        <v>525476.84968109592</v>
      </c>
      <c r="AG418" s="219">
        <f>'Perfil - externa'!AG416+'Perfil - interna'!AG418</f>
        <v>466229.59918007994</v>
      </c>
      <c r="AH418" s="219">
        <f>'Perfil - externa'!AH416+'Perfil - interna'!AH418</f>
        <v>392094.86604363995</v>
      </c>
      <c r="AI418" s="219">
        <f>'Perfil - externa'!AI416+'Perfil - interna'!AI418</f>
        <v>862486.32443640812</v>
      </c>
      <c r="AJ418" s="219">
        <f>'Perfil - externa'!AJ416+'Perfil - interna'!AJ418</f>
        <v>217960.19860316798</v>
      </c>
      <c r="AK418" s="219">
        <f>'Perfil - externa'!AK416+'Perfil - interna'!AK418</f>
        <v>155407.26506544001</v>
      </c>
      <c r="AL418" s="219">
        <f>'Perfil - externa'!AL416+'Perfil - interna'!AL418</f>
        <v>103030.14635591998</v>
      </c>
      <c r="AM418" s="219">
        <f>'Perfil - externa'!AM416+'Perfil - interna'!AM418</f>
        <v>3317097.1636182079</v>
      </c>
      <c r="AN418" s="219">
        <f>'Perfil - externa'!AN416+'Perfil - interna'!AN418</f>
        <v>8897.5280301279963</v>
      </c>
      <c r="AO418" s="219"/>
      <c r="AP418" s="219"/>
      <c r="AQ418" s="219"/>
      <c r="AR418" s="219"/>
      <c r="AS418" s="219"/>
      <c r="AT418" s="219"/>
      <c r="AU418" s="219"/>
      <c r="AV418" s="219"/>
      <c r="AW418" s="219"/>
      <c r="AX418" s="219"/>
      <c r="AY418" s="219"/>
      <c r="AZ418" s="219"/>
      <c r="BA418" s="219"/>
      <c r="BB418" s="219"/>
      <c r="BC418" s="219"/>
      <c r="BD418" s="219"/>
      <c r="BE418" s="219"/>
      <c r="BF418" s="219"/>
      <c r="BG418" s="219"/>
      <c r="BH418" s="219"/>
      <c r="BI418" s="219"/>
      <c r="BJ418" s="219"/>
      <c r="BK418" s="219"/>
    </row>
    <row r="419" spans="1:63">
      <c r="A419" s="170">
        <v>41061</v>
      </c>
      <c r="B419" s="220" t="str">
        <f>Servicio_internaColumna_título_intereses</f>
        <v>Intereses</v>
      </c>
      <c r="C419" s="221"/>
      <c r="D419" s="222"/>
      <c r="E419" s="222"/>
      <c r="F419" s="222"/>
      <c r="G419" s="222"/>
      <c r="H419" s="222"/>
      <c r="I419" s="222"/>
      <c r="J419" s="222"/>
      <c r="K419" s="222"/>
      <c r="L419" s="222"/>
      <c r="M419" s="222"/>
      <c r="N419" s="222">
        <f>'Perfil - externa'!N417+'Perfil - interna'!N419</f>
        <v>8649317.9120862652</v>
      </c>
      <c r="O419" s="222">
        <f>'Perfil - externa'!O417+'Perfil - interna'!O419</f>
        <v>14942304.520872654</v>
      </c>
      <c r="P419" s="222">
        <f>'Perfil - externa'!P417+'Perfil - interna'!P419</f>
        <v>13280698.274201127</v>
      </c>
      <c r="Q419" s="222">
        <f>'Perfil - externa'!Q417+'Perfil - interna'!Q419</f>
        <v>11272152.486065045</v>
      </c>
      <c r="R419" s="222">
        <f>'Perfil - externa'!R417+'Perfil - interna'!R419</f>
        <v>9124818.9701312594</v>
      </c>
      <c r="S419" s="222">
        <f>'Perfil - externa'!S417+'Perfil - interna'!S419</f>
        <v>7832825.1511103529</v>
      </c>
      <c r="T419" s="222">
        <f>'Perfil - externa'!T417+'Perfil - interna'!T419</f>
        <v>7395658.8100179229</v>
      </c>
      <c r="U419" s="222">
        <f>'Perfil - externa'!U417+'Perfil - interna'!U419</f>
        <v>5769574.5324527211</v>
      </c>
      <c r="V419" s="222">
        <f>'Perfil - externa'!V417+'Perfil - interna'!V419</f>
        <v>5488065.8677134365</v>
      </c>
      <c r="W419" s="222">
        <f>'Perfil - externa'!W417+'Perfil - interna'!W419</f>
        <v>4442945.5322357919</v>
      </c>
      <c r="X419" s="222">
        <f>'Perfil - externa'!X417+'Perfil - interna'!X419</f>
        <v>4077995.8505392391</v>
      </c>
      <c r="Y419" s="222">
        <f>'Perfil - externa'!Y417+'Perfil - interna'!Y419</f>
        <v>3629100.3203588082</v>
      </c>
      <c r="Z419" s="222">
        <f>'Perfil - externa'!Z417+'Perfil - interna'!Z419</f>
        <v>2718617.6452196864</v>
      </c>
      <c r="AA419" s="222">
        <f>'Perfil - externa'!AA417+'Perfil - interna'!AA419</f>
        <v>2361678.418828168</v>
      </c>
      <c r="AB419" s="222">
        <f>'Perfil - externa'!AB417+'Perfil - interna'!AB419</f>
        <v>2310067.1545704626</v>
      </c>
      <c r="AC419" s="222">
        <f>'Perfil - externa'!AC417+'Perfil - interna'!AC419</f>
        <v>992793.86891607021</v>
      </c>
      <c r="AD419" s="222">
        <f>'Perfil - externa'!AD417+'Perfil - interna'!AD419</f>
        <v>788235.49218098004</v>
      </c>
      <c r="AE419" s="222">
        <f>'Perfil - externa'!AE417+'Perfil - interna'!AE419</f>
        <v>743997.51427760604</v>
      </c>
      <c r="AF419" s="222">
        <f>'Perfil - externa'!AF417+'Perfil - interna'!AF419</f>
        <v>703962.25790384796</v>
      </c>
      <c r="AG419" s="222">
        <f>'Perfil - externa'!AG417+'Perfil - interna'!AG419</f>
        <v>679044.30896843399</v>
      </c>
      <c r="AH419" s="222">
        <f>'Perfil - externa'!AH417+'Perfil - interna'!AH419</f>
        <v>655101.08908819989</v>
      </c>
      <c r="AI419" s="222">
        <f>'Perfil - externa'!AI417+'Perfil - interna'!AI419</f>
        <v>605705.82744564989</v>
      </c>
      <c r="AJ419" s="222">
        <f>'Perfil - externa'!AJ417+'Perfil - interna'!AJ419</f>
        <v>561979.74386514595</v>
      </c>
      <c r="AK419" s="222">
        <f>'Perfil - externa'!AK417+'Perfil - interna'!AK419</f>
        <v>551109.97900648008</v>
      </c>
      <c r="AL419" s="222">
        <f>'Perfil - externa'!AL417+'Perfil - interna'!AL419</f>
        <v>542501.96027576993</v>
      </c>
      <c r="AM419" s="222">
        <f>'Perfil - externa'!AM417+'Perfil - interna'!AM419</f>
        <v>535797.838264302</v>
      </c>
      <c r="AN419" s="222">
        <f>'Perfil - externa'!AN417+'Perfil - interna'!AN419</f>
        <v>276575.73136153596</v>
      </c>
      <c r="AO419" s="222"/>
      <c r="AP419" s="222"/>
      <c r="AQ419" s="222"/>
      <c r="AR419" s="222"/>
      <c r="AS419" s="222"/>
      <c r="AT419" s="222"/>
      <c r="AU419" s="222"/>
      <c r="AV419" s="222"/>
      <c r="AW419" s="222"/>
      <c r="AX419" s="222"/>
      <c r="AY419" s="222"/>
      <c r="AZ419" s="222"/>
      <c r="BA419" s="222"/>
      <c r="BB419" s="222"/>
      <c r="BC419" s="222"/>
      <c r="BD419" s="222"/>
      <c r="BE419" s="222"/>
      <c r="BF419" s="222"/>
      <c r="BG419" s="222"/>
      <c r="BH419" s="222"/>
      <c r="BI419" s="222"/>
      <c r="BJ419" s="222"/>
      <c r="BK419" s="222"/>
    </row>
    <row r="420" spans="1:63">
      <c r="A420" s="171"/>
      <c r="B420" s="318" t="str">
        <f>Servicio_internaColumna_título_total</f>
        <v>Total</v>
      </c>
      <c r="C420" s="319"/>
      <c r="D420" s="320"/>
      <c r="E420" s="320"/>
      <c r="F420" s="320"/>
      <c r="G420" s="320"/>
      <c r="H420" s="320"/>
      <c r="I420" s="320"/>
      <c r="J420" s="320"/>
      <c r="K420" s="320"/>
      <c r="L420" s="320"/>
      <c r="M420" s="320"/>
      <c r="N420" s="320">
        <f>'Perfil - externa'!N418+'Perfil - interna'!N420</f>
        <v>18129984.821752317</v>
      </c>
      <c r="O420" s="320">
        <f>'Perfil - externa'!O418+'Perfil - interna'!O420</f>
        <v>39364520.16495008</v>
      </c>
      <c r="P420" s="320">
        <f>'Perfil - externa'!P418+'Perfil - interna'!P420</f>
        <v>35115425.757809997</v>
      </c>
      <c r="Q420" s="320">
        <f>'Perfil - externa'!Q418+'Perfil - interna'!Q420</f>
        <v>40101281.638747782</v>
      </c>
      <c r="R420" s="320">
        <f>'Perfil - externa'!R418+'Perfil - interna'!R420</f>
        <v>27046527.881808802</v>
      </c>
      <c r="S420" s="320">
        <f>'Perfil - externa'!S418+'Perfil - interna'!S420</f>
        <v>18484716.459340103</v>
      </c>
      <c r="T420" s="320">
        <f>'Perfil - externa'!T418+'Perfil - interna'!T420</f>
        <v>22048244.250047311</v>
      </c>
      <c r="U420" s="320">
        <f>'Perfil - externa'!U418+'Perfil - interna'!U420</f>
        <v>12073791.263763634</v>
      </c>
      <c r="V420" s="320">
        <f>'Perfil - externa'!V418+'Perfil - interna'!V420</f>
        <v>16738480.278869566</v>
      </c>
      <c r="W420" s="320">
        <f>'Perfil - externa'!W418+'Perfil - interna'!W420</f>
        <v>11463820.258585773</v>
      </c>
      <c r="X420" s="320">
        <f>'Perfil - externa'!X418+'Perfil - interna'!X420</f>
        <v>11390253.076164518</v>
      </c>
      <c r="Y420" s="320">
        <f>'Perfil - externa'!Y418+'Perfil - interna'!Y420</f>
        <v>16428042.435095297</v>
      </c>
      <c r="Z420" s="320">
        <f>'Perfil - externa'!Z418+'Perfil - interna'!Z420</f>
        <v>7874693.0974370623</v>
      </c>
      <c r="AA420" s="320">
        <f>'Perfil - externa'!AA418+'Perfil - interna'!AA420</f>
        <v>3602769.0040871757</v>
      </c>
      <c r="AB420" s="320">
        <f>'Perfil - externa'!AB418+'Perfil - interna'!AB420</f>
        <v>19997243.815973964</v>
      </c>
      <c r="AC420" s="320">
        <f>'Perfil - externa'!AC418+'Perfil - interna'!AC420</f>
        <v>3506840.5215597656</v>
      </c>
      <c r="AD420" s="320">
        <f>'Perfil - externa'!AD418+'Perfil - interna'!AD420</f>
        <v>1534793.2198481322</v>
      </c>
      <c r="AE420" s="320">
        <f>'Perfil - externa'!AE418+'Perfil - interna'!AE420</f>
        <v>1900465.7856979177</v>
      </c>
      <c r="AF420" s="320">
        <f>'Perfil - externa'!AF418+'Perfil - interna'!AF420</f>
        <v>1229439.107584944</v>
      </c>
      <c r="AG420" s="320">
        <f>'Perfil - externa'!AG418+'Perfil - interna'!AG420</f>
        <v>1145273.9081485139</v>
      </c>
      <c r="AH420" s="320">
        <f>'Perfil - externa'!AH418+'Perfil - interna'!AH420</f>
        <v>1047195.95513184</v>
      </c>
      <c r="AI420" s="320">
        <f>'Perfil - externa'!AI418+'Perfil - interna'!AI420</f>
        <v>1468192.1518820582</v>
      </c>
      <c r="AJ420" s="320">
        <f>'Perfil - externa'!AJ418+'Perfil - interna'!AJ420</f>
        <v>779939.94246831397</v>
      </c>
      <c r="AK420" s="320">
        <f>'Perfil - externa'!AK418+'Perfil - interna'!AK420</f>
        <v>706517.24407192005</v>
      </c>
      <c r="AL420" s="320">
        <f>'Perfil - externa'!AL418+'Perfil - interna'!AL420</f>
        <v>645532.10663168994</v>
      </c>
      <c r="AM420" s="320">
        <f>'Perfil - externa'!AM418+'Perfil - interna'!AM420</f>
        <v>3852895.0018825098</v>
      </c>
      <c r="AN420" s="320">
        <f>'Perfil - externa'!AN418+'Perfil - interna'!AN420</f>
        <v>285473.25939166395</v>
      </c>
      <c r="AO420" s="320"/>
      <c r="AP420" s="320"/>
      <c r="AQ420" s="320"/>
      <c r="AR420" s="320"/>
      <c r="AS420" s="320"/>
      <c r="AT420" s="320"/>
      <c r="AU420" s="320"/>
      <c r="AV420" s="320"/>
      <c r="AW420" s="320"/>
      <c r="AX420" s="320"/>
      <c r="AY420" s="320"/>
      <c r="AZ420" s="320"/>
      <c r="BA420" s="320"/>
      <c r="BB420" s="320"/>
      <c r="BC420" s="320"/>
      <c r="BD420" s="320"/>
      <c r="BE420" s="320"/>
      <c r="BF420" s="320"/>
      <c r="BG420" s="320"/>
      <c r="BH420" s="320"/>
      <c r="BI420" s="320"/>
      <c r="BJ420" s="320"/>
      <c r="BK420" s="320"/>
    </row>
    <row r="421" spans="1:63">
      <c r="A421" s="167"/>
      <c r="B421" s="217" t="str">
        <f>Servicio_internaColumna_título_amortizaciones</f>
        <v>Amortizaciones</v>
      </c>
      <c r="C421" s="218"/>
      <c r="D421" s="219"/>
      <c r="E421" s="219"/>
      <c r="F421" s="219"/>
      <c r="G421" s="219"/>
      <c r="H421" s="219"/>
      <c r="I421" s="219"/>
      <c r="J421" s="219"/>
      <c r="K421" s="219"/>
      <c r="L421" s="219"/>
      <c r="M421" s="219"/>
      <c r="N421" s="219">
        <f>'Perfil - externa'!N419+'Perfil - interna'!N421</f>
        <v>7918191.3645157916</v>
      </c>
      <c r="O421" s="219">
        <f>'Perfil - externa'!O419+'Perfil - interna'!O421</f>
        <v>24404383.21496034</v>
      </c>
      <c r="P421" s="219">
        <f>'Perfil - externa'!P419+'Perfil - interna'!P421</f>
        <v>21795041.813400723</v>
      </c>
      <c r="Q421" s="219">
        <f>'Perfil - externa'!Q419+'Perfil - interna'!Q421</f>
        <v>28802662.745607555</v>
      </c>
      <c r="R421" s="219">
        <f>'Perfil - externa'!R419+'Perfil - interna'!R421</f>
        <v>18754323.367855761</v>
      </c>
      <c r="S421" s="219">
        <f>'Perfil - externa'!S419+'Perfil - interna'!S421</f>
        <v>10757437.447451662</v>
      </c>
      <c r="T421" s="219">
        <f>'Perfil - externa'!T419+'Perfil - interna'!T421</f>
        <v>14634869.441127094</v>
      </c>
      <c r="U421" s="219">
        <f>'Perfil - externa'!U419+'Perfil - interna'!U421</f>
        <v>6244251.1801773738</v>
      </c>
      <c r="V421" s="219">
        <f>'Perfil - externa'!V419+'Perfil - interna'!V421</f>
        <v>11224572.863197219</v>
      </c>
      <c r="W421" s="219">
        <f>'Perfil - externa'!W419+'Perfil - interna'!W421</f>
        <v>7737211.800030468</v>
      </c>
      <c r="X421" s="219">
        <f>'Perfil - externa'!X419+'Perfil - interna'!X421</f>
        <v>4534112.4699505307</v>
      </c>
      <c r="Y421" s="219">
        <f>'Perfil - externa'!Y419+'Perfil - interna'!Y421</f>
        <v>12831427.123813305</v>
      </c>
      <c r="Z421" s="219">
        <f>'Perfil - externa'!Z419+'Perfil - interna'!Z421</f>
        <v>19580355.844136514</v>
      </c>
      <c r="AA421" s="219">
        <f>'Perfil - externa'!AA419+'Perfil - interna'!AA421</f>
        <v>1229645.0998198639</v>
      </c>
      <c r="AB421" s="219">
        <f>'Perfil - externa'!AB419+'Perfil - interna'!AB421</f>
        <v>7426498.1470733024</v>
      </c>
      <c r="AC421" s="219">
        <f>'Perfil - externa'!AC419+'Perfil - interna'!AC421</f>
        <v>2490940.2357813711</v>
      </c>
      <c r="AD421" s="219">
        <f>'Perfil - externa'!AD419+'Perfil - interna'!AD421</f>
        <v>739696.38731134566</v>
      </c>
      <c r="AE421" s="219">
        <f>'Perfil - externa'!AE419+'Perfil - interna'!AE421</f>
        <v>1145799.9581915739</v>
      </c>
      <c r="AF421" s="219">
        <f>'Perfil - externa'!AF419+'Perfil - interna'!AF421</f>
        <v>520635.21790075745</v>
      </c>
      <c r="AG421" s="219">
        <f>'Perfil - externa'!AG419+'Perfil - interna'!AG421</f>
        <v>461932.00783688517</v>
      </c>
      <c r="AH421" s="219">
        <f>'Perfil - externa'!AH419+'Perfil - interna'!AH421</f>
        <v>388450.87749004678</v>
      </c>
      <c r="AI421" s="219">
        <f>'Perfil - externa'!AI419+'Perfil - interna'!AI421</f>
        <v>854549.39196918008</v>
      </c>
      <c r="AJ421" s="219">
        <f>'Perfil - externa'!AJ419+'Perfil - interna'!AJ421</f>
        <v>215958.00840005517</v>
      </c>
      <c r="AK421" s="219">
        <f>'Perfil - externa'!AK419+'Perfil - interna'!AK421</f>
        <v>153979.46987675759</v>
      </c>
      <c r="AL421" s="219">
        <f>'Perfil - externa'!AL419+'Perfil - interna'!AL421</f>
        <v>102083.59108073699</v>
      </c>
      <c r="AM421" s="219">
        <f>'Perfil - externa'!AM419+'Perfil - interna'!AM421</f>
        <v>3286637.7756182137</v>
      </c>
      <c r="AN421" s="219">
        <f>'Perfil - externa'!AN419+'Perfil - interna'!AN421</f>
        <v>8815.8260946275968</v>
      </c>
      <c r="AO421" s="219"/>
      <c r="AP421" s="219"/>
      <c r="AQ421" s="219"/>
      <c r="AR421" s="219"/>
      <c r="AS421" s="219"/>
      <c r="AT421" s="219"/>
      <c r="AU421" s="219"/>
      <c r="AV421" s="219"/>
      <c r="AW421" s="219"/>
      <c r="AX421" s="219"/>
      <c r="AY421" s="219"/>
      <c r="AZ421" s="219"/>
      <c r="BA421" s="219"/>
      <c r="BB421" s="219"/>
      <c r="BC421" s="219"/>
      <c r="BD421" s="219"/>
      <c r="BE421" s="219"/>
      <c r="BF421" s="219"/>
      <c r="BG421" s="219"/>
      <c r="BH421" s="219"/>
      <c r="BI421" s="219"/>
      <c r="BJ421" s="219"/>
      <c r="BK421" s="219"/>
    </row>
    <row r="422" spans="1:63">
      <c r="A422" s="170">
        <v>41091</v>
      </c>
      <c r="B422" s="220" t="str">
        <f>Servicio_internaColumna_título_intereses</f>
        <v>Intereses</v>
      </c>
      <c r="C422" s="221"/>
      <c r="D422" s="222"/>
      <c r="E422" s="222"/>
      <c r="F422" s="222"/>
      <c r="G422" s="222"/>
      <c r="H422" s="222"/>
      <c r="I422" s="222"/>
      <c r="J422" s="222"/>
      <c r="K422" s="222"/>
      <c r="L422" s="222"/>
      <c r="M422" s="222"/>
      <c r="N422" s="222">
        <f>'Perfil - externa'!N420+'Perfil - interna'!N422</f>
        <v>6120329.1972187134</v>
      </c>
      <c r="O422" s="222">
        <f>'Perfil - externa'!O420+'Perfil - interna'!O422</f>
        <v>15542889.122819299</v>
      </c>
      <c r="P422" s="222">
        <f>'Perfil - externa'!P420+'Perfil - interna'!P422</f>
        <v>13812843.167900044</v>
      </c>
      <c r="Q422" s="222">
        <f>'Perfil - externa'!Q420+'Perfil - interna'!Q422</f>
        <v>11790591.428115543</v>
      </c>
      <c r="R422" s="222">
        <f>'Perfil - externa'!R420+'Perfil - interna'!R422</f>
        <v>9646099.5121019967</v>
      </c>
      <c r="S422" s="222">
        <f>'Perfil - externa'!S420+'Perfil - interna'!S422</f>
        <v>8310393.64905148</v>
      </c>
      <c r="T422" s="222">
        <f>'Perfil - externa'!T420+'Perfil - interna'!T422</f>
        <v>7865336.8104729969</v>
      </c>
      <c r="U422" s="222">
        <f>'Perfil - externa'!U420+'Perfil - interna'!U422</f>
        <v>6253462.7517682314</v>
      </c>
      <c r="V422" s="222">
        <f>'Perfil - externa'!V420+'Perfil - interna'!V422</f>
        <v>5976644.8294040337</v>
      </c>
      <c r="W422" s="222">
        <f>'Perfil - externa'!W420+'Perfil - interna'!W422</f>
        <v>4934967.4866486127</v>
      </c>
      <c r="X422" s="222">
        <f>'Perfil - externa'!X420+'Perfil - interna'!X422</f>
        <v>4544321.510248377</v>
      </c>
      <c r="Y422" s="222">
        <f>'Perfil - externa'!Y420+'Perfil - interna'!Y422</f>
        <v>4282337.1172533827</v>
      </c>
      <c r="Z422" s="222">
        <f>'Perfil - externa'!Z420+'Perfil - interna'!Z422</f>
        <v>3383434.9470233973</v>
      </c>
      <c r="AA422" s="222">
        <f>'Perfil - externa'!AA420+'Perfil - interna'!AA422</f>
        <v>1577149.0162433968</v>
      </c>
      <c r="AB422" s="222">
        <f>'Perfil - externa'!AB420+'Perfil - interna'!AB422</f>
        <v>1527594.4554590802</v>
      </c>
      <c r="AC422" s="222">
        <f>'Perfil - externa'!AC420+'Perfil - interna'!AC422</f>
        <v>986615.57638075424</v>
      </c>
      <c r="AD422" s="222">
        <f>'Perfil - externa'!AD420+'Perfil - interna'!AD422</f>
        <v>779139.35381155508</v>
      </c>
      <c r="AE422" s="222">
        <f>'Perfil - externa'!AE420+'Perfil - interna'!AE422</f>
        <v>736178.53865379153</v>
      </c>
      <c r="AF422" s="222">
        <f>'Perfil - externa'!AF420+'Perfil - interna'!AF422</f>
        <v>697207.45471057959</v>
      </c>
      <c r="AG422" s="222">
        <f>'Perfil - externa'!AG420+'Perfil - interna'!AG422</f>
        <v>672836.20477189298</v>
      </c>
      <c r="AH422" s="222">
        <f>'Perfil - externa'!AH420+'Perfil - interna'!AH422</f>
        <v>650032.06200148538</v>
      </c>
      <c r="AI422" s="222">
        <f>'Perfil - externa'!AI420+'Perfil - interna'!AI422</f>
        <v>600524.50986335357</v>
      </c>
      <c r="AJ422" s="222">
        <f>'Perfil - externa'!AJ420+'Perfil - interna'!AJ422</f>
        <v>557249.58079688903</v>
      </c>
      <c r="AK422" s="222">
        <f>'Perfil - externa'!AK420+'Perfil - interna'!AK422</f>
        <v>546494.82574847422</v>
      </c>
      <c r="AL422" s="222">
        <f>'Perfil - externa'!AL420+'Perfil - interna'!AL422</f>
        <v>537949.78313613846</v>
      </c>
      <c r="AM422" s="222">
        <f>'Perfil - externa'!AM420+'Perfil - interna'!AM422</f>
        <v>531250.63473951689</v>
      </c>
      <c r="AN422" s="222">
        <f>'Perfil - externa'!AN420+'Perfil - interna'!AN422</f>
        <v>274036.0627605312</v>
      </c>
      <c r="AO422" s="222"/>
      <c r="AP422" s="222"/>
      <c r="AQ422" s="222"/>
      <c r="AR422" s="222"/>
      <c r="AS422" s="222"/>
      <c r="AT422" s="222"/>
      <c r="AU422" s="222"/>
      <c r="AV422" s="222"/>
      <c r="AW422" s="222"/>
      <c r="AX422" s="222"/>
      <c r="AY422" s="222"/>
      <c r="AZ422" s="222"/>
      <c r="BA422" s="222"/>
      <c r="BB422" s="222"/>
      <c r="BC422" s="222"/>
      <c r="BD422" s="222"/>
      <c r="BE422" s="222"/>
      <c r="BF422" s="222"/>
      <c r="BG422" s="222"/>
      <c r="BH422" s="222"/>
      <c r="BI422" s="222"/>
      <c r="BJ422" s="222"/>
      <c r="BK422" s="222"/>
    </row>
    <row r="423" spans="1:63">
      <c r="A423" s="171"/>
      <c r="B423" s="318" t="str">
        <f>Servicio_internaColumna_título_total</f>
        <v>Total</v>
      </c>
      <c r="C423" s="319"/>
      <c r="D423" s="320"/>
      <c r="E423" s="320"/>
      <c r="F423" s="320"/>
      <c r="G423" s="320"/>
      <c r="H423" s="320"/>
      <c r="I423" s="320"/>
      <c r="J423" s="320"/>
      <c r="K423" s="320"/>
      <c r="L423" s="320"/>
      <c r="M423" s="320"/>
      <c r="N423" s="320">
        <f>'Perfil - externa'!N421+'Perfil - interna'!N423</f>
        <v>14038520.561734505</v>
      </c>
      <c r="O423" s="320">
        <f>'Perfil - externa'!O421+'Perfil - interna'!O423</f>
        <v>39947272.337779641</v>
      </c>
      <c r="P423" s="320">
        <f>'Perfil - externa'!P421+'Perfil - interna'!P423</f>
        <v>35607884.981300771</v>
      </c>
      <c r="Q423" s="320">
        <f>'Perfil - externa'!Q421+'Perfil - interna'!Q423</f>
        <v>40593254.173723094</v>
      </c>
      <c r="R423" s="320">
        <f>'Perfil - externa'!R421+'Perfil - interna'!R423</f>
        <v>28400422.879957758</v>
      </c>
      <c r="S423" s="320">
        <f>'Perfil - externa'!S421+'Perfil - interna'!S423</f>
        <v>19067831.096503142</v>
      </c>
      <c r="T423" s="320">
        <f>'Perfil - externa'!T421+'Perfil - interna'!T423</f>
        <v>22500206.25160009</v>
      </c>
      <c r="U423" s="320">
        <f>'Perfil - externa'!U421+'Perfil - interna'!U423</f>
        <v>12497713.931945605</v>
      </c>
      <c r="V423" s="320">
        <f>'Perfil - externa'!V421+'Perfil - interna'!V423</f>
        <v>17201217.692601252</v>
      </c>
      <c r="W423" s="320">
        <f>'Perfil - externa'!W421+'Perfil - interna'!W423</f>
        <v>12672179.28667908</v>
      </c>
      <c r="X423" s="320">
        <f>'Perfil - externa'!X421+'Perfil - interna'!X423</f>
        <v>9078433.9801989086</v>
      </c>
      <c r="Y423" s="320">
        <f>'Perfil - externa'!Y421+'Perfil - interna'!Y423</f>
        <v>17113764.241066687</v>
      </c>
      <c r="Z423" s="320">
        <f>'Perfil - externa'!Z421+'Perfil - interna'!Z423</f>
        <v>22963790.791159909</v>
      </c>
      <c r="AA423" s="320">
        <f>'Perfil - externa'!AA421+'Perfil - interna'!AA423</f>
        <v>2806794.1160632609</v>
      </c>
      <c r="AB423" s="320">
        <f>'Perfil - externa'!AB421+'Perfil - interna'!AB423</f>
        <v>8954092.6025323831</v>
      </c>
      <c r="AC423" s="320">
        <f>'Perfil - externa'!AC421+'Perfil - interna'!AC423</f>
        <v>3477555.8121621255</v>
      </c>
      <c r="AD423" s="320">
        <f>'Perfil - externa'!AD421+'Perfil - interna'!AD423</f>
        <v>1518835.741122901</v>
      </c>
      <c r="AE423" s="320">
        <f>'Perfil - externa'!AE421+'Perfil - interna'!AE423</f>
        <v>1881978.4968453653</v>
      </c>
      <c r="AF423" s="320">
        <f>'Perfil - externa'!AF421+'Perfil - interna'!AF423</f>
        <v>1217842.6726113372</v>
      </c>
      <c r="AG423" s="320">
        <f>'Perfil - externa'!AG421+'Perfil - interna'!AG423</f>
        <v>1134768.2126087782</v>
      </c>
      <c r="AH423" s="320">
        <f>'Perfil - externa'!AH421+'Perfil - interna'!AH423</f>
        <v>1038482.9394915322</v>
      </c>
      <c r="AI423" s="320">
        <f>'Perfil - externa'!AI421+'Perfil - interna'!AI423</f>
        <v>1455073.9018325338</v>
      </c>
      <c r="AJ423" s="320">
        <f>'Perfil - externa'!AJ421+'Perfil - interna'!AJ423</f>
        <v>773207.58919694414</v>
      </c>
      <c r="AK423" s="320">
        <f>'Perfil - externa'!AK421+'Perfil - interna'!AK423</f>
        <v>700474.29562523169</v>
      </c>
      <c r="AL423" s="320">
        <f>'Perfil - externa'!AL421+'Perfil - interna'!AL423</f>
        <v>640033.37421687529</v>
      </c>
      <c r="AM423" s="320">
        <f>'Perfil - externa'!AM421+'Perfil - interna'!AM423</f>
        <v>3817888.4103577305</v>
      </c>
      <c r="AN423" s="320">
        <f>'Perfil - externa'!AN421+'Perfil - interna'!AN423</f>
        <v>282851.88885515882</v>
      </c>
      <c r="AO423" s="320"/>
      <c r="AP423" s="320"/>
      <c r="AQ423" s="320"/>
      <c r="AR423" s="320"/>
      <c r="AS423" s="320"/>
      <c r="AT423" s="320"/>
      <c r="AU423" s="320"/>
      <c r="AV423" s="320"/>
      <c r="AW423" s="320"/>
      <c r="AX423" s="320"/>
      <c r="AY423" s="320"/>
      <c r="AZ423" s="320"/>
      <c r="BA423" s="320"/>
      <c r="BB423" s="320"/>
      <c r="BC423" s="320"/>
      <c r="BD423" s="320"/>
      <c r="BE423" s="320"/>
      <c r="BF423" s="320"/>
      <c r="BG423" s="320"/>
      <c r="BH423" s="320"/>
      <c r="BI423" s="320"/>
      <c r="BJ423" s="320"/>
      <c r="BK423" s="320"/>
    </row>
    <row r="424" spans="1:63">
      <c r="A424" s="167"/>
      <c r="B424" s="217" t="str">
        <f>Servicio_internaColumna_título_amortizaciones</f>
        <v>Amortizaciones</v>
      </c>
      <c r="C424" s="218"/>
      <c r="D424" s="219"/>
      <c r="E424" s="219"/>
      <c r="F424" s="219"/>
      <c r="G424" s="219"/>
      <c r="H424" s="219"/>
      <c r="I424" s="219"/>
      <c r="J424" s="219"/>
      <c r="K424" s="219"/>
      <c r="L424" s="219"/>
      <c r="M424" s="219"/>
      <c r="N424" s="219">
        <f>'Perfil - externa'!N422+'Perfil - interna'!N424</f>
        <v>2511902.0130635155</v>
      </c>
      <c r="O424" s="219">
        <f>'Perfil - externa'!O422+'Perfil - interna'!O424</f>
        <v>24468028.076341268</v>
      </c>
      <c r="P424" s="219">
        <f>'Perfil - externa'!P422+'Perfil - interna'!P424</f>
        <v>21882309.824853964</v>
      </c>
      <c r="Q424" s="219">
        <f>'Perfil - externa'!Q422+'Perfil - interna'!Q424</f>
        <v>28871472.238348059</v>
      </c>
      <c r="R424" s="219">
        <f>'Perfil - externa'!R422+'Perfil - interna'!R424</f>
        <v>20175454.440147731</v>
      </c>
      <c r="S424" s="219">
        <f>'Perfil - externa'!S422+'Perfil - interna'!S424</f>
        <v>10876478.01723926</v>
      </c>
      <c r="T424" s="219">
        <f>'Perfil - externa'!T422+'Perfil - interna'!T424</f>
        <v>14674924.38536809</v>
      </c>
      <c r="U424" s="219">
        <f>'Perfil - externa'!U422+'Perfil - interna'!U424</f>
        <v>6401295.8417057646</v>
      </c>
      <c r="V424" s="219">
        <f>'Perfil - externa'!V422+'Perfil - interna'!V424</f>
        <v>11292932.173873525</v>
      </c>
      <c r="W424" s="219">
        <f>'Perfil - externa'!W422+'Perfil - interna'!W424</f>
        <v>8562111.0867477208</v>
      </c>
      <c r="X424" s="219">
        <f>'Perfil - externa'!X422+'Perfil - interna'!X424</f>
        <v>5409018.1323605096</v>
      </c>
      <c r="Y424" s="219">
        <f>'Perfil - externa'!Y422+'Perfil - interna'!Y424</f>
        <v>12864412.342703305</v>
      </c>
      <c r="Z424" s="219">
        <f>'Perfil - externa'!Z422+'Perfil - interna'!Z424</f>
        <v>19647725.576299924</v>
      </c>
      <c r="AA424" s="219">
        <f>'Perfil - externa'!AA422+'Perfil - interna'!AA424</f>
        <v>1262081.4709652103</v>
      </c>
      <c r="AB424" s="219">
        <f>'Perfil - externa'!AB422+'Perfil - interna'!AB424</f>
        <v>7812381.6295208558</v>
      </c>
      <c r="AC424" s="219">
        <f>'Perfil - externa'!AC422+'Perfil - interna'!AC424</f>
        <v>2552527.9833105146</v>
      </c>
      <c r="AD424" s="219">
        <f>'Perfil - externa'!AD422+'Perfil - interna'!AD424</f>
        <v>760677.78943506</v>
      </c>
      <c r="AE424" s="219">
        <f>'Perfil - externa'!AE422+'Perfil - interna'!AE424</f>
        <v>1176197.2282877599</v>
      </c>
      <c r="AF424" s="219">
        <f>'Perfil - externa'!AF422+'Perfil - interna'!AF424</f>
        <v>536537.49440980493</v>
      </c>
      <c r="AG424" s="219">
        <f>'Perfil - externa'!AG422+'Perfil - interna'!AG424</f>
        <v>476473.19886145002</v>
      </c>
      <c r="AH424" s="219">
        <f>'Perfil - externa'!AH422+'Perfil - interna'!AH424</f>
        <v>401290.88693610003</v>
      </c>
      <c r="AI424" s="219">
        <f>'Perfil - externa'!AI422+'Perfil - interna'!AI424</f>
        <v>878195.14951035008</v>
      </c>
      <c r="AJ424" s="219">
        <f>'Perfil - externa'!AJ422+'Perfil - interna'!AJ424</f>
        <v>224793.76553143997</v>
      </c>
      <c r="AK424" s="219">
        <f>'Perfil - externa'!AK422+'Perfil - interna'!AK424</f>
        <v>161378.20015660001</v>
      </c>
      <c r="AL424" s="219">
        <f>'Perfil - externa'!AL422+'Perfil - interna'!AL424</f>
        <v>108278.48386907998</v>
      </c>
      <c r="AM424" s="219">
        <f>'Perfil - externa'!AM422+'Perfil - interna'!AM424</f>
        <v>3366668.7678481899</v>
      </c>
      <c r="AN424" s="219">
        <f>'Perfil - externa'!AN422+'Perfil - interna'!AN424</f>
        <v>9020.2287655899981</v>
      </c>
      <c r="AO424" s="219"/>
      <c r="AP424" s="219"/>
      <c r="AQ424" s="219"/>
      <c r="AR424" s="219"/>
      <c r="AS424" s="219"/>
      <c r="AT424" s="219"/>
      <c r="AU424" s="219"/>
      <c r="AV424" s="219"/>
      <c r="AW424" s="219"/>
      <c r="AX424" s="219"/>
      <c r="AY424" s="219"/>
      <c r="AZ424" s="219"/>
      <c r="BA424" s="219"/>
      <c r="BB424" s="219"/>
      <c r="BC424" s="219"/>
      <c r="BD424" s="219"/>
      <c r="BE424" s="219"/>
      <c r="BF424" s="219"/>
      <c r="BG424" s="219"/>
      <c r="BH424" s="219"/>
      <c r="BI424" s="219"/>
      <c r="BJ424" s="219"/>
      <c r="BK424" s="219"/>
    </row>
    <row r="425" spans="1:63">
      <c r="A425" s="170">
        <v>41122</v>
      </c>
      <c r="B425" s="220" t="str">
        <f>Servicio_internaColumna_título_intereses</f>
        <v>Intereses</v>
      </c>
      <c r="C425" s="221"/>
      <c r="D425" s="222"/>
      <c r="E425" s="222"/>
      <c r="F425" s="222"/>
      <c r="G425" s="222"/>
      <c r="H425" s="222"/>
      <c r="I425" s="222"/>
      <c r="J425" s="222"/>
      <c r="K425" s="222"/>
      <c r="L425" s="222"/>
      <c r="M425" s="222"/>
      <c r="N425" s="222">
        <f>'Perfil - externa'!N423+'Perfil - interna'!N425</f>
        <v>4972619.7567685498</v>
      </c>
      <c r="O425" s="222">
        <f>'Perfil - externa'!O423+'Perfil - interna'!O425</f>
        <v>15789225.281285122</v>
      </c>
      <c r="P425" s="222">
        <f>'Perfil - externa'!P423+'Perfil - interna'!P425</f>
        <v>14066616.571958782</v>
      </c>
      <c r="Q425" s="222">
        <f>'Perfil - externa'!Q423+'Perfil - interna'!Q425</f>
        <v>12044119.532876533</v>
      </c>
      <c r="R425" s="222">
        <f>'Perfil - externa'!R423+'Perfil - interna'!R425</f>
        <v>9894694.8102329168</v>
      </c>
      <c r="S425" s="222">
        <f>'Perfil - externa'!S423+'Perfil - interna'!S425</f>
        <v>8467234.3612524047</v>
      </c>
      <c r="T425" s="222">
        <f>'Perfil - externa'!T423+'Perfil - interna'!T425</f>
        <v>8026083.3506249273</v>
      </c>
      <c r="U425" s="222">
        <f>'Perfil - externa'!U423+'Perfil - interna'!U425</f>
        <v>6422672.4433339052</v>
      </c>
      <c r="V425" s="222">
        <f>'Perfil - externa'!V423+'Perfil - interna'!V425</f>
        <v>6141026.5429415312</v>
      </c>
      <c r="W425" s="222">
        <f>'Perfil - externa'!W423+'Perfil - interna'!W425</f>
        <v>5096969.7045812383</v>
      </c>
      <c r="X425" s="222">
        <f>'Perfil - externa'!X423+'Perfil - interna'!X425</f>
        <v>4669964.0000322247</v>
      </c>
      <c r="Y425" s="222">
        <f>'Perfil - externa'!Y423+'Perfil - interna'!Y425</f>
        <v>4345796.8487249278</v>
      </c>
      <c r="Z425" s="222">
        <f>'Perfil - externa'!Z423+'Perfil - interna'!Z425</f>
        <v>3442895.0593798086</v>
      </c>
      <c r="AA425" s="222">
        <f>'Perfil - externa'!AA423+'Perfil - interna'!AA425</f>
        <v>1631994.895906125</v>
      </c>
      <c r="AB425" s="222">
        <f>'Perfil - externa'!AB423+'Perfil - interna'!AB425</f>
        <v>1580023.2440481796</v>
      </c>
      <c r="AC425" s="222">
        <f>'Perfil - externa'!AC423+'Perfil - interna'!AC425</f>
        <v>1013617.706177615</v>
      </c>
      <c r="AD425" s="222">
        <f>'Perfil - externa'!AD423+'Perfil - interna'!AD425</f>
        <v>796843.86431938491</v>
      </c>
      <c r="AE425" s="222">
        <f>'Perfil - externa'!AE423+'Perfil - interna'!AE425</f>
        <v>752017.86311651999</v>
      </c>
      <c r="AF425" s="222">
        <f>'Perfil - externa'!AF423+'Perfil - interna'!AF425</f>
        <v>711385.812574415</v>
      </c>
      <c r="AG425" s="222">
        <f>'Perfil - externa'!AG423+'Perfil - interna'!AG425</f>
        <v>686221.53433246003</v>
      </c>
      <c r="AH425" s="222">
        <f>'Perfil - externa'!AH423+'Perfil - interna'!AH425</f>
        <v>663129.49212181999</v>
      </c>
      <c r="AI425" s="222">
        <f>'Perfil - externa'!AI423+'Perfil - interna'!AI425</f>
        <v>611992.19986035989</v>
      </c>
      <c r="AJ425" s="222">
        <f>'Perfil - externa'!AJ423+'Perfil - interna'!AJ425</f>
        <v>567779.758845645</v>
      </c>
      <c r="AK425" s="222">
        <f>'Perfil - externa'!AK423+'Perfil - interna'!AK425</f>
        <v>556876.96965886501</v>
      </c>
      <c r="AL425" s="222">
        <f>'Perfil - externa'!AL423+'Perfil - interna'!AL425</f>
        <v>548274.67461820005</v>
      </c>
      <c r="AM425" s="222">
        <f>'Perfil - externa'!AM423+'Perfil - interna'!AM425</f>
        <v>541648.29964123003</v>
      </c>
      <c r="AN425" s="222">
        <f>'Perfil - externa'!AN423+'Perfil - interna'!AN425</f>
        <v>280389.82956207998</v>
      </c>
      <c r="AO425" s="222"/>
      <c r="AP425" s="222"/>
      <c r="AQ425" s="222"/>
      <c r="AR425" s="222"/>
      <c r="AS425" s="222"/>
      <c r="AT425" s="222"/>
      <c r="AU425" s="222"/>
      <c r="AV425" s="222"/>
      <c r="AW425" s="222"/>
      <c r="AX425" s="222"/>
      <c r="AY425" s="222"/>
      <c r="AZ425" s="222"/>
      <c r="BA425" s="222"/>
      <c r="BB425" s="222"/>
      <c r="BC425" s="222"/>
      <c r="BD425" s="222"/>
      <c r="BE425" s="222"/>
      <c r="BF425" s="222"/>
      <c r="BG425" s="222"/>
      <c r="BH425" s="222"/>
      <c r="BI425" s="222"/>
      <c r="BJ425" s="222"/>
      <c r="BK425" s="222"/>
    </row>
    <row r="426" spans="1:63">
      <c r="A426" s="171"/>
      <c r="B426" s="318" t="str">
        <f>Servicio_internaColumna_título_total</f>
        <v>Total</v>
      </c>
      <c r="C426" s="319"/>
      <c r="D426" s="320"/>
      <c r="E426" s="320"/>
      <c r="F426" s="320"/>
      <c r="G426" s="320"/>
      <c r="H426" s="320"/>
      <c r="I426" s="320"/>
      <c r="J426" s="320"/>
      <c r="K426" s="320"/>
      <c r="L426" s="320"/>
      <c r="M426" s="320"/>
      <c r="N426" s="320">
        <f>N424+N425</f>
        <v>7484521.7698320653</v>
      </c>
      <c r="O426" s="320">
        <f t="shared" ref="O426:AN426" si="31">O424+O425</f>
        <v>40257253.357626393</v>
      </c>
      <c r="P426" s="320">
        <f t="shared" si="31"/>
        <v>35948926.396812744</v>
      </c>
      <c r="Q426" s="320">
        <f t="shared" si="31"/>
        <v>40915591.771224588</v>
      </c>
      <c r="R426" s="320">
        <f t="shared" si="31"/>
        <v>30070149.25038065</v>
      </c>
      <c r="S426" s="320">
        <f t="shared" si="31"/>
        <v>19343712.378491662</v>
      </c>
      <c r="T426" s="320">
        <f t="shared" si="31"/>
        <v>22701007.735993017</v>
      </c>
      <c r="U426" s="320">
        <f t="shared" si="31"/>
        <v>12823968.285039671</v>
      </c>
      <c r="V426" s="320">
        <f t="shared" si="31"/>
        <v>17433958.716815054</v>
      </c>
      <c r="W426" s="320">
        <f t="shared" si="31"/>
        <v>13659080.791328959</v>
      </c>
      <c r="X426" s="320">
        <f t="shared" si="31"/>
        <v>10078982.132392734</v>
      </c>
      <c r="Y426" s="320">
        <f t="shared" si="31"/>
        <v>17210209.191428233</v>
      </c>
      <c r="Z426" s="320">
        <f t="shared" si="31"/>
        <v>23090620.635679733</v>
      </c>
      <c r="AA426" s="320">
        <f t="shared" si="31"/>
        <v>2894076.3668713355</v>
      </c>
      <c r="AB426" s="320">
        <f t="shared" si="31"/>
        <v>9392404.8735690359</v>
      </c>
      <c r="AC426" s="320">
        <f t="shared" si="31"/>
        <v>3566145.6894881297</v>
      </c>
      <c r="AD426" s="320">
        <f t="shared" si="31"/>
        <v>1557521.6537544448</v>
      </c>
      <c r="AE426" s="320">
        <f t="shared" si="31"/>
        <v>1928215.0914042799</v>
      </c>
      <c r="AF426" s="320">
        <f t="shared" si="31"/>
        <v>1247923.3069842199</v>
      </c>
      <c r="AG426" s="320">
        <f t="shared" si="31"/>
        <v>1162694.73319391</v>
      </c>
      <c r="AH426" s="320">
        <f t="shared" si="31"/>
        <v>1064420.3790579201</v>
      </c>
      <c r="AI426" s="320">
        <f t="shared" si="31"/>
        <v>1490187.3493707101</v>
      </c>
      <c r="AJ426" s="320">
        <f t="shared" si="31"/>
        <v>792573.52437708504</v>
      </c>
      <c r="AK426" s="320">
        <f t="shared" si="31"/>
        <v>718255.16981546499</v>
      </c>
      <c r="AL426" s="320">
        <f t="shared" si="31"/>
        <v>656553.15848728002</v>
      </c>
      <c r="AM426" s="320">
        <f t="shared" si="31"/>
        <v>3908317.0674894201</v>
      </c>
      <c r="AN426" s="320">
        <f t="shared" si="31"/>
        <v>289410.05832766998</v>
      </c>
      <c r="AO426" s="320"/>
      <c r="AP426" s="320"/>
      <c r="AQ426" s="320"/>
      <c r="AR426" s="320"/>
      <c r="AS426" s="320"/>
      <c r="AT426" s="320"/>
      <c r="AU426" s="320"/>
      <c r="AV426" s="320"/>
      <c r="AW426" s="320"/>
      <c r="AX426" s="320"/>
      <c r="AY426" s="320"/>
      <c r="AZ426" s="320"/>
      <c r="BA426" s="320"/>
      <c r="BB426" s="320"/>
      <c r="BC426" s="320"/>
      <c r="BD426" s="320"/>
      <c r="BE426" s="320"/>
      <c r="BF426" s="320"/>
      <c r="BG426" s="320"/>
      <c r="BH426" s="320"/>
      <c r="BI426" s="320"/>
      <c r="BJ426" s="320"/>
      <c r="BK426" s="320"/>
    </row>
    <row r="427" spans="1:63">
      <c r="A427" s="167"/>
      <c r="B427" s="217" t="str">
        <f>Servicio_internaColumna_título_amortizaciones</f>
        <v>Amortizaciones</v>
      </c>
      <c r="C427" s="218"/>
      <c r="D427" s="219"/>
      <c r="E427" s="219"/>
      <c r="F427" s="219"/>
      <c r="G427" s="219"/>
      <c r="H427" s="219"/>
      <c r="I427" s="219"/>
      <c r="J427" s="219"/>
      <c r="K427" s="219"/>
      <c r="L427" s="219"/>
      <c r="M427" s="219"/>
      <c r="N427" s="219">
        <f>'Perfil - externa'!N425+'Perfil - interna'!N427</f>
        <v>2137028.0364175355</v>
      </c>
      <c r="O427" s="219">
        <f>'Perfil - externa'!O425+'Perfil - interna'!O427</f>
        <v>23979493.118446719</v>
      </c>
      <c r="P427" s="219">
        <f>'Perfil - externa'!P425+'Perfil - interna'!P427</f>
        <v>21817528.863597002</v>
      </c>
      <c r="Q427" s="219">
        <f>'Perfil - externa'!Q425+'Perfil - interna'!Q427</f>
        <v>28818383.602379844</v>
      </c>
      <c r="R427" s="219">
        <f>'Perfil - externa'!R425+'Perfil - interna'!R427</f>
        <v>20420394.175680548</v>
      </c>
      <c r="S427" s="219">
        <f>'Perfil - externa'!S425+'Perfil - interna'!S427</f>
        <v>10793830.143762425</v>
      </c>
      <c r="T427" s="219">
        <f>'Perfil - externa'!T425+'Perfil - interna'!T427</f>
        <v>14646376.446307909</v>
      </c>
      <c r="U427" s="219">
        <f>'Perfil - externa'!U425+'Perfil - interna'!U427</f>
        <v>6276396.2541713463</v>
      </c>
      <c r="V427" s="219">
        <f>'Perfil - externa'!V425+'Perfil - interna'!V427</f>
        <v>11242623.562567096</v>
      </c>
      <c r="W427" s="219">
        <f>'Perfil - externa'!W425+'Perfil - interna'!W427</f>
        <v>8761802.6470790394</v>
      </c>
      <c r="X427" s="219">
        <f>'Perfil - externa'!X425+'Perfil - interna'!X427</f>
        <v>5775685.1338429218</v>
      </c>
      <c r="Y427" s="219">
        <f>'Perfil - externa'!Y425+'Perfil - interna'!Y427</f>
        <v>13995538.532387653</v>
      </c>
      <c r="Z427" s="219">
        <f>'Perfil - externa'!Z425+'Perfil - interna'!Z427</f>
        <v>19598092.737126049</v>
      </c>
      <c r="AA427" s="219">
        <f>'Perfil - externa'!AA425+'Perfil - interna'!AA427</f>
        <v>1239769.7332485218</v>
      </c>
      <c r="AB427" s="219">
        <f>'Perfil - externa'!AB425+'Perfil - interna'!AB427</f>
        <v>7935095.1862567272</v>
      </c>
      <c r="AC427" s="219">
        <f>'Perfil - externa'!AC425+'Perfil - interna'!AC427</f>
        <v>2507321.8271890651</v>
      </c>
      <c r="AD427" s="219">
        <f>'Perfil - externa'!AD425+'Perfil - interna'!AD427</f>
        <v>747207.10629118083</v>
      </c>
      <c r="AE427" s="219">
        <f>'Perfil - externa'!AE425+'Perfil - interna'!AE427</f>
        <v>1155367.2770708927</v>
      </c>
      <c r="AF427" s="219">
        <f>'Perfil - externa'!AF425+'Perfil - interna'!AF427</f>
        <v>527036.56180660788</v>
      </c>
      <c r="AG427" s="219">
        <f>'Perfil - externa'!AG425+'Perfil - interna'!AG427</f>
        <v>468036.06547249923</v>
      </c>
      <c r="AH427" s="219">
        <f>'Perfil - externa'!AH425+'Perfil - interna'!AH427</f>
        <v>394185.30806920322</v>
      </c>
      <c r="AI427" s="219">
        <f>'Perfil - externa'!AI425+'Perfil - interna'!AI427</f>
        <v>862707.78503675526</v>
      </c>
      <c r="AJ427" s="219">
        <f>'Perfil - externa'!AJ425+'Perfil - interna'!AJ427</f>
        <v>220814.12857983357</v>
      </c>
      <c r="AK427" s="219">
        <f>'Perfil - externa'!AK425+'Perfil - interna'!AK427</f>
        <v>158521.71678568321</v>
      </c>
      <c r="AL427" s="219">
        <f>'Perfil - externa'!AL425+'Perfil - interna'!AL427</f>
        <v>106361.60638875839</v>
      </c>
      <c r="AM427" s="219">
        <f>'Perfil - externa'!AM425+'Perfil - interna'!AM427</f>
        <v>3307041.670632326</v>
      </c>
      <c r="AN427" s="219">
        <f>'Perfil - externa'!AN425+'Perfil - interna'!AN427</f>
        <v>8860.4714224703966</v>
      </c>
      <c r="AO427" s="219"/>
      <c r="AP427" s="219"/>
      <c r="AQ427" s="219"/>
      <c r="AR427" s="219"/>
      <c r="AS427" s="219"/>
      <c r="AT427" s="219"/>
      <c r="AU427" s="219"/>
      <c r="AV427" s="219"/>
      <c r="AW427" s="219"/>
      <c r="AX427" s="219"/>
      <c r="AY427" s="219"/>
      <c r="AZ427" s="219"/>
      <c r="BA427" s="219"/>
      <c r="BB427" s="219"/>
      <c r="BC427" s="219"/>
      <c r="BD427" s="219"/>
      <c r="BE427" s="219"/>
      <c r="BF427" s="219"/>
      <c r="BG427" s="219"/>
      <c r="BH427" s="219"/>
      <c r="BI427" s="219"/>
      <c r="BJ427" s="219"/>
      <c r="BK427" s="219"/>
    </row>
    <row r="428" spans="1:63">
      <c r="A428" s="170">
        <v>41182</v>
      </c>
      <c r="B428" s="220" t="str">
        <f>Servicio_internaColumna_título_intereses</f>
        <v>Intereses</v>
      </c>
      <c r="C428" s="221"/>
      <c r="D428" s="222"/>
      <c r="E428" s="222"/>
      <c r="F428" s="222"/>
      <c r="G428" s="222"/>
      <c r="H428" s="222"/>
      <c r="I428" s="222"/>
      <c r="J428" s="222"/>
      <c r="K428" s="222"/>
      <c r="L428" s="222"/>
      <c r="M428" s="222"/>
      <c r="N428" s="222">
        <f>'Perfil - externa'!N426+'Perfil - interna'!N428</f>
        <v>3846935.887294014</v>
      </c>
      <c r="O428" s="222">
        <f>'Perfil - externa'!O426+'Perfil - interna'!O428</f>
        <v>15775602.162624402</v>
      </c>
      <c r="P428" s="222">
        <f>'Perfil - externa'!P426+'Perfil - interna'!P428</f>
        <v>14138843.332072388</v>
      </c>
      <c r="Q428" s="222">
        <f>'Perfil - externa'!Q426+'Perfil - interna'!Q428</f>
        <v>12112715.066191828</v>
      </c>
      <c r="R428" s="222">
        <f>'Perfil - externa'!R426+'Perfil - interna'!R428</f>
        <v>9961525.8576656319</v>
      </c>
      <c r="S428" s="222">
        <f>'Perfil - externa'!S426+'Perfil - interna'!S428</f>
        <v>8516418.3116336651</v>
      </c>
      <c r="T428" s="222">
        <f>'Perfil - externa'!T426+'Perfil - interna'!T428</f>
        <v>8078096.7157267816</v>
      </c>
      <c r="U428" s="222">
        <f>'Perfil - externa'!U426+'Perfil - interna'!U428</f>
        <v>6480546.6242080387</v>
      </c>
      <c r="V428" s="222">
        <f>'Perfil - externa'!V426+'Perfil - interna'!V428</f>
        <v>6212155.4475489147</v>
      </c>
      <c r="W428" s="222">
        <f>'Perfil - externa'!W426+'Perfil - interna'!W428</f>
        <v>5175604.1170251574</v>
      </c>
      <c r="X428" s="222">
        <f>'Perfil - externa'!X426+'Perfil - interna'!X428</f>
        <v>4742486.8758155424</v>
      </c>
      <c r="Y428" s="222">
        <f>'Perfil - externa'!Y426+'Perfil - interna'!Y428</f>
        <v>4394046.355387697</v>
      </c>
      <c r="Z428" s="222">
        <f>'Perfil - externa'!Z426+'Perfil - interna'!Z428</f>
        <v>3437990.313891964</v>
      </c>
      <c r="AA428" s="222">
        <f>'Perfil - externa'!AA426+'Perfil - interna'!AA428</f>
        <v>1628932.9458461599</v>
      </c>
      <c r="AB428" s="222">
        <f>'Perfil - externa'!AB426+'Perfil - interna'!AB428</f>
        <v>1577164.1822537128</v>
      </c>
      <c r="AC428" s="222">
        <f>'Perfil - externa'!AC426+'Perfil - interna'!AC428</f>
        <v>1001343.0047778389</v>
      </c>
      <c r="AD428" s="222">
        <f>'Perfil - externa'!AD426+'Perfil - interna'!AD428</f>
        <v>786228.6835103404</v>
      </c>
      <c r="AE428" s="222">
        <f>'Perfil - externa'!AE426+'Perfil - interna'!AE428</f>
        <v>741557.70291304239</v>
      </c>
      <c r="AF428" s="222">
        <f>'Perfil - externa'!AF426+'Perfil - interna'!AF428</f>
        <v>700976.21956543718</v>
      </c>
      <c r="AG428" s="222">
        <f>'Perfil - externa'!AG426+'Perfil - interna'!AG428</f>
        <v>675874.10155195475</v>
      </c>
      <c r="AH428" s="222">
        <f>'Perfil - externa'!AH426+'Perfil - interna'!AH428</f>
        <v>652836.74990921642</v>
      </c>
      <c r="AI428" s="222">
        <f>'Perfil - externa'!AI426+'Perfil - interna'!AI428</f>
        <v>602089.17768789397</v>
      </c>
      <c r="AJ428" s="222">
        <f>'Perfil - externa'!AJ426+'Perfil - interna'!AJ428</f>
        <v>558476.96658135147</v>
      </c>
      <c r="AK428" s="222">
        <f>'Perfil - externa'!AK426+'Perfil - interna'!AK428</f>
        <v>547590.93930250837</v>
      </c>
      <c r="AL428" s="222">
        <f>'Perfil - externa'!AL426+'Perfil - interna'!AL428</f>
        <v>538974.06125726167</v>
      </c>
      <c r="AM428" s="222">
        <f>'Perfil - externa'!AM426+'Perfil - interna'!AM428</f>
        <v>532336.73600033438</v>
      </c>
      <c r="AN428" s="222">
        <f>'Perfil - externa'!AN426+'Perfil - interna'!AN428</f>
        <v>275423.84306964476</v>
      </c>
      <c r="AO428" s="222"/>
      <c r="AP428" s="222"/>
      <c r="AQ428" s="222"/>
      <c r="AR428" s="222"/>
      <c r="AS428" s="222"/>
      <c r="AT428" s="222"/>
      <c r="AU428" s="222"/>
      <c r="AV428" s="222"/>
      <c r="AW428" s="222"/>
      <c r="AX428" s="222"/>
      <c r="AY428" s="222"/>
      <c r="AZ428" s="222"/>
      <c r="BA428" s="222"/>
      <c r="BB428" s="222"/>
      <c r="BC428" s="222"/>
      <c r="BD428" s="222"/>
      <c r="BE428" s="222"/>
      <c r="BF428" s="222"/>
      <c r="BG428" s="222"/>
      <c r="BH428" s="222"/>
      <c r="BI428" s="222"/>
      <c r="BJ428" s="222"/>
      <c r="BK428" s="222"/>
    </row>
    <row r="429" spans="1:63">
      <c r="A429" s="171"/>
      <c r="B429" s="318" t="str">
        <f>Servicio_internaColumna_título_total</f>
        <v>Total</v>
      </c>
      <c r="C429" s="319"/>
      <c r="D429" s="320"/>
      <c r="E429" s="320"/>
      <c r="F429" s="320"/>
      <c r="G429" s="320"/>
      <c r="H429" s="320"/>
      <c r="I429" s="320"/>
      <c r="J429" s="320"/>
      <c r="K429" s="320"/>
      <c r="L429" s="320"/>
      <c r="M429" s="320"/>
      <c r="N429" s="320">
        <f>N427+N428</f>
        <v>5983963.9237115495</v>
      </c>
      <c r="O429" s="320">
        <f t="shared" ref="O429:AN429" si="32">O427+O428</f>
        <v>39755095.281071119</v>
      </c>
      <c r="P429" s="320">
        <f t="shared" si="32"/>
        <v>35956372.19566939</v>
      </c>
      <c r="Q429" s="320">
        <f t="shared" si="32"/>
        <v>40931098.668571673</v>
      </c>
      <c r="R429" s="320">
        <f t="shared" si="32"/>
        <v>30381920.03334618</v>
      </c>
      <c r="S429" s="320">
        <f t="shared" si="32"/>
        <v>19310248.45539609</v>
      </c>
      <c r="T429" s="320">
        <f t="shared" si="32"/>
        <v>22724473.16203469</v>
      </c>
      <c r="U429" s="320">
        <f t="shared" si="32"/>
        <v>12756942.878379386</v>
      </c>
      <c r="V429" s="320">
        <f t="shared" si="32"/>
        <v>17454779.010116011</v>
      </c>
      <c r="W429" s="320">
        <f t="shared" si="32"/>
        <v>13937406.764104197</v>
      </c>
      <c r="X429" s="320">
        <f t="shared" si="32"/>
        <v>10518172.009658463</v>
      </c>
      <c r="Y429" s="320">
        <f t="shared" si="32"/>
        <v>18389584.88777535</v>
      </c>
      <c r="Z429" s="320">
        <f t="shared" si="32"/>
        <v>23036083.051018015</v>
      </c>
      <c r="AA429" s="320">
        <f t="shared" si="32"/>
        <v>2868702.6790946815</v>
      </c>
      <c r="AB429" s="320">
        <f t="shared" si="32"/>
        <v>9512259.36851044</v>
      </c>
      <c r="AC429" s="320">
        <f t="shared" si="32"/>
        <v>3508664.831966904</v>
      </c>
      <c r="AD429" s="320">
        <f t="shared" si="32"/>
        <v>1533435.7898015212</v>
      </c>
      <c r="AE429" s="320">
        <f t="shared" si="32"/>
        <v>1896924.9799839351</v>
      </c>
      <c r="AF429" s="320">
        <f t="shared" si="32"/>
        <v>1228012.7813720452</v>
      </c>
      <c r="AG429" s="320">
        <f t="shared" si="32"/>
        <v>1143910.1670244541</v>
      </c>
      <c r="AH429" s="320">
        <f t="shared" si="32"/>
        <v>1047022.0579784196</v>
      </c>
      <c r="AI429" s="320">
        <f t="shared" si="32"/>
        <v>1464796.9627246493</v>
      </c>
      <c r="AJ429" s="320">
        <f t="shared" si="32"/>
        <v>779291.09516118502</v>
      </c>
      <c r="AK429" s="320">
        <f t="shared" si="32"/>
        <v>706112.65608819155</v>
      </c>
      <c r="AL429" s="320">
        <f t="shared" si="32"/>
        <v>645335.66764602007</v>
      </c>
      <c r="AM429" s="320">
        <f t="shared" si="32"/>
        <v>3839378.4066326604</v>
      </c>
      <c r="AN429" s="320">
        <f t="shared" si="32"/>
        <v>284284.31449211517</v>
      </c>
      <c r="AO429" s="320"/>
      <c r="AP429" s="320"/>
      <c r="AQ429" s="320"/>
      <c r="AR429" s="320"/>
      <c r="AS429" s="320"/>
      <c r="AT429" s="320"/>
      <c r="AU429" s="320"/>
      <c r="AV429" s="320"/>
      <c r="AW429" s="320"/>
      <c r="AX429" s="320"/>
      <c r="AY429" s="320"/>
      <c r="AZ429" s="320"/>
      <c r="BA429" s="320"/>
      <c r="BB429" s="320"/>
      <c r="BC429" s="320"/>
      <c r="BD429" s="320"/>
      <c r="BE429" s="320"/>
      <c r="BF429" s="320"/>
      <c r="BG429" s="320"/>
      <c r="BH429" s="320"/>
      <c r="BI429" s="320"/>
      <c r="BJ429" s="320"/>
      <c r="BK429" s="320"/>
    </row>
    <row r="430" spans="1:63">
      <c r="A430" s="167"/>
      <c r="B430" s="217" t="str">
        <f>Servicio_internaColumna_título_amortizaciones</f>
        <v>Amortizaciones</v>
      </c>
      <c r="C430" s="218"/>
      <c r="D430" s="219"/>
      <c r="E430" s="219"/>
      <c r="F430" s="219"/>
      <c r="G430" s="219"/>
      <c r="H430" s="219"/>
      <c r="I430" s="219"/>
      <c r="J430" s="219"/>
      <c r="K430" s="219"/>
      <c r="L430" s="219"/>
      <c r="M430" s="219"/>
      <c r="N430" s="219">
        <f>'Perfil - externa'!N428+'Perfil - interna'!N430</f>
        <v>1891682.3136784027</v>
      </c>
      <c r="O430" s="219">
        <f>'Perfil - externa'!O428+'Perfil - interna'!O430</f>
        <v>23819600.84415032</v>
      </c>
      <c r="P430" s="219">
        <f>'Perfil - externa'!P428+'Perfil - interna'!P430</f>
        <v>21862003.814144287</v>
      </c>
      <c r="Q430" s="219">
        <f>'Perfil - externa'!Q428+'Perfil - interna'!Q430</f>
        <v>28653433.725645907</v>
      </c>
      <c r="R430" s="219">
        <f>'Perfil - externa'!R428+'Perfil - interna'!R430</f>
        <v>20825920.967144433</v>
      </c>
      <c r="S430" s="219">
        <f>'Perfil - externa'!S428+'Perfil - interna'!S430</f>
        <v>10709366.511225874</v>
      </c>
      <c r="T430" s="219">
        <f>'Perfil - externa'!T428+'Perfil - interna'!T430</f>
        <v>14673913.993045837</v>
      </c>
      <c r="U430" s="219">
        <f>'Perfil - externa'!U428+'Perfil - interna'!U430</f>
        <v>6368206.8714288995</v>
      </c>
      <c r="V430" s="219">
        <f>'Perfil - externa'!V428+'Perfil - interna'!V430</f>
        <v>11292074.35648994</v>
      </c>
      <c r="W430" s="219">
        <f>'Perfil - externa'!W428+'Perfil - interna'!W430</f>
        <v>8961671.1208113451</v>
      </c>
      <c r="X430" s="219">
        <f>'Perfil - externa'!X428+'Perfil - interna'!X430</f>
        <v>6153982.3694470515</v>
      </c>
      <c r="Y430" s="219">
        <f>'Perfil - externa'!Y428+'Perfil - interna'!Y430</f>
        <v>13690339.755766664</v>
      </c>
      <c r="Z430" s="219">
        <f>'Perfil - externa'!Z428+'Perfil - interna'!Z430</f>
        <v>19646832.518456649</v>
      </c>
      <c r="AA430" s="219">
        <f>'Perfil - externa'!AA428+'Perfil - interna'!AA430</f>
        <v>1261699.284994215</v>
      </c>
      <c r="AB430" s="219">
        <f>'Perfil - externa'!AB428+'Perfil - interna'!AB430</f>
        <v>7995833.2959760316</v>
      </c>
      <c r="AC430" s="219">
        <f>'Perfil - externa'!AC428+'Perfil - interna'!AC430</f>
        <v>2551724.2194300131</v>
      </c>
      <c r="AD430" s="219">
        <f>'Perfil - externa'!AD428+'Perfil - interna'!AD430</f>
        <v>760448.97033783898</v>
      </c>
      <c r="AE430" s="219">
        <f>'Perfil - externa'!AE428+'Perfil - interna'!AE430</f>
        <v>1175829.9405438851</v>
      </c>
      <c r="AF430" s="219">
        <f>'Perfil - externa'!AF428+'Perfil - interna'!AF430</f>
        <v>536383.36833632912</v>
      </c>
      <c r="AG430" s="219">
        <f>'Perfil - externa'!AG428+'Perfil - interna'!AG430</f>
        <v>476339.0887509812</v>
      </c>
      <c r="AH430" s="219">
        <f>'Perfil - externa'!AH428+'Perfil - interna'!AH430</f>
        <v>401188.53405888291</v>
      </c>
      <c r="AI430" s="219">
        <f>'Perfil - externa'!AI428+'Perfil - interna'!AI430</f>
        <v>877988.13795946178</v>
      </c>
      <c r="AJ430" s="219">
        <f>'Perfil - externa'!AJ428+'Perfil - interna'!AJ430</f>
        <v>224720.4303521768</v>
      </c>
      <c r="AK430" s="219">
        <f>'Perfil - externa'!AK428+'Perfil - interna'!AK430</f>
        <v>161325.99772515363</v>
      </c>
      <c r="AL430" s="219">
        <f>'Perfil - externa'!AL428+'Perfil - interna'!AL430</f>
        <v>108243.18870410119</v>
      </c>
      <c r="AM430" s="219">
        <f>'Perfil - externa'!AM428+'Perfil - interna'!AM430</f>
        <v>3365546.8514601062</v>
      </c>
      <c r="AN430" s="219">
        <f>'Perfil - externa'!AN428+'Perfil - interna'!AN430</f>
        <v>9017.2228439581977</v>
      </c>
      <c r="AO430" s="219"/>
      <c r="AP430" s="219"/>
      <c r="AQ430" s="219"/>
      <c r="AR430" s="219"/>
      <c r="AS430" s="219"/>
      <c r="AT430" s="219"/>
      <c r="AU430" s="219"/>
      <c r="AV430" s="219"/>
      <c r="AW430" s="219"/>
      <c r="AX430" s="219"/>
      <c r="AY430" s="219"/>
      <c r="AZ430" s="219"/>
      <c r="BA430" s="219"/>
      <c r="BB430" s="219"/>
      <c r="BC430" s="219"/>
      <c r="BD430" s="219"/>
      <c r="BE430" s="219"/>
      <c r="BF430" s="219"/>
      <c r="BG430" s="219"/>
      <c r="BH430" s="219"/>
      <c r="BI430" s="219"/>
      <c r="BJ430" s="219"/>
      <c r="BK430" s="219"/>
    </row>
    <row r="431" spans="1:63">
      <c r="A431" s="170">
        <v>41213</v>
      </c>
      <c r="B431" s="220" t="str">
        <f>Servicio_internaColumna_título_intereses</f>
        <v>Intereses</v>
      </c>
      <c r="C431" s="221"/>
      <c r="D431" s="222"/>
      <c r="E431" s="222"/>
      <c r="F431" s="222"/>
      <c r="G431" s="222"/>
      <c r="H431" s="222"/>
      <c r="I431" s="222"/>
      <c r="J431" s="222"/>
      <c r="K431" s="222"/>
      <c r="L431" s="222"/>
      <c r="M431" s="222"/>
      <c r="N431" s="222">
        <f>'Perfil - externa'!N429+'Perfil - interna'!N431</f>
        <v>984067.43296315044</v>
      </c>
      <c r="O431" s="222">
        <f>'Perfil - externa'!O429+'Perfil - interna'!O431</f>
        <v>15953611.333797567</v>
      </c>
      <c r="P431" s="222">
        <f>'Perfil - externa'!P429+'Perfil - interna'!P431</f>
        <v>14190526.137302201</v>
      </c>
      <c r="Q431" s="222">
        <f>'Perfil - externa'!Q429+'Perfil - interna'!Q431</f>
        <v>12228752.266888844</v>
      </c>
      <c r="R431" s="222">
        <f>'Perfil - externa'!R429+'Perfil - interna'!R431</f>
        <v>10060697.767543729</v>
      </c>
      <c r="S431" s="222">
        <f>'Perfil - externa'!S429+'Perfil - interna'!S431</f>
        <v>8582694.2416272927</v>
      </c>
      <c r="T431" s="222">
        <f>'Perfil - externa'!T429+'Perfil - interna'!T431</f>
        <v>8149760.4393555569</v>
      </c>
      <c r="U431" s="222">
        <f>'Perfil - externa'!U429+'Perfil - interna'!U431</f>
        <v>6552311.9946111627</v>
      </c>
      <c r="V431" s="222">
        <f>'Perfil - externa'!V429+'Perfil - interna'!V431</f>
        <v>6285030.5547767719</v>
      </c>
      <c r="W431" s="222">
        <f>'Perfil - externa'!W429+'Perfil - interna'!W431</f>
        <v>5240089.3254052103</v>
      </c>
      <c r="X431" s="222">
        <f>'Perfil - externa'!X429+'Perfil - interna'!X431</f>
        <v>4802059.1147231311</v>
      </c>
      <c r="Y431" s="222">
        <f>'Perfil - externa'!Y429+'Perfil - interna'!Y431</f>
        <v>4402181.2141258586</v>
      </c>
      <c r="Z431" s="222">
        <f>'Perfil - externa'!Z429+'Perfil - interna'!Z431</f>
        <v>3485337.0084168464</v>
      </c>
      <c r="AA431" s="222">
        <f>'Perfil - externa'!AA429+'Perfil - interna'!AA431</f>
        <v>1652259.4469288383</v>
      </c>
      <c r="AB431" s="222">
        <f>'Perfil - externa'!AB429+'Perfil - interna'!AB431</f>
        <v>1599416.2947971444</v>
      </c>
      <c r="AC431" s="222">
        <f>'Perfil - externa'!AC429+'Perfil - interna'!AC431</f>
        <v>1021469.8617390839</v>
      </c>
      <c r="AD431" s="222">
        <f>'Perfil - externa'!AD429+'Perfil - interna'!AD431</f>
        <v>799549.46053778683</v>
      </c>
      <c r="AE431" s="222">
        <f>'Perfil - externa'!AE429+'Perfil - interna'!AE431</f>
        <v>754018.19580541598</v>
      </c>
      <c r="AF431" s="222">
        <f>'Perfil - externa'!AF429+'Perfil - interna'!AF431</f>
        <v>712703.98085124069</v>
      </c>
      <c r="AG431" s="222">
        <f>'Perfil - externa'!AG429+'Perfil - interna'!AG431</f>
        <v>687193.59027753421</v>
      </c>
      <c r="AH431" s="222">
        <f>'Perfil - externa'!AH429+'Perfil - interna'!AH431</f>
        <v>664065.64407504036</v>
      </c>
      <c r="AI431" s="222">
        <f>'Perfil - externa'!AI429+'Perfil - interna'!AI431</f>
        <v>612580.51652183151</v>
      </c>
      <c r="AJ431" s="222">
        <f>'Perfil - externa'!AJ429+'Perfil - interna'!AJ431</f>
        <v>568154.27431440435</v>
      </c>
      <c r="AK431" s="222">
        <f>'Perfil - externa'!AK429+'Perfil - interna'!AK431</f>
        <v>557042.66813589446</v>
      </c>
      <c r="AL431" s="222">
        <f>'Perfil - externa'!AL429+'Perfil - interna'!AL431</f>
        <v>548248.49143486121</v>
      </c>
      <c r="AM431" s="222">
        <f>'Perfil - externa'!AM429+'Perfil - interna'!AM431</f>
        <v>541495.86095524789</v>
      </c>
      <c r="AN431" s="222">
        <f>'Perfil - externa'!AN429+'Perfil - interna'!AN431</f>
        <v>280296.39181499841</v>
      </c>
      <c r="AO431" s="222"/>
      <c r="AP431" s="222"/>
      <c r="AQ431" s="222"/>
      <c r="AR431" s="222"/>
      <c r="AS431" s="222"/>
      <c r="AT431" s="222"/>
      <c r="AU431" s="222"/>
      <c r="AV431" s="222"/>
      <c r="AW431" s="222"/>
      <c r="AX431" s="222"/>
      <c r="AY431" s="222"/>
      <c r="AZ431" s="222"/>
      <c r="BA431" s="222"/>
      <c r="BB431" s="222"/>
      <c r="BC431" s="222"/>
      <c r="BD431" s="222"/>
      <c r="BE431" s="222"/>
      <c r="BF431" s="222"/>
      <c r="BG431" s="222"/>
      <c r="BH431" s="222"/>
      <c r="BI431" s="222"/>
      <c r="BJ431" s="222"/>
      <c r="BK431" s="222"/>
    </row>
    <row r="432" spans="1:63">
      <c r="A432" s="171"/>
      <c r="B432" s="318" t="str">
        <f>Servicio_internaColumna_título_total</f>
        <v>Total</v>
      </c>
      <c r="C432" s="319"/>
      <c r="D432" s="320"/>
      <c r="E432" s="320"/>
      <c r="F432" s="320"/>
      <c r="G432" s="320"/>
      <c r="H432" s="320"/>
      <c r="I432" s="320"/>
      <c r="J432" s="320"/>
      <c r="K432" s="320"/>
      <c r="L432" s="320"/>
      <c r="M432" s="320"/>
      <c r="N432" s="320">
        <f>'Perfil - externa'!N430+'Perfil - interna'!N432</f>
        <v>2875749.746641553</v>
      </c>
      <c r="O432" s="320">
        <f>'Perfil - externa'!O430+'Perfil - interna'!O432</f>
        <v>39773212.177947886</v>
      </c>
      <c r="P432" s="320">
        <f>'Perfil - externa'!P430+'Perfil - interna'!P432</f>
        <v>36052529.951446488</v>
      </c>
      <c r="Q432" s="320">
        <f>'Perfil - externa'!Q430+'Perfil - interna'!Q432</f>
        <v>40882185.992534757</v>
      </c>
      <c r="R432" s="320">
        <f>'Perfil - externa'!R430+'Perfil - interna'!R432</f>
        <v>30886618.734688163</v>
      </c>
      <c r="S432" s="320">
        <f>'Perfil - externa'!S430+'Perfil - interna'!S432</f>
        <v>19292060.752853166</v>
      </c>
      <c r="T432" s="320">
        <f>'Perfil - externa'!T430+'Perfil - interna'!T432</f>
        <v>22823674.432401396</v>
      </c>
      <c r="U432" s="320">
        <f>'Perfil - externa'!U430+'Perfil - interna'!U432</f>
        <v>12920518.866040062</v>
      </c>
      <c r="V432" s="320">
        <f>'Perfil - externa'!V430+'Perfil - interna'!V432</f>
        <v>17577104.911266714</v>
      </c>
      <c r="W432" s="320">
        <f>'Perfil - externa'!W430+'Perfil - interna'!W432</f>
        <v>14201760.446216553</v>
      </c>
      <c r="X432" s="320">
        <f>'Perfil - externa'!X430+'Perfil - interna'!X432</f>
        <v>10956041.484170184</v>
      </c>
      <c r="Y432" s="320">
        <f>'Perfil - externa'!Y430+'Perfil - interna'!Y432</f>
        <v>18092520.969892524</v>
      </c>
      <c r="Z432" s="320">
        <f>'Perfil - externa'!Z430+'Perfil - interna'!Z432</f>
        <v>23132169.526873495</v>
      </c>
      <c r="AA432" s="320">
        <f>'Perfil - externa'!AA430+'Perfil - interna'!AA432</f>
        <v>2913958.731923053</v>
      </c>
      <c r="AB432" s="320">
        <f>'Perfil - externa'!AB430+'Perfil - interna'!AB432</f>
        <v>9595249.5907731764</v>
      </c>
      <c r="AC432" s="320">
        <f>'Perfil - externa'!AC430+'Perfil - interna'!AC432</f>
        <v>3573194.0811690972</v>
      </c>
      <c r="AD432" s="320">
        <f>'Perfil - externa'!AD430+'Perfil - interna'!AD432</f>
        <v>1559998.4308756259</v>
      </c>
      <c r="AE432" s="320">
        <f>'Perfil - externa'!AE430+'Perfil - interna'!AE432</f>
        <v>1929848.1363493011</v>
      </c>
      <c r="AF432" s="320">
        <f>'Perfil - externa'!AF430+'Perfil - interna'!AF432</f>
        <v>1249087.3491875697</v>
      </c>
      <c r="AG432" s="320">
        <f>'Perfil - externa'!AG430+'Perfil - interna'!AG432</f>
        <v>1163532.6790285155</v>
      </c>
      <c r="AH432" s="320">
        <f>'Perfil - externa'!AH430+'Perfil - interna'!AH432</f>
        <v>1065254.1781339233</v>
      </c>
      <c r="AI432" s="320">
        <f>'Perfil - externa'!AI430+'Perfil - interna'!AI432</f>
        <v>1490568.6544812934</v>
      </c>
      <c r="AJ432" s="320">
        <f>'Perfil - externa'!AJ430+'Perfil - interna'!AJ432</f>
        <v>792874.70466658112</v>
      </c>
      <c r="AK432" s="320">
        <f>'Perfil - externa'!AK430+'Perfil - interna'!AK432</f>
        <v>718368.66586104815</v>
      </c>
      <c r="AL432" s="320">
        <f>'Perfil - externa'!AL430+'Perfil - interna'!AL432</f>
        <v>656491.68013896246</v>
      </c>
      <c r="AM432" s="320">
        <f>'Perfil - externa'!AM430+'Perfil - interna'!AM432</f>
        <v>3907042.7124153539</v>
      </c>
      <c r="AN432" s="320">
        <f>'Perfil - externa'!AN430+'Perfil - interna'!AN432</f>
        <v>289313.61465895659</v>
      </c>
      <c r="AO432" s="320"/>
      <c r="AP432" s="320"/>
      <c r="AQ432" s="320"/>
      <c r="AR432" s="320"/>
      <c r="AS432" s="320"/>
      <c r="AT432" s="320"/>
      <c r="AU432" s="320"/>
      <c r="AV432" s="320"/>
      <c r="AW432" s="320"/>
      <c r="AX432" s="320"/>
      <c r="AY432" s="320"/>
      <c r="AZ432" s="320"/>
      <c r="BA432" s="320"/>
      <c r="BB432" s="320"/>
      <c r="BC432" s="320"/>
      <c r="BD432" s="320"/>
      <c r="BE432" s="320"/>
      <c r="BF432" s="320"/>
      <c r="BG432" s="320"/>
      <c r="BH432" s="320"/>
      <c r="BI432" s="320"/>
      <c r="BJ432" s="320"/>
      <c r="BK432" s="320"/>
    </row>
    <row r="433" spans="1:63">
      <c r="A433" s="167"/>
      <c r="B433" s="217" t="str">
        <f>Servicio_internaColumna_título_amortizaciones</f>
        <v>Amortizaciones</v>
      </c>
      <c r="C433" s="218"/>
      <c r="D433" s="219"/>
      <c r="E433" s="219"/>
      <c r="F433" s="219"/>
      <c r="G433" s="219"/>
      <c r="H433" s="219"/>
      <c r="I433" s="219"/>
      <c r="J433" s="219"/>
      <c r="K433" s="219"/>
      <c r="L433" s="219"/>
      <c r="M433" s="219"/>
      <c r="N433" s="219">
        <f>'Perfil - externa'!N431+'Perfil - interna'!N433</f>
        <v>1284979.4329167851</v>
      </c>
      <c r="O433" s="219">
        <f>'Perfil - externa'!O431+'Perfil - interna'!O433</f>
        <v>24035387.798712686</v>
      </c>
      <c r="P433" s="219">
        <f>'Perfil - externa'!P431+'Perfil - interna'!P433</f>
        <v>22751063.884442184</v>
      </c>
      <c r="Q433" s="219">
        <f>'Perfil - externa'!Q431+'Perfil - interna'!Q433</f>
        <v>29540607.656559438</v>
      </c>
      <c r="R433" s="219">
        <f>'Perfil - externa'!R431+'Perfil - interna'!R433</f>
        <v>21139827.864184007</v>
      </c>
      <c r="S433" s="219">
        <f>'Perfil - externa'!S431+'Perfil - interna'!S433</f>
        <v>10874519.15204173</v>
      </c>
      <c r="T433" s="219">
        <f>'Perfil - externa'!T431+'Perfil - interna'!T433</f>
        <v>14669230.421338394</v>
      </c>
      <c r="U433" s="219">
        <f>'Perfil - externa'!U431+'Perfil - interna'!U433</f>
        <v>6309083.2876891149</v>
      </c>
      <c r="V433" s="219">
        <f>'Perfil - externa'!V431+'Perfil - interna'!V433</f>
        <v>11279266.205220731</v>
      </c>
      <c r="W433" s="219">
        <f>'Perfil - externa'!W431+'Perfil - interna'!W433</f>
        <v>8982042.2755509149</v>
      </c>
      <c r="X433" s="219">
        <f>'Perfil - externa'!X431+'Perfil - interna'!X433</f>
        <v>6167596.0969744576</v>
      </c>
      <c r="Y433" s="219">
        <f>'Perfil - externa'!Y431+'Perfil - interna'!Y433</f>
        <v>14070125.63831657</v>
      </c>
      <c r="Z433" s="219">
        <f>'Perfil - externa'!Z431+'Perfil - interna'!Z433</f>
        <v>19634319.273750093</v>
      </c>
      <c r="AA433" s="219">
        <f>'Perfil - externa'!AA431+'Perfil - interna'!AA433</f>
        <v>1622817.4860991184</v>
      </c>
      <c r="AB433" s="219">
        <f>'Perfil - externa'!AB431+'Perfil - interna'!AB433</f>
        <v>8105072.3176723672</v>
      </c>
      <c r="AC433" s="219">
        <f>'Perfil - externa'!AC431+'Perfil - interna'!AC433</f>
        <v>2540883.7633794257</v>
      </c>
      <c r="AD433" s="219">
        <f>'Perfil - externa'!AD431+'Perfil - interna'!AD433</f>
        <v>761320.79726371029</v>
      </c>
      <c r="AE433" s="219">
        <f>'Perfil - externa'!AE431+'Perfil - interna'!AE433</f>
        <v>1173986.8740042122</v>
      </c>
      <c r="AF433" s="219">
        <f>'Perfil - externa'!AF431+'Perfil - interna'!AF433</f>
        <v>902305.66780890361</v>
      </c>
      <c r="AG433" s="219">
        <f>'Perfil - externa'!AG431+'Perfil - interna'!AG433</f>
        <v>473219.58931729657</v>
      </c>
      <c r="AH433" s="219">
        <f>'Perfil - externa'!AH431+'Perfil - interna'!AH433</f>
        <v>398553.07718896924</v>
      </c>
      <c r="AI433" s="219">
        <f>'Perfil - externa'!AI431+'Perfil - interna'!AI433</f>
        <v>872238.79039371037</v>
      </c>
      <c r="AJ433" s="219">
        <f>'Perfil - externa'!AJ431+'Perfil - interna'!AJ433</f>
        <v>223250.34743475218</v>
      </c>
      <c r="AK433" s="219">
        <f>'Perfil - externa'!AK431+'Perfil - interna'!AK433</f>
        <v>160270.25524033382</v>
      </c>
      <c r="AL433" s="219">
        <f>'Perfil - externa'!AL431+'Perfil - interna'!AL433</f>
        <v>107535.05576808969</v>
      </c>
      <c r="AM433" s="219">
        <f>'Perfil - externa'!AM431+'Perfil - interna'!AM433</f>
        <v>3343549.9334248896</v>
      </c>
      <c r="AN433" s="219">
        <f>'Perfil - externa'!AN431+'Perfil - interna'!AN433</f>
        <v>8958.2870690133986</v>
      </c>
      <c r="AO433" s="219"/>
      <c r="AP433" s="219"/>
      <c r="AQ433" s="219"/>
      <c r="AR433" s="219"/>
      <c r="AS433" s="219"/>
      <c r="AT433" s="219"/>
      <c r="AU433" s="219"/>
      <c r="AV433" s="219"/>
      <c r="AW433" s="219"/>
      <c r="AX433" s="219"/>
      <c r="AY433" s="219"/>
      <c r="AZ433" s="219"/>
      <c r="BA433" s="219"/>
      <c r="BB433" s="219"/>
      <c r="BC433" s="219"/>
      <c r="BD433" s="219"/>
      <c r="BE433" s="219"/>
      <c r="BF433" s="219"/>
      <c r="BG433" s="219"/>
      <c r="BH433" s="219"/>
      <c r="BI433" s="219"/>
      <c r="BJ433" s="219"/>
      <c r="BK433" s="219"/>
    </row>
    <row r="434" spans="1:63">
      <c r="A434" s="170">
        <v>41243</v>
      </c>
      <c r="B434" s="220" t="str">
        <f>Servicio_internaColumna_título_intereses</f>
        <v>Intereses</v>
      </c>
      <c r="C434" s="221"/>
      <c r="D434" s="222"/>
      <c r="E434" s="222"/>
      <c r="F434" s="222"/>
      <c r="G434" s="222"/>
      <c r="H434" s="222"/>
      <c r="I434" s="222"/>
      <c r="J434" s="222"/>
      <c r="K434" s="222"/>
      <c r="L434" s="222"/>
      <c r="M434" s="222"/>
      <c r="N434" s="222">
        <f>'Perfil - externa'!N432+'Perfil - interna'!N434</f>
        <v>128752.30867224639</v>
      </c>
      <c r="O434" s="222">
        <f>'Perfil - externa'!O432+'Perfil - interna'!O434</f>
        <v>16028381.226618294</v>
      </c>
      <c r="P434" s="222">
        <f>'Perfil - externa'!P432+'Perfil - interna'!P434</f>
        <v>14281008.030596683</v>
      </c>
      <c r="Q434" s="222">
        <f>'Perfil - externa'!Q432+'Perfil - interna'!Q434</f>
        <v>12269809.817927742</v>
      </c>
      <c r="R434" s="222">
        <f>'Perfil - externa'!R432+'Perfil - interna'!R434</f>
        <v>10077683.526166944</v>
      </c>
      <c r="S434" s="222">
        <f>'Perfil - externa'!S432+'Perfil - interna'!S434</f>
        <v>8581988.7659872361</v>
      </c>
      <c r="T434" s="222">
        <f>'Perfil - externa'!T432+'Perfil - interna'!T434</f>
        <v>8155833.2900926312</v>
      </c>
      <c r="U434" s="222">
        <f>'Perfil - externa'!U432+'Perfil - interna'!U434</f>
        <v>6557605.1624674005</v>
      </c>
      <c r="V434" s="222">
        <f>'Perfil - externa'!V432+'Perfil - interna'!V434</f>
        <v>6300411.4288082486</v>
      </c>
      <c r="W434" s="222">
        <f>'Perfil - externa'!W432+'Perfil - interna'!W434</f>
        <v>5259254.6559865111</v>
      </c>
      <c r="X434" s="222">
        <f>'Perfil - externa'!X432+'Perfil - interna'!X434</f>
        <v>4818589.7770641539</v>
      </c>
      <c r="Y434" s="222">
        <f>'Perfil - externa'!Y432+'Perfil - interna'!Y434</f>
        <v>4433287.0277453251</v>
      </c>
      <c r="Z434" s="222">
        <f>'Perfil - externa'!Z432+'Perfil - interna'!Z434</f>
        <v>3506926.2237330941</v>
      </c>
      <c r="AA434" s="222">
        <f>'Perfil - externa'!AA432+'Perfil - interna'!AA434</f>
        <v>1675179.2932847072</v>
      </c>
      <c r="AB434" s="222">
        <f>'Perfil - externa'!AB432+'Perfil - interna'!AB434</f>
        <v>1612591.6979997056</v>
      </c>
      <c r="AC434" s="222">
        <f>'Perfil - externa'!AC432+'Perfil - interna'!AC434</f>
        <v>1031481.9328844863</v>
      </c>
      <c r="AD434" s="222">
        <f>'Perfil - externa'!AD432+'Perfil - interna'!AD434</f>
        <v>810699.63016508135</v>
      </c>
      <c r="AE434" s="222">
        <f>'Perfil - externa'!AE432+'Perfil - interna'!AE434</f>
        <v>765534.76215264481</v>
      </c>
      <c r="AF434" s="222">
        <f>'Perfil - externa'!AF432+'Perfil - interna'!AF434</f>
        <v>724444.21829541971</v>
      </c>
      <c r="AG434" s="222">
        <f>'Perfil - externa'!AG432+'Perfil - interna'!AG434</f>
        <v>683170.78797150904</v>
      </c>
      <c r="AH434" s="222">
        <f>'Perfil - externa'!AH432+'Perfil - interna'!AH434</f>
        <v>660146.87224876171</v>
      </c>
      <c r="AI434" s="222">
        <f>'Perfil - externa'!AI432+'Perfil - interna'!AI434</f>
        <v>608602.96017870319</v>
      </c>
      <c r="AJ434" s="222">
        <f>'Perfil - externa'!AJ432+'Perfil - interna'!AJ434</f>
        <v>564483.1601675686</v>
      </c>
      <c r="AK434" s="222">
        <f>'Perfil - externa'!AK432+'Perfil - interna'!AK434</f>
        <v>553463.58319506387</v>
      </c>
      <c r="AL434" s="222">
        <f>'Perfil - externa'!AL432+'Perfil - interna'!AL434</f>
        <v>544745.9023657717</v>
      </c>
      <c r="AM434" s="222">
        <f>'Perfil - externa'!AM432+'Perfil - interna'!AM434</f>
        <v>538051.98715156072</v>
      </c>
      <c r="AN434" s="222">
        <f>'Perfil - externa'!AN432+'Perfil - interna'!AN434</f>
        <v>278464.39926566079</v>
      </c>
      <c r="AO434" s="222"/>
      <c r="AP434" s="222"/>
      <c r="AQ434" s="222"/>
      <c r="AR434" s="222"/>
      <c r="AS434" s="222"/>
      <c r="AT434" s="222"/>
      <c r="AU434" s="222"/>
      <c r="AV434" s="222"/>
      <c r="AW434" s="222"/>
      <c r="AX434" s="222"/>
      <c r="AY434" s="222"/>
      <c r="AZ434" s="222"/>
      <c r="BA434" s="222"/>
      <c r="BB434" s="222"/>
      <c r="BC434" s="222"/>
      <c r="BD434" s="222"/>
      <c r="BE434" s="222"/>
      <c r="BF434" s="222"/>
      <c r="BG434" s="222"/>
      <c r="BH434" s="222"/>
      <c r="BI434" s="222"/>
      <c r="BJ434" s="222"/>
      <c r="BK434" s="222"/>
    </row>
    <row r="435" spans="1:63">
      <c r="A435" s="171"/>
      <c r="B435" s="318" t="str">
        <f>Servicio_internaColumna_título_total</f>
        <v>Total</v>
      </c>
      <c r="C435" s="319"/>
      <c r="D435" s="320"/>
      <c r="E435" s="320"/>
      <c r="F435" s="320"/>
      <c r="G435" s="320"/>
      <c r="H435" s="320"/>
      <c r="I435" s="320"/>
      <c r="J435" s="320"/>
      <c r="K435" s="320"/>
      <c r="L435" s="320"/>
      <c r="M435" s="320"/>
      <c r="N435" s="320">
        <f>'Perfil - externa'!N433+'Perfil - interna'!N435</f>
        <v>1413731.7415890314</v>
      </c>
      <c r="O435" s="320">
        <f>'Perfil - externa'!O433+'Perfil - interna'!O435</f>
        <v>40063769.025330983</v>
      </c>
      <c r="P435" s="320">
        <f>'Perfil - externa'!P433+'Perfil - interna'!P435</f>
        <v>37032071.915038869</v>
      </c>
      <c r="Q435" s="320">
        <f>'Perfil - externa'!Q433+'Perfil - interna'!Q435</f>
        <v>41810417.474487185</v>
      </c>
      <c r="R435" s="320">
        <f>'Perfil - externa'!R433+'Perfil - interna'!R435</f>
        <v>31217511.390350953</v>
      </c>
      <c r="S435" s="320">
        <f>'Perfil - externa'!S433+'Perfil - interna'!S435</f>
        <v>19456507.918028966</v>
      </c>
      <c r="T435" s="320">
        <f>'Perfil - externa'!T433+'Perfil - interna'!T435</f>
        <v>22825063.711431026</v>
      </c>
      <c r="U435" s="320">
        <f>'Perfil - externa'!U433+'Perfil - interna'!U435</f>
        <v>12866688.450156517</v>
      </c>
      <c r="V435" s="320">
        <f>'Perfil - externa'!V433+'Perfil - interna'!V435</f>
        <v>17579677.634028979</v>
      </c>
      <c r="W435" s="320">
        <f>'Perfil - externa'!W433+'Perfil - interna'!W435</f>
        <v>14241296.931537427</v>
      </c>
      <c r="X435" s="320">
        <f>'Perfil - externa'!X433+'Perfil - interna'!X435</f>
        <v>10986185.874038612</v>
      </c>
      <c r="Y435" s="320">
        <f>'Perfil - externa'!Y433+'Perfil - interna'!Y435</f>
        <v>18503412.666061893</v>
      </c>
      <c r="Z435" s="320">
        <f>'Perfil - externa'!Z433+'Perfil - interna'!Z435</f>
        <v>23141245.497483186</v>
      </c>
      <c r="AA435" s="320">
        <f>'Perfil - externa'!AA433+'Perfil - interna'!AA435</f>
        <v>3297996.7793838256</v>
      </c>
      <c r="AB435" s="320">
        <f>'Perfil - externa'!AB433+'Perfil - interna'!AB435</f>
        <v>9717664.0156720728</v>
      </c>
      <c r="AC435" s="320">
        <f>'Perfil - externa'!AC433+'Perfil - interna'!AC435</f>
        <v>3572365.6962639121</v>
      </c>
      <c r="AD435" s="320">
        <f>'Perfil - externa'!AD433+'Perfil - interna'!AD435</f>
        <v>1572020.4274287918</v>
      </c>
      <c r="AE435" s="320">
        <f>'Perfil - externa'!AE433+'Perfil - interna'!AE435</f>
        <v>1939521.6361568568</v>
      </c>
      <c r="AF435" s="320">
        <f>'Perfil - externa'!AF433+'Perfil - interna'!AF435</f>
        <v>1626749.8861043234</v>
      </c>
      <c r="AG435" s="320">
        <f>'Perfil - externa'!AG433+'Perfil - interna'!AG435</f>
        <v>1156390.3772888058</v>
      </c>
      <c r="AH435" s="320">
        <f>'Perfil - externa'!AH433+'Perfil - interna'!AH435</f>
        <v>1058699.9494377309</v>
      </c>
      <c r="AI435" s="320">
        <f>'Perfil - externa'!AI433+'Perfil - interna'!AI435</f>
        <v>1480841.7505724137</v>
      </c>
      <c r="AJ435" s="320">
        <f>'Perfil - externa'!AJ433+'Perfil - interna'!AJ435</f>
        <v>787733.50760232075</v>
      </c>
      <c r="AK435" s="320">
        <f>'Perfil - externa'!AK433+'Perfil - interna'!AK435</f>
        <v>713733.83843539772</v>
      </c>
      <c r="AL435" s="320">
        <f>'Perfil - externa'!AL433+'Perfil - interna'!AL435</f>
        <v>652280.95813386142</v>
      </c>
      <c r="AM435" s="320">
        <f>'Perfil - externa'!AM433+'Perfil - interna'!AM435</f>
        <v>3881601.9205764499</v>
      </c>
      <c r="AN435" s="320">
        <f>'Perfil - externa'!AN433+'Perfil - interna'!AN435</f>
        <v>287422.68633467419</v>
      </c>
      <c r="AO435" s="320"/>
      <c r="AP435" s="320"/>
      <c r="AQ435" s="320"/>
      <c r="AR435" s="320"/>
      <c r="AS435" s="320"/>
      <c r="AT435" s="320"/>
      <c r="AU435" s="320"/>
      <c r="AV435" s="320"/>
      <c r="AW435" s="320"/>
      <c r="AX435" s="320"/>
      <c r="AY435" s="320"/>
      <c r="AZ435" s="320"/>
      <c r="BA435" s="320"/>
      <c r="BB435" s="320"/>
      <c r="BC435" s="320"/>
      <c r="BD435" s="320"/>
      <c r="BE435" s="320"/>
      <c r="BF435" s="320"/>
      <c r="BG435" s="320"/>
      <c r="BH435" s="320"/>
      <c r="BI435" s="320"/>
      <c r="BJ435" s="320"/>
      <c r="BK435" s="320"/>
    </row>
    <row r="436" spans="1:63">
      <c r="A436" s="167"/>
      <c r="B436" s="217" t="str">
        <f>Servicio_internaColumna_título_amortizaciones</f>
        <v>Amortizaciones</v>
      </c>
      <c r="C436" s="218"/>
      <c r="D436" s="219"/>
      <c r="E436" s="219"/>
      <c r="F436" s="219"/>
      <c r="G436" s="219"/>
      <c r="H436" s="219"/>
      <c r="I436" s="219"/>
      <c r="J436" s="219"/>
      <c r="K436" s="219"/>
      <c r="L436" s="219"/>
      <c r="M436" s="219"/>
      <c r="N436" s="219"/>
      <c r="O436" s="219">
        <f>'Perfil - externa'!O434+'Perfil - interna'!O436</f>
        <v>25433130.569197655</v>
      </c>
      <c r="P436" s="219">
        <f>'Perfil - externa'!P434+'Perfil - interna'!P436</f>
        <v>23077829.090655971</v>
      </c>
      <c r="Q436" s="219">
        <f>'Perfil - externa'!Q434+'Perfil - interna'!Q436</f>
        <v>29707042.558177881</v>
      </c>
      <c r="R436" s="219">
        <f>'Perfil - externa'!R434+'Perfil - interna'!R436</f>
        <v>21371938.806964837</v>
      </c>
      <c r="S436" s="219">
        <f>'Perfil - externa'!S434+'Perfil - interna'!S436</f>
        <v>10571629.133527577</v>
      </c>
      <c r="T436" s="219">
        <f>'Perfil - externa'!T434+'Perfil - interna'!T436</f>
        <v>14825611.236120973</v>
      </c>
      <c r="U436" s="219">
        <f>'Perfil - externa'!U434+'Perfil - interna'!U436</f>
        <v>6066825.3071004339</v>
      </c>
      <c r="V436" s="219">
        <f>'Perfil - externa'!V434+'Perfil - interna'!V436</f>
        <v>11217443.394003112</v>
      </c>
      <c r="W436" s="219">
        <f>'Perfil - externa'!W434+'Perfil - interna'!W436</f>
        <v>8804202.1425212137</v>
      </c>
      <c r="X436" s="219">
        <f>'Perfil - externa'!X434+'Perfil - interna'!X436</f>
        <v>6253674.9955816241</v>
      </c>
      <c r="Y436" s="219">
        <f>'Perfil - externa'!Y434+'Perfil - interna'!Y436</f>
        <v>14031412.694215761</v>
      </c>
      <c r="Z436" s="219">
        <f>'Perfil - externa'!Z434+'Perfil - interna'!Z436</f>
        <v>19573362.612905789</v>
      </c>
      <c r="AA436" s="219">
        <f>'Perfil - externa'!AA434+'Perfil - interna'!AA436</f>
        <v>1590545.6668576379</v>
      </c>
      <c r="AB436" s="219">
        <f>'Perfil - externa'!AB434+'Perfil - interna'!AB436</f>
        <v>8091100.1743124556</v>
      </c>
      <c r="AC436" s="219">
        <f>'Perfil - externa'!AC434+'Perfil - interna'!AC436</f>
        <v>2501085.7510184408</v>
      </c>
      <c r="AD436" s="219">
        <f>'Perfil - externa'!AD434+'Perfil - interna'!AD436</f>
        <v>752464.17398462386</v>
      </c>
      <c r="AE436" s="219">
        <f>'Perfil - externa'!AE434+'Perfil - interna'!AE436</f>
        <v>1153848.460989546</v>
      </c>
      <c r="AF436" s="219">
        <f>'Perfil - externa'!AF434+'Perfil - interna'!AF436</f>
        <v>1596886.6892298961</v>
      </c>
      <c r="AG436" s="219">
        <f>'Perfil - externa'!AG434+'Perfil - interna'!AG436</f>
        <v>472103.30507684225</v>
      </c>
      <c r="AH436" s="219">
        <f>'Perfil - externa'!AH434+'Perfil - interna'!AH436</f>
        <v>399484.6230721203</v>
      </c>
      <c r="AI436" s="219">
        <f>'Perfil - externa'!AI434+'Perfil - interna'!AI436</f>
        <v>848448.64688237291</v>
      </c>
      <c r="AJ436" s="219">
        <f>'Perfil - externa'!AJ434+'Perfil - interna'!AJ436</f>
        <v>217147.93611937918</v>
      </c>
      <c r="AK436" s="219">
        <f>'Perfil - externa'!AK434+'Perfil - interna'!AK436</f>
        <v>155889.64321429681</v>
      </c>
      <c r="AL436" s="219">
        <f>'Perfil - externa'!AL434+'Perfil - interna'!AL436</f>
        <v>104595.66897145919</v>
      </c>
      <c r="AM436" s="219">
        <f>'Perfil - externa'!AM434+'Perfil - interna'!AM436</f>
        <v>3252141.3359039635</v>
      </c>
      <c r="AN436" s="219">
        <f>'Perfil - externa'!AN434+'Perfil - interna'!AN436</f>
        <v>8713.3783721273976</v>
      </c>
      <c r="AO436" s="219"/>
      <c r="AP436" s="219"/>
      <c r="AQ436" s="219"/>
      <c r="AR436" s="219"/>
      <c r="AS436" s="219"/>
      <c r="AT436" s="219"/>
      <c r="AU436" s="219"/>
      <c r="AV436" s="219"/>
      <c r="AW436" s="219"/>
      <c r="AX436" s="219"/>
      <c r="AY436" s="219"/>
      <c r="AZ436" s="219"/>
      <c r="BA436" s="219"/>
      <c r="BB436" s="219"/>
      <c r="BC436" s="219"/>
      <c r="BD436" s="219"/>
      <c r="BE436" s="219"/>
      <c r="BF436" s="219"/>
      <c r="BG436" s="219"/>
      <c r="BH436" s="219"/>
      <c r="BI436" s="219"/>
      <c r="BJ436" s="219"/>
      <c r="BK436" s="219"/>
    </row>
    <row r="437" spans="1:63">
      <c r="A437" s="170">
        <v>41274</v>
      </c>
      <c r="B437" s="220" t="str">
        <f>Servicio_internaColumna_título_intereses</f>
        <v>Intereses</v>
      </c>
      <c r="C437" s="221"/>
      <c r="D437" s="222"/>
      <c r="E437" s="222"/>
      <c r="F437" s="222"/>
      <c r="G437" s="222"/>
      <c r="H437" s="222"/>
      <c r="I437" s="222"/>
      <c r="J437" s="222"/>
      <c r="K437" s="222"/>
      <c r="L437" s="222"/>
      <c r="M437" s="222"/>
      <c r="N437" s="222"/>
      <c r="O437" s="222">
        <f>'Perfil - externa'!O435+'Perfil - interna'!O437</f>
        <v>15833508.922302213</v>
      </c>
      <c r="P437" s="222">
        <f>'Perfil - externa'!P435+'Perfil - interna'!P437</f>
        <v>14327181.874648031</v>
      </c>
      <c r="Q437" s="222">
        <f>'Perfil - externa'!Q435+'Perfil - interna'!Q437</f>
        <v>12300257.946257057</v>
      </c>
      <c r="R437" s="222">
        <f>'Perfil - externa'!R435+'Perfil - interna'!R437</f>
        <v>10112948.972313909</v>
      </c>
      <c r="S437" s="222">
        <f>'Perfil - externa'!S435+'Perfil - interna'!S437</f>
        <v>8608786.4485094342</v>
      </c>
      <c r="T437" s="222">
        <f>'Perfil - externa'!T435+'Perfil - interna'!T437</f>
        <v>8169893.601146712</v>
      </c>
      <c r="U437" s="222">
        <f>'Perfil - externa'!U435+'Perfil - interna'!U437</f>
        <v>6564788.6627628934</v>
      </c>
      <c r="V437" s="222">
        <f>'Perfil - externa'!V435+'Perfil - interna'!V437</f>
        <v>6307073.4046915034</v>
      </c>
      <c r="W437" s="222">
        <f>'Perfil - externa'!W435+'Perfil - interna'!W437</f>
        <v>5265477.6466377433</v>
      </c>
      <c r="X437" s="222">
        <f>'Perfil - externa'!X435+'Perfil - interna'!X437</f>
        <v>4842367.9262887491</v>
      </c>
      <c r="Y437" s="222">
        <f>'Perfil - externa'!Y435+'Perfil - interna'!Y437</f>
        <v>4464260.6400877554</v>
      </c>
      <c r="Z437" s="222">
        <f>'Perfil - externa'!Z435+'Perfil - interna'!Z437</f>
        <v>3504517.6923863599</v>
      </c>
      <c r="AA437" s="222">
        <f>'Perfil - externa'!AA435+'Perfil - interna'!AA437</f>
        <v>1697352.0439332284</v>
      </c>
      <c r="AB437" s="222">
        <f>'Perfil - externa'!AB435+'Perfil - interna'!AB437</f>
        <v>1631192.6767759067</v>
      </c>
      <c r="AC437" s="222">
        <f>'Perfil - externa'!AC435+'Perfil - interna'!AC437</f>
        <v>1047929.1963214772</v>
      </c>
      <c r="AD437" s="222">
        <f>'Perfil - externa'!AD435+'Perfil - interna'!AD437</f>
        <v>827249.66774264351</v>
      </c>
      <c r="AE437" s="222">
        <f>'Perfil - externa'!AE435+'Perfil - interna'!AE437</f>
        <v>781569.19826614414</v>
      </c>
      <c r="AF437" s="222">
        <f>'Perfil - externa'!AF435+'Perfil - interna'!AF437</f>
        <v>730466.4695129086</v>
      </c>
      <c r="AG437" s="222">
        <f>'Perfil - externa'!AG435+'Perfil - interna'!AG437</f>
        <v>667420.5407179998</v>
      </c>
      <c r="AH437" s="222">
        <f>'Perfil - externa'!AH435+'Perfil - interna'!AH437</f>
        <v>643898.57949614699</v>
      </c>
      <c r="AI437" s="222">
        <f>'Perfil - externa'!AI435+'Perfil - interna'!AI437</f>
        <v>594179.63932673051</v>
      </c>
      <c r="AJ437" s="222">
        <f>'Perfil - externa'!AJ435+'Perfil - interna'!AJ437</f>
        <v>550754.04547728365</v>
      </c>
      <c r="AK437" s="222">
        <f>'Perfil - externa'!AK435+'Perfil - interna'!AK437</f>
        <v>539556.8436262859</v>
      </c>
      <c r="AL437" s="222">
        <f>'Perfil - externa'!AL435+'Perfil - interna'!AL437</f>
        <v>530634.0233513437</v>
      </c>
      <c r="AM437" s="222">
        <f>'Perfil - externa'!AM435+'Perfil - interna'!AM437</f>
        <v>523795.99669399334</v>
      </c>
      <c r="AN437" s="222">
        <f>'Perfil - externa'!AN435+'Perfil - interna'!AN437</f>
        <v>283618.44707063877</v>
      </c>
      <c r="AO437" s="222"/>
      <c r="AP437" s="222"/>
      <c r="AQ437" s="222"/>
      <c r="AR437" s="222"/>
      <c r="AS437" s="222"/>
      <c r="AT437" s="222"/>
      <c r="AU437" s="222"/>
      <c r="AV437" s="222"/>
      <c r="AW437" s="222"/>
      <c r="AX437" s="222"/>
      <c r="AY437" s="222"/>
      <c r="AZ437" s="222"/>
      <c r="BA437" s="222"/>
      <c r="BB437" s="222"/>
      <c r="BC437" s="222"/>
      <c r="BD437" s="222"/>
      <c r="BE437" s="222"/>
      <c r="BF437" s="222"/>
      <c r="BG437" s="222"/>
      <c r="BH437" s="222"/>
      <c r="BI437" s="222"/>
      <c r="BJ437" s="222"/>
      <c r="BK437" s="222"/>
    </row>
    <row r="438" spans="1:63">
      <c r="A438" s="171"/>
      <c r="B438" s="318" t="str">
        <f>Servicio_internaColumna_título_total</f>
        <v>Total</v>
      </c>
      <c r="C438" s="319"/>
      <c r="D438" s="320"/>
      <c r="E438" s="320"/>
      <c r="F438" s="320"/>
      <c r="G438" s="320"/>
      <c r="H438" s="320"/>
      <c r="I438" s="320"/>
      <c r="J438" s="320"/>
      <c r="K438" s="320"/>
      <c r="L438" s="320"/>
      <c r="M438" s="320"/>
      <c r="N438" s="320"/>
      <c r="O438" s="320">
        <f>'Perfil - externa'!O436+'Perfil - interna'!O438</f>
        <v>41266639.491499864</v>
      </c>
      <c r="P438" s="320">
        <f>'Perfil - externa'!P436+'Perfil - interna'!P438</f>
        <v>37405010.965304002</v>
      </c>
      <c r="Q438" s="320">
        <f>'Perfil - externa'!Q436+'Perfil - interna'!Q438</f>
        <v>42007300.504434936</v>
      </c>
      <c r="R438" s="320">
        <f>'Perfil - externa'!R436+'Perfil - interna'!R438</f>
        <v>31484887.779278744</v>
      </c>
      <c r="S438" s="320">
        <f>'Perfil - externa'!S436+'Perfil - interna'!S438</f>
        <v>19180415.582037009</v>
      </c>
      <c r="T438" s="320">
        <f>'Perfil - externa'!T436+'Perfil - interna'!T438</f>
        <v>22995504.837267686</v>
      </c>
      <c r="U438" s="320">
        <f>'Perfil - externa'!U436+'Perfil - interna'!U438</f>
        <v>12631613.969863327</v>
      </c>
      <c r="V438" s="320">
        <f>'Perfil - externa'!V436+'Perfil - interna'!V438</f>
        <v>17524516.798694618</v>
      </c>
      <c r="W438" s="320">
        <f>'Perfil - externa'!W436+'Perfil - interna'!W438</f>
        <v>14069679.789158959</v>
      </c>
      <c r="X438" s="320">
        <f>'Perfil - externa'!X436+'Perfil - interna'!X438</f>
        <v>11096042.921870373</v>
      </c>
      <c r="Y438" s="320">
        <f>'Perfil - externa'!Y436+'Perfil - interna'!Y438</f>
        <v>18495673.334303517</v>
      </c>
      <c r="Z438" s="320">
        <f>'Perfil - externa'!Z436+'Perfil - interna'!Z438</f>
        <v>23077880.305292148</v>
      </c>
      <c r="AA438" s="320">
        <f>'Perfil - externa'!AA436+'Perfil - interna'!AA438</f>
        <v>3287897.7107908661</v>
      </c>
      <c r="AB438" s="320">
        <f>'Perfil - externa'!AB436+'Perfil - interna'!AB438</f>
        <v>9722292.8510883618</v>
      </c>
      <c r="AC438" s="320">
        <f>'Perfil - externa'!AC436+'Perfil - interna'!AC438</f>
        <v>3549014.947339918</v>
      </c>
      <c r="AD438" s="320">
        <f>'Perfil - externa'!AD436+'Perfil - interna'!AD438</f>
        <v>1579713.8417272675</v>
      </c>
      <c r="AE438" s="320">
        <f>'Perfil - externa'!AE436+'Perfil - interna'!AE438</f>
        <v>1935417.6592556902</v>
      </c>
      <c r="AF438" s="320">
        <f>'Perfil - externa'!AF436+'Perfil - interna'!AF438</f>
        <v>2327353.1587428045</v>
      </c>
      <c r="AG438" s="320">
        <f>'Perfil - externa'!AG436+'Perfil - interna'!AG438</f>
        <v>1139523.8457948421</v>
      </c>
      <c r="AH438" s="320">
        <f>'Perfil - externa'!AH436+'Perfil - interna'!AH438</f>
        <v>1043383.2025682672</v>
      </c>
      <c r="AI438" s="320">
        <f>'Perfil - externa'!AI436+'Perfil - interna'!AI438</f>
        <v>1442628.2862091037</v>
      </c>
      <c r="AJ438" s="320">
        <f>'Perfil - externa'!AJ436+'Perfil - interna'!AJ438</f>
        <v>767901.98159666278</v>
      </c>
      <c r="AK438" s="320">
        <f>'Perfil - externa'!AK436+'Perfil - interna'!AK438</f>
        <v>695446.48684058269</v>
      </c>
      <c r="AL438" s="320">
        <f>'Perfil - externa'!AL436+'Perfil - interna'!AL438</f>
        <v>635229.69232280285</v>
      </c>
      <c r="AM438" s="320">
        <f>'Perfil - externa'!AM436+'Perfil - interna'!AM438</f>
        <v>3775937.3325979565</v>
      </c>
      <c r="AN438" s="320">
        <f>'Perfil - externa'!AN436+'Perfil - interna'!AN438</f>
        <v>292331.82544276619</v>
      </c>
      <c r="AO438" s="320"/>
      <c r="AP438" s="320"/>
      <c r="AQ438" s="320"/>
      <c r="AR438" s="320"/>
      <c r="AS438" s="320"/>
      <c r="AT438" s="320"/>
      <c r="AU438" s="320"/>
      <c r="AV438" s="320"/>
      <c r="AW438" s="320"/>
      <c r="AX438" s="320"/>
      <c r="AY438" s="320"/>
      <c r="AZ438" s="320"/>
      <c r="BA438" s="320"/>
      <c r="BB438" s="320"/>
      <c r="BC438" s="320"/>
      <c r="BD438" s="320"/>
      <c r="BE438" s="320"/>
      <c r="BF438" s="320"/>
      <c r="BG438" s="320"/>
      <c r="BH438" s="320"/>
      <c r="BI438" s="320"/>
      <c r="BJ438" s="320"/>
      <c r="BK438" s="320"/>
    </row>
    <row r="439" spans="1:63">
      <c r="A439" s="167"/>
      <c r="B439" s="217" t="str">
        <f>Servicio_internaColumna_título_amortizaciones</f>
        <v>Amortizaciones</v>
      </c>
      <c r="C439" s="218"/>
      <c r="D439" s="219"/>
      <c r="E439" s="219"/>
      <c r="F439" s="219"/>
      <c r="G439" s="219"/>
      <c r="H439" s="219"/>
      <c r="I439" s="219"/>
      <c r="J439" s="219"/>
      <c r="K439" s="219"/>
      <c r="L439" s="219"/>
      <c r="M439" s="219"/>
      <c r="N439" s="219"/>
      <c r="O439" s="219">
        <f>'Perfil - externa'!O437+'Perfil - interna'!O439</f>
        <v>20004157.408241753</v>
      </c>
      <c r="P439" s="219">
        <f>'Perfil - externa'!P437+'Perfil - interna'!P439</f>
        <v>23648816.244315039</v>
      </c>
      <c r="Q439" s="219">
        <f>'Perfil - externa'!Q437+'Perfil - interna'!Q439</f>
        <v>29963845.898482718</v>
      </c>
      <c r="R439" s="219">
        <f>'Perfil - externa'!R437+'Perfil - interna'!R439</f>
        <v>22689930.157436654</v>
      </c>
      <c r="S439" s="219">
        <f>'Perfil - externa'!S437+'Perfil - interna'!S439</f>
        <v>10723509.94151967</v>
      </c>
      <c r="T439" s="219">
        <f>'Perfil - externa'!T437+'Perfil - interna'!T439</f>
        <v>14809420.639545623</v>
      </c>
      <c r="U439" s="219">
        <f>'Perfil - externa'!U437+'Perfil - interna'!U439</f>
        <v>6063632.9196182713</v>
      </c>
      <c r="V439" s="219">
        <f>'Perfil - externa'!V437+'Perfil - interna'!V439</f>
        <v>11204140.126801822</v>
      </c>
      <c r="W439" s="219">
        <f>'Perfil - externa'!W437+'Perfil - interna'!W439</f>
        <v>8802199.9516125061</v>
      </c>
      <c r="X439" s="219">
        <f>'Perfil - externa'!X437+'Perfil - interna'!X439</f>
        <v>6403300.3550131302</v>
      </c>
      <c r="Y439" s="219">
        <f>'Perfil - externa'!Y437+'Perfil - interna'!Y439</f>
        <v>15786512.693597471</v>
      </c>
      <c r="Z439" s="219">
        <f>'Perfil - externa'!Z437+'Perfil - interna'!Z439</f>
        <v>19559950.130081445</v>
      </c>
      <c r="AA439" s="219">
        <f>'Perfil - externa'!AA437+'Perfil - interna'!AA439</f>
        <v>1573905.8141018103</v>
      </c>
      <c r="AB439" s="219">
        <f>'Perfil - externa'!AB437+'Perfil - interna'!AB439</f>
        <v>8072662.0952659585</v>
      </c>
      <c r="AC439" s="219">
        <f>'Perfil - externa'!AC437+'Perfil - interna'!AC439</f>
        <v>2487025.0489492971</v>
      </c>
      <c r="AD439" s="219">
        <f>'Perfil - externa'!AD437+'Perfil - interna'!AD439</f>
        <v>2976570.4892802229</v>
      </c>
      <c r="AE439" s="219">
        <f>'Perfil - externa'!AE437+'Perfil - interna'!AE439</f>
        <v>1143063.5351699591</v>
      </c>
      <c r="AF439" s="219">
        <f>'Perfil - externa'!AF437+'Perfil - interna'!AF439</f>
        <v>1594450.0029643334</v>
      </c>
      <c r="AG439" s="219">
        <f>'Perfil - externa'!AG437+'Perfil - interna'!AG439</f>
        <v>473440.93511277362</v>
      </c>
      <c r="AH439" s="219">
        <f>'Perfil - externa'!AH437+'Perfil - interna'!AH439</f>
        <v>400616.49955967639</v>
      </c>
      <c r="AI439" s="219">
        <f>'Perfil - externa'!AI437+'Perfil - interna'!AI439</f>
        <v>850852.59191264643</v>
      </c>
      <c r="AJ439" s="219">
        <f>'Perfil - externa'!AJ437+'Perfil - interna'!AJ439</f>
        <v>217763.1904471296</v>
      </c>
      <c r="AK439" s="219">
        <f>'Perfil - externa'!AK437+'Perfil - interna'!AK439</f>
        <v>156331.33185915841</v>
      </c>
      <c r="AL439" s="219">
        <f>'Perfil - externa'!AL437+'Perfil - interna'!AL439</f>
        <v>104892.02425416959</v>
      </c>
      <c r="AM439" s="219">
        <f>'Perfil - externa'!AM437+'Perfil - interna'!AM439</f>
        <v>3261355.7639437993</v>
      </c>
      <c r="AN439" s="219">
        <f>'Perfil - externa'!AN437+'Perfil - interna'!AN439</f>
        <v>8738.0663514311982</v>
      </c>
      <c r="AO439" s="219"/>
      <c r="AP439" s="219"/>
      <c r="AQ439" s="219"/>
      <c r="AR439" s="219"/>
      <c r="AS439" s="219"/>
      <c r="AT439" s="219"/>
      <c r="AU439" s="219"/>
      <c r="AV439" s="219"/>
      <c r="AW439" s="219"/>
      <c r="AX439" s="219"/>
      <c r="AY439" s="219"/>
      <c r="AZ439" s="219"/>
      <c r="BA439" s="219"/>
      <c r="BB439" s="219"/>
      <c r="BC439" s="219"/>
      <c r="BD439" s="219"/>
      <c r="BE439" s="219"/>
      <c r="BF439" s="219"/>
      <c r="BG439" s="219"/>
      <c r="BH439" s="219"/>
      <c r="BI439" s="219"/>
      <c r="BJ439" s="219"/>
      <c r="BK439" s="219"/>
    </row>
    <row r="440" spans="1:63">
      <c r="A440" s="170">
        <v>41305</v>
      </c>
      <c r="B440" s="220" t="str">
        <f>Servicio_internaColumna_título_intereses</f>
        <v>Intereses</v>
      </c>
      <c r="C440" s="221"/>
      <c r="D440" s="222"/>
      <c r="E440" s="222"/>
      <c r="F440" s="222"/>
      <c r="G440" s="222"/>
      <c r="H440" s="222"/>
      <c r="I440" s="222"/>
      <c r="J440" s="222"/>
      <c r="K440" s="222"/>
      <c r="L440" s="222"/>
      <c r="M440" s="222"/>
      <c r="N440" s="222"/>
      <c r="O440" s="222">
        <f>'Perfil - externa'!O438+'Perfil - interna'!O440</f>
        <v>15468450.984406287</v>
      </c>
      <c r="P440" s="222">
        <f>'Perfil - externa'!P438+'Perfil - interna'!P440</f>
        <v>14577604.574213618</v>
      </c>
      <c r="Q440" s="222">
        <f>'Perfil - externa'!Q438+'Perfil - interna'!Q440</f>
        <v>12541377.923745146</v>
      </c>
      <c r="R440" s="222">
        <f>'Perfil - externa'!R438+'Perfil - interna'!R440</f>
        <v>10353627.824531438</v>
      </c>
      <c r="S440" s="222">
        <f>'Perfil - externa'!S438+'Perfil - interna'!S440</f>
        <v>8823379.7563640252</v>
      </c>
      <c r="T440" s="222">
        <f>'Perfil - externa'!T438+'Perfil - interna'!T440</f>
        <v>8393261.2280960958</v>
      </c>
      <c r="U440" s="222">
        <f>'Perfil - externa'!U438+'Perfil - interna'!U440</f>
        <v>6795048.3082146458</v>
      </c>
      <c r="V440" s="222">
        <f>'Perfil - externa'!V438+'Perfil - interna'!V440</f>
        <v>6534698.8258479424</v>
      </c>
      <c r="W440" s="222">
        <f>'Perfil - externa'!W438+'Perfil - interna'!W440</f>
        <v>5500077.0753254024</v>
      </c>
      <c r="X440" s="222">
        <f>'Perfil - externa'!X438+'Perfil - interna'!X440</f>
        <v>5067132.8865417587</v>
      </c>
      <c r="Y440" s="222">
        <f>'Perfil - externa'!Y438+'Perfil - interna'!Y440</f>
        <v>4649838.1627879292</v>
      </c>
      <c r="Z440" s="222">
        <f>'Perfil - externa'!Z438+'Perfil - interna'!Z440</f>
        <v>3677873.9065199634</v>
      </c>
      <c r="AA440" s="222">
        <f>'Perfil - externa'!AA438+'Perfil - interna'!AA440</f>
        <v>1859634.1600497791</v>
      </c>
      <c r="AB440" s="222">
        <f>'Perfil - externa'!AB438+'Perfil - interna'!AB440</f>
        <v>1790459.4992752625</v>
      </c>
      <c r="AC440" s="222">
        <f>'Perfil - externa'!AC438+'Perfil - interna'!AC440</f>
        <v>1741786.5696139855</v>
      </c>
      <c r="AD440" s="222">
        <f>'Perfil - externa'!AD438+'Perfil - interna'!AD440</f>
        <v>984757.26194237685</v>
      </c>
      <c r="AE440" s="222">
        <f>'Perfil - externa'!AE438+'Perfil - interna'!AE440</f>
        <v>801748.487736988</v>
      </c>
      <c r="AF440" s="222">
        <f>'Perfil - externa'!AF438+'Perfil - interna'!AF440</f>
        <v>746717.61994017987</v>
      </c>
      <c r="AG440" s="222">
        <f>'Perfil - externa'!AG438+'Perfil - interna'!AG440</f>
        <v>678644.76765587076</v>
      </c>
      <c r="AH440" s="222">
        <f>'Perfil - externa'!AH438+'Perfil - interna'!AH440</f>
        <v>654014.66379573522</v>
      </c>
      <c r="AI440" s="222">
        <f>'Perfil - externa'!AI438+'Perfil - interna'!AI440</f>
        <v>600787.18982099043</v>
      </c>
      <c r="AJ440" s="222">
        <f>'Perfil - externa'!AJ438+'Perfil - interna'!AJ440</f>
        <v>556387.44445365877</v>
      </c>
      <c r="AK440" s="222">
        <f>'Perfil - externa'!AK438+'Perfil - interna'!AK440</f>
        <v>544792.41564268246</v>
      </c>
      <c r="AL440" s="222">
        <f>'Perfil - externa'!AL438+'Perfil - interna'!AL440</f>
        <v>535551.63327987643</v>
      </c>
      <c r="AM440" s="222">
        <f>'Perfil - externa'!AM438+'Perfil - interna'!AM440</f>
        <v>528537.20411480893</v>
      </c>
      <c r="AN440" s="222">
        <f>'Perfil - externa'!AN438+'Perfil - interna'!AN440</f>
        <v>286764.60713897442</v>
      </c>
      <c r="AO440" s="222"/>
      <c r="AP440" s="222"/>
      <c r="AQ440" s="222"/>
      <c r="AR440" s="222"/>
      <c r="AS440" s="222"/>
      <c r="AT440" s="222"/>
      <c r="AU440" s="222"/>
      <c r="AV440" s="222"/>
      <c r="AW440" s="222"/>
      <c r="AX440" s="222"/>
      <c r="AY440" s="222"/>
      <c r="AZ440" s="222"/>
      <c r="BA440" s="222"/>
      <c r="BB440" s="222"/>
      <c r="BC440" s="222"/>
      <c r="BD440" s="222"/>
      <c r="BE440" s="222"/>
      <c r="BF440" s="222"/>
      <c r="BG440" s="222"/>
      <c r="BH440" s="222"/>
      <c r="BI440" s="222"/>
      <c r="BJ440" s="222"/>
      <c r="BK440" s="222"/>
    </row>
    <row r="441" spans="1:63">
      <c r="A441" s="171"/>
      <c r="B441" s="318" t="str">
        <f>Servicio_internaColumna_título_total</f>
        <v>Total</v>
      </c>
      <c r="C441" s="319"/>
      <c r="D441" s="320"/>
      <c r="E441" s="320"/>
      <c r="F441" s="320"/>
      <c r="G441" s="320"/>
      <c r="H441" s="320"/>
      <c r="I441" s="320"/>
      <c r="J441" s="320"/>
      <c r="K441" s="320"/>
      <c r="L441" s="320"/>
      <c r="M441" s="320"/>
      <c r="N441" s="320"/>
      <c r="O441" s="320">
        <f>'Perfil - externa'!O439+'Perfil - interna'!O441</f>
        <v>35472608.392648041</v>
      </c>
      <c r="P441" s="320">
        <f>'Perfil - externa'!P439+'Perfil - interna'!P441</f>
        <v>38226420.81852866</v>
      </c>
      <c r="Q441" s="320">
        <f>'Perfil - externa'!Q439+'Perfil - interna'!Q441</f>
        <v>42505223.822227865</v>
      </c>
      <c r="R441" s="320">
        <f>'Perfil - externa'!R439+'Perfil - interna'!R441</f>
        <v>33043557.981968094</v>
      </c>
      <c r="S441" s="320">
        <f>'Perfil - externa'!S439+'Perfil - interna'!S441</f>
        <v>19546889.697883695</v>
      </c>
      <c r="T441" s="320">
        <f>'Perfil - externa'!T439+'Perfil - interna'!T441</f>
        <v>23202681.867641721</v>
      </c>
      <c r="U441" s="320">
        <f>'Perfil - externa'!U439+'Perfil - interna'!U441</f>
        <v>12858681.227832917</v>
      </c>
      <c r="V441" s="320">
        <f>'Perfil - externa'!V439+'Perfil - interna'!V441</f>
        <v>17738838.952649765</v>
      </c>
      <c r="W441" s="320">
        <f>'Perfil - externa'!W439+'Perfil - interna'!W441</f>
        <v>14302277.026937909</v>
      </c>
      <c r="X441" s="320">
        <f>'Perfil - externa'!X439+'Perfil - interna'!X441</f>
        <v>11470433.24155489</v>
      </c>
      <c r="Y441" s="320">
        <f>'Perfil - externa'!Y439+'Perfil - interna'!Y441</f>
        <v>20436350.856385402</v>
      </c>
      <c r="Z441" s="320">
        <f>'Perfil - externa'!Z439+'Perfil - interna'!Z441</f>
        <v>23237824.036601409</v>
      </c>
      <c r="AA441" s="320">
        <f>'Perfil - externa'!AA439+'Perfil - interna'!AA441</f>
        <v>3433539.9741515899</v>
      </c>
      <c r="AB441" s="320">
        <f>'Perfil - externa'!AB439+'Perfil - interna'!AB441</f>
        <v>9863121.5945412219</v>
      </c>
      <c r="AC441" s="320">
        <f>'Perfil - externa'!AC439+'Perfil - interna'!AC441</f>
        <v>4228811.6185632823</v>
      </c>
      <c r="AD441" s="320">
        <f>'Perfil - externa'!AD439+'Perfil - interna'!AD441</f>
        <v>3961327.7512226002</v>
      </c>
      <c r="AE441" s="320">
        <f>'Perfil - externa'!AE439+'Perfil - interna'!AE441</f>
        <v>1944812.0229069469</v>
      </c>
      <c r="AF441" s="320">
        <f>'Perfil - externa'!AF439+'Perfil - interna'!AF441</f>
        <v>2341167.6229045135</v>
      </c>
      <c r="AG441" s="320">
        <f>'Perfil - externa'!AG439+'Perfil - interna'!AG441</f>
        <v>1152085.7027686443</v>
      </c>
      <c r="AH441" s="320">
        <f>'Perfil - externa'!AH439+'Perfil - interna'!AH441</f>
        <v>1054631.1633554117</v>
      </c>
      <c r="AI441" s="320">
        <f>'Perfil - externa'!AI439+'Perfil - interna'!AI441</f>
        <v>1451639.781733637</v>
      </c>
      <c r="AJ441" s="320">
        <f>'Perfil - externa'!AJ439+'Perfil - interna'!AJ441</f>
        <v>774150.63490078843</v>
      </c>
      <c r="AK441" s="320">
        <f>'Perfil - externa'!AK439+'Perfil - interna'!AK441</f>
        <v>701123.74750184081</v>
      </c>
      <c r="AL441" s="320">
        <f>'Perfil - externa'!AL439+'Perfil - interna'!AL441</f>
        <v>640443.65753404598</v>
      </c>
      <c r="AM441" s="320">
        <f>'Perfil - externa'!AM439+'Perfil - interna'!AM441</f>
        <v>3789892.968058608</v>
      </c>
      <c r="AN441" s="320">
        <f>'Perfil - externa'!AN439+'Perfil - interna'!AN441</f>
        <v>295502.67349040561</v>
      </c>
      <c r="AO441" s="320"/>
      <c r="AP441" s="320"/>
      <c r="AQ441" s="320"/>
      <c r="AR441" s="320"/>
      <c r="AS441" s="320"/>
      <c r="AT441" s="320"/>
      <c r="AU441" s="320"/>
      <c r="AV441" s="320"/>
      <c r="AW441" s="320"/>
      <c r="AX441" s="320"/>
      <c r="AY441" s="320"/>
      <c r="AZ441" s="320"/>
      <c r="BA441" s="320"/>
      <c r="BB441" s="320"/>
      <c r="BC441" s="320"/>
      <c r="BD441" s="320"/>
      <c r="BE441" s="320"/>
      <c r="BF441" s="320"/>
      <c r="BG441" s="320"/>
      <c r="BH441" s="320"/>
      <c r="BI441" s="320"/>
      <c r="BJ441" s="320"/>
      <c r="BK441" s="320"/>
    </row>
    <row r="442" spans="1:63">
      <c r="A442" s="167"/>
      <c r="B442" s="217" t="str">
        <f>Servicio_internaColumna_título_amortizaciones</f>
        <v>Amortizaciones</v>
      </c>
      <c r="C442" s="218"/>
      <c r="D442" s="219"/>
      <c r="E442" s="219"/>
      <c r="F442" s="219"/>
      <c r="G442" s="219"/>
      <c r="H442" s="219"/>
      <c r="I442" s="219"/>
      <c r="J442" s="219"/>
      <c r="K442" s="219"/>
      <c r="L442" s="219"/>
      <c r="M442" s="219"/>
      <c r="N442" s="219"/>
      <c r="O442" s="219">
        <f>'Perfil - externa'!O440+'Perfil - interna'!O442</f>
        <v>19634349.226007614</v>
      </c>
      <c r="P442" s="219">
        <f>'Perfil - externa'!P440+'Perfil - interna'!P442</f>
        <v>24457554.344696227</v>
      </c>
      <c r="Q442" s="219">
        <f>'Perfil - externa'!Q440+'Perfil - interna'!Q442</f>
        <v>30623976.241884734</v>
      </c>
      <c r="R442" s="219">
        <f>'Perfil - externa'!R440+'Perfil - interna'!R442</f>
        <v>21908931.359929271</v>
      </c>
      <c r="S442" s="219">
        <f>'Perfil - externa'!S440+'Perfil - interna'!S442</f>
        <v>10754910.826793199</v>
      </c>
      <c r="T442" s="219">
        <f>'Perfil - externa'!T440+'Perfil - interna'!T442</f>
        <v>16642522.618681079</v>
      </c>
      <c r="U442" s="219">
        <f>'Perfil - externa'!U440+'Perfil - interna'!U442</f>
        <v>6137840.1296163034</v>
      </c>
      <c r="V442" s="219">
        <f>'Perfil - externa'!V440+'Perfil - interna'!V442</f>
        <v>11270618.876085836</v>
      </c>
      <c r="W442" s="219">
        <f>'Perfil - externa'!W440+'Perfil - interna'!W442</f>
        <v>9838981.3074896354</v>
      </c>
      <c r="X442" s="219">
        <f>'Perfil - externa'!X440+'Perfil - interna'!X442</f>
        <v>6687821.3197304485</v>
      </c>
      <c r="Y442" s="219">
        <f>'Perfil - externa'!Y440+'Perfil - interna'!Y442</f>
        <v>15899828.598249197</v>
      </c>
      <c r="Z442" s="219">
        <f>'Perfil - externa'!Z440+'Perfil - interna'!Z442</f>
        <v>19625552.451865535</v>
      </c>
      <c r="AA442" s="219">
        <f>'Perfil - externa'!AA440+'Perfil - interna'!AA442</f>
        <v>1611735.6076532593</v>
      </c>
      <c r="AB442" s="219">
        <f>'Perfil - externa'!AB440+'Perfil - interna'!AB442</f>
        <v>8260456.2759827022</v>
      </c>
      <c r="AC442" s="219">
        <f>'Perfil - externa'!AC440+'Perfil - interna'!AC442</f>
        <v>2549195.0136774047</v>
      </c>
      <c r="AD442" s="219">
        <f>'Perfil - externa'!AD440+'Perfil - interna'!AD442</f>
        <v>3298806.1303196065</v>
      </c>
      <c r="AE442" s="219">
        <f>'Perfil - externa'!AE440+'Perfil - interna'!AE442</f>
        <v>1170455.8488993188</v>
      </c>
      <c r="AF442" s="219">
        <f>'Perfil - externa'!AF440+'Perfil - interna'!AF442</f>
        <v>1632835.4838763853</v>
      </c>
      <c r="AG442" s="219">
        <f>'Perfil - externa'!AG440+'Perfil - interna'!AG442</f>
        <v>484581.686397977</v>
      </c>
      <c r="AH442" s="219">
        <f>'Perfil - externa'!AH440+'Perfil - interna'!AH442</f>
        <v>409983.90817559959</v>
      </c>
      <c r="AI442" s="219">
        <f>'Perfil - externa'!AI440+'Perfil - interna'!AI442</f>
        <v>871183.65544279991</v>
      </c>
      <c r="AJ442" s="219">
        <f>'Perfil - externa'!AJ440+'Perfil - interna'!AJ442</f>
        <v>222677.95428848814</v>
      </c>
      <c r="AK442" s="219">
        <f>'Perfil - externa'!AK440+'Perfil - interna'!AK442</f>
        <v>159750.17403341556</v>
      </c>
      <c r="AL442" s="219">
        <f>'Perfil - externa'!AL440+'Perfil - interna'!AL442</f>
        <v>107445.30551651234</v>
      </c>
      <c r="AM442" s="219">
        <f>'Perfil - externa'!AM440+'Perfil - interna'!AM442</f>
        <v>3340772.7296458366</v>
      </c>
      <c r="AN442" s="219">
        <f>'Perfil - externa'!AN440+'Perfil - interna'!AN442</f>
        <v>8950.8461810395984</v>
      </c>
      <c r="AO442" s="219"/>
      <c r="AP442" s="219"/>
      <c r="AQ442" s="219"/>
      <c r="AR442" s="219"/>
      <c r="AS442" s="219"/>
      <c r="AT442" s="219"/>
      <c r="AU442" s="219"/>
      <c r="AV442" s="219"/>
      <c r="AW442" s="219"/>
      <c r="AX442" s="219"/>
      <c r="AY442" s="219"/>
      <c r="AZ442" s="219"/>
      <c r="BA442" s="219"/>
      <c r="BB442" s="219"/>
      <c r="BC442" s="219"/>
      <c r="BD442" s="219"/>
      <c r="BE442" s="219"/>
      <c r="BF442" s="219"/>
      <c r="BG442" s="219"/>
      <c r="BH442" s="219"/>
      <c r="BI442" s="219"/>
      <c r="BJ442" s="219"/>
      <c r="BK442" s="219"/>
    </row>
    <row r="443" spans="1:63">
      <c r="A443" s="170">
        <v>41333</v>
      </c>
      <c r="B443" s="220" t="str">
        <f>Servicio_internaColumna_título_intereses</f>
        <v>Intereses</v>
      </c>
      <c r="C443" s="221"/>
      <c r="D443" s="222"/>
      <c r="E443" s="222"/>
      <c r="F443" s="222"/>
      <c r="G443" s="222"/>
      <c r="H443" s="222"/>
      <c r="I443" s="222"/>
      <c r="J443" s="222"/>
      <c r="K443" s="222"/>
      <c r="L443" s="222"/>
      <c r="M443" s="222"/>
      <c r="N443" s="222"/>
      <c r="O443" s="222">
        <f>'Perfil - externa'!O441+'Perfil - interna'!O443</f>
        <v>14170869.543342261</v>
      </c>
      <c r="P443" s="222">
        <f>'Perfil - externa'!P441+'Perfil - interna'!P443</f>
        <v>14920713.999389023</v>
      </c>
      <c r="Q443" s="222">
        <f>'Perfil - externa'!Q441+'Perfil - interna'!Q443</f>
        <v>12778301.628154382</v>
      </c>
      <c r="R443" s="222">
        <f>'Perfil - externa'!R441+'Perfil - interna'!R443</f>
        <v>10552900.200675759</v>
      </c>
      <c r="S443" s="222">
        <f>'Perfil - externa'!S441+'Perfil - interna'!S443</f>
        <v>9016908.8618967645</v>
      </c>
      <c r="T443" s="222">
        <f>'Perfil - externa'!T441+'Perfil - interna'!T443</f>
        <v>8587580.5135774463</v>
      </c>
      <c r="U443" s="222">
        <f>'Perfil - externa'!U441+'Perfil - interna'!U443</f>
        <v>6907578.2019959372</v>
      </c>
      <c r="V443" s="222">
        <f>'Perfil - externa'!V441+'Perfil - interna'!V443</f>
        <v>6650705.8015348772</v>
      </c>
      <c r="W443" s="222">
        <f>'Perfil - externa'!W441+'Perfil - interna'!W443</f>
        <v>5615320.2125772387</v>
      </c>
      <c r="X443" s="222">
        <f>'Perfil - externa'!X441+'Perfil - interna'!X443</f>
        <v>5135247.5098940805</v>
      </c>
      <c r="Y443" s="222">
        <f>'Perfil - externa'!Y441+'Perfil - interna'!Y443</f>
        <v>4699979.4307702687</v>
      </c>
      <c r="Z443" s="222">
        <f>'Perfil - externa'!Z441+'Perfil - interna'!Z443</f>
        <v>3726140.9730920549</v>
      </c>
      <c r="AA443" s="222">
        <f>'Perfil - externa'!AA441+'Perfil - interna'!AA443</f>
        <v>1906964.4166725152</v>
      </c>
      <c r="AB443" s="222">
        <f>'Perfil - externa'!AB441+'Perfil - interna'!AB443</f>
        <v>1835259.0819592918</v>
      </c>
      <c r="AC443" s="222">
        <f>'Perfil - externa'!AC441+'Perfil - interna'!AC443</f>
        <v>1239150.863698734</v>
      </c>
      <c r="AD443" s="222">
        <f>'Perfil - externa'!AD441+'Perfil - interna'!AD443</f>
        <v>1019081.2840580541</v>
      </c>
      <c r="AE443" s="222">
        <f>'Perfil - externa'!AE441+'Perfil - interna'!AE443</f>
        <v>811880.57824436016</v>
      </c>
      <c r="AF443" s="222">
        <f>'Perfil - externa'!AF441+'Perfil - interna'!AF443</f>
        <v>756596.61142657604</v>
      </c>
      <c r="AG443" s="222">
        <f>'Perfil - externa'!AG441+'Perfil - interna'!AG443</f>
        <v>688062.25269897876</v>
      </c>
      <c r="AH443" s="222">
        <f>'Perfil - externa'!AH441+'Perfil - interna'!AH443</f>
        <v>663257.04706765083</v>
      </c>
      <c r="AI443" s="222">
        <f>'Perfil - externa'!AI441+'Perfil - interna'!AI443</f>
        <v>610594.79926665046</v>
      </c>
      <c r="AJ443" s="222">
        <f>'Perfil - externa'!AJ441+'Perfil - interna'!AJ443</f>
        <v>565486.71242371015</v>
      </c>
      <c r="AK443" s="222">
        <f>'Perfil - externa'!AK441+'Perfil - interna'!AK443</f>
        <v>553911.86658038641</v>
      </c>
      <c r="AL443" s="222">
        <f>'Perfil - externa'!AL441+'Perfil - interna'!AL443</f>
        <v>544702.15837684483</v>
      </c>
      <c r="AM443" s="222">
        <f>'Perfil - externa'!AM441+'Perfil - interna'!AM443</f>
        <v>537669.88460463821</v>
      </c>
      <c r="AN443" s="222">
        <f>'Perfil - externa'!AN441+'Perfil - interna'!AN443</f>
        <v>290998.2910486082</v>
      </c>
      <c r="AO443" s="222"/>
      <c r="AP443" s="222"/>
      <c r="AQ443" s="222"/>
      <c r="AR443" s="222"/>
      <c r="AS443" s="222"/>
      <c r="AT443" s="222"/>
      <c r="AU443" s="222"/>
      <c r="AV443" s="222"/>
      <c r="AW443" s="222"/>
      <c r="AX443" s="222"/>
      <c r="AY443" s="222"/>
      <c r="AZ443" s="222"/>
      <c r="BA443" s="222"/>
      <c r="BB443" s="222"/>
      <c r="BC443" s="222"/>
      <c r="BD443" s="222"/>
      <c r="BE443" s="222"/>
      <c r="BF443" s="222"/>
      <c r="BG443" s="222"/>
      <c r="BH443" s="222"/>
      <c r="BI443" s="222"/>
      <c r="BJ443" s="222"/>
      <c r="BK443" s="222"/>
    </row>
    <row r="444" spans="1:63">
      <c r="A444" s="171"/>
      <c r="B444" s="318" t="str">
        <f>Servicio_internaColumna_título_total</f>
        <v>Total</v>
      </c>
      <c r="C444" s="319"/>
      <c r="D444" s="320"/>
      <c r="E444" s="320"/>
      <c r="F444" s="320"/>
      <c r="G444" s="320"/>
      <c r="H444" s="320"/>
      <c r="I444" s="320"/>
      <c r="J444" s="320"/>
      <c r="K444" s="320"/>
      <c r="L444" s="320"/>
      <c r="M444" s="320"/>
      <c r="N444" s="320"/>
      <c r="O444" s="320">
        <f>'Perfil - externa'!O442+'Perfil - interna'!O444</f>
        <v>33805218.769349873</v>
      </c>
      <c r="P444" s="320">
        <f>'Perfil - externa'!P442+'Perfil - interna'!P444</f>
        <v>39378268.344085254</v>
      </c>
      <c r="Q444" s="320">
        <f>'Perfil - externa'!Q442+'Perfil - interna'!Q444</f>
        <v>43402277.87003912</v>
      </c>
      <c r="R444" s="320">
        <f>'Perfil - externa'!R442+'Perfil - interna'!R444</f>
        <v>32461831.560605031</v>
      </c>
      <c r="S444" s="320">
        <f>'Perfil - externa'!S442+'Perfil - interna'!S444</f>
        <v>19771819.688689962</v>
      </c>
      <c r="T444" s="320">
        <f>'Perfil - externa'!T442+'Perfil - interna'!T444</f>
        <v>25230103.132258523</v>
      </c>
      <c r="U444" s="320">
        <f>'Perfil - externa'!U442+'Perfil - interna'!U444</f>
        <v>13045418.331612241</v>
      </c>
      <c r="V444" s="320">
        <f>'Perfil - externa'!V442+'Perfil - interna'!V444</f>
        <v>17921324.677620713</v>
      </c>
      <c r="W444" s="320">
        <f>'Perfil - externa'!W442+'Perfil - interna'!W444</f>
        <v>15454301.520066874</v>
      </c>
      <c r="X444" s="320">
        <f>'Perfil - externa'!X442+'Perfil - interna'!X444</f>
        <v>11823068.829624528</v>
      </c>
      <c r="Y444" s="320">
        <f>'Perfil - externa'!Y442+'Perfil - interna'!Y444</f>
        <v>20599808.029019468</v>
      </c>
      <c r="Z444" s="320">
        <f>'Perfil - externa'!Z442+'Perfil - interna'!Z444</f>
        <v>23351693.424957588</v>
      </c>
      <c r="AA444" s="320">
        <f>'Perfil - externa'!AA442+'Perfil - interna'!AA444</f>
        <v>3518700.0243257745</v>
      </c>
      <c r="AB444" s="320">
        <f>'Perfil - externa'!AB442+'Perfil - interna'!AB444</f>
        <v>10095715.357941993</v>
      </c>
      <c r="AC444" s="320">
        <f>'Perfil - externa'!AC442+'Perfil - interna'!AC444</f>
        <v>3788345.8773761382</v>
      </c>
      <c r="AD444" s="320">
        <f>'Perfil - externa'!AD442+'Perfil - interna'!AD444</f>
        <v>4317887.4143776605</v>
      </c>
      <c r="AE444" s="320">
        <f>'Perfil - externa'!AE442+'Perfil - interna'!AE444</f>
        <v>1982336.4271436788</v>
      </c>
      <c r="AF444" s="320">
        <f>'Perfil - externa'!AF442+'Perfil - interna'!AF444</f>
        <v>2389432.0953029613</v>
      </c>
      <c r="AG444" s="320">
        <f>'Perfil - externa'!AG442+'Perfil - interna'!AG444</f>
        <v>1172643.9390969558</v>
      </c>
      <c r="AH444" s="320">
        <f>'Perfil - externa'!AH442+'Perfil - interna'!AH444</f>
        <v>1073240.9552432504</v>
      </c>
      <c r="AI444" s="320">
        <f>'Perfil - externa'!AI442+'Perfil - interna'!AI444</f>
        <v>1481778.4547094505</v>
      </c>
      <c r="AJ444" s="320">
        <f>'Perfil - externa'!AJ442+'Perfil - interna'!AJ444</f>
        <v>788164.66671219829</v>
      </c>
      <c r="AK444" s="320">
        <f>'Perfil - externa'!AK442+'Perfil - interna'!AK444</f>
        <v>713662.04061380203</v>
      </c>
      <c r="AL444" s="320">
        <f>'Perfil - externa'!AL442+'Perfil - interna'!AL444</f>
        <v>652147.4638933572</v>
      </c>
      <c r="AM444" s="320">
        <f>'Perfil - externa'!AM442+'Perfil - interna'!AM444</f>
        <v>3878442.6142504746</v>
      </c>
      <c r="AN444" s="320">
        <f>'Perfil - externa'!AN442+'Perfil - interna'!AN444</f>
        <v>299949.13722964778</v>
      </c>
      <c r="AO444" s="320"/>
      <c r="AP444" s="320"/>
      <c r="AQ444" s="320"/>
      <c r="AR444" s="320"/>
      <c r="AS444" s="320"/>
      <c r="AT444" s="320"/>
      <c r="AU444" s="320"/>
      <c r="AV444" s="320"/>
      <c r="AW444" s="320"/>
      <c r="AX444" s="320"/>
      <c r="AY444" s="320"/>
      <c r="AZ444" s="320"/>
      <c r="BA444" s="320"/>
      <c r="BB444" s="320"/>
      <c r="BC444" s="320"/>
      <c r="BD444" s="320"/>
      <c r="BE444" s="320"/>
      <c r="BF444" s="320"/>
      <c r="BG444" s="320"/>
      <c r="BH444" s="320"/>
      <c r="BI444" s="320"/>
      <c r="BJ444" s="320"/>
      <c r="BK444" s="320"/>
    </row>
    <row r="445" spans="1:63">
      <c r="A445" s="167"/>
      <c r="B445" s="217" t="str">
        <f>Servicio_internaColumna_título_amortizaciones</f>
        <v>Amortizaciones</v>
      </c>
      <c r="C445" s="218"/>
      <c r="D445" s="219"/>
      <c r="E445" s="219"/>
      <c r="F445" s="219"/>
      <c r="G445" s="219"/>
      <c r="H445" s="219"/>
      <c r="I445" s="219"/>
      <c r="J445" s="219"/>
      <c r="K445" s="219"/>
      <c r="L445" s="219"/>
      <c r="M445" s="219"/>
      <c r="N445" s="219"/>
      <c r="O445" s="219">
        <f>'Perfil - externa'!O443+'Perfil - interna'!O445</f>
        <v>18401680.096727729</v>
      </c>
      <c r="P445" s="219">
        <f>'Perfil - externa'!P443+'Perfil - interna'!P445</f>
        <v>24620062.310611475</v>
      </c>
      <c r="Q445" s="219">
        <f>'Perfil - externa'!Q443+'Perfil - interna'!Q445</f>
        <v>30989316.541645214</v>
      </c>
      <c r="R445" s="219">
        <f>'Perfil - externa'!R443+'Perfil - interna'!R445</f>
        <v>22751297.440075975</v>
      </c>
      <c r="S445" s="219">
        <f>'Perfil - externa'!S443+'Perfil - interna'!S445</f>
        <v>11138273.023401028</v>
      </c>
      <c r="T445" s="219">
        <f>'Perfil - externa'!T443+'Perfil - interna'!T445</f>
        <v>17131974.182975322</v>
      </c>
      <c r="U445" s="219">
        <f>'Perfil - externa'!U443+'Perfil - interna'!U445</f>
        <v>6155771.021599859</v>
      </c>
      <c r="V445" s="219">
        <f>'Perfil - externa'!V443+'Perfil - interna'!V445</f>
        <v>11278978.174070502</v>
      </c>
      <c r="W445" s="219">
        <f>'Perfil - externa'!W443+'Perfil - interna'!W445</f>
        <v>10122075.951313661</v>
      </c>
      <c r="X445" s="219">
        <f>'Perfil - externa'!X443+'Perfil - interna'!X445</f>
        <v>7073777.4664140921</v>
      </c>
      <c r="Y445" s="219">
        <f>'Perfil - externa'!Y443+'Perfil - interna'!Y445</f>
        <v>15955092.897899382</v>
      </c>
      <c r="Z445" s="219">
        <f>'Perfil - externa'!Z443+'Perfil - interna'!Z445</f>
        <v>19633690.728838652</v>
      </c>
      <c r="AA445" s="219">
        <f>'Perfil - externa'!AA443+'Perfil - interna'!AA445</f>
        <v>1611804.7638242112</v>
      </c>
      <c r="AB445" s="219">
        <f>'Perfil - externa'!AB443+'Perfil - interna'!AB445</f>
        <v>8256080.9661690304</v>
      </c>
      <c r="AC445" s="219">
        <f>'Perfil - externa'!AC443+'Perfil - interna'!AC445</f>
        <v>2555824.3819823447</v>
      </c>
      <c r="AD445" s="219">
        <f>'Perfil - externa'!AD443+'Perfil - interna'!AD445</f>
        <v>3762839.6063076993</v>
      </c>
      <c r="AE445" s="219">
        <f>'Perfil - externa'!AE443+'Perfil - interna'!AE445</f>
        <v>1171211.9961098181</v>
      </c>
      <c r="AF445" s="219">
        <f>'Perfil - externa'!AF443+'Perfil - interna'!AF445</f>
        <v>1640439.1110411985</v>
      </c>
      <c r="AG445" s="219">
        <f>'Perfil - externa'!AG443+'Perfil - interna'!AG445</f>
        <v>487929.37260953325</v>
      </c>
      <c r="AH445" s="219">
        <f>'Perfil - externa'!AH443+'Perfil - interna'!AH445</f>
        <v>412860.29799926322</v>
      </c>
      <c r="AI445" s="219">
        <f>'Perfil - externa'!AI443+'Perfil - interna'!AI445</f>
        <v>877222.57024387736</v>
      </c>
      <c r="AJ445" s="219">
        <f>'Perfil - externa'!AJ443+'Perfil - interna'!AJ445</f>
        <v>224212.62010283017</v>
      </c>
      <c r="AK445" s="219">
        <f>'Perfil - externa'!AK443+'Perfil - interna'!AK445</f>
        <v>160850.7524194117</v>
      </c>
      <c r="AL445" s="219">
        <f>'Perfil - externa'!AL443+'Perfil - interna'!AL445</f>
        <v>108185.77915958209</v>
      </c>
      <c r="AM445" s="219">
        <f>'Perfil - externa'!AM443+'Perfil - interna'!AM445</f>
        <v>3363817.99577507</v>
      </c>
      <c r="AN445" s="219">
        <f>'Perfil - externa'!AN443+'Perfil - interna'!AN445</f>
        <v>9012.5907680009968</v>
      </c>
      <c r="AO445" s="219"/>
      <c r="AP445" s="219"/>
      <c r="AQ445" s="219"/>
      <c r="AR445" s="219"/>
      <c r="AS445" s="219"/>
      <c r="AT445" s="219"/>
      <c r="AU445" s="219"/>
      <c r="AV445" s="219"/>
      <c r="AW445" s="219"/>
      <c r="AX445" s="219"/>
      <c r="AY445" s="219"/>
      <c r="AZ445" s="219"/>
      <c r="BA445" s="219"/>
      <c r="BB445" s="219"/>
      <c r="BC445" s="219"/>
      <c r="BD445" s="219"/>
      <c r="BE445" s="219"/>
      <c r="BF445" s="219"/>
      <c r="BG445" s="219"/>
      <c r="BH445" s="219"/>
      <c r="BI445" s="219"/>
      <c r="BJ445" s="219"/>
      <c r="BK445" s="219"/>
    </row>
    <row r="446" spans="1:63">
      <c r="A446" s="170">
        <v>41334</v>
      </c>
      <c r="B446" s="220" t="str">
        <f>Servicio_internaColumna_título_intereses</f>
        <v>Intereses</v>
      </c>
      <c r="C446" s="221"/>
      <c r="D446" s="222"/>
      <c r="E446" s="222"/>
      <c r="F446" s="222"/>
      <c r="G446" s="222"/>
      <c r="H446" s="222"/>
      <c r="I446" s="222"/>
      <c r="J446" s="222"/>
      <c r="K446" s="222"/>
      <c r="L446" s="222"/>
      <c r="M446" s="222"/>
      <c r="N446" s="222"/>
      <c r="O446" s="222">
        <f>'Perfil - externa'!O444+'Perfil - interna'!O446</f>
        <v>13420138.050671894</v>
      </c>
      <c r="P446" s="222">
        <f>'Perfil - externa'!P444+'Perfil - interna'!P446</f>
        <v>15011629.080178196</v>
      </c>
      <c r="Q446" s="222">
        <f>'Perfil - externa'!Q444+'Perfil - interna'!Q446</f>
        <v>12924502.658162082</v>
      </c>
      <c r="R446" s="222">
        <f>'Perfil - externa'!R444+'Perfil - interna'!R446</f>
        <v>10673930.352114335</v>
      </c>
      <c r="S446" s="222">
        <f>'Perfil - externa'!S444+'Perfil - interna'!S446</f>
        <v>9137987.3332747035</v>
      </c>
      <c r="T446" s="222">
        <f>'Perfil - externa'!T444+'Perfil - interna'!T446</f>
        <v>8699827.1242428329</v>
      </c>
      <c r="U446" s="222">
        <f>'Perfil - externa'!U444+'Perfil - interna'!U446</f>
        <v>6999539.8209008388</v>
      </c>
      <c r="V446" s="222">
        <f>'Perfil - externa'!V444+'Perfil - interna'!V446</f>
        <v>6743169.6757903704</v>
      </c>
      <c r="W446" s="222">
        <f>'Perfil - externa'!W444+'Perfil - interna'!W446</f>
        <v>5707558.340338245</v>
      </c>
      <c r="X446" s="222">
        <f>'Perfil - externa'!X444+'Perfil - interna'!X446</f>
        <v>5214435.7071620813</v>
      </c>
      <c r="Y446" s="222">
        <f>'Perfil - externa'!Y444+'Perfil - interna'!Y446</f>
        <v>4748169.5805755202</v>
      </c>
      <c r="Z446" s="222">
        <f>'Perfil - externa'!Z444+'Perfil - interna'!Z446</f>
        <v>3776454.7095003938</v>
      </c>
      <c r="AA446" s="222">
        <f>'Perfil - externa'!AA444+'Perfil - interna'!AA446</f>
        <v>1957401.1167790156</v>
      </c>
      <c r="AB446" s="222">
        <f>'Perfil - externa'!AB444+'Perfil - interna'!AB446</f>
        <v>1881012.7321004895</v>
      </c>
      <c r="AC446" s="222">
        <f>'Perfil - externa'!AC444+'Perfil - interna'!AC446</f>
        <v>1283829.4232439389</v>
      </c>
      <c r="AD446" s="222">
        <f>'Perfil - externa'!AD444+'Perfil - interna'!AD446</f>
        <v>1063333.1878693197</v>
      </c>
      <c r="AE446" s="222">
        <f>'Perfil - externa'!AE444+'Perfil - interna'!AE446</f>
        <v>825929.22964265314</v>
      </c>
      <c r="AF446" s="222">
        <f>'Perfil - externa'!AF444+'Perfil - interna'!AF446</f>
        <v>769275.50857254909</v>
      </c>
      <c r="AG446" s="222">
        <f>'Perfil - externa'!AG444+'Perfil - interna'!AG446</f>
        <v>698967.64041439362</v>
      </c>
      <c r="AH446" s="222">
        <f>'Perfil - externa'!AH444+'Perfil - interna'!AH446</f>
        <v>673640.15452500747</v>
      </c>
      <c r="AI446" s="222">
        <f>'Perfil - externa'!AI444+'Perfil - interna'!AI446</f>
        <v>619160.15941672854</v>
      </c>
      <c r="AJ446" s="222">
        <f>'Perfil - externa'!AJ444+'Perfil - interna'!AJ446</f>
        <v>572991.88804118894</v>
      </c>
      <c r="AK446" s="222">
        <f>'Perfil - externa'!AK444+'Perfil - interna'!AK446</f>
        <v>561140.89643870213</v>
      </c>
      <c r="AL446" s="222">
        <f>'Perfil - externa'!AL444+'Perfil - interna'!AL446</f>
        <v>551709.47004122427</v>
      </c>
      <c r="AM446" s="222">
        <f>'Perfil - externa'!AM444+'Perfil - interna'!AM446</f>
        <v>544565.08418211085</v>
      </c>
      <c r="AN446" s="222">
        <f>'Perfil - externa'!AN444+'Perfil - interna'!AN446</f>
        <v>295296.32741950452</v>
      </c>
      <c r="AO446" s="222"/>
      <c r="AP446" s="222"/>
      <c r="AQ446" s="222"/>
      <c r="AR446" s="222"/>
      <c r="AS446" s="222"/>
      <c r="AT446" s="222"/>
      <c r="AU446" s="222"/>
      <c r="AV446" s="222"/>
      <c r="AW446" s="222"/>
      <c r="AX446" s="222"/>
      <c r="AY446" s="222"/>
      <c r="AZ446" s="222"/>
      <c r="BA446" s="222"/>
      <c r="BB446" s="222"/>
      <c r="BC446" s="222"/>
      <c r="BD446" s="222"/>
      <c r="BE446" s="222"/>
      <c r="BF446" s="222"/>
      <c r="BG446" s="222"/>
      <c r="BH446" s="222"/>
      <c r="BI446" s="222"/>
      <c r="BJ446" s="222"/>
      <c r="BK446" s="222"/>
    </row>
    <row r="447" spans="1:63">
      <c r="A447" s="171"/>
      <c r="B447" s="318" t="str">
        <f>Servicio_internaColumna_título_total</f>
        <v>Total</v>
      </c>
      <c r="C447" s="319"/>
      <c r="D447" s="320"/>
      <c r="E447" s="320"/>
      <c r="F447" s="320"/>
      <c r="G447" s="320"/>
      <c r="H447" s="320"/>
      <c r="I447" s="320"/>
      <c r="J447" s="320"/>
      <c r="K447" s="320"/>
      <c r="L447" s="320"/>
      <c r="M447" s="320"/>
      <c r="N447" s="320"/>
      <c r="O447" s="320">
        <f>'Perfil - externa'!O445+'Perfil - interna'!O447</f>
        <v>31821818.147399623</v>
      </c>
      <c r="P447" s="320">
        <f>'Perfil - externa'!P445+'Perfil - interna'!P447</f>
        <v>39631691.390789673</v>
      </c>
      <c r="Q447" s="320">
        <f>'Perfil - externa'!Q445+'Perfil - interna'!Q447</f>
        <v>43913819.199807294</v>
      </c>
      <c r="R447" s="320">
        <f>'Perfil - externa'!R445+'Perfil - interna'!R447</f>
        <v>33425227.792190313</v>
      </c>
      <c r="S447" s="320">
        <f>'Perfil - externa'!S445+'Perfil - interna'!S447</f>
        <v>20276260.356675729</v>
      </c>
      <c r="T447" s="320">
        <f>'Perfil - externa'!T445+'Perfil - interna'!T447</f>
        <v>25831801.307218153</v>
      </c>
      <c r="U447" s="320">
        <f>'Perfil - externa'!U445+'Perfil - interna'!U447</f>
        <v>13155310.842500698</v>
      </c>
      <c r="V447" s="320">
        <f>'Perfil - externa'!V445+'Perfil - interna'!V447</f>
        <v>18022147.849860869</v>
      </c>
      <c r="W447" s="320">
        <f>'Perfil - externa'!W445+'Perfil - interna'!W447</f>
        <v>15829634.291651906</v>
      </c>
      <c r="X447" s="320">
        <f>'Perfil - externa'!X445+'Perfil - interna'!X447</f>
        <v>12288213.173576174</v>
      </c>
      <c r="Y447" s="320">
        <f>'Perfil - externa'!Y445+'Perfil - interna'!Y447</f>
        <v>20703262.4784749</v>
      </c>
      <c r="Z447" s="320">
        <f>'Perfil - externa'!Z445+'Perfil - interna'!Z447</f>
        <v>23410145.438339047</v>
      </c>
      <c r="AA447" s="320">
        <f>'Perfil - externa'!AA445+'Perfil - interna'!AA447</f>
        <v>3569205.8806032268</v>
      </c>
      <c r="AB447" s="320">
        <f>'Perfil - externa'!AB445+'Perfil - interna'!AB447</f>
        <v>10137093.69826952</v>
      </c>
      <c r="AC447" s="320">
        <f>'Perfil - externa'!AC445+'Perfil - interna'!AC447</f>
        <v>3839653.8052262836</v>
      </c>
      <c r="AD447" s="320">
        <f>'Perfil - externa'!AD445+'Perfil - interna'!AD447</f>
        <v>4826172.794177019</v>
      </c>
      <c r="AE447" s="320">
        <f>'Perfil - externa'!AE445+'Perfil - interna'!AE447</f>
        <v>1997141.2257524712</v>
      </c>
      <c r="AF447" s="320">
        <f>'Perfil - externa'!AF445+'Perfil - interna'!AF447</f>
        <v>2409714.6196137476</v>
      </c>
      <c r="AG447" s="320">
        <f>'Perfil - externa'!AG445+'Perfil - interna'!AG447</f>
        <v>1186897.0130239269</v>
      </c>
      <c r="AH447" s="320">
        <f>'Perfil - externa'!AH445+'Perfil - interna'!AH447</f>
        <v>1086500.4525242709</v>
      </c>
      <c r="AI447" s="320">
        <f>'Perfil - externa'!AI445+'Perfil - interna'!AI447</f>
        <v>1496382.7296606058</v>
      </c>
      <c r="AJ447" s="320">
        <f>'Perfil - externa'!AJ445+'Perfil - interna'!AJ447</f>
        <v>797204.50814401906</v>
      </c>
      <c r="AK447" s="320">
        <f>'Perfil - externa'!AK445+'Perfil - interna'!AK447</f>
        <v>721991.6488581138</v>
      </c>
      <c r="AL447" s="320">
        <f>'Perfil - externa'!AL445+'Perfil - interna'!AL447</f>
        <v>659895.24920080637</v>
      </c>
      <c r="AM447" s="320">
        <f>'Perfil - externa'!AM445+'Perfil - interna'!AM447</f>
        <v>3908383.0799571807</v>
      </c>
      <c r="AN447" s="320">
        <f>'Perfil - externa'!AN445+'Perfil - interna'!AN447</f>
        <v>304308.91818750551</v>
      </c>
      <c r="AO447" s="320"/>
      <c r="AP447" s="320"/>
      <c r="AQ447" s="320"/>
      <c r="AR447" s="320"/>
      <c r="AS447" s="320"/>
      <c r="AT447" s="320"/>
      <c r="AU447" s="320"/>
      <c r="AV447" s="320"/>
      <c r="AW447" s="320"/>
      <c r="AX447" s="320"/>
      <c r="AY447" s="320"/>
      <c r="AZ447" s="320"/>
      <c r="BA447" s="320"/>
      <c r="BB447" s="320"/>
      <c r="BC447" s="320"/>
      <c r="BD447" s="320"/>
      <c r="BE447" s="320"/>
      <c r="BF447" s="320"/>
      <c r="BG447" s="320"/>
      <c r="BH447" s="320"/>
      <c r="BI447" s="320"/>
      <c r="BJ447" s="320"/>
      <c r="BK447" s="320"/>
    </row>
    <row r="448" spans="1:63">
      <c r="A448" s="167"/>
      <c r="B448" s="217" t="str">
        <f>Servicio_internaColumna_título_amortizaciones</f>
        <v>Amortizaciones</v>
      </c>
      <c r="C448" s="218"/>
      <c r="D448" s="219"/>
      <c r="E448" s="219"/>
      <c r="F448" s="219"/>
      <c r="G448" s="219"/>
      <c r="H448" s="219"/>
      <c r="I448" s="219"/>
      <c r="J448" s="219"/>
      <c r="K448" s="219"/>
      <c r="L448" s="219"/>
      <c r="M448" s="219"/>
      <c r="N448" s="219"/>
      <c r="O448" s="219">
        <v>12485723.485572666</v>
      </c>
      <c r="P448" s="219">
        <v>25092462.300638042</v>
      </c>
      <c r="Q448" s="219">
        <v>31638560.158406749</v>
      </c>
      <c r="R448" s="219">
        <v>22793534.118438076</v>
      </c>
      <c r="S448" s="219">
        <v>11457460.815568607</v>
      </c>
      <c r="T448" s="219">
        <v>18389401.375303738</v>
      </c>
      <c r="U448" s="219">
        <v>6147184.8637004392</v>
      </c>
      <c r="V448" s="219">
        <v>11311864.455760911</v>
      </c>
      <c r="W448" s="219">
        <v>10438819.794455511</v>
      </c>
      <c r="X448" s="219">
        <v>7833081.5680182092</v>
      </c>
      <c r="Y448" s="219">
        <v>16033218.919863647</v>
      </c>
      <c r="Z448" s="219">
        <v>19666501.35000753</v>
      </c>
      <c r="AA448" s="219">
        <v>1644731.0549189465</v>
      </c>
      <c r="AB448" s="219">
        <v>8289067.8267340465</v>
      </c>
      <c r="AC448" s="219">
        <v>2588571.5220812014</v>
      </c>
      <c r="AD448" s="219">
        <v>4699125.4571417458</v>
      </c>
      <c r="AE448" s="219">
        <v>1193069.8274390297</v>
      </c>
      <c r="AF448" s="219">
        <v>1651283.1534982647</v>
      </c>
      <c r="AG448" s="219">
        <v>487885.11817616789</v>
      </c>
      <c r="AH448" s="219">
        <v>412822.60078340839</v>
      </c>
      <c r="AI448" s="219">
        <v>877137.05965043919</v>
      </c>
      <c r="AJ448" s="219">
        <v>224193.92783538223</v>
      </c>
      <c r="AK448" s="219">
        <v>160837.60316780856</v>
      </c>
      <c r="AL448" s="219">
        <v>108176.77600093876</v>
      </c>
      <c r="AM448" s="219">
        <v>3363523.7226241776</v>
      </c>
      <c r="AN448" s="219">
        <v>9011.8023295401981</v>
      </c>
      <c r="AO448" s="219"/>
      <c r="AP448" s="219"/>
      <c r="AQ448" s="219"/>
      <c r="AR448" s="219"/>
      <c r="AS448" s="219"/>
      <c r="AT448" s="219"/>
      <c r="AU448" s="219"/>
      <c r="AV448" s="219"/>
      <c r="AW448" s="219"/>
      <c r="AX448" s="219"/>
      <c r="AY448" s="219"/>
      <c r="AZ448" s="219"/>
      <c r="BA448" s="219"/>
      <c r="BB448" s="219"/>
      <c r="BC448" s="219"/>
      <c r="BD448" s="219"/>
      <c r="BE448" s="219"/>
      <c r="BF448" s="219"/>
      <c r="BG448" s="219"/>
      <c r="BH448" s="219"/>
      <c r="BI448" s="219"/>
      <c r="BJ448" s="219"/>
      <c r="BK448" s="219"/>
    </row>
    <row r="449" spans="1:63">
      <c r="A449" s="170">
        <v>41394</v>
      </c>
      <c r="B449" s="220" t="str">
        <f>Servicio_internaColumna_título_intereses</f>
        <v>Intereses</v>
      </c>
      <c r="C449" s="221"/>
      <c r="D449" s="222"/>
      <c r="E449" s="222"/>
      <c r="F449" s="222"/>
      <c r="G449" s="222"/>
      <c r="H449" s="222"/>
      <c r="I449" s="222"/>
      <c r="J449" s="222"/>
      <c r="K449" s="222"/>
      <c r="L449" s="222"/>
      <c r="M449" s="222"/>
      <c r="N449" s="222"/>
      <c r="O449" s="222">
        <v>12873514.520321693</v>
      </c>
      <c r="P449" s="222">
        <v>15251793.133913806</v>
      </c>
      <c r="Q449" s="222">
        <v>13118971.546726841</v>
      </c>
      <c r="R449" s="222">
        <v>10849516.7615279</v>
      </c>
      <c r="S449" s="222">
        <v>9299855.2290595807</v>
      </c>
      <c r="T449" s="222">
        <v>8861523.2334187888</v>
      </c>
      <c r="U449" s="222">
        <v>7077323.7361823497</v>
      </c>
      <c r="V449" s="222">
        <v>6832924.6223213729</v>
      </c>
      <c r="W449" s="222">
        <v>5801343.4307692535</v>
      </c>
      <c r="X449" s="222">
        <v>5298390.7392666452</v>
      </c>
      <c r="Y449" s="222">
        <v>4786673.0562461913</v>
      </c>
      <c r="Z449" s="222">
        <v>3812602.1581266727</v>
      </c>
      <c r="AA449" s="222">
        <v>1996486.3625607565</v>
      </c>
      <c r="AB449" s="222">
        <v>1923656.8452215204</v>
      </c>
      <c r="AC449" s="222">
        <v>1328417.7827157332</v>
      </c>
      <c r="AD449" s="222">
        <v>1110067.82597622</v>
      </c>
      <c r="AE449" s="222">
        <v>817885.43614646525</v>
      </c>
      <c r="AF449" s="222">
        <v>763622.07319448236</v>
      </c>
      <c r="AG449" s="222">
        <v>696321.74671210721</v>
      </c>
      <c r="AH449" s="222">
        <v>671757.07021937135</v>
      </c>
      <c r="AI449" s="222">
        <v>618140.3148773741</v>
      </c>
      <c r="AJ449" s="222">
        <v>572175.50525350741</v>
      </c>
      <c r="AK449" s="222">
        <v>560640.28789862816</v>
      </c>
      <c r="AL449" s="222">
        <v>551474.70046923752</v>
      </c>
      <c r="AM449" s="222">
        <v>544489.76199279074</v>
      </c>
      <c r="AN449" s="222">
        <v>295271.8193110709</v>
      </c>
      <c r="AO449" s="222"/>
      <c r="AP449" s="222"/>
      <c r="AQ449" s="222"/>
      <c r="AR449" s="222"/>
      <c r="AS449" s="222"/>
      <c r="AT449" s="222"/>
      <c r="AU449" s="222"/>
      <c r="AV449" s="222"/>
      <c r="AW449" s="222"/>
      <c r="AX449" s="222"/>
      <c r="AY449" s="222"/>
      <c r="AZ449" s="222"/>
      <c r="BA449" s="222"/>
      <c r="BB449" s="222"/>
      <c r="BC449" s="222"/>
      <c r="BD449" s="222"/>
      <c r="BE449" s="222"/>
      <c r="BF449" s="222"/>
      <c r="BG449" s="222"/>
      <c r="BH449" s="222"/>
      <c r="BI449" s="222"/>
      <c r="BJ449" s="222"/>
      <c r="BK449" s="222"/>
    </row>
    <row r="450" spans="1:63">
      <c r="A450" s="171"/>
      <c r="B450" s="318" t="str">
        <f>Servicio_internaColumna_título_total</f>
        <v>Total</v>
      </c>
      <c r="C450" s="319"/>
      <c r="D450" s="320"/>
      <c r="E450" s="320"/>
      <c r="F450" s="320"/>
      <c r="G450" s="320"/>
      <c r="H450" s="320"/>
      <c r="I450" s="320"/>
      <c r="J450" s="320"/>
      <c r="K450" s="320"/>
      <c r="L450" s="320"/>
      <c r="M450" s="320"/>
      <c r="N450" s="320"/>
      <c r="O450" s="320">
        <v>25359238.005894363</v>
      </c>
      <c r="P450" s="320">
        <v>40344255.43455185</v>
      </c>
      <c r="Q450" s="320">
        <v>44757531.705133587</v>
      </c>
      <c r="R450" s="320">
        <v>33643050.879965976</v>
      </c>
      <c r="S450" s="320">
        <v>20757316.044628188</v>
      </c>
      <c r="T450" s="320">
        <v>27250924.608722527</v>
      </c>
      <c r="U450" s="320">
        <v>13224508.599882789</v>
      </c>
      <c r="V450" s="320">
        <v>18144789.078082286</v>
      </c>
      <c r="W450" s="320">
        <v>16240163.225224767</v>
      </c>
      <c r="X450" s="320">
        <v>13131472.307284854</v>
      </c>
      <c r="Y450" s="320">
        <v>20819891.97610984</v>
      </c>
      <c r="Z450" s="320">
        <v>23479103.508134201</v>
      </c>
      <c r="AA450" s="320">
        <v>3641217.4174797032</v>
      </c>
      <c r="AB450" s="320">
        <v>10212724.671955567</v>
      </c>
      <c r="AC450" s="320">
        <v>3916989.3047969346</v>
      </c>
      <c r="AD450" s="320">
        <v>5809193.2831179649</v>
      </c>
      <c r="AE450" s="320">
        <v>2010955.2635854948</v>
      </c>
      <c r="AF450" s="320">
        <v>2414905.2266927473</v>
      </c>
      <c r="AG450" s="320">
        <v>1184206.864888275</v>
      </c>
      <c r="AH450" s="320">
        <v>1084579.6710027799</v>
      </c>
      <c r="AI450" s="320">
        <v>1495277.3745278132</v>
      </c>
      <c r="AJ450" s="320">
        <v>796369.43308888969</v>
      </c>
      <c r="AK450" s="320">
        <v>721477.89106643677</v>
      </c>
      <c r="AL450" s="320">
        <v>659651.47647017625</v>
      </c>
      <c r="AM450" s="320">
        <v>3908013.4846169683</v>
      </c>
      <c r="AN450" s="320">
        <v>304283.62164061109</v>
      </c>
      <c r="AO450" s="320"/>
      <c r="AP450" s="320"/>
      <c r="AQ450" s="320"/>
      <c r="AR450" s="320"/>
      <c r="AS450" s="320"/>
      <c r="AT450" s="320"/>
      <c r="AU450" s="320"/>
      <c r="AV450" s="320"/>
      <c r="AW450" s="320"/>
      <c r="AX450" s="320"/>
      <c r="AY450" s="320"/>
      <c r="AZ450" s="320"/>
      <c r="BA450" s="320"/>
      <c r="BB450" s="320"/>
      <c r="BC450" s="320"/>
      <c r="BD450" s="320"/>
      <c r="BE450" s="320"/>
      <c r="BF450" s="320"/>
      <c r="BG450" s="320"/>
      <c r="BH450" s="320"/>
      <c r="BI450" s="320"/>
      <c r="BJ450" s="320"/>
      <c r="BK450" s="320"/>
    </row>
    <row r="451" spans="1:63">
      <c r="A451" s="167"/>
      <c r="B451" s="217" t="str">
        <f>Servicio_internaColumna_título_amortizaciones</f>
        <v>Amortizaciones</v>
      </c>
      <c r="C451" s="218"/>
      <c r="D451" s="219"/>
      <c r="E451" s="219"/>
      <c r="F451" s="219"/>
      <c r="G451" s="219"/>
      <c r="H451" s="219"/>
      <c r="I451" s="219"/>
      <c r="J451" s="219"/>
      <c r="K451" s="219"/>
      <c r="L451" s="219"/>
      <c r="M451" s="219"/>
      <c r="N451" s="219"/>
      <c r="O451" s="219">
        <v>9520544.9849553462</v>
      </c>
      <c r="P451" s="219">
        <v>25158993.356113978</v>
      </c>
      <c r="Q451" s="219">
        <v>31775163.954389609</v>
      </c>
      <c r="R451" s="219">
        <v>22865061.717130605</v>
      </c>
      <c r="S451" s="219">
        <v>11907303.555083727</v>
      </c>
      <c r="T451" s="219">
        <v>19025566.162990246</v>
      </c>
      <c r="U451" s="219">
        <v>6310824.6442727018</v>
      </c>
      <c r="V451" s="219">
        <v>11409789.6169043</v>
      </c>
      <c r="W451" s="219">
        <v>10966892.089435492</v>
      </c>
      <c r="X451" s="219">
        <v>8366705.7379931631</v>
      </c>
      <c r="Y451" s="219">
        <v>16194238.373631656</v>
      </c>
      <c r="Z451" s="219">
        <v>19763221.488271948</v>
      </c>
      <c r="AA451" s="219">
        <v>1701010.4650688227</v>
      </c>
      <c r="AB451" s="219">
        <v>8322491.2569151036</v>
      </c>
      <c r="AC451" s="219">
        <v>2677119.8363561998</v>
      </c>
      <c r="AD451" s="219">
        <v>5339974.3059534831</v>
      </c>
      <c r="AE451" s="219">
        <v>1233948.612239009</v>
      </c>
      <c r="AF451" s="219">
        <v>1707869.260300457</v>
      </c>
      <c r="AG451" s="219">
        <v>504644.47467754618</v>
      </c>
      <c r="AH451" s="219">
        <v>427008.84433863818</v>
      </c>
      <c r="AI451" s="219">
        <v>907255.50039091427</v>
      </c>
      <c r="AJ451" s="219">
        <v>231915.99828217892</v>
      </c>
      <c r="AK451" s="219">
        <v>166387.85071891456</v>
      </c>
      <c r="AL451" s="219">
        <v>111922.65762211697</v>
      </c>
      <c r="AM451" s="219">
        <v>3478862.0784863252</v>
      </c>
      <c r="AN451" s="219">
        <v>9359.1793022191978</v>
      </c>
      <c r="AO451" s="219"/>
      <c r="AP451" s="219"/>
      <c r="AQ451" s="219"/>
      <c r="AR451" s="219"/>
      <c r="AS451" s="219"/>
      <c r="AT451" s="219"/>
      <c r="AU451" s="219"/>
      <c r="AV451" s="219"/>
      <c r="AW451" s="219"/>
      <c r="AX451" s="219"/>
      <c r="AY451" s="219"/>
      <c r="AZ451" s="219"/>
      <c r="BA451" s="219"/>
      <c r="BB451" s="219"/>
      <c r="BC451" s="219"/>
      <c r="BD451" s="219"/>
      <c r="BE451" s="219"/>
      <c r="BF451" s="219"/>
      <c r="BG451" s="219"/>
      <c r="BH451" s="219"/>
      <c r="BI451" s="219"/>
      <c r="BJ451" s="219"/>
      <c r="BK451" s="219"/>
    </row>
    <row r="452" spans="1:63">
      <c r="A452" s="170">
        <v>41425</v>
      </c>
      <c r="B452" s="220" t="str">
        <f>Servicio_internaColumna_título_intereses</f>
        <v>Intereses</v>
      </c>
      <c r="C452" s="221"/>
      <c r="D452" s="222"/>
      <c r="E452" s="222"/>
      <c r="F452" s="222"/>
      <c r="G452" s="222"/>
      <c r="H452" s="222"/>
      <c r="I452" s="222"/>
      <c r="J452" s="222"/>
      <c r="K452" s="222"/>
      <c r="L452" s="222"/>
      <c r="M452" s="222"/>
      <c r="N452" s="222"/>
      <c r="O452" s="222">
        <v>10887376.847263865</v>
      </c>
      <c r="P452" s="222">
        <v>15475938.530367978</v>
      </c>
      <c r="Q452" s="222">
        <v>13341916.254216904</v>
      </c>
      <c r="R452" s="222">
        <v>11087224.785168843</v>
      </c>
      <c r="S452" s="222">
        <v>9547924.5030280314</v>
      </c>
      <c r="T452" s="222">
        <v>9095122.0852321498</v>
      </c>
      <c r="U452" s="222">
        <v>7274893.0524687488</v>
      </c>
      <c r="V452" s="222">
        <v>7021364.114382932</v>
      </c>
      <c r="W452" s="222">
        <v>5983661.9173951698</v>
      </c>
      <c r="X452" s="222">
        <v>5453124.4558652565</v>
      </c>
      <c r="Y452" s="222">
        <v>4900379.4800842786</v>
      </c>
      <c r="Z452" s="222">
        <v>3918772.9159470825</v>
      </c>
      <c r="AA452" s="222">
        <v>2101419.5002536895</v>
      </c>
      <c r="AB452" s="222">
        <v>2015526.3333674162</v>
      </c>
      <c r="AC452" s="222">
        <v>1416145.412580621</v>
      </c>
      <c r="AD452" s="222">
        <v>1189171.6972227073</v>
      </c>
      <c r="AE452" s="222">
        <v>855905.97517421958</v>
      </c>
      <c r="AF452" s="222">
        <v>796443.5707617884</v>
      </c>
      <c r="AG452" s="222">
        <v>722564.12262164999</v>
      </c>
      <c r="AH452" s="222">
        <v>696208.42964422761</v>
      </c>
      <c r="AI452" s="222">
        <v>640089.44106356206</v>
      </c>
      <c r="AJ452" s="222">
        <v>592118.99604905467</v>
      </c>
      <c r="AK452" s="222">
        <v>579776.04304628551</v>
      </c>
      <c r="AL452" s="222">
        <v>569959.59353002266</v>
      </c>
      <c r="AM452" s="222">
        <v>562574.29946389247</v>
      </c>
      <c r="AN452" s="222">
        <v>304875.39699232084</v>
      </c>
      <c r="AO452" s="222"/>
      <c r="AP452" s="222"/>
      <c r="AQ452" s="222"/>
      <c r="AR452" s="222"/>
      <c r="AS452" s="222"/>
      <c r="AT452" s="222"/>
      <c r="AU452" s="222"/>
      <c r="AV452" s="222"/>
      <c r="AW452" s="222"/>
      <c r="AX452" s="222"/>
      <c r="AY452" s="222"/>
      <c r="AZ452" s="222"/>
      <c r="BA452" s="222"/>
      <c r="BB452" s="222"/>
      <c r="BC452" s="222"/>
      <c r="BD452" s="222"/>
      <c r="BE452" s="222"/>
      <c r="BF452" s="222"/>
      <c r="BG452" s="222"/>
      <c r="BH452" s="222"/>
      <c r="BI452" s="222"/>
      <c r="BJ452" s="222"/>
      <c r="BK452" s="222"/>
    </row>
    <row r="453" spans="1:63">
      <c r="A453" s="171"/>
      <c r="B453" s="318" t="str">
        <f>Servicio_internaColumna_título_total</f>
        <v>Total</v>
      </c>
      <c r="C453" s="319"/>
      <c r="D453" s="320"/>
      <c r="E453" s="320"/>
      <c r="F453" s="320"/>
      <c r="G453" s="320"/>
      <c r="H453" s="320"/>
      <c r="I453" s="320"/>
      <c r="J453" s="320"/>
      <c r="K453" s="320"/>
      <c r="L453" s="320"/>
      <c r="M453" s="320"/>
      <c r="N453" s="320"/>
      <c r="O453" s="320">
        <v>20407921.832219213</v>
      </c>
      <c r="P453" s="320">
        <v>40634931.886481956</v>
      </c>
      <c r="Q453" s="320">
        <v>45117080.208606519</v>
      </c>
      <c r="R453" s="320">
        <v>33952286.50229945</v>
      </c>
      <c r="S453" s="320">
        <v>21455228.058111757</v>
      </c>
      <c r="T453" s="320">
        <v>28120688.248222396</v>
      </c>
      <c r="U453" s="320">
        <v>13585717.696741451</v>
      </c>
      <c r="V453" s="320">
        <v>18431153.731287234</v>
      </c>
      <c r="W453" s="320">
        <v>16950554.006830662</v>
      </c>
      <c r="X453" s="320">
        <v>13819830.193858419</v>
      </c>
      <c r="Y453" s="320">
        <v>21094617.853715934</v>
      </c>
      <c r="Z453" s="320">
        <v>23681994.404219031</v>
      </c>
      <c r="AA453" s="320">
        <v>3802429.9653225122</v>
      </c>
      <c r="AB453" s="320">
        <v>10338017.59028252</v>
      </c>
      <c r="AC453" s="320">
        <v>4093265.2489368212</v>
      </c>
      <c r="AD453" s="320">
        <v>6529146.00317619</v>
      </c>
      <c r="AE453" s="320">
        <v>2089854.5874132286</v>
      </c>
      <c r="AF453" s="320">
        <v>2504312.8310622456</v>
      </c>
      <c r="AG453" s="320">
        <v>1227208.5972991963</v>
      </c>
      <c r="AH453" s="320">
        <v>1123217.273982866</v>
      </c>
      <c r="AI453" s="320">
        <v>1547344.9414544764</v>
      </c>
      <c r="AJ453" s="320">
        <v>824034.99433123355</v>
      </c>
      <c r="AK453" s="320">
        <v>746163.89376520005</v>
      </c>
      <c r="AL453" s="320">
        <v>681882.25115213962</v>
      </c>
      <c r="AM453" s="320">
        <v>4041436.3779502176</v>
      </c>
      <c r="AN453" s="320">
        <v>314234.57629454002</v>
      </c>
      <c r="AO453" s="320"/>
      <c r="AP453" s="320"/>
      <c r="AQ453" s="320"/>
      <c r="AR453" s="320"/>
      <c r="AS453" s="320"/>
      <c r="AT453" s="320"/>
      <c r="AU453" s="320"/>
      <c r="AV453" s="320"/>
      <c r="AW453" s="320"/>
      <c r="AX453" s="320"/>
      <c r="AY453" s="320"/>
      <c r="AZ453" s="320"/>
      <c r="BA453" s="320"/>
      <c r="BB453" s="320"/>
      <c r="BC453" s="320"/>
      <c r="BD453" s="320"/>
      <c r="BE453" s="320"/>
      <c r="BF453" s="320"/>
      <c r="BG453" s="320"/>
      <c r="BH453" s="320"/>
      <c r="BI453" s="320"/>
      <c r="BJ453" s="320"/>
      <c r="BK453" s="320"/>
    </row>
    <row r="454" spans="1:63">
      <c r="A454" s="167"/>
      <c r="B454" s="217" t="str">
        <f>Servicio_internaColumna_título_amortizaciones</f>
        <v>Amortizaciones</v>
      </c>
      <c r="C454" s="218"/>
      <c r="D454" s="219"/>
      <c r="E454" s="219"/>
      <c r="F454" s="219"/>
      <c r="G454" s="219"/>
      <c r="H454" s="219"/>
      <c r="I454" s="219"/>
      <c r="J454" s="219"/>
      <c r="K454" s="219"/>
      <c r="L454" s="219"/>
      <c r="M454" s="219"/>
      <c r="N454" s="219"/>
      <c r="O454" s="219">
        <v>7587200.5205695396</v>
      </c>
      <c r="P454" s="219">
        <v>25140704.486599755</v>
      </c>
      <c r="Q454" s="219">
        <v>31723140.479237467</v>
      </c>
      <c r="R454" s="219">
        <v>22933090.917796545</v>
      </c>
      <c r="S454" s="219">
        <v>12010311.607053082</v>
      </c>
      <c r="T454" s="219">
        <v>19642005.017689381</v>
      </c>
      <c r="U454" s="219">
        <v>6540624.6766663352</v>
      </c>
      <c r="V454" s="219">
        <v>11508442.249234434</v>
      </c>
      <c r="W454" s="219">
        <v>11151174.963678198</v>
      </c>
      <c r="X454" s="219">
        <v>9114075.2466384992</v>
      </c>
      <c r="Y454" s="219">
        <v>16339410.662895519</v>
      </c>
      <c r="Z454" s="219">
        <v>19864953.261662029</v>
      </c>
      <c r="AA454" s="219">
        <v>1782720.5218373053</v>
      </c>
      <c r="AB454" s="219">
        <v>8954695.7934023533</v>
      </c>
      <c r="AC454" s="219">
        <v>2798257.2784532295</v>
      </c>
      <c r="AD454" s="219">
        <v>5791231.6153080696</v>
      </c>
      <c r="AE454" s="219">
        <v>1296731.2045052666</v>
      </c>
      <c r="AF454" s="219">
        <v>1778456.654956274</v>
      </c>
      <c r="AG454" s="219">
        <v>555282.10060719447</v>
      </c>
      <c r="AH454" s="219">
        <v>476368.03230748035</v>
      </c>
      <c r="AI454" s="219">
        <v>1528714.6604930437</v>
      </c>
      <c r="AJ454" s="219">
        <v>235762.29327161884</v>
      </c>
      <c r="AK454" s="219">
        <v>169129.24575691737</v>
      </c>
      <c r="AL454" s="219">
        <v>113766.47672257357</v>
      </c>
      <c r="AM454" s="219">
        <v>3536154.0158818299</v>
      </c>
      <c r="AN454" s="219">
        <v>9513.3117462651971</v>
      </c>
      <c r="AO454" s="219"/>
      <c r="AP454" s="219"/>
      <c r="AQ454" s="219"/>
      <c r="AR454" s="219"/>
      <c r="AS454" s="219"/>
      <c r="AT454" s="219"/>
      <c r="AU454" s="219"/>
      <c r="AV454" s="219"/>
      <c r="AW454" s="219"/>
      <c r="AX454" s="219"/>
      <c r="AY454" s="219"/>
      <c r="AZ454" s="219"/>
      <c r="BA454" s="219"/>
      <c r="BB454" s="219"/>
      <c r="BC454" s="219"/>
      <c r="BD454" s="219"/>
      <c r="BE454" s="219"/>
      <c r="BF454" s="219"/>
      <c r="BG454" s="219"/>
      <c r="BH454" s="219"/>
      <c r="BI454" s="219"/>
      <c r="BJ454" s="219"/>
      <c r="BK454" s="219"/>
    </row>
    <row r="455" spans="1:63">
      <c r="A455" s="170">
        <v>41455</v>
      </c>
      <c r="B455" s="220" t="str">
        <f>Servicio_internaColumna_título_intereses</f>
        <v>Intereses</v>
      </c>
      <c r="C455" s="221"/>
      <c r="D455" s="222"/>
      <c r="E455" s="222"/>
      <c r="F455" s="222"/>
      <c r="G455" s="222"/>
      <c r="H455" s="222"/>
      <c r="I455" s="222"/>
      <c r="J455" s="222"/>
      <c r="K455" s="222"/>
      <c r="L455" s="222"/>
      <c r="M455" s="222"/>
      <c r="N455" s="222"/>
      <c r="O455" s="222">
        <v>9162261.4378856029</v>
      </c>
      <c r="P455" s="222">
        <v>15622847.576167865</v>
      </c>
      <c r="Q455" s="222">
        <v>13539728.837041704</v>
      </c>
      <c r="R455" s="222">
        <v>11364866.779918578</v>
      </c>
      <c r="S455" s="222">
        <v>9863195.7210849114</v>
      </c>
      <c r="T455" s="222">
        <v>9411020.7967329714</v>
      </c>
      <c r="U455" s="222">
        <v>7535433.4040684626</v>
      </c>
      <c r="V455" s="222">
        <v>7281449.6230974337</v>
      </c>
      <c r="W455" s="222">
        <v>6225092.700270812</v>
      </c>
      <c r="X455" s="222">
        <v>5676777.7217053426</v>
      </c>
      <c r="Y455" s="222">
        <v>5066634.8019606499</v>
      </c>
      <c r="Z455" s="222">
        <v>4076659.6391218011</v>
      </c>
      <c r="AA455" s="222">
        <v>2246169.2077875035</v>
      </c>
      <c r="AB455" s="222">
        <v>2134226.006422753</v>
      </c>
      <c r="AC455" s="222">
        <v>1512520.527002037</v>
      </c>
      <c r="AD455" s="222">
        <v>1273717.8653511074</v>
      </c>
      <c r="AE455" s="222">
        <v>910574.53284400795</v>
      </c>
      <c r="AF455" s="222">
        <v>845481.45941097708</v>
      </c>
      <c r="AG455" s="222">
        <v>765848.49649470206</v>
      </c>
      <c r="AH455" s="222">
        <v>736493.49406046292</v>
      </c>
      <c r="AI455" s="222">
        <v>677300.00729054143</v>
      </c>
      <c r="AJ455" s="222">
        <v>602100.516649144</v>
      </c>
      <c r="AK455" s="222">
        <v>589293.14393338375</v>
      </c>
      <c r="AL455" s="222">
        <v>579135.3618701956</v>
      </c>
      <c r="AM455" s="222">
        <v>571557.57970622007</v>
      </c>
      <c r="AN455" s="222">
        <v>309647.27009066945</v>
      </c>
      <c r="AO455" s="222"/>
      <c r="AP455" s="222"/>
      <c r="AQ455" s="222"/>
      <c r="AR455" s="222"/>
      <c r="AS455" s="222"/>
      <c r="AT455" s="222"/>
      <c r="AU455" s="222"/>
      <c r="AV455" s="222"/>
      <c r="AW455" s="222"/>
      <c r="AX455" s="222"/>
      <c r="AY455" s="222"/>
      <c r="AZ455" s="222"/>
      <c r="BA455" s="222"/>
      <c r="BB455" s="222"/>
      <c r="BC455" s="222"/>
      <c r="BD455" s="222"/>
      <c r="BE455" s="222"/>
      <c r="BF455" s="222"/>
      <c r="BG455" s="222"/>
      <c r="BH455" s="222"/>
      <c r="BI455" s="222"/>
      <c r="BJ455" s="222"/>
      <c r="BK455" s="222"/>
    </row>
    <row r="456" spans="1:63">
      <c r="A456" s="171"/>
      <c r="B456" s="318" t="str">
        <f>Servicio_internaColumna_título_total</f>
        <v>Total</v>
      </c>
      <c r="C456" s="319"/>
      <c r="D456" s="320"/>
      <c r="E456" s="320"/>
      <c r="F456" s="320"/>
      <c r="G456" s="320"/>
      <c r="H456" s="320"/>
      <c r="I456" s="320"/>
      <c r="J456" s="320"/>
      <c r="K456" s="320"/>
      <c r="L456" s="320"/>
      <c r="M456" s="320"/>
      <c r="N456" s="320"/>
      <c r="O456" s="320">
        <v>16749461.958455142</v>
      </c>
      <c r="P456" s="320">
        <v>40763552.062767617</v>
      </c>
      <c r="Q456" s="320">
        <v>45262869.316279173</v>
      </c>
      <c r="R456" s="320">
        <v>34297957.697715119</v>
      </c>
      <c r="S456" s="320">
        <v>21873507.328137994</v>
      </c>
      <c r="T456" s="320">
        <v>29053025.814422354</v>
      </c>
      <c r="U456" s="320">
        <v>14076058.080734797</v>
      </c>
      <c r="V456" s="320">
        <v>18789891.872331869</v>
      </c>
      <c r="W456" s="320">
        <v>17376267.663949009</v>
      </c>
      <c r="X456" s="320">
        <v>14790852.968343843</v>
      </c>
      <c r="Y456" s="320">
        <v>21406045.46485617</v>
      </c>
      <c r="Z456" s="320">
        <v>23941612.900783829</v>
      </c>
      <c r="AA456" s="320">
        <v>4028889.7296248088</v>
      </c>
      <c r="AB456" s="320">
        <v>11088921.799825106</v>
      </c>
      <c r="AC456" s="320">
        <v>4310777.8054552665</v>
      </c>
      <c r="AD456" s="320">
        <v>7064949.4806591775</v>
      </c>
      <c r="AE456" s="320">
        <v>2207305.7373492746</v>
      </c>
      <c r="AF456" s="320">
        <v>2623938.1143672513</v>
      </c>
      <c r="AG456" s="320">
        <v>1321130.5971018968</v>
      </c>
      <c r="AH456" s="320">
        <v>1212861.5263679435</v>
      </c>
      <c r="AI456" s="320">
        <v>2206014.6677835854</v>
      </c>
      <c r="AJ456" s="320">
        <v>837862.80992076278</v>
      </c>
      <c r="AK456" s="320">
        <v>758422.38969030115</v>
      </c>
      <c r="AL456" s="320">
        <v>692901.83859276923</v>
      </c>
      <c r="AM456" s="320">
        <v>4107711.5955880499</v>
      </c>
      <c r="AN456" s="320">
        <v>319160.58183693467</v>
      </c>
      <c r="AO456" s="320"/>
      <c r="AP456" s="320"/>
      <c r="AQ456" s="320"/>
      <c r="AR456" s="320"/>
      <c r="AS456" s="320"/>
      <c r="AT456" s="320"/>
      <c r="AU456" s="320"/>
      <c r="AV456" s="320"/>
      <c r="AW456" s="320"/>
      <c r="AX456" s="320"/>
      <c r="AY456" s="320"/>
      <c r="AZ456" s="320"/>
      <c r="BA456" s="320"/>
      <c r="BB456" s="320"/>
      <c r="BC456" s="320"/>
      <c r="BD456" s="320"/>
      <c r="BE456" s="320"/>
      <c r="BF456" s="320"/>
      <c r="BG456" s="320"/>
      <c r="BH456" s="320"/>
      <c r="BI456" s="320"/>
      <c r="BJ456" s="320"/>
      <c r="BK456" s="320"/>
    </row>
    <row r="457" spans="1:63">
      <c r="A457" s="167"/>
      <c r="B457" s="217" t="str">
        <f>Servicio_internaColumna_título_amortizaciones</f>
        <v>Amortizaciones</v>
      </c>
      <c r="C457" s="218"/>
      <c r="D457" s="219"/>
      <c r="E457" s="219"/>
      <c r="F457" s="219"/>
      <c r="G457" s="219"/>
      <c r="H457" s="219"/>
      <c r="I457" s="219"/>
      <c r="J457" s="219"/>
      <c r="K457" s="219"/>
      <c r="L457" s="219"/>
      <c r="M457" s="219"/>
      <c r="N457" s="219"/>
      <c r="O457" s="219">
        <v>7595022.8166081477</v>
      </c>
      <c r="P457" s="219">
        <v>25248039.545475993</v>
      </c>
      <c r="Q457" s="219">
        <v>31694039.919746175</v>
      </c>
      <c r="R457" s="219">
        <v>23154903.306664102</v>
      </c>
      <c r="S457" s="219">
        <v>11959388.79054771</v>
      </c>
      <c r="T457" s="219">
        <v>20179419.085979879</v>
      </c>
      <c r="U457" s="219">
        <v>6400965.9730516365</v>
      </c>
      <c r="V457" s="219">
        <v>11423237.888468776</v>
      </c>
      <c r="W457" s="219">
        <v>11130187.758617187</v>
      </c>
      <c r="X457" s="219">
        <v>10220914.628624834</v>
      </c>
      <c r="Y457" s="219">
        <v>16271372.909106087</v>
      </c>
      <c r="Z457" s="219">
        <v>19836216.02180206</v>
      </c>
      <c r="AA457" s="219">
        <v>1718148.358608447</v>
      </c>
      <c r="AB457" s="219">
        <v>8892310.7154904306</v>
      </c>
      <c r="AC457" s="219">
        <v>2773513.0900538508</v>
      </c>
      <c r="AD457" s="219">
        <v>6484541.3589538746</v>
      </c>
      <c r="AE457" s="219">
        <v>1251474.9939370211</v>
      </c>
      <c r="AF457" s="219">
        <v>1736449.4828449639</v>
      </c>
      <c r="AG457" s="219">
        <v>489206.02543682163</v>
      </c>
      <c r="AH457" s="219">
        <v>411617.70593228942</v>
      </c>
      <c r="AI457" s="219">
        <v>1994470.3139000386</v>
      </c>
      <c r="AJ457" s="219">
        <v>231764.02028572196</v>
      </c>
      <c r="AK457" s="219">
        <v>166250.40159233549</v>
      </c>
      <c r="AL457" s="219">
        <v>111816.77725449331</v>
      </c>
      <c r="AM457" s="219">
        <v>3476708.5332860318</v>
      </c>
      <c r="AN457" s="219">
        <v>9315.0554725253969</v>
      </c>
      <c r="AO457" s="219">
        <v>9315.0554725253969</v>
      </c>
      <c r="AP457" s="219">
        <v>9315.0554725253969</v>
      </c>
      <c r="AQ457" s="219">
        <v>4735140.0554725258</v>
      </c>
      <c r="AR457" s="219">
        <v>9315.0554725253969</v>
      </c>
      <c r="AS457" s="219">
        <v>5917.7480072099997</v>
      </c>
      <c r="AT457" s="219"/>
      <c r="AU457" s="219"/>
      <c r="AV457" s="219"/>
      <c r="AW457" s="219"/>
      <c r="AX457" s="219"/>
      <c r="AY457" s="219"/>
      <c r="AZ457" s="219"/>
      <c r="BA457" s="219"/>
      <c r="BB457" s="219"/>
      <c r="BC457" s="219"/>
      <c r="BD457" s="219"/>
      <c r="BE457" s="219"/>
      <c r="BF457" s="219"/>
      <c r="BG457" s="219"/>
      <c r="BH457" s="219"/>
      <c r="BI457" s="219"/>
      <c r="BJ457" s="219"/>
      <c r="BK457" s="219"/>
    </row>
    <row r="458" spans="1:63">
      <c r="A458" s="170">
        <v>41486</v>
      </c>
      <c r="B458" s="220" t="str">
        <f>Servicio_internaColumna_título_intereses</f>
        <v>Intereses</v>
      </c>
      <c r="C458" s="221"/>
      <c r="D458" s="222"/>
      <c r="E458" s="222"/>
      <c r="F458" s="222"/>
      <c r="G458" s="222"/>
      <c r="H458" s="222"/>
      <c r="I458" s="222"/>
      <c r="J458" s="222"/>
      <c r="K458" s="222"/>
      <c r="L458" s="222"/>
      <c r="M458" s="222"/>
      <c r="N458" s="222"/>
      <c r="O458" s="222">
        <v>6183607.1697764043</v>
      </c>
      <c r="P458" s="222">
        <v>15838606.515804147</v>
      </c>
      <c r="Q458" s="222">
        <v>13880615.738146238</v>
      </c>
      <c r="R458" s="222">
        <v>11766494.285955191</v>
      </c>
      <c r="S458" s="222">
        <v>10309778.667498196</v>
      </c>
      <c r="T458" s="222">
        <v>9939480.6891115084</v>
      </c>
      <c r="U458" s="222">
        <v>8071879.0813643122</v>
      </c>
      <c r="V458" s="222">
        <v>7833730.7859872961</v>
      </c>
      <c r="W458" s="222">
        <v>6778599.2481414843</v>
      </c>
      <c r="X458" s="222">
        <v>6232643.7705738097</v>
      </c>
      <c r="Y458" s="222">
        <v>5527970.0446098344</v>
      </c>
      <c r="Z458" s="222">
        <v>4470940.6267759604</v>
      </c>
      <c r="AA458" s="222">
        <v>2631694.4501905311</v>
      </c>
      <c r="AB458" s="222">
        <v>2479630.7884047078</v>
      </c>
      <c r="AC458" s="222">
        <v>1817094.6566270129</v>
      </c>
      <c r="AD458" s="222">
        <v>1547160.9783475471</v>
      </c>
      <c r="AE458" s="222">
        <v>1091282.3315876529</v>
      </c>
      <c r="AF458" s="222">
        <v>1012112.4807088682</v>
      </c>
      <c r="AG458" s="222">
        <v>918120.37209605891</v>
      </c>
      <c r="AH458" s="222">
        <v>816636.87249064748</v>
      </c>
      <c r="AI458" s="222">
        <v>715586.37074665807</v>
      </c>
      <c r="AJ458" s="222">
        <v>607397.01901581767</v>
      </c>
      <c r="AK458" s="222">
        <v>588696.71715070191</v>
      </c>
      <c r="AL458" s="222">
        <v>577374.26757570461</v>
      </c>
      <c r="AM458" s="222">
        <v>568717.50595658843</v>
      </c>
      <c r="AN458" s="222">
        <v>310271.24909931852</v>
      </c>
      <c r="AO458" s="222">
        <v>294285.14960156905</v>
      </c>
      <c r="AP458" s="222">
        <v>293429.18944439874</v>
      </c>
      <c r="AQ458" s="222">
        <v>147832.22885680079</v>
      </c>
      <c r="AR458" s="222">
        <v>2261.6430418178998</v>
      </c>
      <c r="AS458" s="222">
        <v>1423.5111539766001</v>
      </c>
      <c r="AT458" s="222"/>
      <c r="AU458" s="222"/>
      <c r="AV458" s="222"/>
      <c r="AW458" s="222"/>
      <c r="AX458" s="222"/>
      <c r="AY458" s="222"/>
      <c r="AZ458" s="222"/>
      <c r="BA458" s="222"/>
      <c r="BB458" s="222"/>
      <c r="BC458" s="222"/>
      <c r="BD458" s="222"/>
      <c r="BE458" s="222"/>
      <c r="BF458" s="222"/>
      <c r="BG458" s="222"/>
      <c r="BH458" s="222"/>
      <c r="BI458" s="222"/>
      <c r="BJ458" s="222"/>
      <c r="BK458" s="222"/>
    </row>
    <row r="459" spans="1:63">
      <c r="A459" s="171"/>
      <c r="B459" s="318" t="str">
        <f>Servicio_internaColumna_título_total</f>
        <v>Total</v>
      </c>
      <c r="C459" s="319"/>
      <c r="D459" s="320"/>
      <c r="E459" s="320"/>
      <c r="F459" s="320"/>
      <c r="G459" s="320"/>
      <c r="H459" s="320"/>
      <c r="I459" s="320"/>
      <c r="J459" s="320"/>
      <c r="K459" s="320"/>
      <c r="L459" s="320"/>
      <c r="M459" s="320"/>
      <c r="N459" s="320"/>
      <c r="O459" s="320">
        <v>13778629.986384552</v>
      </c>
      <c r="P459" s="320">
        <v>41086646.061280139</v>
      </c>
      <c r="Q459" s="320">
        <v>45574655.657892413</v>
      </c>
      <c r="R459" s="320">
        <v>34921397.592619292</v>
      </c>
      <c r="S459" s="320">
        <v>22269167.458045907</v>
      </c>
      <c r="T459" s="320">
        <v>30118899.775091387</v>
      </c>
      <c r="U459" s="320">
        <v>14472845.054415949</v>
      </c>
      <c r="V459" s="320">
        <v>19256968.674456071</v>
      </c>
      <c r="W459" s="320">
        <v>17908787.006758671</v>
      </c>
      <c r="X459" s="320">
        <v>16453558.399198644</v>
      </c>
      <c r="Y459" s="320">
        <v>21799342.95371592</v>
      </c>
      <c r="Z459" s="320">
        <v>24307156.648578022</v>
      </c>
      <c r="AA459" s="320">
        <v>4349842.8087989781</v>
      </c>
      <c r="AB459" s="320">
        <v>11371941.503895137</v>
      </c>
      <c r="AC459" s="320">
        <v>4590607.7466808632</v>
      </c>
      <c r="AD459" s="320">
        <v>8031702.3373014219</v>
      </c>
      <c r="AE459" s="320">
        <v>2342757.3255246738</v>
      </c>
      <c r="AF459" s="320">
        <v>2748561.9635538319</v>
      </c>
      <c r="AG459" s="320">
        <v>1407326.3975328805</v>
      </c>
      <c r="AH459" s="320">
        <v>1228254.5784229368</v>
      </c>
      <c r="AI459" s="320">
        <v>2710056.6846466968</v>
      </c>
      <c r="AJ459" s="320">
        <v>839161.03930153965</v>
      </c>
      <c r="AK459" s="320">
        <v>754947.11874303734</v>
      </c>
      <c r="AL459" s="320">
        <v>689191.04483019793</v>
      </c>
      <c r="AM459" s="320">
        <v>4045426.0392426201</v>
      </c>
      <c r="AN459" s="320">
        <v>319586.30457184394</v>
      </c>
      <c r="AO459" s="320">
        <v>303600.20507409447</v>
      </c>
      <c r="AP459" s="320">
        <v>302744.24491692416</v>
      </c>
      <c r="AQ459" s="320">
        <v>4882972.2843293268</v>
      </c>
      <c r="AR459" s="320">
        <v>11576.698514343298</v>
      </c>
      <c r="AS459" s="320">
        <v>7341.2591611866001</v>
      </c>
      <c r="AT459" s="320"/>
      <c r="AU459" s="320"/>
      <c r="AV459" s="320"/>
      <c r="AW459" s="320"/>
      <c r="AX459" s="320"/>
      <c r="AY459" s="320"/>
      <c r="AZ459" s="320"/>
      <c r="BA459" s="320"/>
      <c r="BB459" s="320"/>
      <c r="BC459" s="320"/>
      <c r="BD459" s="320"/>
      <c r="BE459" s="320"/>
      <c r="BF459" s="320"/>
      <c r="BG459" s="320"/>
      <c r="BH459" s="320"/>
      <c r="BI459" s="320"/>
      <c r="BJ459" s="320"/>
      <c r="BK459" s="320"/>
    </row>
    <row r="460" spans="1:63">
      <c r="A460" s="167"/>
      <c r="B460" s="217" t="str">
        <f>Servicio_internaColumna_título_amortizaciones</f>
        <v>Amortizaciones</v>
      </c>
      <c r="C460" s="218"/>
      <c r="D460" s="219"/>
      <c r="E460" s="219"/>
      <c r="F460" s="219"/>
      <c r="G460" s="219"/>
      <c r="H460" s="219"/>
      <c r="I460" s="219"/>
      <c r="J460" s="219"/>
      <c r="K460" s="219"/>
      <c r="L460" s="219"/>
      <c r="M460" s="219"/>
      <c r="N460" s="219"/>
      <c r="O460" s="219">
        <v>8237325.9001709502</v>
      </c>
      <c r="P460" s="219">
        <v>26245817.850134753</v>
      </c>
      <c r="Q460" s="219">
        <v>32189085.170274403</v>
      </c>
      <c r="R460" s="219">
        <v>23731243.796543278</v>
      </c>
      <c r="S460" s="219">
        <v>12371885.61388066</v>
      </c>
      <c r="T460" s="219">
        <v>21331149.92528218</v>
      </c>
      <c r="U460" s="219">
        <v>6673734.6322410479</v>
      </c>
      <c r="V460" s="219">
        <v>11721643.254114326</v>
      </c>
      <c r="W460" s="219">
        <v>8030893.4498855509</v>
      </c>
      <c r="X460" s="219">
        <v>12369416.361823849</v>
      </c>
      <c r="Y460" s="219">
        <v>15384615.036816508</v>
      </c>
      <c r="Z460" s="219">
        <v>19848437.594015621</v>
      </c>
      <c r="AA460" s="219">
        <v>2188619.9886597041</v>
      </c>
      <c r="AB460" s="219">
        <v>8293756.9326344877</v>
      </c>
      <c r="AC460" s="219">
        <v>3030605.5552530983</v>
      </c>
      <c r="AD460" s="219">
        <v>6971738.6625054339</v>
      </c>
      <c r="AE460" s="219">
        <v>1390143.2175386003</v>
      </c>
      <c r="AF460" s="219">
        <v>1406667.9979361373</v>
      </c>
      <c r="AG460" s="219">
        <v>663379.97763117554</v>
      </c>
      <c r="AH460" s="219">
        <v>419926.00872792734</v>
      </c>
      <c r="AI460" s="219">
        <v>2286640.746415799</v>
      </c>
      <c r="AJ460" s="219">
        <v>232029.20313336755</v>
      </c>
      <c r="AK460" s="219">
        <v>169166.14430983816</v>
      </c>
      <c r="AL460" s="219">
        <v>115514.99111094976</v>
      </c>
      <c r="AM460" s="219">
        <v>3583525.9185835933</v>
      </c>
      <c r="AN460" s="219">
        <v>708.19089496319998</v>
      </c>
      <c r="AO460" s="219">
        <v>708.19089496319998</v>
      </c>
      <c r="AP460" s="219">
        <v>708.19089496319998</v>
      </c>
      <c r="AQ460" s="219">
        <v>4858308.1908949632</v>
      </c>
      <c r="AR460" s="219">
        <v>708.19089496319998</v>
      </c>
      <c r="AS460" s="219">
        <v>708.19089496319998</v>
      </c>
      <c r="AT460" s="219"/>
      <c r="AU460" s="219"/>
      <c r="AV460" s="219"/>
      <c r="AW460" s="219"/>
      <c r="AX460" s="219"/>
      <c r="AY460" s="219"/>
      <c r="AZ460" s="219"/>
      <c r="BA460" s="219"/>
      <c r="BB460" s="219"/>
      <c r="BC460" s="219"/>
      <c r="BD460" s="219"/>
      <c r="BE460" s="219"/>
      <c r="BF460" s="219"/>
      <c r="BG460" s="219"/>
      <c r="BH460" s="219"/>
      <c r="BI460" s="219"/>
      <c r="BJ460" s="219"/>
      <c r="BK460" s="219"/>
    </row>
    <row r="461" spans="1:63">
      <c r="A461" s="170">
        <v>41517</v>
      </c>
      <c r="B461" s="220" t="str">
        <f>Servicio_internaColumna_título_intereses</f>
        <v>Intereses</v>
      </c>
      <c r="C461" s="221"/>
      <c r="D461" s="222"/>
      <c r="E461" s="222"/>
      <c r="F461" s="222"/>
      <c r="G461" s="222"/>
      <c r="H461" s="222"/>
      <c r="I461" s="222"/>
      <c r="J461" s="222"/>
      <c r="K461" s="222"/>
      <c r="L461" s="222"/>
      <c r="M461" s="222"/>
      <c r="N461" s="222"/>
      <c r="O461" s="222">
        <v>5627974.1947499411</v>
      </c>
      <c r="P461" s="222">
        <v>16004236.942351632</v>
      </c>
      <c r="Q461" s="222">
        <v>13975831.87731831</v>
      </c>
      <c r="R461" s="222">
        <v>11782884.933815328</v>
      </c>
      <c r="S461" s="222">
        <v>10234130.814279636</v>
      </c>
      <c r="T461" s="222">
        <v>9803622.5318405554</v>
      </c>
      <c r="U461" s="222">
        <v>7854177.1714033633</v>
      </c>
      <c r="V461" s="222">
        <v>7598253.583368008</v>
      </c>
      <c r="W461" s="222">
        <v>6540844.2136954684</v>
      </c>
      <c r="X461" s="222">
        <v>5978558.6396059282</v>
      </c>
      <c r="Y461" s="222">
        <v>5198500.8862817781</v>
      </c>
      <c r="Z461" s="222">
        <v>4209559.6860480979</v>
      </c>
      <c r="AA461" s="222">
        <v>2380574.0917132762</v>
      </c>
      <c r="AB461" s="222">
        <v>2258966.9866553643</v>
      </c>
      <c r="AC461" s="222">
        <v>1635060.9136973242</v>
      </c>
      <c r="AD461" s="222">
        <v>1393717.4724285142</v>
      </c>
      <c r="AE461" s="222">
        <v>962664.31050058187</v>
      </c>
      <c r="AF461" s="222">
        <v>895788.7537735498</v>
      </c>
      <c r="AG461" s="222">
        <v>814005.63164562907</v>
      </c>
      <c r="AH461" s="222">
        <v>788427.86488680611</v>
      </c>
      <c r="AI461" s="222">
        <v>732217.6147360435</v>
      </c>
      <c r="AJ461" s="222">
        <v>609447.25882731541</v>
      </c>
      <c r="AK461" s="222">
        <v>596036.8092212301</v>
      </c>
      <c r="AL461" s="222">
        <v>585370.15945783304</v>
      </c>
      <c r="AM461" s="222">
        <v>577481.26931735943</v>
      </c>
      <c r="AN461" s="222">
        <v>312772.5794610352</v>
      </c>
      <c r="AO461" s="222">
        <v>297615.5052532992</v>
      </c>
      <c r="AP461" s="222">
        <v>297604.24957232643</v>
      </c>
      <c r="AQ461" s="222">
        <v>148826.75706370559</v>
      </c>
      <c r="AR461" s="222">
        <v>51.354469478399999</v>
      </c>
      <c r="AS461" s="222">
        <v>40.562261836800005</v>
      </c>
      <c r="AT461" s="222"/>
      <c r="AU461" s="222"/>
      <c r="AV461" s="222"/>
      <c r="AW461" s="222"/>
      <c r="AX461" s="222"/>
      <c r="AY461" s="222"/>
      <c r="AZ461" s="222"/>
      <c r="BA461" s="222"/>
      <c r="BB461" s="222"/>
      <c r="BC461" s="222"/>
      <c r="BD461" s="222"/>
      <c r="BE461" s="222"/>
      <c r="BF461" s="222"/>
      <c r="BG461" s="222"/>
      <c r="BH461" s="222"/>
      <c r="BI461" s="222"/>
      <c r="BJ461" s="222"/>
      <c r="BK461" s="222"/>
    </row>
    <row r="462" spans="1:63">
      <c r="A462" s="171"/>
      <c r="B462" s="318" t="str">
        <f>Servicio_internaColumna_título_total</f>
        <v>Total</v>
      </c>
      <c r="C462" s="319"/>
      <c r="D462" s="320"/>
      <c r="E462" s="320"/>
      <c r="F462" s="320"/>
      <c r="G462" s="320"/>
      <c r="H462" s="320"/>
      <c r="I462" s="320"/>
      <c r="J462" s="320"/>
      <c r="K462" s="320"/>
      <c r="L462" s="320"/>
      <c r="M462" s="320"/>
      <c r="N462" s="320"/>
      <c r="O462" s="320">
        <v>13865300.094920892</v>
      </c>
      <c r="P462" s="320">
        <v>42250054.792486385</v>
      </c>
      <c r="Q462" s="320">
        <v>46164917.047592714</v>
      </c>
      <c r="R462" s="320">
        <v>35514128.730358608</v>
      </c>
      <c r="S462" s="320">
        <v>22606016.428160295</v>
      </c>
      <c r="T462" s="320">
        <v>31134772.457122736</v>
      </c>
      <c r="U462" s="320">
        <v>14527911.803644411</v>
      </c>
      <c r="V462" s="320">
        <v>19319896.837482333</v>
      </c>
      <c r="W462" s="320">
        <v>14571737.663581019</v>
      </c>
      <c r="X462" s="320">
        <v>18347975.001429778</v>
      </c>
      <c r="Y462" s="320">
        <v>20583115.923098285</v>
      </c>
      <c r="Z462" s="320">
        <v>24057997.280063719</v>
      </c>
      <c r="AA462" s="320">
        <v>4569194.0803729799</v>
      </c>
      <c r="AB462" s="320">
        <v>10552723.919289853</v>
      </c>
      <c r="AC462" s="320">
        <v>4665666.4689504225</v>
      </c>
      <c r="AD462" s="320">
        <v>8365456.1349339485</v>
      </c>
      <c r="AE462" s="320">
        <v>2352807.5280391825</v>
      </c>
      <c r="AF462" s="320">
        <v>2302456.7517096871</v>
      </c>
      <c r="AG462" s="320">
        <v>1477385.6092768044</v>
      </c>
      <c r="AH462" s="320">
        <v>1208353.8736147336</v>
      </c>
      <c r="AI462" s="320">
        <v>3018858.3611518424</v>
      </c>
      <c r="AJ462" s="320">
        <v>841476.46196068299</v>
      </c>
      <c r="AK462" s="320">
        <v>765202.95353106828</v>
      </c>
      <c r="AL462" s="320">
        <v>700885.15056878282</v>
      </c>
      <c r="AM462" s="320">
        <v>4161007.1879009525</v>
      </c>
      <c r="AN462" s="320">
        <v>313480.77035599842</v>
      </c>
      <c r="AO462" s="320">
        <v>298323.69614826242</v>
      </c>
      <c r="AP462" s="320">
        <v>298312.44046728965</v>
      </c>
      <c r="AQ462" s="320">
        <v>5007134.9479586687</v>
      </c>
      <c r="AR462" s="320">
        <v>759.54536444159999</v>
      </c>
      <c r="AS462" s="320">
        <v>748.75315679999994</v>
      </c>
      <c r="AT462" s="320"/>
      <c r="AU462" s="320"/>
      <c r="AV462" s="320"/>
      <c r="AW462" s="320"/>
      <c r="AX462" s="320"/>
      <c r="AY462" s="320"/>
      <c r="AZ462" s="320"/>
      <c r="BA462" s="320"/>
      <c r="BB462" s="320"/>
      <c r="BC462" s="320"/>
      <c r="BD462" s="320"/>
      <c r="BE462" s="320"/>
      <c r="BF462" s="320"/>
      <c r="BG462" s="320"/>
      <c r="BH462" s="320"/>
      <c r="BI462" s="320"/>
      <c r="BJ462" s="320"/>
      <c r="BK462" s="320"/>
    </row>
    <row r="463" spans="1:63">
      <c r="A463" s="167"/>
      <c r="B463" s="217" t="str">
        <f>Servicio_internaColumna_título_amortizaciones</f>
        <v>Amortizaciones</v>
      </c>
      <c r="C463" s="218"/>
      <c r="D463" s="219"/>
      <c r="E463" s="219"/>
      <c r="F463" s="219"/>
      <c r="G463" s="219"/>
      <c r="H463" s="219"/>
      <c r="I463" s="219"/>
      <c r="J463" s="219"/>
      <c r="K463" s="219"/>
      <c r="L463" s="219"/>
      <c r="M463" s="219"/>
      <c r="N463" s="219"/>
      <c r="O463" s="219">
        <v>7766415.5531939585</v>
      </c>
      <c r="P463" s="219">
        <v>26294546.34917374</v>
      </c>
      <c r="Q463" s="219">
        <v>31707411.718689594</v>
      </c>
      <c r="R463" s="219">
        <v>23356878.221669842</v>
      </c>
      <c r="S463" s="219">
        <v>12278122.223594595</v>
      </c>
      <c r="T463" s="219">
        <v>21962471.901188254</v>
      </c>
      <c r="U463" s="219">
        <v>6147153.6476480765</v>
      </c>
      <c r="V463" s="219">
        <v>11246530.380329639</v>
      </c>
      <c r="W463" s="219">
        <v>11753412.502986398</v>
      </c>
      <c r="X463" s="219">
        <v>13061115.784323927</v>
      </c>
      <c r="Y463" s="219">
        <v>15344838.823694391</v>
      </c>
      <c r="Z463" s="219">
        <v>22865496.922971904</v>
      </c>
      <c r="AA463" s="219">
        <v>2155847.1147621544</v>
      </c>
      <c r="AB463" s="219">
        <v>8278474.7770178569</v>
      </c>
      <c r="AC463" s="219">
        <v>3004632.3668815708</v>
      </c>
      <c r="AD463" s="219">
        <v>7679901.8856204748</v>
      </c>
      <c r="AE463" s="219">
        <v>1368689.8104155443</v>
      </c>
      <c r="AF463" s="219">
        <v>1384973.1451838166</v>
      </c>
      <c r="AG463" s="219">
        <v>1801335.3989321205</v>
      </c>
      <c r="AH463" s="219">
        <v>412648.5663601695</v>
      </c>
      <c r="AI463" s="219">
        <v>2573858.3625302631</v>
      </c>
      <c r="AJ463" s="219">
        <v>228294.23147898135</v>
      </c>
      <c r="AK463" s="219">
        <v>166349.67265545193</v>
      </c>
      <c r="AL463" s="219">
        <v>113841.93940895665</v>
      </c>
      <c r="AM463" s="219">
        <v>3531179.8449237789</v>
      </c>
      <c r="AN463" s="219">
        <v>697.84342938966313</v>
      </c>
      <c r="AO463" s="219">
        <v>697.84342938966313</v>
      </c>
      <c r="AP463" s="219">
        <v>697.84342938966313</v>
      </c>
      <c r="AQ463" s="219">
        <v>4787322.8434293894</v>
      </c>
      <c r="AR463" s="219">
        <v>697.84342938966313</v>
      </c>
      <c r="AS463" s="219">
        <v>697.84342938966313</v>
      </c>
      <c r="AT463" s="219"/>
      <c r="AU463" s="219"/>
      <c r="AV463" s="219"/>
      <c r="AW463" s="219"/>
      <c r="AX463" s="219"/>
      <c r="AY463" s="219"/>
      <c r="AZ463" s="219"/>
      <c r="BA463" s="219"/>
      <c r="BB463" s="219"/>
      <c r="BC463" s="219"/>
      <c r="BD463" s="219"/>
      <c r="BE463" s="219"/>
      <c r="BF463" s="219"/>
      <c r="BG463" s="219"/>
      <c r="BH463" s="219"/>
      <c r="BI463" s="219"/>
      <c r="BJ463" s="219"/>
      <c r="BK463" s="219"/>
    </row>
    <row r="464" spans="1:63">
      <c r="A464" s="170">
        <v>41547</v>
      </c>
      <c r="B464" s="220" t="str">
        <f>Servicio_internaColumna_título_intereses</f>
        <v>Intereses</v>
      </c>
      <c r="C464" s="221"/>
      <c r="D464" s="222"/>
      <c r="E464" s="222"/>
      <c r="F464" s="222"/>
      <c r="G464" s="222"/>
      <c r="H464" s="222"/>
      <c r="I464" s="222"/>
      <c r="J464" s="222"/>
      <c r="K464" s="222"/>
      <c r="L464" s="222"/>
      <c r="M464" s="222"/>
      <c r="N464" s="222"/>
      <c r="O464" s="222">
        <v>4319029.9266130729</v>
      </c>
      <c r="P464" s="222">
        <v>16313193.777737079</v>
      </c>
      <c r="Q464" s="222">
        <v>14368110.414039023</v>
      </c>
      <c r="R464" s="222">
        <v>12088592.46377445</v>
      </c>
      <c r="S464" s="222">
        <v>10499445.607956003</v>
      </c>
      <c r="T464" s="222">
        <v>10049575.703003932</v>
      </c>
      <c r="U464" s="222">
        <v>8210843.4862505663</v>
      </c>
      <c r="V464" s="222">
        <v>8000821.8015161306</v>
      </c>
      <c r="W464" s="222">
        <v>6802521.0387391243</v>
      </c>
      <c r="X464" s="222">
        <v>6236172.0202874513</v>
      </c>
      <c r="Y464" s="222">
        <v>5437679.5635752631</v>
      </c>
      <c r="Z464" s="222">
        <v>4317955.5533003425</v>
      </c>
      <c r="AA464" s="222">
        <v>2450566.2924396461</v>
      </c>
      <c r="AB464" s="222">
        <v>2345183.981203937</v>
      </c>
      <c r="AC464" s="222">
        <v>1755490.4548873268</v>
      </c>
      <c r="AD464" s="222">
        <v>1518484.4228375771</v>
      </c>
      <c r="AE464" s="222">
        <v>1000621.6956756245</v>
      </c>
      <c r="AF464" s="222">
        <v>948337.14566863026</v>
      </c>
      <c r="AG464" s="222">
        <v>850704.21296689159</v>
      </c>
      <c r="AH464" s="222">
        <v>794743.38340164209</v>
      </c>
      <c r="AI464" s="222">
        <v>741447.43212933792</v>
      </c>
      <c r="AJ464" s="222">
        <v>603279.40844176547</v>
      </c>
      <c r="AK464" s="222">
        <v>589350.26550966746</v>
      </c>
      <c r="AL464" s="222">
        <v>577830.29690458265</v>
      </c>
      <c r="AM464" s="222">
        <v>569207.79078897566</v>
      </c>
      <c r="AN464" s="222">
        <v>308326.45292180002</v>
      </c>
      <c r="AO464" s="222">
        <v>293180.78125</v>
      </c>
      <c r="AP464" s="222">
        <v>293180.78125</v>
      </c>
      <c r="AQ464" s="222">
        <v>146590.390625</v>
      </c>
      <c r="AR464" s="222">
        <v>0</v>
      </c>
      <c r="AS464" s="222">
        <v>0</v>
      </c>
      <c r="AT464" s="222"/>
      <c r="AU464" s="222"/>
      <c r="AV464" s="222"/>
      <c r="AW464" s="222"/>
      <c r="AX464" s="222"/>
      <c r="AY464" s="222"/>
      <c r="AZ464" s="222"/>
      <c r="BA464" s="222"/>
      <c r="BB464" s="222"/>
      <c r="BC464" s="222"/>
      <c r="BD464" s="222"/>
      <c r="BE464" s="222"/>
      <c r="BF464" s="222"/>
      <c r="BG464" s="222"/>
      <c r="BH464" s="222"/>
      <c r="BI464" s="222"/>
      <c r="BJ464" s="222"/>
      <c r="BK464" s="222"/>
    </row>
    <row r="465" spans="1:63">
      <c r="A465" s="171"/>
      <c r="B465" s="318" t="str">
        <f>Servicio_internaColumna_título_total</f>
        <v>Total</v>
      </c>
      <c r="C465" s="319"/>
      <c r="D465" s="320"/>
      <c r="E465" s="320"/>
      <c r="F465" s="320"/>
      <c r="G465" s="320"/>
      <c r="H465" s="320"/>
      <c r="I465" s="320"/>
      <c r="J465" s="320"/>
      <c r="K465" s="320"/>
      <c r="L465" s="320"/>
      <c r="M465" s="320"/>
      <c r="N465" s="320"/>
      <c r="O465" s="320">
        <v>12085445.47980703</v>
      </c>
      <c r="P465" s="320">
        <v>42607740.126910821</v>
      </c>
      <c r="Q465" s="320">
        <v>46075522.132728621</v>
      </c>
      <c r="R465" s="320">
        <v>35445470.685444288</v>
      </c>
      <c r="S465" s="320">
        <v>22777567.831550598</v>
      </c>
      <c r="T465" s="320">
        <v>32012047.60419219</v>
      </c>
      <c r="U465" s="320">
        <v>14357997.133898642</v>
      </c>
      <c r="V465" s="320">
        <v>19247352.181845769</v>
      </c>
      <c r="W465" s="320">
        <v>18555933.541725524</v>
      </c>
      <c r="X465" s="320">
        <v>19297287.804611377</v>
      </c>
      <c r="Y465" s="320">
        <v>20782518.387269653</v>
      </c>
      <c r="Z465" s="320">
        <v>27183452.476272248</v>
      </c>
      <c r="AA465" s="320">
        <v>4606413.4072018005</v>
      </c>
      <c r="AB465" s="320">
        <v>10623658.758221794</v>
      </c>
      <c r="AC465" s="320">
        <v>4760122.8217688967</v>
      </c>
      <c r="AD465" s="320">
        <v>9198386.3084580507</v>
      </c>
      <c r="AE465" s="320">
        <v>2369311.5060911686</v>
      </c>
      <c r="AF465" s="320">
        <v>2333310.2908524466</v>
      </c>
      <c r="AG465" s="320">
        <v>2652039.6118990122</v>
      </c>
      <c r="AH465" s="320">
        <v>1207391.9497618116</v>
      </c>
      <c r="AI465" s="320">
        <v>3315305.7946596015</v>
      </c>
      <c r="AJ465" s="320">
        <v>831573.63992074679</v>
      </c>
      <c r="AK465" s="320">
        <v>755699.93816511938</v>
      </c>
      <c r="AL465" s="320">
        <v>691672.23631353932</v>
      </c>
      <c r="AM465" s="320">
        <v>4100387.6357127544</v>
      </c>
      <c r="AN465" s="320">
        <v>309024.29635118967</v>
      </c>
      <c r="AO465" s="320">
        <v>293878.62467938964</v>
      </c>
      <c r="AP465" s="320">
        <v>293878.62467938964</v>
      </c>
      <c r="AQ465" s="320">
        <v>4933913.2340543894</v>
      </c>
      <c r="AR465" s="320">
        <v>697.84342938966313</v>
      </c>
      <c r="AS465" s="320">
        <v>697.84342938966313</v>
      </c>
      <c r="AT465" s="320"/>
      <c r="AU465" s="320"/>
      <c r="AV465" s="320"/>
      <c r="AW465" s="320"/>
      <c r="AX465" s="320"/>
      <c r="AY465" s="320"/>
      <c r="AZ465" s="320"/>
      <c r="BA465" s="320"/>
      <c r="BB465" s="320"/>
      <c r="BC465" s="320"/>
      <c r="BD465" s="320"/>
      <c r="BE465" s="320"/>
      <c r="BF465" s="320"/>
      <c r="BG465" s="320"/>
      <c r="BH465" s="320"/>
      <c r="BI465" s="320"/>
      <c r="BJ465" s="320"/>
      <c r="BK465" s="320"/>
    </row>
    <row r="466" spans="1:63">
      <c r="A466" s="167"/>
      <c r="B466" s="217" t="str">
        <f>Servicio_internaColumna_título_amortizaciones</f>
        <v>Amortizaciones</v>
      </c>
      <c r="C466" s="218"/>
      <c r="D466" s="219"/>
      <c r="E466" s="219"/>
      <c r="F466" s="219"/>
      <c r="G466" s="219"/>
      <c r="H466" s="219"/>
      <c r="I466" s="219"/>
      <c r="J466" s="219"/>
      <c r="K466" s="219"/>
      <c r="L466" s="219"/>
      <c r="M466" s="219"/>
      <c r="N466" s="219"/>
      <c r="O466" s="219">
        <v>6950778.6233754121</v>
      </c>
      <c r="P466" s="219">
        <v>26942830.367946565</v>
      </c>
      <c r="Q466" s="219">
        <v>31792445.490247868</v>
      </c>
      <c r="R466" s="219">
        <v>23332047.415207773</v>
      </c>
      <c r="S466" s="219">
        <v>12528217.729593568</v>
      </c>
      <c r="T466" s="219">
        <v>22787355.053155869</v>
      </c>
      <c r="U466" s="219">
        <v>6050140.8191718599</v>
      </c>
      <c r="V466" s="219">
        <v>11203071.20351552</v>
      </c>
      <c r="W466" s="219">
        <v>11969496.113569072</v>
      </c>
      <c r="X466" s="219">
        <v>13727956.688270409</v>
      </c>
      <c r="Y466" s="219">
        <v>15320586.347112136</v>
      </c>
      <c r="Z466" s="219">
        <v>22769451.478348307</v>
      </c>
      <c r="AA466" s="219">
        <v>2123176.6326148789</v>
      </c>
      <c r="AB466" s="219">
        <v>8264650.4051986299</v>
      </c>
      <c r="AC466" s="219">
        <v>2987541.8000346757</v>
      </c>
      <c r="AD466" s="219">
        <v>8291451.8232643781</v>
      </c>
      <c r="AE466" s="219">
        <v>1346986.9360187631</v>
      </c>
      <c r="AF466" s="219">
        <v>1363010.115035038</v>
      </c>
      <c r="AG466" s="219">
        <v>1772282.753153271</v>
      </c>
      <c r="AH466" s="219">
        <v>405782.70678682794</v>
      </c>
      <c r="AI466" s="219">
        <v>2987031.5246574795</v>
      </c>
      <c r="AJ466" s="219">
        <v>225005.28445303161</v>
      </c>
      <c r="AK466" s="219">
        <v>164050.40210009046</v>
      </c>
      <c r="AL466" s="219">
        <v>112025.5732504117</v>
      </c>
      <c r="AM466" s="219">
        <v>3474765.0119870193</v>
      </c>
      <c r="AN466" s="219">
        <v>686.69411724121301</v>
      </c>
      <c r="AO466" s="219">
        <v>686.69411724121301</v>
      </c>
      <c r="AP466" s="219">
        <v>686.69411724121301</v>
      </c>
      <c r="AQ466" s="219">
        <v>4710836.6941172406</v>
      </c>
      <c r="AR466" s="219">
        <v>686.69411724121301</v>
      </c>
      <c r="AS466" s="219">
        <v>686.69411724121301</v>
      </c>
      <c r="AT466" s="219"/>
      <c r="AU466" s="219"/>
      <c r="AV466" s="219"/>
      <c r="AW466" s="219"/>
      <c r="AX466" s="219"/>
      <c r="AY466" s="219"/>
      <c r="AZ466" s="219"/>
      <c r="BA466" s="219"/>
      <c r="BB466" s="219"/>
      <c r="BC466" s="219"/>
      <c r="BD466" s="219"/>
      <c r="BE466" s="219"/>
      <c r="BF466" s="219"/>
      <c r="BG466" s="219"/>
      <c r="BH466" s="219"/>
      <c r="BI466" s="219"/>
      <c r="BJ466" s="219"/>
      <c r="BK466" s="219"/>
    </row>
    <row r="467" spans="1:63">
      <c r="A467" s="170">
        <v>41578</v>
      </c>
      <c r="B467" s="220" t="str">
        <f>Servicio_internaColumna_título_intereses</f>
        <v>Intereses</v>
      </c>
      <c r="C467" s="221"/>
      <c r="D467" s="222"/>
      <c r="E467" s="222"/>
      <c r="F467" s="222"/>
      <c r="G467" s="222"/>
      <c r="H467" s="222"/>
      <c r="I467" s="222"/>
      <c r="J467" s="222"/>
      <c r="K467" s="222"/>
      <c r="L467" s="222"/>
      <c r="M467" s="222"/>
      <c r="N467" s="222"/>
      <c r="O467" s="222">
        <v>1478180.6738512444</v>
      </c>
      <c r="P467" s="222">
        <v>16433631.101251099</v>
      </c>
      <c r="Q467" s="222">
        <v>14489088.440711251</v>
      </c>
      <c r="R467" s="222">
        <v>12208660.485616868</v>
      </c>
      <c r="S467" s="222">
        <v>10621491.160126111</v>
      </c>
      <c r="T467" s="222">
        <v>10154589.444416514</v>
      </c>
      <c r="U467" s="222">
        <v>8273155.9196399022</v>
      </c>
      <c r="V467" s="222">
        <v>8080507.1663441975</v>
      </c>
      <c r="W467" s="222">
        <v>6889936.1009497177</v>
      </c>
      <c r="X467" s="222">
        <v>6307624.8933245661</v>
      </c>
      <c r="Y467" s="222">
        <v>5467322.2843411313</v>
      </c>
      <c r="Z467" s="222">
        <v>4353087.8436821504</v>
      </c>
      <c r="AA467" s="222">
        <v>2485932.6388402702</v>
      </c>
      <c r="AB467" s="222">
        <v>2382987.7190505303</v>
      </c>
      <c r="AC467" s="222">
        <v>1794502.7634478766</v>
      </c>
      <c r="AD467" s="222">
        <v>1561217.1227382412</v>
      </c>
      <c r="AE467" s="222">
        <v>1009627.5033430763</v>
      </c>
      <c r="AF467" s="222">
        <v>956025.48898410727</v>
      </c>
      <c r="AG467" s="222">
        <v>860706.42551548313</v>
      </c>
      <c r="AH467" s="222">
        <v>806334.773311503</v>
      </c>
      <c r="AI467" s="222">
        <v>754573.43516057439</v>
      </c>
      <c r="AJ467" s="222">
        <v>594090.70238677307</v>
      </c>
      <c r="AK467" s="222">
        <v>580325.35786146345</v>
      </c>
      <c r="AL467" s="222">
        <v>568934.89681443467</v>
      </c>
      <c r="AM467" s="222">
        <v>560405.9783389665</v>
      </c>
      <c r="AN467" s="222">
        <v>303642.35917180002</v>
      </c>
      <c r="AO467" s="222">
        <v>288496.6875</v>
      </c>
      <c r="AP467" s="222">
        <v>288496.6875</v>
      </c>
      <c r="AQ467" s="222">
        <v>144248.34375</v>
      </c>
      <c r="AR467" s="222">
        <v>0</v>
      </c>
      <c r="AS467" s="222">
        <v>0</v>
      </c>
      <c r="AT467" s="222"/>
      <c r="AU467" s="222"/>
      <c r="AV467" s="222"/>
      <c r="AW467" s="222"/>
      <c r="AX467" s="222"/>
      <c r="AY467" s="222"/>
      <c r="AZ467" s="222"/>
      <c r="BA467" s="222"/>
      <c r="BB467" s="222"/>
      <c r="BC467" s="222"/>
      <c r="BD467" s="222"/>
      <c r="BE467" s="222"/>
      <c r="BF467" s="222"/>
      <c r="BG467" s="222"/>
      <c r="BH467" s="222"/>
      <c r="BI467" s="222"/>
      <c r="BJ467" s="222"/>
      <c r="BK467" s="222"/>
    </row>
    <row r="468" spans="1:63">
      <c r="A468" s="171"/>
      <c r="B468" s="318" t="str">
        <f>Servicio_internaColumna_título_total</f>
        <v>Total</v>
      </c>
      <c r="C468" s="319"/>
      <c r="D468" s="320"/>
      <c r="E468" s="320"/>
      <c r="F468" s="320"/>
      <c r="G468" s="320"/>
      <c r="H468" s="320"/>
      <c r="I468" s="320"/>
      <c r="J468" s="320"/>
      <c r="K468" s="320"/>
      <c r="L468" s="320"/>
      <c r="M468" s="320"/>
      <c r="N468" s="320"/>
      <c r="O468" s="320">
        <v>8428959.2972266562</v>
      </c>
      <c r="P468" s="320">
        <v>43376461.469197668</v>
      </c>
      <c r="Q468" s="320">
        <v>46281533.93095912</v>
      </c>
      <c r="R468" s="320">
        <v>35540707.900824636</v>
      </c>
      <c r="S468" s="320">
        <v>23149708.889719676</v>
      </c>
      <c r="T468" s="320">
        <v>32941944.497572381</v>
      </c>
      <c r="U468" s="320">
        <v>14323296.738811761</v>
      </c>
      <c r="V468" s="320">
        <v>19283578.369859718</v>
      </c>
      <c r="W468" s="320">
        <v>18859432.214518789</v>
      </c>
      <c r="X468" s="320">
        <v>20035581.581594974</v>
      </c>
      <c r="Y468" s="320">
        <v>20787908.631453268</v>
      </c>
      <c r="Z468" s="320">
        <v>27122539.322030459</v>
      </c>
      <c r="AA468" s="320">
        <v>4609109.2714551492</v>
      </c>
      <c r="AB468" s="320">
        <v>10647638.12424916</v>
      </c>
      <c r="AC468" s="320">
        <v>4782044.5634825528</v>
      </c>
      <c r="AD468" s="320">
        <v>9852668.9460026193</v>
      </c>
      <c r="AE468" s="320">
        <v>2356614.4393618396</v>
      </c>
      <c r="AF468" s="320">
        <v>2319035.604019145</v>
      </c>
      <c r="AG468" s="320">
        <v>2632989.1786687542</v>
      </c>
      <c r="AH468" s="320">
        <v>1212117.4800983309</v>
      </c>
      <c r="AI468" s="320">
        <v>3741604.9598180535</v>
      </c>
      <c r="AJ468" s="320">
        <v>819095.98683980468</v>
      </c>
      <c r="AK468" s="320">
        <v>744375.75996155397</v>
      </c>
      <c r="AL468" s="320">
        <v>680960.47006484633</v>
      </c>
      <c r="AM468" s="320">
        <v>4035170.9903259855</v>
      </c>
      <c r="AN468" s="320">
        <v>304329.05328904121</v>
      </c>
      <c r="AO468" s="320">
        <v>289183.38161724119</v>
      </c>
      <c r="AP468" s="320">
        <v>289183.38161724119</v>
      </c>
      <c r="AQ468" s="320">
        <v>4855085.0378672406</v>
      </c>
      <c r="AR468" s="320">
        <v>686.69411724121301</v>
      </c>
      <c r="AS468" s="320">
        <v>686.69411724121301</v>
      </c>
      <c r="AT468" s="320"/>
      <c r="AU468" s="320"/>
      <c r="AV468" s="320"/>
      <c r="AW468" s="320"/>
      <c r="AX468" s="320"/>
      <c r="AY468" s="320"/>
      <c r="AZ468" s="320"/>
      <c r="BA468" s="320"/>
      <c r="BB468" s="320"/>
      <c r="BC468" s="320"/>
      <c r="BD468" s="320"/>
      <c r="BE468" s="320"/>
      <c r="BF468" s="320"/>
      <c r="BG468" s="320"/>
      <c r="BH468" s="320"/>
      <c r="BI468" s="320"/>
      <c r="BJ468" s="320"/>
      <c r="BK468" s="320"/>
    </row>
    <row r="469" spans="1:63">
      <c r="A469" s="167"/>
      <c r="B469" s="217" t="str">
        <f>Servicio_internaColumna_título_amortizaciones</f>
        <v>Amortizaciones</v>
      </c>
      <c r="C469" s="218"/>
      <c r="D469" s="219"/>
      <c r="E469" s="219"/>
      <c r="F469" s="219"/>
      <c r="G469" s="219"/>
      <c r="H469" s="219"/>
      <c r="I469" s="219"/>
      <c r="J469" s="219"/>
      <c r="K469" s="219"/>
      <c r="L469" s="219"/>
      <c r="M469" s="219"/>
      <c r="N469" s="219"/>
      <c r="O469" s="219">
        <v>2426048.7543227426</v>
      </c>
      <c r="P469" s="219">
        <v>27657036.843758814</v>
      </c>
      <c r="Q469" s="219">
        <v>32155876.495955754</v>
      </c>
      <c r="R469" s="219">
        <v>23465105.745994966</v>
      </c>
      <c r="S469" s="219">
        <v>12615814.958731797</v>
      </c>
      <c r="T469" s="219">
        <v>23739496.163728364</v>
      </c>
      <c r="U469" s="219">
        <v>6138344.4202394392</v>
      </c>
      <c r="V469" s="219">
        <v>11254436.035061784</v>
      </c>
      <c r="W469" s="219">
        <v>12069527.672143348</v>
      </c>
      <c r="X469" s="219">
        <v>12959559.336218087</v>
      </c>
      <c r="Y469" s="219">
        <v>16380774.604145128</v>
      </c>
      <c r="Z469" s="219">
        <v>22900219.716918945</v>
      </c>
      <c r="AA469" s="219">
        <v>2167637.4270990957</v>
      </c>
      <c r="AB469" s="219">
        <v>8281935.7439676281</v>
      </c>
      <c r="AC469" s="219">
        <v>3000624.1145201246</v>
      </c>
      <c r="AD469" s="219">
        <v>8348850.0283650644</v>
      </c>
      <c r="AE469" s="219">
        <v>1369578.0322598254</v>
      </c>
      <c r="AF469" s="219">
        <v>1387390.7856946981</v>
      </c>
      <c r="AG469" s="219">
        <v>1804849.0211824786</v>
      </c>
      <c r="AH469" s="219">
        <v>415305.47635527345</v>
      </c>
      <c r="AI469" s="219">
        <v>3029727.2308341227</v>
      </c>
      <c r="AJ469" s="219">
        <v>230283.28353131679</v>
      </c>
      <c r="AK469" s="219">
        <v>167898.72470778739</v>
      </c>
      <c r="AL469" s="219">
        <v>114653.67081916756</v>
      </c>
      <c r="AM469" s="219">
        <v>3556265.2680401285</v>
      </c>
      <c r="AN469" s="219">
        <v>702.80029912548912</v>
      </c>
      <c r="AO469" s="219">
        <v>702.80029912548912</v>
      </c>
      <c r="AP469" s="219">
        <v>702.80029912548912</v>
      </c>
      <c r="AQ469" s="219">
        <v>4821327.8002991257</v>
      </c>
      <c r="AR469" s="219">
        <v>702.80029912548912</v>
      </c>
      <c r="AS469" s="219">
        <v>702.80029912548912</v>
      </c>
      <c r="AT469" s="219"/>
      <c r="AU469" s="219"/>
      <c r="AV469" s="219"/>
      <c r="AW469" s="219"/>
      <c r="AX469" s="219"/>
      <c r="AY469" s="219"/>
      <c r="AZ469" s="219"/>
      <c r="BA469" s="219"/>
      <c r="BB469" s="219"/>
      <c r="BC469" s="219"/>
      <c r="BD469" s="219"/>
      <c r="BE469" s="219"/>
      <c r="BF469" s="219"/>
      <c r="BG469" s="219"/>
      <c r="BH469" s="219"/>
      <c r="BI469" s="219"/>
      <c r="BJ469" s="219"/>
      <c r="BK469" s="219"/>
    </row>
    <row r="470" spans="1:63">
      <c r="A470" s="170">
        <v>41608</v>
      </c>
      <c r="B470" s="220" t="str">
        <f>Servicio_internaColumna_título_intereses</f>
        <v>Intereses</v>
      </c>
      <c r="C470" s="221"/>
      <c r="D470" s="222"/>
      <c r="E470" s="222"/>
      <c r="F470" s="222"/>
      <c r="G470" s="222"/>
      <c r="H470" s="222"/>
      <c r="I470" s="222"/>
      <c r="J470" s="222"/>
      <c r="K470" s="222"/>
      <c r="L470" s="222"/>
      <c r="M470" s="222"/>
      <c r="N470" s="222"/>
      <c r="O470" s="222">
        <v>140844.89255640545</v>
      </c>
      <c r="P470" s="222">
        <v>16585677.942395892</v>
      </c>
      <c r="Q470" s="222">
        <v>14580051.192093922</v>
      </c>
      <c r="R470" s="222">
        <v>12136015.524410155</v>
      </c>
      <c r="S470" s="222">
        <v>10549765.866005201</v>
      </c>
      <c r="T470" s="222">
        <v>10052215.369699391</v>
      </c>
      <c r="U470" s="222">
        <v>8136417.1943269931</v>
      </c>
      <c r="V470" s="222">
        <v>7939283.1671269825</v>
      </c>
      <c r="W470" s="222">
        <v>6824043.7853798298</v>
      </c>
      <c r="X470" s="222">
        <v>6247583.9685747465</v>
      </c>
      <c r="Y470" s="222">
        <v>5403048.9494687095</v>
      </c>
      <c r="Z470" s="222">
        <v>4305704.8455304373</v>
      </c>
      <c r="AA470" s="222">
        <v>2441530.9477598472</v>
      </c>
      <c r="AB470" s="222">
        <v>2355577.2649120493</v>
      </c>
      <c r="AC470" s="222">
        <v>1773607.4228206496</v>
      </c>
      <c r="AD470" s="222">
        <v>1546914.234598767</v>
      </c>
      <c r="AE470" s="222">
        <v>994530.05098133057</v>
      </c>
      <c r="AF470" s="222">
        <v>943170.6336236652</v>
      </c>
      <c r="AG470" s="222">
        <v>862493.11594559334</v>
      </c>
      <c r="AH470" s="222">
        <v>815193.72000428836</v>
      </c>
      <c r="AI470" s="222">
        <v>764526.40442935901</v>
      </c>
      <c r="AJ470" s="222">
        <v>603537.21492491872</v>
      </c>
      <c r="AK470" s="222">
        <v>591044.81308470818</v>
      </c>
      <c r="AL470" s="222">
        <v>580791.9647739327</v>
      </c>
      <c r="AM470" s="222">
        <v>572980.66560866381</v>
      </c>
      <c r="AN470" s="222">
        <v>310408.95292180002</v>
      </c>
      <c r="AO470" s="222">
        <v>295263.28125</v>
      </c>
      <c r="AP470" s="222">
        <v>295263.28125</v>
      </c>
      <c r="AQ470" s="222">
        <v>147631.640625</v>
      </c>
      <c r="AR470" s="222">
        <v>0</v>
      </c>
      <c r="AS470" s="222">
        <v>0</v>
      </c>
      <c r="AT470" s="222"/>
      <c r="AU470" s="222"/>
      <c r="AV470" s="222"/>
      <c r="AW470" s="222"/>
      <c r="AX470" s="222"/>
      <c r="AY470" s="222"/>
      <c r="AZ470" s="222"/>
      <c r="BA470" s="222"/>
      <c r="BB470" s="222"/>
      <c r="BC470" s="222"/>
      <c r="BD470" s="222"/>
      <c r="BE470" s="222"/>
      <c r="BF470" s="222"/>
      <c r="BG470" s="222"/>
      <c r="BH470" s="222"/>
      <c r="BI470" s="222"/>
      <c r="BJ470" s="222"/>
      <c r="BK470" s="222"/>
    </row>
    <row r="471" spans="1:63">
      <c r="A471" s="171"/>
      <c r="B471" s="318" t="str">
        <f>Servicio_internaColumna_título_total</f>
        <v>Total</v>
      </c>
      <c r="C471" s="319"/>
      <c r="D471" s="320"/>
      <c r="E471" s="320"/>
      <c r="F471" s="320"/>
      <c r="G471" s="320"/>
      <c r="H471" s="320"/>
      <c r="I471" s="320"/>
      <c r="J471" s="320"/>
      <c r="K471" s="320"/>
      <c r="L471" s="320"/>
      <c r="M471" s="320"/>
      <c r="N471" s="320"/>
      <c r="O471" s="320">
        <f>O469+O470</f>
        <v>2566893.6468791482</v>
      </c>
      <c r="P471" s="320">
        <v>44242714.786154702</v>
      </c>
      <c r="Q471" s="320">
        <v>46735927.688049674</v>
      </c>
      <c r="R471" s="320">
        <v>35601121.270405121</v>
      </c>
      <c r="S471" s="320">
        <v>23165580.824736997</v>
      </c>
      <c r="T471" s="320">
        <v>33791711.533427753</v>
      </c>
      <c r="U471" s="320">
        <v>14274761.614566432</v>
      </c>
      <c r="V471" s="320">
        <v>19193719.202188767</v>
      </c>
      <c r="W471" s="320">
        <v>18893571.457523178</v>
      </c>
      <c r="X471" s="320">
        <v>19207143.304792833</v>
      </c>
      <c r="Y471" s="320">
        <v>21783823.553613838</v>
      </c>
      <c r="Z471" s="320">
        <v>27205924.562449381</v>
      </c>
      <c r="AA471" s="320">
        <v>4609168.3748589428</v>
      </c>
      <c r="AB471" s="320">
        <v>10637513.008879676</v>
      </c>
      <c r="AC471" s="320">
        <v>4774231.5373407742</v>
      </c>
      <c r="AD471" s="320">
        <v>9895764.2629638314</v>
      </c>
      <c r="AE471" s="320">
        <v>2364108.0832411558</v>
      </c>
      <c r="AF471" s="320">
        <v>2330561.4193183631</v>
      </c>
      <c r="AG471" s="320">
        <v>2667342.1371280719</v>
      </c>
      <c r="AH471" s="320">
        <v>1230499.1963595618</v>
      </c>
      <c r="AI471" s="320">
        <v>3794253.6352634816</v>
      </c>
      <c r="AJ471" s="320">
        <v>833820.49845623551</v>
      </c>
      <c r="AK471" s="320">
        <v>758943.53779249557</v>
      </c>
      <c r="AL471" s="320">
        <v>695445.63559310022</v>
      </c>
      <c r="AM471" s="320">
        <v>4129245.9336487921</v>
      </c>
      <c r="AN471" s="320">
        <v>311111.75322092552</v>
      </c>
      <c r="AO471" s="320">
        <v>295966.08154912549</v>
      </c>
      <c r="AP471" s="320">
        <v>295966.08154912549</v>
      </c>
      <c r="AQ471" s="320">
        <v>4968959.4409241257</v>
      </c>
      <c r="AR471" s="320">
        <v>702.80029912548912</v>
      </c>
      <c r="AS471" s="320">
        <v>702.80029912548912</v>
      </c>
      <c r="AT471" s="320"/>
      <c r="AU471" s="320"/>
      <c r="AV471" s="320"/>
      <c r="AW471" s="320"/>
      <c r="AX471" s="320"/>
      <c r="AY471" s="320"/>
      <c r="AZ471" s="320"/>
      <c r="BA471" s="320"/>
      <c r="BB471" s="320"/>
      <c r="BC471" s="320"/>
      <c r="BD471" s="320"/>
      <c r="BE471" s="320"/>
      <c r="BF471" s="320"/>
      <c r="BG471" s="320"/>
      <c r="BH471" s="320"/>
      <c r="BI471" s="320"/>
      <c r="BJ471" s="320"/>
      <c r="BK471" s="320"/>
    </row>
    <row r="472" spans="1:63">
      <c r="A472" s="167"/>
      <c r="B472" s="217" t="str">
        <f>Servicio_internaColumna_título_amortizaciones</f>
        <v>Amortizaciones</v>
      </c>
      <c r="C472" s="218"/>
      <c r="D472" s="219"/>
      <c r="E472" s="219"/>
      <c r="F472" s="219"/>
      <c r="G472" s="219"/>
      <c r="H472" s="219"/>
      <c r="I472" s="219"/>
      <c r="J472" s="219"/>
      <c r="K472" s="219"/>
      <c r="L472" s="219"/>
      <c r="M472" s="219"/>
      <c r="N472" s="219"/>
      <c r="O472" s="219"/>
      <c r="P472" s="219">
        <v>35335853.019439921</v>
      </c>
      <c r="Q472" s="219">
        <v>32792332.294636153</v>
      </c>
      <c r="R472" s="219">
        <v>23004126.061168358</v>
      </c>
      <c r="S472" s="219">
        <v>12825363.031980064</v>
      </c>
      <c r="T472" s="219">
        <v>23990092.954167746</v>
      </c>
      <c r="U472" s="219">
        <v>6530541.6595201073</v>
      </c>
      <c r="V472" s="219">
        <v>11448184.461816255</v>
      </c>
      <c r="W472" s="219">
        <v>12222789.215505198</v>
      </c>
      <c r="X472" s="219">
        <v>13160787.325361961</v>
      </c>
      <c r="Y472" s="219">
        <v>16393050.669714298</v>
      </c>
      <c r="Z472" s="219">
        <v>22933875.380659882</v>
      </c>
      <c r="AA472" s="219">
        <v>2110044.6825103625</v>
      </c>
      <c r="AB472" s="219">
        <v>8201517.305983616</v>
      </c>
      <c r="AC472" s="219">
        <v>2896434.7257339088</v>
      </c>
      <c r="AD472" s="219">
        <v>8255656.7148982482</v>
      </c>
      <c r="AE472" s="219">
        <v>1249506.6517927803</v>
      </c>
      <c r="AF472" s="219">
        <v>1239142.1113266384</v>
      </c>
      <c r="AG472" s="219">
        <v>1610880.7399969324</v>
      </c>
      <c r="AH472" s="219">
        <v>376848.42194053339</v>
      </c>
      <c r="AI472" s="219">
        <v>3044458.5476860115</v>
      </c>
      <c r="AJ472" s="219">
        <v>222252.91994868818</v>
      </c>
      <c r="AK472" s="219">
        <v>155667.82642746362</v>
      </c>
      <c r="AL472" s="219">
        <v>102478.80090904003</v>
      </c>
      <c r="AM472" s="219">
        <v>3531752.3934999867</v>
      </c>
      <c r="AN472" s="219">
        <v>1618.0204634312654</v>
      </c>
      <c r="AO472" s="219">
        <v>1618.0204634312654</v>
      </c>
      <c r="AP472" s="219">
        <v>1618.0204634312654</v>
      </c>
      <c r="AQ472" s="219">
        <v>4818693.0204634313</v>
      </c>
      <c r="AR472" s="219">
        <v>1618.0204634312654</v>
      </c>
      <c r="AS472" s="219">
        <v>1267.6897567025428</v>
      </c>
      <c r="AT472" s="219"/>
      <c r="AU472" s="219"/>
      <c r="AV472" s="219"/>
      <c r="AW472" s="219"/>
      <c r="AX472" s="219"/>
      <c r="AY472" s="219"/>
      <c r="AZ472" s="219"/>
      <c r="BA472" s="219"/>
      <c r="BB472" s="219"/>
      <c r="BC472" s="219"/>
      <c r="BD472" s="219"/>
      <c r="BE472" s="219"/>
      <c r="BF472" s="219"/>
      <c r="BG472" s="219"/>
      <c r="BH472" s="219"/>
      <c r="BI472" s="219"/>
      <c r="BJ472" s="219"/>
      <c r="BK472" s="219"/>
    </row>
    <row r="473" spans="1:63">
      <c r="A473" s="170">
        <v>41639</v>
      </c>
      <c r="B473" s="220" t="str">
        <f>Servicio_internaColumna_título_intereses</f>
        <v>Intereses</v>
      </c>
      <c r="C473" s="221"/>
      <c r="D473" s="222"/>
      <c r="E473" s="222"/>
      <c r="F473" s="222"/>
      <c r="G473" s="222"/>
      <c r="H473" s="222"/>
      <c r="I473" s="222"/>
      <c r="J473" s="222"/>
      <c r="K473" s="222"/>
      <c r="L473" s="222"/>
      <c r="M473" s="222"/>
      <c r="N473" s="222"/>
      <c r="O473" s="222"/>
      <c r="P473" s="222">
        <v>16611126.428274225</v>
      </c>
      <c r="Q473" s="222">
        <v>14486011.281075902</v>
      </c>
      <c r="R473" s="222">
        <v>12177731.724173181</v>
      </c>
      <c r="S473" s="222">
        <v>10569909.088244529</v>
      </c>
      <c r="T473" s="222">
        <v>10078360.284007233</v>
      </c>
      <c r="U473" s="222">
        <v>8142914.9549821578</v>
      </c>
      <c r="V473" s="222">
        <v>7959220.7275928222</v>
      </c>
      <c r="W473" s="222">
        <v>6852145.6315150168</v>
      </c>
      <c r="X473" s="222">
        <v>6270116.5828611329</v>
      </c>
      <c r="Y473" s="222">
        <v>5414971.8258621674</v>
      </c>
      <c r="Z473" s="222">
        <v>4323020.0727304639</v>
      </c>
      <c r="AA473" s="222">
        <v>2453143.6829359988</v>
      </c>
      <c r="AB473" s="222">
        <v>2367535.279589517</v>
      </c>
      <c r="AC473" s="222">
        <v>1785356.0860531947</v>
      </c>
      <c r="AD473" s="222">
        <v>1559464.0787856472</v>
      </c>
      <c r="AE473" s="222">
        <v>1008587.9297665585</v>
      </c>
      <c r="AF473" s="222">
        <v>951814.67310469155</v>
      </c>
      <c r="AG473" s="222">
        <v>870720.84622856288</v>
      </c>
      <c r="AH473" s="222">
        <v>822982.11756644619</v>
      </c>
      <c r="AI473" s="222">
        <v>771764.95954612561</v>
      </c>
      <c r="AJ473" s="222">
        <v>606806.98536062043</v>
      </c>
      <c r="AK473" s="222">
        <v>593896.620469474</v>
      </c>
      <c r="AL473" s="222">
        <v>583662.01023886353</v>
      </c>
      <c r="AM473" s="222">
        <v>575859.74748655187</v>
      </c>
      <c r="AN473" s="222">
        <v>313481.17215121421</v>
      </c>
      <c r="AO473" s="222">
        <v>295066.60786652128</v>
      </c>
      <c r="AP473" s="222">
        <v>295064.89184383635</v>
      </c>
      <c r="AQ473" s="222">
        <v>147540.15229177527</v>
      </c>
      <c r="AR473" s="222">
        <v>15.463566902251877</v>
      </c>
      <c r="AS473" s="222">
        <v>13.696717029244541</v>
      </c>
      <c r="AT473" s="222"/>
      <c r="AU473" s="222"/>
      <c r="AV473" s="222"/>
      <c r="AW473" s="222"/>
      <c r="AX473" s="222"/>
      <c r="AY473" s="222"/>
      <c r="AZ473" s="222"/>
      <c r="BA473" s="222"/>
      <c r="BB473" s="222"/>
      <c r="BC473" s="222"/>
      <c r="BD473" s="222"/>
      <c r="BE473" s="222"/>
      <c r="BF473" s="222"/>
      <c r="BG473" s="222"/>
      <c r="BH473" s="222"/>
      <c r="BI473" s="222"/>
      <c r="BJ473" s="222"/>
      <c r="BK473" s="222"/>
    </row>
    <row r="474" spans="1:63">
      <c r="A474" s="171"/>
      <c r="B474" s="318" t="str">
        <f>Servicio_internaColumna_título_total</f>
        <v>Total</v>
      </c>
      <c r="C474" s="319"/>
      <c r="D474" s="320"/>
      <c r="E474" s="320"/>
      <c r="F474" s="320"/>
      <c r="G474" s="320"/>
      <c r="H474" s="320"/>
      <c r="I474" s="320"/>
      <c r="J474" s="320"/>
      <c r="K474" s="320"/>
      <c r="L474" s="320"/>
      <c r="M474" s="320"/>
      <c r="N474" s="320"/>
      <c r="O474" s="320"/>
      <c r="P474" s="320">
        <v>51946979.44771415</v>
      </c>
      <c r="Q474" s="320">
        <v>47278343.575712055</v>
      </c>
      <c r="R474" s="320">
        <v>35181857.785341538</v>
      </c>
      <c r="S474" s="320">
        <v>23395272.120224595</v>
      </c>
      <c r="T474" s="320">
        <v>34068453.238174982</v>
      </c>
      <c r="U474" s="320">
        <v>14673456.614502264</v>
      </c>
      <c r="V474" s="320">
        <v>19407405.189409077</v>
      </c>
      <c r="W474" s="320">
        <v>19074934.847020216</v>
      </c>
      <c r="X474" s="320">
        <v>19430903.908223096</v>
      </c>
      <c r="Y474" s="320">
        <v>21808022.495576464</v>
      </c>
      <c r="Z474" s="320">
        <v>27256895.453390345</v>
      </c>
      <c r="AA474" s="320">
        <v>4563188.3654463617</v>
      </c>
      <c r="AB474" s="320">
        <v>10569052.585573133</v>
      </c>
      <c r="AC474" s="320">
        <v>4681790.8117871033</v>
      </c>
      <c r="AD474" s="320">
        <v>9815120.793683894</v>
      </c>
      <c r="AE474" s="320">
        <v>2258094.5815593386</v>
      </c>
      <c r="AF474" s="320">
        <v>2190956.7844313299</v>
      </c>
      <c r="AG474" s="320">
        <v>2481601.5862254952</v>
      </c>
      <c r="AH474" s="320">
        <v>1199830.5395069798</v>
      </c>
      <c r="AI474" s="320">
        <v>3816223.507232137</v>
      </c>
      <c r="AJ474" s="320">
        <v>829059.90530930855</v>
      </c>
      <c r="AK474" s="320">
        <v>749564.44689693756</v>
      </c>
      <c r="AL474" s="320">
        <v>686140.81114790356</v>
      </c>
      <c r="AM474" s="320">
        <v>4107612.1409865385</v>
      </c>
      <c r="AN474" s="320">
        <v>315099.19261464546</v>
      </c>
      <c r="AO474" s="320">
        <v>296684.62832995254</v>
      </c>
      <c r="AP474" s="320">
        <v>296682.9123072676</v>
      </c>
      <c r="AQ474" s="320">
        <v>4966233.1727552069</v>
      </c>
      <c r="AR474" s="320">
        <v>1633.4840303335172</v>
      </c>
      <c r="AS474" s="320">
        <v>1281.3864737317874</v>
      </c>
      <c r="AT474" s="320"/>
      <c r="AU474" s="320"/>
      <c r="AV474" s="320"/>
      <c r="AW474" s="320"/>
      <c r="AX474" s="320"/>
      <c r="AY474" s="320"/>
      <c r="AZ474" s="320"/>
      <c r="BA474" s="320"/>
      <c r="BB474" s="320"/>
      <c r="BC474" s="320"/>
      <c r="BD474" s="320"/>
      <c r="BE474" s="320"/>
      <c r="BF474" s="320"/>
      <c r="BG474" s="320"/>
      <c r="BH474" s="320"/>
      <c r="BI474" s="320"/>
      <c r="BJ474" s="320"/>
      <c r="BK474" s="320"/>
    </row>
    <row r="475" spans="1:63">
      <c r="A475" s="167"/>
      <c r="B475" s="217" t="str">
        <f>Servicio_internaColumna_título_amortizaciones</f>
        <v>Amortizaciones</v>
      </c>
      <c r="C475" s="218"/>
      <c r="D475" s="219"/>
      <c r="E475" s="219"/>
      <c r="F475" s="219"/>
      <c r="G475" s="219"/>
      <c r="H475" s="219"/>
      <c r="I475" s="219"/>
      <c r="J475" s="219"/>
      <c r="K475" s="219"/>
      <c r="L475" s="219"/>
      <c r="M475" s="219"/>
      <c r="N475" s="219"/>
      <c r="O475" s="219"/>
      <c r="P475" s="219">
        <v>27791200.453576911</v>
      </c>
      <c r="Q475" s="219">
        <v>32896945.512206398</v>
      </c>
      <c r="R475" s="219">
        <v>23093944.859999333</v>
      </c>
      <c r="S475" s="219">
        <v>13041178.804549092</v>
      </c>
      <c r="T475" s="219">
        <v>25089497.179385521</v>
      </c>
      <c r="U475" s="219">
        <v>8940865.4815272689</v>
      </c>
      <c r="V475" s="219">
        <v>11634272.166364646</v>
      </c>
      <c r="W475" s="219">
        <v>12875228.049424067</v>
      </c>
      <c r="X475" s="219">
        <v>13274806.533292927</v>
      </c>
      <c r="Y475" s="219">
        <v>16589956.387790879</v>
      </c>
      <c r="Z475" s="219">
        <v>24002614.425377548</v>
      </c>
      <c r="AA475" s="219">
        <v>2262395.7671290059</v>
      </c>
      <c r="AB475" s="219">
        <v>8299974.4460285474</v>
      </c>
      <c r="AC475" s="219">
        <v>2996546.7468211479</v>
      </c>
      <c r="AD475" s="219">
        <v>8603308.0975465216</v>
      </c>
      <c r="AE475" s="219">
        <v>1358608.9284583481</v>
      </c>
      <c r="AF475" s="219">
        <v>1345055.9868591859</v>
      </c>
      <c r="AG475" s="219">
        <v>1732504.7075109321</v>
      </c>
      <c r="AH475" s="219">
        <v>446320.75715897436</v>
      </c>
      <c r="AI475" s="219">
        <v>3231180.6859497558</v>
      </c>
      <c r="AJ475" s="219">
        <v>231638.23513310379</v>
      </c>
      <c r="AK475" s="219">
        <v>162239.18077182936</v>
      </c>
      <c r="AL475" s="219">
        <v>106800.89830897091</v>
      </c>
      <c r="AM475" s="219">
        <v>3680998.0109019829</v>
      </c>
      <c r="AN475" s="219">
        <v>1686.3998255634763</v>
      </c>
      <c r="AO475" s="219">
        <v>1686.3998255634763</v>
      </c>
      <c r="AP475" s="219">
        <v>1686.3998255634763</v>
      </c>
      <c r="AQ475" s="219">
        <v>5022336.3998255646</v>
      </c>
      <c r="AR475" s="219">
        <v>1686.3998255634763</v>
      </c>
      <c r="AS475" s="219">
        <v>1321.2637496797581</v>
      </c>
      <c r="AT475" s="219">
        <v>956.12767379604009</v>
      </c>
      <c r="AU475" s="219"/>
      <c r="AV475" s="219"/>
      <c r="AW475" s="219"/>
      <c r="AX475" s="219"/>
      <c r="AY475" s="219"/>
      <c r="AZ475" s="219"/>
      <c r="BA475" s="219"/>
      <c r="BB475" s="219"/>
      <c r="BC475" s="219"/>
      <c r="BD475" s="219"/>
      <c r="BE475" s="219"/>
      <c r="BF475" s="219"/>
      <c r="BG475" s="219"/>
      <c r="BH475" s="219"/>
      <c r="BI475" s="219"/>
      <c r="BJ475" s="219"/>
      <c r="BK475" s="219"/>
    </row>
    <row r="476" spans="1:63">
      <c r="A476" s="170">
        <v>41670</v>
      </c>
      <c r="B476" s="220" t="str">
        <f>Servicio_internaColumna_título_intereses</f>
        <v>Intereses</v>
      </c>
      <c r="C476" s="221"/>
      <c r="D476" s="222"/>
      <c r="E476" s="222"/>
      <c r="F476" s="222"/>
      <c r="G476" s="222"/>
      <c r="H476" s="222"/>
      <c r="I476" s="222"/>
      <c r="J476" s="222"/>
      <c r="K476" s="222"/>
      <c r="L476" s="222"/>
      <c r="M476" s="222"/>
      <c r="N476" s="222"/>
      <c r="O476" s="222"/>
      <c r="P476" s="222">
        <v>16523223.871020004</v>
      </c>
      <c r="Q476" s="222">
        <v>14885301.226965079</v>
      </c>
      <c r="R476" s="222">
        <v>12530557.536528517</v>
      </c>
      <c r="S476" s="222">
        <v>10952268.129119966</v>
      </c>
      <c r="T476" s="222">
        <v>10472034.190057859</v>
      </c>
      <c r="U476" s="222">
        <v>8474580.3457549233</v>
      </c>
      <c r="V476" s="222">
        <v>8178781.6320755426</v>
      </c>
      <c r="W476" s="222">
        <v>7079118.2607204225</v>
      </c>
      <c r="X476" s="222">
        <v>6456012.7856912501</v>
      </c>
      <c r="Y476" s="222">
        <v>5600034.5312070344</v>
      </c>
      <c r="Z476" s="222">
        <v>4504309.417321695</v>
      </c>
      <c r="AA476" s="222">
        <v>2540156.2411960447</v>
      </c>
      <c r="AB476" s="222">
        <v>2450003.9668608513</v>
      </c>
      <c r="AC476" s="222">
        <v>1864871.9174465677</v>
      </c>
      <c r="AD476" s="222">
        <v>1635898.6158208032</v>
      </c>
      <c r="AE476" s="222">
        <v>1068645.6320305066</v>
      </c>
      <c r="AF476" s="222">
        <v>998684.70816061471</v>
      </c>
      <c r="AG476" s="222">
        <v>912155.16401204886</v>
      </c>
      <c r="AH476" s="222">
        <v>860498.11023898271</v>
      </c>
      <c r="AI476" s="222">
        <v>804878.7625588465</v>
      </c>
      <c r="AJ476" s="222">
        <v>631059.59934907011</v>
      </c>
      <c r="AK476" s="222">
        <v>617769.21207921917</v>
      </c>
      <c r="AL476" s="222">
        <v>607261.49649407517</v>
      </c>
      <c r="AM476" s="222">
        <v>599275.6823075061</v>
      </c>
      <c r="AN476" s="222">
        <v>325951.09308516065</v>
      </c>
      <c r="AO476" s="222">
        <v>322682.12580320763</v>
      </c>
      <c r="AP476" s="222">
        <v>307534.66558767657</v>
      </c>
      <c r="AQ476" s="222">
        <v>153775.36484354126</v>
      </c>
      <c r="AR476" s="222">
        <v>16.117074608095347</v>
      </c>
      <c r="AS476" s="222">
        <v>14.275555674943115</v>
      </c>
      <c r="AT476" s="222">
        <v>12.466830914573045</v>
      </c>
      <c r="AU476" s="222"/>
      <c r="AV476" s="222"/>
      <c r="AW476" s="222"/>
      <c r="AX476" s="222"/>
      <c r="AY476" s="222"/>
      <c r="AZ476" s="222"/>
      <c r="BA476" s="222"/>
      <c r="BB476" s="222"/>
      <c r="BC476" s="222"/>
      <c r="BD476" s="222"/>
      <c r="BE476" s="222"/>
      <c r="BF476" s="222"/>
      <c r="BG476" s="222"/>
      <c r="BH476" s="222"/>
      <c r="BI476" s="222"/>
      <c r="BJ476" s="222"/>
      <c r="BK476" s="222"/>
    </row>
    <row r="477" spans="1:63">
      <c r="A477" s="171"/>
      <c r="B477" s="318" t="str">
        <f>Servicio_internaColumna_título_total</f>
        <v>Total</v>
      </c>
      <c r="C477" s="319"/>
      <c r="D477" s="320"/>
      <c r="E477" s="320"/>
      <c r="F477" s="320"/>
      <c r="G477" s="320"/>
      <c r="H477" s="320"/>
      <c r="I477" s="320"/>
      <c r="J477" s="320"/>
      <c r="K477" s="320"/>
      <c r="L477" s="320"/>
      <c r="M477" s="320"/>
      <c r="N477" s="320"/>
      <c r="O477" s="320"/>
      <c r="P477" s="320">
        <v>44314424.324596919</v>
      </c>
      <c r="Q477" s="320">
        <v>47782246.739171475</v>
      </c>
      <c r="R477" s="320">
        <v>35624502.396527849</v>
      </c>
      <c r="S477" s="320">
        <v>23993446.93366906</v>
      </c>
      <c r="T477" s="320">
        <v>35561531.369443379</v>
      </c>
      <c r="U477" s="320">
        <v>17415445.827282194</v>
      </c>
      <c r="V477" s="320">
        <v>19813053.798440188</v>
      </c>
      <c r="W477" s="320">
        <v>19954346.310144491</v>
      </c>
      <c r="X477" s="320">
        <v>19730819.318984177</v>
      </c>
      <c r="Y477" s="320">
        <v>22189990.918997914</v>
      </c>
      <c r="Z477" s="320">
        <v>28506923.842699241</v>
      </c>
      <c r="AA477" s="320">
        <v>4802552.0083250506</v>
      </c>
      <c r="AB477" s="320">
        <v>10749978.412889399</v>
      </c>
      <c r="AC477" s="320">
        <v>4861418.6642677151</v>
      </c>
      <c r="AD477" s="320">
        <v>10239206.713367324</v>
      </c>
      <c r="AE477" s="320">
        <v>2427254.560488855</v>
      </c>
      <c r="AF477" s="320">
        <v>2343740.6950198007</v>
      </c>
      <c r="AG477" s="320">
        <v>2644659.8715229807</v>
      </c>
      <c r="AH477" s="320">
        <v>1306818.867397957</v>
      </c>
      <c r="AI477" s="320">
        <v>4036059.4485086021</v>
      </c>
      <c r="AJ477" s="320">
        <v>862697.8344821739</v>
      </c>
      <c r="AK477" s="320">
        <v>780008.3928510485</v>
      </c>
      <c r="AL477" s="320">
        <v>714062.39480304613</v>
      </c>
      <c r="AM477" s="320">
        <v>4280273.6932094889</v>
      </c>
      <c r="AN477" s="320">
        <v>327637.49291072413</v>
      </c>
      <c r="AO477" s="320">
        <v>324368.52562877111</v>
      </c>
      <c r="AP477" s="320">
        <v>309221.06541324005</v>
      </c>
      <c r="AQ477" s="320">
        <v>5176111.7646691054</v>
      </c>
      <c r="AR477" s="320">
        <v>1702.5169001715717</v>
      </c>
      <c r="AS477" s="320">
        <v>1335.5393053547011</v>
      </c>
      <c r="AT477" s="320">
        <v>968.59450471061314</v>
      </c>
      <c r="AU477" s="320"/>
      <c r="AV477" s="320"/>
      <c r="AW477" s="320"/>
      <c r="AX477" s="320"/>
      <c r="AY477" s="320"/>
      <c r="AZ477" s="320"/>
      <c r="BA477" s="320"/>
      <c r="BB477" s="320"/>
      <c r="BC477" s="320"/>
      <c r="BD477" s="320"/>
      <c r="BE477" s="320"/>
      <c r="BF477" s="320"/>
      <c r="BG477" s="320"/>
      <c r="BH477" s="320"/>
      <c r="BI477" s="320"/>
      <c r="BJ477" s="320"/>
      <c r="BK477" s="320"/>
    </row>
    <row r="478" spans="1:63">
      <c r="A478" s="167"/>
      <c r="B478" s="217" t="str">
        <f>Servicio_internaColumna_título_amortizaciones</f>
        <v>Amortizaciones</v>
      </c>
      <c r="C478" s="218"/>
      <c r="D478" s="219"/>
      <c r="E478" s="219"/>
      <c r="F478" s="219"/>
      <c r="G478" s="219"/>
      <c r="H478" s="219"/>
      <c r="I478" s="219"/>
      <c r="J478" s="219"/>
      <c r="K478" s="219"/>
      <c r="L478" s="219"/>
      <c r="M478" s="219"/>
      <c r="N478" s="219"/>
      <c r="O478" s="219"/>
      <c r="P478" s="219">
        <v>28739688.503657646</v>
      </c>
      <c r="Q478" s="219">
        <v>32972574.548384294</v>
      </c>
      <c r="R478" s="219">
        <v>23130201.839779854</v>
      </c>
      <c r="S478" s="219">
        <v>13159269.820667787</v>
      </c>
      <c r="T478" s="219">
        <v>25102119.115670104</v>
      </c>
      <c r="U478" s="219">
        <v>9841641.9029780142</v>
      </c>
      <c r="V478" s="219">
        <v>11679469.309720324</v>
      </c>
      <c r="W478" s="219">
        <v>13228967.931427278</v>
      </c>
      <c r="X478" s="219">
        <v>13278667.571873436</v>
      </c>
      <c r="Y478" s="219">
        <v>16682137.163257055</v>
      </c>
      <c r="Z478" s="219">
        <v>24454939.954185225</v>
      </c>
      <c r="AA478" s="219">
        <v>2291586.7297527571</v>
      </c>
      <c r="AB478" s="219">
        <v>8302470.3531532772</v>
      </c>
      <c r="AC478" s="219">
        <v>3002051.503428149</v>
      </c>
      <c r="AD478" s="219">
        <v>8951553.6139287986</v>
      </c>
      <c r="AE478" s="219">
        <v>1387544.7963162418</v>
      </c>
      <c r="AF478" s="219">
        <v>1376491.3628480954</v>
      </c>
      <c r="AG478" s="219">
        <v>1772846.353654074</v>
      </c>
      <c r="AH478" s="219">
        <v>456700.13777221588</v>
      </c>
      <c r="AI478" s="219">
        <v>3791151.4403486643</v>
      </c>
      <c r="AJ478" s="219">
        <v>237031.86164842514</v>
      </c>
      <c r="AK478" s="219">
        <v>166021.0777823008</v>
      </c>
      <c r="AL478" s="219">
        <v>109294.69023510479</v>
      </c>
      <c r="AM478" s="219">
        <v>3766498.6629765541</v>
      </c>
      <c r="AN478" s="219">
        <v>1725.5649176652364</v>
      </c>
      <c r="AO478" s="219">
        <v>1725.5649176652364</v>
      </c>
      <c r="AP478" s="219">
        <v>1725.5649176652364</v>
      </c>
      <c r="AQ478" s="219">
        <v>5138975.5649176659</v>
      </c>
      <c r="AR478" s="219">
        <v>1725.5649176652364</v>
      </c>
      <c r="AS478" s="219">
        <v>1351.9488906899182</v>
      </c>
      <c r="AT478" s="219">
        <v>4110778.3328637145</v>
      </c>
      <c r="AU478" s="219"/>
      <c r="AV478" s="219"/>
      <c r="AW478" s="219"/>
      <c r="AX478" s="219"/>
      <c r="AY478" s="219"/>
      <c r="AZ478" s="219"/>
      <c r="BA478" s="219"/>
      <c r="BB478" s="219"/>
      <c r="BC478" s="219"/>
      <c r="BD478" s="219"/>
      <c r="BE478" s="219"/>
      <c r="BF478" s="219"/>
      <c r="BG478" s="219"/>
      <c r="BH478" s="219"/>
      <c r="BI478" s="219"/>
      <c r="BJ478" s="219"/>
      <c r="BK478" s="219"/>
    </row>
    <row r="479" spans="1:63">
      <c r="A479" s="170">
        <v>41698</v>
      </c>
      <c r="B479" s="220" t="str">
        <f>Servicio_internaColumna_título_intereses</f>
        <v>Intereses</v>
      </c>
      <c r="C479" s="221"/>
      <c r="D479" s="222"/>
      <c r="E479" s="222"/>
      <c r="F479" s="222"/>
      <c r="G479" s="222"/>
      <c r="H479" s="222"/>
      <c r="I479" s="222"/>
      <c r="J479" s="222"/>
      <c r="K479" s="222"/>
      <c r="L479" s="222"/>
      <c r="M479" s="222"/>
      <c r="N479" s="222"/>
      <c r="O479" s="222"/>
      <c r="P479" s="222">
        <v>16395268.606142137</v>
      </c>
      <c r="Q479" s="222">
        <v>15149209.141171427</v>
      </c>
      <c r="R479" s="222">
        <v>12830458.035805698</v>
      </c>
      <c r="S479" s="222">
        <v>11234530.269993221</v>
      </c>
      <c r="T479" s="222">
        <v>10779292.874798886</v>
      </c>
      <c r="U479" s="222">
        <v>8776694.0664679073</v>
      </c>
      <c r="V479" s="222">
        <v>8459994.305337809</v>
      </c>
      <c r="W479" s="222">
        <v>7391133.7861561831</v>
      </c>
      <c r="X479" s="222">
        <v>6754059.7075375505</v>
      </c>
      <c r="Y479" s="222">
        <v>5909078.6249452867</v>
      </c>
      <c r="Z479" s="222">
        <v>4828182.3918658141</v>
      </c>
      <c r="AA479" s="222">
        <v>2826599.7245870521</v>
      </c>
      <c r="AB479" s="222">
        <v>2739018.2311852081</v>
      </c>
      <c r="AC479" s="222">
        <v>2156565.8704141802</v>
      </c>
      <c r="AD479" s="222">
        <v>1929856.1534037618</v>
      </c>
      <c r="AE479" s="222">
        <v>1349823.8590850201</v>
      </c>
      <c r="AF479" s="222">
        <v>1273525.1253210362</v>
      </c>
      <c r="AG479" s="222">
        <v>1186775.1079913934</v>
      </c>
      <c r="AH479" s="222">
        <v>1135683.6839977172</v>
      </c>
      <c r="AI479" s="222">
        <v>1079637.5614862493</v>
      </c>
      <c r="AJ479" s="222">
        <v>876115.86213063274</v>
      </c>
      <c r="AK479" s="222">
        <v>862612.67440725875</v>
      </c>
      <c r="AL479" s="222">
        <v>851952.57357287977</v>
      </c>
      <c r="AM479" s="222">
        <v>843864.51115026115</v>
      </c>
      <c r="AN479" s="222">
        <v>564269.63845982926</v>
      </c>
      <c r="AO479" s="222">
        <v>561000.62841028476</v>
      </c>
      <c r="AP479" s="222">
        <v>545853.12665746303</v>
      </c>
      <c r="AQ479" s="222">
        <v>388522.90691543568</v>
      </c>
      <c r="AR479" s="222">
        <v>231192.74137891116</v>
      </c>
      <c r="AS479" s="222">
        <v>231190.85709238669</v>
      </c>
      <c r="AT479" s="222">
        <v>115600.88136164958</v>
      </c>
      <c r="AU479" s="222"/>
      <c r="AV479" s="222"/>
      <c r="AW479" s="222"/>
      <c r="AX479" s="222"/>
      <c r="AY479" s="222"/>
      <c r="AZ479" s="222"/>
      <c r="BA479" s="222"/>
      <c r="BB479" s="222"/>
      <c r="BC479" s="222"/>
      <c r="BD479" s="222"/>
      <c r="BE479" s="222"/>
      <c r="BF479" s="222"/>
      <c r="BG479" s="222"/>
      <c r="BH479" s="222"/>
      <c r="BI479" s="222"/>
      <c r="BJ479" s="222"/>
      <c r="BK479" s="222"/>
    </row>
    <row r="480" spans="1:63">
      <c r="A480" s="171"/>
      <c r="B480" s="318" t="str">
        <f>Servicio_internaColumna_título_total</f>
        <v>Total</v>
      </c>
      <c r="C480" s="319"/>
      <c r="D480" s="320"/>
      <c r="E480" s="320"/>
      <c r="F480" s="320"/>
      <c r="G480" s="320"/>
      <c r="H480" s="320"/>
      <c r="I480" s="320"/>
      <c r="J480" s="320"/>
      <c r="K480" s="320"/>
      <c r="L480" s="320"/>
      <c r="M480" s="320"/>
      <c r="N480" s="320"/>
      <c r="O480" s="320"/>
      <c r="P480" s="320">
        <v>45134957.10979978</v>
      </c>
      <c r="Q480" s="320">
        <v>48121783.689555727</v>
      </c>
      <c r="R480" s="320">
        <v>35960659.875585556</v>
      </c>
      <c r="S480" s="320">
        <v>24393800.090661008</v>
      </c>
      <c r="T480" s="320">
        <v>35881411.990468994</v>
      </c>
      <c r="U480" s="320">
        <v>18618335.969445921</v>
      </c>
      <c r="V480" s="320">
        <v>20139463.615058132</v>
      </c>
      <c r="W480" s="320">
        <v>20620101.717583463</v>
      </c>
      <c r="X480" s="320">
        <v>20032727.279410984</v>
      </c>
      <c r="Y480" s="320">
        <v>22591215.788202338</v>
      </c>
      <c r="Z480" s="320">
        <v>29283122.346051037</v>
      </c>
      <c r="AA480" s="320">
        <v>5118186.4543398097</v>
      </c>
      <c r="AB480" s="320">
        <v>11041488.584338486</v>
      </c>
      <c r="AC480" s="320">
        <v>5158617.3738423288</v>
      </c>
      <c r="AD480" s="320">
        <v>10881409.767332561</v>
      </c>
      <c r="AE480" s="320">
        <v>2737368.6554012615</v>
      </c>
      <c r="AF480" s="320">
        <v>2650016.4881691318</v>
      </c>
      <c r="AG480" s="320">
        <v>2959621.4616454677</v>
      </c>
      <c r="AH480" s="320">
        <v>1592383.821769933</v>
      </c>
      <c r="AI480" s="320">
        <v>4870789.0018349132</v>
      </c>
      <c r="AJ480" s="320">
        <v>1113147.7237790579</v>
      </c>
      <c r="AK480" s="320">
        <v>1028633.7521895595</v>
      </c>
      <c r="AL480" s="320">
        <v>961247.26380798453</v>
      </c>
      <c r="AM480" s="320">
        <v>4610363.1741268151</v>
      </c>
      <c r="AN480" s="320">
        <v>565995.20337749447</v>
      </c>
      <c r="AO480" s="320">
        <v>562726.19332794996</v>
      </c>
      <c r="AP480" s="320">
        <v>547578.69157512824</v>
      </c>
      <c r="AQ480" s="320">
        <v>5527498.4718331015</v>
      </c>
      <c r="AR480" s="320">
        <v>232918.3062965764</v>
      </c>
      <c r="AS480" s="320">
        <v>232542.8059830766</v>
      </c>
      <c r="AT480" s="320">
        <v>4226379.2142253639</v>
      </c>
      <c r="AU480" s="320"/>
      <c r="AV480" s="320"/>
      <c r="AW480" s="320"/>
      <c r="AX480" s="320"/>
      <c r="AY480" s="320"/>
      <c r="AZ480" s="320"/>
      <c r="BA480" s="320"/>
      <c r="BB480" s="320"/>
      <c r="BC480" s="320"/>
      <c r="BD480" s="320"/>
      <c r="BE480" s="320"/>
      <c r="BF480" s="320"/>
      <c r="BG480" s="320"/>
      <c r="BH480" s="320"/>
      <c r="BI480" s="320"/>
      <c r="BJ480" s="320"/>
      <c r="BK480" s="320"/>
    </row>
    <row r="481" spans="1:63">
      <c r="A481" s="167"/>
      <c r="B481" s="217" t="str">
        <f>Servicio_internaColumna_título_amortizaciones</f>
        <v>Amortizaciones</v>
      </c>
      <c r="C481" s="218"/>
      <c r="D481" s="219"/>
      <c r="E481" s="219"/>
      <c r="F481" s="219"/>
      <c r="G481" s="219"/>
      <c r="H481" s="219"/>
      <c r="I481" s="219"/>
      <c r="J481" s="219"/>
      <c r="K481" s="219"/>
      <c r="L481" s="219"/>
      <c r="M481" s="219"/>
      <c r="N481" s="219"/>
      <c r="O481" s="219"/>
      <c r="P481" s="219">
        <v>27822458.632433712</v>
      </c>
      <c r="Q481" s="219">
        <v>32517321.026169527</v>
      </c>
      <c r="R481" s="219">
        <v>23053133.101846207</v>
      </c>
      <c r="S481" s="219">
        <v>13353488.412080513</v>
      </c>
      <c r="T481" s="219">
        <v>25054831.055946566</v>
      </c>
      <c r="U481" s="219">
        <v>11841787.750271533</v>
      </c>
      <c r="V481" s="219">
        <v>11570455.79103281</v>
      </c>
      <c r="W481" s="219">
        <v>13889369.231399529</v>
      </c>
      <c r="X481" s="219">
        <v>13248970.416699437</v>
      </c>
      <c r="Y481" s="219">
        <v>16637751.352840289</v>
      </c>
      <c r="Z481" s="219">
        <v>25343128.313125536</v>
      </c>
      <c r="AA481" s="219">
        <v>2217832.8182715215</v>
      </c>
      <c r="AB481" s="219">
        <v>8282389.8972636526</v>
      </c>
      <c r="AC481" s="219">
        <v>2975225.6816478232</v>
      </c>
      <c r="AD481" s="219">
        <v>10149292.147334849</v>
      </c>
      <c r="AE481" s="219">
        <v>1331494.6279393591</v>
      </c>
      <c r="AF481" s="219">
        <v>1318493.5278374953</v>
      </c>
      <c r="AG481" s="219">
        <v>1697383.8144040243</v>
      </c>
      <c r="AH481" s="219">
        <v>437138.84222559526</v>
      </c>
      <c r="AI481" s="219">
        <v>4575653.0780141028</v>
      </c>
      <c r="AJ481" s="219">
        <v>227046.63982519455</v>
      </c>
      <c r="AK481" s="219">
        <v>159131.45478077803</v>
      </c>
      <c r="AL481" s="219">
        <v>104878.03836102749</v>
      </c>
      <c r="AM481" s="219">
        <v>3602652.2702315296</v>
      </c>
      <c r="AN481" s="219">
        <v>1650.3417411970618</v>
      </c>
      <c r="AO481" s="219">
        <v>1650.3417411970618</v>
      </c>
      <c r="AP481" s="219">
        <v>1650.3417411970618</v>
      </c>
      <c r="AQ481" s="219">
        <v>4914950.3417411968</v>
      </c>
      <c r="AR481" s="219">
        <v>1650.3417411970618</v>
      </c>
      <c r="AS481" s="219">
        <v>1293.0128930121707</v>
      </c>
      <c r="AT481" s="219">
        <v>3931575.6840448272</v>
      </c>
      <c r="AU481" s="219"/>
      <c r="AV481" s="219"/>
      <c r="AW481" s="219"/>
      <c r="AX481" s="219"/>
      <c r="AY481" s="219"/>
      <c r="AZ481" s="219"/>
      <c r="BA481" s="219"/>
      <c r="BB481" s="219"/>
      <c r="BC481" s="219"/>
      <c r="BD481" s="219"/>
      <c r="BE481" s="219"/>
      <c r="BF481" s="219"/>
      <c r="BG481" s="219"/>
      <c r="BH481" s="219"/>
      <c r="BI481" s="219"/>
      <c r="BJ481" s="219"/>
      <c r="BK481" s="219"/>
    </row>
    <row r="482" spans="1:63">
      <c r="A482" s="170">
        <v>41729</v>
      </c>
      <c r="B482" s="220" t="str">
        <f>Servicio_internaColumna_título_intereses</f>
        <v>Intereses</v>
      </c>
      <c r="C482" s="221"/>
      <c r="D482" s="222"/>
      <c r="E482" s="222"/>
      <c r="F482" s="222"/>
      <c r="G482" s="222"/>
      <c r="H482" s="222"/>
      <c r="I482" s="222"/>
      <c r="J482" s="222"/>
      <c r="K482" s="222"/>
      <c r="L482" s="222"/>
      <c r="M482" s="222"/>
      <c r="N482" s="222"/>
      <c r="O482" s="222"/>
      <c r="P482" s="222">
        <v>16403136.541871237</v>
      </c>
      <c r="Q482" s="222">
        <v>15638177.319088588</v>
      </c>
      <c r="R482" s="222">
        <v>13297930.732671738</v>
      </c>
      <c r="S482" s="222">
        <v>11616467.375823058</v>
      </c>
      <c r="T482" s="222">
        <v>11145197.741558593</v>
      </c>
      <c r="U482" s="222">
        <v>9115215.22057149</v>
      </c>
      <c r="V482" s="222">
        <v>8662160.2985758279</v>
      </c>
      <c r="W482" s="222">
        <v>7602339.1827277923</v>
      </c>
      <c r="X482" s="222">
        <v>6913475.0873112231</v>
      </c>
      <c r="Y482" s="222">
        <v>6061111.3172005052</v>
      </c>
      <c r="Z482" s="222">
        <v>4992817.1907575056</v>
      </c>
      <c r="AA482" s="222">
        <v>2871626.4568484253</v>
      </c>
      <c r="AB482" s="222">
        <v>2784766.3055092134</v>
      </c>
      <c r="AC482" s="222">
        <v>2202190.4554622779</v>
      </c>
      <c r="AD482" s="222">
        <v>1976465.2471905078</v>
      </c>
      <c r="AE482" s="222">
        <v>1334203.9594309905</v>
      </c>
      <c r="AF482" s="222">
        <v>1255775.4510431443</v>
      </c>
      <c r="AG482" s="222">
        <v>1173504.7664787341</v>
      </c>
      <c r="AH482" s="222">
        <v>1125681.6839713098</v>
      </c>
      <c r="AI482" s="222">
        <v>1074905.4672546366</v>
      </c>
      <c r="AJ482" s="222">
        <v>831733.55673672829</v>
      </c>
      <c r="AK482" s="222">
        <v>819360.51097777835</v>
      </c>
      <c r="AL482" s="222">
        <v>809305.8382453291</v>
      </c>
      <c r="AM482" s="222">
        <v>801714.29298590659</v>
      </c>
      <c r="AN482" s="222">
        <v>535234.23033127515</v>
      </c>
      <c r="AO482" s="222">
        <v>533316.5117175557</v>
      </c>
      <c r="AP482" s="222">
        <v>522057.55359503877</v>
      </c>
      <c r="AQ482" s="222">
        <v>371585.88710839656</v>
      </c>
      <c r="AR482" s="222">
        <v>221114.272464257</v>
      </c>
      <c r="AS482" s="222">
        <v>221112.47032011746</v>
      </c>
      <c r="AT482" s="222">
        <v>110561.45026895574</v>
      </c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</row>
    <row r="483" spans="1:63">
      <c r="A483" s="171"/>
      <c r="B483" s="318" t="str">
        <f>Servicio_internaColumna_título_total</f>
        <v>Total</v>
      </c>
      <c r="C483" s="319"/>
      <c r="D483" s="320"/>
      <c r="E483" s="320"/>
      <c r="F483" s="320"/>
      <c r="G483" s="320"/>
      <c r="H483" s="320"/>
      <c r="I483" s="320"/>
      <c r="J483" s="320"/>
      <c r="K483" s="320"/>
      <c r="L483" s="320"/>
      <c r="M483" s="320"/>
      <c r="N483" s="320"/>
      <c r="O483" s="320"/>
      <c r="P483" s="320">
        <v>44225595.174304947</v>
      </c>
      <c r="Q483" s="320">
        <v>48045269.067681514</v>
      </c>
      <c r="R483" s="320">
        <v>35903953.439242758</v>
      </c>
      <c r="S483" s="320">
        <v>24188967.039386202</v>
      </c>
      <c r="T483" s="320">
        <v>35824530.270138763</v>
      </c>
      <c r="U483" s="320">
        <v>18303939.374210395</v>
      </c>
      <c r="V483" s="320">
        <v>19995765.40279616</v>
      </c>
      <c r="W483" s="320">
        <v>20379136.553343162</v>
      </c>
      <c r="X483" s="320">
        <v>19959916.595950834</v>
      </c>
      <c r="Y483" s="320">
        <v>22421527.269156825</v>
      </c>
      <c r="Z483" s="320">
        <v>28984559.585706621</v>
      </c>
      <c r="AA483" s="320">
        <v>4996189.0849088542</v>
      </c>
      <c r="AB483" s="320">
        <v>10972409.299817884</v>
      </c>
      <c r="AC483" s="320">
        <v>5081161.4352807999</v>
      </c>
      <c r="AD483" s="320">
        <v>10812353.475107333</v>
      </c>
      <c r="AE483" s="320">
        <v>2639267.8350877529</v>
      </c>
      <c r="AF483" s="320">
        <v>2546231.4610794224</v>
      </c>
      <c r="AG483" s="320">
        <v>2841209.3098491961</v>
      </c>
      <c r="AH483" s="320">
        <v>1531463.4645858833</v>
      </c>
      <c r="AI483" s="320">
        <v>4786906.4347822592</v>
      </c>
      <c r="AJ483" s="320">
        <v>1066393.2829652829</v>
      </c>
      <c r="AK483" s="320">
        <v>985400.79203663638</v>
      </c>
      <c r="AL483" s="320">
        <v>920801.26014418656</v>
      </c>
      <c r="AM483" s="320">
        <v>4410692.5040159663</v>
      </c>
      <c r="AN483" s="320">
        <v>542124.24521683226</v>
      </c>
      <c r="AO483" s="320">
        <v>538855.31730967271</v>
      </c>
      <c r="AP483" s="320">
        <v>523707.89533623582</v>
      </c>
      <c r="AQ483" s="320">
        <v>5286536.2288495935</v>
      </c>
      <c r="AR483" s="320">
        <v>222764.61420545407</v>
      </c>
      <c r="AS483" s="320">
        <v>222405.48321312963</v>
      </c>
      <c r="AT483" s="320">
        <v>4042137.1343137831</v>
      </c>
      <c r="AU483" s="320"/>
      <c r="AV483" s="320"/>
      <c r="AW483" s="320"/>
      <c r="AX483" s="320"/>
      <c r="AY483" s="320"/>
      <c r="AZ483" s="320"/>
      <c r="BA483" s="320"/>
      <c r="BB483" s="320"/>
      <c r="BC483" s="320"/>
      <c r="BD483" s="320"/>
      <c r="BE483" s="320"/>
      <c r="BF483" s="320"/>
      <c r="BG483" s="320"/>
      <c r="BH483" s="320"/>
      <c r="BI483" s="320"/>
      <c r="BJ483" s="320"/>
      <c r="BK483" s="320"/>
    </row>
    <row r="484" spans="1:63">
      <c r="A484" s="167"/>
      <c r="B484" s="217" t="str">
        <f>Servicio_internaColumna_título_amortizaciones</f>
        <v>Amortizaciones</v>
      </c>
      <c r="C484" s="218"/>
      <c r="D484" s="219"/>
      <c r="E484" s="219"/>
      <c r="F484" s="219"/>
      <c r="G484" s="219"/>
      <c r="H484" s="219"/>
      <c r="I484" s="219"/>
      <c r="J484" s="219"/>
      <c r="K484" s="219"/>
      <c r="L484" s="219"/>
      <c r="M484" s="219"/>
      <c r="N484" s="219"/>
      <c r="O484" s="219"/>
      <c r="P484" s="219">
        <v>26298727.481063668</v>
      </c>
      <c r="Q484" s="219">
        <v>32539676.335788637</v>
      </c>
      <c r="R484" s="219">
        <v>23297202.564674109</v>
      </c>
      <c r="S484" s="219">
        <v>13318488.14036496</v>
      </c>
      <c r="T484" s="219">
        <v>25029338.003074907</v>
      </c>
      <c r="U484" s="219">
        <v>13841132.905311808</v>
      </c>
      <c r="V484" s="219">
        <v>11524218.268772829</v>
      </c>
      <c r="W484" s="219">
        <v>14541576.027168648</v>
      </c>
      <c r="X484" s="219">
        <v>13229463.917527091</v>
      </c>
      <c r="Y484" s="219">
        <v>16650758.794291075</v>
      </c>
      <c r="Z484" s="219">
        <v>26119655.037570648</v>
      </c>
      <c r="AA484" s="219">
        <v>2184108.2823156249</v>
      </c>
      <c r="AB484" s="219">
        <v>8267671.2447323473</v>
      </c>
      <c r="AC484" s="219">
        <v>2960526.1921464684</v>
      </c>
      <c r="AD484" s="219">
        <v>11103348.261447033</v>
      </c>
      <c r="AE484" s="219">
        <v>1311374.3327576243</v>
      </c>
      <c r="AF484" s="219">
        <v>1298572.8811609822</v>
      </c>
      <c r="AG484" s="219">
        <v>1671321.8225720478</v>
      </c>
      <c r="AH484" s="219">
        <v>430429.5223556126</v>
      </c>
      <c r="AI484" s="219">
        <v>5041564.0507160798</v>
      </c>
      <c r="AJ484" s="219">
        <v>223568.8737580982</v>
      </c>
      <c r="AK484" s="219">
        <v>156696.61316600526</v>
      </c>
      <c r="AL484" s="219">
        <v>103276.15299355269</v>
      </c>
      <c r="AM484" s="219">
        <v>3547337.417584701</v>
      </c>
      <c r="AN484" s="219">
        <v>1633.4752756711275</v>
      </c>
      <c r="AO484" s="219">
        <v>1633.4752756711275</v>
      </c>
      <c r="AP484" s="219">
        <v>1633.4752756711275</v>
      </c>
      <c r="AQ484" s="219">
        <v>4839483.475275673</v>
      </c>
      <c r="AR484" s="219">
        <v>1633.4752756711275</v>
      </c>
      <c r="AS484" s="219">
        <v>1281.6336685656638</v>
      </c>
      <c r="AT484" s="219">
        <v>3871209.7920614597</v>
      </c>
      <c r="AU484" s="219"/>
      <c r="AV484" s="219"/>
      <c r="AW484" s="219"/>
      <c r="AX484" s="219"/>
      <c r="AY484" s="219"/>
      <c r="AZ484" s="219"/>
      <c r="BA484" s="219"/>
      <c r="BB484" s="219"/>
      <c r="BC484" s="219"/>
      <c r="BD484" s="219"/>
      <c r="BE484" s="219"/>
      <c r="BF484" s="219"/>
      <c r="BG484" s="219"/>
      <c r="BH484" s="219"/>
      <c r="BI484" s="219"/>
      <c r="BJ484" s="219"/>
      <c r="BK484" s="219"/>
    </row>
    <row r="485" spans="1:63">
      <c r="A485" s="170">
        <v>41759</v>
      </c>
      <c r="B485" s="220" t="str">
        <f>Servicio_internaColumna_título_intereses</f>
        <v>Intereses</v>
      </c>
      <c r="C485" s="221"/>
      <c r="D485" s="222"/>
      <c r="E485" s="222"/>
      <c r="F485" s="222"/>
      <c r="G485" s="222"/>
      <c r="H485" s="222"/>
      <c r="I485" s="222"/>
      <c r="J485" s="222"/>
      <c r="K485" s="222"/>
      <c r="L485" s="222"/>
      <c r="M485" s="222"/>
      <c r="N485" s="222"/>
      <c r="O485" s="222"/>
      <c r="P485" s="222">
        <v>16451411.469792333</v>
      </c>
      <c r="Q485" s="222">
        <v>15919931.690663412</v>
      </c>
      <c r="R485" s="222">
        <v>13588686.416987209</v>
      </c>
      <c r="S485" s="222">
        <v>11967168.489734165</v>
      </c>
      <c r="T485" s="222">
        <v>11466867.978257174</v>
      </c>
      <c r="U485" s="222">
        <v>9350991.8026832137</v>
      </c>
      <c r="V485" s="222">
        <v>8658384.7744160425</v>
      </c>
      <c r="W485" s="222">
        <v>7630160.8229263918</v>
      </c>
      <c r="X485" s="222">
        <v>6955302.4742193623</v>
      </c>
      <c r="Y485" s="222">
        <v>6094110.7244130131</v>
      </c>
      <c r="Z485" s="222">
        <v>5045476.7952035042</v>
      </c>
      <c r="AA485" s="222">
        <v>2850963.6360775512</v>
      </c>
      <c r="AB485" s="222">
        <v>2777006.2296624584</v>
      </c>
      <c r="AC485" s="222">
        <v>2196512.083399314</v>
      </c>
      <c r="AD485" s="222">
        <v>1972710.2209892217</v>
      </c>
      <c r="AE485" s="222">
        <v>1292932.1222903677</v>
      </c>
      <c r="AF485" s="222">
        <v>1227103.0305305803</v>
      </c>
      <c r="AG485" s="222">
        <v>1163196.8516452943</v>
      </c>
      <c r="AH485" s="222">
        <v>1125892.1047443347</v>
      </c>
      <c r="AI485" s="222">
        <v>1079432.1907049909</v>
      </c>
      <c r="AJ485" s="222">
        <v>814473.59840678063</v>
      </c>
      <c r="AK485" s="222">
        <v>804013.58027816133</v>
      </c>
      <c r="AL485" s="222">
        <v>795781.19823260861</v>
      </c>
      <c r="AM485" s="222">
        <v>789437.10339048505</v>
      </c>
      <c r="AN485" s="222">
        <v>527217.31492802699</v>
      </c>
      <c r="AO485" s="222">
        <v>525299.62398853363</v>
      </c>
      <c r="AP485" s="222">
        <v>514040.69274413498</v>
      </c>
      <c r="AQ485" s="222">
        <v>365879.71097782679</v>
      </c>
      <c r="AR485" s="222">
        <v>217718.78025791337</v>
      </c>
      <c r="AS485" s="222">
        <v>217717.00578799998</v>
      </c>
      <c r="AT485" s="222">
        <v>108863.63791823572</v>
      </c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</row>
    <row r="486" spans="1:63">
      <c r="A486" s="171"/>
      <c r="B486" s="318" t="str">
        <f>Servicio_internaColumna_título_total</f>
        <v>Total</v>
      </c>
      <c r="C486" s="319"/>
      <c r="D486" s="320"/>
      <c r="E486" s="320"/>
      <c r="F486" s="320"/>
      <c r="G486" s="320"/>
      <c r="H486" s="320"/>
      <c r="I486" s="320"/>
      <c r="J486" s="320"/>
      <c r="K486" s="320"/>
      <c r="L486" s="320"/>
      <c r="M486" s="320"/>
      <c r="N486" s="320"/>
      <c r="O486" s="320"/>
      <c r="P486" s="320">
        <v>42750138.950856</v>
      </c>
      <c r="Q486" s="320">
        <v>47964969.587632708</v>
      </c>
      <c r="R486" s="320">
        <v>35835287.740591064</v>
      </c>
      <c r="S486" s="320">
        <v>24152618.120532557</v>
      </c>
      <c r="T486" s="320">
        <v>35807513.565346509</v>
      </c>
      <c r="U486" s="320">
        <v>18135434.631237842</v>
      </c>
      <c r="V486" s="320">
        <v>19753679.266372479</v>
      </c>
      <c r="W486" s="320">
        <v>20132247.555693649</v>
      </c>
      <c r="X486" s="320">
        <v>19819044.396480124</v>
      </c>
      <c r="Y486" s="320">
        <v>22241858.044169195</v>
      </c>
      <c r="Z486" s="320">
        <v>28776891.927692756</v>
      </c>
      <c r="AA486" s="320">
        <v>4864204.3007499576</v>
      </c>
      <c r="AB486" s="320">
        <v>10871745.816864733</v>
      </c>
      <c r="AC486" s="320">
        <v>4981993.8721841387</v>
      </c>
      <c r="AD486" s="320">
        <v>10716244.166119915</v>
      </c>
      <c r="AE486" s="320">
        <v>2555840.9736401336</v>
      </c>
      <c r="AF486" s="320">
        <v>2474942.622891325</v>
      </c>
      <c r="AG486" s="320">
        <v>2781462.7590547889</v>
      </c>
      <c r="AH486" s="320">
        <v>1500886.622036065</v>
      </c>
      <c r="AI486" s="320">
        <v>4751369.3396721445</v>
      </c>
      <c r="AJ486" s="320">
        <v>1045655.5585682389</v>
      </c>
      <c r="AK486" s="320">
        <v>967619.01972224656</v>
      </c>
      <c r="AL486" s="320">
        <v>905674.73476399132</v>
      </c>
      <c r="AM486" s="320">
        <v>4343100.4617737159</v>
      </c>
      <c r="AN486" s="320">
        <v>534090.46334805817</v>
      </c>
      <c r="AO486" s="320">
        <v>530821.56311512471</v>
      </c>
      <c r="AP486" s="320">
        <v>515674.16801980609</v>
      </c>
      <c r="AQ486" s="320">
        <v>5205363.1862535002</v>
      </c>
      <c r="AR486" s="320">
        <v>219352.25553358451</v>
      </c>
      <c r="AS486" s="320">
        <v>218998.63945656564</v>
      </c>
      <c r="AT486" s="320">
        <v>3980073.4299796955</v>
      </c>
      <c r="AU486" s="320"/>
      <c r="AV486" s="320"/>
      <c r="AW486" s="320"/>
      <c r="AX486" s="320"/>
      <c r="AY486" s="320"/>
      <c r="AZ486" s="320"/>
      <c r="BA486" s="320"/>
      <c r="BB486" s="320"/>
      <c r="BC486" s="320"/>
      <c r="BD486" s="320"/>
      <c r="BE486" s="320"/>
      <c r="BF486" s="320"/>
      <c r="BG486" s="320"/>
      <c r="BH486" s="320"/>
      <c r="BI486" s="320"/>
      <c r="BJ486" s="320"/>
      <c r="BK486" s="320"/>
    </row>
    <row r="487" spans="1:63">
      <c r="A487" s="167"/>
      <c r="B487" s="217" t="str">
        <f>Servicio_internaColumna_título_amortizaciones</f>
        <v>Amortizaciones</v>
      </c>
      <c r="C487" s="218"/>
      <c r="D487" s="219"/>
      <c r="E487" s="219"/>
      <c r="F487" s="219"/>
      <c r="G487" s="219"/>
      <c r="H487" s="219"/>
      <c r="I487" s="219"/>
      <c r="J487" s="219"/>
      <c r="K487" s="219"/>
      <c r="L487" s="219"/>
      <c r="M487" s="219"/>
      <c r="N487" s="219"/>
      <c r="O487" s="219"/>
      <c r="P487" s="219">
        <v>15154110.645186815</v>
      </c>
      <c r="Q487" s="219">
        <v>32548756.998708896</v>
      </c>
      <c r="R487" s="219">
        <v>23261753.351062249</v>
      </c>
      <c r="S487" s="219">
        <v>13267075.0927081</v>
      </c>
      <c r="T487" s="219">
        <v>24993919.681317773</v>
      </c>
      <c r="U487" s="219">
        <v>14995491.243406624</v>
      </c>
      <c r="V487" s="219">
        <v>11471961.667475883</v>
      </c>
      <c r="W487" s="219">
        <v>14704088.651597632</v>
      </c>
      <c r="X487" s="219">
        <v>13207771.140357371</v>
      </c>
      <c r="Y487" s="219">
        <v>16648975.057654772</v>
      </c>
      <c r="Z487" s="219">
        <v>27151115.503507487</v>
      </c>
      <c r="AA487" s="219">
        <v>2147742.1754680118</v>
      </c>
      <c r="AB487" s="219">
        <v>8253031.5453780554</v>
      </c>
      <c r="AC487" s="219">
        <v>2943885.5013361597</v>
      </c>
      <c r="AD487" s="219">
        <v>11773916.927219903</v>
      </c>
      <c r="AE487" s="219">
        <v>1289948.6569611731</v>
      </c>
      <c r="AF487" s="219">
        <v>1276106.3261289089</v>
      </c>
      <c r="AG487" s="219">
        <v>1642015.8258823652</v>
      </c>
      <c r="AH487" s="219">
        <v>423246.34116290038</v>
      </c>
      <c r="AI487" s="219">
        <v>5312598.8362186821</v>
      </c>
      <c r="AJ487" s="219">
        <v>219636.68987125729</v>
      </c>
      <c r="AK487" s="219">
        <v>153926.8798235314</v>
      </c>
      <c r="AL487" s="219">
        <v>101429.43798977492</v>
      </c>
      <c r="AM487" s="219">
        <v>3484089.7879350572</v>
      </c>
      <c r="AN487" s="219">
        <v>1604.3534048965819</v>
      </c>
      <c r="AO487" s="219">
        <v>1604.3534048965819</v>
      </c>
      <c r="AP487" s="219">
        <v>1604.3534048965819</v>
      </c>
      <c r="AQ487" s="219">
        <v>4753204.3534048982</v>
      </c>
      <c r="AR487" s="219">
        <v>1604.3534048965819</v>
      </c>
      <c r="AS487" s="219">
        <v>1258.7844888858911</v>
      </c>
      <c r="AT487" s="219">
        <v>3802193.215572875</v>
      </c>
      <c r="AU487" s="219"/>
      <c r="AV487" s="219"/>
      <c r="AW487" s="219"/>
      <c r="AX487" s="219"/>
      <c r="AY487" s="219"/>
      <c r="AZ487" s="219"/>
      <c r="BA487" s="219"/>
      <c r="BB487" s="219"/>
      <c r="BC487" s="219"/>
      <c r="BD487" s="219"/>
      <c r="BE487" s="219"/>
      <c r="BF487" s="219"/>
      <c r="BG487" s="219"/>
      <c r="BH487" s="219"/>
      <c r="BI487" s="219"/>
      <c r="BJ487" s="219"/>
      <c r="BK487" s="219"/>
    </row>
    <row r="488" spans="1:63">
      <c r="A488" s="170">
        <v>41790</v>
      </c>
      <c r="B488" s="220" t="str">
        <f>Servicio_internaColumna_título_intereses</f>
        <v>Intereses</v>
      </c>
      <c r="C488" s="221"/>
      <c r="D488" s="222"/>
      <c r="E488" s="222"/>
      <c r="F488" s="222"/>
      <c r="G488" s="222"/>
      <c r="H488" s="222"/>
      <c r="I488" s="222"/>
      <c r="J488" s="222"/>
      <c r="K488" s="222"/>
      <c r="L488" s="222"/>
      <c r="M488" s="222"/>
      <c r="N488" s="222"/>
      <c r="O488" s="222"/>
      <c r="P488" s="222">
        <v>15472451.769917239</v>
      </c>
      <c r="Q488" s="222">
        <v>16113475.880499218</v>
      </c>
      <c r="R488" s="222">
        <v>13770530.564337965</v>
      </c>
      <c r="S488" s="222">
        <v>12147945.672945132</v>
      </c>
      <c r="T488" s="222">
        <v>11643592.163127104</v>
      </c>
      <c r="U488" s="222">
        <v>9532310.3107565194</v>
      </c>
      <c r="V488" s="222">
        <v>8772360.4182815552</v>
      </c>
      <c r="W488" s="222">
        <v>7750796.4427735247</v>
      </c>
      <c r="X488" s="222">
        <v>7072746.7061224459</v>
      </c>
      <c r="Y488" s="222">
        <v>6214198.7819491168</v>
      </c>
      <c r="Z488" s="222">
        <v>5176857.2181110699</v>
      </c>
      <c r="AA488" s="222">
        <v>2870956.579811574</v>
      </c>
      <c r="AB488" s="222">
        <v>2801460.5936985761</v>
      </c>
      <c r="AC488" s="222">
        <v>2223047.1070777522</v>
      </c>
      <c r="AD488" s="222">
        <v>2001230.4338152362</v>
      </c>
      <c r="AE488" s="222">
        <v>1286569.3850543592</v>
      </c>
      <c r="AF488" s="222">
        <v>1219162.6663912311</v>
      </c>
      <c r="AG488" s="222">
        <v>1158567.9609460467</v>
      </c>
      <c r="AH488" s="222">
        <v>1123333.3902024638</v>
      </c>
      <c r="AI488" s="222">
        <v>1078435.862787823</v>
      </c>
      <c r="AJ488" s="222">
        <v>800042.40374449978</v>
      </c>
      <c r="AK488" s="222">
        <v>789855.51380066725</v>
      </c>
      <c r="AL488" s="222">
        <v>781840.15844614001</v>
      </c>
      <c r="AM488" s="222">
        <v>775624.82486569474</v>
      </c>
      <c r="AN488" s="222">
        <v>518052.84900980088</v>
      </c>
      <c r="AO488" s="222">
        <v>516135.18970585434</v>
      </c>
      <c r="AP488" s="222">
        <v>504876.28918693878</v>
      </c>
      <c r="AQ488" s="222">
        <v>359356.74621624104</v>
      </c>
      <c r="AR488" s="222">
        <v>213837.25338187441</v>
      </c>
      <c r="AS488" s="222">
        <v>213835.51054750782</v>
      </c>
      <c r="AT488" s="222">
        <v>106922.79874991759</v>
      </c>
      <c r="AU488" s="222"/>
      <c r="AV488" s="222"/>
      <c r="AW488" s="222"/>
      <c r="AX488" s="222"/>
      <c r="AY488" s="222"/>
      <c r="AZ488" s="222"/>
      <c r="BA488" s="222"/>
      <c r="BB488" s="222"/>
      <c r="BC488" s="222"/>
      <c r="BD488" s="222"/>
      <c r="BE488" s="222"/>
      <c r="BF488" s="222"/>
      <c r="BG488" s="222"/>
      <c r="BH488" s="222"/>
      <c r="BI488" s="222"/>
      <c r="BJ488" s="222"/>
      <c r="BK488" s="222"/>
    </row>
    <row r="489" spans="1:63">
      <c r="A489" s="171"/>
      <c r="B489" s="318" t="str">
        <f>Servicio_internaColumna_título_total</f>
        <v>Total</v>
      </c>
      <c r="C489" s="319"/>
      <c r="D489" s="320"/>
      <c r="E489" s="320"/>
      <c r="F489" s="320"/>
      <c r="G489" s="320"/>
      <c r="H489" s="320"/>
      <c r="I489" s="320"/>
      <c r="J489" s="320"/>
      <c r="K489" s="320"/>
      <c r="L489" s="320"/>
      <c r="M489" s="320"/>
      <c r="N489" s="320"/>
      <c r="O489" s="320"/>
      <c r="P489" s="320">
        <v>30626562.415104054</v>
      </c>
      <c r="Q489" s="320">
        <v>48662232.879208118</v>
      </c>
      <c r="R489" s="320">
        <v>37032283.915400214</v>
      </c>
      <c r="S489" s="320">
        <v>25415020.76565323</v>
      </c>
      <c r="T489" s="320">
        <v>36637511.844444878</v>
      </c>
      <c r="U489" s="320">
        <v>24527801.554163143</v>
      </c>
      <c r="V489" s="320">
        <v>20244322.085757438</v>
      </c>
      <c r="W489" s="320">
        <v>22454885.094371159</v>
      </c>
      <c r="X489" s="320">
        <v>20280517.846479818</v>
      </c>
      <c r="Y489" s="320">
        <v>22863173.839603886</v>
      </c>
      <c r="Z489" s="320">
        <v>32327972.721618555</v>
      </c>
      <c r="AA489" s="320">
        <v>5018698.7552795857</v>
      </c>
      <c r="AB489" s="320">
        <v>11054492.139076632</v>
      </c>
      <c r="AC489" s="320">
        <v>5166932.6084139114</v>
      </c>
      <c r="AD489" s="320">
        <v>13775147.361035138</v>
      </c>
      <c r="AE489" s="320">
        <v>2576518.042015532</v>
      </c>
      <c r="AF489" s="320">
        <v>2495268.99252014</v>
      </c>
      <c r="AG489" s="320">
        <v>2800583.7868284122</v>
      </c>
      <c r="AH489" s="320">
        <v>1546579.7313653643</v>
      </c>
      <c r="AI489" s="320">
        <v>6391034.6990065053</v>
      </c>
      <c r="AJ489" s="320">
        <v>1019679.0936157571</v>
      </c>
      <c r="AK489" s="320">
        <v>943782.39362419862</v>
      </c>
      <c r="AL489" s="320">
        <v>883269.59643591498</v>
      </c>
      <c r="AM489" s="320">
        <v>4259714.6128007518</v>
      </c>
      <c r="AN489" s="320">
        <v>519657.20241469744</v>
      </c>
      <c r="AO489" s="320">
        <v>517739.54311075091</v>
      </c>
      <c r="AP489" s="320">
        <v>506480.64259183535</v>
      </c>
      <c r="AQ489" s="320">
        <v>5112561.0996211395</v>
      </c>
      <c r="AR489" s="320">
        <v>215441.60678677101</v>
      </c>
      <c r="AS489" s="320">
        <v>215094.29503639371</v>
      </c>
      <c r="AT489" s="320">
        <v>3909116.0143227926</v>
      </c>
      <c r="AU489" s="320"/>
      <c r="AV489" s="320"/>
      <c r="AW489" s="320"/>
      <c r="AX489" s="320"/>
      <c r="AY489" s="320"/>
      <c r="AZ489" s="320"/>
      <c r="BA489" s="320"/>
      <c r="BB489" s="320"/>
      <c r="BC489" s="320"/>
      <c r="BD489" s="320"/>
      <c r="BE489" s="320"/>
      <c r="BF489" s="320"/>
      <c r="BG489" s="320"/>
      <c r="BH489" s="320"/>
      <c r="BI489" s="320"/>
      <c r="BJ489" s="320"/>
      <c r="BK489" s="320"/>
    </row>
    <row r="490" spans="1:63">
      <c r="A490" s="167"/>
      <c r="B490" s="217" t="str">
        <f>Servicio_internaColumna_título_amortizaciones</f>
        <v>Amortizaciones</v>
      </c>
      <c r="C490" s="218"/>
      <c r="D490" s="219"/>
      <c r="E490" s="219"/>
      <c r="F490" s="219"/>
      <c r="G490" s="219"/>
      <c r="H490" s="219"/>
      <c r="I490" s="219"/>
      <c r="J490" s="219"/>
      <c r="K490" s="219"/>
      <c r="L490" s="219"/>
      <c r="M490" s="219"/>
      <c r="N490" s="219"/>
      <c r="O490" s="219"/>
      <c r="P490" s="219">
        <f>+'Perfil - interna'!P490+'Perfil - externa'!P488</f>
        <v>18429341.582579773</v>
      </c>
      <c r="Q490" s="219">
        <f>+'Perfil - interna'!Q490+'Perfil - externa'!Q488</f>
        <v>31032839.448183298</v>
      </c>
      <c r="R490" s="219">
        <f>+'Perfil - interna'!R490+'Perfil - externa'!R488</f>
        <v>22965491.106912781</v>
      </c>
      <c r="S490" s="219">
        <f>+'Perfil - interna'!S490+'Perfil - externa'!S488</f>
        <v>13087957.635091694</v>
      </c>
      <c r="T490" s="219">
        <f>+'Perfil - interna'!T490+'Perfil - externa'!T488</f>
        <v>24768859.277307197</v>
      </c>
      <c r="U490" s="219">
        <f>+'Perfil - interna'!U490+'Perfil - externa'!U488</f>
        <v>16426595.226446033</v>
      </c>
      <c r="V490" s="219">
        <f>+'Perfil - interna'!V490+'Perfil - externa'!V488</f>
        <v>11278440.577703763</v>
      </c>
      <c r="W490" s="219">
        <f>+'Perfil - interna'!W490+'Perfil - externa'!W488</f>
        <v>15057388.184334558</v>
      </c>
      <c r="X490" s="219">
        <f>+'Perfil - interna'!X490+'Perfil - externa'!X488</f>
        <v>13177511.957752099</v>
      </c>
      <c r="Y490" s="219">
        <f>+'Perfil - interna'!Y490+'Perfil - externa'!Y488</f>
        <v>16661144.877859116</v>
      </c>
      <c r="Z490" s="219">
        <f>+'Perfil - interna'!Z490+'Perfil - externa'!Z488</f>
        <v>27693245.169343434</v>
      </c>
      <c r="AA490" s="219">
        <f>+'Perfil - interna'!AA490+'Perfil - externa'!AA488</f>
        <v>2195065.286536627</v>
      </c>
      <c r="AB490" s="219">
        <f>+'Perfil - interna'!AB490+'Perfil - externa'!AB488</f>
        <v>8336566.6873451546</v>
      </c>
      <c r="AC490" s="219">
        <f>+'Perfil - interna'!AC490+'Perfil - externa'!AC488</f>
        <v>3055033.3722705208</v>
      </c>
      <c r="AD490" s="219">
        <f>+'Perfil - interna'!AD490+'Perfil - externa'!AD488</f>
        <v>12751207.625865053</v>
      </c>
      <c r="AE490" s="219">
        <f>+'Perfil - interna'!AE490+'Perfil - externa'!AE488</f>
        <v>1409489.3948920064</v>
      </c>
      <c r="AF490" s="219">
        <f>+'Perfil - interna'!AF490+'Perfil - externa'!AF488</f>
        <v>1427483.5000059493</v>
      </c>
      <c r="AG490" s="219">
        <f>+'Perfil - interna'!AG490+'Perfil - externa'!AG488</f>
        <v>1833292.0122934082</v>
      </c>
      <c r="AH490" s="219">
        <f>+'Perfil - interna'!AH490+'Perfil - externa'!AH488</f>
        <v>472353.26365948218</v>
      </c>
      <c r="AI490" s="219">
        <f>+'Perfil - interna'!AI490+'Perfil - externa'!AI488</f>
        <v>5601571.7193342131</v>
      </c>
      <c r="AJ490" s="219">
        <f>+'Perfil - interna'!AJ490+'Perfil - externa'!AJ488</f>
        <v>227248.97149149163</v>
      </c>
      <c r="AK490" s="219">
        <f>+'Perfil - interna'!AK490+'Perfil - externa'!AK488</f>
        <v>166231.00090325635</v>
      </c>
      <c r="AL490" s="219">
        <f>+'Perfil - interna'!AL490+'Perfil - externa'!AL488</f>
        <v>113363.86987661445</v>
      </c>
      <c r="AM490" s="219">
        <f>+'Perfil - interna'!AM490+'Perfil - externa'!AM488</f>
        <v>3479579.3869093033</v>
      </c>
      <c r="AN490" s="219">
        <f>+'Perfil - interna'!AN490+'Perfil - externa'!AN488</f>
        <v>1566.6723343395388</v>
      </c>
      <c r="AO490" s="219">
        <f>+'Perfil - interna'!AO490+'Perfil - externa'!AO488</f>
        <v>1566.6723343395388</v>
      </c>
      <c r="AP490" s="219">
        <f>+'Perfil - interna'!AP490+'Perfil - externa'!AP488</f>
        <v>1566.6723343395388</v>
      </c>
      <c r="AQ490" s="219">
        <f>+'Perfil - interna'!AQ490+'Perfil - externa'!AQ488</f>
        <v>4716591.6723343395</v>
      </c>
      <c r="AR490" s="219">
        <f>+'Perfil - interna'!AR490+'Perfil - externa'!AR488</f>
        <v>1566.6723343395388</v>
      </c>
      <c r="AS490" s="219">
        <f>+'Perfil - interna'!AS490+'Perfil - externa'!AS488</f>
        <v>1566.6723343395388</v>
      </c>
      <c r="AT490" s="219">
        <f>+'Perfil - interna'!AT490+'Perfil - externa'!AT488</f>
        <v>3772930.6726395786</v>
      </c>
      <c r="AU490" s="219"/>
      <c r="AV490" s="219"/>
      <c r="AW490" s="219"/>
      <c r="AX490" s="219"/>
      <c r="AY490" s="219"/>
      <c r="AZ490" s="219"/>
      <c r="BA490" s="219"/>
      <c r="BB490" s="219"/>
      <c r="BC490" s="219"/>
      <c r="BD490" s="219"/>
      <c r="BE490" s="219"/>
      <c r="BF490" s="219"/>
      <c r="BG490" s="219"/>
      <c r="BH490" s="219"/>
      <c r="BI490" s="219"/>
      <c r="BJ490" s="219"/>
      <c r="BK490" s="219"/>
    </row>
    <row r="491" spans="1:63">
      <c r="A491" s="170">
        <v>41820</v>
      </c>
      <c r="B491" s="220" t="str">
        <f>Servicio_internaColumna_título_intereses</f>
        <v>Intereses</v>
      </c>
      <c r="C491" s="221"/>
      <c r="D491" s="222"/>
      <c r="E491" s="222"/>
      <c r="F491" s="222"/>
      <c r="G491" s="222"/>
      <c r="H491" s="222"/>
      <c r="I491" s="222"/>
      <c r="J491" s="222"/>
      <c r="K491" s="222"/>
      <c r="L491" s="222"/>
      <c r="M491" s="222"/>
      <c r="N491" s="222"/>
      <c r="O491" s="222"/>
      <c r="P491" s="222">
        <f>+'Perfil - interna'!P491+'Perfil - externa'!P489</f>
        <v>10087499.886578092</v>
      </c>
      <c r="Q491" s="222">
        <f>+'Perfil - interna'!Q491+'Perfil - externa'!Q489</f>
        <v>16246434.702013634</v>
      </c>
      <c r="R491" s="222">
        <f>+'Perfil - interna'!R491+'Perfil - externa'!R489</f>
        <v>13991159.954564497</v>
      </c>
      <c r="S491" s="222">
        <f>+'Perfil - interna'!S491+'Perfil - externa'!S489</f>
        <v>12371683.990011852</v>
      </c>
      <c r="T491" s="222">
        <f>+'Perfil - interna'!T491+'Perfil - externa'!T489</f>
        <v>11864516.117264438</v>
      </c>
      <c r="U491" s="222">
        <f>+'Perfil - interna'!U491+'Perfil - externa'!U489</f>
        <v>9754295.0209407415</v>
      </c>
      <c r="V491" s="222">
        <f>+'Perfil - interna'!V491+'Perfil - externa'!V489</f>
        <v>8895661.2794639971</v>
      </c>
      <c r="W491" s="222">
        <f>+'Perfil - interna'!W491+'Perfil - externa'!W489</f>
        <v>7878244.3797699418</v>
      </c>
      <c r="X491" s="222">
        <f>+'Perfil - interna'!X491+'Perfil - externa'!X489</f>
        <v>7179320.0832789</v>
      </c>
      <c r="Y491" s="222">
        <f>+'Perfil - interna'!Y491+'Perfil - externa'!Y489</f>
        <v>6321412.7474743258</v>
      </c>
      <c r="Z491" s="222">
        <f>+'Perfil - interna'!Z491+'Perfil - externa'!Z489</f>
        <v>5291041.3165118061</v>
      </c>
      <c r="AA491" s="222">
        <f>+'Perfil - interna'!AA491+'Perfil - externa'!AA489</f>
        <v>2921328.6182513963</v>
      </c>
      <c r="AB491" s="222">
        <f>+'Perfil - interna'!AB491+'Perfil - externa'!AB489</f>
        <v>2853006.9893158581</v>
      </c>
      <c r="AC491" s="222">
        <f>+'Perfil - interna'!AC491+'Perfil - externa'!AC489</f>
        <v>2275141.1028593099</v>
      </c>
      <c r="AD491" s="222">
        <f>+'Perfil - interna'!AD491+'Perfil - externa'!AD489</f>
        <v>2053991.2491980032</v>
      </c>
      <c r="AE491" s="222">
        <f>+'Perfil - interna'!AE491+'Perfil - externa'!AE489</f>
        <v>1293668.9988357532</v>
      </c>
      <c r="AF491" s="222">
        <f>+'Perfil - interna'!AF491+'Perfil - externa'!AF489</f>
        <v>1223426.494159576</v>
      </c>
      <c r="AG491" s="222">
        <f>+'Perfil - interna'!AG491+'Perfil - externa'!AG489</f>
        <v>1163639.7553831148</v>
      </c>
      <c r="AH491" s="222">
        <f>+'Perfil - interna'!AH491+'Perfil - externa'!AH489</f>
        <v>1129063.1824358816</v>
      </c>
      <c r="AI491" s="222">
        <f>+'Perfil - interna'!AI491+'Perfil - externa'!AI489</f>
        <v>1084874.8771053213</v>
      </c>
      <c r="AJ491" s="222">
        <f>+'Perfil - interna'!AJ491+'Perfil - externa'!AJ489</f>
        <v>794056.32340629038</v>
      </c>
      <c r="AK491" s="222">
        <f>+'Perfil - interna'!AK491+'Perfil - externa'!AK489</f>
        <v>783928.20490946784</v>
      </c>
      <c r="AL491" s="222">
        <f>+'Perfil - interna'!AL491+'Perfil - externa'!AL489</f>
        <v>775960.32633091847</v>
      </c>
      <c r="AM491" s="222">
        <f>+'Perfil - interna'!AM491+'Perfil - externa'!AM489</f>
        <v>769771.67875488556</v>
      </c>
      <c r="AN491" s="222">
        <f>+'Perfil - interna'!AN491+'Perfil - externa'!AN489</f>
        <v>514166.5841870865</v>
      </c>
      <c r="AO491" s="222">
        <f>+'Perfil - interna'!AO491+'Perfil - externa'!AO489</f>
        <v>512248.93829844566</v>
      </c>
      <c r="AP491" s="222">
        <f>+'Perfil - interna'!AP491+'Perfil - externa'!AP489</f>
        <v>500990.05080891616</v>
      </c>
      <c r="AQ491" s="222">
        <f>+'Perfil - interna'!AQ491+'Perfil - externa'!AQ489</f>
        <v>356590.63101444393</v>
      </c>
      <c r="AR491" s="222">
        <f>+'Perfil - interna'!AR491+'Perfil - externa'!AR489</f>
        <v>212191.2609703831</v>
      </c>
      <c r="AS491" s="222">
        <f>+'Perfil - interna'!AS491+'Perfil - externa'!AS489</f>
        <v>212189.53155132229</v>
      </c>
      <c r="AT491" s="222">
        <f>+'Perfil - interna'!AT491+'Perfil - externa'!AT489</f>
        <v>106099.77043013515</v>
      </c>
      <c r="AU491" s="222"/>
      <c r="AV491" s="222"/>
      <c r="AW491" s="222"/>
      <c r="AX491" s="222"/>
      <c r="AY491" s="222"/>
      <c r="AZ491" s="222"/>
      <c r="BA491" s="222"/>
      <c r="BB491" s="222"/>
      <c r="BC491" s="222"/>
      <c r="BD491" s="222"/>
      <c r="BE491" s="222"/>
      <c r="BF491" s="222"/>
      <c r="BG491" s="222"/>
      <c r="BH491" s="222"/>
      <c r="BI491" s="222"/>
      <c r="BJ491" s="222"/>
      <c r="BK491" s="222"/>
    </row>
    <row r="492" spans="1:63">
      <c r="A492" s="171"/>
      <c r="B492" s="318" t="str">
        <f>Servicio_internaColumna_título_total</f>
        <v>Total</v>
      </c>
      <c r="C492" s="319"/>
      <c r="D492" s="320"/>
      <c r="E492" s="320"/>
      <c r="F492" s="320"/>
      <c r="G492" s="320"/>
      <c r="H492" s="320"/>
      <c r="I492" s="320"/>
      <c r="J492" s="320"/>
      <c r="K492" s="320"/>
      <c r="L492" s="320"/>
      <c r="M492" s="320"/>
      <c r="N492" s="320"/>
      <c r="O492" s="320"/>
      <c r="P492" s="320">
        <f>+'Perfil - interna'!P492+'Perfil - externa'!P490</f>
        <v>28516841.469157863</v>
      </c>
      <c r="Q492" s="320">
        <f>+'Perfil - interna'!Q492+'Perfil - externa'!Q490</f>
        <v>47279274.150196925</v>
      </c>
      <c r="R492" s="320">
        <f>+'Perfil - interna'!R492+'Perfil - externa'!R490</f>
        <v>36956651.061477281</v>
      </c>
      <c r="S492" s="320">
        <f>+'Perfil - interna'!S492+'Perfil - externa'!S490</f>
        <v>25459641.625103548</v>
      </c>
      <c r="T492" s="320">
        <f>+'Perfil - interna'!T492+'Perfil - externa'!T490</f>
        <v>36633375.394571632</v>
      </c>
      <c r="U492" s="320">
        <f>+'Perfil - interna'!U492+'Perfil - externa'!U490</f>
        <v>26180890.247386776</v>
      </c>
      <c r="V492" s="320">
        <f>+'Perfil - interna'!V492+'Perfil - externa'!V490</f>
        <v>20174101.857167762</v>
      </c>
      <c r="W492" s="320">
        <f>+'Perfil - interna'!W492+'Perfil - externa'!W490</f>
        <v>22935632.564104497</v>
      </c>
      <c r="X492" s="320">
        <f>+'Perfil - interna'!X492+'Perfil - externa'!X490</f>
        <v>20356832.041031003</v>
      </c>
      <c r="Y492" s="320">
        <f>+'Perfil - interna'!Y492+'Perfil - externa'!Y490</f>
        <v>22982557.62533344</v>
      </c>
      <c r="Z492" s="320">
        <f>+'Perfil - interna'!Z492+'Perfil - externa'!Z490</f>
        <v>32984286.485855244</v>
      </c>
      <c r="AA492" s="320">
        <f>+'Perfil - interna'!AA492+'Perfil - externa'!AA490</f>
        <v>5116393.9047880229</v>
      </c>
      <c r="AB492" s="320">
        <f>+'Perfil - interna'!AB492+'Perfil - externa'!AB490</f>
        <v>11189573.676661011</v>
      </c>
      <c r="AC492" s="320">
        <f>+'Perfil - interna'!AC492+'Perfil - externa'!AC490</f>
        <v>5330174.4751298307</v>
      </c>
      <c r="AD492" s="320">
        <f>+'Perfil - interna'!AD492+'Perfil - externa'!AD490</f>
        <v>14805198.875063056</v>
      </c>
      <c r="AE492" s="320">
        <f>+'Perfil - interna'!AE492+'Perfil - externa'!AE490</f>
        <v>2703158.3937277598</v>
      </c>
      <c r="AF492" s="320">
        <f>+'Perfil - interna'!AF492+'Perfil - externa'!AF490</f>
        <v>2650909.9941655248</v>
      </c>
      <c r="AG492" s="320">
        <f>+'Perfil - interna'!AG492+'Perfil - externa'!AG490</f>
        <v>2996931.767676523</v>
      </c>
      <c r="AH492" s="320">
        <f>+'Perfil - interna'!AH492+'Perfil - externa'!AH490</f>
        <v>1601416.4460953637</v>
      </c>
      <c r="AI492" s="320">
        <f>+'Perfil - interna'!AI492+'Perfil - externa'!AI490</f>
        <v>6686446.5964395348</v>
      </c>
      <c r="AJ492" s="320">
        <f>+'Perfil - interna'!AJ492+'Perfil - externa'!AJ490</f>
        <v>1021305.294897782</v>
      </c>
      <c r="AK492" s="320">
        <f>+'Perfil - interna'!AK492+'Perfil - externa'!AK490</f>
        <v>950159.20581272419</v>
      </c>
      <c r="AL492" s="320">
        <f>+'Perfil - interna'!AL492+'Perfil - externa'!AL490</f>
        <v>889324.19620753289</v>
      </c>
      <c r="AM492" s="320">
        <f>+'Perfil - interna'!AM492+'Perfil - externa'!AM490</f>
        <v>4249351.0656641889</v>
      </c>
      <c r="AN492" s="320">
        <f>+'Perfil - interna'!AN492+'Perfil - externa'!AN490</f>
        <v>515733.25652142602</v>
      </c>
      <c r="AO492" s="320">
        <f>+'Perfil - interna'!AO492+'Perfil - externa'!AO490</f>
        <v>513815.61063278519</v>
      </c>
      <c r="AP492" s="320">
        <f>+'Perfil - interna'!AP492+'Perfil - externa'!AP490</f>
        <v>502556.72314325569</v>
      </c>
      <c r="AQ492" s="320">
        <f>+'Perfil - interna'!AQ492+'Perfil - externa'!AQ490</f>
        <v>5073182.3033487834</v>
      </c>
      <c r="AR492" s="320">
        <f>+'Perfil - interna'!AR492+'Perfil - externa'!AR490</f>
        <v>213757.93330472262</v>
      </c>
      <c r="AS492" s="320">
        <f>+'Perfil - interna'!AS492+'Perfil - externa'!AS490</f>
        <v>213756.20388566182</v>
      </c>
      <c r="AT492" s="320">
        <f>+'Perfil - interna'!AT492+'Perfil - externa'!AT490</f>
        <v>3879030.4430697137</v>
      </c>
      <c r="AU492" s="320"/>
      <c r="AV492" s="320"/>
      <c r="AW492" s="320"/>
      <c r="AX492" s="320"/>
      <c r="AY492" s="320"/>
      <c r="AZ492" s="320"/>
      <c r="BA492" s="320"/>
      <c r="BB492" s="320"/>
      <c r="BC492" s="320"/>
      <c r="BD492" s="320"/>
      <c r="BE492" s="320"/>
      <c r="BF492" s="320"/>
      <c r="BG492" s="320"/>
      <c r="BH492" s="320"/>
      <c r="BI492" s="320"/>
      <c r="BJ492" s="320"/>
      <c r="BK492" s="320"/>
    </row>
    <row r="493" spans="1:63">
      <c r="A493" s="167"/>
      <c r="B493" s="217" t="str">
        <f>Servicio_internaColumna_título_amortizaciones</f>
        <v>Amortizaciones</v>
      </c>
      <c r="C493" s="218"/>
      <c r="D493" s="219"/>
      <c r="E493" s="219"/>
      <c r="F493" s="219"/>
      <c r="G493" s="219"/>
      <c r="H493" s="219"/>
      <c r="I493" s="219"/>
      <c r="J493" s="219"/>
      <c r="K493" s="219"/>
      <c r="L493" s="219"/>
      <c r="M493" s="219"/>
      <c r="N493" s="219"/>
      <c r="O493" s="219"/>
      <c r="P493" s="219">
        <f>+'Perfil - interna'!P493+'Perfil - externa'!P491</f>
        <v>14222719.957519861</v>
      </c>
      <c r="Q493" s="219">
        <f>+'Perfil - interna'!Q493+'Perfil - externa'!Q491</f>
        <v>31743091.114914075</v>
      </c>
      <c r="R493" s="219">
        <f>+'Perfil - interna'!R493+'Perfil - externa'!R491</f>
        <v>23720537.979923021</v>
      </c>
      <c r="S493" s="219">
        <f>+'Perfil - interna'!S493+'Perfil - externa'!S491</f>
        <v>13071750.701882627</v>
      </c>
      <c r="T493" s="219">
        <f>+'Perfil - interna'!T493+'Perfil - externa'!T491</f>
        <v>24754505.119297687</v>
      </c>
      <c r="U493" s="219">
        <f>+'Perfil - interna'!U493+'Perfil - externa'!U491</f>
        <v>17876323.891527288</v>
      </c>
      <c r="V493" s="219">
        <f>+'Perfil - interna'!V493+'Perfil - externa'!V491</f>
        <v>11254745.025058977</v>
      </c>
      <c r="W493" s="219">
        <f>+'Perfil - interna'!W493+'Perfil - externa'!W491</f>
        <v>15414956.645992994</v>
      </c>
      <c r="X493" s="219">
        <f>+'Perfil - interna'!X493+'Perfil - externa'!X491</f>
        <v>13165275.649405163</v>
      </c>
      <c r="Y493" s="219">
        <f>+'Perfil - interna'!Y493+'Perfil - externa'!Y491</f>
        <v>16670769.080225732</v>
      </c>
      <c r="Z493" s="219">
        <f>+'Perfil - interna'!Z493+'Perfil - externa'!Z491</f>
        <v>28294995.037564293</v>
      </c>
      <c r="AA493" s="219">
        <f>+'Perfil - interna'!AA493+'Perfil - externa'!AA491</f>
        <v>2178571.6625908148</v>
      </c>
      <c r="AB493" s="219">
        <f>+'Perfil - interna'!AB493+'Perfil - externa'!AB491</f>
        <v>8328430.6795906769</v>
      </c>
      <c r="AC493" s="219">
        <f>+'Perfil - interna'!AC493+'Perfil - externa'!AC491</f>
        <v>3041332.1297581061</v>
      </c>
      <c r="AD493" s="219">
        <f>+'Perfil - interna'!AD493+'Perfil - externa'!AD491</f>
        <v>13400465.577398321</v>
      </c>
      <c r="AE493" s="219">
        <f>+'Perfil - interna'!AE493+'Perfil - externa'!AE491</f>
        <v>1400212.9061495222</v>
      </c>
      <c r="AF493" s="219">
        <f>+'Perfil - interna'!AF493+'Perfil - externa'!AF491</f>
        <v>1417640.0388812483</v>
      </c>
      <c r="AG493" s="219">
        <f>+'Perfil - interna'!AG493+'Perfil - externa'!AG491</f>
        <v>1819949.0083561291</v>
      </c>
      <c r="AH493" s="219">
        <f>+'Perfil - interna'!AH493+'Perfil - externa'!AH491</f>
        <v>468929.67525209172</v>
      </c>
      <c r="AI493" s="219">
        <f>+'Perfil - interna'!AI493+'Perfil - externa'!AI491</f>
        <v>5875786.5806331858</v>
      </c>
      <c r="AJ493" s="219">
        <f>+'Perfil - interna'!AJ493+'Perfil - externa'!AJ491</f>
        <v>225598.54743186216</v>
      </c>
      <c r="AK493" s="219">
        <f>+'Perfil - interna'!AK493+'Perfil - externa'!AK491</f>
        <v>165019.92978480336</v>
      </c>
      <c r="AL493" s="219">
        <f>+'Perfil - interna'!AL493+'Perfil - externa'!AL491</f>
        <v>112533.46250826976</v>
      </c>
      <c r="AM493" s="219">
        <f>+'Perfil - interna'!AM493+'Perfil - externa'!AM491</f>
        <v>3454513.5359837352</v>
      </c>
      <c r="AN493" s="219">
        <f>+'Perfil - interna'!AN493+'Perfil - externa'!AN491</f>
        <v>1555.3916887966568</v>
      </c>
      <c r="AO493" s="219">
        <f>+'Perfil - interna'!AO493+'Perfil - externa'!AO491</f>
        <v>1555.3916887966568</v>
      </c>
      <c r="AP493" s="219">
        <f>+'Perfil - interna'!AP493+'Perfil - externa'!AP491</f>
        <v>1555.3916887966568</v>
      </c>
      <c r="AQ493" s="219">
        <f>+'Perfil - interna'!AQ493+'Perfil - externa'!AQ491</f>
        <v>4682630.3916887967</v>
      </c>
      <c r="AR493" s="219">
        <f>+'Perfil - interna'!AR493+'Perfil - externa'!AR491</f>
        <v>1555.3916887966568</v>
      </c>
      <c r="AS493" s="219">
        <f>+'Perfil - interna'!AS493+'Perfil - externa'!AS491</f>
        <v>1555.3916887966568</v>
      </c>
      <c r="AT493" s="219">
        <f>+'Perfil - interna'!AT493+'Perfil - externa'!AT491</f>
        <v>3745764.1154450541</v>
      </c>
      <c r="AU493" s="219"/>
      <c r="AV493" s="219"/>
      <c r="AW493" s="219"/>
      <c r="AX493" s="219"/>
      <c r="AY493" s="219"/>
      <c r="AZ493" s="219"/>
      <c r="BA493" s="219"/>
      <c r="BB493" s="219"/>
      <c r="BC493" s="219"/>
      <c r="BD493" s="219"/>
      <c r="BE493" s="219"/>
      <c r="BF493" s="219"/>
      <c r="BG493" s="219"/>
      <c r="BH493" s="219"/>
      <c r="BI493" s="219"/>
      <c r="BJ493" s="219"/>
      <c r="BK493" s="219"/>
    </row>
    <row r="494" spans="1:63">
      <c r="A494" s="170">
        <v>41851</v>
      </c>
      <c r="B494" s="220" t="str">
        <f>Servicio_internaColumna_título_intereses</f>
        <v>Intereses</v>
      </c>
      <c r="C494" s="221"/>
      <c r="D494" s="222"/>
      <c r="E494" s="222"/>
      <c r="F494" s="222"/>
      <c r="G494" s="222"/>
      <c r="H494" s="222"/>
      <c r="I494" s="222"/>
      <c r="J494" s="222"/>
      <c r="K494" s="222"/>
      <c r="L494" s="222"/>
      <c r="M494" s="222"/>
      <c r="N494" s="222"/>
      <c r="O494" s="222"/>
      <c r="P494" s="222">
        <f>+'Perfil - interna'!P494+'Perfil - externa'!P492</f>
        <v>6598378.1622092696</v>
      </c>
      <c r="Q494" s="222">
        <f>+'Perfil - interna'!Q494+'Perfil - externa'!Q492</f>
        <v>16518403.814304592</v>
      </c>
      <c r="R494" s="222">
        <f>+'Perfil - interna'!R494+'Perfil - externa'!R492</f>
        <v>14222973.162596555</v>
      </c>
      <c r="S494" s="222">
        <f>+'Perfil - interna'!S494+'Perfil - externa'!S492</f>
        <v>12562689.925639724</v>
      </c>
      <c r="T494" s="222">
        <f>+'Perfil - interna'!T494+'Perfil - externa'!T492</f>
        <v>12058820.218497735</v>
      </c>
      <c r="U494" s="222">
        <f>+'Perfil - interna'!U494+'Perfil - externa'!U492</f>
        <v>9949392.2189831883</v>
      </c>
      <c r="V494" s="222">
        <f>+'Perfil - interna'!V494+'Perfil - externa'!V492</f>
        <v>9007103.7184878662</v>
      </c>
      <c r="W494" s="222">
        <f>+'Perfil - interna'!W494+'Perfil - externa'!W492</f>
        <v>7993522.8624338899</v>
      </c>
      <c r="X494" s="222">
        <f>+'Perfil - interna'!X494+'Perfil - externa'!X492</f>
        <v>7278473.9073930196</v>
      </c>
      <c r="Y494" s="222">
        <f>+'Perfil - interna'!Y494+'Perfil - externa'!Y492</f>
        <v>6421300.181809729</v>
      </c>
      <c r="Z494" s="222">
        <f>+'Perfil - interna'!Z494+'Perfil - externa'!Z492</f>
        <v>5398681.1335209645</v>
      </c>
      <c r="AA494" s="222">
        <f>+'Perfil - interna'!AA494+'Perfil - externa'!AA492</f>
        <v>2961614.5068222033</v>
      </c>
      <c r="AB494" s="222">
        <f>+'Perfil - interna'!AB494+'Perfil - externa'!AB492</f>
        <v>2894434.9751223959</v>
      </c>
      <c r="AC494" s="222">
        <f>+'Perfil - interna'!AC494+'Perfil - externa'!AC492</f>
        <v>2317205.6351047172</v>
      </c>
      <c r="AD494" s="222">
        <f>+'Perfil - interna'!AD494+'Perfil - externa'!AD492</f>
        <v>2096881.3033443268</v>
      </c>
      <c r="AE494" s="222">
        <f>+'Perfil - interna'!AE494+'Perfil - externa'!AE492</f>
        <v>1303046.7311158911</v>
      </c>
      <c r="AF494" s="222">
        <f>+'Perfil - interna'!AF494+'Perfil - externa'!AF492</f>
        <v>1229392.2470547426</v>
      </c>
      <c r="AG494" s="222">
        <f>+'Perfil - interna'!AG494+'Perfil - externa'!AG492</f>
        <v>1170490.2915674497</v>
      </c>
      <c r="AH494" s="222">
        <f>+'Perfil - interna'!AH494+'Perfil - externa'!AH492</f>
        <v>1136625.6989304188</v>
      </c>
      <c r="AI494" s="222">
        <f>+'Perfil - interna'!AI494+'Perfil - externa'!AI492</f>
        <v>1093192.9723964888</v>
      </c>
      <c r="AJ494" s="222">
        <f>+'Perfil - interna'!AJ494+'Perfil - externa'!AJ492</f>
        <v>788504.95404557954</v>
      </c>
      <c r="AK494" s="222">
        <f>+'Perfil - interna'!AK494+'Perfil - externa'!AK492</f>
        <v>778428.98535318533</v>
      </c>
      <c r="AL494" s="222">
        <f>+'Perfil - interna'!AL494+'Perfil - externa'!AL492</f>
        <v>770504.65793215379</v>
      </c>
      <c r="AM494" s="222">
        <f>+'Perfil - interna'!AM494+'Perfil - externa'!AM492</f>
        <v>764338.76629141171</v>
      </c>
      <c r="AN494" s="222">
        <f>+'Perfil - interna'!AN494+'Perfil - externa'!AN492</f>
        <v>510559.23789231805</v>
      </c>
      <c r="AO494" s="222">
        <f>+'Perfil - interna'!AO494+'Perfil - externa'!AO492</f>
        <v>508641.60445616202</v>
      </c>
      <c r="AP494" s="222">
        <f>+'Perfil - interna'!AP494+'Perfil - externa'!AP492</f>
        <v>497382.72906089516</v>
      </c>
      <c r="AQ494" s="222">
        <f>+'Perfil - interna'!AQ494+'Perfil - externa'!AQ492</f>
        <v>354023.04082712991</v>
      </c>
      <c r="AR494" s="222">
        <f>+'Perfil - interna'!AR494+'Perfil - externa'!AR492</f>
        <v>210663.40198555385</v>
      </c>
      <c r="AS494" s="222">
        <f>+'Perfil - interna'!AS494+'Perfil - externa'!AS492</f>
        <v>210661.68501897785</v>
      </c>
      <c r="AT494" s="222">
        <f>+'Perfil - interna'!AT494+'Perfil - externa'!AT492</f>
        <v>105335.81112851891</v>
      </c>
      <c r="AU494" s="222"/>
      <c r="AV494" s="222"/>
      <c r="AW494" s="222"/>
      <c r="AX494" s="222"/>
      <c r="AY494" s="222"/>
      <c r="AZ494" s="222"/>
      <c r="BA494" s="222"/>
      <c r="BB494" s="222"/>
      <c r="BC494" s="222"/>
      <c r="BD494" s="222"/>
      <c r="BE494" s="222"/>
      <c r="BF494" s="222"/>
      <c r="BG494" s="222"/>
      <c r="BH494" s="222"/>
      <c r="BI494" s="222"/>
      <c r="BJ494" s="222"/>
      <c r="BK494" s="222"/>
    </row>
    <row r="495" spans="1:63">
      <c r="A495" s="171"/>
      <c r="B495" s="318" t="str">
        <f>Servicio_internaColumna_título_total</f>
        <v>Total</v>
      </c>
      <c r="C495" s="319"/>
      <c r="D495" s="320"/>
      <c r="E495" s="320"/>
      <c r="F495" s="320"/>
      <c r="G495" s="320"/>
      <c r="H495" s="320"/>
      <c r="I495" s="320"/>
      <c r="J495" s="320"/>
      <c r="K495" s="320"/>
      <c r="L495" s="320"/>
      <c r="M495" s="320"/>
      <c r="N495" s="320"/>
      <c r="O495" s="320"/>
      <c r="P495" s="320">
        <f>+'Perfil - interna'!P495+'Perfil - externa'!P493</f>
        <v>20821098.119729131</v>
      </c>
      <c r="Q495" s="320">
        <f>+'Perfil - interna'!Q495+'Perfil - externa'!Q493</f>
        <v>48261494.929218665</v>
      </c>
      <c r="R495" s="320">
        <f>+'Perfil - interna'!R495+'Perfil - externa'!R493</f>
        <v>37943511.142519578</v>
      </c>
      <c r="S495" s="320">
        <f>+'Perfil - interna'!S495+'Perfil - externa'!S493</f>
        <v>25634440.627522349</v>
      </c>
      <c r="T495" s="320">
        <f>+'Perfil - interna'!T495+'Perfil - externa'!T493</f>
        <v>36813325.337795421</v>
      </c>
      <c r="U495" s="320">
        <f>+'Perfil - interna'!U495+'Perfil - externa'!U493</f>
        <v>27825716.110510472</v>
      </c>
      <c r="V495" s="320">
        <f>+'Perfil - interna'!V495+'Perfil - externa'!V493</f>
        <v>20261848.743546844</v>
      </c>
      <c r="W495" s="320">
        <f>+'Perfil - interna'!W495+'Perfil - externa'!W493</f>
        <v>23408479.508426882</v>
      </c>
      <c r="X495" s="320">
        <f>+'Perfil - interna'!X495+'Perfil - externa'!X493</f>
        <v>20443749.556798182</v>
      </c>
      <c r="Y495" s="320">
        <f>+'Perfil - interna'!Y495+'Perfil - externa'!Y493</f>
        <v>23092069.262035463</v>
      </c>
      <c r="Z495" s="320">
        <f>+'Perfil - interna'!Z495+'Perfil - externa'!Z493</f>
        <v>33693676.171085253</v>
      </c>
      <c r="AA495" s="320">
        <f>+'Perfil - interna'!AA495+'Perfil - externa'!AA493</f>
        <v>5140186.169413018</v>
      </c>
      <c r="AB495" s="320">
        <f>+'Perfil - interna'!AB495+'Perfil - externa'!AB493</f>
        <v>11222865.654713072</v>
      </c>
      <c r="AC495" s="320">
        <f>+'Perfil - interna'!AC495+'Perfil - externa'!AC493</f>
        <v>5358537.7648628224</v>
      </c>
      <c r="AD495" s="320">
        <f>+'Perfil - interna'!AD495+'Perfil - externa'!AD493</f>
        <v>15497346.880742647</v>
      </c>
      <c r="AE495" s="320">
        <f>+'Perfil - interna'!AE495+'Perfil - externa'!AE493</f>
        <v>2703259.6372654131</v>
      </c>
      <c r="AF495" s="320">
        <f>+'Perfil - interna'!AF495+'Perfil - externa'!AF493</f>
        <v>2647032.285935991</v>
      </c>
      <c r="AG495" s="320">
        <f>+'Perfil - interna'!AG495+'Perfil - externa'!AG493</f>
        <v>2990439.2999235787</v>
      </c>
      <c r="AH495" s="320">
        <f>+'Perfil - interna'!AH495+'Perfil - externa'!AH493</f>
        <v>1605555.3741825107</v>
      </c>
      <c r="AI495" s="320">
        <f>+'Perfil - interna'!AI495+'Perfil - externa'!AI493</f>
        <v>6968979.5530296741</v>
      </c>
      <c r="AJ495" s="320">
        <f>+'Perfil - interna'!AJ495+'Perfil - externa'!AJ493</f>
        <v>1014103.5014774416</v>
      </c>
      <c r="AK495" s="320">
        <f>+'Perfil - interna'!AK495+'Perfil - externa'!AK493</f>
        <v>943448.91513798863</v>
      </c>
      <c r="AL495" s="320">
        <f>+'Perfil - interna'!AL495+'Perfil - externa'!AL493</f>
        <v>883038.12044042349</v>
      </c>
      <c r="AM495" s="320">
        <f>+'Perfil - interna'!AM495+'Perfil - externa'!AM493</f>
        <v>4218852.3022751464</v>
      </c>
      <c r="AN495" s="320">
        <f>+'Perfil - interna'!AN495+'Perfil - externa'!AN493</f>
        <v>512114.62958111468</v>
      </c>
      <c r="AO495" s="320">
        <f>+'Perfil - interna'!AO495+'Perfil - externa'!AO493</f>
        <v>510196.99614495866</v>
      </c>
      <c r="AP495" s="320">
        <f>+'Perfil - interna'!AP495+'Perfil - externa'!AP493</f>
        <v>498938.12074969179</v>
      </c>
      <c r="AQ495" s="320">
        <f>+'Perfil - interna'!AQ495+'Perfil - externa'!AQ493</f>
        <v>5036653.4325159267</v>
      </c>
      <c r="AR495" s="320">
        <f>+'Perfil - interna'!AR495+'Perfil - externa'!AR493</f>
        <v>212218.79367435051</v>
      </c>
      <c r="AS495" s="320">
        <f>+'Perfil - interna'!AS495+'Perfil - externa'!AS493</f>
        <v>212217.07670777451</v>
      </c>
      <c r="AT495" s="320">
        <f>+'Perfil - interna'!AT495+'Perfil - externa'!AT493</f>
        <v>3851099.9265735731</v>
      </c>
      <c r="AU495" s="320"/>
      <c r="AV495" s="320"/>
      <c r="AW495" s="320"/>
      <c r="AX495" s="320"/>
      <c r="AY495" s="320"/>
      <c r="AZ495" s="320"/>
      <c r="BA495" s="320"/>
      <c r="BB495" s="320"/>
      <c r="BC495" s="320"/>
      <c r="BD495" s="320"/>
      <c r="BE495" s="320"/>
      <c r="BF495" s="320"/>
      <c r="BG495" s="320"/>
      <c r="BH495" s="320"/>
      <c r="BI495" s="320"/>
      <c r="BJ495" s="320"/>
      <c r="BK495" s="320"/>
    </row>
    <row r="496" spans="1:63">
      <c r="A496" s="167"/>
      <c r="B496" s="217" t="str">
        <f>Servicio_internaColumna_título_amortizaciones</f>
        <v>Amortizaciones</v>
      </c>
      <c r="C496" s="218"/>
      <c r="D496" s="219"/>
      <c r="E496" s="219"/>
      <c r="F496" s="219"/>
      <c r="G496" s="219"/>
      <c r="H496" s="219"/>
      <c r="I496" s="219"/>
      <c r="J496" s="219"/>
      <c r="K496" s="219"/>
      <c r="L496" s="219"/>
      <c r="M496" s="219"/>
      <c r="N496" s="219"/>
      <c r="O496" s="219"/>
      <c r="P496" s="219">
        <f>+'Perfil - interna'!P496+'Perfil - externa'!P494</f>
        <v>13338536.105848894</v>
      </c>
      <c r="Q496" s="219">
        <f>+'Perfil - interna'!Q496+'Perfil - externa'!Q494</f>
        <v>31545933.773872111</v>
      </c>
      <c r="R496" s="219">
        <f>+'Perfil - interna'!R496+'Perfil - externa'!R494</f>
        <v>24755619.545489695</v>
      </c>
      <c r="S496" s="219">
        <f>+'Perfil - interna'!S496+'Perfil - externa'!S494</f>
        <v>13732129.889543831</v>
      </c>
      <c r="T496" s="219">
        <f>+'Perfil - interna'!T496+'Perfil - externa'!T494</f>
        <v>24794047.465692233</v>
      </c>
      <c r="U496" s="219">
        <f>+'Perfil - interna'!U496+'Perfil - externa'!U494</f>
        <v>19548028.048986256</v>
      </c>
      <c r="V496" s="219">
        <f>+'Perfil - interna'!V496+'Perfil - externa'!V494</f>
        <v>11343018.226699416</v>
      </c>
      <c r="W496" s="219">
        <f>+'Perfil - interna'!W496+'Perfil - externa'!W494</f>
        <v>15932995.436175663</v>
      </c>
      <c r="X496" s="219">
        <f>+'Perfil - interna'!X496+'Perfil - externa'!X494</f>
        <v>13201356.339610994</v>
      </c>
      <c r="Y496" s="219">
        <f>+'Perfil - interna'!Y496+'Perfil - externa'!Y494</f>
        <v>16792715.142341282</v>
      </c>
      <c r="Z496" s="219">
        <f>+'Perfil - interna'!Z496+'Perfil - externa'!Z494</f>
        <v>29264513.800405502</v>
      </c>
      <c r="AA496" s="219">
        <f>+'Perfil - interna'!AA496+'Perfil - externa'!AA494</f>
        <v>2250129.7293644948</v>
      </c>
      <c r="AB496" s="219">
        <f>+'Perfil - interna'!AB496+'Perfil - externa'!AB494</f>
        <v>8361612.5645003114</v>
      </c>
      <c r="AC496" s="219">
        <f>+'Perfil - interna'!AC496+'Perfil - externa'!AC494</f>
        <v>3093443.4226533221</v>
      </c>
      <c r="AD496" s="219">
        <f>+'Perfil - interna'!AD496+'Perfil - externa'!AD494</f>
        <v>13989217.52416873</v>
      </c>
      <c r="AE496" s="219">
        <f>+'Perfil - interna'!AE496+'Perfil - externa'!AE494</f>
        <v>1445336.4803332326</v>
      </c>
      <c r="AF496" s="219">
        <f>+'Perfil - interna'!AF496+'Perfil - externa'!AF494</f>
        <v>1465415.6475832239</v>
      </c>
      <c r="AG496" s="219">
        <f>+'Perfil - interna'!AG496+'Perfil - externa'!AG494</f>
        <v>1881182.5876676161</v>
      </c>
      <c r="AH496" s="219">
        <f>+'Perfil - interna'!AH496+'Perfil - externa'!AH494</f>
        <v>484855.54048131133</v>
      </c>
      <c r="AI496" s="219">
        <f>+'Perfil - interna'!AI496+'Perfil - externa'!AI494</f>
        <v>5992703.47004948</v>
      </c>
      <c r="AJ496" s="219">
        <f>+'Perfil - interna'!AJ496+'Perfil - externa'!AJ494</f>
        <v>233387.94725899753</v>
      </c>
      <c r="AK496" s="219">
        <f>+'Perfil - interna'!AK496+'Perfil - externa'!AK494</f>
        <v>170783.71196487985</v>
      </c>
      <c r="AL496" s="219">
        <f>+'Perfil - interna'!AL496+'Perfil - externa'!AL494</f>
        <v>116291.94404744836</v>
      </c>
      <c r="AM496" s="219">
        <f>+'Perfil - interna'!AM496+'Perfil - externa'!AM494</f>
        <v>3570021.6347752046</v>
      </c>
      <c r="AN496" s="219">
        <f>+'Perfil - interna'!AN496+'Perfil - externa'!AN494</f>
        <v>1612.0037068278168</v>
      </c>
      <c r="AO496" s="219">
        <f>+'Perfil - interna'!AO496+'Perfil - externa'!AO494</f>
        <v>1612.0037068278168</v>
      </c>
      <c r="AP496" s="219">
        <f>+'Perfil - interna'!AP496+'Perfil - externa'!AP494</f>
        <v>1612.0037068278168</v>
      </c>
      <c r="AQ496" s="219">
        <f>+'Perfil - interna'!AQ496+'Perfil - externa'!AQ494</f>
        <v>4839212.0037068278</v>
      </c>
      <c r="AR496" s="219">
        <f>+'Perfil - interna'!AR496+'Perfil - externa'!AR494</f>
        <v>1612.0037068278168</v>
      </c>
      <c r="AS496" s="219">
        <f>+'Perfil - interna'!AS496+'Perfil - externa'!AS494</f>
        <v>1612.0037068278168</v>
      </c>
      <c r="AT496" s="219">
        <f>+'Perfil - interna'!AT496+'Perfil - externa'!AT494</f>
        <v>3871018.9501973819</v>
      </c>
      <c r="AU496" s="219"/>
      <c r="AV496" s="219"/>
      <c r="AW496" s="219"/>
      <c r="AX496" s="219"/>
      <c r="AY496" s="219"/>
      <c r="AZ496" s="219"/>
      <c r="BA496" s="219"/>
      <c r="BB496" s="219"/>
      <c r="BC496" s="219"/>
      <c r="BD496" s="219"/>
      <c r="BE496" s="219"/>
      <c r="BF496" s="219"/>
      <c r="BG496" s="219"/>
      <c r="BH496" s="219"/>
      <c r="BI496" s="219"/>
      <c r="BJ496" s="219"/>
      <c r="BK496" s="219"/>
    </row>
    <row r="497" spans="1:63">
      <c r="A497" s="170">
        <v>41882</v>
      </c>
      <c r="B497" s="220" t="str">
        <f>Servicio_internaColumna_título_intereses</f>
        <v>Intereses</v>
      </c>
      <c r="C497" s="221"/>
      <c r="D497" s="222"/>
      <c r="E497" s="222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>
        <f>+'Perfil - interna'!P497+'Perfil - externa'!P495</f>
        <v>5663712.4520963533</v>
      </c>
      <c r="Q497" s="222">
        <f>+'Perfil - interna'!Q497+'Perfil - externa'!Q495</f>
        <v>16844631.407613855</v>
      </c>
      <c r="R497" s="222">
        <f>+'Perfil - interna'!R497+'Perfil - externa'!R495</f>
        <v>14758424.973624893</v>
      </c>
      <c r="S497" s="222">
        <f>+'Perfil - interna'!S497+'Perfil - externa'!S495</f>
        <v>13026654.560483251</v>
      </c>
      <c r="T497" s="222">
        <f>+'Perfil - interna'!T497+'Perfil - externa'!T495</f>
        <v>12533798.127991527</v>
      </c>
      <c r="U497" s="222">
        <f>+'Perfil - interna'!U497+'Perfil - externa'!U495</f>
        <v>10468699.245661102</v>
      </c>
      <c r="V497" s="222">
        <f>+'Perfil - interna'!V497+'Perfil - externa'!V495</f>
        <v>9559215.7647584081</v>
      </c>
      <c r="W497" s="222">
        <f>+'Perfil - interna'!W497+'Perfil - externa'!W495</f>
        <v>8576131.4164018296</v>
      </c>
      <c r="X497" s="222">
        <f>+'Perfil - interna'!X497+'Perfil - externa'!X495</f>
        <v>7673385.2714141319</v>
      </c>
      <c r="Y497" s="222">
        <f>+'Perfil - interna'!Y497+'Perfil - externa'!Y495</f>
        <v>6810176.3354908209</v>
      </c>
      <c r="Z497" s="222">
        <f>+'Perfil - interna'!Z497+'Perfil - externa'!Z495</f>
        <v>5775646.9161163066</v>
      </c>
      <c r="AA497" s="222">
        <f>+'Perfil - interna'!AA497+'Perfil - externa'!AA495</f>
        <v>3202257.7451257501</v>
      </c>
      <c r="AB497" s="222">
        <f>+'Perfil - interna'!AB497+'Perfil - externa'!AB495</f>
        <v>3097655.8753731949</v>
      </c>
      <c r="AC497" s="222">
        <f>+'Perfil - interna'!AC497+'Perfil - externa'!AC495</f>
        <v>2509252.2009646846</v>
      </c>
      <c r="AD497" s="222">
        <f>+'Perfil - interna'!AD497+'Perfil - externa'!AD495</f>
        <v>2277480.9556780858</v>
      </c>
      <c r="AE497" s="222">
        <f>+'Perfil - interna'!AE497+'Perfil - externa'!AE495</f>
        <v>1436975.6386353041</v>
      </c>
      <c r="AF497" s="222">
        <f>+'Perfil - interna'!AF497+'Perfil - externa'!AF495</f>
        <v>1338486.1190830001</v>
      </c>
      <c r="AG497" s="222">
        <f>+'Perfil - interna'!AG497+'Perfil - externa'!AG495</f>
        <v>1242144.2649705166</v>
      </c>
      <c r="AH497" s="222">
        <f>+'Perfil - interna'!AH497+'Perfil - externa'!AH495</f>
        <v>1188087.8944834964</v>
      </c>
      <c r="AI497" s="222">
        <f>+'Perfil - interna'!AI497+'Perfil - externa'!AI495</f>
        <v>1137640.4513227195</v>
      </c>
      <c r="AJ497" s="222">
        <f>+'Perfil - interna'!AJ497+'Perfil - externa'!AJ495</f>
        <v>822939.30655049742</v>
      </c>
      <c r="AK497" s="222">
        <f>+'Perfil - interna'!AK497+'Perfil - externa'!AK495</f>
        <v>809277.93476929993</v>
      </c>
      <c r="AL497" s="222">
        <f>+'Perfil - interna'!AL497+'Perfil - externa'!AL495</f>
        <v>798027.68551005423</v>
      </c>
      <c r="AM497" s="222">
        <f>+'Perfil - interna'!AM497+'Perfil - externa'!AM495</f>
        <v>789732.6515969414</v>
      </c>
      <c r="AN497" s="222">
        <f>+'Perfil - interna'!AN497+'Perfil - externa'!AN495</f>
        <v>527190.75125869876</v>
      </c>
      <c r="AO497" s="222">
        <f>+'Perfil - interna'!AO497+'Perfil - externa'!AO495</f>
        <v>525273.06041090272</v>
      </c>
      <c r="AP497" s="222">
        <f>+'Perfil - interna'!AP497+'Perfil - externa'!AP495</f>
        <v>514014.12925556337</v>
      </c>
      <c r="AQ497" s="222">
        <f>+'Perfil - interna'!AQ497+'Perfil - externa'!AQ495</f>
        <v>365860.8038335903</v>
      </c>
      <c r="AR497" s="222">
        <f>+'Perfil - interna'!AR497+'Perfil - externa'!AR495</f>
        <v>217707.52945537411</v>
      </c>
      <c r="AS497" s="222">
        <f>+'Perfil - interna'!AS497+'Perfil - externa'!AS495</f>
        <v>217705.75507715796</v>
      </c>
      <c r="AT497" s="222">
        <f>+'Perfil - interna'!AT497+'Perfil - externa'!AT495</f>
        <v>108858.01229745797</v>
      </c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</row>
    <row r="498" spans="1:63">
      <c r="A498" s="171"/>
      <c r="B498" s="318" t="str">
        <f>Servicio_internaColumna_título_total</f>
        <v>Total</v>
      </c>
      <c r="C498" s="319"/>
      <c r="D498" s="320"/>
      <c r="E498" s="320"/>
      <c r="F498" s="320"/>
      <c r="G498" s="320"/>
      <c r="H498" s="320"/>
      <c r="I498" s="320"/>
      <c r="J498" s="320"/>
      <c r="K498" s="320"/>
      <c r="L498" s="320"/>
      <c r="M498" s="320"/>
      <c r="N498" s="320"/>
      <c r="O498" s="320"/>
      <c r="P498" s="320">
        <f>+'Perfil - interna'!P498+'Perfil - externa'!P496</f>
        <v>19002248.557945248</v>
      </c>
      <c r="Q498" s="320">
        <f>+'Perfil - interna'!Q498+'Perfil - externa'!Q496</f>
        <v>48390565.181485966</v>
      </c>
      <c r="R498" s="320">
        <f>+'Perfil - interna'!R498+'Perfil - externa'!R496</f>
        <v>39514044.519114584</v>
      </c>
      <c r="S498" s="320">
        <f>+'Perfil - interna'!S498+'Perfil - externa'!S496</f>
        <v>26758784.450027082</v>
      </c>
      <c r="T498" s="320">
        <f>+'Perfil - interna'!T498+'Perfil - externa'!T496</f>
        <v>37327845.593683764</v>
      </c>
      <c r="U498" s="320">
        <f>+'Perfil - interna'!U498+'Perfil - externa'!U496</f>
        <v>30016727.294647358</v>
      </c>
      <c r="V498" s="320">
        <f>+'Perfil - interna'!V498+'Perfil - externa'!V496</f>
        <v>20902233.991457824</v>
      </c>
      <c r="W498" s="320">
        <f>+'Perfil - interna'!W498+'Perfil - externa'!W496</f>
        <v>24509126.852577496</v>
      </c>
      <c r="X498" s="320">
        <f>+'Perfil - interna'!X498+'Perfil - externa'!X496</f>
        <v>20874741.611025125</v>
      </c>
      <c r="Y498" s="320">
        <f>+'Perfil - interna'!Y498+'Perfil - externa'!Y496</f>
        <v>23602891.477832101</v>
      </c>
      <c r="Z498" s="320">
        <f>+'Perfil - interna'!Z498+'Perfil - externa'!Z496</f>
        <v>35040160.716521807</v>
      </c>
      <c r="AA498" s="320">
        <f>+'Perfil - interna'!AA498+'Perfil - externa'!AA496</f>
        <v>5452387.4744902449</v>
      </c>
      <c r="AB498" s="320">
        <f>+'Perfil - interna'!AB498+'Perfil - externa'!AB496</f>
        <v>11459268.439873505</v>
      </c>
      <c r="AC498" s="320">
        <f>+'Perfil - interna'!AC498+'Perfil - externa'!AC496</f>
        <v>5602695.6236180067</v>
      </c>
      <c r="AD498" s="320">
        <f>+'Perfil - interna'!AD498+'Perfil - externa'!AD496</f>
        <v>16266698.479846817</v>
      </c>
      <c r="AE498" s="320">
        <f>+'Perfil - interna'!AE498+'Perfil - externa'!AE496</f>
        <v>2882312.1189685366</v>
      </c>
      <c r="AF498" s="320">
        <f>+'Perfil - interna'!AF498+'Perfil - externa'!AF496</f>
        <v>2803901.7666662242</v>
      </c>
      <c r="AG498" s="320">
        <f>+'Perfil - interna'!AG498+'Perfil - externa'!AG496</f>
        <v>3123326.8526381329</v>
      </c>
      <c r="AH498" s="320">
        <f>+'Perfil - interna'!AH498+'Perfil - externa'!AH496</f>
        <v>1672943.4349648077</v>
      </c>
      <c r="AI498" s="320">
        <f>+'Perfil - interna'!AI498+'Perfil - externa'!AI496</f>
        <v>7130343.9213721994</v>
      </c>
      <c r="AJ498" s="320">
        <f>+'Perfil - interna'!AJ498+'Perfil - externa'!AJ496</f>
        <v>1056327.2538094949</v>
      </c>
      <c r="AK498" s="320">
        <f>+'Perfil - interna'!AK498+'Perfil - externa'!AK496</f>
        <v>980061.64673417981</v>
      </c>
      <c r="AL498" s="320">
        <f>+'Perfil - interna'!AL498+'Perfil - externa'!AL496</f>
        <v>914319.62955750257</v>
      </c>
      <c r="AM498" s="320">
        <f>+'Perfil - interna'!AM498+'Perfil - externa'!AM496</f>
        <v>4359754.2863721456</v>
      </c>
      <c r="AN498" s="320">
        <f>+'Perfil - interna'!AN498+'Perfil - externa'!AN496</f>
        <v>528802.75496552663</v>
      </c>
      <c r="AO498" s="320">
        <f>+'Perfil - interna'!AO498+'Perfil - externa'!AO496</f>
        <v>526885.06411773048</v>
      </c>
      <c r="AP498" s="320">
        <f>+'Perfil - interna'!AP498+'Perfil - externa'!AP496</f>
        <v>515626.13296239119</v>
      </c>
      <c r="AQ498" s="320">
        <f>+'Perfil - interna'!AQ498+'Perfil - externa'!AQ496</f>
        <v>5205072.8075404176</v>
      </c>
      <c r="AR498" s="320">
        <f>+'Perfil - interna'!AR498+'Perfil - externa'!AR496</f>
        <v>219319.53316220193</v>
      </c>
      <c r="AS498" s="320">
        <f>+'Perfil - interna'!AS498+'Perfil - externa'!AS496</f>
        <v>219317.75878398577</v>
      </c>
      <c r="AT498" s="320">
        <f>+'Perfil - interna'!AT498+'Perfil - externa'!AT496</f>
        <v>3979876.9624948399</v>
      </c>
      <c r="AU498" s="320"/>
      <c r="AV498" s="320"/>
      <c r="AW498" s="320"/>
      <c r="AX498" s="320"/>
      <c r="AY498" s="320"/>
      <c r="AZ498" s="320"/>
      <c r="BA498" s="320"/>
      <c r="BB498" s="320"/>
      <c r="BC498" s="320"/>
      <c r="BD498" s="320"/>
      <c r="BE498" s="320"/>
      <c r="BF498" s="320"/>
      <c r="BG498" s="320"/>
      <c r="BH498" s="320"/>
      <c r="BI498" s="320"/>
      <c r="BJ498" s="320"/>
      <c r="BK498" s="320"/>
    </row>
    <row r="499" spans="1:63">
      <c r="A499" s="167"/>
      <c r="B499" s="217" t="str">
        <f>Servicio_internaColumna_título_amortizaciones</f>
        <v>Amortizaciones</v>
      </c>
      <c r="C499" s="218"/>
      <c r="D499" s="219"/>
      <c r="E499" s="219"/>
      <c r="F499" s="219"/>
      <c r="G499" s="219"/>
      <c r="H499" s="219"/>
      <c r="I499" s="219"/>
      <c r="J499" s="219"/>
      <c r="K499" s="219"/>
      <c r="L499" s="219"/>
      <c r="M499" s="219"/>
      <c r="N499" s="219"/>
      <c r="O499" s="219"/>
      <c r="P499" s="219">
        <f>+'Perfil - interna'!P499+'Perfil - externa'!P497</f>
        <v>11470971.459397379</v>
      </c>
      <c r="Q499" s="219">
        <f>+'Perfil - interna'!Q499+'Perfil - externa'!Q497</f>
        <v>32073597.380684271</v>
      </c>
      <c r="R499" s="219">
        <f>+'Perfil - interna'!R499+'Perfil - externa'!R497</f>
        <v>25744511.66304351</v>
      </c>
      <c r="S499" s="219">
        <f>+'Perfil - interna'!S499+'Perfil - externa'!S497</f>
        <v>14341367.646141332</v>
      </c>
      <c r="T499" s="219">
        <f>+'Perfil - interna'!T499+'Perfil - externa'!T497</f>
        <v>24857068.104165774</v>
      </c>
      <c r="U499" s="219">
        <f>+'Perfil - interna'!U499+'Perfil - externa'!U497</f>
        <v>20923347.400242843</v>
      </c>
      <c r="V499" s="219">
        <f>+'Perfil - interna'!V499+'Perfil - externa'!V497</f>
        <v>11477283.568383843</v>
      </c>
      <c r="W499" s="219">
        <f>+'Perfil - interna'!W499+'Perfil - externa'!W497</f>
        <v>16272413.451424221</v>
      </c>
      <c r="X499" s="219">
        <f>+'Perfil - interna'!X499+'Perfil - externa'!X497</f>
        <v>13257878.96440015</v>
      </c>
      <c r="Y499" s="219">
        <f>+'Perfil - interna'!Y499+'Perfil - externa'!Y497</f>
        <v>16953589.137350231</v>
      </c>
      <c r="Z499" s="219">
        <f>+'Perfil - interna'!Z499+'Perfil - externa'!Z497</f>
        <v>29709493.998265475</v>
      </c>
      <c r="AA499" s="219">
        <f>+'Perfil - interna'!AA499+'Perfil - externa'!AA497</f>
        <v>2357841.1912573851</v>
      </c>
      <c r="AB499" s="219">
        <f>+'Perfil - interna'!AB499+'Perfil - externa'!AB497</f>
        <v>8411825.2636116017</v>
      </c>
      <c r="AC499" s="219">
        <f>+'Perfil - interna'!AC499+'Perfil - externa'!AC497</f>
        <v>3131774.8410453135</v>
      </c>
      <c r="AD499" s="219">
        <f>+'Perfil - interna'!AD499+'Perfil - externa'!AD497</f>
        <v>14267594.242046338</v>
      </c>
      <c r="AE499" s="219">
        <f>+'Perfil - interna'!AE499+'Perfil - externa'!AE497</f>
        <v>1514775.4100512634</v>
      </c>
      <c r="AF499" s="219">
        <f>+'Perfil - interna'!AF499+'Perfil - externa'!AF497</f>
        <v>1536217.1266497762</v>
      </c>
      <c r="AG499" s="219">
        <f>+'Perfil - interna'!AG499+'Perfil - externa'!AG497</f>
        <v>1970668.7685543259</v>
      </c>
      <c r="AH499" s="219">
        <f>+'Perfil - interna'!AH499+'Perfil - externa'!AH497</f>
        <v>506915.31194543163</v>
      </c>
      <c r="AI499" s="219">
        <f>+'Perfil - interna'!AI499+'Perfil - externa'!AI497</f>
        <v>6077455.4779268419</v>
      </c>
      <c r="AJ499" s="219">
        <f>+'Perfil - interna'!AJ499+'Perfil - externa'!AJ497</f>
        <v>244192.22861974567</v>
      </c>
      <c r="AK499" s="219">
        <f>+'Perfil - interna'!AK499+'Perfil - externa'!AK497</f>
        <v>178564.93450209862</v>
      </c>
      <c r="AL499" s="219">
        <f>+'Perfil - interna'!AL499+'Perfil - externa'!AL497</f>
        <v>121882.86116836662</v>
      </c>
      <c r="AM499" s="219">
        <f>+'Perfil - interna'!AM499+'Perfil - externa'!AM497</f>
        <v>3742390.7036577365</v>
      </c>
      <c r="AN499" s="219">
        <f>+'Perfil - interna'!AN499+'Perfil - externa'!AN497</f>
        <v>1689.8447986739757</v>
      </c>
      <c r="AO499" s="219">
        <f>+'Perfil - interna'!AO499+'Perfil - externa'!AO497</f>
        <v>1689.8447986739757</v>
      </c>
      <c r="AP499" s="219">
        <f>+'Perfil - interna'!AP499+'Perfil - externa'!AP497</f>
        <v>1689.8447986739757</v>
      </c>
      <c r="AQ499" s="219">
        <f>+'Perfil - interna'!AQ499+'Perfil - externa'!AQ497</f>
        <v>5072889.8447986739</v>
      </c>
      <c r="AR499" s="219">
        <f>+'Perfil - interna'!AR499+'Perfil - externa'!AR497</f>
        <v>1689.8447986739757</v>
      </c>
      <c r="AS499" s="219">
        <f>+'Perfil - interna'!AS499+'Perfil - externa'!AS497</f>
        <v>1689.8447986739757</v>
      </c>
      <c r="AT499" s="219">
        <f>+'Perfil - interna'!AT499+'Perfil - externa'!AT497</f>
        <v>4057944.2906071115</v>
      </c>
      <c r="AU499" s="219"/>
      <c r="AV499" s="219"/>
      <c r="AW499" s="219"/>
      <c r="AX499" s="219"/>
      <c r="AY499" s="219"/>
      <c r="AZ499" s="219"/>
      <c r="BA499" s="219"/>
      <c r="BB499" s="219"/>
      <c r="BC499" s="219"/>
      <c r="BD499" s="219"/>
      <c r="BE499" s="219"/>
      <c r="BF499" s="219"/>
      <c r="BG499" s="219"/>
      <c r="BH499" s="219"/>
      <c r="BI499" s="219"/>
      <c r="BJ499" s="219"/>
      <c r="BK499" s="219"/>
    </row>
    <row r="500" spans="1:63">
      <c r="A500" s="170">
        <v>41912</v>
      </c>
      <c r="B500" s="220" t="str">
        <f>Servicio_internaColumna_título_intereses</f>
        <v>Intereses</v>
      </c>
      <c r="C500" s="221"/>
      <c r="D500" s="222"/>
      <c r="E500" s="222"/>
      <c r="F500" s="222"/>
      <c r="G500" s="222"/>
      <c r="H500" s="222"/>
      <c r="I500" s="222"/>
      <c r="J500" s="222"/>
      <c r="K500" s="222"/>
      <c r="L500" s="222"/>
      <c r="M500" s="222"/>
      <c r="N500" s="222"/>
      <c r="O500" s="222"/>
      <c r="P500" s="222">
        <f>+'Perfil - interna'!P500+'Perfil - externa'!P498</f>
        <v>3875809.1433479236</v>
      </c>
      <c r="Q500" s="222">
        <f>+'Perfil - interna'!Q500+'Perfil - externa'!Q498</f>
        <v>17153852.790815465</v>
      </c>
      <c r="R500" s="222">
        <f>+'Perfil - interna'!R500+'Perfil - externa'!R498</f>
        <v>15059994.092088144</v>
      </c>
      <c r="S500" s="222">
        <f>+'Perfil - interna'!S500+'Perfil - externa'!S498</f>
        <v>13280063.896400902</v>
      </c>
      <c r="T500" s="222">
        <f>+'Perfil - interna'!T500+'Perfil - externa'!T498</f>
        <v>12757064.644909987</v>
      </c>
      <c r="U500" s="222">
        <f>+'Perfil - interna'!U500+'Perfil - externa'!U498</f>
        <v>10679022.968452871</v>
      </c>
      <c r="V500" s="222">
        <f>+'Perfil - interna'!V500+'Perfil - externa'!V498</f>
        <v>9691419.7736654989</v>
      </c>
      <c r="W500" s="222">
        <f>+'Perfil - interna'!W500+'Perfil - externa'!W498</f>
        <v>8722433.6349073611</v>
      </c>
      <c r="X500" s="222">
        <f>+'Perfil - interna'!X500+'Perfil - externa'!X498</f>
        <v>7798433.9822182264</v>
      </c>
      <c r="Y500" s="222">
        <f>+'Perfil - interna'!Y500+'Perfil - externa'!Y498</f>
        <v>6927488.9426986258</v>
      </c>
      <c r="Z500" s="222">
        <f>+'Perfil - interna'!Z500+'Perfil - externa'!Z498</f>
        <v>5889700.8845398044</v>
      </c>
      <c r="AA500" s="222">
        <f>+'Perfil - interna'!AA500+'Perfil - externa'!AA498</f>
        <v>3287851.2984493487</v>
      </c>
      <c r="AB500" s="222">
        <f>+'Perfil - interna'!AB500+'Perfil - externa'!AB498</f>
        <v>3175827.9714765633</v>
      </c>
      <c r="AC500" s="222">
        <f>+'Perfil - interna'!AC500+'Perfil - externa'!AC498</f>
        <v>2585633.7811902696</v>
      </c>
      <c r="AD500" s="222">
        <f>+'Perfil - interna'!AD500+'Perfil - externa'!AD498</f>
        <v>2351845.4327474209</v>
      </c>
      <c r="AE500" s="222">
        <f>+'Perfil - interna'!AE500+'Perfil - externa'!AE498</f>
        <v>1497836.1444181527</v>
      </c>
      <c r="AF500" s="222">
        <f>+'Perfil - interna'!AF500+'Perfil - externa'!AF498</f>
        <v>1393048.0556840978</v>
      </c>
      <c r="AG500" s="222">
        <f>+'Perfil - interna'!AG500+'Perfil - externa'!AG498</f>
        <v>1290147.8895470849</v>
      </c>
      <c r="AH500" s="222">
        <f>+'Perfil - interna'!AH500+'Perfil - externa'!AH498</f>
        <v>1233233.6529600297</v>
      </c>
      <c r="AI500" s="222">
        <f>+'Perfil - interna'!AI500+'Perfil - externa'!AI498</f>
        <v>1180125.9999831382</v>
      </c>
      <c r="AJ500" s="222">
        <f>+'Perfil - interna'!AJ500+'Perfil - externa'!AJ498</f>
        <v>861540.56150267913</v>
      </c>
      <c r="AK500" s="222">
        <f>+'Perfil - interna'!AK500+'Perfil - externa'!AK498</f>
        <v>847352.83813395887</v>
      </c>
      <c r="AL500" s="222">
        <f>+'Perfil - interna'!AL500+'Perfil - externa'!AL498</f>
        <v>835692.51338435744</v>
      </c>
      <c r="AM500" s="222">
        <f>+'Perfil - interna'!AM500+'Perfil - externa'!AM498</f>
        <v>827127.61793043523</v>
      </c>
      <c r="AN500" s="222">
        <f>+'Perfil - interna'!AN500+'Perfil - externa'!AN498</f>
        <v>552011.84387896105</v>
      </c>
      <c r="AO500" s="222">
        <f>+'Perfil - interna'!AO500+'Perfil - externa'!AO498</f>
        <v>550094.06734926661</v>
      </c>
      <c r="AP500" s="222">
        <f>+'Perfil - interna'!AP500+'Perfil - externa'!AP498</f>
        <v>538835.05297685065</v>
      </c>
      <c r="AQ500" s="222">
        <f>+'Perfil - interna'!AQ500+'Perfil - externa'!AQ498</f>
        <v>383527.63940815756</v>
      </c>
      <c r="AR500" s="222">
        <f>+'Perfil - interna'!AR500+'Perfil - externa'!AR498</f>
        <v>228220.27934804306</v>
      </c>
      <c r="AS500" s="222">
        <f>+'Perfil - interna'!AS500+'Perfil - externa'!AS498</f>
        <v>228218.41928792861</v>
      </c>
      <c r="AT500" s="222">
        <f>+'Perfil - interna'!AT500+'Perfil - externa'!AT498</f>
        <v>114114.59235217233</v>
      </c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</row>
    <row r="501" spans="1:63">
      <c r="A501" s="171"/>
      <c r="B501" s="318" t="str">
        <f>Servicio_internaColumna_título_total</f>
        <v>Total</v>
      </c>
      <c r="C501" s="319"/>
      <c r="D501" s="320"/>
      <c r="E501" s="320"/>
      <c r="F501" s="320"/>
      <c r="G501" s="320"/>
      <c r="H501" s="320"/>
      <c r="I501" s="320"/>
      <c r="J501" s="320"/>
      <c r="K501" s="320"/>
      <c r="L501" s="320"/>
      <c r="M501" s="320"/>
      <c r="N501" s="320"/>
      <c r="O501" s="320"/>
      <c r="P501" s="320">
        <f>+'Perfil - interna'!P501+'Perfil - externa'!P499</f>
        <v>15346780.602745304</v>
      </c>
      <c r="Q501" s="320">
        <f>+'Perfil - interna'!Q501+'Perfil - externa'!Q499</f>
        <v>49227450.171499737</v>
      </c>
      <c r="R501" s="320">
        <f>+'Perfil - interna'!R501+'Perfil - externa'!R499</f>
        <v>40804505.755131654</v>
      </c>
      <c r="S501" s="320">
        <f>+'Perfil - interna'!S501+'Perfil - externa'!S499</f>
        <v>27621431.54254223</v>
      </c>
      <c r="T501" s="320">
        <f>+'Perfil - interna'!T501+'Perfil - externa'!T499</f>
        <v>37614132.749075763</v>
      </c>
      <c r="U501" s="320">
        <f>+'Perfil - interna'!U501+'Perfil - externa'!U499</f>
        <v>31602370.368695717</v>
      </c>
      <c r="V501" s="320">
        <f>+'Perfil - interna'!V501+'Perfil - externa'!V499</f>
        <v>21168703.342049342</v>
      </c>
      <c r="W501" s="320">
        <f>+'Perfil - interna'!W501+'Perfil - externa'!W499</f>
        <v>24994847.086331584</v>
      </c>
      <c r="X501" s="320">
        <f>+'Perfil - interna'!X501+'Perfil - externa'!X499</f>
        <v>21056312.946618374</v>
      </c>
      <c r="Y501" s="320">
        <f>+'Perfil - interna'!Y501+'Perfil - externa'!Y499</f>
        <v>23881078.080048859</v>
      </c>
      <c r="Z501" s="320">
        <f>+'Perfil - interna'!Z501+'Perfil - externa'!Z499</f>
        <v>35599194.88280528</v>
      </c>
      <c r="AA501" s="320">
        <f>+'Perfil - interna'!AA501+'Perfil - externa'!AA499</f>
        <v>5645692.4897067342</v>
      </c>
      <c r="AB501" s="320">
        <f>+'Perfil - interna'!AB501+'Perfil - externa'!AB499</f>
        <v>11587653.235088164</v>
      </c>
      <c r="AC501" s="320">
        <f>+'Perfil - interna'!AC501+'Perfil - externa'!AC499</f>
        <v>5717408.6222355831</v>
      </c>
      <c r="AD501" s="320">
        <f>+'Perfil - interna'!AD501+'Perfil - externa'!AD499</f>
        <v>16619439.674793759</v>
      </c>
      <c r="AE501" s="320">
        <f>+'Perfil - interna'!AE501+'Perfil - externa'!AE499</f>
        <v>3012611.5544694164</v>
      </c>
      <c r="AF501" s="320">
        <f>+'Perfil - interna'!AF501+'Perfil - externa'!AF499</f>
        <v>2929265.1823338741</v>
      </c>
      <c r="AG501" s="320">
        <f>+'Perfil - interna'!AG501+'Perfil - externa'!AG499</f>
        <v>3260816.6581014111</v>
      </c>
      <c r="AH501" s="320">
        <f>+'Perfil - interna'!AH501+'Perfil - externa'!AH499</f>
        <v>1740148.9649054613</v>
      </c>
      <c r="AI501" s="320">
        <f>+'Perfil - interna'!AI501+'Perfil - externa'!AI499</f>
        <v>7257581.4779099803</v>
      </c>
      <c r="AJ501" s="320">
        <f>+'Perfil - interna'!AJ501+'Perfil - externa'!AJ499</f>
        <v>1105732.7901224247</v>
      </c>
      <c r="AK501" s="320">
        <f>+'Perfil - interna'!AK501+'Perfil - externa'!AK499</f>
        <v>1025917.7726360575</v>
      </c>
      <c r="AL501" s="320">
        <f>+'Perfil - interna'!AL501+'Perfil - externa'!AL499</f>
        <v>957575.37455272407</v>
      </c>
      <c r="AM501" s="320">
        <f>+'Perfil - interna'!AM501+'Perfil - externa'!AM499</f>
        <v>4569518.3215881716</v>
      </c>
      <c r="AN501" s="320">
        <f>+'Perfil - interna'!AN501+'Perfil - externa'!AN499</f>
        <v>553701.68867763504</v>
      </c>
      <c r="AO501" s="320">
        <f>+'Perfil - interna'!AO501+'Perfil - externa'!AO499</f>
        <v>551783.9121479406</v>
      </c>
      <c r="AP501" s="320">
        <f>+'Perfil - interna'!AP501+'Perfil - externa'!AP499</f>
        <v>540524.89777552465</v>
      </c>
      <c r="AQ501" s="320">
        <f>+'Perfil - interna'!AQ501+'Perfil - externa'!AQ499</f>
        <v>5456417.4842068311</v>
      </c>
      <c r="AR501" s="320">
        <f>+'Perfil - interna'!AR501+'Perfil - externa'!AR499</f>
        <v>229910.12414671702</v>
      </c>
      <c r="AS501" s="320">
        <f>+'Perfil - interna'!AS501+'Perfil - externa'!AS499</f>
        <v>229908.26408660258</v>
      </c>
      <c r="AT501" s="320">
        <f>+'Perfil - interna'!AT501+'Perfil - externa'!AT499</f>
        <v>4172058.8829592839</v>
      </c>
      <c r="AU501" s="320"/>
      <c r="AV501" s="320"/>
      <c r="AW501" s="320"/>
      <c r="AX501" s="320"/>
      <c r="AY501" s="320"/>
      <c r="AZ501" s="320"/>
      <c r="BA501" s="320"/>
      <c r="BB501" s="320"/>
      <c r="BC501" s="320"/>
      <c r="BD501" s="320"/>
      <c r="BE501" s="320"/>
      <c r="BF501" s="320"/>
      <c r="BG501" s="320"/>
      <c r="BH501" s="320"/>
      <c r="BI501" s="320"/>
      <c r="BJ501" s="320"/>
      <c r="BK501" s="320"/>
    </row>
    <row r="502" spans="1:63">
      <c r="A502" s="167"/>
      <c r="B502" s="217" t="str">
        <f>Servicio_internaColumna_título_amortizaciones</f>
        <v>Amortizaciones</v>
      </c>
      <c r="C502" s="218"/>
      <c r="D502" s="219"/>
      <c r="E502" s="219"/>
      <c r="F502" s="219"/>
      <c r="G502" s="219"/>
      <c r="H502" s="219"/>
      <c r="I502" s="219"/>
      <c r="J502" s="219"/>
      <c r="K502" s="219"/>
      <c r="L502" s="219"/>
      <c r="M502" s="219"/>
      <c r="N502" s="219"/>
      <c r="O502" s="219"/>
      <c r="P502" s="219">
        <f>+'Perfil - interna'!P502+'Perfil - externa'!P500</f>
        <v>14206294.502710251</v>
      </c>
      <c r="Q502" s="219">
        <f>+'Perfil - interna'!Q502+'Perfil - externa'!Q500</f>
        <v>29330570.906062201</v>
      </c>
      <c r="R502" s="219">
        <f>+'Perfil - interna'!R502+'Perfil - externa'!R500</f>
        <v>27144799.360029407</v>
      </c>
      <c r="S502" s="219">
        <f>+'Perfil - interna'!S502+'Perfil - externa'!S500</f>
        <v>16005235.252467025</v>
      </c>
      <c r="T502" s="219">
        <f>+'Perfil - interna'!T502+'Perfil - externa'!T500</f>
        <v>21558142.398571637</v>
      </c>
      <c r="U502" s="219">
        <f>+'Perfil - interna'!U502+'Perfil - externa'!U500</f>
        <v>22333094.605495356</v>
      </c>
      <c r="V502" s="219">
        <f>+'Perfil - interna'!V502+'Perfil - externa'!V500</f>
        <v>14860454.901674934</v>
      </c>
      <c r="W502" s="219">
        <f>+'Perfil - interna'!W502+'Perfil - externa'!W500</f>
        <v>16656301.071578562</v>
      </c>
      <c r="X502" s="219">
        <f>+'Perfil - interna'!X502+'Perfil - externa'!X500</f>
        <v>13309816.790091665</v>
      </c>
      <c r="Y502" s="219">
        <f>+'Perfil - interna'!Y502+'Perfil - externa'!Y500</f>
        <v>17190628.595293224</v>
      </c>
      <c r="Z502" s="219">
        <f>+'Perfil - interna'!Z502+'Perfil - externa'!Z500</f>
        <v>31772052.456571959</v>
      </c>
      <c r="AA502" s="219">
        <f>+'Perfil - interna'!AA502+'Perfil - externa'!AA500</f>
        <v>2421690.3372361851</v>
      </c>
      <c r="AB502" s="219">
        <f>+'Perfil - interna'!AB502+'Perfil - externa'!AB500</f>
        <v>8547813.9189760759</v>
      </c>
      <c r="AC502" s="219">
        <f>+'Perfil - interna'!AC502+'Perfil - externa'!AC500</f>
        <v>3183129.3530970216</v>
      </c>
      <c r="AD502" s="219">
        <f>+'Perfil - interna'!AD502+'Perfil - externa'!AD500</f>
        <v>14538117.444422351</v>
      </c>
      <c r="AE502" s="219">
        <f>+'Perfil - interna'!AE502+'Perfil - externa'!AE500</f>
        <v>1570613.834753844</v>
      </c>
      <c r="AF502" s="219">
        <f>+'Perfil - interna'!AF502+'Perfil - externa'!AF500</f>
        <v>1594935.9434418716</v>
      </c>
      <c r="AG502" s="219">
        <f>+'Perfil - interna'!AG502+'Perfil - externa'!AG500</f>
        <v>2032708.3848513097</v>
      </c>
      <c r="AH502" s="219">
        <f>+'Perfil - interna'!AH502+'Perfil - externa'!AH500</f>
        <v>553050.83932477934</v>
      </c>
      <c r="AI502" s="219">
        <f>+'Perfil - interna'!AI502+'Perfil - externa'!AI500</f>
        <v>6138279.1400954267</v>
      </c>
      <c r="AJ502" s="219">
        <f>+'Perfil - interna'!AJ502+'Perfil - externa'!AJ500</f>
        <v>247184.33128620993</v>
      </c>
      <c r="AK502" s="219">
        <f>+'Perfil - interna'!AK502+'Perfil - externa'!AK500</f>
        <v>180843.97834503348</v>
      </c>
      <c r="AL502" s="219">
        <f>+'Perfil - interna'!AL502+'Perfil - externa'!AL500</f>
        <v>123482.24752067598</v>
      </c>
      <c r="AM502" s="219">
        <f>+'Perfil - interna'!AM502+'Perfil - externa'!AM500</f>
        <v>3783328.2815820132</v>
      </c>
      <c r="AN502" s="219">
        <f>+'Perfil - interna'!AN502+'Perfil - externa'!AN500</f>
        <v>1708.2054329236475</v>
      </c>
      <c r="AO502" s="219">
        <f>+'Perfil - interna'!AO502+'Perfil - externa'!AO500</f>
        <v>1708.2054329236475</v>
      </c>
      <c r="AP502" s="219">
        <f>+'Perfil - interna'!AP502+'Perfil - externa'!AP500</f>
        <v>1708.2054329236475</v>
      </c>
      <c r="AQ502" s="219">
        <f>+'Perfil - interna'!AQ502+'Perfil - externa'!AQ500</f>
        <v>5128008.2054329235</v>
      </c>
      <c r="AR502" s="219">
        <f>+'Perfil - interna'!AR502+'Perfil - externa'!AR500</f>
        <v>1708.2054329236475</v>
      </c>
      <c r="AS502" s="219">
        <f>+'Perfil - interna'!AS502+'Perfil - externa'!AS500</f>
        <v>1708.2054329236475</v>
      </c>
      <c r="AT502" s="219">
        <f>+'Perfil - interna'!AT502+'Perfil - externa'!AT500</f>
        <v>5127294.9851986198</v>
      </c>
      <c r="AU502" s="219"/>
      <c r="AV502" s="219"/>
      <c r="AW502" s="219"/>
      <c r="AX502" s="219"/>
      <c r="AY502" s="219"/>
      <c r="AZ502" s="219"/>
      <c r="BA502" s="219"/>
      <c r="BB502" s="219"/>
      <c r="BC502" s="219"/>
      <c r="BD502" s="219"/>
      <c r="BE502" s="219"/>
      <c r="BF502" s="219"/>
      <c r="BG502" s="219"/>
      <c r="BH502" s="219"/>
      <c r="BI502" s="219"/>
      <c r="BJ502" s="219"/>
      <c r="BK502" s="219"/>
    </row>
    <row r="503" spans="1:63">
      <c r="A503" s="170">
        <v>41943</v>
      </c>
      <c r="B503" s="220" t="str">
        <f>Servicio_internaColumna_título_intereses</f>
        <v>Intereses</v>
      </c>
      <c r="C503" s="221"/>
      <c r="D503" s="222"/>
      <c r="E503" s="222"/>
      <c r="F503" s="222"/>
      <c r="G503" s="222"/>
      <c r="H503" s="222"/>
      <c r="I503" s="222"/>
      <c r="J503" s="222"/>
      <c r="K503" s="222"/>
      <c r="L503" s="222"/>
      <c r="M503" s="222"/>
      <c r="N503" s="222"/>
      <c r="O503" s="222"/>
      <c r="P503" s="222">
        <f>+'Perfil - interna'!P503+'Perfil - externa'!P501</f>
        <v>1171697.880966085</v>
      </c>
      <c r="Q503" s="222">
        <f>+'Perfil - interna'!Q503+'Perfil - externa'!Q501</f>
        <v>17410726.853739072</v>
      </c>
      <c r="R503" s="222">
        <f>+'Perfil - interna'!R503+'Perfil - externa'!R501</f>
        <v>15555274.048625793</v>
      </c>
      <c r="S503" s="222">
        <f>+'Perfil - interna'!S503+'Perfil - externa'!S501</f>
        <v>13703569.602125309</v>
      </c>
      <c r="T503" s="222">
        <f>+'Perfil - interna'!T503+'Perfil - externa'!T501</f>
        <v>13105235.551216476</v>
      </c>
      <c r="U503" s="222">
        <f>+'Perfil - interna'!U503+'Perfil - externa'!U501</f>
        <v>11394673.912844064</v>
      </c>
      <c r="V503" s="222">
        <f>+'Perfil - interna'!V503+'Perfil - externa'!V501</f>
        <v>10326474.835145097</v>
      </c>
      <c r="W503" s="222">
        <f>+'Perfil - interna'!W503+'Perfil - externa'!W501</f>
        <v>9004842.3079634029</v>
      </c>
      <c r="X503" s="222">
        <f>+'Perfil - interna'!X503+'Perfil - externa'!X501</f>
        <v>8065809.9960847823</v>
      </c>
      <c r="Y503" s="222">
        <f>+'Perfil - interna'!Y503+'Perfil - externa'!Y501</f>
        <v>7185471.3685294222</v>
      </c>
      <c r="Z503" s="222">
        <f>+'Perfil - interna'!Z503+'Perfil - externa'!Z501</f>
        <v>6119011.7677554339</v>
      </c>
      <c r="AA503" s="222">
        <f>+'Perfil - interna'!AA503+'Perfil - externa'!AA501</f>
        <v>3399371.9345274447</v>
      </c>
      <c r="AB503" s="222">
        <f>+'Perfil - interna'!AB503+'Perfil - externa'!AB501</f>
        <v>3281220.660435617</v>
      </c>
      <c r="AC503" s="222">
        <f>+'Perfil - interna'!AC503+'Perfil - externa'!AC501</f>
        <v>2682370.9596495871</v>
      </c>
      <c r="AD503" s="222">
        <f>+'Perfil - interna'!AD503+'Perfil - externa'!AD501</f>
        <v>2446269.9140065983</v>
      </c>
      <c r="AE503" s="222">
        <f>+'Perfil - interna'!AE503+'Perfil - externa'!AE501</f>
        <v>1578823.9849075815</v>
      </c>
      <c r="AF503" s="222">
        <f>+'Perfil - interna'!AF503+'Perfil - externa'!AF501</f>
        <v>1471538.835682513</v>
      </c>
      <c r="AG503" s="222">
        <f>+'Perfil - interna'!AG503+'Perfil - externa'!AG501</f>
        <v>1363873.9909786331</v>
      </c>
      <c r="AH503" s="222">
        <f>+'Perfil - interna'!AH503+'Perfil - externa'!AH501</f>
        <v>1304413.991275907</v>
      </c>
      <c r="AI503" s="222">
        <f>+'Perfil - interna'!AI503+'Perfil - externa'!AI501</f>
        <v>1248845.8688460495</v>
      </c>
      <c r="AJ503" s="222">
        <f>+'Perfil - interna'!AJ503+'Perfil - externa'!AJ501</f>
        <v>928316.35659358057</v>
      </c>
      <c r="AK503" s="222">
        <f>+'Perfil - interna'!AK503+'Perfil - externa'!AK501</f>
        <v>914006.88354578114</v>
      </c>
      <c r="AL503" s="222">
        <f>+'Perfil - interna'!AL503+'Perfil - externa'!AL501</f>
        <v>902259.69840065669</v>
      </c>
      <c r="AM503" s="222">
        <f>+'Perfil - interna'!AM503+'Perfil - externa'!AM501</f>
        <v>893627.9933731819</v>
      </c>
      <c r="AN503" s="222">
        <f>+'Perfil - interna'!AN503+'Perfil - externa'!AN501</f>
        <v>615537.35159889457</v>
      </c>
      <c r="AO503" s="222">
        <f>+'Perfil - interna'!AO503+'Perfil - externa'!AO501</f>
        <v>613619.5548591289</v>
      </c>
      <c r="AP503" s="222">
        <f>+'Perfil - interna'!AP503+'Perfil - externa'!AP501</f>
        <v>602360.52085802762</v>
      </c>
      <c r="AQ503" s="222">
        <f>+'Perfil - interna'!AQ503+'Perfil - externa'!AQ501</f>
        <v>445365.64899787778</v>
      </c>
      <c r="AR503" s="222">
        <f>+'Perfil - interna'!AR503+'Perfil - externa'!AR501</f>
        <v>288370.83122769231</v>
      </c>
      <c r="AS503" s="222">
        <f>+'Perfil - interna'!AS503+'Perfil - externa'!AS501</f>
        <v>288368.95095750678</v>
      </c>
      <c r="AT503" s="222">
        <f>+'Perfil - interna'!AT503+'Perfil - externa'!AT501</f>
        <v>144189.9166715848</v>
      </c>
      <c r="AU503" s="222"/>
      <c r="AV503" s="222"/>
      <c r="AW503" s="222"/>
      <c r="AX503" s="222"/>
      <c r="AY503" s="222"/>
      <c r="AZ503" s="222"/>
      <c r="BA503" s="222"/>
      <c r="BB503" s="222"/>
      <c r="BC503" s="222"/>
      <c r="BD503" s="222"/>
      <c r="BE503" s="222"/>
      <c r="BF503" s="222"/>
      <c r="BG503" s="222"/>
      <c r="BH503" s="222"/>
      <c r="BI503" s="222"/>
      <c r="BJ503" s="222"/>
      <c r="BK503" s="222"/>
    </row>
    <row r="504" spans="1:63">
      <c r="A504" s="171"/>
      <c r="B504" s="318" t="str">
        <f>Servicio_internaColumna_título_total</f>
        <v>Total</v>
      </c>
      <c r="C504" s="319"/>
      <c r="D504" s="320"/>
      <c r="E504" s="320"/>
      <c r="F504" s="320"/>
      <c r="G504" s="320"/>
      <c r="H504" s="320"/>
      <c r="I504" s="320"/>
      <c r="J504" s="320"/>
      <c r="K504" s="320"/>
      <c r="L504" s="320"/>
      <c r="M504" s="320"/>
      <c r="N504" s="320"/>
      <c r="O504" s="320"/>
      <c r="P504" s="320">
        <f>+'Perfil - interna'!P504+'Perfil - externa'!P502</f>
        <v>15377992.383676335</v>
      </c>
      <c r="Q504" s="320">
        <f>+'Perfil - interna'!Q504+'Perfil - externa'!Q502</f>
        <v>46741297.759801269</v>
      </c>
      <c r="R504" s="320">
        <f>+'Perfil - interna'!R504+'Perfil - externa'!R502</f>
        <v>42700073.408655196</v>
      </c>
      <c r="S504" s="320">
        <f>+'Perfil - interna'!S504+'Perfil - externa'!S502</f>
        <v>29708804.854592338</v>
      </c>
      <c r="T504" s="320">
        <f>+'Perfil - interna'!T504+'Perfil - externa'!T502</f>
        <v>34663377.949788116</v>
      </c>
      <c r="U504" s="320">
        <f>+'Perfil - interna'!U504+'Perfil - externa'!U502</f>
        <v>33727768.518339425</v>
      </c>
      <c r="V504" s="320">
        <f>+'Perfil - interna'!V504+'Perfil - externa'!V502</f>
        <v>25186929.736820027</v>
      </c>
      <c r="W504" s="320">
        <f>+'Perfil - interna'!W504+'Perfil - externa'!W502</f>
        <v>25661143.379541963</v>
      </c>
      <c r="X504" s="320">
        <f>+'Perfil - interna'!X504+'Perfil - externa'!X502</f>
        <v>21375626.786176447</v>
      </c>
      <c r="Y504" s="320">
        <f>+'Perfil - interna'!Y504+'Perfil - externa'!Y502</f>
        <v>24376099.963822648</v>
      </c>
      <c r="Z504" s="320">
        <f>+'Perfil - interna'!Z504+'Perfil - externa'!Z502</f>
        <v>37891064.224327385</v>
      </c>
      <c r="AA504" s="320">
        <f>+'Perfil - interna'!AA504+'Perfil - externa'!AA502</f>
        <v>5821062.2717636302</v>
      </c>
      <c r="AB504" s="320">
        <f>+'Perfil - interna'!AB504+'Perfil - externa'!AB502</f>
        <v>11829034.579411693</v>
      </c>
      <c r="AC504" s="320">
        <f>+'Perfil - interna'!AC504+'Perfil - externa'!AC502</f>
        <v>5865500.3127466086</v>
      </c>
      <c r="AD504" s="320">
        <f>+'Perfil - interna'!AD504+'Perfil - externa'!AD502</f>
        <v>16984387.358428951</v>
      </c>
      <c r="AE504" s="320">
        <f>+'Perfil - interna'!AE504+'Perfil - externa'!AE502</f>
        <v>3149437.8196614259</v>
      </c>
      <c r="AF504" s="320">
        <f>+'Perfil - interna'!AF504+'Perfil - externa'!AF502</f>
        <v>3066474.7791243843</v>
      </c>
      <c r="AG504" s="320">
        <f>+'Perfil - interna'!AG504+'Perfil - externa'!AG502</f>
        <v>3396582.375829943</v>
      </c>
      <c r="AH504" s="320">
        <f>+'Perfil - interna'!AH504+'Perfil - externa'!AH502</f>
        <v>1857464.8306006864</v>
      </c>
      <c r="AI504" s="320">
        <f>+'Perfil - interna'!AI504+'Perfil - externa'!AI502</f>
        <v>7387125.0089414762</v>
      </c>
      <c r="AJ504" s="320">
        <f>+'Perfil - interna'!AJ504+'Perfil - externa'!AJ502</f>
        <v>1175500.6878797903</v>
      </c>
      <c r="AK504" s="320">
        <f>+'Perfil - interna'!AK504+'Perfil - externa'!AK502</f>
        <v>1094850.8618908147</v>
      </c>
      <c r="AL504" s="320">
        <f>+'Perfil - interna'!AL504+'Perfil - externa'!AL502</f>
        <v>1025741.9459213327</v>
      </c>
      <c r="AM504" s="320">
        <f>+'Perfil - interna'!AM504+'Perfil - externa'!AM502</f>
        <v>4676956.2749551944</v>
      </c>
      <c r="AN504" s="320">
        <f>+'Perfil - interna'!AN504+'Perfil - externa'!AN502</f>
        <v>617245.5570318182</v>
      </c>
      <c r="AO504" s="320">
        <f>+'Perfil - interna'!AO504+'Perfil - externa'!AO502</f>
        <v>615327.76029205252</v>
      </c>
      <c r="AP504" s="320">
        <f>+'Perfil - interna'!AP504+'Perfil - externa'!AP502</f>
        <v>604068.72629095125</v>
      </c>
      <c r="AQ504" s="320">
        <f>+'Perfil - interna'!AQ504+'Perfil - externa'!AQ502</f>
        <v>5573373.8544308012</v>
      </c>
      <c r="AR504" s="320">
        <f>+'Perfil - interna'!AR504+'Perfil - externa'!AR502</f>
        <v>290079.03666061594</v>
      </c>
      <c r="AS504" s="320">
        <f>+'Perfil - interna'!AS504+'Perfil - externa'!AS502</f>
        <v>290077.15639043041</v>
      </c>
      <c r="AT504" s="320">
        <f>+'Perfil - interna'!AT504+'Perfil - externa'!AT502</f>
        <v>5271484.9018702041</v>
      </c>
      <c r="AU504" s="320"/>
      <c r="AV504" s="320"/>
      <c r="AW504" s="320"/>
      <c r="AX504" s="320"/>
      <c r="AY504" s="320"/>
      <c r="AZ504" s="320"/>
      <c r="BA504" s="320"/>
      <c r="BB504" s="320"/>
      <c r="BC504" s="320"/>
      <c r="BD504" s="320"/>
      <c r="BE504" s="320"/>
      <c r="BF504" s="320"/>
      <c r="BG504" s="320"/>
      <c r="BH504" s="320"/>
      <c r="BI504" s="320"/>
      <c r="BJ504" s="320"/>
      <c r="BK504" s="320"/>
    </row>
    <row r="505" spans="1:63">
      <c r="A505" s="167"/>
      <c r="B505" s="217" t="str">
        <f>Servicio_internaColumna_título_amortizaciones</f>
        <v>Amortizaciones</v>
      </c>
      <c r="C505" s="218"/>
      <c r="D505" s="219"/>
      <c r="E505" s="219"/>
      <c r="F505" s="219"/>
      <c r="G505" s="219"/>
      <c r="H505" s="219"/>
      <c r="I505" s="219"/>
      <c r="J505" s="219"/>
      <c r="K505" s="219"/>
      <c r="L505" s="219"/>
      <c r="M505" s="219"/>
      <c r="N505" s="219"/>
      <c r="O505" s="219"/>
      <c r="P505" s="219">
        <f>+'Perfil - interna'!P505+'Perfil - externa'!P503</f>
        <v>8589681.3902456909</v>
      </c>
      <c r="Q505" s="219">
        <f>+'Perfil - interna'!Q505+'Perfil - externa'!Q503</f>
        <v>29930930.33679653</v>
      </c>
      <c r="R505" s="219">
        <f>+'Perfil - interna'!R505+'Perfil - externa'!R503</f>
        <v>27994034.37919315</v>
      </c>
      <c r="S505" s="219">
        <f>+'Perfil - interna'!S505+'Perfil - externa'!S503</f>
        <v>16273200.024229549</v>
      </c>
      <c r="T505" s="219">
        <f>+'Perfil - interna'!T505+'Perfil - externa'!T503</f>
        <v>21628485.480550405</v>
      </c>
      <c r="U505" s="219">
        <f>+'Perfil - interna'!U505+'Perfil - externa'!U503</f>
        <v>22921760.850224167</v>
      </c>
      <c r="V505" s="219">
        <f>+'Perfil - interna'!V505+'Perfil - externa'!V503</f>
        <v>15014237.321562193</v>
      </c>
      <c r="W505" s="219">
        <f>+'Perfil - interna'!W505+'Perfil - externa'!W503</f>
        <v>16934457.448371809</v>
      </c>
      <c r="X505" s="219">
        <f>+'Perfil - interna'!X505+'Perfil - externa'!X503</f>
        <v>13370180.548017714</v>
      </c>
      <c r="Y505" s="219">
        <f>+'Perfil - interna'!Y505+'Perfil - externa'!Y503</f>
        <v>17365038.562095605</v>
      </c>
      <c r="Z505" s="219">
        <f>+'Perfil - interna'!Z505+'Perfil - externa'!Z503</f>
        <v>32191123.283865679</v>
      </c>
      <c r="AA505" s="219">
        <f>+'Perfil - interna'!AA505+'Perfil - externa'!AA503</f>
        <v>2547809.3206722694</v>
      </c>
      <c r="AB505" s="219">
        <f>+'Perfil - interna'!AB505+'Perfil - externa'!AB503</f>
        <v>8603550.0544437803</v>
      </c>
      <c r="AC505" s="219">
        <f>+'Perfil - interna'!AC505+'Perfil - externa'!AC503</f>
        <v>3210198.6975773107</v>
      </c>
      <c r="AD505" s="219">
        <f>+'Perfil - interna'!AD505+'Perfil - externa'!AD503</f>
        <v>14826260.090765843</v>
      </c>
      <c r="AE505" s="219">
        <f>+'Perfil - interna'!AE505+'Perfil - externa'!AE503</f>
        <v>1648682.8168980898</v>
      </c>
      <c r="AF505" s="219">
        <f>+'Perfil - interna'!AF505+'Perfil - externa'!AF503</f>
        <v>1673842.3810961554</v>
      </c>
      <c r="AG505" s="219">
        <f>+'Perfil - interna'!AG505+'Perfil - externa'!AG503</f>
        <v>2138690.0139591326</v>
      </c>
      <c r="AH505" s="219">
        <f>+'Perfil - interna'!AH505+'Perfil - externa'!AH503</f>
        <v>584392.95592196251</v>
      </c>
      <c r="AI505" s="219">
        <f>+'Perfil - interna'!AI505+'Perfil - externa'!AI503</f>
        <v>6219249.752013295</v>
      </c>
      <c r="AJ505" s="219">
        <f>+'Perfil - interna'!AJ505+'Perfil - externa'!AJ503</f>
        <v>261427.62523525441</v>
      </c>
      <c r="AK505" s="219">
        <f>+'Perfil - interna'!AK505+'Perfil - externa'!AK503</f>
        <v>191378.65464701911</v>
      </c>
      <c r="AL505" s="219">
        <f>+'Perfil - interna'!AL505+'Perfil - externa'!AL503</f>
        <v>130810.23712641088</v>
      </c>
      <c r="AM505" s="219">
        <f>+'Perfil - interna'!AM505+'Perfil - externa'!AM503</f>
        <v>3995253.5314052473</v>
      </c>
      <c r="AN505" s="219">
        <f>+'Perfil - interna'!AN505+'Perfil - externa'!AN503</f>
        <v>2214.6704249712388</v>
      </c>
      <c r="AO505" s="219">
        <f>+'Perfil - interna'!AO505+'Perfil - externa'!AO503</f>
        <v>2214.6704249712388</v>
      </c>
      <c r="AP505" s="219">
        <f>+'Perfil - interna'!AP505+'Perfil - externa'!AP503</f>
        <v>2214.6704249712388</v>
      </c>
      <c r="AQ505" s="219">
        <f>+'Perfil - interna'!AQ505+'Perfil - externa'!AQ503</f>
        <v>5415089.6704249717</v>
      </c>
      <c r="AR505" s="219">
        <f>+'Perfil - interna'!AR505+'Perfil - externa'!AR503</f>
        <v>2214.6704249712388</v>
      </c>
      <c r="AS505" s="219">
        <f>+'Perfil - interna'!AS505+'Perfil - externa'!AS503</f>
        <v>2214.6704249712388</v>
      </c>
      <c r="AT505" s="219">
        <f>+'Perfil - interna'!AT505+'Perfil - externa'!AT503</f>
        <v>5414336.5791162765</v>
      </c>
      <c r="AU505" s="219"/>
      <c r="AV505" s="219"/>
      <c r="AW505" s="219"/>
      <c r="AX505" s="219"/>
      <c r="AY505" s="219"/>
      <c r="AZ505" s="219"/>
      <c r="BA505" s="219"/>
      <c r="BB505" s="219"/>
      <c r="BC505" s="219"/>
      <c r="BD505" s="219"/>
      <c r="BE505" s="219"/>
      <c r="BF505" s="219"/>
      <c r="BG505" s="219"/>
      <c r="BH505" s="219"/>
      <c r="BI505" s="219"/>
      <c r="BJ505" s="219"/>
      <c r="BK505" s="219"/>
    </row>
    <row r="506" spans="1:63">
      <c r="A506" s="170">
        <v>41973</v>
      </c>
      <c r="B506" s="220" t="str">
        <f>Servicio_internaColumna_título_intereses</f>
        <v>Intereses</v>
      </c>
      <c r="C506" s="221"/>
      <c r="D506" s="222"/>
      <c r="E506" s="222"/>
      <c r="F506" s="222"/>
      <c r="G506" s="222"/>
      <c r="H506" s="222"/>
      <c r="I506" s="222"/>
      <c r="J506" s="222"/>
      <c r="K506" s="222"/>
      <c r="L506" s="222"/>
      <c r="M506" s="222"/>
      <c r="N506" s="222"/>
      <c r="O506" s="222"/>
      <c r="P506" s="222">
        <f>+'Perfil - interna'!P506+'Perfil - externa'!P504</f>
        <v>155666.62932492455</v>
      </c>
      <c r="Q506" s="222">
        <f>+'Perfil - interna'!Q506+'Perfil - externa'!Q504</f>
        <v>17697959.560311824</v>
      </c>
      <c r="R506" s="222">
        <f>+'Perfil - interna'!R506+'Perfil - externa'!R504</f>
        <v>15799806.037154034</v>
      </c>
      <c r="S506" s="222">
        <f>+'Perfil - interna'!S506+'Perfil - externa'!S504</f>
        <v>13884551.607945001</v>
      </c>
      <c r="T506" s="222">
        <f>+'Perfil - interna'!T506+'Perfil - externa'!T504</f>
        <v>13287002.67850839</v>
      </c>
      <c r="U506" s="222">
        <f>+'Perfil - interna'!U506+'Perfil - externa'!U504</f>
        <v>11568246.517161172</v>
      </c>
      <c r="V506" s="222">
        <f>+'Perfil - interna'!V506+'Perfil - externa'!V504</f>
        <v>10473234.02850784</v>
      </c>
      <c r="W506" s="222">
        <f>+'Perfil - interna'!W506+'Perfil - externa'!W504</f>
        <v>9162798.3728133142</v>
      </c>
      <c r="X506" s="222">
        <f>+'Perfil - interna'!X506+'Perfil - externa'!X504</f>
        <v>8204180.0806273194</v>
      </c>
      <c r="Y506" s="222">
        <f>+'Perfil - interna'!Y506+'Perfil - externa'!Y504</f>
        <v>7308004.2236539479</v>
      </c>
      <c r="Z506" s="222">
        <f>+'Perfil - interna'!Z506+'Perfil - externa'!Z504</f>
        <v>6232016.2332214704</v>
      </c>
      <c r="AA506" s="222">
        <f>+'Perfil - interna'!AA506+'Perfil - externa'!AA504</f>
        <v>3499501.3361483971</v>
      </c>
      <c r="AB506" s="222">
        <f>+'Perfil - interna'!AB506+'Perfil - externa'!AB504</f>
        <v>3371105.53344025</v>
      </c>
      <c r="AC506" s="222">
        <f>+'Perfil - interna'!AC506+'Perfil - externa'!AC504</f>
        <v>2769818.1515603689</v>
      </c>
      <c r="AD506" s="222">
        <f>+'Perfil - interna'!AD506+'Perfil - externa'!AD504</f>
        <v>2531127.3216321561</v>
      </c>
      <c r="AE506" s="222">
        <f>+'Perfil - interna'!AE506+'Perfil - externa'!AE504</f>
        <v>1648369.167523609</v>
      </c>
      <c r="AF506" s="222">
        <f>+'Perfil - interna'!AF506+'Perfil - externa'!AF504</f>
        <v>1539009.3816543829</v>
      </c>
      <c r="AG506" s="222">
        <f>+'Perfil - interna'!AG506+'Perfil - externa'!AG504</f>
        <v>1423960.7590338849</v>
      </c>
      <c r="AH506" s="222">
        <f>+'Perfil - interna'!AH506+'Perfil - externa'!AH504</f>
        <v>1361313.59170079</v>
      </c>
      <c r="AI506" s="222">
        <f>+'Perfil - interna'!AI506+'Perfil - externa'!AI504</f>
        <v>1302563.9114770982</v>
      </c>
      <c r="AJ506" s="222">
        <f>+'Perfil - interna'!AJ506+'Perfil - externa'!AJ504</f>
        <v>978624.12465532811</v>
      </c>
      <c r="AK506" s="222">
        <f>+'Perfil - interna'!AK506+'Perfil - externa'!AK504</f>
        <v>963764.11526199698</v>
      </c>
      <c r="AL506" s="222">
        <f>+'Perfil - interna'!AL506+'Perfil - externa'!AL504</f>
        <v>951614.30345994863</v>
      </c>
      <c r="AM506" s="222">
        <f>+'Perfil - interna'!AM506+'Perfil - externa'!AM504</f>
        <v>942714.15886121814</v>
      </c>
      <c r="AN506" s="222">
        <f>+'Perfil - interna'!AN506+'Perfil - externa'!AN504</f>
        <v>649211.25449980062</v>
      </c>
      <c r="AO506" s="222">
        <f>+'Perfil - interna'!AO506+'Perfil - externa'!AO504</f>
        <v>647293.35264749208</v>
      </c>
      <c r="AP506" s="222">
        <f>+'Perfil - interna'!AP506+'Perfil - externa'!AP504</f>
        <v>636034.21655763348</v>
      </c>
      <c r="AQ506" s="222">
        <f>+'Perfil - interna'!AQ506+'Perfil - externa'!AQ504</f>
        <v>470262.87718615535</v>
      </c>
      <c r="AR506" s="222">
        <f>+'Perfil - interna'!AR506+'Perfil - externa'!AR504</f>
        <v>304491.59492842696</v>
      </c>
      <c r="AS506" s="222">
        <f>+'Perfil - interna'!AS506+'Perfil - externa'!AS504</f>
        <v>304489.60954569856</v>
      </c>
      <c r="AT506" s="222">
        <f>+'Perfil - interna'!AT506+'Perfil - externa'!AT504</f>
        <v>152250.55014410094</v>
      </c>
      <c r="AU506" s="222"/>
      <c r="AV506" s="222"/>
      <c r="AW506" s="222"/>
      <c r="AX506" s="222"/>
      <c r="AY506" s="222"/>
      <c r="AZ506" s="222"/>
      <c r="BA506" s="222"/>
      <c r="BB506" s="222"/>
      <c r="BC506" s="222"/>
      <c r="BD506" s="222"/>
      <c r="BE506" s="222"/>
      <c r="BF506" s="222"/>
      <c r="BG506" s="222"/>
      <c r="BH506" s="222"/>
      <c r="BI506" s="222"/>
      <c r="BJ506" s="222"/>
      <c r="BK506" s="222"/>
    </row>
    <row r="507" spans="1:63">
      <c r="A507" s="171"/>
      <c r="B507" s="318" t="str">
        <f>Servicio_internaColumna_título_total</f>
        <v>Total</v>
      </c>
      <c r="C507" s="319"/>
      <c r="D507" s="320"/>
      <c r="E507" s="320"/>
      <c r="F507" s="320"/>
      <c r="G507" s="320"/>
      <c r="H507" s="320"/>
      <c r="I507" s="320"/>
      <c r="J507" s="320"/>
      <c r="K507" s="320"/>
      <c r="L507" s="320"/>
      <c r="M507" s="320"/>
      <c r="N507" s="320"/>
      <c r="O507" s="320"/>
      <c r="P507" s="320">
        <f>+'Perfil - interna'!P507+'Perfil - externa'!P505</f>
        <v>8745348.0195706151</v>
      </c>
      <c r="Q507" s="320">
        <f>+'Perfil - interna'!Q507+'Perfil - externa'!Q505</f>
        <v>47628889.897108354</v>
      </c>
      <c r="R507" s="320">
        <f>+'Perfil - interna'!R507+'Perfil - externa'!R505</f>
        <v>43793840.416347183</v>
      </c>
      <c r="S507" s="320">
        <f>+'Perfil - interna'!S507+'Perfil - externa'!S505</f>
        <v>30157751.632174548</v>
      </c>
      <c r="T507" s="320">
        <f>+'Perfil - interna'!T507+'Perfil - externa'!T505</f>
        <v>34915488.159058794</v>
      </c>
      <c r="U507" s="320">
        <f>+'Perfil - interna'!U507+'Perfil - externa'!U505</f>
        <v>34490007.367385343</v>
      </c>
      <c r="V507" s="320">
        <f>+'Perfil - interna'!V507+'Perfil - externa'!V505</f>
        <v>25487471.350070033</v>
      </c>
      <c r="W507" s="320">
        <f>+'Perfil - interna'!W507+'Perfil - externa'!W505</f>
        <v>26097255.821185123</v>
      </c>
      <c r="X507" s="320">
        <f>+'Perfil - interna'!X507+'Perfil - externa'!X505</f>
        <v>21574360.628645033</v>
      </c>
      <c r="Y507" s="320">
        <f>+'Perfil - interna'!Y507+'Perfil - externa'!Y505</f>
        <v>24673042.785749555</v>
      </c>
      <c r="Z507" s="320">
        <f>+'Perfil - interna'!Z507+'Perfil - externa'!Z505</f>
        <v>38423139.517087147</v>
      </c>
      <c r="AA507" s="320">
        <f>+'Perfil - interna'!AA507+'Perfil - externa'!AA505</f>
        <v>6047310.656820667</v>
      </c>
      <c r="AB507" s="320">
        <f>+'Perfil - interna'!AB507+'Perfil - externa'!AB505</f>
        <v>11974655.587884029</v>
      </c>
      <c r="AC507" s="320">
        <f>+'Perfil - interna'!AC507+'Perfil - externa'!AC505</f>
        <v>5980016.8491376787</v>
      </c>
      <c r="AD507" s="320">
        <f>+'Perfil - interna'!AD507+'Perfil - externa'!AD505</f>
        <v>17357387.412397999</v>
      </c>
      <c r="AE507" s="320">
        <f>+'Perfil - interna'!AE507+'Perfil - externa'!AE505</f>
        <v>3297051.9844216988</v>
      </c>
      <c r="AF507" s="320">
        <f>+'Perfil - interna'!AF507+'Perfil - externa'!AF505</f>
        <v>3212851.7627505381</v>
      </c>
      <c r="AG507" s="320">
        <f>+'Perfil - interna'!AG507+'Perfil - externa'!AG505</f>
        <v>3562650.7729930175</v>
      </c>
      <c r="AH507" s="320">
        <f>+'Perfil - interna'!AH507+'Perfil - externa'!AH505</f>
        <v>1945706.5476227528</v>
      </c>
      <c r="AI507" s="320">
        <f>+'Perfil - interna'!AI507+'Perfil - externa'!AI505</f>
        <v>7521813.6634903932</v>
      </c>
      <c r="AJ507" s="320">
        <f>+'Perfil - interna'!AJ507+'Perfil - externa'!AJ505</f>
        <v>1240051.7498905824</v>
      </c>
      <c r="AK507" s="320">
        <f>+'Perfil - interna'!AK507+'Perfil - externa'!AK505</f>
        <v>1155142.7699090161</v>
      </c>
      <c r="AL507" s="320">
        <f>+'Perfil - interna'!AL507+'Perfil - externa'!AL505</f>
        <v>1082424.5405863596</v>
      </c>
      <c r="AM507" s="320">
        <f>+'Perfil - interna'!AM507+'Perfil - externa'!AM505</f>
        <v>4937967.6902664648</v>
      </c>
      <c r="AN507" s="320">
        <f>+'Perfil - interna'!AN507+'Perfil - externa'!AN505</f>
        <v>651425.92492477188</v>
      </c>
      <c r="AO507" s="320">
        <f>+'Perfil - interna'!AO507+'Perfil - externa'!AO505</f>
        <v>649508.02307246334</v>
      </c>
      <c r="AP507" s="320">
        <f>+'Perfil - interna'!AP507+'Perfil - externa'!AP505</f>
        <v>638248.88698260474</v>
      </c>
      <c r="AQ507" s="320">
        <f>+'Perfil - interna'!AQ507+'Perfil - externa'!AQ505</f>
        <v>5885352.5476111267</v>
      </c>
      <c r="AR507" s="320">
        <f>+'Perfil - interna'!AR507+'Perfil - externa'!AR505</f>
        <v>306706.26535339822</v>
      </c>
      <c r="AS507" s="320">
        <f>+'Perfil - interna'!AS507+'Perfil - externa'!AS505</f>
        <v>306704.27997066983</v>
      </c>
      <c r="AT507" s="320">
        <f>+'Perfil - interna'!AT507+'Perfil - externa'!AT505</f>
        <v>5566587.129260377</v>
      </c>
      <c r="AU507" s="320"/>
      <c r="AV507" s="320"/>
      <c r="AW507" s="320"/>
      <c r="AX507" s="320"/>
      <c r="AY507" s="320"/>
      <c r="AZ507" s="320"/>
      <c r="BA507" s="320"/>
      <c r="BB507" s="320"/>
      <c r="BC507" s="320"/>
      <c r="BD507" s="320"/>
      <c r="BE507" s="320"/>
      <c r="BF507" s="320"/>
      <c r="BG507" s="320"/>
      <c r="BH507" s="320"/>
      <c r="BI507" s="320"/>
      <c r="BJ507" s="320"/>
      <c r="BK507" s="320"/>
    </row>
    <row r="508" spans="1:63">
      <c r="A508" s="167"/>
      <c r="B508" s="217" t="str">
        <f>Servicio_internaColumna_título_amortizaciones</f>
        <v>Amortizaciones</v>
      </c>
      <c r="C508" s="218"/>
      <c r="D508" s="219"/>
      <c r="E508" s="219"/>
      <c r="F508" s="219"/>
      <c r="G508" s="219"/>
      <c r="H508" s="219"/>
      <c r="I508" s="219"/>
      <c r="J508" s="219"/>
      <c r="K508" s="219"/>
      <c r="L508" s="219"/>
      <c r="M508" s="219"/>
      <c r="N508" s="219"/>
      <c r="O508" s="219"/>
      <c r="P508" s="219"/>
      <c r="Q508" s="219">
        <f>+'Perfil - interna'!Q508+'Perfil - externa'!Q506</f>
        <v>36475481.418674737</v>
      </c>
      <c r="R508" s="219">
        <f>+'Perfil - interna'!R508+'Perfil - externa'!R506</f>
        <v>28516989.516513802</v>
      </c>
      <c r="S508" s="219">
        <f>+'Perfil - interna'!S508+'Perfil - externa'!S506</f>
        <v>17013207.087984208</v>
      </c>
      <c r="T508" s="219">
        <f>+'Perfil - interna'!T508+'Perfil - externa'!T506</f>
        <v>21939417.352902487</v>
      </c>
      <c r="U508" s="219">
        <f>+'Perfil - interna'!U508+'Perfil - externa'!U506</f>
        <v>23777424.06510146</v>
      </c>
      <c r="V508" s="219">
        <f>+'Perfil - interna'!V508+'Perfil - externa'!V506</f>
        <v>15659660.82447527</v>
      </c>
      <c r="W508" s="219">
        <f>+'Perfil - interna'!W508+'Perfil - externa'!W506</f>
        <v>17705500.836451162</v>
      </c>
      <c r="X508" s="219">
        <f>+'Perfil - interna'!X508+'Perfil - externa'!X506</f>
        <v>13606924.713592051</v>
      </c>
      <c r="Y508" s="219">
        <f>+'Perfil - interna'!Y508+'Perfil - externa'!Y506</f>
        <v>17850381.488128409</v>
      </c>
      <c r="Z508" s="219">
        <f>+'Perfil - interna'!Z508+'Perfil - externa'!Z506</f>
        <v>33101216.503600612</v>
      </c>
      <c r="AA508" s="219">
        <f>+'Perfil - interna'!AA508+'Perfil - externa'!AA506</f>
        <v>2849875.3609849797</v>
      </c>
      <c r="AB508" s="219">
        <f>+'Perfil - interna'!AB508+'Perfil - externa'!AB506</f>
        <v>8778783.0561587196</v>
      </c>
      <c r="AC508" s="219">
        <f>+'Perfil - interna'!AC508+'Perfil - externa'!AC506</f>
        <v>4374089.1950759701</v>
      </c>
      <c r="AD508" s="219">
        <f>+'Perfil - interna'!AD508+'Perfil - externa'!AD506</f>
        <v>15106139.608179655</v>
      </c>
      <c r="AE508" s="219">
        <f>+'Perfil - interna'!AE508+'Perfil - externa'!AE506</f>
        <v>1849643.4646003966</v>
      </c>
      <c r="AF508" s="219">
        <f>+'Perfil - interna'!AF508+'Perfil - externa'!AF506</f>
        <v>1869903.9241843019</v>
      </c>
      <c r="AG508" s="219">
        <f>+'Perfil - interna'!AG508+'Perfil - externa'!AG506</f>
        <v>2381764.9665591251</v>
      </c>
      <c r="AH508" s="219">
        <f>+'Perfil - interna'!AH508+'Perfil - externa'!AH506</f>
        <v>2326697.0414586612</v>
      </c>
      <c r="AI508" s="219">
        <f>+'Perfil - interna'!AI508+'Perfil - externa'!AI506</f>
        <v>6429769.1803997653</v>
      </c>
      <c r="AJ508" s="219">
        <f>+'Perfil - interna'!AJ508+'Perfil - externa'!AJ506</f>
        <v>1487046.8554809662</v>
      </c>
      <c r="AK508" s="219">
        <f>+'Perfil - interna'!AK508+'Perfil - externa'!AK506</f>
        <v>213413.73783390725</v>
      </c>
      <c r="AL508" s="219">
        <f>+'Perfil - interna'!AL508+'Perfil - externa'!AL506</f>
        <v>144817.16727614039</v>
      </c>
      <c r="AM508" s="219">
        <f>+'Perfil - interna'!AM508+'Perfil - externa'!AM506</f>
        <v>4415046.6280932585</v>
      </c>
      <c r="AN508" s="219">
        <f>+'Perfil - interna'!AN508+'Perfil - externa'!AN506</f>
        <v>2789.2808518511065</v>
      </c>
      <c r="AO508" s="219">
        <f>+'Perfil - interna'!AO508+'Perfil - externa'!AO506</f>
        <v>2789.2808518511065</v>
      </c>
      <c r="AP508" s="219">
        <f>+'Perfil - interna'!AP508+'Perfil - externa'!AP506</f>
        <v>2789.2808518511065</v>
      </c>
      <c r="AQ508" s="219">
        <f>+'Perfil - interna'!AQ508+'Perfil - externa'!AQ506</f>
        <v>5983939.2808518512</v>
      </c>
      <c r="AR508" s="219">
        <f>+'Perfil - interna'!AR508+'Perfil - externa'!AR506</f>
        <v>2789.2808518511065</v>
      </c>
      <c r="AS508" s="219">
        <f>+'Perfil - interna'!AS508+'Perfil - externa'!AS506</f>
        <v>2789.2808518511065</v>
      </c>
      <c r="AT508" s="219">
        <f>+'Perfil - interna'!AT508+'Perfil - externa'!AT506</f>
        <v>5983107.1256513335</v>
      </c>
      <c r="AU508" s="219">
        <f>+'Perfil - interna'!AU508+'Perfil - externa'!AU506</f>
        <v>1957.1256513339067</v>
      </c>
      <c r="AV508" s="219">
        <f>+'Perfil - interna'!AV508+'Perfil - externa'!AV506</f>
        <v>0</v>
      </c>
      <c r="AW508" s="219">
        <f>+'Perfil - interna'!AW508+'Perfil - externa'!AW506</f>
        <v>0</v>
      </c>
      <c r="AX508" s="219"/>
      <c r="AY508" s="219"/>
      <c r="AZ508" s="219"/>
      <c r="BA508" s="219"/>
      <c r="BB508" s="219"/>
      <c r="BC508" s="219"/>
      <c r="BD508" s="219"/>
      <c r="BE508" s="219"/>
      <c r="BF508" s="219"/>
      <c r="BG508" s="219"/>
      <c r="BH508" s="219"/>
      <c r="BI508" s="219"/>
      <c r="BJ508" s="219"/>
      <c r="BK508" s="219"/>
    </row>
    <row r="509" spans="1:63">
      <c r="A509" s="170">
        <v>42004</v>
      </c>
      <c r="B509" s="220" t="str">
        <f>Servicio_internaColumna_título_intereses</f>
        <v>Intereses</v>
      </c>
      <c r="C509" s="221"/>
      <c r="D509" s="222"/>
      <c r="E509" s="222"/>
      <c r="F509" s="222"/>
      <c r="G509" s="222"/>
      <c r="H509" s="222"/>
      <c r="I509" s="222"/>
      <c r="J509" s="222"/>
      <c r="K509" s="222"/>
      <c r="L509" s="222"/>
      <c r="M509" s="222"/>
      <c r="N509" s="222"/>
      <c r="O509" s="222"/>
      <c r="P509" s="222"/>
      <c r="Q509" s="222">
        <f>+'Perfil - interna'!Q509+'Perfil - externa'!Q507</f>
        <v>18002028.307843376</v>
      </c>
      <c r="R509" s="222">
        <f>+'Perfil - interna'!R509+'Perfil - externa'!R507</f>
        <v>16247996.230983051</v>
      </c>
      <c r="S509" s="222">
        <f>+'Perfil - interna'!S509+'Perfil - externa'!S507</f>
        <v>14362920.356987283</v>
      </c>
      <c r="T509" s="222">
        <f>+'Perfil - interna'!T509+'Perfil - externa'!T507</f>
        <v>13767143.600950178</v>
      </c>
      <c r="U509" s="222">
        <f>+'Perfil - interna'!U509+'Perfil - externa'!U507</f>
        <v>12056475.420392318</v>
      </c>
      <c r="V509" s="222">
        <f>+'Perfil - interna'!V509+'Perfil - externa'!V507</f>
        <v>10970984.247043069</v>
      </c>
      <c r="W509" s="222">
        <f>+'Perfil - interna'!W509+'Perfil - externa'!W507</f>
        <v>9711886.7894028891</v>
      </c>
      <c r="X509" s="222">
        <f>+'Perfil - interna'!X509+'Perfil - externa'!X507</f>
        <v>8700559.1806658674</v>
      </c>
      <c r="Y509" s="222">
        <f>+'Perfil - interna'!Y509+'Perfil - externa'!Y507</f>
        <v>7783285.1125853471</v>
      </c>
      <c r="Z509" s="222">
        <f>+'Perfil - interna'!Z509+'Perfil - externa'!Z507</f>
        <v>6703371.2114132885</v>
      </c>
      <c r="AA509" s="222">
        <f>+'Perfil - interna'!AA509+'Perfil - externa'!AA507</f>
        <v>3922608.9811369739</v>
      </c>
      <c r="AB509" s="222">
        <f>+'Perfil - interna'!AB509+'Perfil - externa'!AB507</f>
        <v>3774338.7050315496</v>
      </c>
      <c r="AC509" s="222">
        <f>+'Perfil - interna'!AC509+'Perfil - externa'!AC507</f>
        <v>3178293.755420736</v>
      </c>
      <c r="AD509" s="222">
        <f>+'Perfil - interna'!AD509+'Perfil - externa'!AD507</f>
        <v>2884439.7864156514</v>
      </c>
      <c r="AE509" s="222">
        <f>+'Perfil - interna'!AE509+'Perfil - externa'!AE507</f>
        <v>1996739.5989139364</v>
      </c>
      <c r="AF509" s="222">
        <f>+'Perfil - interna'!AF509+'Perfil - externa'!AF507</f>
        <v>1840069.0638576294</v>
      </c>
      <c r="AG509" s="222">
        <f>+'Perfil - interna'!AG509+'Perfil - externa'!AG507</f>
        <v>1707013.8783716762</v>
      </c>
      <c r="AH509" s="222">
        <f>+'Perfil - interna'!AH509+'Perfil - externa'!AH507</f>
        <v>1594517.2399892947</v>
      </c>
      <c r="AI509" s="222">
        <f>+'Perfil - interna'!AI509+'Perfil - externa'!AI507</f>
        <v>1483399.4467084662</v>
      </c>
      <c r="AJ509" s="222">
        <f>+'Perfil - interna'!AJ509+'Perfil - externa'!AJ507</f>
        <v>1150483.620428704</v>
      </c>
      <c r="AK509" s="222">
        <f>+'Perfil - interna'!AK509+'Perfil - externa'!AK507</f>
        <v>1065801.7157568138</v>
      </c>
      <c r="AL509" s="222">
        <f>+'Perfil - interna'!AL509+'Perfil - externa'!AL507</f>
        <v>1052624.9262550501</v>
      </c>
      <c r="AM509" s="222">
        <f>+'Perfil - interna'!AM509+'Perfil - externa'!AM507</f>
        <v>1043071.6732983902</v>
      </c>
      <c r="AN509" s="222">
        <f>+'Perfil - interna'!AN509+'Perfil - externa'!AN507</f>
        <v>718187.2599435458</v>
      </c>
      <c r="AO509" s="222">
        <f>+'Perfil - interna'!AO509+'Perfil - externa'!AO507</f>
        <v>716002.62577312044</v>
      </c>
      <c r="AP509" s="222">
        <f>+'Perfil - interna'!AP509+'Perfil - externa'!AP507</f>
        <v>714083.04186838411</v>
      </c>
      <c r="AQ509" s="222">
        <f>+'Perfil - interna'!AQ509+'Perfil - externa'!AQ507</f>
        <v>519649.23060948943</v>
      </c>
      <c r="AR509" s="222">
        <f>+'Perfil - interna'!AR509+'Perfil - externa'!AR507</f>
        <v>336472.73579790391</v>
      </c>
      <c r="AS509" s="222">
        <f>+'Perfil - interna'!AS509+'Perfil - externa'!AS507</f>
        <v>336468.95973631844</v>
      </c>
      <c r="AT509" s="222">
        <f>+'Perfil - interna'!AT509+'Perfil - externa'!AT507</f>
        <v>168245.40716966521</v>
      </c>
      <c r="AU509" s="222">
        <f>+'Perfil - interna'!AU509+'Perfil - externa'!AU507</f>
        <v>21.720113147362444</v>
      </c>
      <c r="AV509" s="222">
        <f>+'Perfil - interna'!AV509+'Perfil - externa'!AV507</f>
        <v>0</v>
      </c>
      <c r="AW509" s="222">
        <f>+'Perfil - interna'!AW509+'Perfil - externa'!AW507</f>
        <v>0</v>
      </c>
      <c r="AX509" s="222"/>
      <c r="AY509" s="222"/>
      <c r="AZ509" s="222"/>
      <c r="BA509" s="222"/>
      <c r="BB509" s="222"/>
      <c r="BC509" s="222"/>
      <c r="BD509" s="222"/>
      <c r="BE509" s="222"/>
      <c r="BF509" s="222"/>
      <c r="BG509" s="222"/>
      <c r="BH509" s="222"/>
      <c r="BI509" s="222"/>
      <c r="BJ509" s="222"/>
      <c r="BK509" s="222"/>
    </row>
    <row r="510" spans="1:63">
      <c r="A510" s="171"/>
      <c r="B510" s="318" t="str">
        <f>Servicio_internaColumna_título_total</f>
        <v>Total</v>
      </c>
      <c r="C510" s="319"/>
      <c r="D510" s="320"/>
      <c r="E510" s="320"/>
      <c r="F510" s="320"/>
      <c r="G510" s="320"/>
      <c r="H510" s="320"/>
      <c r="I510" s="320"/>
      <c r="J510" s="320"/>
      <c r="K510" s="320"/>
      <c r="L510" s="320"/>
      <c r="M510" s="320"/>
      <c r="N510" s="320"/>
      <c r="O510" s="320"/>
      <c r="P510" s="320"/>
      <c r="Q510" s="320">
        <f>+'Perfil - interna'!Q510+'Perfil - externa'!Q508</f>
        <v>54477509.726518109</v>
      </c>
      <c r="R510" s="320">
        <f>+'Perfil - interna'!R510+'Perfil - externa'!R508</f>
        <v>44764985.747496851</v>
      </c>
      <c r="S510" s="320">
        <f>+'Perfil - interna'!S510+'Perfil - externa'!S508</f>
        <v>31376127.444971491</v>
      </c>
      <c r="T510" s="320">
        <f>+'Perfil - interna'!T510+'Perfil - externa'!T508</f>
        <v>35706560.953852668</v>
      </c>
      <c r="U510" s="320">
        <f>+'Perfil - interna'!U510+'Perfil - externa'!U508</f>
        <v>35833899.485493779</v>
      </c>
      <c r="V510" s="320">
        <f>+'Perfil - interna'!V510+'Perfil - externa'!V508</f>
        <v>26630645.071518339</v>
      </c>
      <c r="W510" s="320">
        <f>+'Perfil - interna'!W510+'Perfil - externa'!W508</f>
        <v>27417387.625854053</v>
      </c>
      <c r="X510" s="320">
        <f>+'Perfil - interna'!X510+'Perfil - externa'!X508</f>
        <v>22307483.894257918</v>
      </c>
      <c r="Y510" s="320">
        <f>+'Perfil - interna'!Y510+'Perfil - externa'!Y508</f>
        <v>25633666.60071376</v>
      </c>
      <c r="Z510" s="320">
        <f>+'Perfil - interna'!Z510+'Perfil - externa'!Z508</f>
        <v>39804587.715013899</v>
      </c>
      <c r="AA510" s="320">
        <f>+'Perfil - interna'!AA510+'Perfil - externa'!AA508</f>
        <v>6772484.3421219531</v>
      </c>
      <c r="AB510" s="320">
        <f>+'Perfil - interna'!AB510+'Perfil - externa'!AB508</f>
        <v>12553121.761190269</v>
      </c>
      <c r="AC510" s="320">
        <f>+'Perfil - interna'!AC510+'Perfil - externa'!AC508</f>
        <v>7552382.9504967062</v>
      </c>
      <c r="AD510" s="320">
        <f>+'Perfil - interna'!AD510+'Perfil - externa'!AD508</f>
        <v>17990579.394595306</v>
      </c>
      <c r="AE510" s="320">
        <f>+'Perfil - interna'!AE510+'Perfil - externa'!AE508</f>
        <v>3846383.0635143332</v>
      </c>
      <c r="AF510" s="320">
        <f>+'Perfil - interna'!AF510+'Perfil - externa'!AF508</f>
        <v>3709972.9880419313</v>
      </c>
      <c r="AG510" s="320">
        <f>+'Perfil - interna'!AG510+'Perfil - externa'!AG508</f>
        <v>4088778.8449308011</v>
      </c>
      <c r="AH510" s="320">
        <f>+'Perfil - interna'!AH510+'Perfil - externa'!AH508</f>
        <v>3921214.2814479559</v>
      </c>
      <c r="AI510" s="320">
        <f>+'Perfil - interna'!AI510+'Perfil - externa'!AI508</f>
        <v>7913168.6271082321</v>
      </c>
      <c r="AJ510" s="320">
        <f>+'Perfil - interna'!AJ510+'Perfil - externa'!AJ508</f>
        <v>2637530.4759096703</v>
      </c>
      <c r="AK510" s="320">
        <f>+'Perfil - interna'!AK510+'Perfil - externa'!AK508</f>
        <v>1279215.4535907209</v>
      </c>
      <c r="AL510" s="320">
        <f>+'Perfil - interna'!AL510+'Perfil - externa'!AL508</f>
        <v>1197442.0935311907</v>
      </c>
      <c r="AM510" s="320">
        <f>+'Perfil - interna'!AM510+'Perfil - externa'!AM508</f>
        <v>5458118.3013916491</v>
      </c>
      <c r="AN510" s="320">
        <f>+'Perfil - interna'!AN510+'Perfil - externa'!AN508</f>
        <v>720976.5407953969</v>
      </c>
      <c r="AO510" s="320">
        <f>+'Perfil - interna'!AO510+'Perfil - externa'!AO508</f>
        <v>718791.90662497154</v>
      </c>
      <c r="AP510" s="320">
        <f>+'Perfil - interna'!AP510+'Perfil - externa'!AP508</f>
        <v>716872.32272023521</v>
      </c>
      <c r="AQ510" s="320">
        <f>+'Perfil - interna'!AQ510+'Perfil - externa'!AQ508</f>
        <v>6503588.5114613408</v>
      </c>
      <c r="AR510" s="320">
        <f>+'Perfil - interna'!AR510+'Perfil - externa'!AR508</f>
        <v>339262.01664975501</v>
      </c>
      <c r="AS510" s="320">
        <f>+'Perfil - interna'!AS510+'Perfil - externa'!AS508</f>
        <v>339258.24058816954</v>
      </c>
      <c r="AT510" s="320">
        <f>+'Perfil - interna'!AT510+'Perfil - externa'!AT508</f>
        <v>6151352.5328209987</v>
      </c>
      <c r="AU510" s="320">
        <f>+'Perfil - interna'!AU510+'Perfil - externa'!AU508</f>
        <v>1978.8457644812693</v>
      </c>
      <c r="AV510" s="320">
        <f>+'Perfil - interna'!AV510+'Perfil - externa'!AV508</f>
        <v>0</v>
      </c>
      <c r="AW510" s="320">
        <f>+'Perfil - interna'!AW510+'Perfil - externa'!AW508</f>
        <v>0</v>
      </c>
      <c r="AX510" s="320"/>
      <c r="AY510" s="320"/>
      <c r="AZ510" s="320"/>
      <c r="BA510" s="320"/>
      <c r="BB510" s="320"/>
      <c r="BC510" s="320"/>
      <c r="BD510" s="320"/>
      <c r="BE510" s="320"/>
      <c r="BF510" s="320"/>
      <c r="BG510" s="320"/>
      <c r="BH510" s="320"/>
      <c r="BI510" s="320"/>
      <c r="BJ510" s="320"/>
      <c r="BK510" s="320"/>
    </row>
    <row r="511" spans="1:63">
      <c r="A511" s="167"/>
      <c r="B511" s="217" t="str">
        <f>Servicio_internaColumna_título_amortizaciones</f>
        <v>Amortizaciones</v>
      </c>
      <c r="C511" s="218"/>
      <c r="D511" s="219"/>
      <c r="E511" s="219"/>
      <c r="F511" s="219"/>
      <c r="G511" s="219"/>
      <c r="H511" s="219"/>
      <c r="I511" s="219"/>
      <c r="J511" s="219"/>
      <c r="K511" s="219"/>
      <c r="L511" s="219"/>
      <c r="M511" s="219"/>
      <c r="N511" s="219"/>
      <c r="O511" s="219"/>
      <c r="P511" s="219"/>
      <c r="Q511" s="219">
        <f>+'Perfil - interna'!Q511+'Perfil - externa'!Q509</f>
        <v>30596695.618840322</v>
      </c>
      <c r="R511" s="219">
        <f>+'Perfil - interna'!R511+'Perfil - externa'!R509</f>
        <v>28500668.219925769</v>
      </c>
      <c r="S511" s="219">
        <f>+'Perfil - interna'!S511+'Perfil - externa'!S509</f>
        <v>17034806.48894918</v>
      </c>
      <c r="T511" s="219">
        <f>+'Perfil - interna'!T511+'Perfil - externa'!T509</f>
        <v>21937899.238462765</v>
      </c>
      <c r="U511" s="219">
        <f>+'Perfil - interna'!U511+'Perfil - externa'!U509</f>
        <v>24774288.848554134</v>
      </c>
      <c r="V511" s="219">
        <f>+'Perfil - interna'!V511+'Perfil - externa'!V509</f>
        <v>15662101.46464666</v>
      </c>
      <c r="W511" s="219">
        <f>+'Perfil - interna'!W511+'Perfil - externa'!W509</f>
        <v>18076428.24300532</v>
      </c>
      <c r="X511" s="219">
        <f>+'Perfil - interna'!X511+'Perfil - externa'!X509</f>
        <v>13605292.459031068</v>
      </c>
      <c r="Y511" s="219">
        <f>+'Perfil - interna'!Y511+'Perfil - externa'!Y509</f>
        <v>17864061.687883984</v>
      </c>
      <c r="Z511" s="219">
        <f>+'Perfil - interna'!Z511+'Perfil - externa'!Z509</f>
        <v>33419455.681510806</v>
      </c>
      <c r="AA511" s="219">
        <f>+'Perfil - interna'!AA511+'Perfil - externa'!AA509</f>
        <v>2855764.0540297776</v>
      </c>
      <c r="AB511" s="219">
        <f>+'Perfil - interna'!AB511+'Perfil - externa'!AB509</f>
        <v>8781693.119149683</v>
      </c>
      <c r="AC511" s="219">
        <f>+'Perfil - interna'!AC511+'Perfil - externa'!AC509</f>
        <v>4343854.6883518994</v>
      </c>
      <c r="AD511" s="219">
        <f>+'Perfil - interna'!AD511+'Perfil - externa'!AD509</f>
        <v>15108050.487736346</v>
      </c>
      <c r="AE511" s="219">
        <f>+'Perfil - interna'!AE511+'Perfil - externa'!AE509</f>
        <v>1852708.3680859059</v>
      </c>
      <c r="AF511" s="219">
        <f>+'Perfil - interna'!AF511+'Perfil - externa'!AF509</f>
        <v>3354143.2615042487</v>
      </c>
      <c r="AG511" s="219">
        <f>+'Perfil - interna'!AG511+'Perfil - externa'!AG509</f>
        <v>2386437.2809347454</v>
      </c>
      <c r="AH511" s="219">
        <f>+'Perfil - interna'!AH511+'Perfil - externa'!AH509</f>
        <v>2331419.6579095107</v>
      </c>
      <c r="AI511" s="219">
        <f>+'Perfil - interna'!AI511+'Perfil - externa'!AI509</f>
        <v>6837954.0217149518</v>
      </c>
      <c r="AJ511" s="219">
        <f>+'Perfil - interna'!AJ511+'Perfil - externa'!AJ509</f>
        <v>1490053.2930157916</v>
      </c>
      <c r="AK511" s="219">
        <f>+'Perfil - interna'!AK511+'Perfil - externa'!AK509</f>
        <v>213816.96948637988</v>
      </c>
      <c r="AL511" s="219">
        <f>+'Perfil - interna'!AL511+'Perfil - externa'!AL509</f>
        <v>145080.1929356069</v>
      </c>
      <c r="AM511" s="219">
        <f>+'Perfil - interna'!AM511+'Perfil - externa'!AM509</f>
        <v>4423963.8259462025</v>
      </c>
      <c r="AN511" s="219">
        <f>+'Perfil - interna'!AN511+'Perfil - externa'!AN509</f>
        <v>2794.9819224502194</v>
      </c>
      <c r="AO511" s="219">
        <f>+'Perfil - interna'!AO511+'Perfil - externa'!AO509</f>
        <v>2794.9819224502194</v>
      </c>
      <c r="AP511" s="219">
        <f>+'Perfil - interna'!AP511+'Perfil - externa'!AP509</f>
        <v>2794.9819224502194</v>
      </c>
      <c r="AQ511" s="219">
        <f>+'Perfil - interna'!AQ511+'Perfil - externa'!AQ509</f>
        <v>5996169.9819224495</v>
      </c>
      <c r="AR511" s="219">
        <f>+'Perfil - interna'!AR511+'Perfil - externa'!AR509</f>
        <v>2794.9819224502194</v>
      </c>
      <c r="AS511" s="219">
        <f>+'Perfil - interna'!AS511+'Perfil - externa'!AS509</f>
        <v>2794.9819224502194</v>
      </c>
      <c r="AT511" s="219">
        <f>+'Perfil - interna'!AT511+'Perfil - externa'!AT509</f>
        <v>5995336.1258621775</v>
      </c>
      <c r="AU511" s="219">
        <f>+'Perfil - interna'!AU511+'Perfil - externa'!AU509</f>
        <v>3597986.1258621775</v>
      </c>
      <c r="AV511" s="219">
        <f>+'Perfil - interna'!AV511+'Perfil - externa'!AV509</f>
        <v>0</v>
      </c>
      <c r="AW511" s="219">
        <f>+'Perfil - interna'!AW511+'Perfil - externa'!AW509</f>
        <v>0</v>
      </c>
      <c r="AX511" s="219"/>
      <c r="AY511" s="219"/>
      <c r="AZ511" s="219"/>
      <c r="BA511" s="219"/>
      <c r="BB511" s="219"/>
      <c r="BC511" s="219"/>
      <c r="BD511" s="219"/>
      <c r="BE511" s="219"/>
      <c r="BF511" s="219"/>
      <c r="BG511" s="219"/>
      <c r="BH511" s="219"/>
      <c r="BI511" s="219"/>
      <c r="BJ511" s="219"/>
      <c r="BK511" s="219"/>
    </row>
    <row r="512" spans="1:63">
      <c r="A512" s="170">
        <v>42035</v>
      </c>
      <c r="B512" s="220" t="str">
        <f>Servicio_internaColumna_título_intereses</f>
        <v>Intereses</v>
      </c>
      <c r="C512" s="221"/>
      <c r="D512" s="222"/>
      <c r="E512" s="222"/>
      <c r="F512" s="222"/>
      <c r="G512" s="222"/>
      <c r="H512" s="222"/>
      <c r="I512" s="222"/>
      <c r="J512" s="222"/>
      <c r="K512" s="222"/>
      <c r="L512" s="222"/>
      <c r="M512" s="222"/>
      <c r="N512" s="222"/>
      <c r="O512" s="222"/>
      <c r="P512" s="222"/>
      <c r="Q512" s="222">
        <f>+'Perfil - interna'!Q512+'Perfil - externa'!Q510</f>
        <v>17923527.411657877</v>
      </c>
      <c r="R512" s="222">
        <f>+'Perfil - interna'!R512+'Perfil - externa'!R510</f>
        <v>16538518.818955095</v>
      </c>
      <c r="S512" s="222">
        <f>+'Perfil - interna'!S512+'Perfil - externa'!S510</f>
        <v>14694665.523555508</v>
      </c>
      <c r="T512" s="222">
        <f>+'Perfil - interna'!T512+'Perfil - externa'!T510</f>
        <v>14059123.089291036</v>
      </c>
      <c r="U512" s="222">
        <f>+'Perfil - interna'!U512+'Perfil - externa'!U510</f>
        <v>12287707.461374963</v>
      </c>
      <c r="V512" s="222">
        <f>+'Perfil - interna'!V512+'Perfil - externa'!V510</f>
        <v>10891977.97627281</v>
      </c>
      <c r="W512" s="222">
        <f>+'Perfil - interna'!W512+'Perfil - externa'!W510</f>
        <v>9464018.0878453832</v>
      </c>
      <c r="X512" s="222">
        <f>+'Perfil - interna'!X512+'Perfil - externa'!X510</f>
        <v>8614704.883228207</v>
      </c>
      <c r="Y512" s="222">
        <f>+'Perfil - interna'!Y512+'Perfil - externa'!Y510</f>
        <v>7716791.4855649304</v>
      </c>
      <c r="Z512" s="222">
        <f>+'Perfil - interna'!Z512+'Perfil - externa'!Z510</f>
        <v>6610901.5173971858</v>
      </c>
      <c r="AA512" s="222">
        <f>+'Perfil - interna'!AA512+'Perfil - externa'!AA510</f>
        <v>3885373.8770447783</v>
      </c>
      <c r="AB512" s="222">
        <f>+'Perfil - interna'!AB512+'Perfil - externa'!AB510</f>
        <v>3787270.9257669873</v>
      </c>
      <c r="AC512" s="222">
        <f>+'Perfil - interna'!AC512+'Perfil - externa'!AC510</f>
        <v>3192431.9721474778</v>
      </c>
      <c r="AD512" s="222">
        <f>+'Perfil - interna'!AD512+'Perfil - externa'!AD510</f>
        <v>2929126.292108478</v>
      </c>
      <c r="AE512" s="222">
        <f>+'Perfil - interna'!AE512+'Perfil - externa'!AE510</f>
        <v>2055613.6418835993</v>
      </c>
      <c r="AF512" s="222">
        <f>+'Perfil - interna'!AF512+'Perfil - externa'!AF510</f>
        <v>1987185.9488237004</v>
      </c>
      <c r="AG512" s="222">
        <f>+'Perfil - interna'!AG512+'Perfil - externa'!AG510</f>
        <v>1790502.9618087749</v>
      </c>
      <c r="AH512" s="222">
        <f>+'Perfil - interna'!AH512+'Perfil - externa'!AH510</f>
        <v>1722363.1413355393</v>
      </c>
      <c r="AI512" s="222">
        <f>+'Perfil - interna'!AI512+'Perfil - externa'!AI510</f>
        <v>1638718.2871525676</v>
      </c>
      <c r="AJ512" s="222">
        <f>+'Perfil - interna'!AJ512+'Perfil - externa'!AJ510</f>
        <v>1289748.4292603359</v>
      </c>
      <c r="AK512" s="222">
        <f>+'Perfil - interna'!AK512+'Perfil - externa'!AK510</f>
        <v>1240287.7821978112</v>
      </c>
      <c r="AL512" s="222">
        <f>+'Perfil - interna'!AL512+'Perfil - externa'!AL510</f>
        <v>1231309.8394071718</v>
      </c>
      <c r="AM512" s="222">
        <f>+'Perfil - interna'!AM512+'Perfil - externa'!AM510</f>
        <v>1224496.5679439572</v>
      </c>
      <c r="AN512" s="222">
        <f>+'Perfil - interna'!AN512+'Perfil - externa'!AN510</f>
        <v>899425.04586355749</v>
      </c>
      <c r="AO512" s="222">
        <f>+'Perfil - interna'!AO512+'Perfil - externa'!AO510</f>
        <v>897240.4039751594</v>
      </c>
      <c r="AP512" s="222">
        <f>+'Perfil - interna'!AP512+'Perfil - externa'!AP510</f>
        <v>895320.81257447426</v>
      </c>
      <c r="AQ512" s="222">
        <f>+'Perfil - interna'!AQ512+'Perfil - externa'!AQ510</f>
        <v>700512.60275058274</v>
      </c>
      <c r="AR512" s="222">
        <f>+'Perfil - interna'!AR512+'Perfil - externa'!AR510</f>
        <v>516961.70959602454</v>
      </c>
      <c r="AS512" s="222">
        <f>+'Perfil - interna'!AS512+'Perfil - externa'!AS510</f>
        <v>516957.92581646628</v>
      </c>
      <c r="AT512" s="222">
        <f>+'Perfil - interna'!AT512+'Perfil - externa'!AT510</f>
        <v>348390.53754428372</v>
      </c>
      <c r="AU512" s="222">
        <f>+'Perfil - interna'!AU512+'Perfil - externa'!AU510</f>
        <v>89922.389507349682</v>
      </c>
      <c r="AV512" s="222">
        <f>+'Perfil - interna'!AV512+'Perfil - externa'!AV510</f>
        <v>0</v>
      </c>
      <c r="AW512" s="222">
        <f>+'Perfil - interna'!AW512+'Perfil - externa'!AW510</f>
        <v>0</v>
      </c>
      <c r="AX512" s="222"/>
      <c r="AY512" s="222"/>
      <c r="AZ512" s="222"/>
      <c r="BA512" s="222"/>
      <c r="BB512" s="222"/>
      <c r="BC512" s="222"/>
      <c r="BD512" s="222"/>
      <c r="BE512" s="222"/>
      <c r="BF512" s="222"/>
      <c r="BG512" s="222"/>
      <c r="BH512" s="222"/>
      <c r="BI512" s="222"/>
      <c r="BJ512" s="222"/>
      <c r="BK512" s="222"/>
    </row>
    <row r="513" spans="1:63">
      <c r="A513" s="171"/>
      <c r="B513" s="318" t="str">
        <f>Servicio_internaColumna_título_total</f>
        <v>Total</v>
      </c>
      <c r="C513" s="319"/>
      <c r="D513" s="320"/>
      <c r="E513" s="320"/>
      <c r="F513" s="320"/>
      <c r="G513" s="320"/>
      <c r="H513" s="320"/>
      <c r="I513" s="320"/>
      <c r="J513" s="320"/>
      <c r="K513" s="320"/>
      <c r="L513" s="320"/>
      <c r="M513" s="320"/>
      <c r="N513" s="320"/>
      <c r="O513" s="320"/>
      <c r="P513" s="320"/>
      <c r="Q513" s="320">
        <f>+'Perfil - interna'!Q513+'Perfil - externa'!Q511</f>
        <v>48520223.030498199</v>
      </c>
      <c r="R513" s="320">
        <f>+'Perfil - interna'!R513+'Perfil - externa'!R511</f>
        <v>45039187.038880862</v>
      </c>
      <c r="S513" s="320">
        <f>+'Perfil - interna'!S513+'Perfil - externa'!S511</f>
        <v>31729472.012504689</v>
      </c>
      <c r="T513" s="320">
        <f>+'Perfil - interna'!T513+'Perfil - externa'!T511</f>
        <v>35997022.327753797</v>
      </c>
      <c r="U513" s="320">
        <f>+'Perfil - interna'!U513+'Perfil - externa'!U511</f>
        <v>37061996.309929095</v>
      </c>
      <c r="V513" s="320">
        <f>+'Perfil - interna'!V513+'Perfil - externa'!V511</f>
        <v>26554079.44091947</v>
      </c>
      <c r="W513" s="320">
        <f>+'Perfil - interna'!W513+'Perfil - externa'!W511</f>
        <v>27540446.330850702</v>
      </c>
      <c r="X513" s="320">
        <f>+'Perfil - interna'!X513+'Perfil - externa'!X511</f>
        <v>22219997.342259273</v>
      </c>
      <c r="Y513" s="320">
        <f>+'Perfil - interna'!Y513+'Perfil - externa'!Y511</f>
        <v>25580853.173448913</v>
      </c>
      <c r="Z513" s="320">
        <f>+'Perfil - interna'!Z513+'Perfil - externa'!Z511</f>
        <v>40030357.198907994</v>
      </c>
      <c r="AA513" s="320">
        <f>+'Perfil - interna'!AA513+'Perfil - externa'!AA511</f>
        <v>6741137.931074555</v>
      </c>
      <c r="AB513" s="320">
        <f>+'Perfil - interna'!AB513+'Perfil - externa'!AB511</f>
        <v>12568964.044916669</v>
      </c>
      <c r="AC513" s="320">
        <f>+'Perfil - interna'!AC513+'Perfil - externa'!AC511</f>
        <v>7536286.6604993772</v>
      </c>
      <c r="AD513" s="320">
        <f>+'Perfil - interna'!AD513+'Perfil - externa'!AD511</f>
        <v>18037176.779844824</v>
      </c>
      <c r="AE513" s="320">
        <f>+'Perfil - interna'!AE513+'Perfil - externa'!AE511</f>
        <v>3908322.0099695055</v>
      </c>
      <c r="AF513" s="320">
        <f>+'Perfil - interna'!AF513+'Perfil - externa'!AF511</f>
        <v>5341329.2103279484</v>
      </c>
      <c r="AG513" s="320">
        <f>+'Perfil - interna'!AG513+'Perfil - externa'!AG511</f>
        <v>4176940.2427435201</v>
      </c>
      <c r="AH513" s="320">
        <f>+'Perfil - interna'!AH513+'Perfil - externa'!AH511</f>
        <v>4053782.7992450502</v>
      </c>
      <c r="AI513" s="320">
        <f>+'Perfil - interna'!AI513+'Perfil - externa'!AI511</f>
        <v>8476672.3088675197</v>
      </c>
      <c r="AJ513" s="320">
        <f>+'Perfil - interna'!AJ513+'Perfil - externa'!AJ511</f>
        <v>2779801.7222761279</v>
      </c>
      <c r="AK513" s="320">
        <f>+'Perfil - interna'!AK513+'Perfil - externa'!AK511</f>
        <v>1454104.7516841909</v>
      </c>
      <c r="AL513" s="320">
        <f>+'Perfil - interna'!AL513+'Perfil - externa'!AL511</f>
        <v>1376390.0323427788</v>
      </c>
      <c r="AM513" s="320">
        <f>+'Perfil - interna'!AM513+'Perfil - externa'!AM511</f>
        <v>5648460.3938901601</v>
      </c>
      <c r="AN513" s="320">
        <f>+'Perfil - interna'!AN513+'Perfil - externa'!AN511</f>
        <v>902220.02778600773</v>
      </c>
      <c r="AO513" s="320">
        <f>+'Perfil - interna'!AO513+'Perfil - externa'!AO511</f>
        <v>900035.38589760964</v>
      </c>
      <c r="AP513" s="320">
        <f>+'Perfil - interna'!AP513+'Perfil - externa'!AP511</f>
        <v>898115.7944969245</v>
      </c>
      <c r="AQ513" s="320">
        <f>+'Perfil - interna'!AQ513+'Perfil - externa'!AQ511</f>
        <v>6696682.5846730322</v>
      </c>
      <c r="AR513" s="320">
        <f>+'Perfil - interna'!AR513+'Perfil - externa'!AR511</f>
        <v>519756.69151847478</v>
      </c>
      <c r="AS513" s="320">
        <f>+'Perfil - interna'!AS513+'Perfil - externa'!AS511</f>
        <v>519752.90773891652</v>
      </c>
      <c r="AT513" s="320">
        <f>+'Perfil - interna'!AT513+'Perfil - externa'!AT511</f>
        <v>6343726.6634064615</v>
      </c>
      <c r="AU513" s="320">
        <f>+'Perfil - interna'!AU513+'Perfil - externa'!AU511</f>
        <v>3687908.515369527</v>
      </c>
      <c r="AV513" s="320">
        <f>+'Perfil - interna'!AV513+'Perfil - externa'!AV511</f>
        <v>0</v>
      </c>
      <c r="AW513" s="320">
        <f>+'Perfil - interna'!AW513+'Perfil - externa'!AW511</f>
        <v>0</v>
      </c>
      <c r="AX513" s="320"/>
      <c r="AY513" s="320"/>
      <c r="AZ513" s="320"/>
      <c r="BA513" s="320"/>
      <c r="BB513" s="320"/>
      <c r="BC513" s="320"/>
      <c r="BD513" s="320"/>
      <c r="BE513" s="320"/>
      <c r="BF513" s="320"/>
      <c r="BG513" s="320"/>
      <c r="BH513" s="320"/>
      <c r="BI513" s="320"/>
      <c r="BJ513" s="320"/>
      <c r="BK513" s="320"/>
    </row>
    <row r="514" spans="1:63">
      <c r="A514" s="167"/>
      <c r="B514" s="217" t="str">
        <f>Servicio_internaColumna_título_amortizaciones</f>
        <v>Amortizaciones</v>
      </c>
      <c r="C514" s="218"/>
      <c r="D514" s="219"/>
      <c r="E514" s="219"/>
      <c r="F514" s="219"/>
      <c r="G514" s="219"/>
      <c r="H514" s="219"/>
      <c r="I514" s="219"/>
      <c r="J514" s="219"/>
      <c r="K514" s="219"/>
      <c r="L514" s="219"/>
      <c r="M514" s="219"/>
      <c r="N514" s="219"/>
      <c r="O514" s="219"/>
      <c r="P514" s="219"/>
      <c r="Q514" s="219">
        <f>+'Perfil - interna'!Q514+'Perfil - externa'!Q512</f>
        <v>29760914.122965891</v>
      </c>
      <c r="R514" s="219">
        <f>+'Perfil - interna'!R514+'Perfil - externa'!R512</f>
        <v>28578498.208767544</v>
      </c>
      <c r="S514" s="219">
        <f>+'Perfil - interna'!S514+'Perfil - externa'!S512</f>
        <v>17285187.564514879</v>
      </c>
      <c r="T514" s="219">
        <f>+'Perfil - interna'!T514+'Perfil - externa'!T512</f>
        <v>21998220.493041642</v>
      </c>
      <c r="U514" s="219">
        <f>+'Perfil - interna'!U514+'Perfil - externa'!U512</f>
        <v>26011939.279060915</v>
      </c>
      <c r="V514" s="219">
        <f>+'Perfil - interna'!V514+'Perfil - externa'!V512</f>
        <v>15791136.717283024</v>
      </c>
      <c r="W514" s="219">
        <f>+'Perfil - interna'!W514+'Perfil - externa'!W512</f>
        <v>18751557.395407412</v>
      </c>
      <c r="X514" s="219">
        <f>+'Perfil - interna'!X514+'Perfil - externa'!X512</f>
        <v>13661574.006553518</v>
      </c>
      <c r="Y514" s="219">
        <f>+'Perfil - interna'!Y514+'Perfil - externa'!Y512</f>
        <v>18073124.845842067</v>
      </c>
      <c r="Z514" s="219">
        <f>+'Perfil - interna'!Z514+'Perfil - externa'!Z512</f>
        <v>34074987.190562956</v>
      </c>
      <c r="AA514" s="219">
        <f>+'Perfil - interna'!AA514+'Perfil - externa'!AA512</f>
        <v>2914067.7698405185</v>
      </c>
      <c r="AB514" s="219">
        <f>+'Perfil - interna'!AB514+'Perfil - externa'!AB512</f>
        <v>8780688.8856123518</v>
      </c>
      <c r="AC514" s="219">
        <f>+'Perfil - interna'!AC514+'Perfil - externa'!AC512</f>
        <v>4456541.9738171445</v>
      </c>
      <c r="AD514" s="219">
        <f>+'Perfil - interna'!AD514+'Perfil - externa'!AD512</f>
        <v>15153957.508119203</v>
      </c>
      <c r="AE514" s="219">
        <f>+'Perfil - interna'!AE514+'Perfil - externa'!AE512</f>
        <v>1915859.6894495054</v>
      </c>
      <c r="AF514" s="219">
        <f>+'Perfil - interna'!AF514+'Perfil - externa'!AF512</f>
        <v>4556063.1246179156</v>
      </c>
      <c r="AG514" s="219">
        <f>+'Perfil - interna'!AG514+'Perfil - externa'!AG512</f>
        <v>2473211.7288114475</v>
      </c>
      <c r="AH514" s="219">
        <f>+'Perfil - interna'!AH514+'Perfil - externa'!AH512</f>
        <v>2416192.2340292763</v>
      </c>
      <c r="AI514" s="219">
        <f>+'Perfil - interna'!AI514+'Perfil - externa'!AI512</f>
        <v>7207017.3176753856</v>
      </c>
      <c r="AJ514" s="219">
        <f>+'Perfil - interna'!AJ514+'Perfil - externa'!AJ512</f>
        <v>2041127.9045456229</v>
      </c>
      <c r="AK514" s="219">
        <f>+'Perfil - interna'!AK514+'Perfil - externa'!AK512</f>
        <v>221538.43395738769</v>
      </c>
      <c r="AL514" s="219">
        <f>+'Perfil - interna'!AL514+'Perfil - externa'!AL512</f>
        <v>150355.64186591082</v>
      </c>
      <c r="AM514" s="219">
        <f>+'Perfil - interna'!AM514+'Perfil - externa'!AM512</f>
        <v>4584931.0349605018</v>
      </c>
      <c r="AN514" s="219">
        <f>+'Perfil - interna'!AN514+'Perfil - externa'!AN512</f>
        <v>2896.6801613787575</v>
      </c>
      <c r="AO514" s="219">
        <f>+'Perfil - interna'!AO514+'Perfil - externa'!AO512</f>
        <v>2896.6801613787575</v>
      </c>
      <c r="AP514" s="219">
        <f>+'Perfil - interna'!AP514+'Perfil - externa'!AP512</f>
        <v>2896.6801613787575</v>
      </c>
      <c r="AQ514" s="219">
        <f>+'Perfil - interna'!AQ514+'Perfil - externa'!AQ512</f>
        <v>6214346.6801613783</v>
      </c>
      <c r="AR514" s="219">
        <f>+'Perfil - interna'!AR514+'Perfil - externa'!AR512</f>
        <v>2896.6801613787575</v>
      </c>
      <c r="AS514" s="219">
        <f>+'Perfil - interna'!AS514+'Perfil - externa'!AS512</f>
        <v>2896.6801613787575</v>
      </c>
      <c r="AT514" s="219">
        <f>+'Perfil - interna'!AT514+'Perfil - externa'!AT512</f>
        <v>6213482.4834065316</v>
      </c>
      <c r="AU514" s="219">
        <f>+'Perfil - interna'!AU514+'Perfil - externa'!AU512</f>
        <v>3728902.4834065316</v>
      </c>
      <c r="AV514" s="219">
        <f>+'Perfil - interna'!AV514+'Perfil - externa'!AV512</f>
        <v>0</v>
      </c>
      <c r="AW514" s="219">
        <f>+'Perfil - interna'!AW514+'Perfil - externa'!AW512</f>
        <v>0</v>
      </c>
      <c r="AX514" s="219"/>
      <c r="AY514" s="219"/>
      <c r="AZ514" s="219"/>
      <c r="BA514" s="219"/>
      <c r="BB514" s="219"/>
      <c r="BC514" s="219"/>
      <c r="BD514" s="219"/>
      <c r="BE514" s="219"/>
      <c r="BF514" s="219"/>
      <c r="BG514" s="219"/>
      <c r="BH514" s="219"/>
      <c r="BI514" s="219"/>
      <c r="BJ514" s="219"/>
      <c r="BK514" s="219"/>
    </row>
    <row r="515" spans="1:63">
      <c r="A515" s="170">
        <v>42063</v>
      </c>
      <c r="B515" s="220" t="str">
        <f>Servicio_internaColumna_título_intereses</f>
        <v>Intereses</v>
      </c>
      <c r="C515" s="221"/>
      <c r="D515" s="222"/>
      <c r="E515" s="222"/>
      <c r="F515" s="222"/>
      <c r="G515" s="222"/>
      <c r="H515" s="222"/>
      <c r="I515" s="222"/>
      <c r="J515" s="222"/>
      <c r="K515" s="222"/>
      <c r="L515" s="222"/>
      <c r="M515" s="222"/>
      <c r="N515" s="222"/>
      <c r="O515" s="222"/>
      <c r="P515" s="222"/>
      <c r="Q515" s="222">
        <f>+'Perfil - interna'!Q515+'Perfil - externa'!Q513</f>
        <v>16630399.173123632</v>
      </c>
      <c r="R515" s="222">
        <f>+'Perfil - interna'!R515+'Perfil - externa'!R513</f>
        <v>16875827.517032851</v>
      </c>
      <c r="S515" s="222">
        <f>+'Perfil - interna'!S515+'Perfil - externa'!S513</f>
        <v>15018519.278095797</v>
      </c>
      <c r="T515" s="222">
        <f>+'Perfil - interna'!T515+'Perfil - externa'!T513</f>
        <v>14357769.115277994</v>
      </c>
      <c r="U515" s="222">
        <f>+'Perfil - interna'!U515+'Perfil - externa'!U513</f>
        <v>12586629.068267502</v>
      </c>
      <c r="V515" s="222">
        <f>+'Perfil - interna'!V515+'Perfil - externa'!V513</f>
        <v>11209977.283680083</v>
      </c>
      <c r="W515" s="222">
        <f>+'Perfil - interna'!W515+'Perfil - externa'!W513</f>
        <v>9846844.7485412993</v>
      </c>
      <c r="X515" s="222">
        <f>+'Perfil - interna'!X515+'Perfil - externa'!X513</f>
        <v>8926016.997848317</v>
      </c>
      <c r="Y515" s="222">
        <f>+'Perfil - interna'!Y515+'Perfil - externa'!Y513</f>
        <v>7984273.2839085851</v>
      </c>
      <c r="Z515" s="222">
        <f>+'Perfil - interna'!Z515+'Perfil - externa'!Z513</f>
        <v>6872275.9607673399</v>
      </c>
      <c r="AA515" s="222">
        <f>+'Perfil - interna'!AA515+'Perfil - externa'!AA513</f>
        <v>4103646.0502956496</v>
      </c>
      <c r="AB515" s="222">
        <f>+'Perfil - interna'!AB515+'Perfil - externa'!AB513</f>
        <v>3992696.6918493048</v>
      </c>
      <c r="AC515" s="222">
        <f>+'Perfil - interna'!AC515+'Perfil - externa'!AC513</f>
        <v>3397059.0538544338</v>
      </c>
      <c r="AD515" s="222">
        <f>+'Perfil - interna'!AD515+'Perfil - externa'!AD513</f>
        <v>3129797.9615498134</v>
      </c>
      <c r="AE515" s="222">
        <f>+'Perfil - interna'!AE515+'Perfil - externa'!AE513</f>
        <v>2254233.8160663908</v>
      </c>
      <c r="AF515" s="222">
        <f>+'Perfil - interna'!AF515+'Perfil - externa'!AF513</f>
        <v>2180745.2314780522</v>
      </c>
      <c r="AG515" s="222">
        <f>+'Perfil - interna'!AG515+'Perfil - externa'!AG513</f>
        <v>1884938.0895420436</v>
      </c>
      <c r="AH515" s="222">
        <f>+'Perfil - interna'!AH515+'Perfil - externa'!AH513</f>
        <v>1811233.8620467554</v>
      </c>
      <c r="AI515" s="222">
        <f>+'Perfil - interna'!AI515+'Perfil - externa'!AI513</f>
        <v>1722777.3979518986</v>
      </c>
      <c r="AJ515" s="222">
        <f>+'Perfil - interna'!AJ515+'Perfil - externa'!AJ513</f>
        <v>1355996.570317527</v>
      </c>
      <c r="AK515" s="222">
        <f>+'Perfil - interna'!AK515+'Perfil - externa'!AK513</f>
        <v>1285159.8746986578</v>
      </c>
      <c r="AL515" s="222">
        <f>+'Perfil - interna'!AL515+'Perfil - externa'!AL513</f>
        <v>1275610.413657716</v>
      </c>
      <c r="AM515" s="222">
        <f>+'Perfil - interna'!AM515+'Perfil - externa'!AM513</f>
        <v>1268423.3545966232</v>
      </c>
      <c r="AN515" s="222">
        <f>+'Perfil - interna'!AN515+'Perfil - externa'!AN513</f>
        <v>931592.86402360396</v>
      </c>
      <c r="AO515" s="222">
        <f>+'Perfil - interna'!AO515+'Perfil - externa'!AO513</f>
        <v>929408.08445856662</v>
      </c>
      <c r="AP515" s="222">
        <f>+'Perfil - interna'!AP515+'Perfil - externa'!AP513</f>
        <v>927488.35934180312</v>
      </c>
      <c r="AQ515" s="222">
        <f>+'Perfil - interna'!AQ515+'Perfil - externa'!AQ513</f>
        <v>726001.46100571181</v>
      </c>
      <c r="AR515" s="222">
        <f>+'Perfil - interna'!AR515+'Perfil - externa'!AR513</f>
        <v>535771.8832995143</v>
      </c>
      <c r="AS515" s="222">
        <f>+'Perfil - interna'!AS515+'Perfil - externa'!AS513</f>
        <v>535767.96184331691</v>
      </c>
      <c r="AT515" s="222">
        <f>+'Perfil - interna'!AT515+'Perfil - externa'!AT513</f>
        <v>361067.078971271</v>
      </c>
      <c r="AU515" s="222">
        <f>+'Perfil - interna'!AU515+'Perfil - externa'!AU513</f>
        <v>93194.306430922006</v>
      </c>
      <c r="AV515" s="222">
        <f>+'Perfil - interna'!AV515+'Perfil - externa'!AV513</f>
        <v>0</v>
      </c>
      <c r="AW515" s="222">
        <f>+'Perfil - interna'!AW515+'Perfil - externa'!AW513</f>
        <v>0</v>
      </c>
      <c r="AX515" s="222"/>
      <c r="AY515" s="222"/>
      <c r="AZ515" s="222"/>
      <c r="BA515" s="222"/>
      <c r="BB515" s="222"/>
      <c r="BC515" s="222"/>
      <c r="BD515" s="222"/>
      <c r="BE515" s="222"/>
      <c r="BF515" s="222"/>
      <c r="BG515" s="222"/>
      <c r="BH515" s="222"/>
      <c r="BI515" s="222"/>
      <c r="BJ515" s="222"/>
      <c r="BK515" s="222"/>
    </row>
    <row r="516" spans="1:63">
      <c r="A516" s="171"/>
      <c r="B516" s="318" t="str">
        <f>Servicio_internaColumna_título_total</f>
        <v>Total</v>
      </c>
      <c r="C516" s="319"/>
      <c r="D516" s="320"/>
      <c r="E516" s="320"/>
      <c r="F516" s="320"/>
      <c r="G516" s="320"/>
      <c r="H516" s="320"/>
      <c r="I516" s="320"/>
      <c r="J516" s="320"/>
      <c r="K516" s="320"/>
      <c r="L516" s="320"/>
      <c r="M516" s="320"/>
      <c r="N516" s="320"/>
      <c r="O516" s="320"/>
      <c r="P516" s="320"/>
      <c r="Q516" s="320">
        <f>+'Perfil - interna'!Q516+'Perfil - externa'!Q514</f>
        <v>46391313.296089523</v>
      </c>
      <c r="R516" s="320">
        <f>+'Perfil - interna'!R516+'Perfil - externa'!R514</f>
        <v>45454325.725800395</v>
      </c>
      <c r="S516" s="320">
        <f>+'Perfil - interna'!S516+'Perfil - externa'!S514</f>
        <v>32303706.842610676</v>
      </c>
      <c r="T516" s="320">
        <f>+'Perfil - interna'!T516+'Perfil - externa'!T514</f>
        <v>36355989.60831964</v>
      </c>
      <c r="U516" s="320">
        <f>+'Perfil - interna'!U516+'Perfil - externa'!U514</f>
        <v>38598568.347328417</v>
      </c>
      <c r="V516" s="320">
        <f>+'Perfil - interna'!V516+'Perfil - externa'!V514</f>
        <v>27001114.000963107</v>
      </c>
      <c r="W516" s="320">
        <f>+'Perfil - interna'!W516+'Perfil - externa'!W514</f>
        <v>28598402.143948711</v>
      </c>
      <c r="X516" s="320">
        <f>+'Perfil - interna'!X516+'Perfil - externa'!X514</f>
        <v>22587591.004401833</v>
      </c>
      <c r="Y516" s="320">
        <f>+'Perfil - interna'!Y516+'Perfil - externa'!Y514</f>
        <v>26057398.129750654</v>
      </c>
      <c r="Z516" s="320">
        <f>+'Perfil - interna'!Z516+'Perfil - externa'!Z514</f>
        <v>40947263.151330292</v>
      </c>
      <c r="AA516" s="320">
        <f>+'Perfil - interna'!AA516+'Perfil - externa'!AA514</f>
        <v>7017713.8201361671</v>
      </c>
      <c r="AB516" s="320">
        <f>+'Perfil - interna'!AB516+'Perfil - externa'!AB514</f>
        <v>12773385.577461656</v>
      </c>
      <c r="AC516" s="320">
        <f>+'Perfil - interna'!AC516+'Perfil - externa'!AC514</f>
        <v>7853601.0276715774</v>
      </c>
      <c r="AD516" s="320">
        <f>+'Perfil - interna'!AD516+'Perfil - externa'!AD514</f>
        <v>18283755.469669014</v>
      </c>
      <c r="AE516" s="320">
        <f>+'Perfil - interna'!AE516+'Perfil - externa'!AE514</f>
        <v>4170093.5055158962</v>
      </c>
      <c r="AF516" s="320">
        <f>+'Perfil - interna'!AF516+'Perfil - externa'!AF514</f>
        <v>6736808.3560959678</v>
      </c>
      <c r="AG516" s="320">
        <f>+'Perfil - interna'!AG516+'Perfil - externa'!AG514</f>
        <v>4358149.8183534909</v>
      </c>
      <c r="AH516" s="320">
        <f>+'Perfil - interna'!AH516+'Perfil - externa'!AH514</f>
        <v>4227426.0960760312</v>
      </c>
      <c r="AI516" s="320">
        <f>+'Perfil - interna'!AI516+'Perfil - externa'!AI514</f>
        <v>8929794.7156272847</v>
      </c>
      <c r="AJ516" s="320">
        <f>+'Perfil - interna'!AJ516+'Perfil - externa'!AJ514</f>
        <v>3397124.4748631502</v>
      </c>
      <c r="AK516" s="320">
        <f>+'Perfil - interna'!AK516+'Perfil - externa'!AK514</f>
        <v>1506698.3086560455</v>
      </c>
      <c r="AL516" s="320">
        <f>+'Perfil - interna'!AL516+'Perfil - externa'!AL514</f>
        <v>1425966.0555236267</v>
      </c>
      <c r="AM516" s="320">
        <f>+'Perfil - interna'!AM516+'Perfil - externa'!AM514</f>
        <v>5853354.389557125</v>
      </c>
      <c r="AN516" s="320">
        <f>+'Perfil - interna'!AN516+'Perfil - externa'!AN514</f>
        <v>934489.54418498278</v>
      </c>
      <c r="AO516" s="320">
        <f>+'Perfil - interna'!AO516+'Perfil - externa'!AO514</f>
        <v>932304.76461994543</v>
      </c>
      <c r="AP516" s="320">
        <f>+'Perfil - interna'!AP516+'Perfil - externa'!AP514</f>
        <v>930385.03950318194</v>
      </c>
      <c r="AQ516" s="320">
        <f>+'Perfil - interna'!AQ516+'Perfil - externa'!AQ514</f>
        <v>6940348.1411670903</v>
      </c>
      <c r="AR516" s="320">
        <f>+'Perfil - interna'!AR516+'Perfil - externa'!AR514</f>
        <v>538668.56346089311</v>
      </c>
      <c r="AS516" s="320">
        <f>+'Perfil - interna'!AS516+'Perfil - externa'!AS514</f>
        <v>538664.64200469572</v>
      </c>
      <c r="AT516" s="320">
        <f>+'Perfil - interna'!AT516+'Perfil - externa'!AT514</f>
        <v>6574549.562377803</v>
      </c>
      <c r="AU516" s="320">
        <f>+'Perfil - interna'!AU516+'Perfil - externa'!AU514</f>
        <v>3822096.7898374535</v>
      </c>
      <c r="AV516" s="320">
        <f>+'Perfil - interna'!AV516+'Perfil - externa'!AV514</f>
        <v>0</v>
      </c>
      <c r="AW516" s="320">
        <f>+'Perfil - interna'!AW516+'Perfil - externa'!AW514</f>
        <v>0</v>
      </c>
      <c r="AX516" s="320"/>
      <c r="AY516" s="320"/>
      <c r="AZ516" s="320"/>
      <c r="BA516" s="320"/>
      <c r="BB516" s="320"/>
      <c r="BC516" s="320"/>
      <c r="BD516" s="320"/>
      <c r="BE516" s="320"/>
      <c r="BF516" s="320"/>
      <c r="BG516" s="320"/>
      <c r="BH516" s="320"/>
      <c r="BI516" s="320"/>
      <c r="BJ516" s="320"/>
      <c r="BK516" s="320"/>
    </row>
    <row r="517" spans="1:63">
      <c r="A517" s="167"/>
      <c r="B517" s="217" t="str">
        <f>Servicio_internaColumna_título_amortizaciones</f>
        <v>Amortizaciones</v>
      </c>
      <c r="C517" s="218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  <c r="P517" s="219"/>
      <c r="Q517" s="219">
        <f>+'Perfil - interna'!Q517+'Perfil - externa'!Q515</f>
        <v>27748920.090308905</v>
      </c>
      <c r="R517" s="219">
        <f>+'Perfil - interna'!R517+'Perfil - externa'!R515</f>
        <v>28582500.443896469</v>
      </c>
      <c r="S517" s="219">
        <f>+'Perfil - interna'!S517+'Perfil - externa'!S515</f>
        <v>17595929.997684468</v>
      </c>
      <c r="T517" s="219">
        <f>+'Perfil - interna'!T517+'Perfil - externa'!T515</f>
        <v>22058715.07402093</v>
      </c>
      <c r="U517" s="219">
        <f>+'Perfil - interna'!U517+'Perfil - externa'!U515</f>
        <v>27392310.894347485</v>
      </c>
      <c r="V517" s="219">
        <f>+'Perfil - interna'!V517+'Perfil - externa'!V515</f>
        <v>15930093.680309674</v>
      </c>
      <c r="W517" s="219">
        <f>+'Perfil - interna'!W517+'Perfil - externa'!W515</f>
        <v>19437192.292782255</v>
      </c>
      <c r="X517" s="219">
        <f>+'Perfil - interna'!X517+'Perfil - externa'!X515</f>
        <v>13719706.385771943</v>
      </c>
      <c r="Y517" s="219">
        <f>+'Perfil - interna'!Y517+'Perfil - externa'!Y515</f>
        <v>18346275.049456492</v>
      </c>
      <c r="Z517" s="219">
        <f>+'Perfil - interna'!Z517+'Perfil - externa'!Z515</f>
        <v>35204418.075275421</v>
      </c>
      <c r="AA517" s="219">
        <f>+'Perfil - interna'!AA517+'Perfil - externa'!AA515</f>
        <v>3063552.6997409817</v>
      </c>
      <c r="AB517" s="219">
        <f>+'Perfil - interna'!AB517+'Perfil - externa'!AB515</f>
        <v>8887868.2181087919</v>
      </c>
      <c r="AC517" s="219">
        <f>+'Perfil - interna'!AC517+'Perfil - externa'!AC515</f>
        <v>4556364.3112772051</v>
      </c>
      <c r="AD517" s="219">
        <f>+'Perfil - interna'!AD517+'Perfil - externa'!AD515</f>
        <v>15200727.143417858</v>
      </c>
      <c r="AE517" s="219">
        <f>+'Perfil - interna'!AE517+'Perfil - externa'!AE515</f>
        <v>1989840.5893673508</v>
      </c>
      <c r="AF517" s="219">
        <f>+'Perfil - interna'!AF517+'Perfil - externa'!AF515</f>
        <v>5599158.6906547649</v>
      </c>
      <c r="AG517" s="219">
        <f>+'Perfil - interna'!AG517+'Perfil - externa'!AG515</f>
        <v>2562873.7934022355</v>
      </c>
      <c r="AH517" s="219">
        <f>+'Perfil - interna'!AH517+'Perfil - externa'!AH515</f>
        <v>2503755.1216212451</v>
      </c>
      <c r="AI517" s="219">
        <f>+'Perfil - interna'!AI517+'Perfil - externa'!AI515</f>
        <v>7647614.3650484979</v>
      </c>
      <c r="AJ517" s="219">
        <f>+'Perfil - interna'!AJ517+'Perfil - externa'!AJ515</f>
        <v>2116069.1354629188</v>
      </c>
      <c r="AK517" s="219">
        <f>+'Perfil - interna'!AK517+'Perfil - externa'!AK515</f>
        <v>229491.34134527165</v>
      </c>
      <c r="AL517" s="219">
        <f>+'Perfil - interna'!AL517+'Perfil - externa'!AL515</f>
        <v>156274.68248175902</v>
      </c>
      <c r="AM517" s="219">
        <f>+'Perfil - interna'!AM517+'Perfil - externa'!AM515</f>
        <v>4754112.4156919774</v>
      </c>
      <c r="AN517" s="219">
        <f>+'Perfil - interna'!AN517+'Perfil - externa'!AN515</f>
        <v>3003.3216598860768</v>
      </c>
      <c r="AO517" s="219">
        <f>+'Perfil - interna'!AO517+'Perfil - externa'!AO515</f>
        <v>3003.3216598860768</v>
      </c>
      <c r="AP517" s="219">
        <f>+'Perfil - interna'!AP517+'Perfil - externa'!AP515</f>
        <v>3003.3216598860768</v>
      </c>
      <c r="AQ517" s="219">
        <f>+'Perfil - interna'!AQ517+'Perfil - externa'!AQ515</f>
        <v>6443128.3216598863</v>
      </c>
      <c r="AR517" s="219">
        <f>+'Perfil - interna'!AR517+'Perfil - externa'!AR515</f>
        <v>3003.3216598860768</v>
      </c>
      <c r="AS517" s="219">
        <f>+'Perfil - interna'!AS517+'Perfil - externa'!AS515</f>
        <v>3003.3216598860768</v>
      </c>
      <c r="AT517" s="219">
        <f>+'Perfil - interna'!AT517+'Perfil - externa'!AT515</f>
        <v>6442232.3094363622</v>
      </c>
      <c r="AU517" s="219">
        <f>+'Perfil - interna'!AU517+'Perfil - externa'!AU515</f>
        <v>6442232.3094363622</v>
      </c>
      <c r="AV517" s="219">
        <f>+'Perfil - interna'!AV517+'Perfil - externa'!AV515</f>
        <v>0</v>
      </c>
      <c r="AW517" s="219">
        <f>+'Perfil - interna'!AW517+'Perfil - externa'!AW515</f>
        <v>0</v>
      </c>
      <c r="AX517" s="219"/>
      <c r="AY517" s="219"/>
      <c r="AZ517" s="219"/>
      <c r="BA517" s="219"/>
      <c r="BB517" s="219"/>
      <c r="BC517" s="219"/>
      <c r="BD517" s="219"/>
      <c r="BE517" s="219"/>
      <c r="BF517" s="219"/>
      <c r="BG517" s="219"/>
      <c r="BH517" s="219"/>
      <c r="BI517" s="219"/>
      <c r="BJ517" s="219"/>
      <c r="BK517" s="219"/>
    </row>
    <row r="518" spans="1:63">
      <c r="A518" s="170">
        <v>42094</v>
      </c>
      <c r="B518" s="220" t="str">
        <f>Servicio_internaColumna_título_intereses</f>
        <v>Intereses</v>
      </c>
      <c r="C518" s="221"/>
      <c r="D518" s="222"/>
      <c r="E518" s="222"/>
      <c r="F518" s="222"/>
      <c r="G518" s="222"/>
      <c r="H518" s="222"/>
      <c r="I518" s="222"/>
      <c r="J518" s="222"/>
      <c r="K518" s="222"/>
      <c r="L518" s="222"/>
      <c r="M518" s="222"/>
      <c r="N518" s="222"/>
      <c r="O518" s="222"/>
      <c r="P518" s="222"/>
      <c r="Q518" s="222">
        <f>+'Perfil - interna'!Q518+'Perfil - externa'!Q516</f>
        <v>16047119.563854342</v>
      </c>
      <c r="R518" s="222">
        <f>+'Perfil - interna'!R518+'Perfil - externa'!R516</f>
        <v>17385836.80949235</v>
      </c>
      <c r="S518" s="222">
        <f>+'Perfil - interna'!S518+'Perfil - externa'!S516</f>
        <v>15500517.286241394</v>
      </c>
      <c r="T518" s="222">
        <f>+'Perfil - interna'!T518+'Perfil - externa'!T516</f>
        <v>14815014.039123641</v>
      </c>
      <c r="U518" s="222">
        <f>+'Perfil - interna'!U518+'Perfil - externa'!U516</f>
        <v>13044851.901516102</v>
      </c>
      <c r="V518" s="222">
        <f>+'Perfil - interna'!V518+'Perfil - externa'!V516</f>
        <v>11589719.359700445</v>
      </c>
      <c r="W518" s="222">
        <f>+'Perfil - interna'!W518+'Perfil - externa'!W516</f>
        <v>10232524.243646016</v>
      </c>
      <c r="X518" s="222">
        <f>+'Perfil - interna'!X518+'Perfil - externa'!X516</f>
        <v>9310046.1051807087</v>
      </c>
      <c r="Y518" s="222">
        <f>+'Perfil - interna'!Y518+'Perfil - externa'!Y516</f>
        <v>8357055.4064512905</v>
      </c>
      <c r="Z518" s="222">
        <f>+'Perfil - interna'!Z518+'Perfil - externa'!Z516</f>
        <v>7236832.1264458075</v>
      </c>
      <c r="AA518" s="222">
        <f>+'Perfil - interna'!AA518+'Perfil - externa'!AA516</f>
        <v>4387669.5884179156</v>
      </c>
      <c r="AB518" s="222">
        <f>+'Perfil - interna'!AB518+'Perfil - externa'!AB516</f>
        <v>4270691.8851557989</v>
      </c>
      <c r="AC518" s="222">
        <f>+'Perfil - interna'!AC518+'Perfil - externa'!AC516</f>
        <v>3675407.1626835046</v>
      </c>
      <c r="AD518" s="222">
        <f>+'Perfil - interna'!AD518+'Perfil - externa'!AD516</f>
        <v>3407317.1113740415</v>
      </c>
      <c r="AE518" s="222">
        <f>+'Perfil - interna'!AE518+'Perfil - externa'!AE516</f>
        <v>2532009.9998640618</v>
      </c>
      <c r="AF518" s="222">
        <f>+'Perfil - interna'!AF518+'Perfil - externa'!AF516</f>
        <v>2459428.1330314619</v>
      </c>
      <c r="AG518" s="222">
        <f>+'Perfil - interna'!AG518+'Perfil - externa'!AG516</f>
        <v>2081940.819160806</v>
      </c>
      <c r="AH518" s="222">
        <f>+'Perfil - interna'!AH518+'Perfil - externa'!AH516</f>
        <v>2007668.3123193909</v>
      </c>
      <c r="AI518" s="222">
        <f>+'Perfil - interna'!AI518+'Perfil - externa'!AI516</f>
        <v>1917675.5130594845</v>
      </c>
      <c r="AJ518" s="222">
        <f>+'Perfil - interna'!AJ518+'Perfil - externa'!AJ516</f>
        <v>1531552.8121145142</v>
      </c>
      <c r="AK518" s="222">
        <f>+'Perfil - interna'!AK518+'Perfil - externa'!AK516</f>
        <v>1460153.3033743037</v>
      </c>
      <c r="AL518" s="222">
        <f>+'Perfil - interna'!AL518+'Perfil - externa'!AL516</f>
        <v>1450491.7186461359</v>
      </c>
      <c r="AM518" s="222">
        <f>+'Perfil - interna'!AM518+'Perfil - externa'!AM516</f>
        <v>1443248.3024777286</v>
      </c>
      <c r="AN518" s="222">
        <f>+'Perfil - interna'!AN518+'Perfil - externa'!AN516</f>
        <v>1094126.7675212475</v>
      </c>
      <c r="AO518" s="222">
        <f>+'Perfil - interna'!AO518+'Perfil - externa'!AO516</f>
        <v>1091941.8435875047</v>
      </c>
      <c r="AP518" s="222">
        <f>+'Perfil - interna'!AP518+'Perfil - externa'!AP516</f>
        <v>1090021.978255108</v>
      </c>
      <c r="AQ518" s="222">
        <f>+'Perfil - interna'!AQ518+'Perfil - externa'!AQ516</f>
        <v>881531.75952223875</v>
      </c>
      <c r="AR518" s="222">
        <f>+'Perfil - interna'!AR518+'Perfil - externa'!AR516</f>
        <v>684298.86557233578</v>
      </c>
      <c r="AS518" s="222">
        <f>+'Perfil - interna'!AS518+'Perfil - externa'!AS516</f>
        <v>684294.79974743281</v>
      </c>
      <c r="AT518" s="222">
        <f>+'Perfil - interna'!AT518+'Perfil - externa'!AT516</f>
        <v>503162.29070263094</v>
      </c>
      <c r="AU518" s="222">
        <f>+'Perfil - interna'!AU518+'Perfil - externa'!AU516</f>
        <v>161026.51184762683</v>
      </c>
      <c r="AV518" s="222">
        <f>+'Perfil - interna'!AV518+'Perfil - externa'!AV516</f>
        <v>0</v>
      </c>
      <c r="AW518" s="222">
        <f>+'Perfil - interna'!AW518+'Perfil - externa'!AW516</f>
        <v>0</v>
      </c>
      <c r="AX518" s="222"/>
      <c r="AY518" s="222"/>
      <c r="AZ518" s="222"/>
      <c r="BA518" s="222"/>
      <c r="BB518" s="222"/>
      <c r="BC518" s="222"/>
      <c r="BD518" s="222"/>
      <c r="BE518" s="222"/>
      <c r="BF518" s="222"/>
      <c r="BG518" s="222"/>
      <c r="BH518" s="222"/>
      <c r="BI518" s="222"/>
      <c r="BJ518" s="222"/>
      <c r="BK518" s="222"/>
    </row>
    <row r="519" spans="1:63">
      <c r="A519" s="171"/>
      <c r="B519" s="318" t="str">
        <f>Servicio_internaColumna_título_total</f>
        <v>Total</v>
      </c>
      <c r="C519" s="319"/>
      <c r="D519" s="320"/>
      <c r="E519" s="320"/>
      <c r="F519" s="320"/>
      <c r="G519" s="320"/>
      <c r="H519" s="320"/>
      <c r="I519" s="320"/>
      <c r="J519" s="320"/>
      <c r="K519" s="320"/>
      <c r="L519" s="320"/>
      <c r="M519" s="320"/>
      <c r="N519" s="320"/>
      <c r="O519" s="320"/>
      <c r="P519" s="320"/>
      <c r="Q519" s="320">
        <f>+'Perfil - interna'!Q519+'Perfil - externa'!Q517</f>
        <v>43796039.654163241</v>
      </c>
      <c r="R519" s="320">
        <f>+'Perfil - interna'!R519+'Perfil - externa'!R517</f>
        <v>45968337.253388815</v>
      </c>
      <c r="S519" s="320">
        <f>+'Perfil - interna'!S519+'Perfil - externa'!S517</f>
        <v>33096447.283925861</v>
      </c>
      <c r="T519" s="320">
        <f>+'Perfil - interna'!T519+'Perfil - externa'!T517</f>
        <v>36873729.113144569</v>
      </c>
      <c r="U519" s="320">
        <f>+'Perfil - interna'!U519+'Perfil - externa'!U517</f>
        <v>40437162.795863584</v>
      </c>
      <c r="V519" s="320">
        <f>+'Perfil - interna'!V519+'Perfil - externa'!V517</f>
        <v>27519813.040010117</v>
      </c>
      <c r="W519" s="320">
        <f>+'Perfil - interna'!W519+'Perfil - externa'!W517</f>
        <v>29669716.536428273</v>
      </c>
      <c r="X519" s="320">
        <f>+'Perfil - interna'!X519+'Perfil - externa'!X517</f>
        <v>23029752.490952652</v>
      </c>
      <c r="Y519" s="320">
        <f>+'Perfil - interna'!Y519+'Perfil - externa'!Y517</f>
        <v>26703330.455907784</v>
      </c>
      <c r="Z519" s="320">
        <f>+'Perfil - interna'!Z519+'Perfil - externa'!Z517</f>
        <v>42441250.201721229</v>
      </c>
      <c r="AA519" s="320">
        <f>+'Perfil - interna'!AA519+'Perfil - externa'!AA517</f>
        <v>7451222.2881588973</v>
      </c>
      <c r="AB519" s="320">
        <f>+'Perfil - interna'!AB519+'Perfil - externa'!AB517</f>
        <v>13158560.103264591</v>
      </c>
      <c r="AC519" s="320">
        <f>+'Perfil - interna'!AC519+'Perfil - externa'!AC517</f>
        <v>8231771.4739607098</v>
      </c>
      <c r="AD519" s="320">
        <f>+'Perfil - interna'!AD519+'Perfil - externa'!AD517</f>
        <v>18608044.254791897</v>
      </c>
      <c r="AE519" s="320">
        <f>+'Perfil - interna'!AE519+'Perfil - externa'!AE517</f>
        <v>4521850.5892314129</v>
      </c>
      <c r="AF519" s="320">
        <f>+'Perfil - interna'!AF519+'Perfil - externa'!AF517</f>
        <v>8058586.8236862272</v>
      </c>
      <c r="AG519" s="320">
        <f>+'Perfil - interna'!AG519+'Perfil - externa'!AG517</f>
        <v>4644814.612563041</v>
      </c>
      <c r="AH519" s="320">
        <f>+'Perfil - interna'!AH519+'Perfil - externa'!AH517</f>
        <v>4511423.433940636</v>
      </c>
      <c r="AI519" s="320">
        <f>+'Perfil - interna'!AI519+'Perfil - externa'!AI517</f>
        <v>9565289.8781079836</v>
      </c>
      <c r="AJ519" s="320">
        <f>+'Perfil - interna'!AJ519+'Perfil - externa'!AJ517</f>
        <v>3647621.9475774332</v>
      </c>
      <c r="AK519" s="320">
        <f>+'Perfil - interna'!AK519+'Perfil - externa'!AK517</f>
        <v>1689644.6447195753</v>
      </c>
      <c r="AL519" s="320">
        <f>+'Perfil - interna'!AL519+'Perfil - externa'!AL517</f>
        <v>1606766.4011278949</v>
      </c>
      <c r="AM519" s="320">
        <f>+'Perfil - interna'!AM519+'Perfil - externa'!AM517</f>
        <v>6197360.7181697059</v>
      </c>
      <c r="AN519" s="320">
        <f>+'Perfil - interna'!AN519+'Perfil - externa'!AN517</f>
        <v>1097130.0891811335</v>
      </c>
      <c r="AO519" s="320">
        <f>+'Perfil - interna'!AO519+'Perfil - externa'!AO517</f>
        <v>1094945.1652473907</v>
      </c>
      <c r="AP519" s="320">
        <f>+'Perfil - interna'!AP519+'Perfil - externa'!AP517</f>
        <v>1093025.299914994</v>
      </c>
      <c r="AQ519" s="320">
        <f>+'Perfil - interna'!AQ519+'Perfil - externa'!AQ517</f>
        <v>7324660.081182125</v>
      </c>
      <c r="AR519" s="320">
        <f>+'Perfil - interna'!AR519+'Perfil - externa'!AR517</f>
        <v>687302.18723222183</v>
      </c>
      <c r="AS519" s="320">
        <f>+'Perfil - interna'!AS519+'Perfil - externa'!AS517</f>
        <v>687298.12140731886</v>
      </c>
      <c r="AT519" s="320">
        <f>+'Perfil - interna'!AT519+'Perfil - externa'!AT517</f>
        <v>6945394.600138993</v>
      </c>
      <c r="AU519" s="320">
        <f>+'Perfil - interna'!AU519+'Perfil - externa'!AU517</f>
        <v>6603258.8212839887</v>
      </c>
      <c r="AV519" s="320">
        <f>+'Perfil - interna'!AV519+'Perfil - externa'!AV517</f>
        <v>0</v>
      </c>
      <c r="AW519" s="320">
        <f>+'Perfil - interna'!AW519+'Perfil - externa'!AW517</f>
        <v>0</v>
      </c>
      <c r="AX519" s="320"/>
      <c r="AY519" s="320"/>
      <c r="AZ519" s="320"/>
      <c r="BA519" s="320"/>
      <c r="BB519" s="320"/>
      <c r="BC519" s="320"/>
      <c r="BD519" s="320"/>
      <c r="BE519" s="320"/>
      <c r="BF519" s="320"/>
      <c r="BG519" s="320"/>
      <c r="BH519" s="320"/>
      <c r="BI519" s="320"/>
      <c r="BJ519" s="320"/>
      <c r="BK519" s="320"/>
    </row>
    <row r="520" spans="1:63">
      <c r="A520" s="167"/>
      <c r="B520" s="217" t="str">
        <f>Servicio_internaColumna_título_amortizaciones</f>
        <v>Amortizaciones</v>
      </c>
      <c r="C520" s="218"/>
      <c r="D520" s="219"/>
      <c r="E520" s="219"/>
      <c r="F520" s="219"/>
      <c r="G520" s="219"/>
      <c r="H520" s="219"/>
      <c r="I520" s="219"/>
      <c r="J520" s="219"/>
      <c r="K520" s="219"/>
      <c r="L520" s="219"/>
      <c r="M520" s="219"/>
      <c r="N520" s="219"/>
      <c r="O520" s="219"/>
      <c r="P520" s="219"/>
      <c r="Q520" s="219">
        <f>+'Perfil - interna'!Q520+'Perfil - externa'!Q518</f>
        <v>24360092.961662307</v>
      </c>
      <c r="R520" s="219">
        <f>+'Perfil - interna'!R520+'Perfil - externa'!R518</f>
        <v>28416355.038480867</v>
      </c>
      <c r="S520" s="219">
        <f>+'Perfil - interna'!S520+'Perfil - externa'!S518</f>
        <v>17233620.427330367</v>
      </c>
      <c r="T520" s="219">
        <f>+'Perfil - interna'!T520+'Perfil - externa'!T518</f>
        <v>21908567.973442625</v>
      </c>
      <c r="U520" s="219">
        <f>+'Perfil - interna'!U520+'Perfil - externa'!U518</f>
        <v>26910873.610819668</v>
      </c>
      <c r="V520" s="219">
        <f>+'Perfil - interna'!V520+'Perfil - externa'!V518</f>
        <v>16702997.504146604</v>
      </c>
      <c r="W520" s="219">
        <f>+'Perfil - interna'!W520+'Perfil - externa'!W518</f>
        <v>19020081.28544873</v>
      </c>
      <c r="X520" s="219">
        <f>+'Perfil - interna'!X520+'Perfil - externa'!X518</f>
        <v>13593493.922455067</v>
      </c>
      <c r="Y520" s="219">
        <f>+'Perfil - interna'!Y520+'Perfil - externa'!Y518</f>
        <v>18148198.593567956</v>
      </c>
      <c r="Z520" s="219">
        <f>+'Perfil - interna'!Z520+'Perfil - externa'!Z518</f>
        <v>34705102.114511363</v>
      </c>
      <c r="AA520" s="219">
        <f>+'Perfil - interna'!AA520+'Perfil - externa'!AA518</f>
        <v>3560058.1642239485</v>
      </c>
      <c r="AB520" s="219">
        <f>+'Perfil - interna'!AB520+'Perfil - externa'!AB518</f>
        <v>9531665.119593041</v>
      </c>
      <c r="AC520" s="219">
        <f>+'Perfil - interna'!AC520+'Perfil - externa'!AC518</f>
        <v>4363245.1549335616</v>
      </c>
      <c r="AD520" s="219">
        <f>+'Perfil - interna'!AD520+'Perfil - externa'!AD518</f>
        <v>15098089.15936584</v>
      </c>
      <c r="AE520" s="219">
        <f>+'Perfil - interna'!AE520+'Perfil - externa'!AE518</f>
        <v>1843019.2063037832</v>
      </c>
      <c r="AF520" s="219">
        <f>+'Perfil - interna'!AF520+'Perfil - externa'!AF518</f>
        <v>6621953.253770248</v>
      </c>
      <c r="AG520" s="219">
        <f>+'Perfil - interna'!AG520+'Perfil - externa'!AG518</f>
        <v>2375766.2001288906</v>
      </c>
      <c r="AH520" s="219">
        <f>+'Perfil - interna'!AH520+'Perfil - externa'!AH518</f>
        <v>2320892.1513607674</v>
      </c>
      <c r="AI520" s="219">
        <f>+'Perfil - interna'!AI520+'Perfil - externa'!AI518</f>
        <v>7597827.8294006456</v>
      </c>
      <c r="AJ520" s="219">
        <f>+'Perfil - interna'!AJ520+'Perfil - externa'!AJ518</f>
        <v>1961712.8456499514</v>
      </c>
      <c r="AK520" s="219">
        <f>+'Perfil - interna'!AK520+'Perfil - externa'!AK518</f>
        <v>212810.08094406917</v>
      </c>
      <c r="AL520" s="219">
        <f>+'Perfil - interna'!AL520+'Perfil - externa'!AL518</f>
        <v>144936.4859573259</v>
      </c>
      <c r="AM520" s="219">
        <f>+'Perfil - interna'!AM520+'Perfil - externa'!AM518</f>
        <v>4407239.3148058997</v>
      </c>
      <c r="AN520" s="219">
        <f>+'Perfil - interna'!AN520+'Perfil - externa'!AN518</f>
        <v>2784.1510541750135</v>
      </c>
      <c r="AO520" s="219">
        <f>+'Perfil - interna'!AO520+'Perfil - externa'!AO518</f>
        <v>2784.1510541750135</v>
      </c>
      <c r="AP520" s="219">
        <f>+'Perfil - interna'!AP520+'Perfil - externa'!AP518</f>
        <v>2784.1510541750135</v>
      </c>
      <c r="AQ520" s="219">
        <f>+'Perfil - interna'!AQ520+'Perfil - externa'!AQ518</f>
        <v>5972934.1510541746</v>
      </c>
      <c r="AR520" s="219">
        <f>+'Perfil - interna'!AR520+'Perfil - externa'!AR518</f>
        <v>2784.1510541750135</v>
      </c>
      <c r="AS520" s="219">
        <f>+'Perfil - interna'!AS520+'Perfil - externa'!AS518</f>
        <v>2784.1510541750135</v>
      </c>
      <c r="AT520" s="219">
        <f>+'Perfil - interna'!AT520+'Perfil - externa'!AT518</f>
        <v>5972103.5262796134</v>
      </c>
      <c r="AU520" s="219">
        <f>+'Perfil - interna'!AU520+'Perfil - externa'!AU518</f>
        <v>5972103.5262796134</v>
      </c>
      <c r="AV520" s="219">
        <f>+'Perfil - interna'!AV520+'Perfil - externa'!AV518</f>
        <v>0</v>
      </c>
      <c r="AW520" s="219">
        <f>+'Perfil - interna'!AW520+'Perfil - externa'!AW518</f>
        <v>0</v>
      </c>
      <c r="AX520" s="219"/>
      <c r="AY520" s="219"/>
      <c r="AZ520" s="219"/>
      <c r="BA520" s="219"/>
      <c r="BB520" s="219"/>
      <c r="BC520" s="219"/>
      <c r="BD520" s="219"/>
      <c r="BE520" s="219"/>
      <c r="BF520" s="219"/>
      <c r="BG520" s="219"/>
      <c r="BH520" s="219"/>
      <c r="BI520" s="219"/>
      <c r="BJ520" s="219"/>
      <c r="BK520" s="219"/>
    </row>
    <row r="521" spans="1:63">
      <c r="A521" s="170">
        <v>42124</v>
      </c>
      <c r="B521" s="220" t="str">
        <f>Servicio_internaColumna_título_intereses</f>
        <v>Intereses</v>
      </c>
      <c r="C521" s="221"/>
      <c r="D521" s="222"/>
      <c r="E521" s="222"/>
      <c r="F521" s="222"/>
      <c r="G521" s="222"/>
      <c r="H521" s="222"/>
      <c r="I521" s="222"/>
      <c r="J521" s="222"/>
      <c r="K521" s="222"/>
      <c r="L521" s="222"/>
      <c r="M521" s="222"/>
      <c r="N521" s="222"/>
      <c r="O521" s="222"/>
      <c r="P521" s="222"/>
      <c r="Q521" s="222">
        <f>+'Perfil - interna'!Q521+'Perfil - externa'!Q519</f>
        <v>14847325.161584236</v>
      </c>
      <c r="R521" s="222">
        <f>+'Perfil - interna'!R521+'Perfil - externa'!R519</f>
        <v>17383058.492785215</v>
      </c>
      <c r="S521" s="222">
        <f>+'Perfil - interna'!S521+'Perfil - externa'!S519</f>
        <v>15521695.413032062</v>
      </c>
      <c r="T521" s="222">
        <f>+'Perfil - interna'!T521+'Perfil - externa'!T519</f>
        <v>14848020.012418531</v>
      </c>
      <c r="U521" s="222">
        <f>+'Perfil - interna'!U521+'Perfil - externa'!U519</f>
        <v>13096820.718782274</v>
      </c>
      <c r="V521" s="222">
        <f>+'Perfil - interna'!V521+'Perfil - externa'!V519</f>
        <v>11661261.920399023</v>
      </c>
      <c r="W521" s="222">
        <f>+'Perfil - interna'!W521+'Perfil - externa'!W519</f>
        <v>10205084.629918259</v>
      </c>
      <c r="X521" s="222">
        <f>+'Perfil - interna'!X521+'Perfil - externa'!X519</f>
        <v>9323354.4187901728</v>
      </c>
      <c r="Y521" s="222">
        <f>+'Perfil - interna'!Y521+'Perfil - externa'!Y519</f>
        <v>8372875.1653204467</v>
      </c>
      <c r="Z521" s="222">
        <f>+'Perfil - interna'!Z521+'Perfil - externa'!Z519</f>
        <v>7276427.3463723706</v>
      </c>
      <c r="AA521" s="222">
        <f>+'Perfil - interna'!AA521+'Perfil - externa'!AA519</f>
        <v>4431988.8731525149</v>
      </c>
      <c r="AB521" s="222">
        <f>+'Perfil - interna'!AB521+'Perfil - externa'!AB519</f>
        <v>4279569.655605929</v>
      </c>
      <c r="AC521" s="222">
        <f>+'Perfil - interna'!AC521+'Perfil - externa'!AC519</f>
        <v>3631245.1719578011</v>
      </c>
      <c r="AD521" s="222">
        <f>+'Perfil - interna'!AD521+'Perfil - externa'!AD519</f>
        <v>3367793.5847263676</v>
      </c>
      <c r="AE521" s="222">
        <f>+'Perfil - interna'!AE521+'Perfil - externa'!AE519</f>
        <v>2495742.0625765091</v>
      </c>
      <c r="AF521" s="222">
        <f>+'Perfil - interna'!AF521+'Perfil - externa'!AF519</f>
        <v>2429439.0572951143</v>
      </c>
      <c r="AG521" s="222">
        <f>+'Perfil - interna'!AG521+'Perfil - externa'!AG519</f>
        <v>1961340.2718090261</v>
      </c>
      <c r="AH521" s="222">
        <f>+'Perfil - interna'!AH521+'Perfil - externa'!AH519</f>
        <v>1890727.3652242864</v>
      </c>
      <c r="AI521" s="222">
        <f>+'Perfil - interna'!AI521+'Perfil - externa'!AI519</f>
        <v>1806447.0895827692</v>
      </c>
      <c r="AJ521" s="222">
        <f>+'Perfil - interna'!AJ521+'Perfil - externa'!AJ519</f>
        <v>1424619.3812066419</v>
      </c>
      <c r="AK521" s="222">
        <f>+'Perfil - interna'!AK521+'Perfil - externa'!AK519</f>
        <v>1355753.050795706</v>
      </c>
      <c r="AL521" s="222">
        <f>+'Perfil - interna'!AL521+'Perfil - externa'!AL519</f>
        <v>1346363.7086292659</v>
      </c>
      <c r="AM521" s="222">
        <f>+'Perfil - interna'!AM521+'Perfil - externa'!AM519</f>
        <v>1339287.7620192023</v>
      </c>
      <c r="AN521" s="222">
        <f>+'Perfil - interna'!AN521+'Perfil - externa'!AN519</f>
        <v>1015402.171385662</v>
      </c>
      <c r="AO521" s="222">
        <f>+'Perfil - interna'!AO521+'Perfil - externa'!AO519</f>
        <v>1013217.5441598338</v>
      </c>
      <c r="AP521" s="222">
        <f>+'Perfil - interna'!AP521+'Perfil - externa'!AP519</f>
        <v>1011297.9669999186</v>
      </c>
      <c r="AQ521" s="222">
        <f>+'Perfil - interna'!AQ521+'Perfil - externa'!AQ519</f>
        <v>817201.03788539709</v>
      </c>
      <c r="AR521" s="222">
        <f>+'Perfil - interna'!AR521+'Perfil - externa'!AR519</f>
        <v>634361.4250184088</v>
      </c>
      <c r="AS521" s="222">
        <f>+'Perfil - interna'!AS521+'Perfil - externa'!AS519</f>
        <v>634357.65590142051</v>
      </c>
      <c r="AT521" s="222">
        <f>+'Perfil - interna'!AT521+'Perfil - externa'!AT519</f>
        <v>466443.48515569366</v>
      </c>
      <c r="AU521" s="222">
        <f>+'Perfil - interna'!AU521+'Perfil - externa'!AU519</f>
        <v>149275.43016744385</v>
      </c>
      <c r="AV521" s="222">
        <f>+'Perfil - interna'!AV521+'Perfil - externa'!AV519</f>
        <v>0</v>
      </c>
      <c r="AW521" s="222">
        <f>+'Perfil - interna'!AW521+'Perfil - externa'!AW519</f>
        <v>0</v>
      </c>
      <c r="AX521" s="222"/>
      <c r="AY521" s="222"/>
      <c r="AZ521" s="222"/>
      <c r="BA521" s="222"/>
      <c r="BB521" s="222"/>
      <c r="BC521" s="222"/>
      <c r="BD521" s="222"/>
      <c r="BE521" s="222"/>
      <c r="BF521" s="222"/>
      <c r="BG521" s="222"/>
      <c r="BH521" s="222"/>
      <c r="BI521" s="222"/>
      <c r="BJ521" s="222"/>
      <c r="BK521" s="222"/>
    </row>
    <row r="522" spans="1:63">
      <c r="A522" s="171"/>
      <c r="B522" s="318" t="str">
        <f>Servicio_internaColumna_título_total</f>
        <v>Total</v>
      </c>
      <c r="C522" s="319"/>
      <c r="D522" s="320"/>
      <c r="E522" s="320"/>
      <c r="F522" s="320"/>
      <c r="G522" s="320"/>
      <c r="H522" s="320"/>
      <c r="I522" s="320"/>
      <c r="J522" s="320"/>
      <c r="K522" s="320"/>
      <c r="L522" s="320"/>
      <c r="M522" s="320"/>
      <c r="N522" s="320"/>
      <c r="O522" s="320"/>
      <c r="P522" s="320"/>
      <c r="Q522" s="320">
        <f>+'Perfil - interna'!Q522+'Perfil - externa'!Q520</f>
        <v>39207418.123246543</v>
      </c>
      <c r="R522" s="320">
        <f>+'Perfil - interna'!R522+'Perfil - externa'!R520</f>
        <v>45799413.531266078</v>
      </c>
      <c r="S522" s="320">
        <f>+'Perfil - interna'!S522+'Perfil - externa'!S520</f>
        <v>32755315.84036243</v>
      </c>
      <c r="T522" s="320">
        <f>+'Perfil - interna'!T522+'Perfil - externa'!T520</f>
        <v>36756587.985861152</v>
      </c>
      <c r="U522" s="320">
        <f>+'Perfil - interna'!U522+'Perfil - externa'!U520</f>
        <v>40007694.329601943</v>
      </c>
      <c r="V522" s="320">
        <f>+'Perfil - interna'!V522+'Perfil - externa'!V520</f>
        <v>28364259.424545627</v>
      </c>
      <c r="W522" s="320">
        <f>+'Perfil - interna'!W522+'Perfil - externa'!W520</f>
        <v>29225165.915366989</v>
      </c>
      <c r="X522" s="320">
        <f>+'Perfil - interna'!X522+'Perfil - externa'!X520</f>
        <v>22916848.341245241</v>
      </c>
      <c r="Y522" s="320">
        <f>+'Perfil - interna'!Y522+'Perfil - externa'!Y520</f>
        <v>26521073.758888401</v>
      </c>
      <c r="Z522" s="320">
        <f>+'Perfil - interna'!Z522+'Perfil - externa'!Z520</f>
        <v>41981529.460883737</v>
      </c>
      <c r="AA522" s="320">
        <f>+'Perfil - interna'!AA522+'Perfil - externa'!AA520</f>
        <v>7992047.0373764643</v>
      </c>
      <c r="AB522" s="320">
        <f>+'Perfil - interna'!AB522+'Perfil - externa'!AB520</f>
        <v>13811234.77519897</v>
      </c>
      <c r="AC522" s="320">
        <f>+'Perfil - interna'!AC522+'Perfil - externa'!AC520</f>
        <v>7994490.3268913627</v>
      </c>
      <c r="AD522" s="320">
        <f>+'Perfil - interna'!AD522+'Perfil - externa'!AD520</f>
        <v>18465882.744092207</v>
      </c>
      <c r="AE522" s="320">
        <f>+'Perfil - interna'!AE522+'Perfil - externa'!AE520</f>
        <v>4338761.2688802918</v>
      </c>
      <c r="AF522" s="320">
        <f>+'Perfil - interna'!AF522+'Perfil - externa'!AF520</f>
        <v>9051392.3110653628</v>
      </c>
      <c r="AG522" s="320">
        <f>+'Perfil - interna'!AG522+'Perfil - externa'!AG520</f>
        <v>4337106.4719379162</v>
      </c>
      <c r="AH522" s="320">
        <f>+'Perfil - interna'!AH522+'Perfil - externa'!AH520</f>
        <v>4211619.5165850539</v>
      </c>
      <c r="AI522" s="320">
        <f>+'Perfil - interna'!AI522+'Perfil - externa'!AI520</f>
        <v>9404274.9189834148</v>
      </c>
      <c r="AJ522" s="320">
        <f>+'Perfil - interna'!AJ522+'Perfil - externa'!AJ520</f>
        <v>3386332.2268565935</v>
      </c>
      <c r="AK522" s="320">
        <f>+'Perfil - interna'!AK522+'Perfil - externa'!AK520</f>
        <v>1568563.1317397752</v>
      </c>
      <c r="AL522" s="320">
        <f>+'Perfil - interna'!AL522+'Perfil - externa'!AL520</f>
        <v>1491300.1945865918</v>
      </c>
      <c r="AM522" s="320">
        <f>+'Perfil - interna'!AM522+'Perfil - externa'!AM520</f>
        <v>5746527.0768251028</v>
      </c>
      <c r="AN522" s="320">
        <f>+'Perfil - interna'!AN522+'Perfil - externa'!AN520</f>
        <v>1018186.322439837</v>
      </c>
      <c r="AO522" s="320">
        <f>+'Perfil - interna'!AO522+'Perfil - externa'!AO520</f>
        <v>1016001.6952140088</v>
      </c>
      <c r="AP522" s="320">
        <f>+'Perfil - interna'!AP522+'Perfil - externa'!AP520</f>
        <v>1014082.1180540936</v>
      </c>
      <c r="AQ522" s="320">
        <f>+'Perfil - interna'!AQ522+'Perfil - externa'!AQ520</f>
        <v>6790135.1889395714</v>
      </c>
      <c r="AR522" s="320">
        <f>+'Perfil - interna'!AR522+'Perfil - externa'!AR520</f>
        <v>637145.57607258379</v>
      </c>
      <c r="AS522" s="320">
        <f>+'Perfil - interna'!AS522+'Perfil - externa'!AS520</f>
        <v>637141.8069555955</v>
      </c>
      <c r="AT522" s="320">
        <f>+'Perfil - interna'!AT522+'Perfil - externa'!AT520</f>
        <v>6438547.0114353066</v>
      </c>
      <c r="AU522" s="320">
        <f>+'Perfil - interna'!AU522+'Perfil - externa'!AU520</f>
        <v>6121378.9564470574</v>
      </c>
      <c r="AV522" s="320">
        <f>+'Perfil - interna'!AV522+'Perfil - externa'!AV520</f>
        <v>0</v>
      </c>
      <c r="AW522" s="320">
        <f>+'Perfil - interna'!AW522+'Perfil - externa'!AW520</f>
        <v>0</v>
      </c>
      <c r="AX522" s="320"/>
      <c r="AY522" s="320"/>
      <c r="AZ522" s="320"/>
      <c r="BA522" s="320"/>
      <c r="BB522" s="320"/>
      <c r="BC522" s="320"/>
      <c r="BD522" s="320"/>
      <c r="BE522" s="320"/>
      <c r="BF522" s="320"/>
      <c r="BG522" s="320"/>
      <c r="BH522" s="320"/>
      <c r="BI522" s="320"/>
      <c r="BJ522" s="320"/>
      <c r="BK522" s="320"/>
    </row>
    <row r="523" spans="1:63">
      <c r="A523" s="167"/>
      <c r="B523" s="217" t="str">
        <f>Servicio_internaColumna_título_amortizaciones</f>
        <v>Amortizaciones</v>
      </c>
      <c r="C523" s="218"/>
      <c r="D523" s="219"/>
      <c r="E523" s="219"/>
      <c r="F523" s="219"/>
      <c r="G523" s="219"/>
      <c r="H523" s="219"/>
      <c r="I523" s="219"/>
      <c r="J523" s="219"/>
      <c r="K523" s="219"/>
      <c r="L523" s="219"/>
      <c r="M523" s="219"/>
      <c r="N523" s="219"/>
      <c r="O523" s="219"/>
      <c r="P523" s="219"/>
      <c r="Q523" s="219">
        <f>+'Perfil - interna'!Q523+'Perfil - externa'!Q521</f>
        <v>29848803.273253836</v>
      </c>
      <c r="R523" s="219">
        <f>+'Perfil - interna'!R523+'Perfil - externa'!R521</f>
        <v>28466075.339901466</v>
      </c>
      <c r="S523" s="219">
        <f>+'Perfil - interna'!S523+'Perfil - externa'!S521</f>
        <v>17661579.221701458</v>
      </c>
      <c r="T523" s="219">
        <f>+'Perfil - interna'!T523+'Perfil - externa'!T521</f>
        <v>22017791.303382598</v>
      </c>
      <c r="U523" s="219">
        <f>+'Perfil - interna'!U523+'Perfil - externa'!U521</f>
        <v>27589313.754817083</v>
      </c>
      <c r="V523" s="219">
        <f>+'Perfil - interna'!V523+'Perfil - externa'!V521</f>
        <v>17315991.557473641</v>
      </c>
      <c r="W523" s="219">
        <f>+'Perfil - interna'!W523+'Perfil - externa'!W521</f>
        <v>19505541.526575699</v>
      </c>
      <c r="X523" s="219">
        <f>+'Perfil - interna'!X523+'Perfil - externa'!X521</f>
        <v>13684850.160454437</v>
      </c>
      <c r="Y523" s="219">
        <f>+'Perfil - interna'!Y523+'Perfil - externa'!Y521</f>
        <v>18477634.79493548</v>
      </c>
      <c r="Z523" s="219">
        <f>+'Perfil - interna'!Z523+'Perfil - externa'!Z521</f>
        <v>35354589.910023347</v>
      </c>
      <c r="AA523" s="219">
        <f>+'Perfil - interna'!AA523+'Perfil - externa'!AA521</f>
        <v>4494105.4581859596</v>
      </c>
      <c r="AB523" s="219">
        <f>+'Perfil - interna'!AB523+'Perfil - externa'!AB521</f>
        <v>10163773.134011427</v>
      </c>
      <c r="AC523" s="219">
        <f>+'Perfil - interna'!AC523+'Perfil - externa'!AC521</f>
        <v>4527533.1311126435</v>
      </c>
      <c r="AD523" s="219">
        <f>+'Perfil - interna'!AD523+'Perfil - externa'!AD521</f>
        <v>15172448.730522998</v>
      </c>
      <c r="AE523" s="219">
        <f>+'Perfil - interna'!AE523+'Perfil - externa'!AE521</f>
        <v>1955418.6182465306</v>
      </c>
      <c r="AF523" s="219">
        <f>+'Perfil - interna'!AF523+'Perfil - externa'!AF521</f>
        <v>7392605.8389705382</v>
      </c>
      <c r="AG523" s="219">
        <f>+'Perfil - interna'!AG523+'Perfil - externa'!AG521</f>
        <v>2525427.9488286548</v>
      </c>
      <c r="AH523" s="219">
        <f>+'Perfil - interna'!AH523+'Perfil - externa'!AH521</f>
        <v>2478233.8304067967</v>
      </c>
      <c r="AI523" s="219">
        <f>+'Perfil - interna'!AI523+'Perfil - externa'!AI521</f>
        <v>7720196.1828735871</v>
      </c>
      <c r="AJ523" s="219">
        <f>+'Perfil - interna'!AJ523+'Perfil - externa'!AJ521</f>
        <v>2094702.2381589429</v>
      </c>
      <c r="AK523" s="219">
        <f>+'Perfil - interna'!AK523+'Perfil - externa'!AK521</f>
        <v>227224.20874717849</v>
      </c>
      <c r="AL523" s="219">
        <f>+'Perfil - interna'!AL523+'Perfil - externa'!AL521</f>
        <v>154748.79732186018</v>
      </c>
      <c r="AM523" s="219">
        <f>+'Perfil - interna'!AM523+'Perfil - externa'!AM521</f>
        <v>4706036.6808972852</v>
      </c>
      <c r="AN523" s="219">
        <f>+'Perfil - interna'!AN523+'Perfil - externa'!AN521</f>
        <v>2972.9159500241449</v>
      </c>
      <c r="AO523" s="219">
        <f>+'Perfil - interna'!AO523+'Perfil - externa'!AO521</f>
        <v>2972.9159500241449</v>
      </c>
      <c r="AP523" s="219">
        <f>+'Perfil - interna'!AP523+'Perfil - externa'!AP521</f>
        <v>2972.9159500241449</v>
      </c>
      <c r="AQ523" s="219">
        <f>+'Perfil - interna'!AQ523+'Perfil - externa'!AQ521</f>
        <v>6377897.9159500236</v>
      </c>
      <c r="AR523" s="219">
        <f>+'Perfil - interna'!AR523+'Perfil - externa'!AR521</f>
        <v>2972.9159500241449</v>
      </c>
      <c r="AS523" s="219">
        <f>+'Perfil - interna'!AS523+'Perfil - externa'!AS521</f>
        <v>2972.9159500241449</v>
      </c>
      <c r="AT523" s="219">
        <f>+'Perfil - interna'!AT523+'Perfil - externa'!AT521</f>
        <v>6377010.9749785289</v>
      </c>
      <c r="AU523" s="219">
        <f>+'Perfil - interna'!AU523+'Perfil - externa'!AU521</f>
        <v>6377010.9749785289</v>
      </c>
      <c r="AV523" s="219">
        <f>+'Perfil - interna'!AV523+'Perfil - externa'!AV521</f>
        <v>0</v>
      </c>
      <c r="AW523" s="219">
        <f>+'Perfil - interna'!AW523+'Perfil - externa'!AW521</f>
        <v>0</v>
      </c>
      <c r="AX523" s="219"/>
      <c r="AY523" s="219"/>
      <c r="AZ523" s="219"/>
      <c r="BA523" s="219"/>
      <c r="BB523" s="219"/>
      <c r="BC523" s="219"/>
      <c r="BD523" s="219"/>
      <c r="BE523" s="219"/>
      <c r="BF523" s="219"/>
      <c r="BG523" s="219"/>
      <c r="BH523" s="219"/>
      <c r="BI523" s="219"/>
      <c r="BJ523" s="219"/>
      <c r="BK523" s="219"/>
    </row>
    <row r="524" spans="1:63">
      <c r="A524" s="170">
        <v>42155</v>
      </c>
      <c r="B524" s="220" t="str">
        <f>Servicio_internaColumna_título_intereses</f>
        <v>Intereses</v>
      </c>
      <c r="C524" s="221"/>
      <c r="D524" s="222"/>
      <c r="E524" s="222"/>
      <c r="F524" s="222"/>
      <c r="G524" s="222"/>
      <c r="H524" s="222"/>
      <c r="I524" s="222"/>
      <c r="J524" s="222"/>
      <c r="K524" s="222"/>
      <c r="L524" s="222"/>
      <c r="M524" s="222"/>
      <c r="N524" s="222"/>
      <c r="O524" s="222"/>
      <c r="P524" s="222"/>
      <c r="Q524" s="222">
        <f>+'Perfil - interna'!Q524+'Perfil - externa'!Q522</f>
        <v>13516019.670824708</v>
      </c>
      <c r="R524" s="222">
        <f>+'Perfil - interna'!R524+'Perfil - externa'!R522</f>
        <v>17815066.129027877</v>
      </c>
      <c r="S524" s="222">
        <f>+'Perfil - interna'!S524+'Perfil - externa'!S522</f>
        <v>15957822.630511863</v>
      </c>
      <c r="T524" s="222">
        <f>+'Perfil - interna'!T524+'Perfil - externa'!T522</f>
        <v>15257901.931036055</v>
      </c>
      <c r="U524" s="222">
        <f>+'Perfil - interna'!U524+'Perfil - externa'!U522</f>
        <v>13505811.975921607</v>
      </c>
      <c r="V524" s="222">
        <f>+'Perfil - interna'!V524+'Perfil - externa'!V522</f>
        <v>12039273.855313152</v>
      </c>
      <c r="W524" s="222">
        <f>+'Perfil - interna'!W524+'Perfil - externa'!W522</f>
        <v>10550566.361125316</v>
      </c>
      <c r="X524" s="222">
        <f>+'Perfil - interna'!X524+'Perfil - externa'!X522</f>
        <v>9668288.7016108558</v>
      </c>
      <c r="Y524" s="222">
        <f>+'Perfil - interna'!Y524+'Perfil - externa'!Y522</f>
        <v>8695698.3880419508</v>
      </c>
      <c r="Z524" s="222">
        <f>+'Perfil - interna'!Z524+'Perfil - externa'!Z522</f>
        <v>7584595.5197792239</v>
      </c>
      <c r="AA524" s="222">
        <f>+'Perfil - interna'!AA524+'Perfil - externa'!AA522</f>
        <v>4724924.3111622632</v>
      </c>
      <c r="AB524" s="222">
        <f>+'Perfil - interna'!AB524+'Perfil - externa'!AB522</f>
        <v>4520413.0983537398</v>
      </c>
      <c r="AC524" s="222">
        <f>+'Perfil - interna'!AC524+'Perfil - externa'!AC522</f>
        <v>3828348.2869336028</v>
      </c>
      <c r="AD524" s="222">
        <f>+'Perfil - interna'!AD524+'Perfil - externa'!AD522</f>
        <v>3558371.6924021859</v>
      </c>
      <c r="AE524" s="222">
        <f>+'Perfil - interna'!AE524+'Perfil - externa'!AE522</f>
        <v>2682589.954730738</v>
      </c>
      <c r="AF524" s="222">
        <f>+'Perfil - interna'!AF524+'Perfil - externa'!AF522</f>
        <v>2613140.3583893552</v>
      </c>
      <c r="AG524" s="222">
        <f>+'Perfil - interna'!AG524+'Perfil - externa'!AG522</f>
        <v>2077943.6139412816</v>
      </c>
      <c r="AH524" s="222">
        <f>+'Perfil - interna'!AH524+'Perfil - externa'!AH522</f>
        <v>1999873.6720561725</v>
      </c>
      <c r="AI524" s="222">
        <f>+'Perfil - interna'!AI524+'Perfil - externa'!AI522</f>
        <v>1908091.2032807744</v>
      </c>
      <c r="AJ524" s="222">
        <f>+'Perfil - interna'!AJ524+'Perfil - externa'!AJ522</f>
        <v>1522244.3388647186</v>
      </c>
      <c r="AK524" s="222">
        <f>+'Perfil - interna'!AK524+'Perfil - externa'!AK522</f>
        <v>1446409.4142070981</v>
      </c>
      <c r="AL524" s="222">
        <f>+'Perfil - interna'!AL524+'Perfil - externa'!AL522</f>
        <v>1436370.5904684565</v>
      </c>
      <c r="AM524" s="222">
        <f>+'Perfil - interna'!AM524+'Perfil - externa'!AM522</f>
        <v>1428871.6511142096</v>
      </c>
      <c r="AN524" s="222">
        <f>+'Perfil - interna'!AN524+'Perfil - externa'!AN522</f>
        <v>1083205.2426145179</v>
      </c>
      <c r="AO524" s="222">
        <f>+'Perfil - interna'!AO524+'Perfil - externa'!AO522</f>
        <v>1081020.3598432965</v>
      </c>
      <c r="AP524" s="222">
        <f>+'Perfil - interna'!AP524+'Perfil - externa'!AP522</f>
        <v>1079100.534489294</v>
      </c>
      <c r="AQ524" s="222">
        <f>+'Perfil - interna'!AQ524+'Perfil - externa'!AQ522</f>
        <v>872607.10810307355</v>
      </c>
      <c r="AR524" s="222">
        <f>+'Perfil - interna'!AR524+'Perfil - externa'!AR522</f>
        <v>677371.00531569216</v>
      </c>
      <c r="AS524" s="222">
        <f>+'Perfil - interna'!AS524+'Perfil - externa'!AS522</f>
        <v>677366.98065331066</v>
      </c>
      <c r="AT524" s="222">
        <f>+'Perfil - interna'!AT524+'Perfil - externa'!AT522</f>
        <v>498068.26203799911</v>
      </c>
      <c r="AU524" s="222">
        <f>+'Perfil - interna'!AU524+'Perfil - externa'!AU522</f>
        <v>159396.27507854777</v>
      </c>
      <c r="AV524" s="222">
        <f>+'Perfil - interna'!AV524+'Perfil - externa'!AV522</f>
        <v>0</v>
      </c>
      <c r="AW524" s="222">
        <f>+'Perfil - interna'!AW524+'Perfil - externa'!AW522</f>
        <v>0</v>
      </c>
      <c r="AX524" s="222"/>
      <c r="AY524" s="222"/>
      <c r="AZ524" s="222"/>
      <c r="BA524" s="222"/>
      <c r="BB524" s="222"/>
      <c r="BC524" s="222"/>
      <c r="BD524" s="222"/>
      <c r="BE524" s="222"/>
      <c r="BF524" s="222"/>
      <c r="BG524" s="222"/>
      <c r="BH524" s="222"/>
      <c r="BI524" s="222"/>
      <c r="BJ524" s="222"/>
      <c r="BK524" s="222"/>
    </row>
    <row r="525" spans="1:63">
      <c r="A525" s="171"/>
      <c r="B525" s="318" t="str">
        <f>Servicio_internaColumna_título_total</f>
        <v>Total</v>
      </c>
      <c r="C525" s="319"/>
      <c r="D525" s="320"/>
      <c r="E525" s="320"/>
      <c r="F525" s="320"/>
      <c r="G525" s="320"/>
      <c r="H525" s="320"/>
      <c r="I525" s="320"/>
      <c r="J525" s="320"/>
      <c r="K525" s="320"/>
      <c r="L525" s="320"/>
      <c r="M525" s="320"/>
      <c r="N525" s="320"/>
      <c r="O525" s="320"/>
      <c r="P525" s="320"/>
      <c r="Q525" s="320">
        <f>+'Perfil - interna'!Q525+'Perfil - externa'!Q523</f>
        <v>43364822.944078542</v>
      </c>
      <c r="R525" s="320">
        <f>+'Perfil - interna'!R525+'Perfil - externa'!R523</f>
        <v>46281141.46892935</v>
      </c>
      <c r="S525" s="320">
        <f>+'Perfil - interna'!S525+'Perfil - externa'!S523</f>
        <v>33619401.852213323</v>
      </c>
      <c r="T525" s="320">
        <f>+'Perfil - interna'!T525+'Perfil - externa'!T523</f>
        <v>37275693.234418653</v>
      </c>
      <c r="U525" s="320">
        <f>+'Perfil - interna'!U525+'Perfil - externa'!U523</f>
        <v>41095125.730738692</v>
      </c>
      <c r="V525" s="320">
        <f>+'Perfil - interna'!V525+'Perfil - externa'!V523</f>
        <v>29355265.412786797</v>
      </c>
      <c r="W525" s="320">
        <f>+'Perfil - interna'!W525+'Perfil - externa'!W523</f>
        <v>30056107.887701012</v>
      </c>
      <c r="X525" s="320">
        <f>+'Perfil - interna'!X525+'Perfil - externa'!X523</f>
        <v>23353138.862065293</v>
      </c>
      <c r="Y525" s="320">
        <f>+'Perfil - interna'!Y525+'Perfil - externa'!Y523</f>
        <v>27173333.182977431</v>
      </c>
      <c r="Z525" s="320">
        <f>+'Perfil - interna'!Z525+'Perfil - externa'!Z523</f>
        <v>42939185.429802574</v>
      </c>
      <c r="AA525" s="320">
        <f>+'Perfil - interna'!AA525+'Perfil - externa'!AA523</f>
        <v>9219029.7693482228</v>
      </c>
      <c r="AB525" s="320">
        <f>+'Perfil - interna'!AB525+'Perfil - externa'!AB523</f>
        <v>14684186.232365167</v>
      </c>
      <c r="AC525" s="320">
        <f>+'Perfil - interna'!AC525+'Perfil - externa'!AC523</f>
        <v>8355881.4180462463</v>
      </c>
      <c r="AD525" s="320">
        <f>+'Perfil - interna'!AD525+'Perfil - externa'!AD523</f>
        <v>18730820.422925182</v>
      </c>
      <c r="AE525" s="320">
        <f>+'Perfil - interna'!AE525+'Perfil - externa'!AE523</f>
        <v>4638008.5729772691</v>
      </c>
      <c r="AF525" s="320">
        <f>+'Perfil - interna'!AF525+'Perfil - externa'!AF523</f>
        <v>10005746.197359893</v>
      </c>
      <c r="AG525" s="320">
        <f>+'Perfil - interna'!AG525+'Perfil - externa'!AG523</f>
        <v>4603371.5627699364</v>
      </c>
      <c r="AH525" s="320">
        <f>+'Perfil - interna'!AH525+'Perfil - externa'!AH523</f>
        <v>4478107.5024629692</v>
      </c>
      <c r="AI525" s="320">
        <f>+'Perfil - interna'!AI525+'Perfil - externa'!AI523</f>
        <v>9628287.3861543611</v>
      </c>
      <c r="AJ525" s="320">
        <f>+'Perfil - interna'!AJ525+'Perfil - externa'!AJ523</f>
        <v>3616946.5770236617</v>
      </c>
      <c r="AK525" s="320">
        <f>+'Perfil - interna'!AK525+'Perfil - externa'!AK523</f>
        <v>1673633.6229542766</v>
      </c>
      <c r="AL525" s="320">
        <f>+'Perfil - interna'!AL525+'Perfil - externa'!AL523</f>
        <v>1591119.3877903167</v>
      </c>
      <c r="AM525" s="320">
        <f>+'Perfil - interna'!AM525+'Perfil - externa'!AM523</f>
        <v>6134908.3320114948</v>
      </c>
      <c r="AN525" s="320">
        <f>+'Perfil - interna'!AN525+'Perfil - externa'!AN523</f>
        <v>1086178.158564542</v>
      </c>
      <c r="AO525" s="320">
        <f>+'Perfil - interna'!AO525+'Perfil - externa'!AO523</f>
        <v>1083993.2757933205</v>
      </c>
      <c r="AP525" s="320">
        <f>+'Perfil - interna'!AP525+'Perfil - externa'!AP523</f>
        <v>1082073.4504393181</v>
      </c>
      <c r="AQ525" s="320">
        <f>+'Perfil - interna'!AQ525+'Perfil - externa'!AQ523</f>
        <v>7250505.0240530968</v>
      </c>
      <c r="AR525" s="320">
        <f>+'Perfil - interna'!AR525+'Perfil - externa'!AR523</f>
        <v>680343.92126571632</v>
      </c>
      <c r="AS525" s="320">
        <f>+'Perfil - interna'!AS525+'Perfil - externa'!AS523</f>
        <v>680339.89660333481</v>
      </c>
      <c r="AT525" s="320">
        <f>+'Perfil - interna'!AT525+'Perfil - externa'!AT523</f>
        <v>6875079.2370165279</v>
      </c>
      <c r="AU525" s="320">
        <f>+'Perfil - interna'!AU525+'Perfil - externa'!AU523</f>
        <v>6536407.250057077</v>
      </c>
      <c r="AV525" s="320">
        <f>+'Perfil - interna'!AV525+'Perfil - externa'!AV523</f>
        <v>0</v>
      </c>
      <c r="AW525" s="320">
        <f>+'Perfil - interna'!AW525+'Perfil - externa'!AW523</f>
        <v>0</v>
      </c>
      <c r="AX525" s="320"/>
      <c r="AY525" s="320"/>
      <c r="AZ525" s="320"/>
      <c r="BA525" s="320"/>
      <c r="BB525" s="320"/>
      <c r="BC525" s="320"/>
      <c r="BD525" s="320"/>
      <c r="BE525" s="320"/>
      <c r="BF525" s="320"/>
      <c r="BG525" s="320"/>
      <c r="BH525" s="320"/>
      <c r="BI525" s="320"/>
      <c r="BJ525" s="320"/>
      <c r="BK525" s="320"/>
    </row>
    <row r="526" spans="1:63">
      <c r="A526" s="167"/>
      <c r="B526" s="217" t="str">
        <f>Servicio_internaColumna_título_amortizaciones</f>
        <v>Amortizaciones</v>
      </c>
      <c r="C526" s="218"/>
      <c r="D526" s="219"/>
      <c r="E526" s="219"/>
      <c r="F526" s="219"/>
      <c r="G526" s="219"/>
      <c r="H526" s="219"/>
      <c r="I526" s="219"/>
      <c r="J526" s="219"/>
      <c r="K526" s="219"/>
      <c r="L526" s="219"/>
      <c r="M526" s="219"/>
      <c r="N526" s="219"/>
      <c r="O526" s="219"/>
      <c r="P526" s="219"/>
      <c r="Q526" s="219">
        <f>+'Perfil - interna'!Q526+'Perfil - externa'!Q524</f>
        <v>23758437.924864419</v>
      </c>
      <c r="R526" s="219">
        <f>+'Perfil - interna'!R526+'Perfil - externa'!R524</f>
        <v>28376133.510798879</v>
      </c>
      <c r="S526" s="219">
        <f>+'Perfil - interna'!S526+'Perfil - externa'!S524</f>
        <v>17754133.629138768</v>
      </c>
      <c r="T526" s="219">
        <f>+'Perfil - interna'!T526+'Perfil - externa'!T524</f>
        <v>22014467.158079933</v>
      </c>
      <c r="U526" s="219">
        <f>+'Perfil - interna'!U526+'Perfil - externa'!U524</f>
        <v>27939999.737125773</v>
      </c>
      <c r="V526" s="219">
        <f>+'Perfil - interna'!V526+'Perfil - externa'!V524</f>
        <v>17966559.877845779</v>
      </c>
      <c r="W526" s="219">
        <f>+'Perfil - interna'!W526+'Perfil - externa'!W524</f>
        <v>19634684.246953823</v>
      </c>
      <c r="X526" s="219">
        <f>+'Perfil - interna'!X526+'Perfil - externa'!X524</f>
        <v>13700705.391075887</v>
      </c>
      <c r="Y526" s="219">
        <f>+'Perfil - interna'!Y526+'Perfil - externa'!Y524</f>
        <v>18577838.845181938</v>
      </c>
      <c r="Z526" s="219">
        <f>+'Perfil - interna'!Z526+'Perfil - externa'!Z524</f>
        <v>35478384.205899648</v>
      </c>
      <c r="AA526" s="219">
        <f>+'Perfil - interna'!AA526+'Perfil - externa'!AA524</f>
        <v>4945762.5975119639</v>
      </c>
      <c r="AB526" s="219">
        <f>+'Perfil - interna'!AB526+'Perfil - externa'!AB524</f>
        <v>10552215.430775717</v>
      </c>
      <c r="AC526" s="219">
        <f>+'Perfil - interna'!AC526+'Perfil - externa'!AC524</f>
        <v>4546450.1207334111</v>
      </c>
      <c r="AD526" s="219">
        <f>+'Perfil - interna'!AD526+'Perfil - externa'!AD524</f>
        <v>15193261.679548072</v>
      </c>
      <c r="AE526" s="219">
        <f>+'Perfil - interna'!AE526+'Perfil - externa'!AE524</f>
        <v>1981958.5396848347</v>
      </c>
      <c r="AF526" s="219">
        <f>+'Perfil - interna'!AF526+'Perfil - externa'!AF524</f>
        <v>7972122.865760373</v>
      </c>
      <c r="AG526" s="219">
        <f>+'Perfil - interna'!AG526+'Perfil - externa'!AG524</f>
        <v>2560398.3088472853</v>
      </c>
      <c r="AH526" s="219">
        <f>+'Perfil - interna'!AH526+'Perfil - externa'!AH524</f>
        <v>2512553.8293147697</v>
      </c>
      <c r="AI526" s="219">
        <f>+'Perfil - interna'!AI526+'Perfil - externa'!AI524</f>
        <v>8007956.6269090194</v>
      </c>
      <c r="AJ526" s="219">
        <f>+'Perfil - interna'!AJ526+'Perfil - externa'!AJ524</f>
        <v>2123784.7480618018</v>
      </c>
      <c r="AK526" s="219">
        <f>+'Perfil - interna'!AK526+'Perfil - externa'!AK524</f>
        <v>230571.83629709575</v>
      </c>
      <c r="AL526" s="219">
        <f>+'Perfil - interna'!AL526+'Perfil - externa'!AL524</f>
        <v>157097.67353059084</v>
      </c>
      <c r="AM526" s="219">
        <f>+'Perfil - interna'!AM526+'Perfil - externa'!AM524</f>
        <v>4771103.0477286214</v>
      </c>
      <c r="AN526" s="219">
        <f>+'Perfil - interna'!AN526+'Perfil - externa'!AN524</f>
        <v>3219.0649705171818</v>
      </c>
      <c r="AO526" s="219">
        <f>+'Perfil - interna'!AO526+'Perfil - externa'!AO524</f>
        <v>3219.0649705171818</v>
      </c>
      <c r="AP526" s="219">
        <f>+'Perfil - interna'!AP526+'Perfil - externa'!AP524</f>
        <v>3219.0649705171818</v>
      </c>
      <c r="AQ526" s="219">
        <f>+'Perfil - interna'!AQ526+'Perfil - externa'!AQ524</f>
        <v>6465994.0649705175</v>
      </c>
      <c r="AR526" s="219">
        <f>+'Perfil - interna'!AR526+'Perfil - externa'!AR524</f>
        <v>3219.0649705171818</v>
      </c>
      <c r="AS526" s="219">
        <f>+'Perfil - interna'!AS526+'Perfil - externa'!AS524</f>
        <v>3219.0649705171818</v>
      </c>
      <c r="AT526" s="219">
        <f>+'Perfil - interna'!AT526+'Perfil - externa'!AT524</f>
        <v>6465094.9014608208</v>
      </c>
      <c r="AU526" s="219">
        <f>+'Perfil - interna'!AU526+'Perfil - externa'!AU524</f>
        <v>6465094.9014608208</v>
      </c>
      <c r="AV526" s="219">
        <f>+'Perfil - interna'!AV526+'Perfil - externa'!AV524</f>
        <v>0</v>
      </c>
      <c r="AW526" s="219">
        <f>+'Perfil - interna'!AW526+'Perfil - externa'!AW524</f>
        <v>0</v>
      </c>
      <c r="AX526" s="219"/>
      <c r="AY526" s="219"/>
      <c r="AZ526" s="219"/>
      <c r="BA526" s="219"/>
      <c r="BB526" s="219"/>
      <c r="BC526" s="219"/>
      <c r="BD526" s="219"/>
      <c r="BE526" s="219"/>
      <c r="BF526" s="219"/>
      <c r="BG526" s="219"/>
      <c r="BH526" s="219"/>
      <c r="BI526" s="219"/>
      <c r="BJ526" s="219"/>
      <c r="BK526" s="219"/>
    </row>
    <row r="527" spans="1:63">
      <c r="A527" s="170">
        <v>42185</v>
      </c>
      <c r="B527" s="220" t="str">
        <f>Servicio_internaColumna_título_intereses</f>
        <v>Intereses</v>
      </c>
      <c r="C527" s="221"/>
      <c r="D527" s="222"/>
      <c r="E527" s="222"/>
      <c r="F527" s="222"/>
      <c r="G527" s="222"/>
      <c r="H527" s="222"/>
      <c r="I527" s="222"/>
      <c r="J527" s="222"/>
      <c r="K527" s="222"/>
      <c r="L527" s="222"/>
      <c r="M527" s="222"/>
      <c r="N527" s="222"/>
      <c r="O527" s="222"/>
      <c r="P527" s="222"/>
      <c r="Q527" s="222">
        <f>+'Perfil - interna'!Q527+'Perfil - externa'!Q525</f>
        <v>13269918.029361309</v>
      </c>
      <c r="R527" s="222">
        <f>+'Perfil - interna'!R527+'Perfil - externa'!R525</f>
        <v>18048243.657351956</v>
      </c>
      <c r="S527" s="222">
        <f>+'Perfil - interna'!S527+'Perfil - externa'!S525</f>
        <v>16212735.135373723</v>
      </c>
      <c r="T527" s="222">
        <f>+'Perfil - interna'!T527+'Perfil - externa'!T525</f>
        <v>15515580.031135982</v>
      </c>
      <c r="U527" s="222">
        <f>+'Perfil - interna'!U527+'Perfil - externa'!U525</f>
        <v>13764091.832145555</v>
      </c>
      <c r="V527" s="222">
        <f>+'Perfil - interna'!V527+'Perfil - externa'!V525</f>
        <v>12289165.013965011</v>
      </c>
      <c r="W527" s="222">
        <f>+'Perfil - interna'!W527+'Perfil - externa'!W525</f>
        <v>10764451.223368224</v>
      </c>
      <c r="X527" s="222">
        <f>+'Perfil - interna'!X527+'Perfil - externa'!X525</f>
        <v>9896088.9442885704</v>
      </c>
      <c r="Y527" s="222">
        <f>+'Perfil - interna'!Y527+'Perfil - externa'!Y525</f>
        <v>8898997.3695805501</v>
      </c>
      <c r="Z527" s="222">
        <f>+'Perfil - interna'!Z527+'Perfil - externa'!Z525</f>
        <v>7781658.4218261689</v>
      </c>
      <c r="AA527" s="222">
        <f>+'Perfil - interna'!AA527+'Perfil - externa'!AA525</f>
        <v>4924442.2963845488</v>
      </c>
      <c r="AB527" s="222">
        <f>+'Perfil - interna'!AB527+'Perfil - externa'!AB525</f>
        <v>4675695.7958109621</v>
      </c>
      <c r="AC527" s="222">
        <f>+'Perfil - interna'!AC527+'Perfil - externa'!AC525</f>
        <v>3955285.3393685557</v>
      </c>
      <c r="AD527" s="222">
        <f>+'Perfil - interna'!AD527+'Perfil - externa'!AD525</f>
        <v>3680651.466766234</v>
      </c>
      <c r="AE527" s="222">
        <f>+'Perfil - interna'!AE527+'Perfil - externa'!AE525</f>
        <v>2802558.3064532671</v>
      </c>
      <c r="AF527" s="222">
        <f>+'Perfil - interna'!AF527+'Perfil - externa'!AF525</f>
        <v>2731386.3253919696</v>
      </c>
      <c r="AG527" s="222">
        <f>+'Perfil - interna'!AG527+'Perfil - externa'!AG525</f>
        <v>2134214.2079735752</v>
      </c>
      <c r="AH527" s="222">
        <f>+'Perfil - interna'!AH527+'Perfil - externa'!AH525</f>
        <v>2049472.6310359945</v>
      </c>
      <c r="AI527" s="222">
        <f>+'Perfil - interna'!AI527+'Perfil - externa'!AI525</f>
        <v>1953088.5035414947</v>
      </c>
      <c r="AJ527" s="222">
        <f>+'Perfil - interna'!AJ527+'Perfil - externa'!AJ525</f>
        <v>1550209.1071325277</v>
      </c>
      <c r="AK527" s="222">
        <f>+'Perfil - interna'!AK527+'Perfil - externa'!AK525</f>
        <v>1466994.4846955773</v>
      </c>
      <c r="AL527" s="222">
        <f>+'Perfil - interna'!AL527+'Perfil - externa'!AL525</f>
        <v>1456302.2515411028</v>
      </c>
      <c r="AM527" s="222">
        <f>+'Perfil - interna'!AM527+'Perfil - externa'!AM525</f>
        <v>1448375.881252697</v>
      </c>
      <c r="AN527" s="222">
        <f>+'Perfil - interna'!AN527+'Perfil - externa'!AN525</f>
        <v>1097925.8622332735</v>
      </c>
      <c r="AO527" s="222">
        <f>+'Perfil - interna'!AO527+'Perfil - externa'!AO525</f>
        <v>1095740.5289763187</v>
      </c>
      <c r="AP527" s="222">
        <f>+'Perfil - interna'!AP527+'Perfil - externa'!AP525</f>
        <v>1093820.2660957614</v>
      </c>
      <c r="AQ527" s="222">
        <f>+'Perfil - interna'!AQ527+'Perfil - externa'!AQ525</f>
        <v>884635.97001462895</v>
      </c>
      <c r="AR527" s="222">
        <f>+'Perfil - interna'!AR527+'Perfil - externa'!AR525</f>
        <v>686709.01049151411</v>
      </c>
      <c r="AS527" s="222">
        <f>+'Perfil - interna'!AS527+'Perfil - externa'!AS525</f>
        <v>686704.53534339939</v>
      </c>
      <c r="AT527" s="222">
        <f>+'Perfil - interna'!AT527+'Perfil - externa'!AT525</f>
        <v>504934.59301470313</v>
      </c>
      <c r="AU527" s="222">
        <f>+'Perfil - interna'!AU527+'Perfil - externa'!AU525</f>
        <v>161595.11629716985</v>
      </c>
      <c r="AV527" s="222">
        <f>+'Perfil - interna'!AV527+'Perfil - externa'!AV525</f>
        <v>0</v>
      </c>
      <c r="AW527" s="222">
        <f>+'Perfil - interna'!AW527+'Perfil - externa'!AW525</f>
        <v>0</v>
      </c>
      <c r="AX527" s="222"/>
      <c r="AY527" s="222"/>
      <c r="AZ527" s="222"/>
      <c r="BA527" s="222"/>
      <c r="BB527" s="222"/>
      <c r="BC527" s="222"/>
      <c r="BD527" s="222"/>
      <c r="BE527" s="222"/>
      <c r="BF527" s="222"/>
      <c r="BG527" s="222"/>
      <c r="BH527" s="222"/>
      <c r="BI527" s="222"/>
      <c r="BJ527" s="222"/>
      <c r="BK527" s="222"/>
    </row>
    <row r="528" spans="1:63">
      <c r="A528" s="171"/>
      <c r="B528" s="318" t="str">
        <f>Servicio_internaColumna_título_total</f>
        <v>Total</v>
      </c>
      <c r="C528" s="319"/>
      <c r="D528" s="320"/>
      <c r="E528" s="320"/>
      <c r="F528" s="320"/>
      <c r="G528" s="320"/>
      <c r="H528" s="320"/>
      <c r="I528" s="320"/>
      <c r="J528" s="320"/>
      <c r="K528" s="320"/>
      <c r="L528" s="320"/>
      <c r="M528" s="320"/>
      <c r="N528" s="320"/>
      <c r="O528" s="320"/>
      <c r="P528" s="320"/>
      <c r="Q528" s="320">
        <f>+'Perfil - interna'!Q528+'Perfil - externa'!Q526</f>
        <v>37028355.954225726</v>
      </c>
      <c r="R528" s="320">
        <f>+'Perfil - interna'!R528+'Perfil - externa'!R526</f>
        <v>46424377.168150835</v>
      </c>
      <c r="S528" s="320">
        <f>+'Perfil - interna'!S528+'Perfil - externa'!S526</f>
        <v>33966868.764512494</v>
      </c>
      <c r="T528" s="320">
        <f>+'Perfil - interna'!T528+'Perfil - externa'!T526</f>
        <v>37530047.189215913</v>
      </c>
      <c r="U528" s="320">
        <f>+'Perfil - interna'!U528+'Perfil - externa'!U526</f>
        <v>41704091.569271326</v>
      </c>
      <c r="V528" s="320">
        <f>+'Perfil - interna'!V528+'Perfil - externa'!V526</f>
        <v>30255724.891810793</v>
      </c>
      <c r="W528" s="320">
        <f>+'Perfil - interna'!W528+'Perfil - externa'!W526</f>
        <v>30399135.470322046</v>
      </c>
      <c r="X528" s="320">
        <f>+'Perfil - interna'!X528+'Perfil - externa'!X526</f>
        <v>23596794.335364457</v>
      </c>
      <c r="Y528" s="320">
        <f>+'Perfil - interna'!Y528+'Perfil - externa'!Y526</f>
        <v>27476836.21476249</v>
      </c>
      <c r="Z528" s="320">
        <f>+'Perfil - interna'!Z528+'Perfil - externa'!Z526</f>
        <v>43260042.627725817</v>
      </c>
      <c r="AA528" s="320">
        <f>+'Perfil - interna'!AA528+'Perfil - externa'!AA526</f>
        <v>9870204.8938965127</v>
      </c>
      <c r="AB528" s="320">
        <f>+'Perfil - interna'!AB528+'Perfil - externa'!AB526</f>
        <v>15227911.226586679</v>
      </c>
      <c r="AC528" s="320">
        <f>+'Perfil - interna'!AC528+'Perfil - externa'!AC526</f>
        <v>8501735.4601019658</v>
      </c>
      <c r="AD528" s="320">
        <f>+'Perfil - interna'!AD528+'Perfil - externa'!AD526</f>
        <v>18873913.146314304</v>
      </c>
      <c r="AE528" s="320">
        <f>+'Perfil - interna'!AE528+'Perfil - externa'!AE526</f>
        <v>4784516.8461381011</v>
      </c>
      <c r="AF528" s="320">
        <f>+'Perfil - interna'!AF528+'Perfil - externa'!AF526</f>
        <v>10703509.191152344</v>
      </c>
      <c r="AG528" s="320">
        <f>+'Perfil - interna'!AG528+'Perfil - externa'!AG526</f>
        <v>4694612.5168208601</v>
      </c>
      <c r="AH528" s="320">
        <f>+'Perfil - interna'!AH528+'Perfil - externa'!AH526</f>
        <v>4562026.4603507649</v>
      </c>
      <c r="AI528" s="320">
        <f>+'Perfil - interna'!AI528+'Perfil - externa'!AI526</f>
        <v>9961045.1304505151</v>
      </c>
      <c r="AJ528" s="320">
        <f>+'Perfil - interna'!AJ528+'Perfil - externa'!AJ526</f>
        <v>3673993.8551943297</v>
      </c>
      <c r="AK528" s="320">
        <f>+'Perfil - interna'!AK528+'Perfil - externa'!AK526</f>
        <v>1697566.320992673</v>
      </c>
      <c r="AL528" s="320">
        <f>+'Perfil - interna'!AL528+'Perfil - externa'!AL526</f>
        <v>1613399.9250716937</v>
      </c>
      <c r="AM528" s="320">
        <f>+'Perfil - interna'!AM528+'Perfil - externa'!AM526</f>
        <v>6219478.9289813191</v>
      </c>
      <c r="AN528" s="320">
        <f>+'Perfil - interna'!AN528+'Perfil - externa'!AN526</f>
        <v>1101144.9272037905</v>
      </c>
      <c r="AO528" s="320">
        <f>+'Perfil - interna'!AO528+'Perfil - externa'!AO526</f>
        <v>1098959.5939468357</v>
      </c>
      <c r="AP528" s="320">
        <f>+'Perfil - interna'!AP528+'Perfil - externa'!AP526</f>
        <v>1097039.3310662785</v>
      </c>
      <c r="AQ528" s="320">
        <f>+'Perfil - interna'!AQ528+'Perfil - externa'!AQ526</f>
        <v>7350630.0349851465</v>
      </c>
      <c r="AR528" s="320">
        <f>+'Perfil - interna'!AR528+'Perfil - externa'!AR526</f>
        <v>689928.07546203129</v>
      </c>
      <c r="AS528" s="320">
        <f>+'Perfil - interna'!AS528+'Perfil - externa'!AS526</f>
        <v>689923.60031391657</v>
      </c>
      <c r="AT528" s="320">
        <f>+'Perfil - interna'!AT528+'Perfil - externa'!AT526</f>
        <v>6970029.4944755239</v>
      </c>
      <c r="AU528" s="320">
        <f>+'Perfil - interna'!AU528+'Perfil - externa'!AU526</f>
        <v>6626690.0177579904</v>
      </c>
      <c r="AV528" s="320">
        <f>+'Perfil - interna'!AV528+'Perfil - externa'!AV526</f>
        <v>0</v>
      </c>
      <c r="AW528" s="320">
        <f>+'Perfil - interna'!AW528+'Perfil - externa'!AW526</f>
        <v>0</v>
      </c>
      <c r="AX528" s="320"/>
      <c r="AY528" s="320"/>
      <c r="AZ528" s="320"/>
      <c r="BA528" s="320"/>
      <c r="BB528" s="320"/>
      <c r="BC528" s="320"/>
      <c r="BD528" s="320"/>
      <c r="BE528" s="320"/>
      <c r="BF528" s="320"/>
      <c r="BG528" s="320"/>
      <c r="BH528" s="320"/>
      <c r="BI528" s="320"/>
      <c r="BJ528" s="320"/>
      <c r="BK528" s="320"/>
    </row>
    <row r="529" spans="1:63">
      <c r="A529" s="167"/>
      <c r="B529" s="217" t="str">
        <f>Servicio_internaColumna_título_amortizaciones</f>
        <v>Amortizaciones</v>
      </c>
      <c r="C529" s="218"/>
      <c r="D529" s="219"/>
      <c r="E529" s="219"/>
      <c r="F529" s="219"/>
      <c r="G529" s="219"/>
      <c r="H529" s="219"/>
      <c r="I529" s="219"/>
      <c r="J529" s="219"/>
      <c r="K529" s="219"/>
      <c r="L529" s="219"/>
      <c r="M529" s="219"/>
      <c r="N529" s="219"/>
      <c r="O529" s="219"/>
      <c r="P529" s="219"/>
      <c r="Q529" s="219">
        <f>+'Perfil - interna'!Q529+'Perfil - externa'!Q527</f>
        <v>18341145.756573793</v>
      </c>
      <c r="R529" s="219">
        <f>+'Perfil - interna'!R529+'Perfil - externa'!R527</f>
        <v>28448219.521693431</v>
      </c>
      <c r="S529" s="219">
        <f>+'Perfil - interna'!S529+'Perfil - externa'!S527</f>
        <v>18537064.710450195</v>
      </c>
      <c r="T529" s="219">
        <f>+'Perfil - interna'!T529+'Perfil - externa'!T527</f>
        <v>22229475.860511553</v>
      </c>
      <c r="U529" s="219">
        <f>+'Perfil - interna'!U529+'Perfil - externa'!U527</f>
        <v>29293309.306424342</v>
      </c>
      <c r="V529" s="219">
        <f>+'Perfil - interna'!V529+'Perfil - externa'!V527</f>
        <v>19827298.053861689</v>
      </c>
      <c r="W529" s="219">
        <f>+'Perfil - interna'!W529+'Perfil - externa'!W527</f>
        <v>20515018.043124944</v>
      </c>
      <c r="X529" s="219">
        <f>+'Perfil - interna'!X529+'Perfil - externa'!X527</f>
        <v>13882395.589257572</v>
      </c>
      <c r="Y529" s="219">
        <f>+'Perfil - interna'!Y529+'Perfil - externa'!Y527</f>
        <v>19059869.810764324</v>
      </c>
      <c r="Z529" s="219">
        <f>+'Perfil - interna'!Z529+'Perfil - externa'!Z527</f>
        <v>36520387.278367497</v>
      </c>
      <c r="AA529" s="219">
        <f>+'Perfil - interna'!AA529+'Perfil - externa'!AA527</f>
        <v>5611229.9783280641</v>
      </c>
      <c r="AB529" s="219">
        <f>+'Perfil - interna'!AB529+'Perfil - externa'!AB527</f>
        <v>11548017.717310619</v>
      </c>
      <c r="AC529" s="219">
        <f>+'Perfil - interna'!AC529+'Perfil - externa'!AC527</f>
        <v>4833983.6824979465</v>
      </c>
      <c r="AD529" s="219">
        <f>+'Perfil - interna'!AD529+'Perfil - externa'!AD527</f>
        <v>15346086.126361709</v>
      </c>
      <c r="AE529" s="219">
        <f>+'Perfil - interna'!AE529+'Perfil - externa'!AE527</f>
        <v>2201083.287374266</v>
      </c>
      <c r="AF529" s="219">
        <f>+'Perfil - interna'!AF529+'Perfil - externa'!AF527</f>
        <v>8749467.0792255569</v>
      </c>
      <c r="AG529" s="219">
        <f>+'Perfil - interna'!AG529+'Perfil - externa'!AG527</f>
        <v>2841381.6434380924</v>
      </c>
      <c r="AH529" s="219">
        <f>+'Perfil - interna'!AH529+'Perfil - externa'!AH527</f>
        <v>2788532.4870777619</v>
      </c>
      <c r="AI529" s="219">
        <f>+'Perfil - interna'!AI529+'Perfil - externa'!AI527</f>
        <v>8339944.957844561</v>
      </c>
      <c r="AJ529" s="219">
        <f>+'Perfil - interna'!AJ529+'Perfil - externa'!AJ527</f>
        <v>2354713.2518905532</v>
      </c>
      <c r="AK529" s="219">
        <f>+'Perfil - interna'!AK529+'Perfil - externa'!AK527</f>
        <v>255760.42836114138</v>
      </c>
      <c r="AL529" s="219">
        <f>+'Perfil - interna'!AL529+'Perfil - externa'!AL527</f>
        <v>174301.6550573695</v>
      </c>
      <c r="AM529" s="219">
        <f>+'Perfil - interna'!AM529+'Perfil - externa'!AM527</f>
        <v>5289725.436566228</v>
      </c>
      <c r="AN529" s="219">
        <f>+'Perfil - interna'!AN529+'Perfil - externa'!AN527</f>
        <v>3563.1403178895157</v>
      </c>
      <c r="AO529" s="219">
        <f>+'Perfil - interna'!AO529+'Perfil - externa'!AO527</f>
        <v>3563.1403178895157</v>
      </c>
      <c r="AP529" s="219">
        <f>+'Perfil - interna'!AP529+'Perfil - externa'!AP527</f>
        <v>3563.1403178895157</v>
      </c>
      <c r="AQ529" s="219">
        <f>+'Perfil - interna'!AQ529+'Perfil - externa'!AQ527</f>
        <v>7168663.1403178899</v>
      </c>
      <c r="AR529" s="219">
        <f>+'Perfil - interna'!AR529+'Perfil - externa'!AR527</f>
        <v>3563.1403178895157</v>
      </c>
      <c r="AS529" s="219">
        <f>+'Perfil - interna'!AS529+'Perfil - externa'!AS527</f>
        <v>3563.1403178895157</v>
      </c>
      <c r="AT529" s="219">
        <f>+'Perfil - interna'!AT529+'Perfil - externa'!AT527</f>
        <v>7167666.2625891538</v>
      </c>
      <c r="AU529" s="219">
        <f>+'Perfil - interna'!AU529+'Perfil - externa'!AU527</f>
        <v>7167666.2625891538</v>
      </c>
      <c r="AV529" s="219">
        <f>+'Perfil - interna'!AV529+'Perfil - externa'!AV527</f>
        <v>0</v>
      </c>
      <c r="AW529" s="219">
        <f>+'Perfil - interna'!AW529+'Perfil - externa'!AW527</f>
        <v>0</v>
      </c>
      <c r="AX529" s="219"/>
      <c r="AY529" s="219"/>
      <c r="AZ529" s="219"/>
      <c r="BA529" s="219"/>
      <c r="BB529" s="219"/>
      <c r="BC529" s="219"/>
      <c r="BD529" s="219"/>
      <c r="BE529" s="219"/>
      <c r="BF529" s="219"/>
      <c r="BG529" s="219"/>
      <c r="BH529" s="219"/>
      <c r="BI529" s="219"/>
      <c r="BJ529" s="219"/>
      <c r="BK529" s="219"/>
    </row>
    <row r="530" spans="1:63">
      <c r="A530" s="170">
        <v>42216</v>
      </c>
      <c r="B530" s="220" t="str">
        <f>Servicio_internaColumna_título_intereses</f>
        <v>Intereses</v>
      </c>
      <c r="C530" s="221"/>
      <c r="D530" s="222"/>
      <c r="E530" s="222"/>
      <c r="F530" s="222"/>
      <c r="G530" s="222"/>
      <c r="H530" s="222"/>
      <c r="I530" s="222"/>
      <c r="J530" s="222"/>
      <c r="K530" s="222"/>
      <c r="L530" s="222"/>
      <c r="M530" s="222"/>
      <c r="N530" s="222"/>
      <c r="O530" s="222"/>
      <c r="P530" s="222"/>
      <c r="Q530" s="222">
        <f>+'Perfil - interna'!Q530+'Perfil - externa'!Q528</f>
        <v>6816253.188852571</v>
      </c>
      <c r="R530" s="222">
        <f>+'Perfil - interna'!R530+'Perfil - externa'!R528</f>
        <v>18746657.697413292</v>
      </c>
      <c r="S530" s="222">
        <f>+'Perfil - interna'!S530+'Perfil - externa'!S528</f>
        <v>16967498.956742391</v>
      </c>
      <c r="T530" s="222">
        <f>+'Perfil - interna'!T530+'Perfil - externa'!T528</f>
        <v>16196310.596727163</v>
      </c>
      <c r="U530" s="222">
        <f>+'Perfil - interna'!U530+'Perfil - externa'!U528</f>
        <v>14438231.081642807</v>
      </c>
      <c r="V530" s="222">
        <f>+'Perfil - interna'!V530+'Perfil - externa'!V528</f>
        <v>12888218.096532464</v>
      </c>
      <c r="W530" s="222">
        <f>+'Perfil - interna'!W530+'Perfil - externa'!W528</f>
        <v>11182063.966338878</v>
      </c>
      <c r="X530" s="222">
        <f>+'Perfil - interna'!X530+'Perfil - externa'!X528</f>
        <v>10298168.053374581</v>
      </c>
      <c r="Y530" s="222">
        <f>+'Perfil - interna'!Y530+'Perfil - externa'!Y528</f>
        <v>9283395.1546617113</v>
      </c>
      <c r="Z530" s="222">
        <f>+'Perfil - interna'!Z530+'Perfil - externa'!Z528</f>
        <v>8133683.601479603</v>
      </c>
      <c r="AA530" s="222">
        <f>+'Perfil - interna'!AA530+'Perfil - externa'!AA528</f>
        <v>5258958.194580107</v>
      </c>
      <c r="AB530" s="222">
        <f>+'Perfil - interna'!AB530+'Perfil - externa'!AB528</f>
        <v>4985270.5039629154</v>
      </c>
      <c r="AC530" s="222">
        <f>+'Perfil - interna'!AC530+'Perfil - externa'!AC528</f>
        <v>4197849.3779779645</v>
      </c>
      <c r="AD530" s="222">
        <f>+'Perfil - interna'!AD530+'Perfil - externa'!AD528</f>
        <v>3917876.3530779299</v>
      </c>
      <c r="AE530" s="222">
        <f>+'Perfil - interna'!AE530+'Perfil - externa'!AE528</f>
        <v>3035518.9372994094</v>
      </c>
      <c r="AF530" s="222">
        <f>+'Perfil - interna'!AF530+'Perfil - externa'!AF528</f>
        <v>2968656.2768606506</v>
      </c>
      <c r="AG530" s="222">
        <f>+'Perfil - interna'!AG530+'Perfil - externa'!AG528</f>
        <v>2319543.9434010573</v>
      </c>
      <c r="AH530" s="222">
        <f>+'Perfil - interna'!AH530+'Perfil - externa'!AH528</f>
        <v>2230689.9014021852</v>
      </c>
      <c r="AI530" s="222">
        <f>+'Perfil - interna'!AI530+'Perfil - externa'!AI528</f>
        <v>2126562.7333922875</v>
      </c>
      <c r="AJ530" s="222">
        <f>+'Perfil - interna'!AJ530+'Perfil - externa'!AJ528</f>
        <v>1709252.336507404</v>
      </c>
      <c r="AK530" s="222">
        <f>+'Perfil - interna'!AK530+'Perfil - externa'!AK528</f>
        <v>1622912.3480327895</v>
      </c>
      <c r="AL530" s="222">
        <f>+'Perfil - interna'!AL530+'Perfil - externa'!AL528</f>
        <v>1611880.3243425058</v>
      </c>
      <c r="AM530" s="222">
        <f>+'Perfil - interna'!AM530+'Perfil - externa'!AM528</f>
        <v>1603727.6138652125</v>
      </c>
      <c r="AN530" s="222">
        <f>+'Perfil - interna'!AN530+'Perfil - externa'!AN528</f>
        <v>1215571.5013750347</v>
      </c>
      <c r="AO530" s="222">
        <f>+'Perfil - interna'!AO530+'Perfil - externa'!AO528</f>
        <v>1213385.6817931808</v>
      </c>
      <c r="AP530" s="222">
        <f>+'Perfil - interna'!AP530+'Perfil - externa'!AP528</f>
        <v>1211464.9465778926</v>
      </c>
      <c r="AQ530" s="222">
        <f>+'Perfil - interna'!AQ530+'Perfil - externa'!AQ528</f>
        <v>980771.44705669279</v>
      </c>
      <c r="AR530" s="222">
        <f>+'Perfil - interna'!AR530+'Perfil - externa'!AR528</f>
        <v>761335.29808367894</v>
      </c>
      <c r="AS530" s="222">
        <f>+'Perfil - interna'!AS530+'Perfil - externa'!AS528</f>
        <v>761330.33661066508</v>
      </c>
      <c r="AT530" s="222">
        <f>+'Perfil - interna'!AT530+'Perfil - externa'!AT528</f>
        <v>559807.02599265019</v>
      </c>
      <c r="AU530" s="222">
        <f>+'Perfil - interna'!AU530+'Perfil - externa'!AU528</f>
        <v>179156.03866463737</v>
      </c>
      <c r="AV530" s="222">
        <f>+'Perfil - interna'!AV530+'Perfil - externa'!AV528</f>
        <v>0</v>
      </c>
      <c r="AW530" s="222">
        <f>+'Perfil - interna'!AW530+'Perfil - externa'!AW528</f>
        <v>0</v>
      </c>
      <c r="AX530" s="222"/>
      <c r="AY530" s="222"/>
      <c r="AZ530" s="222"/>
      <c r="BA530" s="222"/>
      <c r="BB530" s="222"/>
      <c r="BC530" s="222"/>
      <c r="BD530" s="222"/>
      <c r="BE530" s="222"/>
      <c r="BF530" s="222"/>
      <c r="BG530" s="222"/>
      <c r="BH530" s="222"/>
      <c r="BI530" s="222"/>
      <c r="BJ530" s="222"/>
      <c r="BK530" s="222"/>
    </row>
    <row r="531" spans="1:63">
      <c r="A531" s="171"/>
      <c r="B531" s="318" t="str">
        <f>Servicio_internaColumna_título_total</f>
        <v>Total</v>
      </c>
      <c r="C531" s="319"/>
      <c r="D531" s="320"/>
      <c r="E531" s="320"/>
      <c r="F531" s="320"/>
      <c r="G531" s="320"/>
      <c r="H531" s="320"/>
      <c r="I531" s="320"/>
      <c r="J531" s="320"/>
      <c r="K531" s="320"/>
      <c r="L531" s="320"/>
      <c r="M531" s="320"/>
      <c r="N531" s="320"/>
      <c r="O531" s="320"/>
      <c r="P531" s="320"/>
      <c r="Q531" s="320">
        <f>+'Perfil - interna'!Q531+'Perfil - externa'!Q529</f>
        <v>25157398.945426363</v>
      </c>
      <c r="R531" s="320">
        <f>+'Perfil - interna'!R531+'Perfil - externa'!R529</f>
        <v>47194877.219106719</v>
      </c>
      <c r="S531" s="320">
        <f>+'Perfil - interna'!S531+'Perfil - externa'!S529</f>
        <v>35504563.667192586</v>
      </c>
      <c r="T531" s="320">
        <f>+'Perfil - interna'!T531+'Perfil - externa'!T529</f>
        <v>38425786.457238719</v>
      </c>
      <c r="U531" s="320">
        <f>+'Perfil - interna'!U531+'Perfil - externa'!U529</f>
        <v>43731540.388067149</v>
      </c>
      <c r="V531" s="320">
        <f>+'Perfil - interna'!V531+'Perfil - externa'!V529</f>
        <v>32715516.150394153</v>
      </c>
      <c r="W531" s="320">
        <f>+'Perfil - interna'!W531+'Perfil - externa'!W529</f>
        <v>31697082.009463821</v>
      </c>
      <c r="X531" s="320">
        <f>+'Perfil - interna'!X531+'Perfil - externa'!X529</f>
        <v>24180563.642632157</v>
      </c>
      <c r="Y531" s="320">
        <f>+'Perfil - interna'!Y531+'Perfil - externa'!Y529</f>
        <v>28343264.965426035</v>
      </c>
      <c r="Z531" s="320">
        <f>+'Perfil - interna'!Z531+'Perfil - externa'!Z529</f>
        <v>44654070.879847102</v>
      </c>
      <c r="AA531" s="320">
        <f>+'Perfil - interna'!AA531+'Perfil - externa'!AA529</f>
        <v>10870188.172908172</v>
      </c>
      <c r="AB531" s="320">
        <f>+'Perfil - interna'!AB531+'Perfil - externa'!AB529</f>
        <v>16533288.221273534</v>
      </c>
      <c r="AC531" s="320">
        <f>+'Perfil - interna'!AC531+'Perfil - externa'!AC529</f>
        <v>9031833.0604759119</v>
      </c>
      <c r="AD531" s="320">
        <f>+'Perfil - interna'!AD531+'Perfil - externa'!AD529</f>
        <v>19263962.479439639</v>
      </c>
      <c r="AE531" s="320">
        <f>+'Perfil - interna'!AE531+'Perfil - externa'!AE529</f>
        <v>5236602.2246736754</v>
      </c>
      <c r="AF531" s="320">
        <f>+'Perfil - interna'!AF531+'Perfil - externa'!AF529</f>
        <v>11718123.356086209</v>
      </c>
      <c r="AG531" s="320">
        <f>+'Perfil - interna'!AG531+'Perfil - externa'!AG529</f>
        <v>5160925.5868391497</v>
      </c>
      <c r="AH531" s="320">
        <f>+'Perfil - interna'!AH531+'Perfil - externa'!AH529</f>
        <v>5019222.3884799471</v>
      </c>
      <c r="AI531" s="320">
        <f>+'Perfil - interna'!AI531+'Perfil - externa'!AI529</f>
        <v>10466507.69123685</v>
      </c>
      <c r="AJ531" s="320">
        <f>+'Perfil - interna'!AJ531+'Perfil - externa'!AJ529</f>
        <v>4063965.5883979574</v>
      </c>
      <c r="AK531" s="320">
        <f>+'Perfil - interna'!AK531+'Perfil - externa'!AK529</f>
        <v>1878672.7763939309</v>
      </c>
      <c r="AL531" s="320">
        <f>+'Perfil - interna'!AL531+'Perfil - externa'!AL529</f>
        <v>1786181.9793998753</v>
      </c>
      <c r="AM531" s="320">
        <f>+'Perfil - interna'!AM531+'Perfil - externa'!AM529</f>
        <v>6893453.0504314406</v>
      </c>
      <c r="AN531" s="320">
        <f>+'Perfil - interna'!AN531+'Perfil - externa'!AN529</f>
        <v>1219134.6416929243</v>
      </c>
      <c r="AO531" s="320">
        <f>+'Perfil - interna'!AO531+'Perfil - externa'!AO529</f>
        <v>1216948.8221110704</v>
      </c>
      <c r="AP531" s="320">
        <f>+'Perfil - interna'!AP531+'Perfil - externa'!AP529</f>
        <v>1215028.0868957823</v>
      </c>
      <c r="AQ531" s="320">
        <f>+'Perfil - interna'!AQ531+'Perfil - externa'!AQ529</f>
        <v>8149434.5873745829</v>
      </c>
      <c r="AR531" s="320">
        <f>+'Perfil - interna'!AR531+'Perfil - externa'!AR529</f>
        <v>764898.43840156845</v>
      </c>
      <c r="AS531" s="320">
        <f>+'Perfil - interna'!AS531+'Perfil - externa'!AS529</f>
        <v>764893.47692855459</v>
      </c>
      <c r="AT531" s="320">
        <f>+'Perfil - interna'!AT531+'Perfil - externa'!AT529</f>
        <v>7727473.2885818044</v>
      </c>
      <c r="AU531" s="320">
        <f>+'Perfil - interna'!AU531+'Perfil - externa'!AU529</f>
        <v>7346822.301253791</v>
      </c>
      <c r="AV531" s="320">
        <f>+'Perfil - interna'!AV531+'Perfil - externa'!AV529</f>
        <v>0</v>
      </c>
      <c r="AW531" s="320">
        <f>+'Perfil - interna'!AW531+'Perfil - externa'!AW529</f>
        <v>0</v>
      </c>
      <c r="AX531" s="320"/>
      <c r="AY531" s="320"/>
      <c r="AZ531" s="320"/>
      <c r="BA531" s="320"/>
      <c r="BB531" s="320"/>
      <c r="BC531" s="320"/>
      <c r="BD531" s="320"/>
      <c r="BE531" s="320"/>
      <c r="BF531" s="320"/>
      <c r="BG531" s="320"/>
      <c r="BH531" s="320"/>
      <c r="BI531" s="320"/>
      <c r="BJ531" s="320"/>
      <c r="BK531" s="320"/>
    </row>
    <row r="532" spans="1:63">
      <c r="A532" s="167"/>
      <c r="B532" s="217" t="str">
        <f>Servicio_internaColumna_título_amortizaciones</f>
        <v>Amortizaciones</v>
      </c>
      <c r="C532" s="218"/>
      <c r="D532" s="219"/>
      <c r="E532" s="219"/>
      <c r="F532" s="219"/>
      <c r="G532" s="219"/>
      <c r="H532" s="219"/>
      <c r="I532" s="219"/>
      <c r="J532" s="219"/>
      <c r="K532" s="219"/>
      <c r="L532" s="219"/>
      <c r="M532" s="219"/>
      <c r="N532" s="219"/>
      <c r="O532" s="219"/>
      <c r="P532" s="219"/>
      <c r="Q532" s="219">
        <f>+'Perfil - interna'!Q532+'Perfil - externa'!Q530</f>
        <v>18620659.350588571</v>
      </c>
      <c r="R532" s="219">
        <f>+'Perfil - interna'!R532+'Perfil - externa'!R530</f>
        <v>28062482.570612147</v>
      </c>
      <c r="S532" s="219">
        <f>+'Perfil - interna'!S532+'Perfil - externa'!S530</f>
        <v>19367224.57935081</v>
      </c>
      <c r="T532" s="219">
        <f>+'Perfil - interna'!T532+'Perfil - externa'!T530</f>
        <v>22396146.440273881</v>
      </c>
      <c r="U532" s="219">
        <f>+'Perfil - interna'!U532+'Perfil - externa'!U530</f>
        <v>30553574.017277226</v>
      </c>
      <c r="V532" s="219">
        <f>+'Perfil - interna'!V532+'Perfil - externa'!V530</f>
        <v>20658596.34963394</v>
      </c>
      <c r="W532" s="219">
        <f>+'Perfil - interna'!W532+'Perfil - externa'!W530</f>
        <v>21178792.791417144</v>
      </c>
      <c r="X532" s="219">
        <f>+'Perfil - interna'!X532+'Perfil - externa'!X530</f>
        <v>13969248.580557313</v>
      </c>
      <c r="Y532" s="219">
        <f>+'Perfil - interna'!Y532+'Perfil - externa'!Y530</f>
        <v>19398728.312469333</v>
      </c>
      <c r="Z532" s="219">
        <f>+'Perfil - interna'!Z532+'Perfil - externa'!Z530</f>
        <v>37328398.258278832</v>
      </c>
      <c r="AA532" s="219">
        <f>+'Perfil - interna'!AA532+'Perfil - externa'!AA530</f>
        <v>6049271.4484388027</v>
      </c>
      <c r="AB532" s="219">
        <f>+'Perfil - interna'!AB532+'Perfil - externa'!AB530</f>
        <v>12445164.709374597</v>
      </c>
      <c r="AC532" s="219">
        <f>+'Perfil - interna'!AC532+'Perfil - externa'!AC530</f>
        <v>5010285.6845767926</v>
      </c>
      <c r="AD532" s="219">
        <f>+'Perfil - interna'!AD532+'Perfil - externa'!AD530</f>
        <v>15420978.296013821</v>
      </c>
      <c r="AE532" s="219">
        <f>+'Perfil - interna'!AE532+'Perfil - externa'!AE530</f>
        <v>2321264.7046602564</v>
      </c>
      <c r="AF532" s="219">
        <f>+'Perfil - interna'!AF532+'Perfil - externa'!AF530</f>
        <v>9225186.5884901993</v>
      </c>
      <c r="AG532" s="219">
        <f>+'Perfil - interna'!AG532+'Perfil - externa'!AG530</f>
        <v>3012539.2294229059</v>
      </c>
      <c r="AH532" s="219">
        <f>+'Perfil - interna'!AH532+'Perfil - externa'!AH530</f>
        <v>2955355.6176139214</v>
      </c>
      <c r="AI532" s="219">
        <f>+'Perfil - interna'!AI532+'Perfil - externa'!AI530</f>
        <v>8494495.5841781944</v>
      </c>
      <c r="AJ532" s="219">
        <f>+'Perfil - interna'!AJ532+'Perfil - externa'!AJ530</f>
        <v>2547978.4360815454</v>
      </c>
      <c r="AK532" s="219">
        <f>+'Perfil - interna'!AK532+'Perfil - externa'!AK530</f>
        <v>276878.73019919236</v>
      </c>
      <c r="AL532" s="219">
        <f>+'Perfil - interna'!AL532+'Perfil - externa'!AL530</f>
        <v>188807.76582543962</v>
      </c>
      <c r="AM532" s="219">
        <f>+'Perfil - interna'!AM532+'Perfil - externa'!AM530</f>
        <v>5723774.9081446771</v>
      </c>
      <c r="AN532" s="219">
        <f>+'Perfil - interna'!AN532+'Perfil - externa'!AN530</f>
        <v>4055.0735674727089</v>
      </c>
      <c r="AO532" s="219">
        <f>+'Perfil - interna'!AO532+'Perfil - externa'!AO530</f>
        <v>4055.0735674727089</v>
      </c>
      <c r="AP532" s="219">
        <f>+'Perfil - interna'!AP532+'Perfil - externa'!AP530</f>
        <v>4055.0735674727089</v>
      </c>
      <c r="AQ532" s="219">
        <f>+'Perfil - interna'!AQ532+'Perfil - externa'!AQ530</f>
        <v>7756805.0735674724</v>
      </c>
      <c r="AR532" s="219">
        <f>+'Perfil - interna'!AR532+'Perfil - externa'!AR530</f>
        <v>4055.0735674727089</v>
      </c>
      <c r="AS532" s="219">
        <f>+'Perfil - interna'!AS532+'Perfil - externa'!AS530</f>
        <v>4055.0735674727089</v>
      </c>
      <c r="AT532" s="219">
        <f>+'Perfil - interna'!AT532+'Perfil - externa'!AT530</f>
        <v>7755726.4363102885</v>
      </c>
      <c r="AU532" s="219">
        <f>+'Perfil - interna'!AU532+'Perfil - externa'!AU530</f>
        <v>7755726.4363102885</v>
      </c>
      <c r="AV532" s="219">
        <f>+'Perfil - interna'!AV532+'Perfil - externa'!AV530</f>
        <v>0</v>
      </c>
      <c r="AW532" s="219">
        <f>+'Perfil - interna'!AW532+'Perfil - externa'!AW530</f>
        <v>0</v>
      </c>
      <c r="AX532" s="219"/>
      <c r="AY532" s="219"/>
      <c r="AZ532" s="219"/>
      <c r="BA532" s="219"/>
      <c r="BB532" s="219"/>
      <c r="BC532" s="219"/>
      <c r="BD532" s="219"/>
      <c r="BE532" s="219"/>
      <c r="BF532" s="219"/>
      <c r="BG532" s="219"/>
      <c r="BH532" s="219"/>
      <c r="BI532" s="219"/>
      <c r="BJ532" s="219"/>
      <c r="BK532" s="219"/>
    </row>
    <row r="533" spans="1:63">
      <c r="A533" s="170">
        <v>42247</v>
      </c>
      <c r="B533" s="220" t="str">
        <f>Servicio_internaColumna_título_intereses</f>
        <v>Intereses</v>
      </c>
      <c r="C533" s="221"/>
      <c r="D533" s="222"/>
      <c r="E533" s="222"/>
      <c r="F533" s="222"/>
      <c r="G533" s="222"/>
      <c r="H533" s="222"/>
      <c r="I533" s="222"/>
      <c r="J533" s="222"/>
      <c r="K533" s="222"/>
      <c r="L533" s="222"/>
      <c r="M533" s="222"/>
      <c r="N533" s="222"/>
      <c r="O533" s="222"/>
      <c r="P533" s="222"/>
      <c r="Q533" s="222">
        <f>+'Perfil - interna'!Q533+'Perfil - externa'!Q531</f>
        <v>5598561.9986182116</v>
      </c>
      <c r="R533" s="222">
        <f>+'Perfil - interna'!R533+'Perfil - externa'!R531</f>
        <v>19273724.60142773</v>
      </c>
      <c r="S533" s="222">
        <f>+'Perfil - interna'!S533+'Perfil - externa'!S531</f>
        <v>17532414.432766415</v>
      </c>
      <c r="T533" s="222">
        <f>+'Perfil - interna'!T533+'Perfil - externa'!T531</f>
        <v>16722319.96423143</v>
      </c>
      <c r="U533" s="222">
        <f>+'Perfil - interna'!U533+'Perfil - externa'!U531</f>
        <v>14949832.682583025</v>
      </c>
      <c r="V533" s="222">
        <f>+'Perfil - interna'!V533+'Perfil - externa'!V531</f>
        <v>13342545.648287922</v>
      </c>
      <c r="W533" s="222">
        <f>+'Perfil - interna'!W533+'Perfil - externa'!W531</f>
        <v>11575730.151072897</v>
      </c>
      <c r="X533" s="222">
        <f>+'Perfil - interna'!X533+'Perfil - externa'!X531</f>
        <v>10683562.74220171</v>
      </c>
      <c r="Y533" s="222">
        <f>+'Perfil - interna'!Y533+'Perfil - externa'!Y531</f>
        <v>9642936.5140377581</v>
      </c>
      <c r="Z533" s="222">
        <f>+'Perfil - interna'!Z533+'Perfil - externa'!Z531</f>
        <v>8467712.3807696998</v>
      </c>
      <c r="AA533" s="222">
        <f>+'Perfil - interna'!AA533+'Perfil - externa'!AA531</f>
        <v>5576604.4540704768</v>
      </c>
      <c r="AB533" s="222">
        <f>+'Perfil - interna'!AB533+'Perfil - externa'!AB531</f>
        <v>5274024.0510883592</v>
      </c>
      <c r="AC533" s="222">
        <f>+'Perfil - interna'!AC533+'Perfil - externa'!AC531</f>
        <v>4419641.6851560045</v>
      </c>
      <c r="AD533" s="222">
        <f>+'Perfil - interna'!AD533+'Perfil - externa'!AD531</f>
        <v>4132918.8509437372</v>
      </c>
      <c r="AE533" s="222">
        <f>+'Perfil - interna'!AE533+'Perfil - externa'!AE531</f>
        <v>3245473.158237149</v>
      </c>
      <c r="AF533" s="222">
        <f>+'Perfil - interna'!AF533+'Perfil - externa'!AF531</f>
        <v>3178493.3606457757</v>
      </c>
      <c r="AG533" s="222">
        <f>+'Perfil - interna'!AG533+'Perfil - externa'!AG531</f>
        <v>2483154.3742578006</v>
      </c>
      <c r="AH533" s="222">
        <f>+'Perfil - interna'!AH533+'Perfil - externa'!AH531</f>
        <v>2386848.6810559295</v>
      </c>
      <c r="AI533" s="222">
        <f>+'Perfil - interna'!AI533+'Perfil - externa'!AI531</f>
        <v>2273915.2280753003</v>
      </c>
      <c r="AJ533" s="222">
        <f>+'Perfil - interna'!AJ533+'Perfil - externa'!AJ531</f>
        <v>1847119.8261040421</v>
      </c>
      <c r="AK533" s="222">
        <f>+'Perfil - interna'!AK533+'Perfil - externa'!AK531</f>
        <v>1754023.5556016543</v>
      </c>
      <c r="AL533" s="222">
        <f>+'Perfil - interna'!AL533+'Perfil - externa'!AL531</f>
        <v>1742334.7742557735</v>
      </c>
      <c r="AM533" s="222">
        <f>+'Perfil - interna'!AM533+'Perfil - externa'!AM531</f>
        <v>1733762.7358075483</v>
      </c>
      <c r="AN533" s="222">
        <f>+'Perfil - interna'!AN533+'Perfil - externa'!AN531</f>
        <v>1314008.0654182564</v>
      </c>
      <c r="AO533" s="222">
        <f>+'Perfil - interna'!AO533+'Perfil - externa'!AO531</f>
        <v>1311821.8389181995</v>
      </c>
      <c r="AP533" s="222">
        <f>+'Perfil - interna'!AP533+'Perfil - externa'!AP531</f>
        <v>1309900.7084905747</v>
      </c>
      <c r="AQ533" s="222">
        <f>+'Perfil - interna'!AQ533+'Perfil - externa'!AQ531</f>
        <v>1061210.0090953056</v>
      </c>
      <c r="AR533" s="222">
        <f>+'Perfil - interna'!AR533+'Perfil - externa'!AR531</f>
        <v>823776.67195408884</v>
      </c>
      <c r="AS533" s="222">
        <f>+'Perfil - interna'!AS533+'Perfil - externa'!AS531</f>
        <v>823771.303562872</v>
      </c>
      <c r="AT533" s="222">
        <f>+'Perfil - interna'!AT533+'Perfil - externa'!AT531</f>
        <v>605719.93702314247</v>
      </c>
      <c r="AU533" s="222">
        <f>+'Perfil - interna'!AU533+'Perfil - externa'!AU531</f>
        <v>193849.62928043815</v>
      </c>
      <c r="AV533" s="222">
        <f>+'Perfil - interna'!AV533+'Perfil - externa'!AV531</f>
        <v>0</v>
      </c>
      <c r="AW533" s="222">
        <f>+'Perfil - interna'!AW533+'Perfil - externa'!AW531</f>
        <v>0</v>
      </c>
      <c r="AX533" s="222"/>
      <c r="AY533" s="222"/>
      <c r="AZ533" s="222"/>
      <c r="BA533" s="222"/>
      <c r="BB533" s="222"/>
      <c r="BC533" s="222"/>
      <c r="BD533" s="222"/>
      <c r="BE533" s="222"/>
      <c r="BF533" s="222"/>
      <c r="BG533" s="222"/>
      <c r="BH533" s="222"/>
      <c r="BI533" s="222"/>
      <c r="BJ533" s="222"/>
      <c r="BK533" s="222"/>
    </row>
    <row r="534" spans="1:63">
      <c r="A534" s="171"/>
      <c r="B534" s="318" t="str">
        <f>Servicio_internaColumna_título_total</f>
        <v>Total</v>
      </c>
      <c r="C534" s="319"/>
      <c r="D534" s="320"/>
      <c r="E534" s="320"/>
      <c r="F534" s="320"/>
      <c r="G534" s="320"/>
      <c r="H534" s="320"/>
      <c r="I534" s="320"/>
      <c r="J534" s="320"/>
      <c r="K534" s="320"/>
      <c r="L534" s="320"/>
      <c r="M534" s="320"/>
      <c r="N534" s="320"/>
      <c r="O534" s="320"/>
      <c r="P534" s="320"/>
      <c r="Q534" s="320">
        <f>+'Perfil - interna'!Q534+'Perfil - externa'!Q532</f>
        <v>24219221.349206783</v>
      </c>
      <c r="R534" s="320">
        <f>+'Perfil - interna'!R534+'Perfil - externa'!R532</f>
        <v>47336207.172039881</v>
      </c>
      <c r="S534" s="320">
        <f>+'Perfil - interna'!S534+'Perfil - externa'!S532</f>
        <v>36899639.012117222</v>
      </c>
      <c r="T534" s="320">
        <f>+'Perfil - interna'!T534+'Perfil - externa'!T532</f>
        <v>39118466.404505312</v>
      </c>
      <c r="U534" s="320">
        <f>+'Perfil - interna'!U534+'Perfil - externa'!U532</f>
        <v>45503406.699860252</v>
      </c>
      <c r="V534" s="320">
        <f>+'Perfil - interna'!V534+'Perfil - externa'!V532</f>
        <v>34001141.997921854</v>
      </c>
      <c r="W534" s="320">
        <f>+'Perfil - interna'!W534+'Perfil - externa'!W532</f>
        <v>32754522.942490041</v>
      </c>
      <c r="X534" s="320">
        <f>+'Perfil - interna'!X534+'Perfil - externa'!X532</f>
        <v>24652811.322759025</v>
      </c>
      <c r="Y534" s="320">
        <f>+'Perfil - interna'!Y534+'Perfil - externa'!Y532</f>
        <v>29041664.826507092</v>
      </c>
      <c r="Z534" s="320">
        <f>+'Perfil - interna'!Z534+'Perfil - externa'!Z532</f>
        <v>45796110.639048532</v>
      </c>
      <c r="AA534" s="320">
        <f>+'Perfil - interna'!AA534+'Perfil - externa'!AA532</f>
        <v>11625875.90250928</v>
      </c>
      <c r="AB534" s="320">
        <f>+'Perfil - interna'!AB534+'Perfil - externa'!AB532</f>
        <v>17719188.760462955</v>
      </c>
      <c r="AC534" s="320">
        <f>+'Perfil - interna'!AC534+'Perfil - externa'!AC532</f>
        <v>9429927.3697327971</v>
      </c>
      <c r="AD534" s="320">
        <f>+'Perfil - interna'!AD534+'Perfil - externa'!AD532</f>
        <v>19553897.146957558</v>
      </c>
      <c r="AE534" s="320">
        <f>+'Perfil - interna'!AE534+'Perfil - externa'!AE532</f>
        <v>5566737.8628974054</v>
      </c>
      <c r="AF534" s="320">
        <f>+'Perfil - interna'!AF534+'Perfil - externa'!AF532</f>
        <v>12403679.949135976</v>
      </c>
      <c r="AG534" s="320">
        <f>+'Perfil - interna'!AG534+'Perfil - externa'!AG532</f>
        <v>5495693.6036807066</v>
      </c>
      <c r="AH534" s="320">
        <f>+'Perfil - interna'!AH534+'Perfil - externa'!AH532</f>
        <v>5342204.2986698514</v>
      </c>
      <c r="AI534" s="320">
        <f>+'Perfil - interna'!AI534+'Perfil - externa'!AI532</f>
        <v>10768410.812253496</v>
      </c>
      <c r="AJ534" s="320">
        <f>+'Perfil - interna'!AJ534+'Perfil - externa'!AJ532</f>
        <v>4395098.2621855875</v>
      </c>
      <c r="AK534" s="320">
        <f>+'Perfil - interna'!AK534+'Perfil - externa'!AK532</f>
        <v>2030902.2858008468</v>
      </c>
      <c r="AL534" s="320">
        <f>+'Perfil - interna'!AL534+'Perfil - externa'!AL532</f>
        <v>1931142.5400812132</v>
      </c>
      <c r="AM534" s="320">
        <f>+'Perfil - interna'!AM534+'Perfil - externa'!AM532</f>
        <v>7457537.6439522253</v>
      </c>
      <c r="AN534" s="320">
        <f>+'Perfil - interna'!AN534+'Perfil - externa'!AN532</f>
        <v>1318063.1389857291</v>
      </c>
      <c r="AO534" s="320">
        <f>+'Perfil - interna'!AO534+'Perfil - externa'!AO532</f>
        <v>1315876.9124856722</v>
      </c>
      <c r="AP534" s="320">
        <f>+'Perfil - interna'!AP534+'Perfil - externa'!AP532</f>
        <v>1313955.7820580474</v>
      </c>
      <c r="AQ534" s="320">
        <f>+'Perfil - interna'!AQ534+'Perfil - externa'!AQ532</f>
        <v>8818015.082662778</v>
      </c>
      <c r="AR534" s="320">
        <f>+'Perfil - interna'!AR534+'Perfil - externa'!AR532</f>
        <v>827831.74552156159</v>
      </c>
      <c r="AS534" s="320">
        <f>+'Perfil - interna'!AS534+'Perfil - externa'!AS532</f>
        <v>827826.37713034474</v>
      </c>
      <c r="AT534" s="320">
        <f>+'Perfil - interna'!AT534+'Perfil - externa'!AT532</f>
        <v>8361446.3733334308</v>
      </c>
      <c r="AU534" s="320">
        <f>+'Perfil - interna'!AU534+'Perfil - externa'!AU532</f>
        <v>7949576.0655907262</v>
      </c>
      <c r="AV534" s="320">
        <f>+'Perfil - interna'!AV534+'Perfil - externa'!AV532</f>
        <v>0</v>
      </c>
      <c r="AW534" s="320">
        <f>+'Perfil - interna'!AW534+'Perfil - externa'!AW532</f>
        <v>0</v>
      </c>
      <c r="AX534" s="320"/>
      <c r="AY534" s="320"/>
      <c r="AZ534" s="320"/>
      <c r="BA534" s="320"/>
      <c r="BB534" s="320"/>
      <c r="BC534" s="320"/>
      <c r="BD534" s="320"/>
      <c r="BE534" s="320"/>
      <c r="BF534" s="320"/>
      <c r="BG534" s="320"/>
      <c r="BH534" s="320"/>
      <c r="BI534" s="320"/>
      <c r="BJ534" s="320"/>
      <c r="BK534" s="320"/>
    </row>
    <row r="535" spans="1:63">
      <c r="A535" s="167"/>
      <c r="B535" s="217" t="str">
        <f>Servicio_internaColumna_título_amortizaciones</f>
        <v>Amortizaciones</v>
      </c>
      <c r="C535" s="218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  <c r="P535" s="219"/>
      <c r="Q535" s="219">
        <f>+'Perfil - interna'!Q535+'Perfil - externa'!Q533</f>
        <v>25083559.141651686</v>
      </c>
      <c r="R535" s="219">
        <f>+'Perfil - interna'!R535+'Perfil - externa'!R533</f>
        <v>27235759.159219813</v>
      </c>
      <c r="S535" s="219">
        <f>+'Perfil - interna'!S535+'Perfil - externa'!S533</f>
        <v>20145831.636356942</v>
      </c>
      <c r="T535" s="219">
        <f>+'Perfil - interna'!T535+'Perfil - externa'!T533</f>
        <v>22380434.982669733</v>
      </c>
      <c r="U535" s="219">
        <f>+'Perfil - interna'!U535+'Perfil - externa'!U533</f>
        <v>31283171.914664328</v>
      </c>
      <c r="V535" s="219">
        <f>+'Perfil - interna'!V535+'Perfil - externa'!V533</f>
        <v>21483135.379685745</v>
      </c>
      <c r="W535" s="219">
        <f>+'Perfil - interna'!W535+'Perfil - externa'!W533</f>
        <v>21476432.267439529</v>
      </c>
      <c r="X535" s="219">
        <f>+'Perfil - interna'!X535+'Perfil - externa'!X533</f>
        <v>14040497.145035893</v>
      </c>
      <c r="Y535" s="219">
        <f>+'Perfil - interna'!Y535+'Perfil - externa'!Y533</f>
        <v>19534538.380090281</v>
      </c>
      <c r="Z535" s="219">
        <f>+'Perfil - interna'!Z535+'Perfil - externa'!Z533</f>
        <v>37463310.393215403</v>
      </c>
      <c r="AA535" s="219">
        <f>+'Perfil - interna'!AA535+'Perfil - externa'!AA533</f>
        <v>6454444.4191497974</v>
      </c>
      <c r="AB535" s="219">
        <f>+'Perfil - interna'!AB535+'Perfil - externa'!AB533</f>
        <v>17625288.664008442</v>
      </c>
      <c r="AC535" s="219">
        <f>+'Perfil - interna'!AC535+'Perfil - externa'!AC533</f>
        <v>5089314.9561664229</v>
      </c>
      <c r="AD535" s="219">
        <f>+'Perfil - interna'!AD535+'Perfil - externa'!AD533</f>
        <v>15490499.32634265</v>
      </c>
      <c r="AE535" s="219">
        <f>+'Perfil - interna'!AE535+'Perfil - externa'!AE533</f>
        <v>2403717.1195057221</v>
      </c>
      <c r="AF535" s="219">
        <f>+'Perfil - interna'!AF535+'Perfil - externa'!AF533</f>
        <v>9672137.2300008498</v>
      </c>
      <c r="AG535" s="219">
        <f>+'Perfil - interna'!AG535+'Perfil - externa'!AG533</f>
        <v>3093342.0602254122</v>
      </c>
      <c r="AH535" s="219">
        <f>+'Perfil - interna'!AH535+'Perfil - externa'!AH533</f>
        <v>3035774.1633336833</v>
      </c>
      <c r="AI535" s="219">
        <f>+'Perfil - interna'!AI535+'Perfil - externa'!AI533</f>
        <v>8690492.7412874028</v>
      </c>
      <c r="AJ535" s="219">
        <f>+'Perfil - interna'!AJ535+'Perfil - externa'!AJ533</f>
        <v>2564658.294396536</v>
      </c>
      <c r="AK535" s="219">
        <f>+'Perfil - interna'!AK535+'Perfil - externa'!AK533</f>
        <v>278296.35322006507</v>
      </c>
      <c r="AL535" s="219">
        <f>+'Perfil - interna'!AL535+'Perfil - externa'!AL533</f>
        <v>190074.03408611679</v>
      </c>
      <c r="AM535" s="219">
        <f>+'Perfil - interna'!AM535+'Perfil - externa'!AM533</f>
        <v>5762237.2487978768</v>
      </c>
      <c r="AN535" s="219">
        <f>+'Perfil - interna'!AN535+'Perfil - externa'!AN533</f>
        <v>4082.3244568816708</v>
      </c>
      <c r="AO535" s="219">
        <f>+'Perfil - interna'!AO535+'Perfil - externa'!AO533</f>
        <v>4082.3244568816708</v>
      </c>
      <c r="AP535" s="219">
        <f>+'Perfil - interna'!AP535+'Perfil - externa'!AP533</f>
        <v>4082.3244568816708</v>
      </c>
      <c r="AQ535" s="219">
        <f>+'Perfil - interna'!AQ535+'Perfil - externa'!AQ533</f>
        <v>7808932.3244568817</v>
      </c>
      <c r="AR535" s="219">
        <f>+'Perfil - interna'!AR535+'Perfil - externa'!AR533</f>
        <v>4082.3244568816708</v>
      </c>
      <c r="AS535" s="219">
        <f>+'Perfil - interna'!AS535+'Perfil - externa'!AS533</f>
        <v>4082.3244568816708</v>
      </c>
      <c r="AT535" s="219">
        <f>+'Perfil - interna'!AT535+'Perfil - externa'!AT533</f>
        <v>7807846.438545852</v>
      </c>
      <c r="AU535" s="219">
        <f>+'Perfil - interna'!AU535+'Perfil - externa'!AU533</f>
        <v>7807846.438545852</v>
      </c>
      <c r="AV535" s="219">
        <f>+'Perfil - interna'!AV535+'Perfil - externa'!AV533</f>
        <v>0</v>
      </c>
      <c r="AW535" s="219">
        <f>+'Perfil - interna'!AW535+'Perfil - externa'!AW533</f>
        <v>0</v>
      </c>
      <c r="AX535" s="219"/>
      <c r="AY535" s="219"/>
      <c r="AZ535" s="219"/>
      <c r="BA535" s="219"/>
      <c r="BB535" s="219"/>
      <c r="BC535" s="219"/>
      <c r="BD535" s="219"/>
      <c r="BE535" s="219"/>
      <c r="BF535" s="219"/>
      <c r="BG535" s="219"/>
      <c r="BH535" s="219"/>
      <c r="BI535" s="219"/>
      <c r="BJ535" s="219"/>
      <c r="BK535" s="219"/>
    </row>
    <row r="536" spans="1:63">
      <c r="A536" s="170">
        <v>42277</v>
      </c>
      <c r="B536" s="220" t="str">
        <f>Servicio_internaColumna_título_intereses</f>
        <v>Intereses</v>
      </c>
      <c r="C536" s="221"/>
      <c r="D536" s="222"/>
      <c r="E536" s="222"/>
      <c r="F536" s="222"/>
      <c r="G536" s="222"/>
      <c r="H536" s="222"/>
      <c r="I536" s="222"/>
      <c r="J536" s="222"/>
      <c r="K536" s="222"/>
      <c r="L536" s="222"/>
      <c r="M536" s="222"/>
      <c r="N536" s="222"/>
      <c r="O536" s="222"/>
      <c r="P536" s="222"/>
      <c r="Q536" s="222">
        <f>+'Perfil - interna'!Q536+'Perfil - externa'!Q534</f>
        <v>3546234.0322423624</v>
      </c>
      <c r="R536" s="222">
        <f>+'Perfil - interna'!R536+'Perfil - externa'!R534</f>
        <v>19641692.909388043</v>
      </c>
      <c r="S536" s="222">
        <f>+'Perfil - interna'!S536+'Perfil - externa'!S534</f>
        <v>17977180.221304119</v>
      </c>
      <c r="T536" s="222">
        <f>+'Perfil - interna'!T536+'Perfil - externa'!T534</f>
        <v>17015951.997954883</v>
      </c>
      <c r="U536" s="222">
        <f>+'Perfil - interna'!U536+'Perfil - externa'!U534</f>
        <v>15285337.457813796</v>
      </c>
      <c r="V536" s="222">
        <f>+'Perfil - interna'!V536+'Perfil - externa'!V534</f>
        <v>13633636.276658528</v>
      </c>
      <c r="W536" s="222">
        <f>+'Perfil - interna'!W536+'Perfil - externa'!W534</f>
        <v>11782152.969327342</v>
      </c>
      <c r="X536" s="222">
        <f>+'Perfil - interna'!X536+'Perfil - externa'!X534</f>
        <v>10892066.393593682</v>
      </c>
      <c r="Y536" s="222">
        <f>+'Perfil - interna'!Y536+'Perfil - externa'!Y534</f>
        <v>9888445.747239301</v>
      </c>
      <c r="Z536" s="222">
        <f>+'Perfil - interna'!Z536+'Perfil - externa'!Z534</f>
        <v>8710601.5180073418</v>
      </c>
      <c r="AA536" s="222">
        <f>+'Perfil - interna'!AA536+'Perfil - externa'!AA534</f>
        <v>5828785.2903100736</v>
      </c>
      <c r="AB536" s="222">
        <f>+'Perfil - interna'!AB536+'Perfil - externa'!AB534</f>
        <v>5420567.7607782288</v>
      </c>
      <c r="AC536" s="222">
        <f>+'Perfil - interna'!AC536+'Perfil - externa'!AC534</f>
        <v>4431552.8705571946</v>
      </c>
      <c r="AD536" s="222">
        <f>+'Perfil - interna'!AD536+'Perfil - externa'!AD534</f>
        <v>4149657.2308991174</v>
      </c>
      <c r="AE536" s="222">
        <f>+'Perfil - interna'!AE536+'Perfil - externa'!AE534</f>
        <v>3266518.7739468347</v>
      </c>
      <c r="AF536" s="222">
        <f>+'Perfil - interna'!AF536+'Perfil - externa'!AF534</f>
        <v>3207473.9994104467</v>
      </c>
      <c r="AG536" s="222">
        <f>+'Perfil - interna'!AG536+'Perfil - externa'!AG534</f>
        <v>2486013.2514140652</v>
      </c>
      <c r="AH536" s="222">
        <f>+'Perfil - interna'!AH536+'Perfil - externa'!AH534</f>
        <v>2394313.243632277</v>
      </c>
      <c r="AI536" s="222">
        <f>+'Perfil - interna'!AI536+'Perfil - externa'!AI534</f>
        <v>2284608.6910977634</v>
      </c>
      <c r="AJ536" s="222">
        <f>+'Perfil - interna'!AJ536+'Perfil - externa'!AJ534</f>
        <v>1852987.9907299348</v>
      </c>
      <c r="AK536" s="222">
        <f>+'Perfil - interna'!AK536+'Perfil - externa'!AK534</f>
        <v>1764851.7582859166</v>
      </c>
      <c r="AL536" s="222">
        <f>+'Perfil - interna'!AL536+'Perfil - externa'!AL534</f>
        <v>1753556.9567557666</v>
      </c>
      <c r="AM536" s="222">
        <f>+'Perfil - interna'!AM536+'Perfil - externa'!AM534</f>
        <v>1745249.0127945594</v>
      </c>
      <c r="AN536" s="222">
        <f>+'Perfil - interna'!AN536+'Perfil - externa'!AN534</f>
        <v>1322740.2009671379</v>
      </c>
      <c r="AO536" s="222">
        <f>+'Perfil - interna'!AO536+'Perfil - externa'!AO534</f>
        <v>1320553.552139153</v>
      </c>
      <c r="AP536" s="222">
        <f>+'Perfil - interna'!AP536+'Perfil - externa'!AP534</f>
        <v>1318632.0115327593</v>
      </c>
      <c r="AQ536" s="222">
        <f>+'Perfil - interna'!AQ536+'Perfil - externa'!AQ534</f>
        <v>1068345.3151604028</v>
      </c>
      <c r="AR536" s="222">
        <f>+'Perfil - interna'!AR536+'Perfil - externa'!AR534</f>
        <v>829315.99319125758</v>
      </c>
      <c r="AS536" s="222">
        <f>+'Perfil - interna'!AS536+'Perfil - externa'!AS534</f>
        <v>829310.20247211249</v>
      </c>
      <c r="AT536" s="222">
        <f>+'Perfil - interna'!AT536+'Perfil - externa'!AT534</f>
        <v>609793.10862536321</v>
      </c>
      <c r="AU536" s="222">
        <f>+'Perfil - interna'!AU536+'Perfil - externa'!AU534</f>
        <v>195154.5585338223</v>
      </c>
      <c r="AV536" s="222">
        <f>+'Perfil - interna'!AV536+'Perfil - externa'!AV534</f>
        <v>0</v>
      </c>
      <c r="AW536" s="222">
        <f>+'Perfil - interna'!AW536+'Perfil - externa'!AW534</f>
        <v>0</v>
      </c>
      <c r="AX536" s="222"/>
      <c r="AY536" s="222"/>
      <c r="AZ536" s="222"/>
      <c r="BA536" s="222"/>
      <c r="BB536" s="222"/>
      <c r="BC536" s="222"/>
      <c r="BD536" s="222"/>
      <c r="BE536" s="222"/>
      <c r="BF536" s="222"/>
      <c r="BG536" s="222"/>
      <c r="BH536" s="222"/>
      <c r="BI536" s="222"/>
      <c r="BJ536" s="222"/>
      <c r="BK536" s="222"/>
    </row>
    <row r="537" spans="1:63">
      <c r="A537" s="171"/>
      <c r="B537" s="318" t="str">
        <f>Servicio_internaColumna_título_total</f>
        <v>Total</v>
      </c>
      <c r="C537" s="319"/>
      <c r="D537" s="320"/>
      <c r="E537" s="320"/>
      <c r="F537" s="320"/>
      <c r="G537" s="320"/>
      <c r="H537" s="320"/>
      <c r="I537" s="320"/>
      <c r="J537" s="320"/>
      <c r="K537" s="320"/>
      <c r="L537" s="320"/>
      <c r="M537" s="320"/>
      <c r="N537" s="320"/>
      <c r="O537" s="320"/>
      <c r="P537" s="320"/>
      <c r="Q537" s="320">
        <f>+'Perfil - interna'!Q537+'Perfil - externa'!Q535</f>
        <v>28629793.173894048</v>
      </c>
      <c r="R537" s="320">
        <f>+'Perfil - interna'!R537+'Perfil - externa'!R535</f>
        <v>46877452.068607852</v>
      </c>
      <c r="S537" s="320">
        <f>+'Perfil - interna'!S537+'Perfil - externa'!S535</f>
        <v>38123011.857661061</v>
      </c>
      <c r="T537" s="320">
        <f>+'Perfil - interna'!T537+'Perfil - externa'!T535</f>
        <v>39396386.980624616</v>
      </c>
      <c r="U537" s="320">
        <f>+'Perfil - interna'!U537+'Perfil - externa'!U535</f>
        <v>46568509.372478127</v>
      </c>
      <c r="V537" s="320">
        <f>+'Perfil - interna'!V537+'Perfil - externa'!V535</f>
        <v>35116771.656344272</v>
      </c>
      <c r="W537" s="320">
        <f>+'Perfil - interna'!W537+'Perfil - externa'!W535</f>
        <v>33258585.236766871</v>
      </c>
      <c r="X537" s="320">
        <f>+'Perfil - interna'!X537+'Perfil - externa'!X535</f>
        <v>24932563.538629577</v>
      </c>
      <c r="Y537" s="320">
        <f>+'Perfil - interna'!Y537+'Perfil - externa'!Y535</f>
        <v>29422984.12732958</v>
      </c>
      <c r="Z537" s="320">
        <f>+'Perfil - interna'!Z537+'Perfil - externa'!Z535</f>
        <v>46173911.911222741</v>
      </c>
      <c r="AA537" s="320">
        <f>+'Perfil - interna'!AA537+'Perfil - externa'!AA535</f>
        <v>12283229.709459871</v>
      </c>
      <c r="AB537" s="320">
        <f>+'Perfil - interna'!AB537+'Perfil - externa'!AB535</f>
        <v>23045856.424786672</v>
      </c>
      <c r="AC537" s="320">
        <f>+'Perfil - interna'!AC537+'Perfil - externa'!AC535</f>
        <v>9520867.8267236184</v>
      </c>
      <c r="AD537" s="320">
        <f>+'Perfil - interna'!AD537+'Perfil - externa'!AD535</f>
        <v>19640156.557241768</v>
      </c>
      <c r="AE537" s="320">
        <f>+'Perfil - interna'!AE537+'Perfil - externa'!AE535</f>
        <v>5670235.8934525577</v>
      </c>
      <c r="AF537" s="320">
        <f>+'Perfil - interna'!AF537+'Perfil - externa'!AF535</f>
        <v>12879611.229411297</v>
      </c>
      <c r="AG537" s="320">
        <f>+'Perfil - interna'!AG537+'Perfil - externa'!AG535</f>
        <v>5579355.3116394775</v>
      </c>
      <c r="AH537" s="320">
        <f>+'Perfil - interna'!AH537+'Perfil - externa'!AH535</f>
        <v>5430087.4069659598</v>
      </c>
      <c r="AI537" s="320">
        <f>+'Perfil - interna'!AI537+'Perfil - externa'!AI535</f>
        <v>10975101.432385167</v>
      </c>
      <c r="AJ537" s="320">
        <f>+'Perfil - interna'!AJ537+'Perfil - externa'!AJ535</f>
        <v>4417646.285126471</v>
      </c>
      <c r="AK537" s="320">
        <f>+'Perfil - interna'!AK537+'Perfil - externa'!AK535</f>
        <v>2043148.1115059818</v>
      </c>
      <c r="AL537" s="320">
        <f>+'Perfil - interna'!AL537+'Perfil - externa'!AL535</f>
        <v>1943630.9908418835</v>
      </c>
      <c r="AM537" s="320">
        <f>+'Perfil - interna'!AM537+'Perfil - externa'!AM535</f>
        <v>7507486.2615924366</v>
      </c>
      <c r="AN537" s="320">
        <f>+'Perfil - interna'!AN537+'Perfil - externa'!AN535</f>
        <v>1326822.5254240197</v>
      </c>
      <c r="AO537" s="320">
        <f>+'Perfil - interna'!AO537+'Perfil - externa'!AO535</f>
        <v>1324635.8765960347</v>
      </c>
      <c r="AP537" s="320">
        <f>+'Perfil - interna'!AP537+'Perfil - externa'!AP535</f>
        <v>1322714.335989641</v>
      </c>
      <c r="AQ537" s="320">
        <f>+'Perfil - interna'!AQ537+'Perfil - externa'!AQ535</f>
        <v>8877277.6396172848</v>
      </c>
      <c r="AR537" s="320">
        <f>+'Perfil - interna'!AR537+'Perfil - externa'!AR535</f>
        <v>833398.3176481392</v>
      </c>
      <c r="AS537" s="320">
        <f>+'Perfil - interna'!AS537+'Perfil - externa'!AS535</f>
        <v>833392.52692899411</v>
      </c>
      <c r="AT537" s="320">
        <f>+'Perfil - interna'!AT537+'Perfil - externa'!AT535</f>
        <v>8417639.5471712146</v>
      </c>
      <c r="AU537" s="320">
        <f>+'Perfil - interna'!AU537+'Perfil - externa'!AU535</f>
        <v>8003000.9970796742</v>
      </c>
      <c r="AV537" s="320">
        <f>+'Perfil - interna'!AV537+'Perfil - externa'!AV535</f>
        <v>0</v>
      </c>
      <c r="AW537" s="320">
        <f>+'Perfil - interna'!AW537+'Perfil - externa'!AW535</f>
        <v>0</v>
      </c>
      <c r="AX537" s="320"/>
      <c r="AY537" s="320"/>
      <c r="AZ537" s="320"/>
      <c r="BA537" s="320"/>
      <c r="BB537" s="320"/>
      <c r="BC537" s="320"/>
      <c r="BD537" s="320"/>
      <c r="BE537" s="320"/>
      <c r="BF537" s="320"/>
      <c r="BG537" s="320"/>
      <c r="BH537" s="320"/>
      <c r="BI537" s="320"/>
      <c r="BJ537" s="320"/>
      <c r="BK537" s="320"/>
    </row>
    <row r="538" spans="1:63">
      <c r="A538" s="167"/>
      <c r="B538" s="217" t="str">
        <f>Servicio_internaColumna_título_amortizaciones</f>
        <v>Amortizaciones</v>
      </c>
      <c r="C538" s="218"/>
      <c r="D538" s="219"/>
      <c r="E538" s="219"/>
      <c r="F538" s="219"/>
      <c r="G538" s="219"/>
      <c r="H538" s="219"/>
      <c r="I538" s="219"/>
      <c r="J538" s="219"/>
      <c r="K538" s="219"/>
      <c r="L538" s="219"/>
      <c r="M538" s="219"/>
      <c r="N538" s="219"/>
      <c r="O538" s="219"/>
      <c r="P538" s="219"/>
      <c r="Q538" s="219">
        <f>+'Perfil - interna'!Q538+'Perfil - externa'!Q536</f>
        <v>13323517.489338089</v>
      </c>
      <c r="R538" s="219">
        <f>+'Perfil - interna'!R538+'Perfil - externa'!R536</f>
        <v>24268229.869019255</v>
      </c>
      <c r="S538" s="219">
        <f>+'Perfil - interna'!S538+'Perfil - externa'!S536</f>
        <v>19843928.603681557</v>
      </c>
      <c r="T538" s="219">
        <f>+'Perfil - interna'!T538+'Perfil - externa'!T536</f>
        <v>22292294.235098831</v>
      </c>
      <c r="U538" s="219">
        <f>+'Perfil - interna'!U538+'Perfil - externa'!U536</f>
        <v>30881362.708455697</v>
      </c>
      <c r="V538" s="219">
        <f>+'Perfil - interna'!V538+'Perfil - externa'!V536</f>
        <v>21652473.209221713</v>
      </c>
      <c r="W538" s="219">
        <f>+'Perfil - interna'!W538+'Perfil - externa'!W536</f>
        <v>21093326.630025152</v>
      </c>
      <c r="X538" s="219">
        <f>+'Perfil - interna'!X538+'Perfil - externa'!X536</f>
        <v>13973639.776802447</v>
      </c>
      <c r="Y538" s="219">
        <f>+'Perfil - interna'!Y538+'Perfil - externa'!Y536</f>
        <v>19361879.295516476</v>
      </c>
      <c r="Z538" s="219">
        <f>+'Perfil - interna'!Z538+'Perfil - externa'!Z536</f>
        <v>36783101.603964821</v>
      </c>
      <c r="AA538" s="219">
        <f>+'Perfil - interna'!AA538+'Perfil - externa'!AA536</f>
        <v>6414567.6357479095</v>
      </c>
      <c r="AB538" s="219">
        <f>+'Perfil - interna'!AB538+'Perfil - externa'!AB536</f>
        <v>17472501.812965907</v>
      </c>
      <c r="AC538" s="219">
        <f>+'Perfil - interna'!AC538+'Perfil - externa'!AC536</f>
        <v>4970354.9005253166</v>
      </c>
      <c r="AD538" s="219">
        <f>+'Perfil - interna'!AD538+'Perfil - externa'!AD536</f>
        <v>16908180.064485416</v>
      </c>
      <c r="AE538" s="219">
        <f>+'Perfil - interna'!AE538+'Perfil - externa'!AE536</f>
        <v>2314519.4169742162</v>
      </c>
      <c r="AF538" s="219">
        <f>+'Perfil - interna'!AF538+'Perfil - externa'!AF536</f>
        <v>9582581.1842698734</v>
      </c>
      <c r="AG538" s="219">
        <f>+'Perfil - interna'!AG538+'Perfil - externa'!AG536</f>
        <v>2894200.1237273449</v>
      </c>
      <c r="AH538" s="219">
        <f>+'Perfil - interna'!AH538+'Perfil - externa'!AH536</f>
        <v>2839601.2861494459</v>
      </c>
      <c r="AI538" s="219">
        <f>+'Perfil - interna'!AI538+'Perfil - externa'!AI536</f>
        <v>8628004.0014104936</v>
      </c>
      <c r="AJ538" s="219">
        <f>+'Perfil - interna'!AJ538+'Perfil - externa'!AJ536</f>
        <v>2399842.0006238171</v>
      </c>
      <c r="AK538" s="219">
        <f>+'Perfil - interna'!AK538+'Perfil - externa'!AK536</f>
        <v>260404.70650617016</v>
      </c>
      <c r="AL538" s="219">
        <f>+'Perfil - interna'!AL538+'Perfil - externa'!AL536</f>
        <v>177851.67046691701</v>
      </c>
      <c r="AM538" s="219">
        <f>+'Perfil - interna'!AM538+'Perfil - externa'!AM536</f>
        <v>5391941.1542476183</v>
      </c>
      <c r="AN538" s="219">
        <f>+'Perfil - interna'!AN538+'Perfil - externa'!AN536</f>
        <v>3819.988879471598</v>
      </c>
      <c r="AO538" s="219">
        <f>+'Perfil - interna'!AO538+'Perfil - externa'!AO536</f>
        <v>3819.988879471598</v>
      </c>
      <c r="AP538" s="219">
        <f>+'Perfil - interna'!AP538+'Perfil - externa'!AP536</f>
        <v>3819.988879471598</v>
      </c>
      <c r="AQ538" s="219">
        <f>+'Perfil - interna'!AQ538+'Perfil - externa'!AQ536</f>
        <v>7307119.988879472</v>
      </c>
      <c r="AR538" s="219">
        <f>+'Perfil - interna'!AR538+'Perfil - externa'!AR536</f>
        <v>3819.988879471598</v>
      </c>
      <c r="AS538" s="219">
        <f>+'Perfil - interna'!AS538+'Perfil - externa'!AS536</f>
        <v>3819.988879471598</v>
      </c>
      <c r="AT538" s="219">
        <f>+'Perfil - interna'!AT538+'Perfil - externa'!AT536</f>
        <v>7306103.8834355464</v>
      </c>
      <c r="AU538" s="219">
        <f>+'Perfil - interna'!AU538+'Perfil - externa'!AU536</f>
        <v>7306103.8834355464</v>
      </c>
      <c r="AV538" s="219">
        <f>+'Perfil - interna'!AV538+'Perfil - externa'!AV536</f>
        <v>0</v>
      </c>
      <c r="AW538" s="219">
        <f>+'Perfil - interna'!AW538+'Perfil - externa'!AW536</f>
        <v>0</v>
      </c>
      <c r="AX538" s="219"/>
      <c r="AY538" s="219"/>
      <c r="AZ538" s="219"/>
      <c r="BA538" s="219"/>
      <c r="BB538" s="219"/>
      <c r="BC538" s="219"/>
      <c r="BD538" s="219"/>
      <c r="BE538" s="219"/>
      <c r="BF538" s="219"/>
      <c r="BG538" s="219"/>
      <c r="BH538" s="219"/>
      <c r="BI538" s="219"/>
      <c r="BJ538" s="219"/>
      <c r="BK538" s="219"/>
    </row>
    <row r="539" spans="1:63">
      <c r="A539" s="170">
        <v>42308</v>
      </c>
      <c r="B539" s="220" t="str">
        <f>Servicio_internaColumna_título_intereses</f>
        <v>Intereses</v>
      </c>
      <c r="C539" s="221"/>
      <c r="D539" s="222"/>
      <c r="E539" s="222"/>
      <c r="F539" s="222"/>
      <c r="G539" s="222"/>
      <c r="H539" s="222"/>
      <c r="I539" s="222"/>
      <c r="J539" s="222"/>
      <c r="K539" s="222"/>
      <c r="L539" s="222"/>
      <c r="M539" s="222"/>
      <c r="N539" s="222"/>
      <c r="O539" s="222"/>
      <c r="P539" s="222"/>
      <c r="Q539" s="222">
        <f>+'Perfil - interna'!Q539+'Perfil - externa'!Q537</f>
        <v>1281832.0233414278</v>
      </c>
      <c r="R539" s="222">
        <f>+'Perfil - interna'!R539+'Perfil - externa'!R537</f>
        <v>19223069.332445648</v>
      </c>
      <c r="S539" s="222">
        <f>+'Perfil - interna'!S539+'Perfil - externa'!S537</f>
        <v>17795597.098168246</v>
      </c>
      <c r="T539" s="222">
        <f>+'Perfil - interna'!T539+'Perfil - externa'!T537</f>
        <v>16900801.864635952</v>
      </c>
      <c r="U539" s="222">
        <f>+'Perfil - interna'!U539+'Perfil - externa'!U537</f>
        <v>15159141.503106587</v>
      </c>
      <c r="V539" s="222">
        <f>+'Perfil - interna'!V539+'Perfil - externa'!V537</f>
        <v>13532308.263492979</v>
      </c>
      <c r="W539" s="222">
        <f>+'Perfil - interna'!W539+'Perfil - externa'!W537</f>
        <v>11640948.317523574</v>
      </c>
      <c r="X539" s="222">
        <f>+'Perfil - interna'!X539+'Perfil - externa'!X537</f>
        <v>10775707.82451606</v>
      </c>
      <c r="Y539" s="222">
        <f>+'Perfil - interna'!Y539+'Perfil - externa'!Y537</f>
        <v>9764797.5982369166</v>
      </c>
      <c r="Z539" s="222">
        <f>+'Perfil - interna'!Z539+'Perfil - externa'!Z537</f>
        <v>8595969.9848335385</v>
      </c>
      <c r="AA539" s="222">
        <f>+'Perfil - interna'!AA539+'Perfil - externa'!AA537</f>
        <v>5734229.6874947064</v>
      </c>
      <c r="AB539" s="222">
        <f>+'Perfil - interna'!AB539+'Perfil - externa'!AB537</f>
        <v>5329887.4848898035</v>
      </c>
      <c r="AC539" s="222">
        <f>+'Perfil - interna'!AC539+'Perfil - externa'!AC537</f>
        <v>4333157.5537911588</v>
      </c>
      <c r="AD539" s="222">
        <f>+'Perfil - interna'!AD539+'Perfil - externa'!AD537</f>
        <v>4027928.8213887969</v>
      </c>
      <c r="AE539" s="222">
        <f>+'Perfil - interna'!AE539+'Perfil - externa'!AE537</f>
        <v>3117936.1208065683</v>
      </c>
      <c r="AF539" s="222">
        <f>+'Perfil - interna'!AF539+'Perfil - externa'!AF537</f>
        <v>3064263.162153082</v>
      </c>
      <c r="AG539" s="222">
        <f>+'Perfil - interna'!AG539+'Perfil - externa'!AG537</f>
        <v>2355732.4766894029</v>
      </c>
      <c r="AH539" s="222">
        <f>+'Perfil - interna'!AH539+'Perfil - externa'!AH537</f>
        <v>2269031.6552276378</v>
      </c>
      <c r="AI539" s="222">
        <f>+'Perfil - interna'!AI539+'Perfil - externa'!AI537</f>
        <v>2166356.9703038274</v>
      </c>
      <c r="AJ539" s="222">
        <f>+'Perfil - interna'!AJ539+'Perfil - externa'!AJ537</f>
        <v>1736201.8074253465</v>
      </c>
      <c r="AK539" s="222">
        <f>+'Perfil - interna'!AK539+'Perfil - externa'!AK537</f>
        <v>1653057.8882330423</v>
      </c>
      <c r="AL539" s="222">
        <f>+'Perfil - interna'!AL539+'Perfil - externa'!AL537</f>
        <v>1642261.2919204978</v>
      </c>
      <c r="AM539" s="222">
        <f>+'Perfil - interna'!AM539+'Perfil - externa'!AM537</f>
        <v>1634275.413580698</v>
      </c>
      <c r="AN539" s="222">
        <f>+'Perfil - interna'!AN539+'Perfil - externa'!AN537</f>
        <v>1238725.8306816488</v>
      </c>
      <c r="AO539" s="222">
        <f>+'Perfil - interna'!AO539+'Perfil - externa'!AO537</f>
        <v>1236539.5539729472</v>
      </c>
      <c r="AP539" s="222">
        <f>+'Perfil - interna'!AP539+'Perfil - externa'!AP537</f>
        <v>1234618.3747810356</v>
      </c>
      <c r="AQ539" s="222">
        <f>+'Perfil - interna'!AQ539+'Perfil - externa'!AQ537</f>
        <v>999692.02998276334</v>
      </c>
      <c r="AR539" s="222">
        <f>+'Perfil - interna'!AR539+'Perfil - externa'!AR537</f>
        <v>776023.0488829012</v>
      </c>
      <c r="AS539" s="222">
        <f>+'Perfil - interna'!AS539+'Perfil - externa'!AS537</f>
        <v>776017.6302830393</v>
      </c>
      <c r="AT539" s="222">
        <f>+'Perfil - interna'!AT539+'Perfil - externa'!AT537</f>
        <v>570606.99567879143</v>
      </c>
      <c r="AU539" s="222">
        <f>+'Perfil - interna'!AU539+'Perfil - externa'!AU537</f>
        <v>182613.66808331542</v>
      </c>
      <c r="AV539" s="222">
        <f>+'Perfil - interna'!AV539+'Perfil - externa'!AV537</f>
        <v>0</v>
      </c>
      <c r="AW539" s="222">
        <f>+'Perfil - interna'!AW539+'Perfil - externa'!AW537</f>
        <v>0</v>
      </c>
      <c r="AX539" s="222"/>
      <c r="AY539" s="222"/>
      <c r="AZ539" s="222"/>
      <c r="BA539" s="222"/>
      <c r="BB539" s="222"/>
      <c r="BC539" s="222"/>
      <c r="BD539" s="222"/>
      <c r="BE539" s="222"/>
      <c r="BF539" s="222"/>
      <c r="BG539" s="222"/>
      <c r="BH539" s="222"/>
      <c r="BI539" s="222"/>
      <c r="BJ539" s="222"/>
      <c r="BK539" s="222"/>
    </row>
    <row r="540" spans="1:63">
      <c r="A540" s="171"/>
      <c r="B540" s="318" t="str">
        <f>Servicio_internaColumna_título_total</f>
        <v>Total</v>
      </c>
      <c r="C540" s="319"/>
      <c r="D540" s="320"/>
      <c r="E540" s="320"/>
      <c r="F540" s="320"/>
      <c r="G540" s="320"/>
      <c r="H540" s="320"/>
      <c r="I540" s="320"/>
      <c r="J540" s="320"/>
      <c r="K540" s="320"/>
      <c r="L540" s="320"/>
      <c r="M540" s="320"/>
      <c r="N540" s="320"/>
      <c r="O540" s="320"/>
      <c r="P540" s="320"/>
      <c r="Q540" s="320">
        <f>+'Perfil - interna'!Q540+'Perfil - externa'!Q538</f>
        <v>14605349.512679517</v>
      </c>
      <c r="R540" s="320">
        <f>+'Perfil - interna'!R540+'Perfil - externa'!R538</f>
        <v>43491299.201464906</v>
      </c>
      <c r="S540" s="320">
        <f>+'Perfil - interna'!S540+'Perfil - externa'!S538</f>
        <v>37639525.701849803</v>
      </c>
      <c r="T540" s="320">
        <f>+'Perfil - interna'!T540+'Perfil - externa'!T538</f>
        <v>39193096.099734783</v>
      </c>
      <c r="U540" s="320">
        <f>+'Perfil - interna'!U540+'Perfil - externa'!U538</f>
        <v>46040504.211562283</v>
      </c>
      <c r="V540" s="320">
        <f>+'Perfil - interna'!V540+'Perfil - externa'!V538</f>
        <v>35184781.472714692</v>
      </c>
      <c r="W540" s="320">
        <f>+'Perfil - interna'!W540+'Perfil - externa'!W538</f>
        <v>32734274.947548725</v>
      </c>
      <c r="X540" s="320">
        <f>+'Perfil - interna'!X540+'Perfil - externa'!X538</f>
        <v>24749347.601318508</v>
      </c>
      <c r="Y540" s="320">
        <f>+'Perfil - interna'!Y540+'Perfil - externa'!Y538</f>
        <v>29126676.893753394</v>
      </c>
      <c r="Z540" s="320">
        <f>+'Perfil - interna'!Z540+'Perfil - externa'!Z538</f>
        <v>45379071.588798359</v>
      </c>
      <c r="AA540" s="320">
        <f>+'Perfil - interna'!AA540+'Perfil - externa'!AA538</f>
        <v>12148797.323242616</v>
      </c>
      <c r="AB540" s="320">
        <f>+'Perfil - interna'!AB540+'Perfil - externa'!AB538</f>
        <v>22802389.297855712</v>
      </c>
      <c r="AC540" s="320">
        <f>+'Perfil - interna'!AC540+'Perfil - externa'!AC538</f>
        <v>9303512.4543164745</v>
      </c>
      <c r="AD540" s="320">
        <f>+'Perfil - interna'!AD540+'Perfil - externa'!AD538</f>
        <v>20936108.885874212</v>
      </c>
      <c r="AE540" s="320">
        <f>+'Perfil - interna'!AE540+'Perfil - externa'!AE538</f>
        <v>5432455.5377807841</v>
      </c>
      <c r="AF540" s="320">
        <f>+'Perfil - interna'!AF540+'Perfil - externa'!AF538</f>
        <v>12646844.346422955</v>
      </c>
      <c r="AG540" s="320">
        <f>+'Perfil - interna'!AG540+'Perfil - externa'!AG538</f>
        <v>5249932.6004167488</v>
      </c>
      <c r="AH540" s="320">
        <f>+'Perfil - interna'!AH540+'Perfil - externa'!AH538</f>
        <v>5108632.9413770838</v>
      </c>
      <c r="AI540" s="320">
        <f>+'Perfil - interna'!AI540+'Perfil - externa'!AI538</f>
        <v>10794360.971714322</v>
      </c>
      <c r="AJ540" s="320">
        <f>+'Perfil - interna'!AJ540+'Perfil - externa'!AJ538</f>
        <v>4136043.8080491638</v>
      </c>
      <c r="AK540" s="320">
        <f>+'Perfil - interna'!AK540+'Perfil - externa'!AK538</f>
        <v>1913462.5947392124</v>
      </c>
      <c r="AL540" s="320">
        <f>+'Perfil - interna'!AL540+'Perfil - externa'!AL538</f>
        <v>1820112.9623874149</v>
      </c>
      <c r="AM540" s="320">
        <f>+'Perfil - interna'!AM540+'Perfil - externa'!AM538</f>
        <v>7026216.5678283162</v>
      </c>
      <c r="AN540" s="320">
        <f>+'Perfil - interna'!AN540+'Perfil - externa'!AN538</f>
        <v>1242545.8195611204</v>
      </c>
      <c r="AO540" s="320">
        <f>+'Perfil - interna'!AO540+'Perfil - externa'!AO538</f>
        <v>1240359.5428524187</v>
      </c>
      <c r="AP540" s="320">
        <f>+'Perfil - interna'!AP540+'Perfil - externa'!AP538</f>
        <v>1238438.3636605071</v>
      </c>
      <c r="AQ540" s="320">
        <f>+'Perfil - interna'!AQ540+'Perfil - externa'!AQ538</f>
        <v>8306812.0188622354</v>
      </c>
      <c r="AR540" s="320">
        <f>+'Perfil - interna'!AR540+'Perfil - externa'!AR538</f>
        <v>779843.03776237275</v>
      </c>
      <c r="AS540" s="320">
        <f>+'Perfil - interna'!AS540+'Perfil - externa'!AS538</f>
        <v>779837.61916251085</v>
      </c>
      <c r="AT540" s="320">
        <f>+'Perfil - interna'!AT540+'Perfil - externa'!AT538</f>
        <v>7876710.8791143382</v>
      </c>
      <c r="AU540" s="320">
        <f>+'Perfil - interna'!AU540+'Perfil - externa'!AU538</f>
        <v>7488717.5515188621</v>
      </c>
      <c r="AV540" s="320">
        <f>+'Perfil - interna'!AV540+'Perfil - externa'!AV538</f>
        <v>0</v>
      </c>
      <c r="AW540" s="320">
        <f>+'Perfil - interna'!AW540+'Perfil - externa'!AW538</f>
        <v>0</v>
      </c>
      <c r="AX540" s="320"/>
      <c r="AY540" s="320"/>
      <c r="AZ540" s="320"/>
      <c r="BA540" s="320"/>
      <c r="BB540" s="320"/>
      <c r="BC540" s="320"/>
      <c r="BD540" s="320"/>
      <c r="BE540" s="320"/>
      <c r="BF540" s="320"/>
      <c r="BG540" s="320"/>
      <c r="BH540" s="320"/>
      <c r="BI540" s="320"/>
      <c r="BJ540" s="320"/>
      <c r="BK540" s="320"/>
    </row>
    <row r="541" spans="1:63">
      <c r="A541" s="167"/>
      <c r="B541" s="217" t="str">
        <f>Servicio_internaColumna_título_amortizaciones</f>
        <v>Amortizaciones</v>
      </c>
      <c r="C541" s="218"/>
      <c r="D541" s="219"/>
      <c r="E541" s="219"/>
      <c r="F541" s="219"/>
      <c r="G541" s="219"/>
      <c r="H541" s="219"/>
      <c r="I541" s="219"/>
      <c r="J541" s="219"/>
      <c r="K541" s="219"/>
      <c r="L541" s="219"/>
      <c r="M541" s="219"/>
      <c r="N541" s="219"/>
      <c r="O541" s="219"/>
      <c r="P541" s="219"/>
      <c r="Q541" s="219">
        <f>+'Perfil - interna'!Q541+'Perfil - externa'!Q539</f>
        <v>9763046.5308421068</v>
      </c>
      <c r="R541" s="219">
        <f>+'Perfil - interna'!R541+'Perfil - externa'!R539</f>
        <v>24245926.755358316</v>
      </c>
      <c r="S541" s="219">
        <f>+'Perfil - interna'!S541+'Perfil - externa'!S539</f>
        <v>20779638.556520931</v>
      </c>
      <c r="T541" s="219">
        <f>+'Perfil - interna'!T541+'Perfil - externa'!T539</f>
        <v>22395680.101728283</v>
      </c>
      <c r="U541" s="219">
        <f>+'Perfil - interna'!U541+'Perfil - externa'!U539</f>
        <v>31684861.152753726</v>
      </c>
      <c r="V541" s="219">
        <f>+'Perfil - interna'!V541+'Perfil - externa'!V539</f>
        <v>22005600.578974232</v>
      </c>
      <c r="W541" s="219">
        <f>+'Perfil - interna'!W541+'Perfil - externa'!W539</f>
        <v>21894507.023440808</v>
      </c>
      <c r="X541" s="219">
        <f>+'Perfil - interna'!X541+'Perfil - externa'!X539</f>
        <v>14071235.823342081</v>
      </c>
      <c r="Y541" s="219">
        <f>+'Perfil - interna'!Y541+'Perfil - externa'!Y539</f>
        <v>19723549.96989388</v>
      </c>
      <c r="Z541" s="219">
        <f>+'Perfil - interna'!Z541+'Perfil - externa'!Z539</f>
        <v>37434639.598796457</v>
      </c>
      <c r="AA541" s="219">
        <f>+'Perfil - interna'!AA541+'Perfil - externa'!AA539</f>
        <v>6872688.6814842578</v>
      </c>
      <c r="AB541" s="219">
        <f>+'Perfil - interna'!AB541+'Perfil - externa'!AB539</f>
        <v>17855117.050647084</v>
      </c>
      <c r="AC541" s="219">
        <f>+'Perfil - interna'!AC541+'Perfil - externa'!AC539</f>
        <v>5122453.4626917634</v>
      </c>
      <c r="AD541" s="219">
        <f>+'Perfil - interna'!AD541+'Perfil - externa'!AD539</f>
        <v>17092307.5965898</v>
      </c>
      <c r="AE541" s="219">
        <f>+'Perfil - interna'!AE541+'Perfil - externa'!AE539</f>
        <v>2444850.8341510016</v>
      </c>
      <c r="AF541" s="219">
        <f>+'Perfil - interna'!AF541+'Perfil - externa'!AF539</f>
        <v>9716469.0848678388</v>
      </c>
      <c r="AG541" s="219">
        <f>+'Perfil - interna'!AG541+'Perfil - externa'!AG539</f>
        <v>3056412.3356009116</v>
      </c>
      <c r="AH541" s="219">
        <f>+'Perfil - interna'!AH541+'Perfil - externa'!AH539</f>
        <v>3014643.6403106856</v>
      </c>
      <c r="AI541" s="219">
        <f>+'Perfil - interna'!AI541+'Perfil - externa'!AI539</f>
        <v>9040488.6716812588</v>
      </c>
      <c r="AJ541" s="219">
        <f>+'Perfil - interna'!AJ541+'Perfil - externa'!AJ539</f>
        <v>2547821.2722224495</v>
      </c>
      <c r="AK541" s="219">
        <f>+'Perfil - interna'!AK541+'Perfil - externa'!AK539</f>
        <v>276721.56634009641</v>
      </c>
      <c r="AL541" s="219">
        <f>+'Perfil - interna'!AL541+'Perfil - externa'!AL539</f>
        <v>189088.16087225045</v>
      </c>
      <c r="AM541" s="219">
        <f>+'Perfil - interna'!AM541+'Perfil - externa'!AM539</f>
        <v>5724059.4996676687</v>
      </c>
      <c r="AN541" s="219">
        <f>+'Perfil - interna'!AN541+'Perfil - externa'!AN539</f>
        <v>4055.0735674727084</v>
      </c>
      <c r="AO541" s="219">
        <f>+'Perfil - interna'!AO541+'Perfil - externa'!AO539</f>
        <v>4055.0735674727084</v>
      </c>
      <c r="AP541" s="219">
        <f>+'Perfil - interna'!AP541+'Perfil - externa'!AP539</f>
        <v>4055.0735674727084</v>
      </c>
      <c r="AQ541" s="219">
        <f>+'Perfil - interna'!AQ541+'Perfil - externa'!AQ539</f>
        <v>7756805.0735674724</v>
      </c>
      <c r="AR541" s="219">
        <f>+'Perfil - interna'!AR541+'Perfil - externa'!AR539</f>
        <v>4055.0735674727084</v>
      </c>
      <c r="AS541" s="219">
        <f>+'Perfil - interna'!AS541+'Perfil - externa'!AS539</f>
        <v>4055.0735674727084</v>
      </c>
      <c r="AT541" s="219">
        <f>+'Perfil - interna'!AT541+'Perfil - externa'!AT539</f>
        <v>7755726.4363102885</v>
      </c>
      <c r="AU541" s="219">
        <f>+'Perfil - interna'!AU541+'Perfil - externa'!AU539</f>
        <v>7755726.4363102885</v>
      </c>
      <c r="AV541" s="219">
        <f>+'Perfil - interna'!AV541+'Perfil - externa'!AV539</f>
        <v>0</v>
      </c>
      <c r="AW541" s="219">
        <f>+'Perfil - interna'!AW541+'Perfil - externa'!AW539</f>
        <v>0</v>
      </c>
      <c r="AX541" s="219"/>
      <c r="AY541" s="219"/>
      <c r="AZ541" s="219"/>
      <c r="BA541" s="219"/>
      <c r="BB541" s="219"/>
      <c r="BC541" s="219"/>
      <c r="BD541" s="219"/>
      <c r="BE541" s="219"/>
      <c r="BF541" s="219"/>
      <c r="BG541" s="219"/>
      <c r="BH541" s="219"/>
      <c r="BI541" s="219"/>
      <c r="BJ541" s="219"/>
      <c r="BK541" s="219"/>
    </row>
    <row r="542" spans="1:63">
      <c r="A542" s="170">
        <v>42338</v>
      </c>
      <c r="B542" s="220" t="str">
        <f>Servicio_internaColumna_título_intereses</f>
        <v>Intereses</v>
      </c>
      <c r="C542" s="221"/>
      <c r="D542" s="222"/>
      <c r="E542" s="222"/>
      <c r="F542" s="222"/>
      <c r="G542" s="222"/>
      <c r="H542" s="222"/>
      <c r="I542" s="222"/>
      <c r="J542" s="222"/>
      <c r="K542" s="222"/>
      <c r="L542" s="222"/>
      <c r="M542" s="222"/>
      <c r="N542" s="222"/>
      <c r="O542" s="222"/>
      <c r="P542" s="222"/>
      <c r="Q542" s="222">
        <f>+'Perfil - interna'!Q542+'Perfil - externa'!Q540</f>
        <v>311471.4518676094</v>
      </c>
      <c r="R542" s="222">
        <f>+'Perfil - interna'!R542+'Perfil - externa'!R540</f>
        <v>19593764.434597075</v>
      </c>
      <c r="S542" s="222">
        <f>+'Perfil - interna'!S542+'Perfil - externa'!S540</f>
        <v>18253693.693058278</v>
      </c>
      <c r="T542" s="222">
        <f>+'Perfil - interna'!T542+'Perfil - externa'!T540</f>
        <v>17332329.75808648</v>
      </c>
      <c r="U542" s="222">
        <f>+'Perfil - interna'!U542+'Perfil - externa'!U540</f>
        <v>15550325.447490115</v>
      </c>
      <c r="V542" s="222">
        <f>+'Perfil - interna'!V542+'Perfil - externa'!V540</f>
        <v>13875959.247814603</v>
      </c>
      <c r="W542" s="222">
        <f>+'Perfil - interna'!W542+'Perfil - externa'!W540</f>
        <v>11932775.836121347</v>
      </c>
      <c r="X542" s="222">
        <f>+'Perfil - interna'!X542+'Perfil - externa'!X540</f>
        <v>11023726.994920742</v>
      </c>
      <c r="Y542" s="222">
        <f>+'Perfil - interna'!Y542+'Perfil - externa'!Y540</f>
        <v>10019427.661034098</v>
      </c>
      <c r="Z542" s="222">
        <f>+'Perfil - interna'!Z542+'Perfil - externa'!Z540</f>
        <v>8797386.9695600756</v>
      </c>
      <c r="AA542" s="222">
        <f>+'Perfil - interna'!AA542+'Perfil - externa'!AA540</f>
        <v>5919611.144039521</v>
      </c>
      <c r="AB542" s="222">
        <f>+'Perfil - interna'!AB542+'Perfil - externa'!AB540</f>
        <v>5503337.0404150691</v>
      </c>
      <c r="AC542" s="222">
        <f>+'Perfil - interna'!AC542+'Perfil - externa'!AC540</f>
        <v>4494323.4662510818</v>
      </c>
      <c r="AD542" s="222">
        <f>+'Perfil - interna'!AD542+'Perfil - externa'!AD540</f>
        <v>4182598.8575561489</v>
      </c>
      <c r="AE542" s="222">
        <f>+'Perfil - interna'!AE542+'Perfil - externa'!AE540</f>
        <v>3267926.8999645021</v>
      </c>
      <c r="AF542" s="222">
        <f>+'Perfil - interna'!AF542+'Perfil - externa'!AF540</f>
        <v>3215039.5776585648</v>
      </c>
      <c r="AG542" s="222">
        <f>+'Perfil - interna'!AG542+'Perfil - externa'!AG540</f>
        <v>2500407.7140260125</v>
      </c>
      <c r="AH542" s="222">
        <f>+'Perfil - interna'!AH542+'Perfil - externa'!AH540</f>
        <v>2408379.2421742994</v>
      </c>
      <c r="AI542" s="222">
        <f>+'Perfil - interna'!AI542+'Perfil - externa'!AI540</f>
        <v>2299853.1378587401</v>
      </c>
      <c r="AJ542" s="222">
        <f>+'Perfil - interna'!AJ542+'Perfil - externa'!AJ540</f>
        <v>1840869.6915998084</v>
      </c>
      <c r="AK542" s="222">
        <f>+'Perfil - interna'!AK542+'Perfil - externa'!AK540</f>
        <v>1753239.1800436906</v>
      </c>
      <c r="AL542" s="222">
        <f>+'Perfil - interna'!AL542+'Perfil - externa'!AL540</f>
        <v>1741999.0952458272</v>
      </c>
      <c r="AM542" s="222">
        <f>+'Perfil - interna'!AM542+'Perfil - externa'!AM540</f>
        <v>1733722.712336228</v>
      </c>
      <c r="AN542" s="222">
        <f>+'Perfil - interna'!AN542+'Perfil - externa'!AN540</f>
        <v>1314012.9580364751</v>
      </c>
      <c r="AO542" s="222">
        <f>+'Perfil - interna'!AO542+'Perfil - externa'!AO540</f>
        <v>1311826.3478634886</v>
      </c>
      <c r="AP542" s="222">
        <f>+'Perfil - interna'!AP542+'Perfil - externa'!AP540</f>
        <v>1309904.8448001009</v>
      </c>
      <c r="AQ542" s="222">
        <f>+'Perfil - interna'!AQ542+'Perfil - externa'!AQ540</f>
        <v>1061213.7506947364</v>
      </c>
      <c r="AR542" s="222">
        <f>+'Perfil - interna'!AR542+'Perfil - externa'!AR540</f>
        <v>823780.02988058981</v>
      </c>
      <c r="AS542" s="222">
        <f>+'Perfil - interna'!AS542+'Perfil - externa'!AS540</f>
        <v>823774.27781644359</v>
      </c>
      <c r="AT542" s="222">
        <f>+'Perfil - interna'!AT542+'Perfil - externa'!AT540</f>
        <v>605722.53443631646</v>
      </c>
      <c r="AU542" s="222">
        <f>+'Perfil - interna'!AU542+'Perfil - externa'!AU540</f>
        <v>193851.83618815104</v>
      </c>
      <c r="AV542" s="222">
        <f>+'Perfil - interna'!AV542+'Perfil - externa'!AV540</f>
        <v>0</v>
      </c>
      <c r="AW542" s="222">
        <f>+'Perfil - interna'!AW542+'Perfil - externa'!AW540</f>
        <v>0</v>
      </c>
      <c r="AX542" s="222"/>
      <c r="AY542" s="222"/>
      <c r="AZ542" s="222"/>
      <c r="BA542" s="222"/>
      <c r="BB542" s="222"/>
      <c r="BC542" s="222"/>
      <c r="BD542" s="222"/>
      <c r="BE542" s="222"/>
      <c r="BF542" s="222"/>
      <c r="BG542" s="222"/>
      <c r="BH542" s="222"/>
      <c r="BI542" s="222"/>
      <c r="BJ542" s="222"/>
      <c r="BK542" s="222"/>
    </row>
    <row r="543" spans="1:63">
      <c r="A543" s="171"/>
      <c r="B543" s="318" t="str">
        <f>Servicio_internaColumna_título_total</f>
        <v>Total</v>
      </c>
      <c r="C543" s="319"/>
      <c r="D543" s="320"/>
      <c r="E543" s="320"/>
      <c r="F543" s="320"/>
      <c r="G543" s="320"/>
      <c r="H543" s="320"/>
      <c r="I543" s="320"/>
      <c r="J543" s="320"/>
      <c r="K543" s="320"/>
      <c r="L543" s="320"/>
      <c r="M543" s="320"/>
      <c r="N543" s="320"/>
      <c r="O543" s="320"/>
      <c r="P543" s="320"/>
      <c r="Q543" s="320">
        <f>+'Perfil - interna'!Q543+'Perfil - externa'!Q541</f>
        <v>10074517.982709717</v>
      </c>
      <c r="R543" s="320">
        <f>+'Perfil - interna'!R543+'Perfil - externa'!R541</f>
        <v>43839691.189955391</v>
      </c>
      <c r="S543" s="320">
        <f>+'Perfil - interna'!S543+'Perfil - externa'!S541</f>
        <v>39033332.249579206</v>
      </c>
      <c r="T543" s="320">
        <f>+'Perfil - interna'!T543+'Perfil - externa'!T541</f>
        <v>39728009.859814763</v>
      </c>
      <c r="U543" s="320">
        <f>+'Perfil - interna'!U543+'Perfil - externa'!U541</f>
        <v>47235186.600243837</v>
      </c>
      <c r="V543" s="320">
        <f>+'Perfil - interna'!V543+'Perfil - externa'!V541</f>
        <v>35881559.826788843</v>
      </c>
      <c r="W543" s="320">
        <f>+'Perfil - interna'!W543+'Perfil - externa'!W541</f>
        <v>33827282.859562159</v>
      </c>
      <c r="X543" s="320">
        <f>+'Perfil - interna'!X543+'Perfil - externa'!X541</f>
        <v>25094962.818262823</v>
      </c>
      <c r="Y543" s="320">
        <f>+'Perfil - interna'!Y543+'Perfil - externa'!Y541</f>
        <v>29742977.63092798</v>
      </c>
      <c r="Z543" s="320">
        <f>+'Perfil - interna'!Z543+'Perfil - externa'!Z541</f>
        <v>46232026.568356529</v>
      </c>
      <c r="AA543" s="320">
        <f>+'Perfil - interna'!AA543+'Perfil - externa'!AA541</f>
        <v>12792299.825523779</v>
      </c>
      <c r="AB543" s="320">
        <f>+'Perfil - interna'!AB543+'Perfil - externa'!AB541</f>
        <v>23358454.091062151</v>
      </c>
      <c r="AC543" s="320">
        <f>+'Perfil - interna'!AC543+'Perfil - externa'!AC541</f>
        <v>9616776.9289428443</v>
      </c>
      <c r="AD543" s="320">
        <f>+'Perfil - interna'!AD543+'Perfil - externa'!AD541</f>
        <v>21274906.454145949</v>
      </c>
      <c r="AE543" s="320">
        <f>+'Perfil - interna'!AE543+'Perfil - externa'!AE541</f>
        <v>5712777.7341155037</v>
      </c>
      <c r="AF543" s="320">
        <f>+'Perfil - interna'!AF543+'Perfil - externa'!AF541</f>
        <v>12931508.662526404</v>
      </c>
      <c r="AG543" s="320">
        <f>+'Perfil - interna'!AG543+'Perfil - externa'!AG541</f>
        <v>5556820.0496269241</v>
      </c>
      <c r="AH543" s="320">
        <f>+'Perfil - interna'!AH543+'Perfil - externa'!AH541</f>
        <v>5423022.8824849846</v>
      </c>
      <c r="AI543" s="320">
        <f>+'Perfil - interna'!AI543+'Perfil - externa'!AI541</f>
        <v>11340341.80954</v>
      </c>
      <c r="AJ543" s="320">
        <f>+'Perfil - interna'!AJ543+'Perfil - externa'!AJ541</f>
        <v>4388690.9638222586</v>
      </c>
      <c r="AK543" s="320">
        <f>+'Perfil - interna'!AK543+'Perfil - externa'!AK541</f>
        <v>2029960.7463837869</v>
      </c>
      <c r="AL543" s="320">
        <f>+'Perfil - interna'!AL543+'Perfil - externa'!AL541</f>
        <v>1931087.2561180776</v>
      </c>
      <c r="AM543" s="320">
        <f>+'Perfil - interna'!AM543+'Perfil - externa'!AM541</f>
        <v>7457782.2120038969</v>
      </c>
      <c r="AN543" s="320">
        <f>+'Perfil - interna'!AN543+'Perfil - externa'!AN541</f>
        <v>1318068.0316039477</v>
      </c>
      <c r="AO543" s="320">
        <f>+'Perfil - interna'!AO543+'Perfil - externa'!AO541</f>
        <v>1315881.4214309612</v>
      </c>
      <c r="AP543" s="320">
        <f>+'Perfil - interna'!AP543+'Perfil - externa'!AP541</f>
        <v>1313959.9183675735</v>
      </c>
      <c r="AQ543" s="320">
        <f>+'Perfil - interna'!AQ543+'Perfil - externa'!AQ541</f>
        <v>8818018.8242622092</v>
      </c>
      <c r="AR543" s="320">
        <f>+'Perfil - interna'!AR543+'Perfil - externa'!AR541</f>
        <v>827835.10344806255</v>
      </c>
      <c r="AS543" s="320">
        <f>+'Perfil - interna'!AS543+'Perfil - externa'!AS541</f>
        <v>827829.35138391634</v>
      </c>
      <c r="AT543" s="320">
        <f>+'Perfil - interna'!AT543+'Perfil - externa'!AT541</f>
        <v>8361448.9707466047</v>
      </c>
      <c r="AU543" s="320">
        <f>+'Perfil - interna'!AU543+'Perfil - externa'!AU541</f>
        <v>7949578.27249844</v>
      </c>
      <c r="AV543" s="320">
        <f>+'Perfil - interna'!AV543+'Perfil - externa'!AV541</f>
        <v>0</v>
      </c>
      <c r="AW543" s="320">
        <f>+'Perfil - interna'!AW543+'Perfil - externa'!AW541</f>
        <v>0</v>
      </c>
      <c r="AX543" s="320"/>
      <c r="AY543" s="320"/>
      <c r="AZ543" s="320"/>
      <c r="BA543" s="320"/>
      <c r="BB543" s="320"/>
      <c r="BC543" s="320"/>
      <c r="BD543" s="320"/>
      <c r="BE543" s="320"/>
      <c r="BF543" s="320"/>
      <c r="BG543" s="320"/>
      <c r="BH543" s="320"/>
      <c r="BI543" s="320"/>
      <c r="BJ543" s="320"/>
      <c r="BK543" s="320"/>
    </row>
    <row r="544" spans="1:63">
      <c r="A544" s="167"/>
      <c r="B544" s="217" t="str">
        <f>Servicio_internaColumna_título_amortizaciones</f>
        <v>Amortizaciones</v>
      </c>
      <c r="C544" s="218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>
        <f>+'Perfil - interna'!R544+'Perfil - externa'!R542</f>
        <v>35929866.68414627</v>
      </c>
      <c r="S544" s="219">
        <f>+'Perfil - interna'!S544+'Perfil - externa'!S542</f>
        <v>21596416.882678755</v>
      </c>
      <c r="T544" s="219">
        <f>+'Perfil - interna'!T544+'Perfil - externa'!T542</f>
        <v>22753332.469474658</v>
      </c>
      <c r="U544" s="219">
        <f>+'Perfil - interna'!U544+'Perfil - externa'!U542</f>
        <v>32318331.350150898</v>
      </c>
      <c r="V544" s="219">
        <f>+'Perfil - interna'!V544+'Perfil - externa'!V542</f>
        <v>22088229.773790218</v>
      </c>
      <c r="W544" s="219">
        <f>+'Perfil - interna'!W544+'Perfil - externa'!W542</f>
        <v>22648009.579836309</v>
      </c>
      <c r="X544" s="219">
        <f>+'Perfil - interna'!X544+'Perfil - externa'!X542</f>
        <v>14321156.787228044</v>
      </c>
      <c r="Y544" s="219">
        <f>+'Perfil - interna'!Y544+'Perfil - externa'!Y542</f>
        <v>20092139.416673716</v>
      </c>
      <c r="Z544" s="219">
        <f>+'Perfil - interna'!Z544+'Perfil - externa'!Z542</f>
        <v>37805346.761532299</v>
      </c>
      <c r="AA544" s="219">
        <f>+'Perfil - interna'!AA544+'Perfil - externa'!AA542</f>
        <v>7131743.3569336627</v>
      </c>
      <c r="AB544" s="219">
        <f>+'Perfil - interna'!AB544+'Perfil - externa'!AB542</f>
        <v>18201246.045868941</v>
      </c>
      <c r="AC544" s="219">
        <f>+'Perfil - interna'!AC544+'Perfil - externa'!AC542</f>
        <v>6544866.9715909148</v>
      </c>
      <c r="AD544" s="219">
        <f>+'Perfil - interna'!AD544+'Perfil - externa'!AD542</f>
        <v>17253636.779768102</v>
      </c>
      <c r="AE544" s="219">
        <f>+'Perfil - interna'!AE544+'Perfil - externa'!AE542</f>
        <v>2587454.4269943135</v>
      </c>
      <c r="AF544" s="219">
        <f>+'Perfil - interna'!AF544+'Perfil - externa'!AF542</f>
        <v>9865093.0434677303</v>
      </c>
      <c r="AG544" s="219">
        <f>+'Perfil - interna'!AG544+'Perfil - externa'!AG542</f>
        <v>3133285.7140698801</v>
      </c>
      <c r="AH544" s="219">
        <f>+'Perfil - interna'!AH544+'Perfil - externa'!AH542</f>
        <v>3070019.9192105187</v>
      </c>
      <c r="AI544" s="219">
        <f>+'Perfil - interna'!AI544+'Perfil - externa'!AI542</f>
        <v>9123008.7897079103</v>
      </c>
      <c r="AJ544" s="219">
        <f>+'Perfil - interna'!AJ544+'Perfil - externa'!AJ542</f>
        <v>2589271.9934770358</v>
      </c>
      <c r="AK544" s="219">
        <f>+'Perfil - interna'!AK544+'Perfil - externa'!AK542</f>
        <v>2474935.552068477</v>
      </c>
      <c r="AL544" s="219">
        <f>+'Perfil - interna'!AL544+'Perfil - externa'!AL542</f>
        <v>192076.35522329313</v>
      </c>
      <c r="AM544" s="219">
        <f>+'Perfil - interna'!AM544+'Perfil - externa'!AM542</f>
        <v>5813369.7489923611</v>
      </c>
      <c r="AN544" s="219">
        <f>+'Perfil - interna'!AN544+'Perfil - externa'!AN542</f>
        <v>4118.32335253564</v>
      </c>
      <c r="AO544" s="219">
        <f>+'Perfil - interna'!AO544+'Perfil - externa'!AO542</f>
        <v>4118.32335253564</v>
      </c>
      <c r="AP544" s="219">
        <f>+'Perfil - interna'!AP544+'Perfil - externa'!AP542</f>
        <v>4118.32335253564</v>
      </c>
      <c r="AQ544" s="219">
        <f>+'Perfil - interna'!AQ544+'Perfil - externa'!AQ542</f>
        <v>7877793.3233525353</v>
      </c>
      <c r="AR544" s="219">
        <f>+'Perfil - interna'!AR544+'Perfil - externa'!AR542</f>
        <v>4118.32335253564</v>
      </c>
      <c r="AS544" s="219">
        <f>+'Perfil - interna'!AS544+'Perfil - externa'!AS542</f>
        <v>4118.32335253564</v>
      </c>
      <c r="AT544" s="219">
        <f>+'Perfil - interna'!AT544+'Perfil - externa'!AT542</f>
        <v>7876697.8618445592</v>
      </c>
      <c r="AU544" s="219">
        <f>+'Perfil - interna'!AU544+'Perfil - externa'!AU542</f>
        <v>7876697.8618445592</v>
      </c>
      <c r="AV544" s="219">
        <f>+'Perfil - interna'!AV544+'Perfil - externa'!AV542</f>
        <v>3022.8618445593697</v>
      </c>
      <c r="AW544" s="219">
        <f>+'Perfil - interna'!AW544+'Perfil - externa'!AW542</f>
        <v>0</v>
      </c>
      <c r="AX544" s="219"/>
      <c r="AY544" s="219"/>
      <c r="AZ544" s="219"/>
      <c r="BA544" s="219"/>
      <c r="BB544" s="219"/>
      <c r="BC544" s="219"/>
      <c r="BD544" s="219"/>
      <c r="BE544" s="219"/>
      <c r="BF544" s="219"/>
      <c r="BG544" s="219"/>
      <c r="BH544" s="219"/>
      <c r="BI544" s="219"/>
      <c r="BJ544" s="219"/>
      <c r="BK544" s="219"/>
    </row>
    <row r="545" spans="1:63">
      <c r="A545" s="170">
        <v>42369</v>
      </c>
      <c r="B545" s="220" t="str">
        <f>Servicio_internaColumna_título_intereses</f>
        <v>Intereses</v>
      </c>
      <c r="C545" s="221"/>
      <c r="D545" s="222"/>
      <c r="E545" s="222"/>
      <c r="F545" s="222"/>
      <c r="G545" s="222"/>
      <c r="H545" s="222"/>
      <c r="I545" s="222"/>
      <c r="J545" s="222"/>
      <c r="K545" s="222"/>
      <c r="L545" s="222"/>
      <c r="M545" s="222"/>
      <c r="N545" s="222"/>
      <c r="O545" s="222"/>
      <c r="P545" s="222"/>
      <c r="Q545" s="222"/>
      <c r="R545" s="222">
        <f>+'Perfil - interna'!R545+'Perfil - externa'!R543</f>
        <v>19736162.338178754</v>
      </c>
      <c r="S545" s="222">
        <f>+'Perfil - interna'!S545+'Perfil - externa'!S543</f>
        <v>18476482.476925634</v>
      </c>
      <c r="T545" s="222">
        <f>+'Perfil - interna'!T545+'Perfil - externa'!T543</f>
        <v>17649058.973339461</v>
      </c>
      <c r="U545" s="222">
        <f>+'Perfil - interna'!U545+'Perfil - externa'!U543</f>
        <v>15848763.03661437</v>
      </c>
      <c r="V545" s="222">
        <f>+'Perfil - interna'!V545+'Perfil - externa'!V543</f>
        <v>14174374.415899619</v>
      </c>
      <c r="W545" s="222">
        <f>+'Perfil - interna'!W545+'Perfil - externa'!W543</f>
        <v>12224070.997212408</v>
      </c>
      <c r="X545" s="222">
        <f>+'Perfil - interna'!X545+'Perfil - externa'!X543</f>
        <v>11318259.347517902</v>
      </c>
      <c r="Y545" s="222">
        <f>+'Perfil - interna'!Y545+'Perfil - externa'!Y543</f>
        <v>10297257.881642215</v>
      </c>
      <c r="Z545" s="222">
        <f>+'Perfil - interna'!Z545+'Perfil - externa'!Z543</f>
        <v>9046531.4787588753</v>
      </c>
      <c r="AA545" s="222">
        <f>+'Perfil - interna'!AA545+'Perfil - externa'!AA543</f>
        <v>6159992.6953092869</v>
      </c>
      <c r="AB545" s="222">
        <f>+'Perfil - interna'!AB545+'Perfil - externa'!AB543</f>
        <v>5735567.8485495485</v>
      </c>
      <c r="AC545" s="222">
        <f>+'Perfil - interna'!AC545+'Perfil - externa'!AC543</f>
        <v>4706572.8199431049</v>
      </c>
      <c r="AD545" s="222">
        <f>+'Perfil - interna'!AD545+'Perfil - externa'!AD543</f>
        <v>4332803.5052192351</v>
      </c>
      <c r="AE545" s="222">
        <f>+'Perfil - interna'!AE545+'Perfil - externa'!AE543</f>
        <v>3408629.4791659126</v>
      </c>
      <c r="AF545" s="222">
        <f>+'Perfil - interna'!AF545+'Perfil - externa'!AF543</f>
        <v>3352472.7891545231</v>
      </c>
      <c r="AG545" s="222">
        <f>+'Perfil - interna'!AG545+'Perfil - externa'!AG543</f>
        <v>2626629.0464543742</v>
      </c>
      <c r="AH545" s="222">
        <f>+'Perfil - interna'!AH545+'Perfil - externa'!AH543</f>
        <v>2524761.2529284721</v>
      </c>
      <c r="AI545" s="222">
        <f>+'Perfil - interna'!AI545+'Perfil - externa'!AI543</f>
        <v>2412718.407150411</v>
      </c>
      <c r="AJ545" s="222">
        <f>+'Perfil - interna'!AJ545+'Perfil - externa'!AJ543</f>
        <v>1951603.5531504336</v>
      </c>
      <c r="AK545" s="222">
        <f>+'Perfil - interna'!AK545+'Perfil - externa'!AK543</f>
        <v>1822023.4161865888</v>
      </c>
      <c r="AL545" s="222">
        <f>+'Perfil - interna'!AL545+'Perfil - externa'!AL543</f>
        <v>1771968.3784230521</v>
      </c>
      <c r="AM545" s="222">
        <f>+'Perfil - interna'!AM545+'Perfil - externa'!AM543</f>
        <v>1763477.1658296059</v>
      </c>
      <c r="AN545" s="222">
        <f>+'Perfil - interna'!AN545+'Perfil - externa'!AN543</f>
        <v>1337244.7226607585</v>
      </c>
      <c r="AO545" s="222">
        <f>+'Perfil - interna'!AO545+'Perfil - externa'!AO543</f>
        <v>1334263.1978539925</v>
      </c>
      <c r="AP545" s="222">
        <f>+'Perfil - interna'!AP545+'Perfil - externa'!AP543</f>
        <v>1332076.66601338</v>
      </c>
      <c r="AQ545" s="222">
        <f>+'Perfil - interna'!AQ545+'Perfil - externa'!AQ543</f>
        <v>1089023.4428344402</v>
      </c>
      <c r="AR545" s="222">
        <f>+'Perfil - interna'!AR545+'Perfil - externa'!AR543</f>
        <v>836629.09635549365</v>
      </c>
      <c r="AS545" s="222">
        <f>+'Perfil - interna'!AS545+'Perfil - externa'!AS543</f>
        <v>836623.25457242737</v>
      </c>
      <c r="AT545" s="222">
        <f>+'Perfil - interna'!AT545+'Perfil - externa'!AT543</f>
        <v>615170.40744611435</v>
      </c>
      <c r="AU545" s="222">
        <f>+'Perfil - interna'!AU545+'Perfil - externa'!AU543</f>
        <v>196875.47725629489</v>
      </c>
      <c r="AV545" s="222">
        <f>+'Perfil - interna'!AV545+'Perfil - externa'!AV543</f>
        <v>27.760473228619986</v>
      </c>
      <c r="AW545" s="222">
        <f>+'Perfil - interna'!AW545+'Perfil - externa'!AW543</f>
        <v>0</v>
      </c>
      <c r="AX545" s="222"/>
      <c r="AY545" s="222"/>
      <c r="AZ545" s="222"/>
      <c r="BA545" s="222"/>
      <c r="BB545" s="222"/>
      <c r="BC545" s="222"/>
      <c r="BD545" s="222"/>
      <c r="BE545" s="222"/>
      <c r="BF545" s="222"/>
      <c r="BG545" s="222"/>
      <c r="BH545" s="222"/>
      <c r="BI545" s="222"/>
      <c r="BJ545" s="222"/>
      <c r="BK545" s="222"/>
    </row>
    <row r="546" spans="1:63">
      <c r="A546" s="171"/>
      <c r="B546" s="318" t="str">
        <f>Servicio_internaColumna_título_total</f>
        <v>Total</v>
      </c>
      <c r="C546" s="319"/>
      <c r="D546" s="320"/>
      <c r="E546" s="320"/>
      <c r="F546" s="320"/>
      <c r="G546" s="320"/>
      <c r="H546" s="320"/>
      <c r="I546" s="320"/>
      <c r="J546" s="320"/>
      <c r="K546" s="320"/>
      <c r="L546" s="320"/>
      <c r="M546" s="320"/>
      <c r="N546" s="320"/>
      <c r="O546" s="320"/>
      <c r="P546" s="320"/>
      <c r="Q546" s="320"/>
      <c r="R546" s="320">
        <f>+'Perfil - interna'!R546+'Perfil - externa'!R544</f>
        <v>55666029.022325024</v>
      </c>
      <c r="S546" s="320">
        <f>+'Perfil - interna'!S546+'Perfil - externa'!S544</f>
        <v>40072899.359604388</v>
      </c>
      <c r="T546" s="320">
        <f>+'Perfil - interna'!T546+'Perfil - externa'!T544</f>
        <v>40402391.442814127</v>
      </c>
      <c r="U546" s="320">
        <f>+'Perfil - interna'!U546+'Perfil - externa'!U544</f>
        <v>48167094.386765271</v>
      </c>
      <c r="V546" s="320">
        <f>+'Perfil - interna'!V546+'Perfil - externa'!V544</f>
        <v>36262604.189689837</v>
      </c>
      <c r="W546" s="320">
        <f>+'Perfil - interna'!W546+'Perfil - externa'!W544</f>
        <v>34872080.577048719</v>
      </c>
      <c r="X546" s="320">
        <f>+'Perfil - interna'!X546+'Perfil - externa'!X544</f>
        <v>25639416.134745944</v>
      </c>
      <c r="Y546" s="320">
        <f>+'Perfil - interna'!Y546+'Perfil - externa'!Y544</f>
        <v>30389397.298315935</v>
      </c>
      <c r="Z546" s="320">
        <f>+'Perfil - interna'!Z546+'Perfil - externa'!Z544</f>
        <v>46851878.240291178</v>
      </c>
      <c r="AA546" s="320">
        <f>+'Perfil - interna'!AA546+'Perfil - externa'!AA544</f>
        <v>13291736.05224295</v>
      </c>
      <c r="AB546" s="320">
        <f>+'Perfil - interna'!AB546+'Perfil - externa'!AB544</f>
        <v>23936813.894418485</v>
      </c>
      <c r="AC546" s="320">
        <f>+'Perfil - interna'!AC546+'Perfil - externa'!AC544</f>
        <v>11251439.791534018</v>
      </c>
      <c r="AD546" s="320">
        <f>+'Perfil - interna'!AD546+'Perfil - externa'!AD544</f>
        <v>21586440.284987338</v>
      </c>
      <c r="AE546" s="320">
        <f>+'Perfil - interna'!AE546+'Perfil - externa'!AE544</f>
        <v>5996083.9061602252</v>
      </c>
      <c r="AF546" s="320">
        <f>+'Perfil - interna'!AF546+'Perfil - externa'!AF544</f>
        <v>13217565.832622252</v>
      </c>
      <c r="AG546" s="320">
        <f>+'Perfil - interna'!AG546+'Perfil - externa'!AG544</f>
        <v>5759914.7605242543</v>
      </c>
      <c r="AH546" s="320">
        <f>+'Perfil - interna'!AH546+'Perfil - externa'!AH544</f>
        <v>5594781.1721389908</v>
      </c>
      <c r="AI546" s="320">
        <f>+'Perfil - interna'!AI546+'Perfil - externa'!AI544</f>
        <v>11535727.196858322</v>
      </c>
      <c r="AJ546" s="320">
        <f>+'Perfil - interna'!AJ546+'Perfil - externa'!AJ544</f>
        <v>4540875.5466274703</v>
      </c>
      <c r="AK546" s="320">
        <f>+'Perfil - interna'!AK546+'Perfil - externa'!AK544</f>
        <v>4296958.9682550663</v>
      </c>
      <c r="AL546" s="320">
        <f>+'Perfil - interna'!AL546+'Perfil - externa'!AL544</f>
        <v>1964044.7336463453</v>
      </c>
      <c r="AM546" s="320">
        <f>+'Perfil - interna'!AM546+'Perfil - externa'!AM544</f>
        <v>7576846.9148219666</v>
      </c>
      <c r="AN546" s="320">
        <f>+'Perfil - interna'!AN546+'Perfil - externa'!AN544</f>
        <v>1341363.0460132943</v>
      </c>
      <c r="AO546" s="320">
        <f>+'Perfil - interna'!AO546+'Perfil - externa'!AO544</f>
        <v>1338381.5212065282</v>
      </c>
      <c r="AP546" s="320">
        <f>+'Perfil - interna'!AP546+'Perfil - externa'!AP544</f>
        <v>1336194.9893659158</v>
      </c>
      <c r="AQ546" s="320">
        <f>+'Perfil - interna'!AQ546+'Perfil - externa'!AQ544</f>
        <v>8966816.7661869749</v>
      </c>
      <c r="AR546" s="320">
        <f>+'Perfil - interna'!AR546+'Perfil - externa'!AR544</f>
        <v>840747.41970802925</v>
      </c>
      <c r="AS546" s="320">
        <f>+'Perfil - interna'!AS546+'Perfil - externa'!AS544</f>
        <v>840741.57792496297</v>
      </c>
      <c r="AT546" s="320">
        <f>+'Perfil - interna'!AT546+'Perfil - externa'!AT544</f>
        <v>8491868.2692906745</v>
      </c>
      <c r="AU546" s="320">
        <f>+'Perfil - interna'!AU546+'Perfil - externa'!AU544</f>
        <v>8073573.3391008545</v>
      </c>
      <c r="AV546" s="320">
        <f>+'Perfil - interna'!AV546+'Perfil - externa'!AV544</f>
        <v>3050.6223177879897</v>
      </c>
      <c r="AW546" s="320">
        <f>+'Perfil - interna'!AW546+'Perfil - externa'!AW544</f>
        <v>0</v>
      </c>
      <c r="AX546" s="320"/>
      <c r="AY546" s="320"/>
      <c r="AZ546" s="320"/>
      <c r="BA546" s="320"/>
      <c r="BB546" s="320"/>
      <c r="BC546" s="320"/>
      <c r="BD546" s="320"/>
      <c r="BE546" s="320"/>
      <c r="BF546" s="320"/>
      <c r="BG546" s="320"/>
      <c r="BH546" s="320"/>
      <c r="BI546" s="320"/>
      <c r="BJ546" s="320"/>
      <c r="BK546" s="320"/>
    </row>
    <row r="547" spans="1:63">
      <c r="A547" s="167"/>
      <c r="B547" s="217" t="str">
        <f>Servicio_internaColumna_título_amortizaciones</f>
        <v>Amortizaciones</v>
      </c>
      <c r="C547" s="218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>
        <f>+'Perfil - interna'!R547+'Perfil - externa'!R545</f>
        <v>33683049.844040357</v>
      </c>
      <c r="S547" s="219">
        <f>+'Perfil - interna'!S547+'Perfil - externa'!S545</f>
        <v>22299718.302686311</v>
      </c>
      <c r="T547" s="219">
        <f>+'Perfil - interna'!T547+'Perfil - externa'!T545</f>
        <v>22942195.606660221</v>
      </c>
      <c r="U547" s="219">
        <f>+'Perfil - interna'!U547+'Perfil - externa'!U545</f>
        <v>33461506.849765349</v>
      </c>
      <c r="V547" s="219">
        <f>+'Perfil - interna'!V547+'Perfil - externa'!V545</f>
        <v>22927340.314738791</v>
      </c>
      <c r="W547" s="219">
        <f>+'Perfil - interna'!W547+'Perfil - externa'!W545</f>
        <v>23295367.047491327</v>
      </c>
      <c r="X547" s="219">
        <f>+'Perfil - interna'!X547+'Perfil - externa'!X545</f>
        <v>14489294.581221454</v>
      </c>
      <c r="Y547" s="219">
        <f>+'Perfil - interna'!Y547+'Perfil - externa'!Y545</f>
        <v>20495452.649183027</v>
      </c>
      <c r="Z547" s="219">
        <f>+'Perfil - interna'!Z547+'Perfil - externa'!Z545</f>
        <v>38444884.15488939</v>
      </c>
      <c r="AA547" s="219">
        <f>+'Perfil - interna'!AA547+'Perfil - externa'!AA545</f>
        <v>7765826.8757449575</v>
      </c>
      <c r="AB547" s="219">
        <f>+'Perfil - interna'!AB547+'Perfil - externa'!AB545</f>
        <v>19199494.3815649</v>
      </c>
      <c r="AC547" s="219">
        <f>+'Perfil - interna'!AC547+'Perfil - externa'!AC545</f>
        <v>6841368.8411539793</v>
      </c>
      <c r="AD547" s="219">
        <f>+'Perfil - interna'!AD547+'Perfil - externa'!AD545</f>
        <v>17483936.380722187</v>
      </c>
      <c r="AE547" s="219">
        <f>+'Perfil - interna'!AE547+'Perfil - externa'!AE545</f>
        <v>2775768.3334752447</v>
      </c>
      <c r="AF547" s="219">
        <f>+'Perfil - interna'!AF547+'Perfil - externa'!AF545</f>
        <v>10542918.558747869</v>
      </c>
      <c r="AG547" s="219">
        <f>+'Perfil - interna'!AG547+'Perfil - externa'!AG545</f>
        <v>3285651.6149667008</v>
      </c>
      <c r="AH547" s="219">
        <f>+'Perfil - interna'!AH547+'Perfil - externa'!AH545</f>
        <v>3219541.7505063349</v>
      </c>
      <c r="AI547" s="219">
        <f>+'Perfil - interna'!AI547+'Perfil - externa'!AI545</f>
        <v>9463821.5143765043</v>
      </c>
      <c r="AJ547" s="219">
        <f>+'Perfil - interna'!AJ547+'Perfil - externa'!AJ545</f>
        <v>2715370.5919102426</v>
      </c>
      <c r="AK547" s="219">
        <f>+'Perfil - interna'!AK547+'Perfil - externa'!AK545</f>
        <v>2600939.7025440545</v>
      </c>
      <c r="AL547" s="219">
        <f>+'Perfil - interna'!AL547+'Perfil - externa'!AL545</f>
        <v>201377.62880818002</v>
      </c>
      <c r="AM547" s="219">
        <f>+'Perfil - interna'!AM547+'Perfil - externa'!AM545</f>
        <v>6096613.3270776682</v>
      </c>
      <c r="AN547" s="219">
        <f>+'Perfil - interna'!AN547+'Perfil - externa'!AN545</f>
        <v>4318.9782939850247</v>
      </c>
      <c r="AO547" s="219">
        <f>+'Perfil - interna'!AO547+'Perfil - externa'!AO545</f>
        <v>4318.9782939850247</v>
      </c>
      <c r="AP547" s="219">
        <f>+'Perfil - interna'!AP547+'Perfil - externa'!AP545</f>
        <v>4318.9782939850247</v>
      </c>
      <c r="AQ547" s="219">
        <f>+'Perfil - interna'!AQ547+'Perfil - externa'!AQ545</f>
        <v>8261618.9782939851</v>
      </c>
      <c r="AR547" s="219">
        <f>+'Perfil - interna'!AR547+'Perfil - externa'!AR545</f>
        <v>4318.9782939850247</v>
      </c>
      <c r="AS547" s="219">
        <f>+'Perfil - interna'!AS547+'Perfil - externa'!AS545</f>
        <v>4318.9782939850247</v>
      </c>
      <c r="AT547" s="219">
        <f>+'Perfil - interna'!AT547+'Perfil - externa'!AT545</f>
        <v>8260470.1431807997</v>
      </c>
      <c r="AU547" s="219">
        <f>+'Perfil - interna'!AU547+'Perfil - externa'!AU545</f>
        <v>8260470.1431807997</v>
      </c>
      <c r="AV547" s="219">
        <f>+'Perfil - interna'!AV547+'Perfil - externa'!AV545</f>
        <v>3170.1431807993204</v>
      </c>
      <c r="AW547" s="219">
        <f>+'Perfil - interna'!AW547+'Perfil - externa'!AW545</f>
        <v>0</v>
      </c>
      <c r="AX547" s="219"/>
      <c r="AY547" s="219"/>
      <c r="AZ547" s="219"/>
      <c r="BA547" s="219"/>
      <c r="BB547" s="219"/>
      <c r="BC547" s="219"/>
      <c r="BD547" s="219"/>
      <c r="BE547" s="219"/>
      <c r="BF547" s="219"/>
      <c r="BG547" s="219"/>
      <c r="BH547" s="219"/>
      <c r="BI547" s="219"/>
      <c r="BJ547" s="219"/>
      <c r="BK547" s="219"/>
    </row>
    <row r="548" spans="1:63">
      <c r="A548" s="170">
        <v>42400</v>
      </c>
      <c r="B548" s="220" t="str">
        <f>Servicio_internaColumna_título_intereses</f>
        <v>Intereses</v>
      </c>
      <c r="C548" s="221"/>
      <c r="D548" s="222"/>
      <c r="E548" s="222"/>
      <c r="F548" s="222"/>
      <c r="G548" s="222"/>
      <c r="H548" s="222"/>
      <c r="I548" s="222"/>
      <c r="J548" s="222"/>
      <c r="K548" s="222"/>
      <c r="L548" s="222"/>
      <c r="M548" s="222"/>
      <c r="N548" s="222"/>
      <c r="O548" s="222"/>
      <c r="P548" s="222"/>
      <c r="Q548" s="222"/>
      <c r="R548" s="222">
        <f>+'Perfil - interna'!R548+'Perfil - externa'!R546</f>
        <v>19437038.302581701</v>
      </c>
      <c r="S548" s="222">
        <f>+'Perfil - interna'!S548+'Perfil - externa'!S546</f>
        <v>18945872.225299068</v>
      </c>
      <c r="T548" s="222">
        <f>+'Perfil - interna'!T548+'Perfil - externa'!T546</f>
        <v>17835015.356749669</v>
      </c>
      <c r="U548" s="222">
        <f>+'Perfil - interna'!U548+'Perfil - externa'!U546</f>
        <v>16063101.501163006</v>
      </c>
      <c r="V548" s="222">
        <f>+'Perfil - interna'!V548+'Perfil - externa'!V546</f>
        <v>14398028.807605537</v>
      </c>
      <c r="W548" s="222">
        <f>+'Perfil - interna'!W548+'Perfil - externa'!W546</f>
        <v>12385597.016381588</v>
      </c>
      <c r="X548" s="222">
        <f>+'Perfil - interna'!X548+'Perfil - externa'!X546</f>
        <v>11471086.458732545</v>
      </c>
      <c r="Y548" s="222">
        <f>+'Perfil - interna'!Y548+'Perfil - externa'!Y546</f>
        <v>10502376.440055974</v>
      </c>
      <c r="Z548" s="222">
        <f>+'Perfil - interna'!Z548+'Perfil - externa'!Z546</f>
        <v>9241348.6233530492</v>
      </c>
      <c r="AA548" s="222">
        <f>+'Perfil - interna'!AA548+'Perfil - externa'!AA546</f>
        <v>6347922.5102517279</v>
      </c>
      <c r="AB548" s="222">
        <f>+'Perfil - interna'!AB548+'Perfil - externa'!AB546</f>
        <v>5904774.8212885242</v>
      </c>
      <c r="AC548" s="222">
        <f>+'Perfil - interna'!AC548+'Perfil - externa'!AC546</f>
        <v>4818437.9647148382</v>
      </c>
      <c r="AD548" s="222">
        <f>+'Perfil - interna'!AD548+'Perfil - externa'!AD546</f>
        <v>4452490.6391353421</v>
      </c>
      <c r="AE548" s="222">
        <f>+'Perfil - interna'!AE548+'Perfil - externa'!AE546</f>
        <v>3530923.9966013096</v>
      </c>
      <c r="AF548" s="222">
        <f>+'Perfil - interna'!AF548+'Perfil - externa'!AF546</f>
        <v>3475575.4303187272</v>
      </c>
      <c r="AG548" s="222">
        <f>+'Perfil - interna'!AG548+'Perfil - externa'!AG546</f>
        <v>2714014.5248638117</v>
      </c>
      <c r="AH548" s="222">
        <f>+'Perfil - interna'!AH548+'Perfil - externa'!AH546</f>
        <v>2610856.8549928018</v>
      </c>
      <c r="AI548" s="222">
        <f>+'Perfil - interna'!AI548+'Perfil - externa'!AI546</f>
        <v>2499676.7318349397</v>
      </c>
      <c r="AJ548" s="222">
        <f>+'Perfil - interna'!AJ548+'Perfil - externa'!AJ546</f>
        <v>2025377.3087904803</v>
      </c>
      <c r="AK548" s="222">
        <f>+'Perfil - interna'!AK548+'Perfil - externa'!AK546</f>
        <v>1903509.1168592602</v>
      </c>
      <c r="AL548" s="222">
        <f>+'Perfil - interna'!AL548+'Perfil - externa'!AL546</f>
        <v>1856505.3327845351</v>
      </c>
      <c r="AM548" s="222">
        <f>+'Perfil - interna'!AM548+'Perfil - externa'!AM546</f>
        <v>1848269.0053593342</v>
      </c>
      <c r="AN548" s="222">
        <f>+'Perfil - interna'!AN548+'Perfil - externa'!AN546</f>
        <v>1401505.5397293875</v>
      </c>
      <c r="AO548" s="222">
        <f>+'Perfil - interna'!AO548+'Perfil - externa'!AO546</f>
        <v>1398523.7302964423</v>
      </c>
      <c r="AP548" s="222">
        <f>+'Perfil - interna'!AP548+'Perfil - externa'!AP546</f>
        <v>1396336.9220175275</v>
      </c>
      <c r="AQ548" s="222">
        <f>+'Perfil - interna'!AQ548+'Perfil - externa'!AQ546</f>
        <v>1141534.8903995324</v>
      </c>
      <c r="AR548" s="222">
        <f>+'Perfil - interna'!AR548+'Perfil - externa'!AR546</f>
        <v>877391.74366940698</v>
      </c>
      <c r="AS548" s="222">
        <f>+'Perfil - interna'!AS548+'Perfil - externa'!AS546</f>
        <v>877385.61726016202</v>
      </c>
      <c r="AT548" s="222">
        <f>+'Perfil - interna'!AT548+'Perfil - externa'!AT546</f>
        <v>645143.03745135537</v>
      </c>
      <c r="AU548" s="222">
        <f>+'Perfil - interna'!AU548+'Perfil - externa'!AU546</f>
        <v>206467.73944167164</v>
      </c>
      <c r="AV548" s="222">
        <f>+'Perfil - interna'!AV548+'Perfil - externa'!AV546</f>
        <v>29.113032426495103</v>
      </c>
      <c r="AW548" s="222">
        <f>+'Perfil - interna'!AW548+'Perfil - externa'!AW546</f>
        <v>0</v>
      </c>
      <c r="AX548" s="222"/>
      <c r="AY548" s="222"/>
      <c r="AZ548" s="222"/>
      <c r="BA548" s="222"/>
      <c r="BB548" s="222"/>
      <c r="BC548" s="222"/>
      <c r="BD548" s="222"/>
      <c r="BE548" s="222"/>
      <c r="BF548" s="222"/>
      <c r="BG548" s="222"/>
      <c r="BH548" s="222"/>
      <c r="BI548" s="222"/>
      <c r="BJ548" s="222"/>
      <c r="BK548" s="222"/>
    </row>
    <row r="549" spans="1:63">
      <c r="A549" s="171"/>
      <c r="B549" s="318" t="str">
        <f>Servicio_internaColumna_título_total</f>
        <v>Total</v>
      </c>
      <c r="C549" s="319"/>
      <c r="D549" s="320"/>
      <c r="E549" s="320"/>
      <c r="F549" s="320"/>
      <c r="G549" s="320"/>
      <c r="H549" s="320"/>
      <c r="I549" s="320"/>
      <c r="J549" s="320"/>
      <c r="K549" s="320"/>
      <c r="L549" s="320"/>
      <c r="M549" s="320"/>
      <c r="N549" s="320"/>
      <c r="O549" s="320"/>
      <c r="P549" s="320"/>
      <c r="Q549" s="320"/>
      <c r="R549" s="320">
        <f>+'Perfil - interna'!R549+'Perfil - externa'!R547</f>
        <v>53120088.146622062</v>
      </c>
      <c r="S549" s="320">
        <f>+'Perfil - interna'!S549+'Perfil - externa'!S547</f>
        <v>41245590.527985379</v>
      </c>
      <c r="T549" s="320">
        <f>+'Perfil - interna'!T549+'Perfil - externa'!T547</f>
        <v>40777210.963409886</v>
      </c>
      <c r="U549" s="320">
        <f>+'Perfil - interna'!U549+'Perfil - externa'!U547</f>
        <v>49524608.350928351</v>
      </c>
      <c r="V549" s="320">
        <f>+'Perfil - interna'!V549+'Perfil - externa'!V547</f>
        <v>37325369.12234433</v>
      </c>
      <c r="W549" s="320">
        <f>+'Perfil - interna'!W549+'Perfil - externa'!W547</f>
        <v>35680964.063872918</v>
      </c>
      <c r="X549" s="320">
        <f>+'Perfil - interna'!X549+'Perfil - externa'!X547</f>
        <v>25960381.039953999</v>
      </c>
      <c r="Y549" s="320">
        <f>+'Perfil - interna'!Y549+'Perfil - externa'!Y547</f>
        <v>30997829.089239001</v>
      </c>
      <c r="Z549" s="320">
        <f>+'Perfil - interna'!Z549+'Perfil - externa'!Z547</f>
        <v>47686232.778242439</v>
      </c>
      <c r="AA549" s="320">
        <f>+'Perfil - interna'!AA549+'Perfil - externa'!AA547</f>
        <v>14113749.385996684</v>
      </c>
      <c r="AB549" s="320">
        <f>+'Perfil - interna'!AB549+'Perfil - externa'!AB547</f>
        <v>25104269.202853426</v>
      </c>
      <c r="AC549" s="320">
        <f>+'Perfil - interna'!AC549+'Perfil - externa'!AC547</f>
        <v>11659806.805868817</v>
      </c>
      <c r="AD549" s="320">
        <f>+'Perfil - interna'!AD549+'Perfil - externa'!AD547</f>
        <v>21936427.01985753</v>
      </c>
      <c r="AE549" s="320">
        <f>+'Perfil - interna'!AE549+'Perfil - externa'!AE547</f>
        <v>6306692.3300765539</v>
      </c>
      <c r="AF549" s="320">
        <f>+'Perfil - interna'!AF549+'Perfil - externa'!AF547</f>
        <v>14018493.989066597</v>
      </c>
      <c r="AG549" s="320">
        <f>+'Perfil - interna'!AG549+'Perfil - externa'!AG547</f>
        <v>5999666.139830512</v>
      </c>
      <c r="AH549" s="320">
        <f>+'Perfil - interna'!AH549+'Perfil - externa'!AH547</f>
        <v>5830398.6054991372</v>
      </c>
      <c r="AI549" s="320">
        <f>+'Perfil - interna'!AI549+'Perfil - externa'!AI547</f>
        <v>11963498.246211443</v>
      </c>
      <c r="AJ549" s="320">
        <f>+'Perfil - interna'!AJ549+'Perfil - externa'!AJ547</f>
        <v>4740747.9007007228</v>
      </c>
      <c r="AK549" s="320">
        <f>+'Perfil - interna'!AK549+'Perfil - externa'!AK547</f>
        <v>4504448.819403315</v>
      </c>
      <c r="AL549" s="320">
        <f>+'Perfil - interna'!AL549+'Perfil - externa'!AL547</f>
        <v>2057882.9615927152</v>
      </c>
      <c r="AM549" s="320">
        <f>+'Perfil - interna'!AM549+'Perfil - externa'!AM547</f>
        <v>7944882.3324370021</v>
      </c>
      <c r="AN549" s="320">
        <f>+'Perfil - interna'!AN549+'Perfil - externa'!AN547</f>
        <v>1405824.5180233726</v>
      </c>
      <c r="AO549" s="320">
        <f>+'Perfil - interna'!AO549+'Perfil - externa'!AO547</f>
        <v>1402842.7085904274</v>
      </c>
      <c r="AP549" s="320">
        <f>+'Perfil - interna'!AP549+'Perfil - externa'!AP547</f>
        <v>1400655.9003115126</v>
      </c>
      <c r="AQ549" s="320">
        <f>+'Perfil - interna'!AQ549+'Perfil - externa'!AQ547</f>
        <v>9403153.8686935175</v>
      </c>
      <c r="AR549" s="320">
        <f>+'Perfil - interna'!AR549+'Perfil - externa'!AR547</f>
        <v>881710.72196339199</v>
      </c>
      <c r="AS549" s="320">
        <f>+'Perfil - interna'!AS549+'Perfil - externa'!AS547</f>
        <v>881704.59555414703</v>
      </c>
      <c r="AT549" s="320">
        <f>+'Perfil - interna'!AT549+'Perfil - externa'!AT547</f>
        <v>8905613.1806321554</v>
      </c>
      <c r="AU549" s="320">
        <f>+'Perfil - interna'!AU549+'Perfil - externa'!AU547</f>
        <v>8466937.8826224711</v>
      </c>
      <c r="AV549" s="320">
        <f>+'Perfil - interna'!AV549+'Perfil - externa'!AV547</f>
        <v>3199.2562132258154</v>
      </c>
      <c r="AW549" s="320">
        <f>+'Perfil - interna'!AW549+'Perfil - externa'!AW547</f>
        <v>0</v>
      </c>
      <c r="AX549" s="320"/>
      <c r="AY549" s="320"/>
      <c r="AZ549" s="320"/>
      <c r="BA549" s="320"/>
      <c r="BB549" s="320"/>
      <c r="BC549" s="320"/>
      <c r="BD549" s="320"/>
      <c r="BE549" s="320"/>
      <c r="BF549" s="320"/>
      <c r="BG549" s="320"/>
      <c r="BH549" s="320"/>
      <c r="BI549" s="320"/>
      <c r="BJ549" s="320"/>
      <c r="BK549" s="320"/>
    </row>
    <row r="550" spans="1:63">
      <c r="A550" s="167"/>
      <c r="B550" s="217" t="str">
        <f>Servicio_internaColumna_título_amortizaciones</f>
        <v>Amortizaciones</v>
      </c>
      <c r="C550" s="218"/>
      <c r="D550" s="219"/>
      <c r="E550" s="219"/>
      <c r="F550" s="219"/>
      <c r="G550" s="219"/>
      <c r="H550" s="219"/>
      <c r="I550" s="219"/>
      <c r="J550" s="219"/>
      <c r="K550" s="219"/>
      <c r="L550" s="219"/>
      <c r="M550" s="219"/>
      <c r="N550" s="219"/>
      <c r="O550" s="219"/>
      <c r="P550" s="219"/>
      <c r="Q550" s="219"/>
      <c r="R550" s="219">
        <f>+'Perfil - interna'!R550+'Perfil - externa'!R548</f>
        <v>33891332.988571122</v>
      </c>
      <c r="S550" s="219">
        <f>+'Perfil - interna'!S550+'Perfil - externa'!S548</f>
        <v>22960529.814697523</v>
      </c>
      <c r="T550" s="219">
        <f>+'Perfil - interna'!T550+'Perfil - externa'!T548</f>
        <v>22903865.359698381</v>
      </c>
      <c r="U550" s="219">
        <f>+'Perfil - interna'!U550+'Perfil - externa'!U548</f>
        <v>34017945.21247334</v>
      </c>
      <c r="V550" s="219">
        <f>+'Perfil - interna'!V550+'Perfil - externa'!V548</f>
        <v>23028656.550733399</v>
      </c>
      <c r="W550" s="219">
        <f>+'Perfil - interna'!W550+'Perfil - externa'!W548</f>
        <v>23845793.805440664</v>
      </c>
      <c r="X550" s="219">
        <f>+'Perfil - interna'!X550+'Perfil - externa'!X548</f>
        <v>15027026.649730425</v>
      </c>
      <c r="Y550" s="219">
        <f>+'Perfil - interna'!Y550+'Perfil - externa'!Y548</f>
        <v>20614838.355316814</v>
      </c>
      <c r="Z550" s="219">
        <f>+'Perfil - interna'!Z550+'Perfil - externa'!Z548</f>
        <v>38450579.450129896</v>
      </c>
      <c r="AA550" s="219">
        <f>+'Perfil - interna'!AA550+'Perfil - externa'!AA548</f>
        <v>8414416.8608015664</v>
      </c>
      <c r="AB550" s="219">
        <f>+'Perfil - interna'!AB550+'Perfil - externa'!AB548</f>
        <v>20154568.670973275</v>
      </c>
      <c r="AC550" s="219">
        <f>+'Perfil - interna'!AC550+'Perfil - externa'!AC548</f>
        <v>6834076.1217318196</v>
      </c>
      <c r="AD550" s="219">
        <f>+'Perfil - interna'!AD550+'Perfil - externa'!AD548</f>
        <v>17487815.412547994</v>
      </c>
      <c r="AE550" s="219">
        <f>+'Perfil - interna'!AE550+'Perfil - externa'!AE548</f>
        <v>2775630.4099290464</v>
      </c>
      <c r="AF550" s="219">
        <f>+'Perfil - interna'!AF550+'Perfil - externa'!AF548</f>
        <v>11336741.020582408</v>
      </c>
      <c r="AG550" s="219">
        <f>+'Perfil - interna'!AG550+'Perfil - externa'!AG548</f>
        <v>3289321.720959641</v>
      </c>
      <c r="AH550" s="219">
        <f>+'Perfil - interna'!AH550+'Perfil - externa'!AH548</f>
        <v>3223150.2085082438</v>
      </c>
      <c r="AI550" s="219">
        <f>+'Perfil - interna'!AI550+'Perfil - externa'!AI548</f>
        <v>9885839.7806827128</v>
      </c>
      <c r="AJ550" s="219">
        <f>+'Perfil - interna'!AJ550+'Perfil - externa'!AJ548</f>
        <v>2717801.9786856165</v>
      </c>
      <c r="AK550" s="219">
        <f>+'Perfil - interna'!AK550+'Perfil - externa'!AK548</f>
        <v>2587663.4336962048</v>
      </c>
      <c r="AL550" s="219">
        <f>+'Perfil - interna'!AL550+'Perfil - externa'!AL548</f>
        <v>201549.11816918486</v>
      </c>
      <c r="AM550" s="219">
        <f>+'Perfil - interna'!AM550+'Perfil - externa'!AM548</f>
        <v>6102226.3688760651</v>
      </c>
      <c r="AN550" s="219">
        <f>+'Perfil - interna'!AN550+'Perfil - externa'!AN548</f>
        <v>4323.0057766807822</v>
      </c>
      <c r="AO550" s="219">
        <f>+'Perfil - interna'!AO550+'Perfil - externa'!AO548</f>
        <v>4323.0057766807822</v>
      </c>
      <c r="AP550" s="219">
        <f>+'Perfil - interna'!AP550+'Perfil - externa'!AP548</f>
        <v>4323.0057766807822</v>
      </c>
      <c r="AQ550" s="219">
        <f>+'Perfil - interna'!AQ550+'Perfil - externa'!AQ548</f>
        <v>8269323.005776681</v>
      </c>
      <c r="AR550" s="219">
        <f>+'Perfil - interna'!AR550+'Perfil - externa'!AR548</f>
        <v>4323.0057766807822</v>
      </c>
      <c r="AS550" s="219">
        <f>+'Perfil - interna'!AS550+'Perfil - externa'!AS548</f>
        <v>4323.0057766807822</v>
      </c>
      <c r="AT550" s="219">
        <f>+'Perfil - interna'!AT550+'Perfil - externa'!AT548</f>
        <v>8268173.0993653266</v>
      </c>
      <c r="AU550" s="219">
        <f>+'Perfil - interna'!AU550+'Perfil - externa'!AU548</f>
        <v>8268173.0993653266</v>
      </c>
      <c r="AV550" s="219">
        <f>+'Perfil - interna'!AV550+'Perfil - externa'!AV548</f>
        <v>3173.0993653260002</v>
      </c>
      <c r="AW550" s="219">
        <f>+'Perfil - interna'!AW550+'Perfil - externa'!AW548</f>
        <v>0</v>
      </c>
      <c r="AX550" s="219"/>
      <c r="AY550" s="219"/>
      <c r="AZ550" s="219"/>
      <c r="BA550" s="219"/>
      <c r="BB550" s="219"/>
      <c r="BC550" s="219"/>
      <c r="BD550" s="219"/>
      <c r="BE550" s="219"/>
      <c r="BF550" s="219"/>
      <c r="BG550" s="219"/>
      <c r="BH550" s="219"/>
      <c r="BI550" s="219"/>
      <c r="BJ550" s="219"/>
      <c r="BK550" s="219"/>
    </row>
    <row r="551" spans="1:63">
      <c r="A551" s="170">
        <v>42429</v>
      </c>
      <c r="B551" s="220" t="str">
        <f>Servicio_internaColumna_título_intereses</f>
        <v>Intereses</v>
      </c>
      <c r="C551" s="221"/>
      <c r="D551" s="222"/>
      <c r="E551" s="222"/>
      <c r="F551" s="222"/>
      <c r="G551" s="222"/>
      <c r="H551" s="222"/>
      <c r="I551" s="222"/>
      <c r="J551" s="222"/>
      <c r="K551" s="222"/>
      <c r="L551" s="222"/>
      <c r="M551" s="222"/>
      <c r="N551" s="222"/>
      <c r="O551" s="222"/>
      <c r="P551" s="222"/>
      <c r="Q551" s="222"/>
      <c r="R551" s="222">
        <f>+'Perfil - interna'!R551+'Perfil - externa'!R549</f>
        <v>18337058.770905197</v>
      </c>
      <c r="S551" s="222">
        <f>+'Perfil - interna'!S551+'Perfil - externa'!S549</f>
        <v>19347336.330383413</v>
      </c>
      <c r="T551" s="222">
        <f>+'Perfil - interna'!T551+'Perfil - externa'!T549</f>
        <v>18182254.955873501</v>
      </c>
      <c r="U551" s="222">
        <f>+'Perfil - interna'!U551+'Perfil - externa'!U549</f>
        <v>16263452.031033609</v>
      </c>
      <c r="V551" s="222">
        <f>+'Perfil - interna'!V551+'Perfil - externa'!V549</f>
        <v>14580444.895896412</v>
      </c>
      <c r="W551" s="222">
        <f>+'Perfil - interna'!W551+'Perfil - externa'!W549</f>
        <v>12519810.361962341</v>
      </c>
      <c r="X551" s="222">
        <f>+'Perfil - interna'!X551+'Perfil - externa'!X549</f>
        <v>11564125.228086464</v>
      </c>
      <c r="Y551" s="222">
        <f>+'Perfil - interna'!Y551+'Perfil - externa'!Y549</f>
        <v>10592654.028946109</v>
      </c>
      <c r="Z551" s="222">
        <f>+'Perfil - interna'!Z551+'Perfil - externa'!Z549</f>
        <v>9325808.8924992681</v>
      </c>
      <c r="AA551" s="222">
        <f>+'Perfil - interna'!AA551+'Perfil - externa'!AA549</f>
        <v>6429535.9416141119</v>
      </c>
      <c r="AB551" s="222">
        <f>+'Perfil - interna'!AB551+'Perfil - externa'!AB549</f>
        <v>5986847.9113365952</v>
      </c>
      <c r="AC551" s="222">
        <f>+'Perfil - interna'!AC551+'Perfil - externa'!AC549</f>
        <v>4833559.3810450034</v>
      </c>
      <c r="AD551" s="222">
        <f>+'Perfil - interna'!AD551+'Perfil - externa'!AD549</f>
        <v>4479028.0870895777</v>
      </c>
      <c r="AE551" s="222">
        <f>+'Perfil - interna'!AE551+'Perfil - externa'!AE549</f>
        <v>3563886.1895813914</v>
      </c>
      <c r="AF551" s="222">
        <f>+'Perfil - interna'!AF551+'Perfil - externa'!AF549</f>
        <v>3511878.5829213802</v>
      </c>
      <c r="AG551" s="222">
        <f>+'Perfil - interna'!AG551+'Perfil - externa'!AG549</f>
        <v>2711435.0352641754</v>
      </c>
      <c r="AH551" s="222">
        <f>+'Perfil - interna'!AH551+'Perfil - externa'!AH549</f>
        <v>2612092.3221046478</v>
      </c>
      <c r="AI551" s="222">
        <f>+'Perfil - interna'!AI551+'Perfil - externa'!AI549</f>
        <v>2505881.5041607576</v>
      </c>
      <c r="AJ551" s="222">
        <f>+'Perfil - interna'!AJ551+'Perfil - externa'!AJ549</f>
        <v>2010699.4825791782</v>
      </c>
      <c r="AK551" s="222">
        <f>+'Perfil - interna'!AK551+'Perfil - externa'!AK549</f>
        <v>1896206.4835033244</v>
      </c>
      <c r="AL551" s="222">
        <f>+'Perfil - interna'!AL551+'Perfil - externa'!AL549</f>
        <v>1851895.0636395703</v>
      </c>
      <c r="AM551" s="222">
        <f>+'Perfil - interna'!AM551+'Perfil - externa'!AM549</f>
        <v>1843975.9630706452</v>
      </c>
      <c r="AN551" s="222">
        <f>+'Perfil - interna'!AN551+'Perfil - externa'!AN549</f>
        <v>1397638.8214484041</v>
      </c>
      <c r="AO551" s="222">
        <f>+'Perfil - interna'!AO551+'Perfil - externa'!AO549</f>
        <v>1395716.772856652</v>
      </c>
      <c r="AP551" s="222">
        <f>+'Perfil - interna'!AP551+'Perfil - externa'!AP549</f>
        <v>1393794.9006684148</v>
      </c>
      <c r="AQ551" s="222">
        <f>+'Perfil - interna'!AQ551+'Perfil - externa'!AQ549</f>
        <v>1138757.0506731381</v>
      </c>
      <c r="AR551" s="222">
        <f>+'Perfil - interna'!AR551+'Perfil - externa'!AR549</f>
        <v>878209.91866925615</v>
      </c>
      <c r="AS551" s="222">
        <f>+'Perfil - interna'!AS551+'Perfil - externa'!AS549</f>
        <v>878203.78654708422</v>
      </c>
      <c r="AT551" s="222">
        <f>+'Perfil - interna'!AT551+'Perfil - externa'!AT549</f>
        <v>645744.63862708781</v>
      </c>
      <c r="AU551" s="222">
        <f>+'Perfil - interna'!AU551+'Perfil - externa'!AU549</f>
        <v>206660.27230274011</v>
      </c>
      <c r="AV551" s="222">
        <f>+'Perfil - interna'!AV551+'Perfil - externa'!AV549</f>
        <v>29.140180568101194</v>
      </c>
      <c r="AW551" s="222">
        <f>+'Perfil - interna'!AW551+'Perfil - externa'!AW549</f>
        <v>0</v>
      </c>
      <c r="AX551" s="222"/>
      <c r="AY551" s="222"/>
      <c r="AZ551" s="222"/>
      <c r="BA551" s="222"/>
      <c r="BB551" s="222"/>
      <c r="BC551" s="222"/>
      <c r="BD551" s="222"/>
      <c r="BE551" s="222"/>
      <c r="BF551" s="222"/>
      <c r="BG551" s="222"/>
      <c r="BH551" s="222"/>
      <c r="BI551" s="222"/>
      <c r="BJ551" s="222"/>
      <c r="BK551" s="222"/>
    </row>
    <row r="552" spans="1:63">
      <c r="A552" s="171"/>
      <c r="B552" s="318" t="str">
        <f>Servicio_internaColumna_título_total</f>
        <v>Total</v>
      </c>
      <c r="C552" s="319"/>
      <c r="D552" s="320"/>
      <c r="E552" s="320"/>
      <c r="F552" s="320"/>
      <c r="G552" s="320"/>
      <c r="H552" s="320"/>
      <c r="I552" s="320"/>
      <c r="J552" s="320"/>
      <c r="K552" s="320"/>
      <c r="L552" s="320"/>
      <c r="M552" s="320"/>
      <c r="N552" s="320"/>
      <c r="O552" s="320"/>
      <c r="P552" s="320"/>
      <c r="Q552" s="320"/>
      <c r="R552" s="320">
        <f>+'Perfil - interna'!R552+'Perfil - externa'!R550</f>
        <v>52228391.759476319</v>
      </c>
      <c r="S552" s="320">
        <f>+'Perfil - interna'!S552+'Perfil - externa'!S550</f>
        <v>42307866.145080939</v>
      </c>
      <c r="T552" s="320">
        <f>+'Perfil - interna'!T552+'Perfil - externa'!T550</f>
        <v>41086120.315571882</v>
      </c>
      <c r="U552" s="320">
        <f>+'Perfil - interna'!U552+'Perfil - externa'!U550</f>
        <v>50281397.243506953</v>
      </c>
      <c r="V552" s="320">
        <f>+'Perfil - interna'!V552+'Perfil - externa'!V550</f>
        <v>37609101.446629815</v>
      </c>
      <c r="W552" s="320">
        <f>+'Perfil - interna'!W552+'Perfil - externa'!W550</f>
        <v>36365604.167403005</v>
      </c>
      <c r="X552" s="320">
        <f>+'Perfil - interna'!X552+'Perfil - externa'!X550</f>
        <v>26591151.877816886</v>
      </c>
      <c r="Y552" s="320">
        <f>+'Perfil - interna'!Y552+'Perfil - externa'!Y550</f>
        <v>31207492.384262923</v>
      </c>
      <c r="Z552" s="320">
        <f>+'Perfil - interna'!Z552+'Perfil - externa'!Z550</f>
        <v>47776388.342629164</v>
      </c>
      <c r="AA552" s="320">
        <f>+'Perfil - interna'!AA552+'Perfil - externa'!AA550</f>
        <v>14843952.802415678</v>
      </c>
      <c r="AB552" s="320">
        <f>+'Perfil - interna'!AB552+'Perfil - externa'!AB550</f>
        <v>26141416.582309868</v>
      </c>
      <c r="AC552" s="320">
        <f>+'Perfil - interna'!AC552+'Perfil - externa'!AC550</f>
        <v>11667635.502776824</v>
      </c>
      <c r="AD552" s="320">
        <f>+'Perfil - interna'!AD552+'Perfil - externa'!AD550</f>
        <v>21966843.499637574</v>
      </c>
      <c r="AE552" s="320">
        <f>+'Perfil - interna'!AE552+'Perfil - externa'!AE550</f>
        <v>6339516.5995104378</v>
      </c>
      <c r="AF552" s="320">
        <f>+'Perfil - interna'!AF552+'Perfil - externa'!AF550</f>
        <v>14848619.603503788</v>
      </c>
      <c r="AG552" s="320">
        <f>+'Perfil - interna'!AG552+'Perfil - externa'!AG550</f>
        <v>6000756.7562238155</v>
      </c>
      <c r="AH552" s="320">
        <f>+'Perfil - interna'!AH552+'Perfil - externa'!AH550</f>
        <v>5835242.5306128915</v>
      </c>
      <c r="AI552" s="320">
        <f>+'Perfil - interna'!AI552+'Perfil - externa'!AI550</f>
        <v>12391721.284843471</v>
      </c>
      <c r="AJ552" s="320">
        <f>+'Perfil - interna'!AJ552+'Perfil - externa'!AJ550</f>
        <v>4728501.4612647947</v>
      </c>
      <c r="AK552" s="320">
        <f>+'Perfil - interna'!AK552+'Perfil - externa'!AK550</f>
        <v>4483869.9171995288</v>
      </c>
      <c r="AL552" s="320">
        <f>+'Perfil - interna'!AL552+'Perfil - externa'!AL550</f>
        <v>2053444.181808755</v>
      </c>
      <c r="AM552" s="320">
        <f>+'Perfil - interna'!AM552+'Perfil - externa'!AM550</f>
        <v>7946202.3319467101</v>
      </c>
      <c r="AN552" s="320">
        <f>+'Perfil - interna'!AN552+'Perfil - externa'!AN550</f>
        <v>1401961.8272250849</v>
      </c>
      <c r="AO552" s="320">
        <f>+'Perfil - interna'!AO552+'Perfil - externa'!AO550</f>
        <v>1400039.7786333328</v>
      </c>
      <c r="AP552" s="320">
        <f>+'Perfil - interna'!AP552+'Perfil - externa'!AP550</f>
        <v>1398117.9064450955</v>
      </c>
      <c r="AQ552" s="320">
        <f>+'Perfil - interna'!AQ552+'Perfil - externa'!AQ550</f>
        <v>9408080.0564498194</v>
      </c>
      <c r="AR552" s="320">
        <f>+'Perfil - interna'!AR552+'Perfil - externa'!AR550</f>
        <v>882532.92444593692</v>
      </c>
      <c r="AS552" s="320">
        <f>+'Perfil - interna'!AS552+'Perfil - externa'!AS550</f>
        <v>882526.792323765</v>
      </c>
      <c r="AT552" s="320">
        <f>+'Perfil - interna'!AT552+'Perfil - externa'!AT550</f>
        <v>8913917.7379924152</v>
      </c>
      <c r="AU552" s="320">
        <f>+'Perfil - interna'!AU552+'Perfil - externa'!AU550</f>
        <v>8474833.3716680668</v>
      </c>
      <c r="AV552" s="320">
        <f>+'Perfil - interna'!AV552+'Perfil - externa'!AV550</f>
        <v>3202.2395458941014</v>
      </c>
      <c r="AW552" s="320">
        <f>+'Perfil - interna'!AW552+'Perfil - externa'!AW550</f>
        <v>0</v>
      </c>
      <c r="AX552" s="320"/>
      <c r="AY552" s="320"/>
      <c r="AZ552" s="320"/>
      <c r="BA552" s="320"/>
      <c r="BB552" s="320"/>
      <c r="BC552" s="320"/>
      <c r="BD552" s="320"/>
      <c r="BE552" s="320"/>
      <c r="BF552" s="320"/>
      <c r="BG552" s="320"/>
      <c r="BH552" s="320"/>
      <c r="BI552" s="320"/>
      <c r="BJ552" s="320"/>
      <c r="BK552" s="320"/>
    </row>
    <row r="553" spans="1:63">
      <c r="A553" s="167"/>
      <c r="B553" s="217" t="str">
        <f>Servicio_internaColumna_título_amortizaciones</f>
        <v>Amortizaciones</v>
      </c>
      <c r="C553" s="218"/>
      <c r="D553" s="219"/>
      <c r="E553" s="219"/>
      <c r="F553" s="219"/>
      <c r="G553" s="219"/>
      <c r="H553" s="219"/>
      <c r="I553" s="219"/>
      <c r="J553" s="219"/>
      <c r="K553" s="219"/>
      <c r="L553" s="219"/>
      <c r="M553" s="219"/>
      <c r="N553" s="219"/>
      <c r="O553" s="219"/>
      <c r="P553" s="219"/>
      <c r="Q553" s="219"/>
      <c r="R553" s="219">
        <f>+'Perfil - interna'!R553+'Perfil - externa'!R551</f>
        <v>31379648.135517389</v>
      </c>
      <c r="S553" s="219">
        <f>+'Perfil - interna'!S553+'Perfil - externa'!S551</f>
        <v>23018662.475433223</v>
      </c>
      <c r="T553" s="219">
        <f>+'Perfil - interna'!T553+'Perfil - externa'!T551</f>
        <v>22624730.281808041</v>
      </c>
      <c r="U553" s="219">
        <f>+'Perfil - interna'!U553+'Perfil - externa'!U551</f>
        <v>33189199.665090755</v>
      </c>
      <c r="V553" s="219">
        <f>+'Perfil - interna'!V553+'Perfil - externa'!V551</f>
        <v>22582902.631407827</v>
      </c>
      <c r="W553" s="219">
        <f>+'Perfil - interna'!W553+'Perfil - externa'!W551</f>
        <v>23385955.213853564</v>
      </c>
      <c r="X553" s="219">
        <f>+'Perfil - interna'!X553+'Perfil - externa'!X551</f>
        <v>15923497.791921817</v>
      </c>
      <c r="Y553" s="219">
        <f>+'Perfil - interna'!Y553+'Perfil - externa'!Y551</f>
        <v>20312153.57942196</v>
      </c>
      <c r="Z553" s="219">
        <f>+'Perfil - interna'!Z553+'Perfil - externa'!Z551</f>
        <v>37374443.170827985</v>
      </c>
      <c r="AA553" s="219">
        <f>+'Perfil - interna'!AA553+'Perfil - externa'!AA551</f>
        <v>8376316.8811437581</v>
      </c>
      <c r="AB553" s="219">
        <f>+'Perfil - interna'!AB553+'Perfil - externa'!AB551</f>
        <v>25176272.186912403</v>
      </c>
      <c r="AC553" s="219">
        <f>+'Perfil - interna'!AC553+'Perfil - externa'!AC551</f>
        <v>6414582.2260315381</v>
      </c>
      <c r="AD553" s="219">
        <f>+'Perfil - interna'!AD553+'Perfil - externa'!AD551</f>
        <v>17173585.735553667</v>
      </c>
      <c r="AE553" s="219">
        <f>+'Perfil - interna'!AE553+'Perfil - externa'!AE551</f>
        <v>2537394.5582609479</v>
      </c>
      <c r="AF553" s="219">
        <f>+'Perfil - interna'!AF553+'Perfil - externa'!AF551</f>
        <v>12464531.00251025</v>
      </c>
      <c r="AG553" s="219">
        <f>+'Perfil - interna'!AG553+'Perfil - externa'!AG551</f>
        <v>3004966.6479768376</v>
      </c>
      <c r="AH553" s="219">
        <f>+'Perfil - interna'!AH553+'Perfil - externa'!AH551</f>
        <v>2944472.5552189783</v>
      </c>
      <c r="AI553" s="219">
        <f>+'Perfil - interna'!AI553+'Perfil - externa'!AI551</f>
        <v>10011156.81139092</v>
      </c>
      <c r="AJ553" s="219">
        <f>+'Perfil - interna'!AJ553+'Perfil - externa'!AJ551</f>
        <v>2483932.3444480058</v>
      </c>
      <c r="AK553" s="219">
        <f>+'Perfil - interna'!AK553+'Perfil - externa'!AK551</f>
        <v>3207979.7775975</v>
      </c>
      <c r="AL553" s="219">
        <f>+'Perfil - interna'!AL553+'Perfil - externa'!AL551</f>
        <v>184293.12966524338</v>
      </c>
      <c r="AM553" s="219">
        <f>+'Perfil - interna'!AM553+'Perfil - externa'!AM551</f>
        <v>5578697.1589305885</v>
      </c>
      <c r="AN553" s="219">
        <f>+'Perfil - interna'!AN553+'Perfil - externa'!AN551</f>
        <v>3952.0981576379804</v>
      </c>
      <c r="AO553" s="219">
        <f>+'Perfil - interna'!AO553+'Perfil - externa'!AO551</f>
        <v>3952.0981576379804</v>
      </c>
      <c r="AP553" s="219">
        <f>+'Perfil - interna'!AP553+'Perfil - externa'!AP551</f>
        <v>3952.0981576379804</v>
      </c>
      <c r="AQ553" s="219">
        <f>+'Perfil - interna'!AQ553+'Perfil - externa'!AQ551</f>
        <v>7559827.0981576378</v>
      </c>
      <c r="AR553" s="219">
        <f>+'Perfil - interna'!AR553+'Perfil - externa'!AR551</f>
        <v>3952.0981576379804</v>
      </c>
      <c r="AS553" s="219">
        <f>+'Perfil - interna'!AS553+'Perfil - externa'!AS551</f>
        <v>3952.0981576379804</v>
      </c>
      <c r="AT553" s="219">
        <f>+'Perfil - interna'!AT553+'Perfil - externa'!AT551</f>
        <v>7558775.8520468222</v>
      </c>
      <c r="AU553" s="219">
        <f>+'Perfil - interna'!AU553+'Perfil - externa'!AU551</f>
        <v>7558775.8520468222</v>
      </c>
      <c r="AV553" s="219">
        <f>+'Perfil - interna'!AV553+'Perfil - externa'!AV551</f>
        <v>2900.8520468218499</v>
      </c>
      <c r="AW553" s="219">
        <f>+'Perfil - interna'!AW553+'Perfil - externa'!AW551</f>
        <v>0</v>
      </c>
      <c r="AX553" s="219"/>
      <c r="AY553" s="219"/>
      <c r="AZ553" s="219"/>
      <c r="BA553" s="219"/>
      <c r="BB553" s="219"/>
      <c r="BC553" s="219"/>
      <c r="BD553" s="219"/>
      <c r="BE553" s="219"/>
      <c r="BF553" s="219"/>
      <c r="BG553" s="219"/>
      <c r="BH553" s="219"/>
      <c r="BI553" s="219"/>
      <c r="BJ553" s="219"/>
      <c r="BK553" s="219"/>
    </row>
    <row r="554" spans="1:63">
      <c r="A554" s="170">
        <v>42460</v>
      </c>
      <c r="B554" s="220" t="str">
        <f>Servicio_internaColumna_título_intereses</f>
        <v>Intereses</v>
      </c>
      <c r="C554" s="221"/>
      <c r="D554" s="222"/>
      <c r="E554" s="222"/>
      <c r="F554" s="222"/>
      <c r="G554" s="222"/>
      <c r="H554" s="222"/>
      <c r="I554" s="222"/>
      <c r="J554" s="222"/>
      <c r="K554" s="222"/>
      <c r="L554" s="222"/>
      <c r="M554" s="222"/>
      <c r="N554" s="222"/>
      <c r="O554" s="222"/>
      <c r="P554" s="222"/>
      <c r="Q554" s="222"/>
      <c r="R554" s="222">
        <f>+'Perfil - interna'!R554+'Perfil - externa'!R552</f>
        <v>16856089.022059541</v>
      </c>
      <c r="S554" s="222">
        <f>+'Perfil - interna'!S554+'Perfil - externa'!S552</f>
        <v>19290210.991022706</v>
      </c>
      <c r="T554" s="222">
        <f>+'Perfil - interna'!T554+'Perfil - externa'!T552</f>
        <v>18257273.312956996</v>
      </c>
      <c r="U554" s="222">
        <f>+'Perfil - interna'!U554+'Perfil - externa'!U552</f>
        <v>16348948.28020875</v>
      </c>
      <c r="V554" s="222">
        <f>+'Perfil - interna'!V554+'Perfil - externa'!V552</f>
        <v>14741084.559756231</v>
      </c>
      <c r="W554" s="222">
        <f>+'Perfil - interna'!W554+'Perfil - externa'!W552</f>
        <v>12690338.62996988</v>
      </c>
      <c r="X554" s="222">
        <f>+'Perfil - interna'!X554+'Perfil - externa'!X552</f>
        <v>11760262.524471425</v>
      </c>
      <c r="Y554" s="222">
        <f>+'Perfil - interna'!Y554+'Perfil - externa'!Y552</f>
        <v>10733457.984532461</v>
      </c>
      <c r="Z554" s="222">
        <f>+'Perfil - interna'!Z554+'Perfil - externa'!Z552</f>
        <v>9489618.7572164014</v>
      </c>
      <c r="AA554" s="222">
        <f>+'Perfil - interna'!AA554+'Perfil - externa'!AA552</f>
        <v>6624431.0330710048</v>
      </c>
      <c r="AB554" s="222">
        <f>+'Perfil - interna'!AB554+'Perfil - externa'!AB552</f>
        <v>6188367.450193028</v>
      </c>
      <c r="AC554" s="222">
        <f>+'Perfil - interna'!AC554+'Perfil - externa'!AC552</f>
        <v>4792206.4125335999</v>
      </c>
      <c r="AD554" s="222">
        <f>+'Perfil - interna'!AD554+'Perfil - externa'!AD552</f>
        <v>4451357.4971384704</v>
      </c>
      <c r="AE554" s="222">
        <f>+'Perfil - interna'!AE554+'Perfil - externa'!AE552</f>
        <v>3545048.7597709633</v>
      </c>
      <c r="AF554" s="222">
        <f>+'Perfil - interna'!AF554+'Perfil - externa'!AF552</f>
        <v>3499466.8273714734</v>
      </c>
      <c r="AG554" s="222">
        <f>+'Perfil - interna'!AG554+'Perfil - externa'!AG552</f>
        <v>2608360.4984736172</v>
      </c>
      <c r="AH554" s="222">
        <f>+'Perfil - interna'!AH554+'Perfil - externa'!AH552</f>
        <v>2512550.4503563694</v>
      </c>
      <c r="AI554" s="222">
        <f>+'Perfil - interna'!AI554+'Perfil - externa'!AI552</f>
        <v>2416404.8453032477</v>
      </c>
      <c r="AJ554" s="222">
        <f>+'Perfil - interna'!AJ554+'Perfil - externa'!AJ552</f>
        <v>1914622.3044534223</v>
      </c>
      <c r="AK554" s="222">
        <f>+'Perfil - interna'!AK554+'Perfil - externa'!AK552</f>
        <v>1807805.9594855951</v>
      </c>
      <c r="AL554" s="222">
        <f>+'Perfil - interna'!AL554+'Perfil - externa'!AL552</f>
        <v>1700619.4371081474</v>
      </c>
      <c r="AM554" s="222">
        <f>+'Perfil - interna'!AM554+'Perfil - externa'!AM552</f>
        <v>1693047.2489681793</v>
      </c>
      <c r="AN554" s="222">
        <f>+'Perfil - interna'!AN554+'Perfil - externa'!AN552</f>
        <v>1284010.2158783274</v>
      </c>
      <c r="AO554" s="222">
        <f>+'Perfil - interna'!AO554+'Perfil - externa'!AO552</f>
        <v>1281028.9268596345</v>
      </c>
      <c r="AP554" s="222">
        <f>+'Perfil - interna'!AP554+'Perfil - externa'!AP552</f>
        <v>1278842.6240241507</v>
      </c>
      <c r="AQ554" s="222">
        <f>+'Perfil - interna'!AQ554+'Perfil - externa'!AQ552</f>
        <v>1045522.2684162288</v>
      </c>
      <c r="AR554" s="222">
        <f>+'Perfil - interna'!AR554+'Perfil - externa'!AR552</f>
        <v>802860.78272535582</v>
      </c>
      <c r="AS554" s="222">
        <f>+'Perfil - interna'!AS554+'Perfil - externa'!AS552</f>
        <v>802855.17673036293</v>
      </c>
      <c r="AT554" s="222">
        <f>+'Perfil - interna'!AT554+'Perfil - externa'!AT552</f>
        <v>590340.68619315745</v>
      </c>
      <c r="AU554" s="222">
        <f>+'Perfil - interna'!AU554+'Perfil - externa'!AU552</f>
        <v>188929.12099037707</v>
      </c>
      <c r="AV554" s="222">
        <f>+'Perfil - interna'!AV554+'Perfil - externa'!AV552</f>
        <v>26.639995384150225</v>
      </c>
      <c r="AW554" s="222">
        <f>+'Perfil - interna'!AW554+'Perfil - externa'!AW552</f>
        <v>0</v>
      </c>
      <c r="AX554" s="222"/>
      <c r="AY554" s="222"/>
      <c r="AZ554" s="222"/>
      <c r="BA554" s="222"/>
      <c r="BB554" s="222"/>
      <c r="BC554" s="222"/>
      <c r="BD554" s="222"/>
      <c r="BE554" s="222"/>
      <c r="BF554" s="222"/>
      <c r="BG554" s="222"/>
      <c r="BH554" s="222"/>
      <c r="BI554" s="222"/>
      <c r="BJ554" s="222"/>
      <c r="BK554" s="222"/>
    </row>
    <row r="555" spans="1:63">
      <c r="A555" s="171"/>
      <c r="B555" s="318" t="str">
        <f>Servicio_internaColumna_título_total</f>
        <v>Total</v>
      </c>
      <c r="C555" s="319"/>
      <c r="D555" s="320"/>
      <c r="E555" s="320"/>
      <c r="F555" s="320"/>
      <c r="G555" s="320"/>
      <c r="H555" s="320"/>
      <c r="I555" s="320"/>
      <c r="J555" s="320"/>
      <c r="K555" s="320"/>
      <c r="L555" s="320"/>
      <c r="M555" s="320"/>
      <c r="N555" s="320"/>
      <c r="O555" s="320"/>
      <c r="P555" s="320"/>
      <c r="Q555" s="320"/>
      <c r="R555" s="320">
        <f>+'Perfil - interna'!R555+'Perfil - externa'!R553</f>
        <v>48235737.157576934</v>
      </c>
      <c r="S555" s="320">
        <f>+'Perfil - interna'!S555+'Perfil - externa'!S553</f>
        <v>42308873.466455929</v>
      </c>
      <c r="T555" s="320">
        <f>+'Perfil - interna'!T555+'Perfil - externa'!T553</f>
        <v>40882003.594765037</v>
      </c>
      <c r="U555" s="320">
        <f>+'Perfil - interna'!U555+'Perfil - externa'!U553</f>
        <v>49538147.945299506</v>
      </c>
      <c r="V555" s="320">
        <f>+'Perfil - interna'!V555+'Perfil - externa'!V553</f>
        <v>37323987.191164061</v>
      </c>
      <c r="W555" s="320">
        <f>+'Perfil - interna'!W555+'Perfil - externa'!W553</f>
        <v>36076293.843823448</v>
      </c>
      <c r="X555" s="320">
        <f>+'Perfil - interna'!X555+'Perfil - externa'!X553</f>
        <v>27683760.316393241</v>
      </c>
      <c r="Y555" s="320">
        <f>+'Perfil - interna'!Y555+'Perfil - externa'!Y553</f>
        <v>31045611.56395442</v>
      </c>
      <c r="Z555" s="320">
        <f>+'Perfil - interna'!Z555+'Perfil - externa'!Z553</f>
        <v>46864061.928044386</v>
      </c>
      <c r="AA555" s="320">
        <f>+'Perfil - interna'!AA555+'Perfil - externa'!AA553</f>
        <v>15000747.914214764</v>
      </c>
      <c r="AB555" s="320">
        <f>+'Perfil - interna'!AB555+'Perfil - externa'!AB553</f>
        <v>31364639.637105431</v>
      </c>
      <c r="AC555" s="320">
        <f>+'Perfil - interna'!AC555+'Perfil - externa'!AC553</f>
        <v>11206788.638565138</v>
      </c>
      <c r="AD555" s="320">
        <f>+'Perfil - interna'!AD555+'Perfil - externa'!AD553</f>
        <v>21624943.232692137</v>
      </c>
      <c r="AE555" s="320">
        <f>+'Perfil - interna'!AE555+'Perfil - externa'!AE553</f>
        <v>6082443.3180319117</v>
      </c>
      <c r="AF555" s="320">
        <f>+'Perfil - interna'!AF555+'Perfil - externa'!AF553</f>
        <v>15963997.829881722</v>
      </c>
      <c r="AG555" s="320">
        <f>+'Perfil - interna'!AG555+'Perfil - externa'!AG553</f>
        <v>5613327.1464504553</v>
      </c>
      <c r="AH555" s="320">
        <f>+'Perfil - interna'!AH555+'Perfil - externa'!AH553</f>
        <v>5457023.0055753477</v>
      </c>
      <c r="AI555" s="320">
        <f>+'Perfil - interna'!AI555+'Perfil - externa'!AI553</f>
        <v>12427561.656694166</v>
      </c>
      <c r="AJ555" s="320">
        <f>+'Perfil - interna'!AJ555+'Perfil - externa'!AJ553</f>
        <v>4398554.6489014281</v>
      </c>
      <c r="AK555" s="320">
        <f>+'Perfil - interna'!AK555+'Perfil - externa'!AK553</f>
        <v>5015785.7370830951</v>
      </c>
      <c r="AL555" s="320">
        <f>+'Perfil - interna'!AL555+'Perfil - externa'!AL553</f>
        <v>1884912.5667733909</v>
      </c>
      <c r="AM555" s="320">
        <f>+'Perfil - interna'!AM555+'Perfil - externa'!AM553</f>
        <v>7271744.4078987679</v>
      </c>
      <c r="AN555" s="320">
        <f>+'Perfil - interna'!AN555+'Perfil - externa'!AN553</f>
        <v>1287962.3140359654</v>
      </c>
      <c r="AO555" s="320">
        <f>+'Perfil - interna'!AO555+'Perfil - externa'!AO553</f>
        <v>1284981.0250172724</v>
      </c>
      <c r="AP555" s="320">
        <f>+'Perfil - interna'!AP555+'Perfil - externa'!AP553</f>
        <v>1282794.7221817886</v>
      </c>
      <c r="AQ555" s="320">
        <f>+'Perfil - interna'!AQ555+'Perfil - externa'!AQ553</f>
        <v>8605349.3665738665</v>
      </c>
      <c r="AR555" s="320">
        <f>+'Perfil - interna'!AR555+'Perfil - externa'!AR553</f>
        <v>806812.88088299381</v>
      </c>
      <c r="AS555" s="320">
        <f>+'Perfil - interna'!AS555+'Perfil - externa'!AS553</f>
        <v>806807.27488800092</v>
      </c>
      <c r="AT555" s="320">
        <f>+'Perfil - interna'!AT555+'Perfil - externa'!AT553</f>
        <v>8149116.5382399801</v>
      </c>
      <c r="AU555" s="320">
        <f>+'Perfil - interna'!AU555+'Perfil - externa'!AU553</f>
        <v>7747704.9730371991</v>
      </c>
      <c r="AV555" s="320">
        <f>+'Perfil - interna'!AV555+'Perfil - externa'!AV553</f>
        <v>2927.492042206</v>
      </c>
      <c r="AW555" s="320">
        <f>+'Perfil - interna'!AW555+'Perfil - externa'!AW553</f>
        <v>0</v>
      </c>
      <c r="AX555" s="320"/>
      <c r="AY555" s="320"/>
      <c r="AZ555" s="320"/>
      <c r="BA555" s="320"/>
      <c r="BB555" s="320"/>
      <c r="BC555" s="320"/>
      <c r="BD555" s="320"/>
      <c r="BE555" s="320"/>
      <c r="BF555" s="320"/>
      <c r="BG555" s="320"/>
      <c r="BH555" s="320"/>
      <c r="BI555" s="320"/>
      <c r="BJ555" s="320"/>
      <c r="BK555" s="320"/>
    </row>
    <row r="556" spans="1:63">
      <c r="A556" s="167"/>
      <c r="B556" s="217" t="str">
        <f>Servicio_internaColumna_título_amortizaciones</f>
        <v>Amortizaciones</v>
      </c>
      <c r="C556" s="218"/>
      <c r="D556" s="219"/>
      <c r="E556" s="219"/>
      <c r="F556" s="219"/>
      <c r="G556" s="219"/>
      <c r="H556" s="219"/>
      <c r="I556" s="219"/>
      <c r="J556" s="219"/>
      <c r="K556" s="219"/>
      <c r="L556" s="219"/>
      <c r="M556" s="219"/>
      <c r="N556" s="219"/>
      <c r="O556" s="219"/>
      <c r="P556" s="219"/>
      <c r="Q556" s="219"/>
      <c r="R556" s="219">
        <f>+'Perfil - interna'!R556+'Perfil - externa'!R554</f>
        <v>30720961.289905708</v>
      </c>
      <c r="S556" s="219">
        <f>+'Perfil - interna'!S556+'Perfil - externa'!S554</f>
        <v>23630551.234433293</v>
      </c>
      <c r="T556" s="219">
        <f>+'Perfil - interna'!T556+'Perfil - externa'!T554</f>
        <v>22491925.54951736</v>
      </c>
      <c r="U556" s="219">
        <f>+'Perfil - interna'!U556+'Perfil - externa'!U554</f>
        <v>32886209.936372228</v>
      </c>
      <c r="V556" s="219">
        <f>+'Perfil - interna'!V556+'Perfil - externa'!V554</f>
        <v>22359963.506246965</v>
      </c>
      <c r="W556" s="219">
        <f>+'Perfil - interna'!W556+'Perfil - externa'!W554</f>
        <v>23186401.930935889</v>
      </c>
      <c r="X556" s="219">
        <f>+'Perfil - interna'!X556+'Perfil - externa'!X554</f>
        <v>16476097.288288873</v>
      </c>
      <c r="Y556" s="219">
        <f>+'Perfil - interna'!Y556+'Perfil - externa'!Y554</f>
        <v>20229943.267841607</v>
      </c>
      <c r="Z556" s="219">
        <f>+'Perfil - interna'!Z556+'Perfil - externa'!Z554</f>
        <v>36846745.109521702</v>
      </c>
      <c r="AA556" s="219">
        <f>+'Perfil - interna'!AA556+'Perfil - externa'!AA554</f>
        <v>8362689.2931398656</v>
      </c>
      <c r="AB556" s="219">
        <f>+'Perfil - interna'!AB556+'Perfil - externa'!AB554</f>
        <v>25485473.811338034</v>
      </c>
      <c r="AC556" s="219">
        <f>+'Perfil - interna'!AC556+'Perfil - externa'!AC554</f>
        <v>6226262.7289724573</v>
      </c>
      <c r="AD556" s="219">
        <f>+'Perfil - interna'!AD556+'Perfil - externa'!AD554</f>
        <v>16947575.445245914</v>
      </c>
      <c r="AE556" s="219">
        <f>+'Perfil - interna'!AE556+'Perfil - externa'!AE554</f>
        <v>2420412.1364119668</v>
      </c>
      <c r="AF556" s="219">
        <f>+'Perfil - interna'!AF556+'Perfil - externa'!AF554</f>
        <v>13445310.733663322</v>
      </c>
      <c r="AG556" s="219">
        <f>+'Perfil - interna'!AG556+'Perfil - externa'!AG554</f>
        <v>2868090.8114999314</v>
      </c>
      <c r="AH556" s="219">
        <f>+'Perfil - interna'!AH556+'Perfil - externa'!AH554</f>
        <v>2810331.4476429303</v>
      </c>
      <c r="AI556" s="219">
        <f>+'Perfil - interna'!AI556+'Perfil - externa'!AI554</f>
        <v>10023509.451510843</v>
      </c>
      <c r="AJ556" s="219">
        <f>+'Perfil - interna'!AJ556+'Perfil - externa'!AJ554</f>
        <v>2371735.3517071875</v>
      </c>
      <c r="AK556" s="219">
        <f>+'Perfil - interna'!AK556+'Perfil - externa'!AK554</f>
        <v>4101422.4871892226</v>
      </c>
      <c r="AL556" s="219">
        <f>+'Perfil - interna'!AL556+'Perfil - externa'!AL554</f>
        <v>176054.87959677205</v>
      </c>
      <c r="AM556" s="219">
        <f>+'Perfil - interna'!AM556+'Perfil - externa'!AM554</f>
        <v>5326595.4555699266</v>
      </c>
      <c r="AN556" s="219">
        <f>+'Perfil - interna'!AN556+'Perfil - externa'!AN554</f>
        <v>3773.4374561050417</v>
      </c>
      <c r="AO556" s="219">
        <f>+'Perfil - interna'!AO556+'Perfil - externa'!AO554</f>
        <v>3773.4374561050417</v>
      </c>
      <c r="AP556" s="219">
        <f>+'Perfil - interna'!AP556+'Perfil - externa'!AP554</f>
        <v>3773.4374561050417</v>
      </c>
      <c r="AQ556" s="219">
        <f>+'Perfil - interna'!AQ556+'Perfil - externa'!AQ554</f>
        <v>7218073.4374561049</v>
      </c>
      <c r="AR556" s="219">
        <f>+'Perfil - interna'!AR556+'Perfil - externa'!AR554</f>
        <v>3773.4374561050417</v>
      </c>
      <c r="AS556" s="219">
        <f>+'Perfil - interna'!AS556+'Perfil - externa'!AS554</f>
        <v>3773.4374561050417</v>
      </c>
      <c r="AT556" s="219">
        <f>+'Perfil - interna'!AT556+'Perfil - externa'!AT554</f>
        <v>7217069.7145494577</v>
      </c>
      <c r="AU556" s="219">
        <f>+'Perfil - interna'!AU556+'Perfil - externa'!AU554</f>
        <v>7217069.7145494577</v>
      </c>
      <c r="AV556" s="219">
        <f>+'Perfil - interna'!AV556+'Perfil - externa'!AV554</f>
        <v>2769.71454945812</v>
      </c>
      <c r="AW556" s="219">
        <f>+'Perfil - interna'!AW556+'Perfil - externa'!AW554</f>
        <v>0</v>
      </c>
      <c r="AX556" s="219"/>
      <c r="AY556" s="219"/>
      <c r="AZ556" s="219"/>
      <c r="BA556" s="219"/>
      <c r="BB556" s="219"/>
      <c r="BC556" s="219"/>
      <c r="BD556" s="219"/>
      <c r="BE556" s="219"/>
      <c r="BF556" s="219"/>
      <c r="BG556" s="219"/>
      <c r="BH556" s="219"/>
      <c r="BI556" s="219"/>
      <c r="BJ556" s="219"/>
      <c r="BK556" s="219"/>
    </row>
    <row r="557" spans="1:63">
      <c r="A557" s="170">
        <v>42490</v>
      </c>
      <c r="B557" s="220" t="str">
        <f>Servicio_internaColumna_título_intereses</f>
        <v>Intereses</v>
      </c>
      <c r="C557" s="221"/>
      <c r="D557" s="222"/>
      <c r="E557" s="222"/>
      <c r="F557" s="222"/>
      <c r="G557" s="222"/>
      <c r="H557" s="222"/>
      <c r="I557" s="222"/>
      <c r="J557" s="222"/>
      <c r="K557" s="222"/>
      <c r="L557" s="222"/>
      <c r="M557" s="222"/>
      <c r="N557" s="222"/>
      <c r="O557" s="222"/>
      <c r="P557" s="222"/>
      <c r="Q557" s="222"/>
      <c r="R557" s="222">
        <f>+'Perfil - interna'!R557+'Perfil - externa'!R555</f>
        <v>15367878.901376819</v>
      </c>
      <c r="S557" s="222">
        <f>+'Perfil - interna'!S557+'Perfil - externa'!S555</f>
        <v>19284280.31331823</v>
      </c>
      <c r="T557" s="222">
        <f>+'Perfil - interna'!T557+'Perfil - externa'!T555</f>
        <v>18358538.876054704</v>
      </c>
      <c r="U557" s="222">
        <f>+'Perfil - interna'!U557+'Perfil - externa'!U555</f>
        <v>16420173.154211193</v>
      </c>
      <c r="V557" s="222">
        <f>+'Perfil - interna'!V557+'Perfil - externa'!V555</f>
        <v>14833359.476044361</v>
      </c>
      <c r="W557" s="222">
        <f>+'Perfil - interna'!W557+'Perfil - externa'!W555</f>
        <v>12780718.19582092</v>
      </c>
      <c r="X557" s="222">
        <f>+'Perfil - interna'!X557+'Perfil - externa'!X555</f>
        <v>11864425.306698315</v>
      </c>
      <c r="Y557" s="222">
        <f>+'Perfil - interna'!Y557+'Perfil - externa'!Y555</f>
        <v>10800408.320511775</v>
      </c>
      <c r="Z557" s="222">
        <f>+'Perfil - interna'!Z557+'Perfil - externa'!Z555</f>
        <v>9562540.8413819</v>
      </c>
      <c r="AA557" s="222">
        <f>+'Perfil - interna'!AA557+'Perfil - externa'!AA555</f>
        <v>6710196.7150399406</v>
      </c>
      <c r="AB557" s="222">
        <f>+'Perfil - interna'!AB557+'Perfil - externa'!AB555</f>
        <v>6286980.5210516714</v>
      </c>
      <c r="AC557" s="222">
        <f>+'Perfil - interna'!AC557+'Perfil - externa'!AC555</f>
        <v>4846774.3762895968</v>
      </c>
      <c r="AD557" s="222">
        <f>+'Perfil - interna'!AD557+'Perfil - externa'!AD555</f>
        <v>4511705.8110246025</v>
      </c>
      <c r="AE557" s="222">
        <f>+'Perfil - interna'!AE557+'Perfil - externa'!AE555</f>
        <v>3609687.762936308</v>
      </c>
      <c r="AF557" s="222">
        <f>+'Perfil - interna'!AF557+'Perfil - externa'!AF555</f>
        <v>3567645.8535053553</v>
      </c>
      <c r="AG557" s="222">
        <f>+'Perfil - interna'!AG557+'Perfil - externa'!AG555</f>
        <v>2600965.6413843106</v>
      </c>
      <c r="AH557" s="222">
        <f>+'Perfil - interna'!AH557+'Perfil - externa'!AH555</f>
        <v>2504922.2293349337</v>
      </c>
      <c r="AI557" s="222">
        <f>+'Perfil - interna'!AI557+'Perfil - externa'!AI555</f>
        <v>2414776.1137140612</v>
      </c>
      <c r="AJ557" s="222">
        <f>+'Perfil - interna'!AJ557+'Perfil - externa'!AJ555</f>
        <v>1918184.4313826351</v>
      </c>
      <c r="AK557" s="222">
        <f>+'Perfil - interna'!AK557+'Perfil - externa'!AK555</f>
        <v>1816018.4015460094</v>
      </c>
      <c r="AL557" s="222">
        <f>+'Perfil - interna'!AL557+'Perfil - externa'!AL555</f>
        <v>1624937.7628327145</v>
      </c>
      <c r="AM557" s="222">
        <f>+'Perfil - interna'!AM557+'Perfil - externa'!AM555</f>
        <v>1617487.1471374021</v>
      </c>
      <c r="AN557" s="222">
        <f>+'Perfil - interna'!AN557+'Perfil - externa'!AN555</f>
        <v>1226793.1716548882</v>
      </c>
      <c r="AO557" s="222">
        <f>+'Perfil - interna'!AO557+'Perfil - externa'!AO555</f>
        <v>1223812.1360638577</v>
      </c>
      <c r="AP557" s="222">
        <f>+'Perfil - interna'!AP557+'Perfil - externa'!AP555</f>
        <v>1221626.0793656516</v>
      </c>
      <c r="AQ557" s="222">
        <f>+'Perfil - interna'!AQ557+'Perfil - externa'!AQ555</f>
        <v>998766.71885077725</v>
      </c>
      <c r="AR557" s="222">
        <f>+'Perfil - interna'!AR557+'Perfil - externa'!AR555</f>
        <v>766566.22096256679</v>
      </c>
      <c r="AS557" s="222">
        <f>+'Perfil - interna'!AS557+'Perfil - externa'!AS555</f>
        <v>766560.86839523644</v>
      </c>
      <c r="AT557" s="222">
        <f>+'Perfil - interna'!AT557+'Perfil - externa'!AT555</f>
        <v>563653.42364759825</v>
      </c>
      <c r="AU557" s="222">
        <f>+'Perfil - interna'!AU557+'Perfil - externa'!AU555</f>
        <v>180388.28826057567</v>
      </c>
      <c r="AV557" s="222">
        <f>+'Perfil - interna'!AV557+'Perfil - externa'!AV555</f>
        <v>25.435693245305799</v>
      </c>
      <c r="AW557" s="222">
        <f>+'Perfil - interna'!AW557+'Perfil - externa'!AW555</f>
        <v>0</v>
      </c>
      <c r="AX557" s="222"/>
      <c r="AY557" s="222"/>
      <c r="AZ557" s="222"/>
      <c r="BA557" s="222"/>
      <c r="BB557" s="222"/>
      <c r="BC557" s="222"/>
      <c r="BD557" s="222"/>
      <c r="BE557" s="222"/>
      <c r="BF557" s="222"/>
      <c r="BG557" s="222"/>
      <c r="BH557" s="222"/>
      <c r="BI557" s="222"/>
      <c r="BJ557" s="222"/>
      <c r="BK557" s="222"/>
    </row>
    <row r="558" spans="1:63">
      <c r="A558" s="171"/>
      <c r="B558" s="318" t="str">
        <f>Servicio_internaColumna_título_total</f>
        <v>Total</v>
      </c>
      <c r="C558" s="319"/>
      <c r="D558" s="320"/>
      <c r="E558" s="320"/>
      <c r="F558" s="320"/>
      <c r="G558" s="320"/>
      <c r="H558" s="320"/>
      <c r="I558" s="320"/>
      <c r="J558" s="320"/>
      <c r="K558" s="320"/>
      <c r="L558" s="320"/>
      <c r="M558" s="320"/>
      <c r="N558" s="320"/>
      <c r="O558" s="320"/>
      <c r="P558" s="320"/>
      <c r="Q558" s="320"/>
      <c r="R558" s="320">
        <f>+'Perfil - interna'!R558+'Perfil - externa'!R556</f>
        <v>46088840.191282526</v>
      </c>
      <c r="S558" s="320">
        <f>+'Perfil - interna'!S558+'Perfil - externa'!S556</f>
        <v>42914831.547751524</v>
      </c>
      <c r="T558" s="320">
        <f>+'Perfil - interna'!T558+'Perfil - externa'!T556</f>
        <v>40850464.42557206</v>
      </c>
      <c r="U558" s="320">
        <f>+'Perfil - interna'!U558+'Perfil - externa'!U556</f>
        <v>49306383.090583421</v>
      </c>
      <c r="V558" s="320">
        <f>+'Perfil - interna'!V558+'Perfil - externa'!V556</f>
        <v>37193322.982291326</v>
      </c>
      <c r="W558" s="320">
        <f>+'Perfil - interna'!W558+'Perfil - externa'!W556</f>
        <v>35967120.12675681</v>
      </c>
      <c r="X558" s="320">
        <f>+'Perfil - interna'!X558+'Perfil - externa'!X556</f>
        <v>28340522.594987188</v>
      </c>
      <c r="Y558" s="320">
        <f>+'Perfil - interna'!Y558+'Perfil - externa'!Y556</f>
        <v>31030351.588353381</v>
      </c>
      <c r="Z558" s="320">
        <f>+'Perfil - interna'!Z558+'Perfil - externa'!Z556</f>
        <v>46409285.950903594</v>
      </c>
      <c r="AA558" s="320">
        <f>+'Perfil - interna'!AA558+'Perfil - externa'!AA556</f>
        <v>15072886.008179806</v>
      </c>
      <c r="AB558" s="320">
        <f>+'Perfil - interna'!AB558+'Perfil - externa'!AB556</f>
        <v>31772454.332389705</v>
      </c>
      <c r="AC558" s="320">
        <f>+'Perfil - interna'!AC558+'Perfil - externa'!AC556</f>
        <v>11073037.105262052</v>
      </c>
      <c r="AD558" s="320">
        <f>+'Perfil - interna'!AD558+'Perfil - externa'!AD556</f>
        <v>21459281.256270517</v>
      </c>
      <c r="AE558" s="320">
        <f>+'Perfil - interna'!AE558+'Perfil - externa'!AE556</f>
        <v>6030099.8993482739</v>
      </c>
      <c r="AF558" s="320">
        <f>+'Perfil - interna'!AF558+'Perfil - externa'!AF556</f>
        <v>17012956.587168679</v>
      </c>
      <c r="AG558" s="320">
        <f>+'Perfil - interna'!AG558+'Perfil - externa'!AG556</f>
        <v>5469056.4528842419</v>
      </c>
      <c r="AH558" s="320">
        <f>+'Perfil - interna'!AH558+'Perfil - externa'!AH556</f>
        <v>5315253.6769778645</v>
      </c>
      <c r="AI558" s="320">
        <f>+'Perfil - interna'!AI558+'Perfil - externa'!AI556</f>
        <v>12438285.565224905</v>
      </c>
      <c r="AJ558" s="320">
        <f>+'Perfil - interna'!AJ558+'Perfil - externa'!AJ556</f>
        <v>4289919.7830898222</v>
      </c>
      <c r="AK558" s="320">
        <f>+'Perfil - interna'!AK558+'Perfil - externa'!AK556</f>
        <v>5917440.8887352319</v>
      </c>
      <c r="AL558" s="320">
        <f>+'Perfil - interna'!AL558+'Perfil - externa'!AL556</f>
        <v>1800992.6424294866</v>
      </c>
      <c r="AM558" s="320">
        <f>+'Perfil - interna'!AM558+'Perfil - externa'!AM556</f>
        <v>6944082.6027073283</v>
      </c>
      <c r="AN558" s="320">
        <f>+'Perfil - interna'!AN558+'Perfil - externa'!AN556</f>
        <v>1230566.6091109933</v>
      </c>
      <c r="AO558" s="320">
        <f>+'Perfil - interna'!AO558+'Perfil - externa'!AO556</f>
        <v>1227585.5735199628</v>
      </c>
      <c r="AP558" s="320">
        <f>+'Perfil - interna'!AP558+'Perfil - externa'!AP556</f>
        <v>1225399.5168217567</v>
      </c>
      <c r="AQ558" s="320">
        <f>+'Perfil - interna'!AQ558+'Perfil - externa'!AQ556</f>
        <v>8216840.1563068824</v>
      </c>
      <c r="AR558" s="320">
        <f>+'Perfil - interna'!AR558+'Perfil - externa'!AR556</f>
        <v>770339.65841867181</v>
      </c>
      <c r="AS558" s="320">
        <f>+'Perfil - interna'!AS558+'Perfil - externa'!AS556</f>
        <v>770334.30585134146</v>
      </c>
      <c r="AT558" s="320">
        <f>+'Perfil - interna'!AT558+'Perfil - externa'!AT556</f>
        <v>7780723.138197056</v>
      </c>
      <c r="AU558" s="320">
        <f>+'Perfil - interna'!AU558+'Perfil - externa'!AU556</f>
        <v>7397458.002810033</v>
      </c>
      <c r="AV558" s="320">
        <f>+'Perfil - interna'!AV558+'Perfil - externa'!AV556</f>
        <v>2795.1502427034256</v>
      </c>
      <c r="AW558" s="320">
        <f>+'Perfil - interna'!AW558+'Perfil - externa'!AW556</f>
        <v>0</v>
      </c>
      <c r="AX558" s="320"/>
      <c r="AY558" s="320"/>
      <c r="AZ558" s="320"/>
      <c r="BA558" s="320"/>
      <c r="BB558" s="320"/>
      <c r="BC558" s="320"/>
      <c r="BD558" s="320"/>
      <c r="BE558" s="320"/>
      <c r="BF558" s="320"/>
      <c r="BG558" s="320"/>
      <c r="BH558" s="320"/>
      <c r="BI558" s="320"/>
      <c r="BJ558" s="320"/>
      <c r="BK558" s="320"/>
    </row>
    <row r="559" spans="1:63">
      <c r="A559" s="167"/>
      <c r="B559" s="217" t="str">
        <f>Servicio_internaColumna_título_amortizaciones</f>
        <v>Amortizaciones</v>
      </c>
      <c r="C559" s="218"/>
      <c r="D559" s="219"/>
      <c r="E559" s="219"/>
      <c r="F559" s="219"/>
      <c r="G559" s="219"/>
      <c r="H559" s="219"/>
      <c r="I559" s="219"/>
      <c r="J559" s="219"/>
      <c r="K559" s="219"/>
      <c r="L559" s="219"/>
      <c r="M559" s="219"/>
      <c r="N559" s="219"/>
      <c r="O559" s="219"/>
      <c r="P559" s="219"/>
      <c r="Q559" s="219"/>
      <c r="R559" s="219">
        <f>+'Perfil - interna'!R559+'Perfil - externa'!R557</f>
        <v>31845868.008382477</v>
      </c>
      <c r="S559" s="219">
        <f>+'Perfil - interna'!S559+'Perfil - externa'!S557</f>
        <v>21895191.593525782</v>
      </c>
      <c r="T559" s="219">
        <f>+'Perfil - interna'!T559+'Perfil - externa'!T557</f>
        <v>22619300.408148192</v>
      </c>
      <c r="U559" s="219">
        <f>+'Perfil - interna'!U559+'Perfil - externa'!U557</f>
        <v>33488194.286151022</v>
      </c>
      <c r="V559" s="219">
        <f>+'Perfil - interna'!V559+'Perfil - externa'!V557</f>
        <v>24360132.813733183</v>
      </c>
      <c r="W559" s="219">
        <f>+'Perfil - interna'!W559+'Perfil - externa'!W557</f>
        <v>24157136.230996422</v>
      </c>
      <c r="X559" s="219">
        <f>+'Perfil - interna'!X559+'Perfil - externa'!X557</f>
        <v>17679867.110342368</v>
      </c>
      <c r="Y559" s="219">
        <f>+'Perfil - interna'!Y559+'Perfil - externa'!Y557</f>
        <v>20689203.14559513</v>
      </c>
      <c r="Z559" s="219">
        <f>+'Perfil - interna'!Z559+'Perfil - externa'!Z557</f>
        <v>38592854.542862192</v>
      </c>
      <c r="AA559" s="219">
        <f>+'Perfil - interna'!AA559+'Perfil - externa'!AA557</f>
        <v>8972020.6945608445</v>
      </c>
      <c r="AB559" s="219">
        <f>+'Perfil - interna'!AB559+'Perfil - externa'!AB557</f>
        <v>26891833.188136749</v>
      </c>
      <c r="AC559" s="219">
        <f>+'Perfil - interna'!AC559+'Perfil - externa'!AC557</f>
        <v>6528239.9536786033</v>
      </c>
      <c r="AD559" s="219">
        <f>+'Perfil - interna'!AD559+'Perfil - externa'!AD557</f>
        <v>17262543.195734832</v>
      </c>
      <c r="AE559" s="219">
        <f>+'Perfil - interna'!AE559+'Perfil - externa'!AE557</f>
        <v>2633839.0886245221</v>
      </c>
      <c r="AF559" s="219">
        <f>+'Perfil - interna'!AF559+'Perfil - externa'!AF557</f>
        <v>14568273.269598639</v>
      </c>
      <c r="AG559" s="219">
        <f>+'Perfil - interna'!AG559+'Perfil - externa'!AG557</f>
        <v>3102934.0733854757</v>
      </c>
      <c r="AH559" s="219">
        <f>+'Perfil - interna'!AH559+'Perfil - externa'!AH557</f>
        <v>3059744.3741748314</v>
      </c>
      <c r="AI559" s="219">
        <f>+'Perfil - interna'!AI559+'Perfil - externa'!AI557</f>
        <v>10258942.995521469</v>
      </c>
      <c r="AJ559" s="219">
        <f>+'Perfil - interna'!AJ559+'Perfil - externa'!AJ557</f>
        <v>2593589.285306883</v>
      </c>
      <c r="AK559" s="219">
        <f>+'Perfil - interna'!AK559+'Perfil - externa'!AK557</f>
        <v>4591723.2820784952</v>
      </c>
      <c r="AL559" s="219">
        <f>+'Perfil - interna'!AL559+'Perfil - externa'!AL557</f>
        <v>258325.76889256542</v>
      </c>
      <c r="AM559" s="219">
        <f>+'Perfil - interna'!AM559+'Perfil - externa'!AM557</f>
        <v>5736296.7032991657</v>
      </c>
      <c r="AN559" s="219">
        <f>+'Perfil - interna'!AN559+'Perfil - externa'!AN557</f>
        <v>75114.151213363846</v>
      </c>
      <c r="AO559" s="219">
        <f>+'Perfil - interna'!AO559+'Perfil - externa'!AO557</f>
        <v>75114.151213363846</v>
      </c>
      <c r="AP559" s="219">
        <f>+'Perfil - interna'!AP559+'Perfil - externa'!AP557</f>
        <v>75114.151213363846</v>
      </c>
      <c r="AQ559" s="219">
        <f>+'Perfil - interna'!AQ559+'Perfil - externa'!AQ557</f>
        <v>7748039.1512133637</v>
      </c>
      <c r="AR559" s="219">
        <f>+'Perfil - interna'!AR559+'Perfil - externa'!AR557</f>
        <v>75114.151213363846</v>
      </c>
      <c r="AS559" s="219">
        <f>+'Perfil - interna'!AS559+'Perfil - externa'!AS557</f>
        <v>75114.151213363846</v>
      </c>
      <c r="AT559" s="219">
        <f>+'Perfil - interna'!AT559+'Perfil - externa'!AT557</f>
        <v>7746971.6199790817</v>
      </c>
      <c r="AU559" s="219">
        <f>+'Perfil - interna'!AU559+'Perfil - externa'!AU557</f>
        <v>7746971.6199790817</v>
      </c>
      <c r="AV559" s="219">
        <f>+'Perfil - interna'!AV559+'Perfil - externa'!AV557</f>
        <v>74046.619979081399</v>
      </c>
      <c r="AW559" s="219">
        <f>+'Perfil - interna'!AW559+'Perfil - externa'!AW557</f>
        <v>0</v>
      </c>
      <c r="AX559" s="219"/>
      <c r="AY559" s="219"/>
      <c r="AZ559" s="219"/>
      <c r="BA559" s="219"/>
      <c r="BB559" s="219"/>
      <c r="BC559" s="219"/>
      <c r="BD559" s="219"/>
      <c r="BE559" s="219"/>
      <c r="BF559" s="219"/>
      <c r="BG559" s="219"/>
      <c r="BH559" s="219"/>
      <c r="BI559" s="219"/>
      <c r="BJ559" s="219"/>
      <c r="BK559" s="219"/>
    </row>
    <row r="560" spans="1:63">
      <c r="A560" s="170">
        <v>42521</v>
      </c>
      <c r="B560" s="220" t="str">
        <f>Servicio_internaColumna_título_intereses</f>
        <v>Intereses</v>
      </c>
      <c r="C560" s="221"/>
      <c r="D560" s="222"/>
      <c r="E560" s="222"/>
      <c r="F560" s="222"/>
      <c r="G560" s="222"/>
      <c r="H560" s="222"/>
      <c r="I560" s="222"/>
      <c r="J560" s="222"/>
      <c r="K560" s="222"/>
      <c r="L560" s="222"/>
      <c r="M560" s="222"/>
      <c r="N560" s="222"/>
      <c r="O560" s="222"/>
      <c r="P560" s="222"/>
      <c r="Q560" s="222"/>
      <c r="R560" s="222">
        <f>+'Perfil - interna'!R560+'Perfil - externa'!R558</f>
        <v>13811943.799216401</v>
      </c>
      <c r="S560" s="222">
        <f>+'Perfil - interna'!S560+'Perfil - externa'!S558</f>
        <v>20030217.17301834</v>
      </c>
      <c r="T560" s="222">
        <f>+'Perfil - interna'!T560+'Perfil - externa'!T558</f>
        <v>19285233.714501489</v>
      </c>
      <c r="U560" s="222">
        <f>+'Perfil - interna'!U560+'Perfil - externa'!U558</f>
        <v>17254525.141603407</v>
      </c>
      <c r="V560" s="222">
        <f>+'Perfil - interna'!V560+'Perfil - externa'!V558</f>
        <v>15669133.59196626</v>
      </c>
      <c r="W560" s="222">
        <f>+'Perfil - interna'!W560+'Perfil - externa'!W558</f>
        <v>13395028.401470192</v>
      </c>
      <c r="X560" s="222">
        <f>+'Perfil - interna'!X560+'Perfil - externa'!X558</f>
        <v>12425419.722768527</v>
      </c>
      <c r="Y560" s="222">
        <f>+'Perfil - interna'!Y560+'Perfil - externa'!Y558</f>
        <v>11288043.147982601</v>
      </c>
      <c r="Z560" s="222">
        <f>+'Perfil - interna'!Z560+'Perfil - externa'!Z558</f>
        <v>10011323.669006394</v>
      </c>
      <c r="AA560" s="222">
        <f>+'Perfil - interna'!AA560+'Perfil - externa'!AA558</f>
        <v>7035959.3229058627</v>
      </c>
      <c r="AB560" s="222">
        <f>+'Perfil - interna'!AB560+'Perfil - externa'!AB558</f>
        <v>6590729.0175143145</v>
      </c>
      <c r="AC560" s="222">
        <f>+'Perfil - interna'!AC560+'Perfil - externa'!AC558</f>
        <v>5073605.1390394252</v>
      </c>
      <c r="AD560" s="222">
        <f>+'Perfil - interna'!AD560+'Perfil - externa'!AD558</f>
        <v>4730847.6121516172</v>
      </c>
      <c r="AE560" s="222">
        <f>+'Perfil - interna'!AE560+'Perfil - externa'!AE558</f>
        <v>3824201.2807095237</v>
      </c>
      <c r="AF560" s="222">
        <f>+'Perfil - interna'!AF560+'Perfil - externa'!AF558</f>
        <v>3778830.6522009796</v>
      </c>
      <c r="AG560" s="222">
        <f>+'Perfil - interna'!AG560+'Perfil - externa'!AG558</f>
        <v>2748514.3411575197</v>
      </c>
      <c r="AH560" s="222">
        <f>+'Perfil - interna'!AH560+'Perfil - externa'!AH558</f>
        <v>2651701.1079153768</v>
      </c>
      <c r="AI560" s="222">
        <f>+'Perfil - interna'!AI560+'Perfil - externa'!AI558</f>
        <v>2556454.3830644693</v>
      </c>
      <c r="AJ560" s="222">
        <f>+'Perfil - interna'!AJ560+'Perfil - externa'!AJ558</f>
        <v>2052438.2094894019</v>
      </c>
      <c r="AK560" s="222">
        <f>+'Perfil - interna'!AK560+'Perfil - externa'!AK558</f>
        <v>1947210.0687555897</v>
      </c>
      <c r="AL560" s="222">
        <f>+'Perfil - interna'!AL560+'Perfil - externa'!AL558</f>
        <v>1726614.3443157913</v>
      </c>
      <c r="AM560" s="222">
        <f>+'Perfil - interna'!AM560+'Perfil - externa'!AM558</f>
        <v>1718947.4564722078</v>
      </c>
      <c r="AN560" s="222">
        <f>+'Perfil - interna'!AN560+'Perfil - externa'!AN558</f>
        <v>1303617.1983166018</v>
      </c>
      <c r="AO560" s="222">
        <f>+'Perfil - interna'!AO560+'Perfil - externa'!AO558</f>
        <v>1300635.8224540006</v>
      </c>
      <c r="AP560" s="222">
        <f>+'Perfil - interna'!AP560+'Perfil - externa'!AP558</f>
        <v>1298449.4352728585</v>
      </c>
      <c r="AQ560" s="222">
        <f>+'Perfil - interna'!AQ560+'Perfil - externa'!AQ558</f>
        <v>1061544.3340727789</v>
      </c>
      <c r="AR560" s="222">
        <f>+'Perfil - interna'!AR560+'Perfil - externa'!AR558</f>
        <v>815298.10528799787</v>
      </c>
      <c r="AS560" s="222">
        <f>+'Perfil - interna'!AS560+'Perfil - externa'!AS558</f>
        <v>815292.41244909691</v>
      </c>
      <c r="AT560" s="222">
        <f>+'Perfil - interna'!AT560+'Perfil - externa'!AT558</f>
        <v>599485.80536451878</v>
      </c>
      <c r="AU560" s="222">
        <f>+'Perfil - interna'!AU560+'Perfil - externa'!AU558</f>
        <v>191855.87052129488</v>
      </c>
      <c r="AV560" s="222">
        <f>+'Perfil - interna'!AV560+'Perfil - externa'!AV558</f>
        <v>27.05268239388964</v>
      </c>
      <c r="AW560" s="222">
        <f>+'Perfil - interna'!AW560+'Perfil - externa'!AW558</f>
        <v>0</v>
      </c>
      <c r="AX560" s="222"/>
      <c r="AY560" s="222"/>
      <c r="AZ560" s="222"/>
      <c r="BA560" s="222"/>
      <c r="BB560" s="222"/>
      <c r="BC560" s="222"/>
      <c r="BD560" s="222"/>
      <c r="BE560" s="222"/>
      <c r="BF560" s="222"/>
      <c r="BG560" s="222"/>
      <c r="BH560" s="222"/>
      <c r="BI560" s="222"/>
      <c r="BJ560" s="222"/>
      <c r="BK560" s="222"/>
    </row>
    <row r="561" spans="1:63">
      <c r="A561" s="171"/>
      <c r="B561" s="318" t="str">
        <f>Servicio_internaColumna_título_total</f>
        <v>Total</v>
      </c>
      <c r="C561" s="319"/>
      <c r="D561" s="320"/>
      <c r="E561" s="320"/>
      <c r="F561" s="320"/>
      <c r="G561" s="320"/>
      <c r="H561" s="320"/>
      <c r="I561" s="320"/>
      <c r="J561" s="320"/>
      <c r="K561" s="320"/>
      <c r="L561" s="320"/>
      <c r="M561" s="320"/>
      <c r="N561" s="320"/>
      <c r="O561" s="320"/>
      <c r="P561" s="320"/>
      <c r="Q561" s="320"/>
      <c r="R561" s="320">
        <f>+'Perfil - interna'!R561+'Perfil - externa'!R559</f>
        <v>45657811.807598881</v>
      </c>
      <c r="S561" s="320">
        <f>+'Perfil - interna'!S561+'Perfil - externa'!S559</f>
        <v>41925408.766544119</v>
      </c>
      <c r="T561" s="320">
        <f>+'Perfil - interna'!T561+'Perfil - externa'!T559</f>
        <v>41904534.122649677</v>
      </c>
      <c r="U561" s="320">
        <f>+'Perfil - interna'!U561+'Perfil - externa'!U559</f>
        <v>50742719.427754432</v>
      </c>
      <c r="V561" s="320">
        <f>+'Perfil - interna'!V561+'Perfil - externa'!V559</f>
        <v>40029266.405699447</v>
      </c>
      <c r="W561" s="320">
        <f>+'Perfil - interna'!W561+'Perfil - externa'!W559</f>
        <v>37552164.632466614</v>
      </c>
      <c r="X561" s="320">
        <f>+'Perfil - interna'!X561+'Perfil - externa'!X559</f>
        <v>30105286.833110895</v>
      </c>
      <c r="Y561" s="320">
        <f>+'Perfil - interna'!Y561+'Perfil - externa'!Y559</f>
        <v>31977246.293577731</v>
      </c>
      <c r="Z561" s="320">
        <f>+'Perfil - interna'!Z561+'Perfil - externa'!Z559</f>
        <v>48604178.211868584</v>
      </c>
      <c r="AA561" s="320">
        <f>+'Perfil - interna'!AA561+'Perfil - externa'!AA559</f>
        <v>16007980.017466709</v>
      </c>
      <c r="AB561" s="320">
        <f>+'Perfil - interna'!AB561+'Perfil - externa'!AB559</f>
        <v>33482562.205651067</v>
      </c>
      <c r="AC561" s="320">
        <f>+'Perfil - interna'!AC561+'Perfil - externa'!AC559</f>
        <v>11601845.092718028</v>
      </c>
      <c r="AD561" s="320">
        <f>+'Perfil - interna'!AD561+'Perfil - externa'!AD559</f>
        <v>21993390.807886448</v>
      </c>
      <c r="AE561" s="320">
        <f>+'Perfil - interna'!AE561+'Perfil - externa'!AE559</f>
        <v>6458040.3693340458</v>
      </c>
      <c r="AF561" s="320">
        <f>+'Perfil - interna'!AF561+'Perfil - externa'!AF559</f>
        <v>18347103.921799619</v>
      </c>
      <c r="AG561" s="320">
        <f>+'Perfil - interna'!AG561+'Perfil - externa'!AG559</f>
        <v>5851448.4145429954</v>
      </c>
      <c r="AH561" s="320">
        <f>+'Perfil - interna'!AH561+'Perfil - externa'!AH559</f>
        <v>5711445.4820902077</v>
      </c>
      <c r="AI561" s="320">
        <f>+'Perfil - interna'!AI561+'Perfil - externa'!AI559</f>
        <v>12815397.378585938</v>
      </c>
      <c r="AJ561" s="320">
        <f>+'Perfil - interna'!AJ561+'Perfil - externa'!AJ559</f>
        <v>4646027.4947962845</v>
      </c>
      <c r="AK561" s="320">
        <f>+'Perfil - interna'!AK561+'Perfil - externa'!AK559</f>
        <v>6538933.3508340847</v>
      </c>
      <c r="AL561" s="320">
        <f>+'Perfil - interna'!AL561+'Perfil - externa'!AL559</f>
        <v>1984940.1132083568</v>
      </c>
      <c r="AM561" s="320">
        <f>+'Perfil - interna'!AM561+'Perfil - externa'!AM559</f>
        <v>7455244.1597713735</v>
      </c>
      <c r="AN561" s="320">
        <f>+'Perfil - interna'!AN561+'Perfil - externa'!AN559</f>
        <v>1378731.3495299655</v>
      </c>
      <c r="AO561" s="320">
        <f>+'Perfil - interna'!AO561+'Perfil - externa'!AO559</f>
        <v>1375749.9736673643</v>
      </c>
      <c r="AP561" s="320">
        <f>+'Perfil - interna'!AP561+'Perfil - externa'!AP559</f>
        <v>1373563.5864862222</v>
      </c>
      <c r="AQ561" s="320">
        <f>+'Perfil - interna'!AQ561+'Perfil - externa'!AQ559</f>
        <v>8809583.4852861427</v>
      </c>
      <c r="AR561" s="320">
        <f>+'Perfil - interna'!AR561+'Perfil - externa'!AR559</f>
        <v>890412.25650136173</v>
      </c>
      <c r="AS561" s="320">
        <f>+'Perfil - interna'!AS561+'Perfil - externa'!AS559</f>
        <v>890406.56366246077</v>
      </c>
      <c r="AT561" s="320">
        <f>+'Perfil - interna'!AT561+'Perfil - externa'!AT559</f>
        <v>8346457.4253436001</v>
      </c>
      <c r="AU561" s="320">
        <f>+'Perfil - interna'!AU561+'Perfil - externa'!AU559</f>
        <v>7938827.4905003766</v>
      </c>
      <c r="AV561" s="320">
        <f>+'Perfil - interna'!AV561+'Perfil - externa'!AV559</f>
        <v>74073.672661475284</v>
      </c>
      <c r="AW561" s="320">
        <f>+'Perfil - interna'!AW561+'Perfil - externa'!AW559</f>
        <v>0</v>
      </c>
      <c r="AX561" s="320"/>
      <c r="AY561" s="320"/>
      <c r="AZ561" s="320"/>
      <c r="BA561" s="320"/>
      <c r="BB561" s="320"/>
      <c r="BC561" s="320"/>
      <c r="BD561" s="320"/>
      <c r="BE561" s="320"/>
      <c r="BF561" s="320"/>
      <c r="BG561" s="320"/>
      <c r="BH561" s="320"/>
      <c r="BI561" s="320"/>
      <c r="BJ561" s="320"/>
      <c r="BK561" s="320"/>
    </row>
    <row r="562" spans="1:63">
      <c r="A562" s="167"/>
      <c r="B562" s="217" t="str">
        <f>Servicio_internaColumna_título_amortizaciones</f>
        <v>Amortizaciones</v>
      </c>
      <c r="C562" s="218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>
        <f>+'Perfil - interna'!R562+'Perfil - externa'!R560</f>
        <v>16887155.11771718</v>
      </c>
      <c r="S562" s="219">
        <f>+'Perfil - interna'!S562+'Perfil - externa'!S560</f>
        <v>29889969.504995354</v>
      </c>
      <c r="T562" s="219">
        <f>+'Perfil - interna'!T562+'Perfil - externa'!T560</f>
        <v>22449180.091446154</v>
      </c>
      <c r="U562" s="219">
        <f>+'Perfil - interna'!U562+'Perfil - externa'!U560</f>
        <v>33171737.527156655</v>
      </c>
      <c r="V562" s="219">
        <f>+'Perfil - interna'!V562+'Perfil - externa'!V560</f>
        <v>24109177.539092574</v>
      </c>
      <c r="W562" s="219">
        <f>+'Perfil - interna'!W562+'Perfil - externa'!W560</f>
        <v>24181351.919415705</v>
      </c>
      <c r="X562" s="219">
        <f>+'Perfil - interna'!X562+'Perfil - externa'!X560</f>
        <v>19377163.476669088</v>
      </c>
      <c r="Y562" s="219">
        <f>+'Perfil - interna'!Y562+'Perfil - externa'!Y560</f>
        <v>20488544.538645316</v>
      </c>
      <c r="Z562" s="219">
        <f>+'Perfil - interna'!Z562+'Perfil - externa'!Z560</f>
        <v>38003156.090776958</v>
      </c>
      <c r="AA562" s="219">
        <f>+'Perfil - interna'!AA562+'Perfil - externa'!AA560</f>
        <v>9332950.0986281149</v>
      </c>
      <c r="AB562" s="219">
        <f>+'Perfil - interna'!AB562+'Perfil - externa'!AB560</f>
        <v>27501629.851882972</v>
      </c>
      <c r="AC562" s="219">
        <f>+'Perfil - interna'!AC562+'Perfil - externa'!AC560</f>
        <v>6295191.7595060468</v>
      </c>
      <c r="AD562" s="219">
        <f>+'Perfil - interna'!AD562+'Perfil - externa'!AD560</f>
        <v>17095999.281574432</v>
      </c>
      <c r="AE562" s="219">
        <f>+'Perfil - interna'!AE562+'Perfil - externa'!AE560</f>
        <v>2507077.9623868777</v>
      </c>
      <c r="AF562" s="219">
        <f>+'Perfil - interna'!AF562+'Perfil - externa'!AF560</f>
        <v>15794677.675880153</v>
      </c>
      <c r="AG562" s="219">
        <f>+'Perfil - interna'!AG562+'Perfil - externa'!AG560</f>
        <v>2950599.2930092923</v>
      </c>
      <c r="AH562" s="219">
        <f>+'Perfil - interna'!AH562+'Perfil - externa'!AH560</f>
        <v>2908174.87894875</v>
      </c>
      <c r="AI562" s="219">
        <f>+'Perfil - interna'!AI562+'Perfil - externa'!AI560</f>
        <v>10214681.011925152</v>
      </c>
      <c r="AJ562" s="219">
        <f>+'Perfil - interna'!AJ562+'Perfil - externa'!AJ560</f>
        <v>2464138.9190134476</v>
      </c>
      <c r="AK562" s="219">
        <f>+'Perfil - interna'!AK562+'Perfil - externa'!AK560</f>
        <v>4842600.2076392826</v>
      </c>
      <c r="AL562" s="219">
        <f>+'Perfil - interna'!AL562+'Perfil - externa'!AL560</f>
        <v>245304.93347611578</v>
      </c>
      <c r="AM562" s="219">
        <f>+'Perfil - interna'!AM562+'Perfil - externa'!AM560</f>
        <v>5450160.4940997995</v>
      </c>
      <c r="AN562" s="219">
        <f>+'Perfil - interna'!AN562+'Perfil - externa'!AN560</f>
        <v>71229.622069189441</v>
      </c>
      <c r="AO562" s="219">
        <f>+'Perfil - interna'!AO562+'Perfil - externa'!AO560</f>
        <v>71229.622069189441</v>
      </c>
      <c r="AP562" s="219">
        <f>+'Perfil - interna'!AP562+'Perfil - externa'!AP560</f>
        <v>71229.622069189441</v>
      </c>
      <c r="AQ562" s="219">
        <f>+'Perfil - interna'!AQ562+'Perfil - externa'!AQ560</f>
        <v>7361604.6220691893</v>
      </c>
      <c r="AR562" s="219">
        <f>+'Perfil - interna'!AR562+'Perfil - externa'!AR560</f>
        <v>71229.622069189441</v>
      </c>
      <c r="AS562" s="219">
        <f>+'Perfil - interna'!AS562+'Perfil - externa'!AS560</f>
        <v>71229.622069189441</v>
      </c>
      <c r="AT562" s="219">
        <f>+'Perfil - interna'!AT562+'Perfil - externa'!AT560</f>
        <v>7360590.314875762</v>
      </c>
      <c r="AU562" s="219">
        <f>+'Perfil - interna'!AU562+'Perfil - externa'!AU560</f>
        <v>7360590.314875762</v>
      </c>
      <c r="AV562" s="219">
        <f>+'Perfil - interna'!AV562+'Perfil - externa'!AV560</f>
        <v>70215.314875761658</v>
      </c>
      <c r="AW562" s="219">
        <f>+'Perfil - interna'!AW562+'Perfil - externa'!AW560</f>
        <v>0</v>
      </c>
      <c r="AX562" s="219"/>
      <c r="AY562" s="219"/>
      <c r="AZ562" s="219"/>
      <c r="BA562" s="219"/>
      <c r="BB562" s="219"/>
      <c r="BC562" s="219"/>
      <c r="BD562" s="219"/>
      <c r="BE562" s="219"/>
      <c r="BF562" s="219"/>
      <c r="BG562" s="219"/>
      <c r="BH562" s="219"/>
      <c r="BI562" s="219"/>
      <c r="BJ562" s="219"/>
      <c r="BK562" s="219"/>
    </row>
    <row r="563" spans="1:63">
      <c r="A563" s="170">
        <v>42551</v>
      </c>
      <c r="B563" s="220" t="str">
        <f>Servicio_internaColumna_título_intereses</f>
        <v>Intereses</v>
      </c>
      <c r="C563" s="221"/>
      <c r="D563" s="222"/>
      <c r="E563" s="222"/>
      <c r="F563" s="222"/>
      <c r="G563" s="222"/>
      <c r="H563" s="222"/>
      <c r="I563" s="222"/>
      <c r="J563" s="222"/>
      <c r="K563" s="222"/>
      <c r="L563" s="222"/>
      <c r="M563" s="222"/>
      <c r="N563" s="222"/>
      <c r="O563" s="222"/>
      <c r="P563" s="222"/>
      <c r="Q563" s="222"/>
      <c r="R563" s="222">
        <f>+'Perfil - interna'!R563+'Perfil - externa'!R561</f>
        <v>12785079.17651242</v>
      </c>
      <c r="S563" s="222">
        <f>+'Perfil - interna'!S563+'Perfil - externa'!S561</f>
        <v>20205510.502338868</v>
      </c>
      <c r="T563" s="222">
        <f>+'Perfil - interna'!T563+'Perfil - externa'!T561</f>
        <v>19462428.689875811</v>
      </c>
      <c r="U563" s="222">
        <f>+'Perfil - interna'!U563+'Perfil - externa'!U561</f>
        <v>17486675.998647407</v>
      </c>
      <c r="V563" s="222">
        <f>+'Perfil - interna'!V563+'Perfil - externa'!V561</f>
        <v>15795617.099342816</v>
      </c>
      <c r="W563" s="222">
        <f>+'Perfil - interna'!W563+'Perfil - externa'!W561</f>
        <v>13426515.981833618</v>
      </c>
      <c r="X563" s="222">
        <f>+'Perfil - interna'!X563+'Perfil - externa'!X561</f>
        <v>12569849.297143923</v>
      </c>
      <c r="Y563" s="222">
        <f>+'Perfil - interna'!Y563+'Perfil - externa'!Y561</f>
        <v>11339261.994921044</v>
      </c>
      <c r="Z563" s="222">
        <f>+'Perfil - interna'!Z563+'Perfil - externa'!Z561</f>
        <v>10070057.690495396</v>
      </c>
      <c r="AA563" s="222">
        <f>+'Perfil - interna'!AA563+'Perfil - externa'!AA561</f>
        <v>7112837.6050723065</v>
      </c>
      <c r="AB563" s="222">
        <f>+'Perfil - interna'!AB563+'Perfil - externa'!AB561</f>
        <v>6580031.7796261348</v>
      </c>
      <c r="AC563" s="222">
        <f>+'Perfil - interna'!AC563+'Perfil - externa'!AC561</f>
        <v>4976322.1486433409</v>
      </c>
      <c r="AD563" s="222">
        <f>+'Perfil - interna'!AD563+'Perfil - externa'!AD561</f>
        <v>4751398.5938549656</v>
      </c>
      <c r="AE563" s="222">
        <f>+'Perfil - interna'!AE563+'Perfil - externa'!AE561</f>
        <v>3856123.1406487278</v>
      </c>
      <c r="AF563" s="222">
        <f>+'Perfil - interna'!AF563+'Perfil - externa'!AF561</f>
        <v>3817842.8364059399</v>
      </c>
      <c r="AG563" s="222">
        <f>+'Perfil - interna'!AG563+'Perfil - externa'!AG561</f>
        <v>2697816.9561395124</v>
      </c>
      <c r="AH563" s="222">
        <f>+'Perfil - interna'!AH563+'Perfil - externa'!AH561</f>
        <v>2604667.6496807775</v>
      </c>
      <c r="AI563" s="222">
        <f>+'Perfil - interna'!AI563+'Perfil - externa'!AI561</f>
        <v>2518359.4885783209</v>
      </c>
      <c r="AJ563" s="222">
        <f>+'Perfil - interna'!AJ563+'Perfil - externa'!AJ561</f>
        <v>2017698.0202895438</v>
      </c>
      <c r="AK563" s="222">
        <f>+'Perfil - interna'!AK563+'Perfil - externa'!AK561</f>
        <v>1928488.0604129091</v>
      </c>
      <c r="AL563" s="222">
        <f>+'Perfil - interna'!AL563+'Perfil - externa'!AL561</f>
        <v>1680812.5269164001</v>
      </c>
      <c r="AM563" s="222">
        <f>+'Perfil - interna'!AM563+'Perfil - externa'!AM561</f>
        <v>1671875.2220860792</v>
      </c>
      <c r="AN563" s="222">
        <f>+'Perfil - interna'!AN563+'Perfil - externa'!AN561</f>
        <v>1273428.4757489103</v>
      </c>
      <c r="AO563" s="222">
        <f>+'Perfil - interna'!AO563+'Perfil - externa'!AO561</f>
        <v>1268489.4019112654</v>
      </c>
      <c r="AP563" s="222">
        <f>+'Perfil - interna'!AP563+'Perfil - externa'!AP561</f>
        <v>1264323.3611182191</v>
      </c>
      <c r="AQ563" s="222">
        <f>+'Perfil - interna'!AQ563+'Perfil - externa'!AQ561</f>
        <v>1035968.9160400075</v>
      </c>
      <c r="AR563" s="222">
        <f>+'Perfil - interna'!AR563+'Perfil - externa'!AR561</f>
        <v>798270.3758200166</v>
      </c>
      <c r="AS563" s="222">
        <f>+'Perfil - interna'!AS563+'Perfil - externa'!AS561</f>
        <v>796096.26442030235</v>
      </c>
      <c r="AT563" s="222">
        <f>+'Perfil - interna'!AT563+'Perfil - externa'!AT561</f>
        <v>587882.6644985826</v>
      </c>
      <c r="AU563" s="222">
        <f>+'Perfil - interna'!AU563+'Perfil - externa'!AU561</f>
        <v>195107.91771503244</v>
      </c>
      <c r="AV563" s="222">
        <f>+'Perfil - interna'!AV563+'Perfil - externa'!AV561</f>
        <v>4272.1994958651267</v>
      </c>
      <c r="AW563" s="222">
        <f>+'Perfil - interna'!AW563+'Perfil - externa'!AW561</f>
        <v>0</v>
      </c>
      <c r="AX563" s="222"/>
      <c r="AY563" s="222"/>
      <c r="AZ563" s="222"/>
      <c r="BA563" s="222"/>
      <c r="BB563" s="222"/>
      <c r="BC563" s="222"/>
      <c r="BD563" s="222"/>
      <c r="BE563" s="222"/>
      <c r="BF563" s="222"/>
      <c r="BG563" s="222"/>
      <c r="BH563" s="222"/>
      <c r="BI563" s="222"/>
      <c r="BJ563" s="222"/>
      <c r="BK563" s="222"/>
    </row>
    <row r="564" spans="1:63">
      <c r="A564" s="171"/>
      <c r="B564" s="318" t="str">
        <f>Servicio_internaColumna_título_total</f>
        <v>Total</v>
      </c>
      <c r="C564" s="319"/>
      <c r="D564" s="320"/>
      <c r="E564" s="320"/>
      <c r="F564" s="320"/>
      <c r="G564" s="320"/>
      <c r="H564" s="320"/>
      <c r="I564" s="320"/>
      <c r="J564" s="320"/>
      <c r="K564" s="320"/>
      <c r="L564" s="320"/>
      <c r="M564" s="320"/>
      <c r="N564" s="320"/>
      <c r="O564" s="320"/>
      <c r="P564" s="320"/>
      <c r="Q564" s="320"/>
      <c r="R564" s="320">
        <f>+'Perfil - interna'!R564+'Perfil - externa'!R562</f>
        <v>29672234.294229604</v>
      </c>
      <c r="S564" s="320">
        <f>+'Perfil - interna'!S564+'Perfil - externa'!S562</f>
        <v>50095480.007334225</v>
      </c>
      <c r="T564" s="320">
        <f>+'Perfil - interna'!T564+'Perfil - externa'!T562</f>
        <v>41911608.781321958</v>
      </c>
      <c r="U564" s="320">
        <f>+'Perfil - interna'!U564+'Perfil - externa'!U562</f>
        <v>50658413.525804058</v>
      </c>
      <c r="V564" s="320">
        <f>+'Perfil - interna'!V564+'Perfil - externa'!V562</f>
        <v>39904794.638435394</v>
      </c>
      <c r="W564" s="320">
        <f>+'Perfil - interna'!W564+'Perfil - externa'!W562</f>
        <v>37607867.901249319</v>
      </c>
      <c r="X564" s="320">
        <f>+'Perfil - interna'!X564+'Perfil - externa'!X562</f>
        <v>31947012.773813013</v>
      </c>
      <c r="Y564" s="320">
        <f>+'Perfil - interna'!Y564+'Perfil - externa'!Y562</f>
        <v>31827806.533566363</v>
      </c>
      <c r="Z564" s="320">
        <f>+'Perfil - interna'!Z564+'Perfil - externa'!Z562</f>
        <v>48073213.781272352</v>
      </c>
      <c r="AA564" s="320">
        <f>+'Perfil - interna'!AA564+'Perfil - externa'!AA562</f>
        <v>16445787.703700421</v>
      </c>
      <c r="AB564" s="320">
        <f>+'Perfil - interna'!AB564+'Perfil - externa'!AB562</f>
        <v>34081661.63150911</v>
      </c>
      <c r="AC564" s="320">
        <f>+'Perfil - interna'!AC564+'Perfil - externa'!AC562</f>
        <v>11271513.908149388</v>
      </c>
      <c r="AD564" s="320">
        <f>+'Perfil - interna'!AD564+'Perfil - externa'!AD562</f>
        <v>21847397.875429399</v>
      </c>
      <c r="AE564" s="320">
        <f>+'Perfil - interna'!AE564+'Perfil - externa'!AE562</f>
        <v>6363201.1030356055</v>
      </c>
      <c r="AF564" s="320">
        <f>+'Perfil - interna'!AF564+'Perfil - externa'!AF562</f>
        <v>19612520.512286089</v>
      </c>
      <c r="AG564" s="320">
        <f>+'Perfil - interna'!AG564+'Perfil - externa'!AG562</f>
        <v>5648416.2491488047</v>
      </c>
      <c r="AH564" s="320">
        <f>+'Perfil - interna'!AH564+'Perfil - externa'!AH562</f>
        <v>5512842.5286295274</v>
      </c>
      <c r="AI564" s="320">
        <f>+'Perfil - interna'!AI564+'Perfil - externa'!AI562</f>
        <v>12733040.500503471</v>
      </c>
      <c r="AJ564" s="320">
        <f>+'Perfil - interna'!AJ564+'Perfil - externa'!AJ562</f>
        <v>4481836.9393029911</v>
      </c>
      <c r="AK564" s="320">
        <f>+'Perfil - interna'!AK564+'Perfil - externa'!AK562</f>
        <v>6771088.2680521915</v>
      </c>
      <c r="AL564" s="320">
        <f>+'Perfil - interna'!AL564+'Perfil - externa'!AL562</f>
        <v>1926117.4603925159</v>
      </c>
      <c r="AM564" s="320">
        <f>+'Perfil - interna'!AM564+'Perfil - externa'!AM562</f>
        <v>7122035.716185878</v>
      </c>
      <c r="AN564" s="320">
        <f>+'Perfil - interna'!AN564+'Perfil - externa'!AN562</f>
        <v>1344658.0978180997</v>
      </c>
      <c r="AO564" s="320">
        <f>+'Perfil - interna'!AO564+'Perfil - externa'!AO562</f>
        <v>1339719.0239804548</v>
      </c>
      <c r="AP564" s="320">
        <f>+'Perfil - interna'!AP564+'Perfil - externa'!AP562</f>
        <v>1335552.9831874084</v>
      </c>
      <c r="AQ564" s="320">
        <f>+'Perfil - interna'!AQ564+'Perfil - externa'!AQ562</f>
        <v>8397573.5381091963</v>
      </c>
      <c r="AR564" s="320">
        <f>+'Perfil - interna'!AR564+'Perfil - externa'!AR562</f>
        <v>869499.99788920605</v>
      </c>
      <c r="AS564" s="320">
        <f>+'Perfil - interna'!AS564+'Perfil - externa'!AS562</f>
        <v>867325.88648949179</v>
      </c>
      <c r="AT564" s="320">
        <f>+'Perfil - interna'!AT564+'Perfil - externa'!AT562</f>
        <v>7948472.9793743445</v>
      </c>
      <c r="AU564" s="320">
        <f>+'Perfil - interna'!AU564+'Perfil - externa'!AU562</f>
        <v>7555698.2325907946</v>
      </c>
      <c r="AV564" s="320">
        <f>+'Perfil - interna'!AV564+'Perfil - externa'!AV562</f>
        <v>74487.514371626778</v>
      </c>
      <c r="AW564" s="320">
        <f>+'Perfil - interna'!AW564+'Perfil - externa'!AW562</f>
        <v>0</v>
      </c>
      <c r="AX564" s="320"/>
      <c r="AY564" s="320"/>
      <c r="AZ564" s="320"/>
      <c r="BA564" s="320"/>
      <c r="BB564" s="320"/>
      <c r="BC564" s="320"/>
      <c r="BD564" s="320"/>
      <c r="BE564" s="320"/>
      <c r="BF564" s="320"/>
      <c r="BG564" s="320"/>
      <c r="BH564" s="320"/>
      <c r="BI564" s="320"/>
      <c r="BJ564" s="320"/>
      <c r="BK564" s="320"/>
    </row>
    <row r="565" spans="1:63">
      <c r="A565" s="167"/>
      <c r="B565" s="217" t="str">
        <f>Servicio_internaColumna_título_amortizaciones</f>
        <v>Amortizaciones</v>
      </c>
      <c r="C565" s="218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>
        <f>+'Perfil - interna'!R565+'Perfil - externa'!R563</f>
        <v>8731872.7614273578</v>
      </c>
      <c r="S565" s="219">
        <f>+'Perfil - interna'!S565+'Perfil - externa'!S563</f>
        <v>34189370.080382392</v>
      </c>
      <c r="T565" s="219">
        <f>+'Perfil - interna'!T565+'Perfil - externa'!T563</f>
        <v>22591477.550181538</v>
      </c>
      <c r="U565" s="219">
        <f>+'Perfil - interna'!U565+'Perfil - externa'!U563</f>
        <v>33794105.441104382</v>
      </c>
      <c r="V565" s="219">
        <f>+'Perfil - interna'!V565+'Perfil - externa'!V563</f>
        <v>24378722.388363585</v>
      </c>
      <c r="W565" s="219">
        <f>+'Perfil - interna'!W565+'Perfil - externa'!W563</f>
        <v>25000262.720767129</v>
      </c>
      <c r="X565" s="219">
        <f>+'Perfil - interna'!X565+'Perfil - externa'!X563</f>
        <v>20555969.767746337</v>
      </c>
      <c r="Y565" s="219">
        <f>+'Perfil - interna'!Y565+'Perfil - externa'!Y563</f>
        <v>20867390.385726467</v>
      </c>
      <c r="Z565" s="219">
        <f>+'Perfil - interna'!Z565+'Perfil - externa'!Z563</f>
        <v>38671551.545106113</v>
      </c>
      <c r="AA565" s="219">
        <f>+'Perfil - interna'!AA565+'Perfil - externa'!AA563</f>
        <v>10005448.679498959</v>
      </c>
      <c r="AB565" s="219">
        <f>+'Perfil - interna'!AB565+'Perfil - externa'!AB563</f>
        <v>29661806.474239472</v>
      </c>
      <c r="AC565" s="219">
        <f>+'Perfil - interna'!AC565+'Perfil - externa'!AC563</f>
        <v>6566006.2213514186</v>
      </c>
      <c r="AD565" s="219">
        <f>+'Perfil - interna'!AD565+'Perfil - externa'!AD563</f>
        <v>17295185.0241029</v>
      </c>
      <c r="AE565" s="219">
        <f>+'Perfil - interna'!AE565+'Perfil - externa'!AE563</f>
        <v>2659015.8351042806</v>
      </c>
      <c r="AF565" s="219">
        <f>+'Perfil - interna'!AF565+'Perfil - externa'!AF563</f>
        <v>16975550.675998412</v>
      </c>
      <c r="AG565" s="219">
        <f>+'Perfil - interna'!AG565+'Perfil - externa'!AG563</f>
        <v>3129726.7953743283</v>
      </c>
      <c r="AH565" s="219">
        <f>+'Perfil - interna'!AH565+'Perfil - externa'!AH563</f>
        <v>3084970.4576337761</v>
      </c>
      <c r="AI565" s="219">
        <f>+'Perfil - interna'!AI565+'Perfil - externa'!AI563</f>
        <v>10359690.865883576</v>
      </c>
      <c r="AJ565" s="219">
        <f>+'Perfil - interna'!AJ565+'Perfil - externa'!AJ563</f>
        <v>2614192.2264606957</v>
      </c>
      <c r="AK565" s="219">
        <f>+'Perfil - interna'!AK565+'Perfil - externa'!AK563</f>
        <v>5323561.5164343063</v>
      </c>
      <c r="AL565" s="219">
        <f>+'Perfil - interna'!AL565+'Perfil - externa'!AL563</f>
        <v>261725.26152246847</v>
      </c>
      <c r="AM565" s="219">
        <f>+'Perfil - interna'!AM565+'Perfil - externa'!AM563</f>
        <v>5780057.4485874977</v>
      </c>
      <c r="AN565" s="219">
        <f>+'Perfil - interna'!AN565+'Perfil - externa'!AN563</f>
        <v>75989.151262725296</v>
      </c>
      <c r="AO565" s="219">
        <f>+'Perfil - interna'!AO565+'Perfil - externa'!AO563</f>
        <v>75989.151262725296</v>
      </c>
      <c r="AP565" s="219">
        <f>+'Perfil - interna'!AP565+'Perfil - externa'!AP563</f>
        <v>75989.151262725296</v>
      </c>
      <c r="AQ565" s="219">
        <f>+'Perfil - interna'!AQ565+'Perfil - externa'!AQ563</f>
        <v>7805439.1512627257</v>
      </c>
      <c r="AR565" s="219">
        <f>+'Perfil - interna'!AR565+'Perfil - externa'!AR563</f>
        <v>75989.151262725296</v>
      </c>
      <c r="AS565" s="219">
        <f>+'Perfil - interna'!AS565+'Perfil - externa'!AS563</f>
        <v>75989.151262725296</v>
      </c>
      <c r="AT565" s="219">
        <f>+'Perfil - interna'!AT565+'Perfil - externa'!AT563</f>
        <v>7804363.7557259751</v>
      </c>
      <c r="AU565" s="219">
        <f>+'Perfil - interna'!AU565+'Perfil - externa'!AU563</f>
        <v>7804363.7557259751</v>
      </c>
      <c r="AV565" s="219">
        <f>+'Perfil - interna'!AV565+'Perfil - externa'!AV563</f>
        <v>74913.755725974392</v>
      </c>
      <c r="AW565" s="219">
        <f>+'Perfil - interna'!AW565+'Perfil - externa'!AW563</f>
        <v>0</v>
      </c>
      <c r="AX565" s="219"/>
      <c r="AY565" s="219"/>
      <c r="AZ565" s="219"/>
      <c r="BA565" s="219"/>
      <c r="BB565" s="219"/>
      <c r="BC565" s="219"/>
      <c r="BD565" s="219"/>
      <c r="BE565" s="219"/>
      <c r="BF565" s="219"/>
      <c r="BG565" s="219"/>
      <c r="BH565" s="219"/>
      <c r="BI565" s="219"/>
      <c r="BJ565" s="219"/>
      <c r="BK565" s="219"/>
    </row>
    <row r="566" spans="1:63">
      <c r="A566" s="170">
        <v>42582</v>
      </c>
      <c r="B566" s="220" t="str">
        <f>Servicio_internaColumna_título_intereses</f>
        <v>Intereses</v>
      </c>
      <c r="C566" s="221"/>
      <c r="D566" s="222"/>
      <c r="E566" s="222"/>
      <c r="F566" s="222"/>
      <c r="G566" s="222"/>
      <c r="H566" s="222"/>
      <c r="I566" s="222"/>
      <c r="J566" s="222"/>
      <c r="K566" s="222"/>
      <c r="L566" s="222"/>
      <c r="M566" s="222"/>
      <c r="N566" s="222"/>
      <c r="O566" s="222"/>
      <c r="P566" s="222"/>
      <c r="Q566" s="222"/>
      <c r="R566" s="222">
        <f>+'Perfil - interna'!R566+'Perfil - externa'!R564</f>
        <v>7866295.9787624227</v>
      </c>
      <c r="S566" s="222">
        <f>+'Perfil - interna'!S566+'Perfil - externa'!S564</f>
        <v>20502183.350621972</v>
      </c>
      <c r="T566" s="222">
        <f>+'Perfil - interna'!T566+'Perfil - externa'!T564</f>
        <v>19709729.886390932</v>
      </c>
      <c r="U566" s="222">
        <f>+'Perfil - interna'!U566+'Perfil - externa'!U564</f>
        <v>17785796.850627027</v>
      </c>
      <c r="V566" s="222">
        <f>+'Perfil - interna'!V566+'Perfil - externa'!V564</f>
        <v>16096017.304584324</v>
      </c>
      <c r="W566" s="222">
        <f>+'Perfil - interna'!W566+'Perfil - externa'!W564</f>
        <v>13728233.920934875</v>
      </c>
      <c r="X566" s="222">
        <f>+'Perfil - interna'!X566+'Perfil - externa'!X564</f>
        <v>12862049.990822395</v>
      </c>
      <c r="Y566" s="222">
        <f>+'Perfil - interna'!Y566+'Perfil - externa'!Y564</f>
        <v>11559044.81811237</v>
      </c>
      <c r="Z566" s="222">
        <f>+'Perfil - interna'!Z566+'Perfil - externa'!Z564</f>
        <v>10290944.414654965</v>
      </c>
      <c r="AA566" s="222">
        <f>+'Perfil - interna'!AA566+'Perfil - externa'!AA564</f>
        <v>7334861.3472291585</v>
      </c>
      <c r="AB566" s="222">
        <f>+'Perfil - interna'!AB566+'Perfil - externa'!AB564</f>
        <v>6783119.908787176</v>
      </c>
      <c r="AC566" s="222">
        <f>+'Perfil - interna'!AC566+'Perfil - externa'!AC564</f>
        <v>5076730.5154517125</v>
      </c>
      <c r="AD566" s="222">
        <f>+'Perfil - interna'!AD566+'Perfil - externa'!AD564</f>
        <v>4852428.112615088</v>
      </c>
      <c r="AE566" s="222">
        <f>+'Perfil - interna'!AE566+'Perfil - externa'!AE564</f>
        <v>3957792.4459191537</v>
      </c>
      <c r="AF566" s="222">
        <f>+'Perfil - interna'!AF566+'Perfil - externa'!AF564</f>
        <v>3920171.1217819802</v>
      </c>
      <c r="AG566" s="222">
        <f>+'Perfil - interna'!AG566+'Perfil - externa'!AG564</f>
        <v>2721120.689274332</v>
      </c>
      <c r="AH566" s="222">
        <f>+'Perfil - interna'!AH566+'Perfil - externa'!AH564</f>
        <v>2628670.4948096424</v>
      </c>
      <c r="AI566" s="222">
        <f>+'Perfil - interna'!AI566+'Perfil - externa'!AI564</f>
        <v>2543082.4190610512</v>
      </c>
      <c r="AJ566" s="222">
        <f>+'Perfil - interna'!AJ566+'Perfil - externa'!AJ564</f>
        <v>2043162.6386867564</v>
      </c>
      <c r="AK566" s="222">
        <f>+'Perfil - interna'!AK566+'Perfil - externa'!AK564</f>
        <v>1954716.617362038</v>
      </c>
      <c r="AL566" s="222">
        <f>+'Perfil - interna'!AL566+'Perfil - externa'!AL564</f>
        <v>1680812.5269164001</v>
      </c>
      <c r="AM566" s="222">
        <f>+'Perfil - interna'!AM566+'Perfil - externa'!AM564</f>
        <v>1671875.2220860792</v>
      </c>
      <c r="AN566" s="222">
        <f>+'Perfil - interna'!AN566+'Perfil - externa'!AN564</f>
        <v>1273428.4757489103</v>
      </c>
      <c r="AO566" s="222">
        <f>+'Perfil - interna'!AO566+'Perfil - externa'!AO564</f>
        <v>1268489.4019112654</v>
      </c>
      <c r="AP566" s="222">
        <f>+'Perfil - interna'!AP566+'Perfil - externa'!AP564</f>
        <v>1264323.3611182191</v>
      </c>
      <c r="AQ566" s="222">
        <f>+'Perfil - interna'!AQ566+'Perfil - externa'!AQ564</f>
        <v>1035968.9160400075</v>
      </c>
      <c r="AR566" s="222">
        <f>+'Perfil - interna'!AR566+'Perfil - externa'!AR564</f>
        <v>798270.3758200166</v>
      </c>
      <c r="AS566" s="222">
        <f>+'Perfil - interna'!AS566+'Perfil - externa'!AS564</f>
        <v>796096.26442030235</v>
      </c>
      <c r="AT566" s="222">
        <f>+'Perfil - interna'!AT566+'Perfil - externa'!AT564</f>
        <v>587882.6644985826</v>
      </c>
      <c r="AU566" s="222">
        <f>+'Perfil - interna'!AU566+'Perfil - externa'!AU564</f>
        <v>195107.91771503244</v>
      </c>
      <c r="AV566" s="222">
        <f>+'Perfil - interna'!AV566+'Perfil - externa'!AV564</f>
        <v>4272.1994958651267</v>
      </c>
      <c r="AW566" s="222">
        <f>+'Perfil - interna'!AW566+'Perfil - externa'!AW564</f>
        <v>0</v>
      </c>
      <c r="AX566" s="222"/>
      <c r="AY566" s="222"/>
      <c r="AZ566" s="222"/>
      <c r="BA566" s="222"/>
      <c r="BB566" s="222"/>
      <c r="BC566" s="222"/>
      <c r="BD566" s="222"/>
      <c r="BE566" s="222"/>
      <c r="BF566" s="222"/>
      <c r="BG566" s="222"/>
      <c r="BH566" s="222"/>
      <c r="BI566" s="222"/>
      <c r="BJ566" s="222"/>
      <c r="BK566" s="222"/>
    </row>
    <row r="567" spans="1:63">
      <c r="A567" s="171"/>
      <c r="B567" s="318" t="str">
        <f>Servicio_internaColumna_título_total</f>
        <v>Total</v>
      </c>
      <c r="C567" s="319"/>
      <c r="D567" s="320"/>
      <c r="E567" s="320"/>
      <c r="F567" s="320"/>
      <c r="G567" s="320"/>
      <c r="H567" s="320"/>
      <c r="I567" s="320"/>
      <c r="J567" s="320"/>
      <c r="K567" s="320"/>
      <c r="L567" s="320"/>
      <c r="M567" s="320"/>
      <c r="N567" s="320"/>
      <c r="O567" s="320"/>
      <c r="P567" s="320"/>
      <c r="Q567" s="320"/>
      <c r="R567" s="320">
        <f>+'Perfil - interna'!R567+'Perfil - externa'!R565</f>
        <v>16598168.740189781</v>
      </c>
      <c r="S567" s="320">
        <f>+'Perfil - interna'!S567+'Perfil - externa'!S565</f>
        <v>54691553.431004368</v>
      </c>
      <c r="T567" s="320">
        <f>+'Perfil - interna'!T567+'Perfil - externa'!T565</f>
        <v>42301207.436572462</v>
      </c>
      <c r="U567" s="320">
        <f>+'Perfil - interna'!U567+'Perfil - externa'!U565</f>
        <v>51579902.291731417</v>
      </c>
      <c r="V567" s="320">
        <f>+'Perfil - interna'!V567+'Perfil - externa'!V565</f>
        <v>40474739.692947909</v>
      </c>
      <c r="W567" s="320">
        <f>+'Perfil - interna'!W567+'Perfil - externa'!W565</f>
        <v>38728496.641701996</v>
      </c>
      <c r="X567" s="320">
        <f>+'Perfil - interna'!X567+'Perfil - externa'!X565</f>
        <v>33418019.75856873</v>
      </c>
      <c r="Y567" s="320">
        <f>+'Perfil - interna'!Y567+'Perfil - externa'!Y565</f>
        <v>32426435.203838833</v>
      </c>
      <c r="Z567" s="320">
        <f>+'Perfil - interna'!Z567+'Perfil - externa'!Z565</f>
        <v>48962495.959761076</v>
      </c>
      <c r="AA567" s="320">
        <f>+'Perfil - interna'!AA567+'Perfil - externa'!AA565</f>
        <v>17340310.026728116</v>
      </c>
      <c r="AB567" s="320">
        <f>+'Perfil - interna'!AB567+'Perfil - externa'!AB565</f>
        <v>36444926.383026645</v>
      </c>
      <c r="AC567" s="320">
        <f>+'Perfil - interna'!AC567+'Perfil - externa'!AC565</f>
        <v>11642736.736803131</v>
      </c>
      <c r="AD567" s="320">
        <f>+'Perfil - interna'!AD567+'Perfil - externa'!AD565</f>
        <v>22147613.136717986</v>
      </c>
      <c r="AE567" s="320">
        <f>+'Perfil - interna'!AE567+'Perfil - externa'!AE565</f>
        <v>6616808.2810234344</v>
      </c>
      <c r="AF567" s="320">
        <f>+'Perfil - interna'!AF567+'Perfil - externa'!AF565</f>
        <v>20895721.797780391</v>
      </c>
      <c r="AG567" s="320">
        <f>+'Perfil - interna'!AG567+'Perfil - externa'!AG565</f>
        <v>5850847.4846486598</v>
      </c>
      <c r="AH567" s="320">
        <f>+'Perfil - interna'!AH567+'Perfil - externa'!AH565</f>
        <v>5713640.9524434181</v>
      </c>
      <c r="AI567" s="320">
        <f>+'Perfil - interna'!AI567+'Perfil - externa'!AI565</f>
        <v>12902773.284944627</v>
      </c>
      <c r="AJ567" s="320">
        <f>+'Perfil - interna'!AJ567+'Perfil - externa'!AJ565</f>
        <v>4657354.8651474519</v>
      </c>
      <c r="AK567" s="320">
        <f>+'Perfil - interna'!AK567+'Perfil - externa'!AK565</f>
        <v>7278278.1337963454</v>
      </c>
      <c r="AL567" s="320">
        <f>+'Perfil - interna'!AL567+'Perfil - externa'!AL565</f>
        <v>1942537.7884388685</v>
      </c>
      <c r="AM567" s="320">
        <f>+'Perfil - interna'!AM567+'Perfil - externa'!AM565</f>
        <v>7451932.6706735762</v>
      </c>
      <c r="AN567" s="320">
        <f>+'Perfil - interna'!AN567+'Perfil - externa'!AN565</f>
        <v>1349417.6270116356</v>
      </c>
      <c r="AO567" s="320">
        <f>+'Perfil - interna'!AO567+'Perfil - externa'!AO565</f>
        <v>1344478.5531739907</v>
      </c>
      <c r="AP567" s="320">
        <f>+'Perfil - interna'!AP567+'Perfil - externa'!AP565</f>
        <v>1340312.5123809443</v>
      </c>
      <c r="AQ567" s="320">
        <f>+'Perfil - interna'!AQ567+'Perfil - externa'!AQ565</f>
        <v>8841408.0673027318</v>
      </c>
      <c r="AR567" s="320">
        <f>+'Perfil - interna'!AR567+'Perfil - externa'!AR565</f>
        <v>874259.52708274196</v>
      </c>
      <c r="AS567" s="320">
        <f>+'Perfil - interna'!AS567+'Perfil - externa'!AS565</f>
        <v>872085.41568302759</v>
      </c>
      <c r="AT567" s="320">
        <f>+'Perfil - interna'!AT567+'Perfil - externa'!AT565</f>
        <v>8392246.4202245586</v>
      </c>
      <c r="AU567" s="320">
        <f>+'Perfil - interna'!AU567+'Perfil - externa'!AU565</f>
        <v>7999471.6734410077</v>
      </c>
      <c r="AV567" s="320">
        <f>+'Perfil - interna'!AV567+'Perfil - externa'!AV565</f>
        <v>79185.955221839511</v>
      </c>
      <c r="AW567" s="320">
        <f>+'Perfil - interna'!AW567+'Perfil - externa'!AW565</f>
        <v>0</v>
      </c>
      <c r="AX567" s="320"/>
      <c r="AY567" s="320"/>
      <c r="AZ567" s="320"/>
      <c r="BA567" s="320"/>
      <c r="BB567" s="320"/>
      <c r="BC567" s="320"/>
      <c r="BD567" s="320"/>
      <c r="BE567" s="320"/>
      <c r="BF567" s="320"/>
      <c r="BG567" s="320"/>
      <c r="BH567" s="320"/>
      <c r="BI567" s="320"/>
      <c r="BJ567" s="320"/>
      <c r="BK567" s="320"/>
    </row>
    <row r="568" spans="1:63">
      <c r="A568" s="167"/>
      <c r="B568" s="217" t="str">
        <f>Servicio_internaColumna_título_amortizaciones</f>
        <v>Amortizaciones</v>
      </c>
      <c r="C568" s="218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>
        <f>+'Perfil - interna'!R568+'Perfil - externa'!R566</f>
        <v>6314895.3949075667</v>
      </c>
      <c r="S568" s="219">
        <f>+'Perfil - interna'!S568+'Perfil - externa'!S566</f>
        <v>35865619.085792601</v>
      </c>
      <c r="T568" s="219">
        <f>+'Perfil - interna'!T568+'Perfil - externa'!T566</f>
        <v>22419079.432005025</v>
      </c>
      <c r="U568" s="219">
        <f>+'Perfil - interna'!U568+'Perfil - externa'!U566</f>
        <v>33285174.547037862</v>
      </c>
      <c r="V568" s="219">
        <f>+'Perfil - interna'!V568+'Perfil - externa'!V566</f>
        <v>24103937.812335391</v>
      </c>
      <c r="W568" s="219">
        <f>+'Perfil - interna'!W568+'Perfil - externa'!W566</f>
        <v>24748571.976311855</v>
      </c>
      <c r="X568" s="219">
        <f>+'Perfil - interna'!X568+'Perfil - externa'!X566</f>
        <v>21025350.58288094</v>
      </c>
      <c r="Y568" s="219">
        <f>+'Perfil - interna'!Y568+'Perfil - externa'!Y566</f>
        <v>20650017.447650202</v>
      </c>
      <c r="Z568" s="219">
        <f>+'Perfil - interna'!Z568+'Perfil - externa'!Z566</f>
        <v>38063802.974117935</v>
      </c>
      <c r="AA568" s="219">
        <f>+'Perfil - interna'!AA568+'Perfil - externa'!AA566</f>
        <v>10103639.191567533</v>
      </c>
      <c r="AB568" s="219">
        <f>+'Perfil - interna'!AB568+'Perfil - externa'!AB566</f>
        <v>29801649.847124089</v>
      </c>
      <c r="AC568" s="219">
        <f>+'Perfil - interna'!AC568+'Perfil - externa'!AC566</f>
        <v>6321438.7112507541</v>
      </c>
      <c r="AD568" s="219">
        <f>+'Perfil - interna'!AD568+'Perfil - externa'!AD566</f>
        <v>17112277.931133907</v>
      </c>
      <c r="AE568" s="219">
        <f>+'Perfil - interna'!AE568+'Perfil - externa'!AE566</f>
        <v>2520587.1907276553</v>
      </c>
      <c r="AF568" s="219">
        <f>+'Perfil - interna'!AF568+'Perfil - externa'!AF566</f>
        <v>17749344.569577202</v>
      </c>
      <c r="AG568" s="219">
        <f>+'Perfil - interna'!AG568+'Perfil - externa'!AG566</f>
        <v>2969484.1700046989</v>
      </c>
      <c r="AH568" s="219">
        <f>+'Perfil - interna'!AH568+'Perfil - externa'!AH566</f>
        <v>2927014.447453293</v>
      </c>
      <c r="AI568" s="219">
        <f>+'Perfil - interna'!AI568+'Perfil - externa'!AI566</f>
        <v>10311986.304094795</v>
      </c>
      <c r="AJ568" s="219">
        <f>+'Perfil - interna'!AJ568+'Perfil - externa'!AJ566</f>
        <v>2480288.9785830011</v>
      </c>
      <c r="AK568" s="219">
        <f>+'Perfil - interna'!AK568+'Perfil - externa'!AK566</f>
        <v>5575821.8675552476</v>
      </c>
      <c r="AL568" s="219">
        <f>+'Perfil - interna'!AL568+'Perfil - externa'!AL566</f>
        <v>248014.73551324671</v>
      </c>
      <c r="AM568" s="219">
        <f>+'Perfil - interna'!AM568+'Perfil - externa'!AM566</f>
        <v>5484413.4964924846</v>
      </c>
      <c r="AN568" s="219">
        <f>+'Perfil - interna'!AN568+'Perfil - externa'!AN566</f>
        <v>71832.148368339971</v>
      </c>
      <c r="AO568" s="219">
        <f>+'Perfil - interna'!AO568+'Perfil - externa'!AO566</f>
        <v>71832.148368339971</v>
      </c>
      <c r="AP568" s="219">
        <f>+'Perfil - interna'!AP568+'Perfil - externa'!AP566</f>
        <v>71832.148368339971</v>
      </c>
      <c r="AQ568" s="219">
        <f>+'Perfil - interna'!AQ568+'Perfil - externa'!AQ566</f>
        <v>7406382.1483683409</v>
      </c>
      <c r="AR568" s="219">
        <f>+'Perfil - interna'!AR568+'Perfil - externa'!AR566</f>
        <v>71832.148368339971</v>
      </c>
      <c r="AS568" s="219">
        <f>+'Perfil - interna'!AS568+'Perfil - externa'!AS566</f>
        <v>71832.148368339971</v>
      </c>
      <c r="AT568" s="219">
        <f>+'Perfil - interna'!AT568+'Perfil - externa'!AT566</f>
        <v>7405361.6951234043</v>
      </c>
      <c r="AU568" s="219">
        <f>+'Perfil - interna'!AU568+'Perfil - externa'!AU566</f>
        <v>7405361.6951234043</v>
      </c>
      <c r="AV568" s="219">
        <f>+'Perfil - interna'!AV568+'Perfil - externa'!AV566</f>
        <v>70811.695123403217</v>
      </c>
      <c r="AW568" s="219">
        <f>+'Perfil - interna'!AW568+'Perfil - externa'!AW566</f>
        <v>0</v>
      </c>
      <c r="AX568" s="219"/>
      <c r="AY568" s="219"/>
      <c r="AZ568" s="219"/>
      <c r="BA568" s="219"/>
      <c r="BB568" s="219"/>
      <c r="BC568" s="219"/>
      <c r="BD568" s="219"/>
      <c r="BE568" s="219"/>
      <c r="BF568" s="219"/>
      <c r="BG568" s="219"/>
      <c r="BH568" s="219"/>
      <c r="BI568" s="219"/>
      <c r="BJ568" s="219"/>
      <c r="BK568" s="219"/>
    </row>
    <row r="569" spans="1:63">
      <c r="A569" s="170">
        <v>42613</v>
      </c>
      <c r="B569" s="220" t="str">
        <f>Servicio_internaColumna_título_intereses</f>
        <v>Intereses</v>
      </c>
      <c r="C569" s="221"/>
      <c r="D569" s="222"/>
      <c r="E569" s="222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Q569" s="222"/>
      <c r="R569" s="222">
        <f>+'Perfil - interna'!R569+'Perfil - externa'!R567</f>
        <v>5012497.9360145526</v>
      </c>
      <c r="S569" s="222">
        <f>+'Perfil - interna'!S569+'Perfil - externa'!S567</f>
        <v>20810828.884934157</v>
      </c>
      <c r="T569" s="222">
        <f>+'Perfil - interna'!T569+'Perfil - externa'!T567</f>
        <v>20113866.783124156</v>
      </c>
      <c r="U569" s="222">
        <f>+'Perfil - interna'!U569+'Perfil - externa'!U567</f>
        <v>18061248.217581443</v>
      </c>
      <c r="V569" s="222">
        <f>+'Perfil - interna'!V569+'Perfil - externa'!V567</f>
        <v>16396485.753885947</v>
      </c>
      <c r="W569" s="222">
        <f>+'Perfil - interna'!W569+'Perfil - externa'!W567</f>
        <v>14100812.015197827</v>
      </c>
      <c r="X569" s="222">
        <f>+'Perfil - interna'!X569+'Perfil - externa'!X567</f>
        <v>13088907.795654256</v>
      </c>
      <c r="Y569" s="222">
        <f>+'Perfil - interna'!Y569+'Perfil - externa'!Y567</f>
        <v>11738078.508400921</v>
      </c>
      <c r="Z569" s="222">
        <f>+'Perfil - interna'!Z569+'Perfil - externa'!Z567</f>
        <v>10466135.995559487</v>
      </c>
      <c r="AA569" s="222">
        <f>+'Perfil - interna'!AA569+'Perfil - externa'!AA567</f>
        <v>7497450.4655918842</v>
      </c>
      <c r="AB569" s="222">
        <f>+'Perfil - interna'!AB569+'Perfil - externa'!AB567</f>
        <v>6929964.4660378061</v>
      </c>
      <c r="AC569" s="222">
        <f>+'Perfil - interna'!AC569+'Perfil - externa'!AC567</f>
        <v>5165385.4269388579</v>
      </c>
      <c r="AD569" s="222">
        <f>+'Perfil - interna'!AD569+'Perfil - externa'!AD567</f>
        <v>4936932.734773675</v>
      </c>
      <c r="AE569" s="222">
        <f>+'Perfil - interna'!AE569+'Perfil - externa'!AE567</f>
        <v>4039759.3539081928</v>
      </c>
      <c r="AF569" s="222">
        <f>+'Perfil - interna'!AF569+'Perfil - externa'!AF567</f>
        <v>3999335.7586691622</v>
      </c>
      <c r="AG569" s="222">
        <f>+'Perfil - interna'!AG569+'Perfil - externa'!AG567</f>
        <v>2741064.9343327312</v>
      </c>
      <c r="AH569" s="222">
        <f>+'Perfil - interna'!AH569+'Perfil - externa'!AH567</f>
        <v>2657522.7172213141</v>
      </c>
      <c r="AI569" s="222">
        <f>+'Perfil - interna'!AI569+'Perfil - externa'!AI567</f>
        <v>2572418.4285878846</v>
      </c>
      <c r="AJ569" s="222">
        <f>+'Perfil - interna'!AJ569+'Perfil - externa'!AJ567</f>
        <v>2072563.0461087236</v>
      </c>
      <c r="AK569" s="222">
        <f>+'Perfil - interna'!AK569+'Perfil - externa'!AK567</f>
        <v>1987289.5398676982</v>
      </c>
      <c r="AL569" s="222">
        <f>+'Perfil - interna'!AL569+'Perfil - externa'!AL567</f>
        <v>1682017.7481693171</v>
      </c>
      <c r="AM569" s="222">
        <f>+'Perfil - interna'!AM569+'Perfil - externa'!AM567</f>
        <v>1673114.8164568837</v>
      </c>
      <c r="AN569" s="222">
        <f>+'Perfil - interna'!AN569+'Perfil - externa'!AN567</f>
        <v>1274053.0603930964</v>
      </c>
      <c r="AO569" s="222">
        <f>+'Perfil - interna'!AO569+'Perfil - externa'!AO567</f>
        <v>1269085.5696455876</v>
      </c>
      <c r="AP569" s="222">
        <f>+'Perfil - interna'!AP569+'Perfil - externa'!AP567</f>
        <v>1264848.971047018</v>
      </c>
      <c r="AQ569" s="222">
        <f>+'Perfil - interna'!AQ569+'Perfil - externa'!AQ567</f>
        <v>1036201.7665787227</v>
      </c>
      <c r="AR569" s="222">
        <f>+'Perfil - interna'!AR569+'Perfil - externa'!AR567</f>
        <v>798212.36372439936</v>
      </c>
      <c r="AS569" s="222">
        <f>+'Perfil - interna'!AS569+'Perfil - externa'!AS567</f>
        <v>796091.51421341579</v>
      </c>
      <c r="AT569" s="222">
        <f>+'Perfil - interna'!AT569+'Perfil - externa'!AT567</f>
        <v>587631.44991089287</v>
      </c>
      <c r="AU569" s="222">
        <f>+'Perfil - interna'!AU569+'Perfil - externa'!AU567</f>
        <v>195741.91836658865</v>
      </c>
      <c r="AV569" s="222">
        <f>+'Perfil - interna'!AV569+'Perfil - externa'!AV567</f>
        <v>4297.9744893003899</v>
      </c>
      <c r="AW569" s="222">
        <f>+'Perfil - interna'!AW569+'Perfil - externa'!AW567</f>
        <v>0</v>
      </c>
      <c r="AX569" s="222"/>
      <c r="AY569" s="222"/>
      <c r="AZ569" s="222"/>
      <c r="BA569" s="222"/>
      <c r="BB569" s="222"/>
      <c r="BC569" s="222"/>
      <c r="BD569" s="222"/>
      <c r="BE569" s="222"/>
      <c r="BF569" s="222"/>
      <c r="BG569" s="222"/>
      <c r="BH569" s="222"/>
      <c r="BI569" s="222"/>
      <c r="BJ569" s="222"/>
      <c r="BK569" s="222"/>
    </row>
    <row r="570" spans="1:63">
      <c r="A570" s="171"/>
      <c r="B570" s="318" t="str">
        <f>Servicio_internaColumna_título_total</f>
        <v>Total</v>
      </c>
      <c r="C570" s="319"/>
      <c r="D570" s="320"/>
      <c r="E570" s="320"/>
      <c r="F570" s="320"/>
      <c r="G570" s="320"/>
      <c r="H570" s="320"/>
      <c r="I570" s="320"/>
      <c r="J570" s="320"/>
      <c r="K570" s="320"/>
      <c r="L570" s="320"/>
      <c r="M570" s="320"/>
      <c r="N570" s="320"/>
      <c r="O570" s="320"/>
      <c r="P570" s="320"/>
      <c r="Q570" s="320"/>
      <c r="R570" s="320">
        <f>+'Perfil - interna'!R570+'Perfil - externa'!R568</f>
        <v>11327393.330922119</v>
      </c>
      <c r="S570" s="320">
        <f>+'Perfil - interna'!S570+'Perfil - externa'!S568</f>
        <v>56676447.970726758</v>
      </c>
      <c r="T570" s="320">
        <f>+'Perfil - interna'!T570+'Perfil - externa'!T568</f>
        <v>42532946.215129182</v>
      </c>
      <c r="U570" s="320">
        <f>+'Perfil - interna'!U570+'Perfil - externa'!U568</f>
        <v>51346422.764619306</v>
      </c>
      <c r="V570" s="320">
        <f>+'Perfil - interna'!V570+'Perfil - externa'!V568</f>
        <v>40500423.566221341</v>
      </c>
      <c r="W570" s="320">
        <f>+'Perfil - interna'!W570+'Perfil - externa'!W568</f>
        <v>38849383.991509676</v>
      </c>
      <c r="X570" s="320">
        <f>+'Perfil - interna'!X570+'Perfil - externa'!X568</f>
        <v>34114258.378535196</v>
      </c>
      <c r="Y570" s="320">
        <f>+'Perfil - interna'!Y570+'Perfil - externa'!Y568</f>
        <v>32388095.956051122</v>
      </c>
      <c r="Z570" s="320">
        <f>+'Perfil - interna'!Z570+'Perfil - externa'!Z568</f>
        <v>48529938.969677418</v>
      </c>
      <c r="AA570" s="320">
        <f>+'Perfil - interna'!AA570+'Perfil - externa'!AA568</f>
        <v>17601089.657159418</v>
      </c>
      <c r="AB570" s="320">
        <f>+'Perfil - interna'!AB570+'Perfil - externa'!AB568</f>
        <v>36731614.313161895</v>
      </c>
      <c r="AC570" s="320">
        <f>+'Perfil - interna'!AC570+'Perfil - externa'!AC568</f>
        <v>11486824.138189612</v>
      </c>
      <c r="AD570" s="320">
        <f>+'Perfil - interna'!AD570+'Perfil - externa'!AD568</f>
        <v>22049210.665907584</v>
      </c>
      <c r="AE570" s="320">
        <f>+'Perfil - interna'!AE570+'Perfil - externa'!AE568</f>
        <v>6560346.5446358472</v>
      </c>
      <c r="AF570" s="320">
        <f>+'Perfil - interna'!AF570+'Perfil - externa'!AF568</f>
        <v>21748680.328246363</v>
      </c>
      <c r="AG570" s="320">
        <f>+'Perfil - interna'!AG570+'Perfil - externa'!AG568</f>
        <v>5710549.1043374296</v>
      </c>
      <c r="AH570" s="320">
        <f>+'Perfil - interna'!AH570+'Perfil - externa'!AH568</f>
        <v>5584537.1646746071</v>
      </c>
      <c r="AI570" s="320">
        <f>+'Perfil - interna'!AI570+'Perfil - externa'!AI568</f>
        <v>12884404.732682679</v>
      </c>
      <c r="AJ570" s="320">
        <f>+'Perfil - interna'!AJ570+'Perfil - externa'!AJ568</f>
        <v>4552852.0246917242</v>
      </c>
      <c r="AK570" s="320">
        <f>+'Perfil - interna'!AK570+'Perfil - externa'!AK568</f>
        <v>7563111.4074229468</v>
      </c>
      <c r="AL570" s="320">
        <f>+'Perfil - interna'!AL570+'Perfil - externa'!AL568</f>
        <v>1930032.4836825638</v>
      </c>
      <c r="AM570" s="320">
        <f>+'Perfil - interna'!AM570+'Perfil - externa'!AM568</f>
        <v>7157528.3129493678</v>
      </c>
      <c r="AN570" s="320">
        <f>+'Perfil - interna'!AN570+'Perfil - externa'!AN568</f>
        <v>1345885.2087614364</v>
      </c>
      <c r="AO570" s="320">
        <f>+'Perfil - interna'!AO570+'Perfil - externa'!AO568</f>
        <v>1340917.7180139276</v>
      </c>
      <c r="AP570" s="320">
        <f>+'Perfil - interna'!AP570+'Perfil - externa'!AP568</f>
        <v>1336681.1194153579</v>
      </c>
      <c r="AQ570" s="320">
        <f>+'Perfil - interna'!AQ570+'Perfil - externa'!AQ568</f>
        <v>8442583.9149470627</v>
      </c>
      <c r="AR570" s="320">
        <f>+'Perfil - interna'!AR570+'Perfil - externa'!AR568</f>
        <v>870044.51209273934</v>
      </c>
      <c r="AS570" s="320">
        <f>+'Perfil - interna'!AS570+'Perfil - externa'!AS568</f>
        <v>867923.66258175578</v>
      </c>
      <c r="AT570" s="320">
        <f>+'Perfil - interna'!AT570+'Perfil - externa'!AT568</f>
        <v>7992993.1450342974</v>
      </c>
      <c r="AU570" s="320">
        <f>+'Perfil - interna'!AU570+'Perfil - externa'!AU568</f>
        <v>7601103.6134899929</v>
      </c>
      <c r="AV570" s="320">
        <f>+'Perfil - interna'!AV570+'Perfil - externa'!AV568</f>
        <v>75109.669612703612</v>
      </c>
      <c r="AW570" s="320">
        <f>+'Perfil - interna'!AW570+'Perfil - externa'!AW568</f>
        <v>0</v>
      </c>
      <c r="AX570" s="320"/>
      <c r="AY570" s="320"/>
      <c r="AZ570" s="320"/>
      <c r="BA570" s="320"/>
      <c r="BB570" s="320"/>
      <c r="BC570" s="320"/>
      <c r="BD570" s="320"/>
      <c r="BE570" s="320"/>
      <c r="BF570" s="320"/>
      <c r="BG570" s="320"/>
      <c r="BH570" s="320"/>
      <c r="BI570" s="320"/>
      <c r="BJ570" s="320"/>
      <c r="BK570" s="320"/>
    </row>
    <row r="571" spans="1:63">
      <c r="A571" s="167"/>
      <c r="B571" s="217" t="str">
        <f>Servicio_internaColumna_título_amortizaciones</f>
        <v>Amortizaciones</v>
      </c>
      <c r="C571" s="218"/>
      <c r="D571" s="219"/>
      <c r="E571" s="219"/>
      <c r="F571" s="219"/>
      <c r="G571" s="219"/>
      <c r="H571" s="219"/>
      <c r="I571" s="219"/>
      <c r="J571" s="219"/>
      <c r="K571" s="219"/>
      <c r="L571" s="219"/>
      <c r="M571" s="219"/>
      <c r="N571" s="219"/>
      <c r="O571" s="219"/>
      <c r="P571" s="219"/>
      <c r="Q571" s="219"/>
      <c r="R571" s="219">
        <f>+'Perfil - interna'!R571+'Perfil - externa'!R569</f>
        <v>4705658.8466017712</v>
      </c>
      <c r="S571" s="219">
        <f>+'Perfil - interna'!S571+'Perfil - externa'!S569</f>
        <v>36491161.294998869</v>
      </c>
      <c r="T571" s="219">
        <f>+'Perfil - interna'!T571+'Perfil - externa'!T569</f>
        <v>22338327.895381376</v>
      </c>
      <c r="U571" s="219">
        <f>+'Perfil - interna'!U571+'Perfil - externa'!U569</f>
        <v>33109244.479534592</v>
      </c>
      <c r="V571" s="219">
        <f>+'Perfil - interna'!V571+'Perfil - externa'!V569</f>
        <v>24015121.801496413</v>
      </c>
      <c r="W571" s="219">
        <f>+'Perfil - interna'!W571+'Perfil - externa'!W569</f>
        <v>24884026.085307904</v>
      </c>
      <c r="X571" s="219">
        <f>+'Perfil - interna'!X571+'Perfil - externa'!X569</f>
        <v>21899058.589390311</v>
      </c>
      <c r="Y571" s="219">
        <f>+'Perfil - interna'!Y571+'Perfil - externa'!Y569</f>
        <v>20565655.038332719</v>
      </c>
      <c r="Z571" s="219">
        <f>+'Perfil - interna'!Z571+'Perfil - externa'!Z569</f>
        <v>37854310.344646797</v>
      </c>
      <c r="AA571" s="219">
        <f>+'Perfil - interna'!AA571+'Perfil - externa'!AA569</f>
        <v>10642375.172856294</v>
      </c>
      <c r="AB571" s="219">
        <f>+'Perfil - interna'!AB571+'Perfil - externa'!AB569</f>
        <v>30303487.323358528</v>
      </c>
      <c r="AC571" s="219">
        <f>+'Perfil - interna'!AC571+'Perfil - externa'!AC569</f>
        <v>6236628.978286583</v>
      </c>
      <c r="AD571" s="219">
        <f>+'Perfil - interna'!AD571+'Perfil - externa'!AD569</f>
        <v>17047519.566923846</v>
      </c>
      <c r="AE571" s="219">
        <f>+'Perfil - interna'!AE571+'Perfil - externa'!AE569</f>
        <v>2472494.0545534845</v>
      </c>
      <c r="AF571" s="219">
        <f>+'Perfil - interna'!AF571+'Perfil - externa'!AF569</f>
        <v>18312560.115410917</v>
      </c>
      <c r="AG571" s="219">
        <f>+'Perfil - interna'!AG571+'Perfil - externa'!AG569</f>
        <v>2913819.2679238347</v>
      </c>
      <c r="AH571" s="219">
        <f>+'Perfil - interna'!AH571+'Perfil - externa'!AH569</f>
        <v>2872129.3627960761</v>
      </c>
      <c r="AI571" s="219">
        <f>+'Perfil - interna'!AI571+'Perfil - externa'!AI569</f>
        <v>10287520.860339927</v>
      </c>
      <c r="AJ571" s="219">
        <f>+'Perfil - interna'!AJ571+'Perfil - externa'!AJ569</f>
        <v>2434663.1716497969</v>
      </c>
      <c r="AK571" s="219">
        <f>+'Perfil - interna'!AK571+'Perfil - externa'!AK569</f>
        <v>5936988.17664822</v>
      </c>
      <c r="AL571" s="219">
        <f>+'Perfil - interna'!AL571+'Perfil - externa'!AL569</f>
        <v>244066.08566431981</v>
      </c>
      <c r="AM571" s="219">
        <f>+'Perfil - interna'!AM571+'Perfil - externa'!AM569</f>
        <v>5384315.3428161442</v>
      </c>
      <c r="AN571" s="219">
        <f>+'Perfil - interna'!AN571+'Perfil - externa'!AN569</f>
        <v>71112.407713538414</v>
      </c>
      <c r="AO571" s="219">
        <f>+'Perfil - interna'!AO571+'Perfil - externa'!AO569</f>
        <v>71112.407713538414</v>
      </c>
      <c r="AP571" s="219">
        <f>+'Perfil - interna'!AP571+'Perfil - externa'!AP569</f>
        <v>71112.407713538414</v>
      </c>
      <c r="AQ571" s="219">
        <f>+'Perfil - interna'!AQ571+'Perfil - externa'!AQ569</f>
        <v>7270987.407713538</v>
      </c>
      <c r="AR571" s="219">
        <f>+'Perfil - interna'!AR571+'Perfil - externa'!AR569</f>
        <v>71112.407713538414</v>
      </c>
      <c r="AS571" s="219">
        <f>+'Perfil - interna'!AS571+'Perfil - externa'!AS569</f>
        <v>71112.407713538414</v>
      </c>
      <c r="AT571" s="219">
        <f>+'Perfil - interna'!AT571+'Perfil - externa'!AT569</f>
        <v>7269985.6917518377</v>
      </c>
      <c r="AU571" s="219">
        <f>+'Perfil - interna'!AU571+'Perfil - externa'!AU569</f>
        <v>7269985.6917518377</v>
      </c>
      <c r="AV571" s="219">
        <f>+'Perfil - interna'!AV571+'Perfil - externa'!AV569</f>
        <v>70110.691751838109</v>
      </c>
      <c r="AW571" s="219">
        <f>+'Perfil - interna'!AW571+'Perfil - externa'!AW569</f>
        <v>0</v>
      </c>
      <c r="AX571" s="219"/>
      <c r="AY571" s="219"/>
      <c r="AZ571" s="219"/>
      <c r="BA571" s="219"/>
      <c r="BB571" s="219"/>
      <c r="BC571" s="219"/>
      <c r="BD571" s="219"/>
      <c r="BE571" s="219"/>
      <c r="BF571" s="219"/>
      <c r="BG571" s="219"/>
      <c r="BH571" s="219"/>
      <c r="BI571" s="219"/>
      <c r="BJ571" s="219"/>
      <c r="BK571" s="219"/>
    </row>
    <row r="572" spans="1:63">
      <c r="A572" s="170">
        <v>42614</v>
      </c>
      <c r="B572" s="220" t="str">
        <f>Servicio_internaColumna_título_intereses</f>
        <v>Intereses</v>
      </c>
      <c r="C572" s="221"/>
      <c r="D572" s="222"/>
      <c r="E572" s="222"/>
      <c r="F572" s="222"/>
      <c r="G572" s="222"/>
      <c r="H572" s="222"/>
      <c r="I572" s="222"/>
      <c r="J572" s="222"/>
      <c r="K572" s="222"/>
      <c r="L572" s="222"/>
      <c r="M572" s="222"/>
      <c r="N572" s="222"/>
      <c r="O572" s="222"/>
      <c r="P572" s="222"/>
      <c r="Q572" s="222"/>
      <c r="R572" s="222">
        <f>+'Perfil - interna'!R572+'Perfil - externa'!R570</f>
        <v>2387134.2116851704</v>
      </c>
      <c r="S572" s="222">
        <f>+'Perfil - interna'!S572+'Perfil - externa'!S570</f>
        <v>20907443.053643383</v>
      </c>
      <c r="T572" s="222">
        <f>+'Perfil - interna'!T572+'Perfil - externa'!T570</f>
        <v>20261662.880428277</v>
      </c>
      <c r="U572" s="222">
        <f>+'Perfil - interna'!U572+'Perfil - externa'!U570</f>
        <v>17981869.553620528</v>
      </c>
      <c r="V572" s="222">
        <f>+'Perfil - interna'!V572+'Perfil - externa'!V570</f>
        <v>16529193.712533899</v>
      </c>
      <c r="W572" s="222">
        <f>+'Perfil - interna'!W572+'Perfil - externa'!W570</f>
        <v>14244892.257134132</v>
      </c>
      <c r="X572" s="222">
        <f>+'Perfil - interna'!X572+'Perfil - externa'!X570</f>
        <v>13228903.60421155</v>
      </c>
      <c r="Y572" s="222">
        <f>+'Perfil - interna'!Y572+'Perfil - externa'!Y570</f>
        <v>11803727.958282068</v>
      </c>
      <c r="Z572" s="222">
        <f>+'Perfil - interna'!Z572+'Perfil - externa'!Z570</f>
        <v>10555507.461901164</v>
      </c>
      <c r="AA572" s="222">
        <f>+'Perfil - interna'!AA572+'Perfil - externa'!AA570</f>
        <v>7593293.9320374895</v>
      </c>
      <c r="AB572" s="222">
        <f>+'Perfil - interna'!AB572+'Perfil - externa'!AB570</f>
        <v>7089760.8353208955</v>
      </c>
      <c r="AC572" s="222">
        <f>+'Perfil - interna'!AC572+'Perfil - externa'!AC570</f>
        <v>5289331.6320862118</v>
      </c>
      <c r="AD572" s="222">
        <f>+'Perfil - interna'!AD572+'Perfil - externa'!AD570</f>
        <v>4968947.0348048527</v>
      </c>
      <c r="AE572" s="222">
        <f>+'Perfil - interna'!AE572+'Perfil - externa'!AE570</f>
        <v>4074125.2859571632</v>
      </c>
      <c r="AF572" s="222">
        <f>+'Perfil - interna'!AF572+'Perfil - externa'!AF570</f>
        <v>4035588.204479475</v>
      </c>
      <c r="AG572" s="222">
        <f>+'Perfil - interna'!AG572+'Perfil - externa'!AG570</f>
        <v>2734354.6665997282</v>
      </c>
      <c r="AH572" s="222">
        <f>+'Perfil - interna'!AH572+'Perfil - externa'!AH570</f>
        <v>2652443.96653785</v>
      </c>
      <c r="AI572" s="222">
        <f>+'Perfil - interna'!AI572+'Perfil - externa'!AI570</f>
        <v>2569644.169748018</v>
      </c>
      <c r="AJ572" s="222">
        <f>+'Perfil - interna'!AJ572+'Perfil - externa'!AJ570</f>
        <v>2071946.2215686168</v>
      </c>
      <c r="AK572" s="222">
        <f>+'Perfil - interna'!AK572+'Perfil - externa'!AK570</f>
        <v>1989181.7259630656</v>
      </c>
      <c r="AL572" s="222">
        <f>+'Perfil - interna'!AL572+'Perfil - externa'!AL570</f>
        <v>1651797.9297784814</v>
      </c>
      <c r="AM572" s="222">
        <f>+'Perfil - interna'!AM572+'Perfil - externa'!AM570</f>
        <v>1642983.4998114309</v>
      </c>
      <c r="AN572" s="222">
        <f>+'Perfil - interna'!AN572+'Perfil - externa'!AN570</f>
        <v>1251182.6553378343</v>
      </c>
      <c r="AO572" s="222">
        <f>+'Perfil - interna'!AO572+'Perfil - externa'!AO570</f>
        <v>1246232.9808046955</v>
      </c>
      <c r="AP572" s="222">
        <f>+'Perfil - interna'!AP572+'Perfil - externa'!AP570</f>
        <v>1242029.6013156686</v>
      </c>
      <c r="AQ572" s="222">
        <f>+'Perfil - interna'!AQ572+'Perfil - externa'!AQ570</f>
        <v>1017525.9515585605</v>
      </c>
      <c r="AR572" s="222">
        <f>+'Perfil - interna'!AR572+'Perfil - externa'!AR570</f>
        <v>783685.05396002124</v>
      </c>
      <c r="AS572" s="222">
        <f>+'Perfil - interna'!AS572+'Perfil - externa'!AS570</f>
        <v>781585.21664926247</v>
      </c>
      <c r="AT572" s="222">
        <f>+'Perfil - interna'!AT572+'Perfil - externa'!AT570</f>
        <v>576944.17665261938</v>
      </c>
      <c r="AU572" s="222">
        <f>+'Perfil - interna'!AU572+'Perfil - externa'!AU570</f>
        <v>192250.43330529585</v>
      </c>
      <c r="AV572" s="222">
        <f>+'Perfil - interna'!AV572+'Perfil - externa'!AV570</f>
        <v>4726.3123512265111</v>
      </c>
      <c r="AW572" s="222">
        <f>+'Perfil - interna'!AW572+'Perfil - externa'!AW570</f>
        <v>0</v>
      </c>
      <c r="AX572" s="222"/>
      <c r="AY572" s="222"/>
      <c r="AZ572" s="222"/>
      <c r="BA572" s="222"/>
      <c r="BB572" s="222"/>
      <c r="BC572" s="222"/>
      <c r="BD572" s="222"/>
      <c r="BE572" s="222"/>
      <c r="BF572" s="222"/>
      <c r="BG572" s="222"/>
      <c r="BH572" s="222"/>
      <c r="BI572" s="222"/>
      <c r="BJ572" s="222"/>
      <c r="BK572" s="222"/>
    </row>
    <row r="573" spans="1:63">
      <c r="A573" s="171"/>
      <c r="B573" s="318" t="str">
        <f>Servicio_internaColumna_título_total</f>
        <v>Total</v>
      </c>
      <c r="C573" s="319"/>
      <c r="D573" s="320"/>
      <c r="E573" s="320"/>
      <c r="F573" s="320"/>
      <c r="G573" s="320"/>
      <c r="H573" s="320"/>
      <c r="I573" s="320"/>
      <c r="J573" s="320"/>
      <c r="K573" s="320"/>
      <c r="L573" s="320"/>
      <c r="M573" s="320"/>
      <c r="N573" s="320"/>
      <c r="O573" s="320"/>
      <c r="P573" s="320"/>
      <c r="Q573" s="320"/>
      <c r="R573" s="320">
        <f>+'Perfil - interna'!R573+'Perfil - externa'!R571</f>
        <v>7092793.0582869407</v>
      </c>
      <c r="S573" s="320">
        <f>+'Perfil - interna'!S573+'Perfil - externa'!S571</f>
        <v>57398604.348642252</v>
      </c>
      <c r="T573" s="320">
        <f>+'Perfil - interna'!T573+'Perfil - externa'!T571</f>
        <v>42599990.775809646</v>
      </c>
      <c r="U573" s="320">
        <f>+'Perfil - interna'!U573+'Perfil - externa'!U571</f>
        <v>51091114.033155121</v>
      </c>
      <c r="V573" s="320">
        <f>+'Perfil - interna'!V573+'Perfil - externa'!V571</f>
        <v>40544315.514030308</v>
      </c>
      <c r="W573" s="320">
        <f>+'Perfil - interna'!W573+'Perfil - externa'!W571</f>
        <v>39128918.342442036</v>
      </c>
      <c r="X573" s="320">
        <f>+'Perfil - interna'!X573+'Perfil - externa'!X571</f>
        <v>35127962.193601862</v>
      </c>
      <c r="Y573" s="320">
        <f>+'Perfil - interna'!Y573+'Perfil - externa'!Y571</f>
        <v>32369382.996614788</v>
      </c>
      <c r="Z573" s="320">
        <f>+'Perfil - interna'!Z573+'Perfil - externa'!Z571</f>
        <v>48409817.806547962</v>
      </c>
      <c r="AA573" s="320">
        <f>+'Perfil - interna'!AA573+'Perfil - externa'!AA571</f>
        <v>18235669.104893781</v>
      </c>
      <c r="AB573" s="320">
        <f>+'Perfil - interna'!AB573+'Perfil - externa'!AB571</f>
        <v>37393248.158679426</v>
      </c>
      <c r="AC573" s="320">
        <f>+'Perfil - interna'!AC573+'Perfil - externa'!AC571</f>
        <v>11525960.610372795</v>
      </c>
      <c r="AD573" s="320">
        <f>+'Perfil - interna'!AD573+'Perfil - externa'!AD571</f>
        <v>22016466.601728696</v>
      </c>
      <c r="AE573" s="320">
        <f>+'Perfil - interna'!AE573+'Perfil - externa'!AE571</f>
        <v>6546619.3405106477</v>
      </c>
      <c r="AF573" s="320">
        <f>+'Perfil - interna'!AF573+'Perfil - externa'!AF571</f>
        <v>22348148.319890391</v>
      </c>
      <c r="AG573" s="320">
        <f>+'Perfil - interna'!AG573+'Perfil - externa'!AG571</f>
        <v>5648173.9345235629</v>
      </c>
      <c r="AH573" s="320">
        <f>+'Perfil - interna'!AH573+'Perfil - externa'!AH571</f>
        <v>5524573.3293339256</v>
      </c>
      <c r="AI573" s="320">
        <f>+'Perfil - interna'!AI573+'Perfil - externa'!AI571</f>
        <v>12857165.030087944</v>
      </c>
      <c r="AJ573" s="320">
        <f>+'Perfil - interna'!AJ573+'Perfil - externa'!AJ571</f>
        <v>4506609.3932184139</v>
      </c>
      <c r="AK573" s="320">
        <f>+'Perfil - interna'!AK573+'Perfil - externa'!AK571</f>
        <v>7926169.9026112854</v>
      </c>
      <c r="AL573" s="320">
        <f>+'Perfil - interna'!AL573+'Perfil - externa'!AL571</f>
        <v>1895864.0154428012</v>
      </c>
      <c r="AM573" s="320">
        <f>+'Perfil - interna'!AM573+'Perfil - externa'!AM571</f>
        <v>7027298.8426275747</v>
      </c>
      <c r="AN573" s="320">
        <f>+'Perfil - interna'!AN573+'Perfil - externa'!AN571</f>
        <v>1322295.0630513728</v>
      </c>
      <c r="AO573" s="320">
        <f>+'Perfil - interna'!AO573+'Perfil - externa'!AO571</f>
        <v>1317345.388518234</v>
      </c>
      <c r="AP573" s="320">
        <f>+'Perfil - interna'!AP573+'Perfil - externa'!AP571</f>
        <v>1313142.0090292071</v>
      </c>
      <c r="AQ573" s="320">
        <f>+'Perfil - interna'!AQ573+'Perfil - externa'!AQ571</f>
        <v>8288513.3592720991</v>
      </c>
      <c r="AR573" s="320">
        <f>+'Perfil - interna'!AR573+'Perfil - externa'!AR571</f>
        <v>854797.46167355962</v>
      </c>
      <c r="AS573" s="320">
        <f>+'Perfil - interna'!AS573+'Perfil - externa'!AS571</f>
        <v>852697.62436280085</v>
      </c>
      <c r="AT573" s="320">
        <f>+'Perfil - interna'!AT573+'Perfil - externa'!AT571</f>
        <v>7846929.8684044573</v>
      </c>
      <c r="AU573" s="320">
        <f>+'Perfil - interna'!AU573+'Perfil - externa'!AU571</f>
        <v>7462236.1250571338</v>
      </c>
      <c r="AV573" s="320">
        <f>+'Perfil - interna'!AV573+'Perfil - externa'!AV571</f>
        <v>74837.004103064624</v>
      </c>
      <c r="AW573" s="320">
        <f>+'Perfil - interna'!AW573+'Perfil - externa'!AW571</f>
        <v>0</v>
      </c>
      <c r="AX573" s="320"/>
      <c r="AY573" s="320"/>
      <c r="AZ573" s="320"/>
      <c r="BA573" s="320"/>
      <c r="BB573" s="320"/>
      <c r="BC573" s="320"/>
      <c r="BD573" s="320"/>
      <c r="BE573" s="320"/>
      <c r="BF573" s="320"/>
      <c r="BG573" s="320"/>
      <c r="BH573" s="320"/>
      <c r="BI573" s="320"/>
      <c r="BJ573" s="320"/>
      <c r="BK573" s="320"/>
    </row>
    <row r="574" spans="1:63">
      <c r="A574" s="167"/>
      <c r="B574" s="217" t="str">
        <f>Servicio_internaColumna_título_amortizaciones</f>
        <v>Amortizaciones</v>
      </c>
      <c r="C574" s="218"/>
      <c r="D574" s="219"/>
      <c r="E574" s="219"/>
      <c r="F574" s="219"/>
      <c r="G574" s="219"/>
      <c r="H574" s="219"/>
      <c r="I574" s="219"/>
      <c r="J574" s="219"/>
      <c r="K574" s="219"/>
      <c r="L574" s="219"/>
      <c r="M574" s="219"/>
      <c r="N574" s="219"/>
      <c r="O574" s="219"/>
      <c r="P574" s="219"/>
      <c r="Q574" s="219"/>
      <c r="R574" s="219">
        <f>+'Perfil - interna'!R574+'Perfil - externa'!R572</f>
        <v>4692055.8475712156</v>
      </c>
      <c r="S574" s="219">
        <f>+'Perfil - interna'!S574+'Perfil - externa'!S572</f>
        <v>38381298.170640312</v>
      </c>
      <c r="T574" s="219">
        <f>+'Perfil - interna'!T574+'Perfil - externa'!T572</f>
        <v>22394643.679740079</v>
      </c>
      <c r="U574" s="219">
        <f>+'Perfil - interna'!U574+'Perfil - externa'!U572</f>
        <v>33314596.856231187</v>
      </c>
      <c r="V574" s="219">
        <f>+'Perfil - interna'!V574+'Perfil - externa'!V572</f>
        <v>24144147.58381658</v>
      </c>
      <c r="W574" s="219">
        <f>+'Perfil - interna'!W574+'Perfil - externa'!W572</f>
        <v>25158698.316914067</v>
      </c>
      <c r="X574" s="219">
        <f>+'Perfil - interna'!X574+'Perfil - externa'!X572</f>
        <v>22340316.013800561</v>
      </c>
      <c r="Y574" s="219">
        <f>+'Perfil - interna'!Y574+'Perfil - externa'!Y572</f>
        <v>20681710.536472909</v>
      </c>
      <c r="Z574" s="219">
        <f>+'Perfil - interna'!Z574+'Perfil - externa'!Z572</f>
        <v>38179664.774118692</v>
      </c>
      <c r="AA574" s="219">
        <f>+'Perfil - interna'!AA574+'Perfil - externa'!AA572</f>
        <v>10889777.464496253</v>
      </c>
      <c r="AB574" s="219">
        <f>+'Perfil - interna'!AB574+'Perfil - externa'!AB572</f>
        <v>30691943.028104261</v>
      </c>
      <c r="AC574" s="219">
        <f>+'Perfil - interna'!AC574+'Perfil - externa'!AC572</f>
        <v>6362120.2342283716</v>
      </c>
      <c r="AD574" s="219">
        <f>+'Perfil - interna'!AD574+'Perfil - externa'!AD572</f>
        <v>17142705.288530737</v>
      </c>
      <c r="AE574" s="219">
        <f>+'Perfil - interna'!AE574+'Perfil - externa'!AE572</f>
        <v>2547874.3404336944</v>
      </c>
      <c r="AF574" s="219">
        <f>+'Perfil - interna'!AF574+'Perfil - externa'!AF572</f>
        <v>18656327.932522155</v>
      </c>
      <c r="AG574" s="219">
        <f>+'Perfil - interna'!AG574+'Perfil - externa'!AG572</f>
        <v>3005417.1855836259</v>
      </c>
      <c r="AH574" s="219">
        <f>+'Perfil - interna'!AH574+'Perfil - externa'!AH572</f>
        <v>2956789.3675423702</v>
      </c>
      <c r="AI574" s="219">
        <f>+'Perfil - interna'!AI574+'Perfil - externa'!AI572</f>
        <v>10318696.41199542</v>
      </c>
      <c r="AJ574" s="219">
        <f>+'Perfil - interna'!AJ574+'Perfil - externa'!AJ572</f>
        <v>2507087.9049285804</v>
      </c>
      <c r="AK574" s="219">
        <f>+'Perfil - interna'!AK574+'Perfil - externa'!AK572</f>
        <v>6065622.3902574163</v>
      </c>
      <c r="AL574" s="219">
        <f>+'Perfil - interna'!AL574+'Perfil - externa'!AL572</f>
        <v>249775.33068400685</v>
      </c>
      <c r="AM574" s="219">
        <f>+'Perfil - interna'!AM574+'Perfil - externa'!AM572</f>
        <v>5546575.6956294831</v>
      </c>
      <c r="AN574" s="219">
        <f>+'Perfil - interna'!AN574+'Perfil - externa'!AN572</f>
        <v>71573.943511423233</v>
      </c>
      <c r="AO574" s="219">
        <f>+'Perfil - interna'!AO574+'Perfil - externa'!AO572</f>
        <v>71573.943511423233</v>
      </c>
      <c r="AP574" s="219">
        <f>+'Perfil - interna'!AP574+'Perfil - externa'!AP572</f>
        <v>71573.943511423233</v>
      </c>
      <c r="AQ574" s="219">
        <f>+'Perfil - interna'!AQ574+'Perfil - externa'!AQ572</f>
        <v>7490723.9435114237</v>
      </c>
      <c r="AR574" s="219">
        <f>+'Perfil - interna'!AR574+'Perfil - externa'!AR572</f>
        <v>71573.943511423233</v>
      </c>
      <c r="AS574" s="219">
        <f>+'Perfil - interna'!AS574+'Perfil - externa'!AS572</f>
        <v>71573.943511423233</v>
      </c>
      <c r="AT574" s="219">
        <f>+'Perfil - interna'!AT574+'Perfil - externa'!AT572</f>
        <v>7489691.7198995901</v>
      </c>
      <c r="AU574" s="219">
        <f>+'Perfil - interna'!AU574+'Perfil - externa'!AU572</f>
        <v>7489691.7198995901</v>
      </c>
      <c r="AV574" s="219">
        <f>+'Perfil - interna'!AV574+'Perfil - externa'!AV572</f>
        <v>70541.719899589865</v>
      </c>
      <c r="AW574" s="219">
        <f>+'Perfil - interna'!AW574+'Perfil - externa'!AW572</f>
        <v>0</v>
      </c>
      <c r="AX574" s="219"/>
      <c r="AY574" s="219"/>
      <c r="AZ574" s="219"/>
      <c r="BA574" s="219"/>
      <c r="BB574" s="219"/>
      <c r="BC574" s="219"/>
      <c r="BD574" s="219"/>
      <c r="BE574" s="219"/>
      <c r="BF574" s="219"/>
      <c r="BG574" s="219"/>
      <c r="BH574" s="219"/>
      <c r="BI574" s="219"/>
      <c r="BJ574" s="219"/>
      <c r="BK574" s="219"/>
    </row>
    <row r="575" spans="1:63">
      <c r="A575" s="170">
        <v>42644</v>
      </c>
      <c r="B575" s="220" t="str">
        <f>Servicio_internaColumna_título_intereses</f>
        <v>Intereses</v>
      </c>
      <c r="C575" s="221"/>
      <c r="D575" s="222"/>
      <c r="E575" s="222"/>
      <c r="F575" s="222"/>
      <c r="G575" s="222"/>
      <c r="H575" s="222"/>
      <c r="I575" s="222"/>
      <c r="J575" s="222"/>
      <c r="K575" s="222"/>
      <c r="L575" s="222"/>
      <c r="M575" s="222"/>
      <c r="N575" s="222"/>
      <c r="O575" s="222"/>
      <c r="P575" s="222"/>
      <c r="Q575" s="222"/>
      <c r="R575" s="222">
        <f>+'Perfil - interna'!R575+'Perfil - externa'!R573</f>
        <v>1184569.0383772282</v>
      </c>
      <c r="S575" s="222">
        <f>+'Perfil - interna'!S575+'Perfil - externa'!S573</f>
        <v>21120437.770472772</v>
      </c>
      <c r="T575" s="222">
        <f>+'Perfil - interna'!T575+'Perfil - externa'!T573</f>
        <v>20512115.436018277</v>
      </c>
      <c r="U575" s="222">
        <f>+'Perfil - interna'!U575+'Perfil - externa'!U573</f>
        <v>18425689.705987081</v>
      </c>
      <c r="V575" s="222">
        <f>+'Perfil - interna'!V575+'Perfil - externa'!V573</f>
        <v>16730130.072550118</v>
      </c>
      <c r="W575" s="222">
        <f>+'Perfil - interna'!W575+'Perfil - externa'!W573</f>
        <v>14461342.282628682</v>
      </c>
      <c r="X575" s="222">
        <f>+'Perfil - interna'!X575+'Perfil - externa'!X573</f>
        <v>13474130.116836531</v>
      </c>
      <c r="Y575" s="222">
        <f>+'Perfil - interna'!Y575+'Perfil - externa'!Y573</f>
        <v>12039492.617163995</v>
      </c>
      <c r="Z575" s="222">
        <f>+'Perfil - interna'!Z575+'Perfil - externa'!Z573</f>
        <v>10773509.78375816</v>
      </c>
      <c r="AA575" s="222">
        <f>+'Perfil - interna'!AA575+'Perfil - externa'!AA573</f>
        <v>7808436.7396039916</v>
      </c>
      <c r="AB575" s="222">
        <f>+'Perfil - interna'!AB575+'Perfil - externa'!AB573</f>
        <v>7291899.0716141853</v>
      </c>
      <c r="AC575" s="222">
        <f>+'Perfil - interna'!AC575+'Perfil - externa'!AC573</f>
        <v>5459840.5056183096</v>
      </c>
      <c r="AD575" s="222">
        <f>+'Perfil - interna'!AD575+'Perfil - externa'!AD573</f>
        <v>5124076.8155271886</v>
      </c>
      <c r="AE575" s="222">
        <f>+'Perfil - interna'!AE575+'Perfil - externa'!AE573</f>
        <v>4222676.5394224571</v>
      </c>
      <c r="AF575" s="222">
        <f>+'Perfil - interna'!AF575+'Perfil - externa'!AF573</f>
        <v>4181191.2132761437</v>
      </c>
      <c r="AG575" s="222">
        <f>+'Perfil - interna'!AG575+'Perfil - externa'!AG573</f>
        <v>2849655.731012342</v>
      </c>
      <c r="AH575" s="222">
        <f>+'Perfil - interna'!AH575+'Perfil - externa'!AH573</f>
        <v>2743476.1981661925</v>
      </c>
      <c r="AI575" s="222">
        <f>+'Perfil - interna'!AI575+'Perfil - externa'!AI573</f>
        <v>2652288.8270562752</v>
      </c>
      <c r="AJ575" s="222">
        <f>+'Perfil - interna'!AJ575+'Perfil - externa'!AJ573</f>
        <v>2152206.4359659869</v>
      </c>
      <c r="AK575" s="222">
        <f>+'Perfil - interna'!AK575+'Perfil - externa'!AK573</f>
        <v>2056587.6274675569</v>
      </c>
      <c r="AL575" s="222">
        <f>+'Perfil - interna'!AL575+'Perfil - externa'!AL573</f>
        <v>1704622.2348252307</v>
      </c>
      <c r="AM575" s="222">
        <f>+'Perfil - interna'!AM575+'Perfil - externa'!AM573</f>
        <v>1695074.1536304143</v>
      </c>
      <c r="AN575" s="222">
        <f>+'Perfil - interna'!AN575+'Perfil - externa'!AN573</f>
        <v>1291241.6734107737</v>
      </c>
      <c r="AO575" s="222">
        <f>+'Perfil - interna'!AO575+'Perfil - externa'!AO573</f>
        <v>1286107.1621347817</v>
      </c>
      <c r="AP575" s="222">
        <f>+'Perfil - interna'!AP575+'Perfil - externa'!AP573</f>
        <v>1281716.4199496282</v>
      </c>
      <c r="AQ575" s="222">
        <f>+'Perfil - interna'!AQ575+'Perfil - externa'!AQ573</f>
        <v>1050279.6125715084</v>
      </c>
      <c r="AR575" s="222">
        <f>+'Perfil - interna'!AR575+'Perfil - externa'!AR573</f>
        <v>809498.97647627816</v>
      </c>
      <c r="AS575" s="222">
        <f>+'Perfil - interna'!AS575+'Perfil - externa'!AS573</f>
        <v>807159.0865805106</v>
      </c>
      <c r="AT575" s="222">
        <f>+'Perfil - interna'!AT575+'Perfil - externa'!AT573</f>
        <v>596102.51664818113</v>
      </c>
      <c r="AU575" s="222">
        <f>+'Perfil - interna'!AU575+'Perfil - externa'!AU573</f>
        <v>199484.29827164853</v>
      </c>
      <c r="AV575" s="222">
        <f>+'Perfil - interna'!AV575+'Perfil - externa'!AV573</f>
        <v>5505.810377994293</v>
      </c>
      <c r="AW575" s="222">
        <f>+'Perfil - interna'!AW575+'Perfil - externa'!AW573</f>
        <v>0</v>
      </c>
      <c r="AX575" s="222"/>
      <c r="AY575" s="222"/>
      <c r="AZ575" s="222"/>
      <c r="BA575" s="222"/>
      <c r="BB575" s="222"/>
      <c r="BC575" s="222"/>
      <c r="BD575" s="222"/>
      <c r="BE575" s="222"/>
      <c r="BF575" s="222"/>
      <c r="BG575" s="222"/>
      <c r="BH575" s="222"/>
      <c r="BI575" s="222"/>
      <c r="BJ575" s="222"/>
      <c r="BK575" s="222"/>
    </row>
    <row r="576" spans="1:63">
      <c r="A576" s="171"/>
      <c r="B576" s="318" t="str">
        <f>Servicio_internaColumna_título_total</f>
        <v>Total</v>
      </c>
      <c r="C576" s="319"/>
      <c r="D576" s="320"/>
      <c r="E576" s="320"/>
      <c r="F576" s="320"/>
      <c r="G576" s="320"/>
      <c r="H576" s="320"/>
      <c r="I576" s="320"/>
      <c r="J576" s="320"/>
      <c r="K576" s="320"/>
      <c r="L576" s="320"/>
      <c r="M576" s="320"/>
      <c r="N576" s="320"/>
      <c r="O576" s="320"/>
      <c r="P576" s="320"/>
      <c r="Q576" s="320"/>
      <c r="R576" s="320">
        <f>+'Perfil - interna'!R576+'Perfil - externa'!R574</f>
        <v>5876624.8859484438</v>
      </c>
      <c r="S576" s="320">
        <f>+'Perfil - interna'!S576+'Perfil - externa'!S574</f>
        <v>59501735.941113085</v>
      </c>
      <c r="T576" s="320">
        <f>+'Perfil - interna'!T576+'Perfil - externa'!T574</f>
        <v>42906759.115758359</v>
      </c>
      <c r="U576" s="320">
        <f>+'Perfil - interna'!U576+'Perfil - externa'!U574</f>
        <v>51740286.562218264</v>
      </c>
      <c r="V576" s="320">
        <f>+'Perfil - interna'!V576+'Perfil - externa'!V574</f>
        <v>40874277.656366698</v>
      </c>
      <c r="W576" s="320">
        <f>+'Perfil - interna'!W576+'Perfil - externa'!W574</f>
        <v>39620040.599542744</v>
      </c>
      <c r="X576" s="320">
        <f>+'Perfil - interna'!X576+'Perfil - externa'!X574</f>
        <v>35814446.130637094</v>
      </c>
      <c r="Y576" s="320">
        <f>+'Perfil - interna'!Y576+'Perfil - externa'!Y574</f>
        <v>32721203.153636906</v>
      </c>
      <c r="Z576" s="320">
        <f>+'Perfil - interna'!Z576+'Perfil - externa'!Z574</f>
        <v>48953174.557876855</v>
      </c>
      <c r="AA576" s="320">
        <f>+'Perfil - interna'!AA576+'Perfil - externa'!AA574</f>
        <v>18698214.204100244</v>
      </c>
      <c r="AB576" s="320">
        <f>+'Perfil - interna'!AB576+'Perfil - externa'!AB574</f>
        <v>37983842.099718444</v>
      </c>
      <c r="AC576" s="320">
        <f>+'Perfil - interna'!AC576+'Perfil - externa'!AC574</f>
        <v>11821960.739846682</v>
      </c>
      <c r="AD576" s="320">
        <f>+'Perfil - interna'!AD576+'Perfil - externa'!AD574</f>
        <v>22266782.104057923</v>
      </c>
      <c r="AE576" s="320">
        <f>+'Perfil - interna'!AE576+'Perfil - externa'!AE574</f>
        <v>6770550.8798561515</v>
      </c>
      <c r="AF576" s="320">
        <f>+'Perfil - interna'!AF576+'Perfil - externa'!AF574</f>
        <v>22837519.145798299</v>
      </c>
      <c r="AG576" s="320">
        <f>+'Perfil - interna'!AG576+'Perfil - externa'!AG574</f>
        <v>5855072.9165959675</v>
      </c>
      <c r="AH576" s="320">
        <f>+'Perfil - interna'!AH576+'Perfil - externa'!AH574</f>
        <v>5700265.5657085627</v>
      </c>
      <c r="AI576" s="320">
        <f>+'Perfil - interna'!AI576+'Perfil - externa'!AI574</f>
        <v>12970985.239051696</v>
      </c>
      <c r="AJ576" s="320">
        <f>+'Perfil - interna'!AJ576+'Perfil - externa'!AJ574</f>
        <v>4659294.3408945678</v>
      </c>
      <c r="AK576" s="320">
        <f>+'Perfil - interna'!AK576+'Perfil - externa'!AK574</f>
        <v>8122210.0177249731</v>
      </c>
      <c r="AL576" s="320">
        <f>+'Perfil - interna'!AL576+'Perfil - externa'!AL574</f>
        <v>1954397.5655092376</v>
      </c>
      <c r="AM576" s="320">
        <f>+'Perfil - interna'!AM576+'Perfil - externa'!AM574</f>
        <v>7241649.8492598971</v>
      </c>
      <c r="AN576" s="320">
        <f>+'Perfil - interna'!AN576+'Perfil - externa'!AN574</f>
        <v>1362815.6169221969</v>
      </c>
      <c r="AO576" s="320">
        <f>+'Perfil - interna'!AO576+'Perfil - externa'!AO574</f>
        <v>1357681.1056462049</v>
      </c>
      <c r="AP576" s="320">
        <f>+'Perfil - interna'!AP576+'Perfil - externa'!AP574</f>
        <v>1353290.3634610514</v>
      </c>
      <c r="AQ576" s="320">
        <f>+'Perfil - interna'!AQ576+'Perfil - externa'!AQ574</f>
        <v>8541003.5560829323</v>
      </c>
      <c r="AR576" s="320">
        <f>+'Perfil - interna'!AR576+'Perfil - externa'!AR574</f>
        <v>881072.91998770135</v>
      </c>
      <c r="AS576" s="320">
        <f>+'Perfil - interna'!AS576+'Perfil - externa'!AS574</f>
        <v>878733.03009193379</v>
      </c>
      <c r="AT576" s="320">
        <f>+'Perfil - interna'!AT576+'Perfil - externa'!AT574</f>
        <v>8085794.2365477709</v>
      </c>
      <c r="AU576" s="320">
        <f>+'Perfil - interna'!AU576+'Perfil - externa'!AU574</f>
        <v>7689176.0181712387</v>
      </c>
      <c r="AV576" s="320">
        <f>+'Perfil - interna'!AV576+'Perfil - externa'!AV574</f>
        <v>76047.530277584156</v>
      </c>
      <c r="AW576" s="320">
        <f>+'Perfil - interna'!AW576+'Perfil - externa'!AW574</f>
        <v>0</v>
      </c>
      <c r="AX576" s="320"/>
      <c r="AY576" s="320"/>
      <c r="AZ576" s="320"/>
      <c r="BA576" s="320"/>
      <c r="BB576" s="320"/>
      <c r="BC576" s="320"/>
      <c r="BD576" s="320"/>
      <c r="BE576" s="320"/>
      <c r="BF576" s="320"/>
      <c r="BG576" s="320"/>
      <c r="BH576" s="320"/>
      <c r="BI576" s="320"/>
      <c r="BJ576" s="320"/>
      <c r="BK576" s="320"/>
    </row>
    <row r="577" spans="1:63">
      <c r="A577" s="167"/>
      <c r="B577" s="217" t="str">
        <f>Servicio_internaColumna_título_amortizaciones</f>
        <v>Amortizaciones</v>
      </c>
      <c r="C577" s="218"/>
      <c r="D577" s="219"/>
      <c r="E577" s="219"/>
      <c r="F577" s="219"/>
      <c r="G577" s="219"/>
      <c r="H577" s="219"/>
      <c r="I577" s="219"/>
      <c r="J577" s="219"/>
      <c r="K577" s="219"/>
      <c r="L577" s="219"/>
      <c r="M577" s="219"/>
      <c r="N577" s="219"/>
      <c r="O577" s="219"/>
      <c r="P577" s="219"/>
      <c r="Q577" s="219"/>
      <c r="R577" s="219">
        <f>+'Perfil - interna'!R577+'Perfil - externa'!R575</f>
        <v>4717770.5544080157</v>
      </c>
      <c r="S577" s="219">
        <f>+'Perfil - interna'!S577+'Perfil - externa'!S575</f>
        <v>39528495.843897209</v>
      </c>
      <c r="T577" s="219">
        <f>+'Perfil - interna'!T577+'Perfil - externa'!T575</f>
        <v>22179570.752216343</v>
      </c>
      <c r="U577" s="219">
        <f>+'Perfil - interna'!U577+'Perfil - externa'!U575</f>
        <v>33888439.623957157</v>
      </c>
      <c r="V577" s="219">
        <f>+'Perfil - interna'!V577+'Perfil - externa'!V575</f>
        <v>24505580.890584517</v>
      </c>
      <c r="W577" s="219">
        <f>+'Perfil - interna'!W577+'Perfil - externa'!W575</f>
        <v>25877382.009975404</v>
      </c>
      <c r="X577" s="219">
        <f>+'Perfil - interna'!X577+'Perfil - externa'!X575</f>
        <v>23380512.615759686</v>
      </c>
      <c r="Y577" s="219">
        <f>+'Perfil - interna'!Y577+'Perfil - externa'!Y575</f>
        <v>21158995.580057986</v>
      </c>
      <c r="Z577" s="219">
        <f>+'Perfil - interna'!Z577+'Perfil - externa'!Z575</f>
        <v>39075194.94783178</v>
      </c>
      <c r="AA577" s="219">
        <f>+'Perfil - interna'!AA577+'Perfil - externa'!AA575</f>
        <v>11555209.472427495</v>
      </c>
      <c r="AB577" s="219">
        <f>+'Perfil - interna'!AB577+'Perfil - externa'!AB575</f>
        <v>31935340.631028898</v>
      </c>
      <c r="AC577" s="219">
        <f>+'Perfil - interna'!AC577+'Perfil - externa'!AC575</f>
        <v>6801955.4560326682</v>
      </c>
      <c r="AD577" s="219">
        <f>+'Perfil - interna'!AD577+'Perfil - externa'!AD575</f>
        <v>17509401.815187007</v>
      </c>
      <c r="AE577" s="219">
        <f>+'Perfil - interna'!AE577+'Perfil - externa'!AE575</f>
        <v>2838416.2355801836</v>
      </c>
      <c r="AF577" s="219">
        <f>+'Perfil - interna'!AF577+'Perfil - externa'!AF575</f>
        <v>19520034.849865153</v>
      </c>
      <c r="AG577" s="219">
        <f>+'Perfil - interna'!AG577+'Perfil - externa'!AG575</f>
        <v>3328122.6945221308</v>
      </c>
      <c r="AH577" s="219">
        <f>+'Perfil - interna'!AH577+'Perfil - externa'!AH575</f>
        <v>3238697.1668766756</v>
      </c>
      <c r="AI577" s="219">
        <f>+'Perfil - interna'!AI577+'Perfil - externa'!AI575</f>
        <v>10511885.068140917</v>
      </c>
      <c r="AJ577" s="219">
        <f>+'Perfil - interna'!AJ577+'Perfil - externa'!AJ575</f>
        <v>2756189.7959795278</v>
      </c>
      <c r="AK577" s="219">
        <f>+'Perfil - interna'!AK577+'Perfil - externa'!AK575</f>
        <v>6481570.3113655923</v>
      </c>
      <c r="AL577" s="219">
        <f>+'Perfil - interna'!AL577+'Perfil - externa'!AL575</f>
        <v>348704.6205835056</v>
      </c>
      <c r="AM577" s="219">
        <f>+'Perfil - interna'!AM577+'Perfil - externa'!AM575</f>
        <v>5913486.4302158859</v>
      </c>
      <c r="AN577" s="219">
        <f>+'Perfil - interna'!AN577+'Perfil - externa'!AN575</f>
        <v>74004.288874689853</v>
      </c>
      <c r="AO577" s="219">
        <f>+'Perfil - interna'!AO577+'Perfil - externa'!AO575</f>
        <v>74004.288874689853</v>
      </c>
      <c r="AP577" s="219">
        <f>+'Perfil - interna'!AP577+'Perfil - externa'!AP575</f>
        <v>74004.288874689853</v>
      </c>
      <c r="AQ577" s="219">
        <f>+'Perfil - interna'!AQ577+'Perfil - externa'!AQ575</f>
        <v>7986729.2888746904</v>
      </c>
      <c r="AR577" s="219">
        <f>+'Perfil - interna'!AR577+'Perfil - externa'!AR575</f>
        <v>74004.288874689853</v>
      </c>
      <c r="AS577" s="219">
        <f>+'Perfil - interna'!AS577+'Perfil - externa'!AS575</f>
        <v>74004.288874689853</v>
      </c>
      <c r="AT577" s="219">
        <f>+'Perfil - interna'!AT577+'Perfil - externa'!AT575</f>
        <v>7985628.3943545707</v>
      </c>
      <c r="AU577" s="219">
        <f>+'Perfil - interna'!AU577+'Perfil - externa'!AU575</f>
        <v>7985628.3943545707</v>
      </c>
      <c r="AV577" s="219">
        <f>+'Perfil - interna'!AV577+'Perfil - externa'!AV575</f>
        <v>72903.39435457041</v>
      </c>
      <c r="AW577" s="219">
        <f>+'Perfil - interna'!AW577+'Perfil - externa'!AW575</f>
        <v>0</v>
      </c>
      <c r="AX577" s="219"/>
      <c r="AY577" s="219"/>
      <c r="AZ577" s="219"/>
      <c r="BA577" s="219"/>
      <c r="BB577" s="219"/>
      <c r="BC577" s="219"/>
      <c r="BD577" s="219"/>
      <c r="BE577" s="219"/>
      <c r="BF577" s="219"/>
      <c r="BG577" s="219"/>
      <c r="BH577" s="219"/>
      <c r="BI577" s="219"/>
      <c r="BJ577" s="219"/>
      <c r="BK577" s="219"/>
    </row>
    <row r="578" spans="1:63">
      <c r="A578" s="170">
        <v>42675</v>
      </c>
      <c r="B578" s="220" t="str">
        <f>Servicio_internaColumna_título_intereses</f>
        <v>Intereses</v>
      </c>
      <c r="C578" s="221"/>
      <c r="D578" s="222"/>
      <c r="E578" s="222"/>
      <c r="F578" s="222"/>
      <c r="G578" s="222"/>
      <c r="H578" s="222"/>
      <c r="I578" s="222"/>
      <c r="J578" s="222"/>
      <c r="K578" s="222"/>
      <c r="L578" s="222"/>
      <c r="M578" s="222"/>
      <c r="N578" s="222"/>
      <c r="O578" s="222"/>
      <c r="P578" s="222"/>
      <c r="Q578" s="222"/>
      <c r="R578" s="222">
        <f>+'Perfil - interna'!R578+'Perfil - externa'!R576</f>
        <v>359658.12912211788</v>
      </c>
      <c r="S578" s="222">
        <f>+'Perfil - interna'!S578+'Perfil - externa'!S576</f>
        <v>21591392.452274181</v>
      </c>
      <c r="T578" s="222">
        <f>+'Perfil - interna'!T578+'Perfil - externa'!T576</f>
        <v>21065238.867552768</v>
      </c>
      <c r="U578" s="222">
        <f>+'Perfil - interna'!U578+'Perfil - externa'!U576</f>
        <v>18888978.200891331</v>
      </c>
      <c r="V578" s="222">
        <f>+'Perfil - interna'!V578+'Perfil - externa'!V576</f>
        <v>17356814.769061871</v>
      </c>
      <c r="W578" s="222">
        <f>+'Perfil - interna'!W578+'Perfil - externa'!W576</f>
        <v>15121159.002119981</v>
      </c>
      <c r="X578" s="222">
        <f>+'Perfil - interna'!X578+'Perfil - externa'!X576</f>
        <v>14162600.733861741</v>
      </c>
      <c r="Y578" s="222">
        <f>+'Perfil - interna'!Y578+'Perfil - externa'!Y576</f>
        <v>12707532.224705873</v>
      </c>
      <c r="Z578" s="222">
        <f>+'Perfil - interna'!Z578+'Perfil - externa'!Z576</f>
        <v>11336734.021768399</v>
      </c>
      <c r="AA578" s="222">
        <f>+'Perfil - interna'!AA578+'Perfil - externa'!AA576</f>
        <v>8336800.7538551129</v>
      </c>
      <c r="AB578" s="222">
        <f>+'Perfil - interna'!AB578+'Perfil - externa'!AB576</f>
        <v>7782605.167122188</v>
      </c>
      <c r="AC578" s="222">
        <f>+'Perfil - interna'!AC578+'Perfil - externa'!AC576</f>
        <v>5851402.0596332122</v>
      </c>
      <c r="AD578" s="222">
        <f>+'Perfil - interna'!AD578+'Perfil - externa'!AD576</f>
        <v>5469084.7089422652</v>
      </c>
      <c r="AE578" s="222">
        <f>+'Perfil - interna'!AE578+'Perfil - externa'!AE576</f>
        <v>4543325.0290797222</v>
      </c>
      <c r="AF578" s="222">
        <f>+'Perfil - interna'!AF578+'Perfil - externa'!AF576</f>
        <v>4485006.431761669</v>
      </c>
      <c r="AG578" s="222">
        <f>+'Perfil - interna'!AG578+'Perfil - externa'!AG576</f>
        <v>3082961.1994699286</v>
      </c>
      <c r="AH578" s="222">
        <f>+'Perfil - interna'!AH578+'Perfil - externa'!AH576</f>
        <v>2942380.0374516095</v>
      </c>
      <c r="AI578" s="222">
        <f>+'Perfil - interna'!AI578+'Perfil - externa'!AI576</f>
        <v>2830464.7591682184</v>
      </c>
      <c r="AJ578" s="222">
        <f>+'Perfil - interna'!AJ578+'Perfil - externa'!AJ576</f>
        <v>2326254.3423933005</v>
      </c>
      <c r="AK578" s="222">
        <f>+'Perfil - interna'!AK578+'Perfil - externa'!AK576</f>
        <v>2203772.4835521528</v>
      </c>
      <c r="AL578" s="222">
        <f>+'Perfil - interna'!AL578+'Perfil - externa'!AL576</f>
        <v>1823547.50385277</v>
      </c>
      <c r="AM578" s="222">
        <f>+'Perfil - interna'!AM578+'Perfil - externa'!AM576</f>
        <v>1810108.9705750165</v>
      </c>
      <c r="AN578" s="222">
        <f>+'Perfil - interna'!AN578+'Perfil - externa'!AN576</f>
        <v>1379187.5295662938</v>
      </c>
      <c r="AO578" s="222">
        <f>+'Perfil - interna'!AO578+'Perfil - externa'!AO576</f>
        <v>1373618.8680327041</v>
      </c>
      <c r="AP578" s="222">
        <f>+'Perfil - interna'!AP578+'Perfil - externa'!AP576</f>
        <v>1368809.0414650312</v>
      </c>
      <c r="AQ578" s="222">
        <f>+'Perfil - interna'!AQ578+'Perfil - externa'!AQ576</f>
        <v>1121813.0211268093</v>
      </c>
      <c r="AR578" s="222">
        <f>+'Perfil - interna'!AR578+'Perfil - externa'!AR576</f>
        <v>865488.02302997361</v>
      </c>
      <c r="AS578" s="222">
        <f>+'Perfil - interna'!AS578+'Perfil - externa'!AS576</f>
        <v>862720.89675525599</v>
      </c>
      <c r="AT578" s="222">
        <f>+'Perfil - interna'!AT578+'Perfil - externa'!AT576</f>
        <v>637365.31996428617</v>
      </c>
      <c r="AU578" s="222">
        <f>+'Perfil - interna'!AU578+'Perfil - externa'!AU576</f>
        <v>214092.59539372957</v>
      </c>
      <c r="AV578" s="222">
        <f>+'Perfil - interna'!AV578+'Perfil - externa'!AV576</f>
        <v>6697.3757657399146</v>
      </c>
      <c r="AW578" s="222">
        <f>+'Perfil - interna'!AW578+'Perfil - externa'!AW576</f>
        <v>0</v>
      </c>
      <c r="AX578" s="222"/>
      <c r="AY578" s="222"/>
      <c r="AZ578" s="222"/>
      <c r="BA578" s="222"/>
      <c r="BB578" s="222"/>
      <c r="BC578" s="222"/>
      <c r="BD578" s="222"/>
      <c r="BE578" s="222"/>
      <c r="BF578" s="222"/>
      <c r="BG578" s="222"/>
      <c r="BH578" s="222"/>
      <c r="BI578" s="222"/>
      <c r="BJ578" s="222"/>
      <c r="BK578" s="222"/>
    </row>
    <row r="579" spans="1:63">
      <c r="A579" s="171"/>
      <c r="B579" s="318" t="str">
        <f>Servicio_internaColumna_título_total</f>
        <v>Total</v>
      </c>
      <c r="C579" s="319"/>
      <c r="D579" s="320"/>
      <c r="E579" s="320"/>
      <c r="F579" s="320"/>
      <c r="G579" s="320"/>
      <c r="H579" s="320"/>
      <c r="I579" s="320"/>
      <c r="J579" s="320"/>
      <c r="K579" s="320"/>
      <c r="L579" s="320"/>
      <c r="M579" s="320"/>
      <c r="N579" s="320"/>
      <c r="O579" s="320"/>
      <c r="P579" s="320"/>
      <c r="Q579" s="320"/>
      <c r="R579" s="320">
        <f>+'Perfil - interna'!R579+'Perfil - externa'!R577</f>
        <v>5077428.6835301341</v>
      </c>
      <c r="S579" s="320">
        <f>+'Perfil - interna'!S579+'Perfil - externa'!S577</f>
        <v>61119888.296171397</v>
      </c>
      <c r="T579" s="320">
        <f>+'Perfil - interna'!T579+'Perfil - externa'!T577</f>
        <v>43244809.619769111</v>
      </c>
      <c r="U579" s="320">
        <f>+'Perfil - interna'!U579+'Perfil - externa'!U577</f>
        <v>52777417.824848488</v>
      </c>
      <c r="V579" s="320">
        <f>+'Perfil - interna'!V579+'Perfil - externa'!V577</f>
        <v>41862395.659646392</v>
      </c>
      <c r="W579" s="320">
        <f>+'Perfil - interna'!W579+'Perfil - externa'!W577</f>
        <v>40998541.012095392</v>
      </c>
      <c r="X579" s="320">
        <f>+'Perfil - interna'!X579+'Perfil - externa'!X577</f>
        <v>37543113.349621423</v>
      </c>
      <c r="Y579" s="320">
        <f>+'Perfil - interna'!Y579+'Perfil - externa'!Y577</f>
        <v>33866527.804763861</v>
      </c>
      <c r="Z579" s="320">
        <f>+'Perfil - interna'!Z579+'Perfil - externa'!Z577</f>
        <v>50411928.969600178</v>
      </c>
      <c r="AA579" s="320">
        <f>+'Perfil - interna'!AA579+'Perfil - externa'!AA577</f>
        <v>19892010.226282608</v>
      </c>
      <c r="AB579" s="320">
        <f>+'Perfil - interna'!AB579+'Perfil - externa'!AB577</f>
        <v>39717945.798151091</v>
      </c>
      <c r="AC579" s="320">
        <f>+'Perfil - interna'!AC579+'Perfil - externa'!AC577</f>
        <v>12653357.515665881</v>
      </c>
      <c r="AD579" s="320">
        <f>+'Perfil - interna'!AD579+'Perfil - externa'!AD577</f>
        <v>22978486.524129275</v>
      </c>
      <c r="AE579" s="320">
        <f>+'Perfil - interna'!AE579+'Perfil - externa'!AE577</f>
        <v>7381741.2646599058</v>
      </c>
      <c r="AF579" s="320">
        <f>+'Perfil - interna'!AF579+'Perfil - externa'!AF577</f>
        <v>24005041.281626821</v>
      </c>
      <c r="AG579" s="320">
        <f>+'Perfil - interna'!AG579+'Perfil - externa'!AG577</f>
        <v>6411083.8939920599</v>
      </c>
      <c r="AH579" s="320">
        <f>+'Perfil - interna'!AH579+'Perfil - externa'!AH577</f>
        <v>6181077.2043282846</v>
      </c>
      <c r="AI579" s="320">
        <f>+'Perfil - interna'!AI579+'Perfil - externa'!AI577</f>
        <v>13342349.827309135</v>
      </c>
      <c r="AJ579" s="320">
        <f>+'Perfil - interna'!AJ579+'Perfil - externa'!AJ577</f>
        <v>5082444.1383728283</v>
      </c>
      <c r="AK579" s="320">
        <f>+'Perfil - interna'!AK579+'Perfil - externa'!AK577</f>
        <v>8685342.7949177455</v>
      </c>
      <c r="AL579" s="320">
        <f>+'Perfil - interna'!AL579+'Perfil - externa'!AL577</f>
        <v>2172252.124436276</v>
      </c>
      <c r="AM579" s="320">
        <f>+'Perfil - interna'!AM579+'Perfil - externa'!AM577</f>
        <v>7723595.4007909019</v>
      </c>
      <c r="AN579" s="320">
        <f>+'Perfil - interna'!AN579+'Perfil - externa'!AN577</f>
        <v>1453191.8184409838</v>
      </c>
      <c r="AO579" s="320">
        <f>+'Perfil - interna'!AO579+'Perfil - externa'!AO577</f>
        <v>1447623.1569073941</v>
      </c>
      <c r="AP579" s="320">
        <f>+'Perfil - interna'!AP579+'Perfil - externa'!AP577</f>
        <v>1442813.3303397212</v>
      </c>
      <c r="AQ579" s="320">
        <f>+'Perfil - interna'!AQ579+'Perfil - externa'!AQ577</f>
        <v>9108542.3100014981</v>
      </c>
      <c r="AR579" s="320">
        <f>+'Perfil - interna'!AR579+'Perfil - externa'!AR577</f>
        <v>939492.31190466345</v>
      </c>
      <c r="AS579" s="320">
        <f>+'Perfil - interna'!AS579+'Perfil - externa'!AS577</f>
        <v>936725.18562994583</v>
      </c>
      <c r="AT579" s="320">
        <f>+'Perfil - interna'!AT579+'Perfil - externa'!AT577</f>
        <v>8622993.7143188566</v>
      </c>
      <c r="AU579" s="320">
        <f>+'Perfil - interna'!AU579+'Perfil - externa'!AU577</f>
        <v>8199720.9897483001</v>
      </c>
      <c r="AV579" s="320">
        <f>+'Perfil - interna'!AV579+'Perfil - externa'!AV577</f>
        <v>79600.770120310321</v>
      </c>
      <c r="AW579" s="320">
        <f>+'Perfil - interna'!AW579+'Perfil - externa'!AW577</f>
        <v>0</v>
      </c>
      <c r="AX579" s="320"/>
      <c r="AY579" s="320"/>
      <c r="AZ579" s="320"/>
      <c r="BA579" s="320"/>
      <c r="BB579" s="320"/>
      <c r="BC579" s="320"/>
      <c r="BD579" s="320"/>
      <c r="BE579" s="320"/>
      <c r="BF579" s="320"/>
      <c r="BG579" s="320"/>
      <c r="BH579" s="320"/>
      <c r="BI579" s="320"/>
      <c r="BJ579" s="320"/>
      <c r="BK579" s="320"/>
    </row>
    <row r="580" spans="1:63">
      <c r="A580" s="167"/>
      <c r="B580" s="217" t="str">
        <f>Servicio_internaColumna_título_amortizaciones</f>
        <v>Amortizaciones</v>
      </c>
      <c r="C580" s="218"/>
      <c r="D580" s="219"/>
      <c r="E580" s="219"/>
      <c r="F580" s="219"/>
      <c r="G580" s="219"/>
      <c r="H580" s="219"/>
      <c r="I580" s="219"/>
      <c r="J580" s="219"/>
      <c r="K580" s="219"/>
      <c r="L580" s="219"/>
      <c r="M580" s="219"/>
      <c r="N580" s="219"/>
      <c r="O580" s="219"/>
      <c r="P580" s="219"/>
      <c r="Q580" s="219"/>
      <c r="R580" s="219"/>
      <c r="S580" s="223">
        <f>+'Perfil - interna'!S580+'Perfil - externa'!S578</f>
        <v>39619348.411019333</v>
      </c>
      <c r="T580" s="223">
        <f>+'Perfil - interna'!T580+'Perfil - externa'!T578</f>
        <v>22065743.064339913</v>
      </c>
      <c r="U580" s="223">
        <f>+'Perfil - interna'!U580+'Perfil - externa'!U578</f>
        <v>33579119.540542476</v>
      </c>
      <c r="V580" s="223">
        <f>+'Perfil - interna'!V580+'Perfil - externa'!V578</f>
        <v>24448879.25336615</v>
      </c>
      <c r="W580" s="223">
        <f>+'Perfil - interna'!W580+'Perfil - externa'!W578</f>
        <v>25506588.137380548</v>
      </c>
      <c r="X580" s="223">
        <f>+'Perfil - interna'!X580+'Perfil - externa'!X578</f>
        <v>23918283.162397243</v>
      </c>
      <c r="Y580" s="223">
        <f>+'Perfil - interna'!Y580+'Perfil - externa'!Y578</f>
        <v>21022079.183092762</v>
      </c>
      <c r="Z580" s="223">
        <f>+'Perfil - interna'!Z580+'Perfil - externa'!Z578</f>
        <v>38581199.098539785</v>
      </c>
      <c r="AA580" s="223">
        <f>+'Perfil - interna'!AA580+'Perfil - externa'!AA578</f>
        <v>11633836.935671534</v>
      </c>
      <c r="AB580" s="223">
        <f>+'Perfil - interna'!AB580+'Perfil - externa'!AB578</f>
        <v>31539289.360438984</v>
      </c>
      <c r="AC580" s="223">
        <f>+'Perfil - interna'!AC580+'Perfil - externa'!AC578</f>
        <v>6671882.9086472662</v>
      </c>
      <c r="AD580" s="223">
        <f>+'Perfil - interna'!AD580+'Perfil - externa'!AD578</f>
        <v>18652103.37524147</v>
      </c>
      <c r="AE580" s="223">
        <f>+'Perfil - interna'!AE580+'Perfil - externa'!AE578</f>
        <v>2787441.5991701758</v>
      </c>
      <c r="AF580" s="223">
        <f>+'Perfil - interna'!AF580+'Perfil - externa'!AF578</f>
        <v>19608170.075321976</v>
      </c>
      <c r="AG580" s="223">
        <f>+'Perfil - interna'!AG580+'Perfil - externa'!AG578</f>
        <v>3234590.0477967397</v>
      </c>
      <c r="AH580" s="223">
        <f>+'Perfil - interna'!AH580+'Perfil - externa'!AH578</f>
        <v>3082867.8725923137</v>
      </c>
      <c r="AI580" s="223">
        <f>+'Perfil - interna'!AI580+'Perfil - externa'!AI578</f>
        <v>10428144.446400002</v>
      </c>
      <c r="AJ580" s="223">
        <f>+'Perfil - interna'!AJ580+'Perfil - externa'!AJ578</f>
        <v>2614395.8939696671</v>
      </c>
      <c r="AK580" s="223">
        <f>+'Perfil - interna'!AK580+'Perfil - externa'!AK578</f>
        <v>6481558.1291836202</v>
      </c>
      <c r="AL580" s="223">
        <f>+'Perfil - interna'!AL580+'Perfil - externa'!AL578</f>
        <v>2598458.6021531206</v>
      </c>
      <c r="AM580" s="223">
        <f>+'Perfil - interna'!AM580+'Perfil - externa'!AM578</f>
        <v>5606179.9434792809</v>
      </c>
      <c r="AN580" s="223">
        <f>+'Perfil - interna'!AN580+'Perfil - externa'!AN578</f>
        <v>69786.242925220853</v>
      </c>
      <c r="AO580" s="223">
        <f>+'Perfil - interna'!AO580+'Perfil - externa'!AO578</f>
        <v>69786.242925220853</v>
      </c>
      <c r="AP580" s="223">
        <f>+'Perfil - interna'!AP580+'Perfil - externa'!AP578</f>
        <v>69786.242925220853</v>
      </c>
      <c r="AQ580" s="223">
        <f>+'Perfil - interna'!AQ580+'Perfil - externa'!AQ578</f>
        <v>7571561.2429252211</v>
      </c>
      <c r="AR580" s="223">
        <f>+'Perfil - interna'!AR580+'Perfil - externa'!AR578</f>
        <v>69786.242925220853</v>
      </c>
      <c r="AS580" s="223">
        <f>+'Perfil - interna'!AS580+'Perfil - externa'!AS578</f>
        <v>69786.242925220853</v>
      </c>
      <c r="AT580" s="223">
        <f>+'Perfil - interna'!AT580+'Perfil - externa'!AT578</f>
        <v>7570517.5237275148</v>
      </c>
      <c r="AU580" s="223">
        <f>+'Perfil - interna'!AU580+'Perfil - externa'!AU578</f>
        <v>7570517.5237275148</v>
      </c>
      <c r="AV580" s="223">
        <f>+'Perfil - interna'!AV580+'Perfil - externa'!AV578</f>
        <v>68742.523727514752</v>
      </c>
      <c r="AW580" s="223">
        <f>+'Perfil - interna'!AW580+'Perfil - externa'!AW578</f>
        <v>68742.523727514752</v>
      </c>
      <c r="AX580" s="223"/>
      <c r="AY580" s="223"/>
      <c r="AZ580" s="223"/>
      <c r="BA580" s="223"/>
      <c r="BB580" s="223"/>
      <c r="BC580" s="223"/>
      <c r="BD580" s="223"/>
      <c r="BE580" s="223"/>
      <c r="BF580" s="223"/>
      <c r="BG580" s="223"/>
      <c r="BH580" s="223"/>
      <c r="BI580" s="223"/>
      <c r="BJ580" s="223"/>
      <c r="BK580" s="223"/>
    </row>
    <row r="581" spans="1:63">
      <c r="A581" s="170">
        <v>42705</v>
      </c>
      <c r="B581" s="220" t="str">
        <f>Servicio_internaColumna_título_intereses</f>
        <v>Intereses</v>
      </c>
      <c r="C581" s="221"/>
      <c r="D581" s="222"/>
      <c r="E581" s="222"/>
      <c r="F581" s="222"/>
      <c r="G581" s="222"/>
      <c r="H581" s="222"/>
      <c r="I581" s="222"/>
      <c r="J581" s="222"/>
      <c r="K581" s="222"/>
      <c r="L581" s="222"/>
      <c r="M581" s="222"/>
      <c r="N581" s="222"/>
      <c r="O581" s="222"/>
      <c r="P581" s="222"/>
      <c r="Q581" s="222"/>
      <c r="R581" s="222"/>
      <c r="S581" s="224">
        <f>+'Perfil - interna'!S581+'Perfil - externa'!S579</f>
        <v>21487955.325667381</v>
      </c>
      <c r="T581" s="224">
        <f>+'Perfil - interna'!T581+'Perfil - externa'!T579</f>
        <v>21035838.611096524</v>
      </c>
      <c r="U581" s="224">
        <f>+'Perfil - interna'!U581+'Perfil - externa'!U579</f>
        <v>18934880.811151374</v>
      </c>
      <c r="V581" s="224">
        <f>+'Perfil - interna'!V581+'Perfil - externa'!V579</f>
        <v>17338771.705579773</v>
      </c>
      <c r="W581" s="224">
        <f>+'Perfil - interna'!W581+'Perfil - externa'!W579</f>
        <v>15143727.624496058</v>
      </c>
      <c r="X581" s="224">
        <f>+'Perfil - interna'!X581+'Perfil - externa'!X579</f>
        <v>14182618.259360928</v>
      </c>
      <c r="Y581" s="224">
        <f>+'Perfil - interna'!Y581+'Perfil - externa'!Y579</f>
        <v>12728258.029968768</v>
      </c>
      <c r="Z581" s="224">
        <f>+'Perfil - interna'!Z581+'Perfil - externa'!Z579</f>
        <v>11373442.376468405</v>
      </c>
      <c r="AA581" s="224">
        <f>+'Perfil - interna'!AA581+'Perfil - externa'!AA579</f>
        <v>8374111.1864950098</v>
      </c>
      <c r="AB581" s="224">
        <f>+'Perfil - interna'!AB581+'Perfil - externa'!AB579</f>
        <v>7822907.908683667</v>
      </c>
      <c r="AC581" s="224">
        <f>+'Perfil - interna'!AC581+'Perfil - externa'!AC579</f>
        <v>5904432.2533860728</v>
      </c>
      <c r="AD581" s="224">
        <f>+'Perfil - interna'!AD581+'Perfil - externa'!AD579</f>
        <v>5521428.937064643</v>
      </c>
      <c r="AE581" s="224">
        <f>+'Perfil - interna'!AE581+'Perfil - externa'!AE579</f>
        <v>4549021.7468083687</v>
      </c>
      <c r="AF581" s="224">
        <f>+'Perfil - interna'!AF581+'Perfil - externa'!AF579</f>
        <v>4493197.6728773136</v>
      </c>
      <c r="AG581" s="224">
        <f>+'Perfil - interna'!AG581+'Perfil - externa'!AG579</f>
        <v>3083446.7508550468</v>
      </c>
      <c r="AH581" s="224">
        <f>+'Perfil - interna'!AH581+'Perfil - externa'!AH579</f>
        <v>2943972.1324516614</v>
      </c>
      <c r="AI581" s="224">
        <f>+'Perfil - interna'!AI581+'Perfil - externa'!AI579</f>
        <v>2832573.4003508836</v>
      </c>
      <c r="AJ581" s="224">
        <f>+'Perfil - interna'!AJ581+'Perfil - externa'!AJ579</f>
        <v>2333157.8473111466</v>
      </c>
      <c r="AK581" s="224">
        <f>+'Perfil - interna'!AK581+'Perfil - externa'!AK579</f>
        <v>2213672.9117554869</v>
      </c>
      <c r="AL581" s="224">
        <f>+'Perfil - interna'!AL581+'Perfil - externa'!AL579</f>
        <v>1822249.0421317164</v>
      </c>
      <c r="AM581" s="224">
        <f>+'Perfil - interna'!AM581+'Perfil - externa'!AM579</f>
        <v>1712472.0878305642</v>
      </c>
      <c r="AN581" s="224">
        <f>+'Perfil - interna'!AN581+'Perfil - externa'!AN579</f>
        <v>1304442.5009575679</v>
      </c>
      <c r="AO581" s="224">
        <f>+'Perfil - interna'!AO581+'Perfil - externa'!AO579</f>
        <v>1299965.4199275663</v>
      </c>
      <c r="AP581" s="224">
        <f>+'Perfil - interna'!AP581+'Perfil - externa'!AP579</f>
        <v>1295479.6022412607</v>
      </c>
      <c r="AQ581" s="224">
        <f>+'Perfil - interna'!AQ581+'Perfil - externa'!AQ579</f>
        <v>1061108.9038074589</v>
      </c>
      <c r="AR581" s="224">
        <f>+'Perfil - interna'!AR581+'Perfil - externa'!AR579</f>
        <v>826761.22622629977</v>
      </c>
      <c r="AS581" s="224">
        <f>+'Perfil - interna'!AS581+'Perfil - externa'!AS579</f>
        <v>818533.4749354024</v>
      </c>
      <c r="AT581" s="224">
        <f>+'Perfil - interna'!AT581+'Perfil - externa'!AT579</f>
        <v>604803.96428103896</v>
      </c>
      <c r="AU581" s="224">
        <f>+'Perfil - interna'!AU581+'Perfil - externa'!AU579</f>
        <v>203419.9455168829</v>
      </c>
      <c r="AV581" s="224">
        <f>+'Perfil - interna'!AV581+'Perfil - externa'!AV579</f>
        <v>4331.2948365536513</v>
      </c>
      <c r="AW581" s="224">
        <f>+'Perfil - interna'!AW581+'Perfil - externa'!AW579</f>
        <v>10013.840784185217</v>
      </c>
      <c r="AX581" s="224"/>
      <c r="AY581" s="224"/>
      <c r="AZ581" s="224"/>
      <c r="BA581" s="224"/>
      <c r="BB581" s="224"/>
      <c r="BC581" s="224"/>
      <c r="BD581" s="224"/>
      <c r="BE581" s="224"/>
      <c r="BF581" s="224"/>
      <c r="BG581" s="224"/>
      <c r="BH581" s="224"/>
      <c r="BI581" s="224"/>
      <c r="BJ581" s="224"/>
      <c r="BK581" s="224"/>
    </row>
    <row r="582" spans="1:63">
      <c r="A582" s="171"/>
      <c r="B582" s="318" t="str">
        <f>Servicio_internaColumna_título_total</f>
        <v>Total</v>
      </c>
      <c r="C582" s="319"/>
      <c r="D582" s="320"/>
      <c r="E582" s="320"/>
      <c r="F582" s="320"/>
      <c r="G582" s="320"/>
      <c r="H582" s="320"/>
      <c r="I582" s="320"/>
      <c r="J582" s="320"/>
      <c r="K582" s="320"/>
      <c r="L582" s="320"/>
      <c r="M582" s="320"/>
      <c r="N582" s="320"/>
      <c r="O582" s="320"/>
      <c r="P582" s="320"/>
      <c r="Q582" s="320"/>
      <c r="R582" s="320"/>
      <c r="S582" s="321">
        <f>+'Perfil - interna'!S582+'Perfil - externa'!S580</f>
        <v>61107303.736686714</v>
      </c>
      <c r="T582" s="321">
        <f>+'Perfil - interna'!T582+'Perfil - externa'!T580</f>
        <v>43101581.675436437</v>
      </c>
      <c r="U582" s="321">
        <f>+'Perfil - interna'!U582+'Perfil - externa'!U580</f>
        <v>52514000.351693854</v>
      </c>
      <c r="V582" s="321">
        <f>+'Perfil - interna'!V582+'Perfil - externa'!V580</f>
        <v>41787650.958945915</v>
      </c>
      <c r="W582" s="321">
        <f>+'Perfil - interna'!W582+'Perfil - externa'!W580</f>
        <v>40650315.761876605</v>
      </c>
      <c r="X582" s="321">
        <f>+'Perfil - interna'!X582+'Perfil - externa'!X580</f>
        <v>38100901.421758175</v>
      </c>
      <c r="Y582" s="321">
        <f>+'Perfil - interna'!Y582+'Perfil - externa'!Y580</f>
        <v>33750337.213061534</v>
      </c>
      <c r="Z582" s="321">
        <f>+'Perfil - interna'!Z582+'Perfil - externa'!Z580</f>
        <v>49954641.47500819</v>
      </c>
      <c r="AA582" s="321">
        <f>+'Perfil - interna'!AA582+'Perfil - externa'!AA580</f>
        <v>20007948.122166544</v>
      </c>
      <c r="AB582" s="321">
        <f>+'Perfil - interna'!AB582+'Perfil - externa'!AB580</f>
        <v>39362197.269122653</v>
      </c>
      <c r="AC582" s="321">
        <f>+'Perfil - interna'!AC582+'Perfil - externa'!AC580</f>
        <v>12576315.16203334</v>
      </c>
      <c r="AD582" s="321">
        <f>+'Perfil - interna'!AD582+'Perfil - externa'!AD580</f>
        <v>24173532.312306114</v>
      </c>
      <c r="AE582" s="321">
        <f>+'Perfil - interna'!AE582+'Perfil - externa'!AE580</f>
        <v>7336463.3459785441</v>
      </c>
      <c r="AF582" s="321">
        <f>+'Perfil - interna'!AF582+'Perfil - externa'!AF580</f>
        <v>24101367.748199288</v>
      </c>
      <c r="AG582" s="321">
        <f>+'Perfil - interna'!AG582+'Perfil - externa'!AG580</f>
        <v>6318036.7986517865</v>
      </c>
      <c r="AH582" s="321">
        <f>+'Perfil - interna'!AH582+'Perfil - externa'!AH580</f>
        <v>6026840.0050439751</v>
      </c>
      <c r="AI582" s="321">
        <f>+'Perfil - interna'!AI582+'Perfil - externa'!AI580</f>
        <v>13260717.846750885</v>
      </c>
      <c r="AJ582" s="321">
        <f>+'Perfil - interna'!AJ582+'Perfil - externa'!AJ580</f>
        <v>4947553.7412808137</v>
      </c>
      <c r="AK582" s="321">
        <f>+'Perfil - interna'!AK582+'Perfil - externa'!AK580</f>
        <v>8695231.0409391075</v>
      </c>
      <c r="AL582" s="321">
        <f>+'Perfil - interna'!AL582+'Perfil - externa'!AL580</f>
        <v>4420707.6442848369</v>
      </c>
      <c r="AM582" s="321">
        <f>+'Perfil - interna'!AM582+'Perfil - externa'!AM580</f>
        <v>7318652.0313098449</v>
      </c>
      <c r="AN582" s="321">
        <f>+'Perfil - interna'!AN582+'Perfil - externa'!AN580</f>
        <v>1374228.7438827888</v>
      </c>
      <c r="AO582" s="321">
        <f>+'Perfil - interna'!AO582+'Perfil - externa'!AO580</f>
        <v>1369751.6628527872</v>
      </c>
      <c r="AP582" s="321">
        <f>+'Perfil - interna'!AP582+'Perfil - externa'!AP580</f>
        <v>1365265.8451664816</v>
      </c>
      <c r="AQ582" s="321">
        <f>+'Perfil - interna'!AQ582+'Perfil - externa'!AQ580</f>
        <v>8632670.1467326805</v>
      </c>
      <c r="AR582" s="321">
        <f>+'Perfil - interna'!AR582+'Perfil - externa'!AR580</f>
        <v>896547.46915152064</v>
      </c>
      <c r="AS582" s="321">
        <f>+'Perfil - interna'!AS582+'Perfil - externa'!AS580</f>
        <v>888319.71786062326</v>
      </c>
      <c r="AT582" s="321">
        <f>+'Perfil - interna'!AT582+'Perfil - externa'!AT580</f>
        <v>8175321.4880085541</v>
      </c>
      <c r="AU582" s="321">
        <f>+'Perfil - interna'!AU582+'Perfil - externa'!AU580</f>
        <v>7773937.4692443972</v>
      </c>
      <c r="AV582" s="321">
        <f>+'Perfil - interna'!AV582+'Perfil - externa'!AV580</f>
        <v>73073.81856406841</v>
      </c>
      <c r="AW582" s="321">
        <f>+'Perfil - interna'!AW582+'Perfil - externa'!AW580</f>
        <v>78756.364511699969</v>
      </c>
      <c r="AX582" s="321"/>
      <c r="AY582" s="321"/>
      <c r="AZ582" s="321"/>
      <c r="BA582" s="321"/>
      <c r="BB582" s="321"/>
      <c r="BC582" s="321"/>
      <c r="BD582" s="321"/>
      <c r="BE582" s="321"/>
      <c r="BF582" s="321"/>
      <c r="BG582" s="321"/>
      <c r="BH582" s="321"/>
      <c r="BI582" s="321"/>
      <c r="BJ582" s="321"/>
      <c r="BK582" s="321"/>
    </row>
    <row r="583" spans="1:63">
      <c r="A583" s="167"/>
      <c r="B583" s="217" t="str">
        <f>Servicio_internaColumna_título_amortizaciones</f>
        <v>Amortizaciones</v>
      </c>
      <c r="C583" s="218"/>
      <c r="D583" s="219"/>
      <c r="E583" s="219"/>
      <c r="F583" s="219"/>
      <c r="G583" s="219"/>
      <c r="H583" s="219"/>
      <c r="I583" s="219"/>
      <c r="J583" s="219"/>
      <c r="K583" s="219"/>
      <c r="L583" s="219"/>
      <c r="M583" s="219"/>
      <c r="N583" s="219"/>
      <c r="O583" s="219"/>
      <c r="P583" s="219"/>
      <c r="Q583" s="219"/>
      <c r="R583" s="219"/>
      <c r="S583" s="223">
        <f>+'Perfil - interna'!S583+'Perfil - externa'!S581</f>
        <v>31644606.303337839</v>
      </c>
      <c r="T583" s="223">
        <f>+'Perfil - interna'!T583+'Perfil - externa'!T581</f>
        <v>21738844.826596573</v>
      </c>
      <c r="U583" s="223">
        <f>+'Perfil - interna'!U583+'Perfil - externa'!U581</f>
        <v>33492177.285106305</v>
      </c>
      <c r="V583" s="223">
        <f>+'Perfil - interna'!V583+'Perfil - externa'!V581</f>
        <v>24402241.23169174</v>
      </c>
      <c r="W583" s="223">
        <f>+'Perfil - interna'!W583+'Perfil - externa'!W581</f>
        <v>26104133.990103174</v>
      </c>
      <c r="X583" s="223">
        <f>+'Perfil - interna'!X583+'Perfil - externa'!X581</f>
        <v>24098110.418457557</v>
      </c>
      <c r="Y583" s="223">
        <f>+'Perfil - interna'!Y583+'Perfil - externa'!Y581</f>
        <v>21003963.032574937</v>
      </c>
      <c r="Z583" s="223">
        <f>+'Perfil - interna'!Z583+'Perfil - externa'!Z581</f>
        <v>38390831.522956565</v>
      </c>
      <c r="AA583" s="223">
        <f>+'Perfil - interna'!AA583+'Perfil - externa'!AA581</f>
        <v>12088755.461544344</v>
      </c>
      <c r="AB583" s="223">
        <f>+'Perfil - interna'!AB583+'Perfil - externa'!AB581</f>
        <v>31669476.26701574</v>
      </c>
      <c r="AC583" s="223">
        <f>+'Perfil - interna'!AC583+'Perfil - externa'!AC581</f>
        <v>9566355.6139558461</v>
      </c>
      <c r="AD583" s="223">
        <f>+'Perfil - interna'!AD583+'Perfil - externa'!AD581</f>
        <v>18607776.154125527</v>
      </c>
      <c r="AE583" s="223">
        <f>+'Perfil - interna'!AE583+'Perfil - externa'!AE581</f>
        <v>2787783.6741416901</v>
      </c>
      <c r="AF583" s="223">
        <f>+'Perfil - interna'!AF583+'Perfil - externa'!AF581</f>
        <v>19686104.699007053</v>
      </c>
      <c r="AG583" s="223">
        <f>+'Perfil - interna'!AG583+'Perfil - externa'!AG581</f>
        <v>3219160.9496290083</v>
      </c>
      <c r="AH583" s="223">
        <f>+'Perfil - interna'!AH583+'Perfil - externa'!AH581</f>
        <v>4730324.099735084</v>
      </c>
      <c r="AI583" s="223">
        <f>+'Perfil - interna'!AI583+'Perfil - externa'!AI581</f>
        <v>10414501.707166128</v>
      </c>
      <c r="AJ583" s="223">
        <f>+'Perfil - interna'!AJ583+'Perfil - externa'!AJ581</f>
        <v>2560203.5509423814</v>
      </c>
      <c r="AK583" s="223">
        <f>+'Perfil - interna'!AK583+'Perfil - externa'!AK581</f>
        <v>6946971.0145342872</v>
      </c>
      <c r="AL583" s="223">
        <f>+'Perfil - interna'!AL583+'Perfil - externa'!AL581</f>
        <v>2599103.0672476925</v>
      </c>
      <c r="AM583" s="223">
        <f>+'Perfil - interna'!AM583+'Perfil - externa'!AM581</f>
        <v>5488126.1946868328</v>
      </c>
      <c r="AN583" s="223">
        <f>+'Perfil - interna'!AN583+'Perfil - externa'!AN581</f>
        <v>69879.203712081944</v>
      </c>
      <c r="AO583" s="223">
        <f>+'Perfil - interna'!AO583+'Perfil - externa'!AO581</f>
        <v>69879.203712081944</v>
      </c>
      <c r="AP583" s="223">
        <f>+'Perfil - interna'!AP583+'Perfil - externa'!AP581</f>
        <v>69879.203712081944</v>
      </c>
      <c r="AQ583" s="223">
        <f>+'Perfil - interna'!AQ583+'Perfil - externa'!AQ581</f>
        <v>7411529.2037120825</v>
      </c>
      <c r="AR583" s="223">
        <f>+'Perfil - interna'!AR583+'Perfil - externa'!AR581</f>
        <v>69879.203712081944</v>
      </c>
      <c r="AS583" s="223">
        <f>+'Perfil - interna'!AS583+'Perfil - externa'!AS581</f>
        <v>69879.203712081944</v>
      </c>
      <c r="AT583" s="223">
        <f>+'Perfil - interna'!AT583+'Perfil - externa'!AT581</f>
        <v>7410507.7626467561</v>
      </c>
      <c r="AU583" s="223">
        <f>+'Perfil - interna'!AU583+'Perfil - externa'!AU581</f>
        <v>11815497.762646755</v>
      </c>
      <c r="AV583" s="223">
        <f>+'Perfil - interna'!AV583+'Perfil - externa'!AV581</f>
        <v>68857.762646755524</v>
      </c>
      <c r="AW583" s="223">
        <f>+'Perfil - interna'!AW583+'Perfil - externa'!AW581</f>
        <v>68857.762646755524</v>
      </c>
      <c r="AX583" s="223"/>
      <c r="AY583" s="223"/>
      <c r="AZ583" s="223"/>
      <c r="BA583" s="223"/>
      <c r="BB583" s="223"/>
      <c r="BC583" s="223"/>
      <c r="BD583" s="223"/>
      <c r="BE583" s="223"/>
      <c r="BF583" s="223"/>
      <c r="BG583" s="223"/>
      <c r="BH583" s="223"/>
      <c r="BI583" s="223"/>
      <c r="BJ583" s="223"/>
      <c r="BK583" s="223"/>
    </row>
    <row r="584" spans="1:63">
      <c r="A584" s="170">
        <v>42736</v>
      </c>
      <c r="B584" s="220" t="str">
        <f>Servicio_internaColumna_título_intereses</f>
        <v>Intereses</v>
      </c>
      <c r="C584" s="221"/>
      <c r="D584" s="222"/>
      <c r="E584" s="222"/>
      <c r="F584" s="222"/>
      <c r="G584" s="222"/>
      <c r="H584" s="222"/>
      <c r="I584" s="222"/>
      <c r="J584" s="222"/>
      <c r="K584" s="222"/>
      <c r="L584" s="222"/>
      <c r="M584" s="222"/>
      <c r="N584" s="222"/>
      <c r="O584" s="222"/>
      <c r="P584" s="222"/>
      <c r="Q584" s="222"/>
      <c r="R584" s="222"/>
      <c r="S584" s="224">
        <f>+'Perfil - interna'!S584+'Perfil - externa'!S582</f>
        <v>21096003.877674013</v>
      </c>
      <c r="T584" s="224">
        <f>+'Perfil - interna'!T584+'Perfil - externa'!T582</f>
        <v>21491502.665894825</v>
      </c>
      <c r="U584" s="224">
        <f>+'Perfil - interna'!U584+'Perfil - externa'!U582</f>
        <v>19493371.98976801</v>
      </c>
      <c r="V584" s="224">
        <f>+'Perfil - interna'!V584+'Perfil - externa'!V582</f>
        <v>17825158.69413859</v>
      </c>
      <c r="W584" s="224">
        <f>+'Perfil - interna'!W584+'Perfil - externa'!W582</f>
        <v>15659564.368420782</v>
      </c>
      <c r="X584" s="224">
        <f>+'Perfil - interna'!X584+'Perfil - externa'!X582</f>
        <v>14668821.263353426</v>
      </c>
      <c r="Y584" s="224">
        <f>+'Perfil - interna'!Y584+'Perfil - externa'!Y582</f>
        <v>13206780.889898174</v>
      </c>
      <c r="Z584" s="224">
        <f>+'Perfil - interna'!Z584+'Perfil - externa'!Z582</f>
        <v>11879922.877589006</v>
      </c>
      <c r="AA584" s="224">
        <f>+'Perfil - interna'!AA584+'Perfil - externa'!AA582</f>
        <v>8870591.8178333752</v>
      </c>
      <c r="AB584" s="224">
        <f>+'Perfil - interna'!AB584+'Perfil - externa'!AB582</f>
        <v>8300241.878322484</v>
      </c>
      <c r="AC584" s="224">
        <f>+'Perfil - interna'!AC584+'Perfil - externa'!AC582</f>
        <v>6316996.580761374</v>
      </c>
      <c r="AD584" s="224">
        <f>+'Perfil - interna'!AD584+'Perfil - externa'!AD582</f>
        <v>5871699.9378098268</v>
      </c>
      <c r="AE584" s="224">
        <f>+'Perfil - interna'!AE584+'Perfil - externa'!AE582</f>
        <v>4903581.9734097347</v>
      </c>
      <c r="AF584" s="224">
        <f>+'Perfil - interna'!AF584+'Perfil - externa'!AF582</f>
        <v>4845489.7766070655</v>
      </c>
      <c r="AG584" s="224">
        <f>+'Perfil - interna'!AG584+'Perfil - externa'!AG582</f>
        <v>3428082.8845521482</v>
      </c>
      <c r="AH584" s="224">
        <f>+'Perfil - interna'!AH584+'Perfil - externa'!AH582</f>
        <v>3293800.0045401203</v>
      </c>
      <c r="AI584" s="224">
        <f>+'Perfil - interna'!AI584+'Perfil - externa'!AI582</f>
        <v>3058787.4110131515</v>
      </c>
      <c r="AJ584" s="224">
        <f>+'Perfil - interna'!AJ584+'Perfil - externa'!AJ582</f>
        <v>2562105.1353567699</v>
      </c>
      <c r="AK584" s="224">
        <f>+'Perfil - interna'!AK584+'Perfil - externa'!AK582</f>
        <v>2444573.849981288</v>
      </c>
      <c r="AL584" s="224">
        <f>+'Perfil - interna'!AL584+'Perfil - externa'!AL582</f>
        <v>2015323.5080675648</v>
      </c>
      <c r="AM584" s="224">
        <f>+'Perfil - interna'!AM584+'Perfil - externa'!AM582</f>
        <v>1904602.6062157578</v>
      </c>
      <c r="AN584" s="224">
        <f>+'Perfil - interna'!AN584+'Perfil - externa'!AN582</f>
        <v>1504179.9152852544</v>
      </c>
      <c r="AO584" s="224">
        <f>+'Perfil - interna'!AO584+'Perfil - externa'!AO582</f>
        <v>1498773.8487424543</v>
      </c>
      <c r="AP584" s="224">
        <f>+'Perfil - interna'!AP584+'Perfil - externa'!AP582</f>
        <v>1493384.5921085223</v>
      </c>
      <c r="AQ584" s="224">
        <f>+'Perfil - interna'!AQ584+'Perfil - externa'!AQ582</f>
        <v>1262988.6993749244</v>
      </c>
      <c r="AR584" s="224">
        <f>+'Perfil - interna'!AR584+'Perfil - externa'!AR582</f>
        <v>1032624.4212618544</v>
      </c>
      <c r="AS584" s="224">
        <f>+'Perfil - interna'!AS584+'Perfil - externa'!AS582</f>
        <v>1021765.7905221197</v>
      </c>
      <c r="AT584" s="224">
        <f>+'Perfil - interna'!AT584+'Perfil - externa'!AT582</f>
        <v>812550.27500878298</v>
      </c>
      <c r="AU584" s="224">
        <f>+'Perfil - interna'!AU584+'Perfil - externa'!AU582</f>
        <v>309541.92456664291</v>
      </c>
      <c r="AV584" s="224">
        <f>+'Perfil - interna'!AV584+'Perfil - externa'!AV582</f>
        <v>4526.6332442720523</v>
      </c>
      <c r="AW584" s="224">
        <f>+'Perfil - interna'!AW584+'Perfil - externa'!AW582</f>
        <v>10004.361453323012</v>
      </c>
      <c r="AX584" s="224"/>
      <c r="AY584" s="224"/>
      <c r="AZ584" s="224"/>
      <c r="BA584" s="224"/>
      <c r="BB584" s="224"/>
      <c r="BC584" s="224"/>
      <c r="BD584" s="224"/>
      <c r="BE584" s="224"/>
      <c r="BF584" s="224"/>
      <c r="BG584" s="224"/>
      <c r="BH584" s="224"/>
      <c r="BI584" s="224"/>
      <c r="BJ584" s="224"/>
      <c r="BK584" s="224"/>
    </row>
    <row r="585" spans="1:63">
      <c r="A585" s="171"/>
      <c r="B585" s="318" t="str">
        <f>Servicio_internaColumna_título_total</f>
        <v>Total</v>
      </c>
      <c r="C585" s="319"/>
      <c r="D585" s="320"/>
      <c r="E585" s="320"/>
      <c r="F585" s="320"/>
      <c r="G585" s="320"/>
      <c r="H585" s="320"/>
      <c r="I585" s="320"/>
      <c r="J585" s="320"/>
      <c r="K585" s="320"/>
      <c r="L585" s="320"/>
      <c r="M585" s="320"/>
      <c r="N585" s="320"/>
      <c r="O585" s="320"/>
      <c r="P585" s="320"/>
      <c r="Q585" s="320"/>
      <c r="R585" s="320"/>
      <c r="S585" s="321">
        <f>+'Perfil - interna'!S585+'Perfil - externa'!S583</f>
        <v>52740610.181011841</v>
      </c>
      <c r="T585" s="321">
        <f>+'Perfil - interna'!T585+'Perfil - externa'!T583</f>
        <v>43230347.492491409</v>
      </c>
      <c r="U585" s="321">
        <f>+'Perfil - interna'!U585+'Perfil - externa'!U583</f>
        <v>52985549.274874315</v>
      </c>
      <c r="V585" s="321">
        <f>+'Perfil - interna'!V585+'Perfil - externa'!V583</f>
        <v>42227399.925830334</v>
      </c>
      <c r="W585" s="321">
        <f>+'Perfil - interna'!W585+'Perfil - externa'!W583</f>
        <v>41763698.358523957</v>
      </c>
      <c r="X585" s="321">
        <f>+'Perfil - interna'!X585+'Perfil - externa'!X583</f>
        <v>38766931.681810983</v>
      </c>
      <c r="Y585" s="321">
        <f>+'Perfil - interna'!Y585+'Perfil - externa'!Y583</f>
        <v>34210743.92247311</v>
      </c>
      <c r="Z585" s="321">
        <f>+'Perfil - interna'!Z585+'Perfil - externa'!Z583</f>
        <v>50270754.400545575</v>
      </c>
      <c r="AA585" s="321">
        <f>+'Perfil - interna'!AA585+'Perfil - externa'!AA583</f>
        <v>20959347.279377721</v>
      </c>
      <c r="AB585" s="321">
        <f>+'Perfil - interna'!AB585+'Perfil - externa'!AB583</f>
        <v>39969718.145338222</v>
      </c>
      <c r="AC585" s="321">
        <f>+'Perfil - interna'!AC585+'Perfil - externa'!AC583</f>
        <v>15883352.194717221</v>
      </c>
      <c r="AD585" s="321">
        <f>+'Perfil - interna'!AD585+'Perfil - externa'!AD583</f>
        <v>24479476.091935351</v>
      </c>
      <c r="AE585" s="321">
        <f>+'Perfil - interna'!AE585+'Perfil - externa'!AE583</f>
        <v>7691365.6475514257</v>
      </c>
      <c r="AF585" s="321">
        <f>+'Perfil - interna'!AF585+'Perfil - externa'!AF583</f>
        <v>24531594.475614123</v>
      </c>
      <c r="AG585" s="321">
        <f>+'Perfil - interna'!AG585+'Perfil - externa'!AG583</f>
        <v>6647243.8341811569</v>
      </c>
      <c r="AH585" s="321">
        <f>+'Perfil - interna'!AH585+'Perfil - externa'!AH583</f>
        <v>8024124.1042752042</v>
      </c>
      <c r="AI585" s="321">
        <f>+'Perfil - interna'!AI585+'Perfil - externa'!AI583</f>
        <v>13473289.118179278</v>
      </c>
      <c r="AJ585" s="321">
        <f>+'Perfil - interna'!AJ585+'Perfil - externa'!AJ583</f>
        <v>5122308.6862991517</v>
      </c>
      <c r="AK585" s="321">
        <f>+'Perfil - interna'!AK585+'Perfil - externa'!AK583</f>
        <v>9391544.8645155765</v>
      </c>
      <c r="AL585" s="321">
        <f>+'Perfil - interna'!AL585+'Perfil - externa'!AL583</f>
        <v>4614426.5753152575</v>
      </c>
      <c r="AM585" s="321">
        <f>+'Perfil - interna'!AM585+'Perfil - externa'!AM583</f>
        <v>7392728.8009025902</v>
      </c>
      <c r="AN585" s="321">
        <f>+'Perfil - interna'!AN585+'Perfil - externa'!AN583</f>
        <v>1574059.1189973364</v>
      </c>
      <c r="AO585" s="321">
        <f>+'Perfil - interna'!AO585+'Perfil - externa'!AO583</f>
        <v>1568653.0524545363</v>
      </c>
      <c r="AP585" s="321">
        <f>+'Perfil - interna'!AP585+'Perfil - externa'!AP583</f>
        <v>1563263.7958206043</v>
      </c>
      <c r="AQ585" s="321">
        <f>+'Perfil - interna'!AQ585+'Perfil - externa'!AQ583</f>
        <v>8674517.9030870069</v>
      </c>
      <c r="AR585" s="321">
        <f>+'Perfil - interna'!AR585+'Perfil - externa'!AR583</f>
        <v>1102503.6249739362</v>
      </c>
      <c r="AS585" s="321">
        <f>+'Perfil - interna'!AS585+'Perfil - externa'!AS583</f>
        <v>1091644.9942342017</v>
      </c>
      <c r="AT585" s="321">
        <f>+'Perfil - interna'!AT585+'Perfil - externa'!AT583</f>
        <v>8223058.0376555389</v>
      </c>
      <c r="AU585" s="321">
        <f>+'Perfil - interna'!AU585+'Perfil - externa'!AU583</f>
        <v>12125039.687213399</v>
      </c>
      <c r="AV585" s="321">
        <f>+'Perfil - interna'!AV585+'Perfil - externa'!AV583</f>
        <v>73384.395891027583</v>
      </c>
      <c r="AW585" s="321">
        <f>+'Perfil - interna'!AW585+'Perfil - externa'!AW583</f>
        <v>78862.124100078538</v>
      </c>
      <c r="AX585" s="321"/>
      <c r="AY585" s="321"/>
      <c r="AZ585" s="321"/>
      <c r="BA585" s="321"/>
      <c r="BB585" s="321"/>
      <c r="BC585" s="321"/>
      <c r="BD585" s="321"/>
      <c r="BE585" s="321"/>
      <c r="BF585" s="321"/>
      <c r="BG585" s="321"/>
      <c r="BH585" s="321"/>
      <c r="BI585" s="321"/>
      <c r="BJ585" s="321"/>
      <c r="BK585" s="321"/>
    </row>
    <row r="586" spans="1:63">
      <c r="A586" s="167"/>
      <c r="B586" s="217" t="str">
        <f>Servicio_internaColumna_título_amortizaciones</f>
        <v>Amortizaciones</v>
      </c>
      <c r="C586" s="218"/>
      <c r="D586" s="219"/>
      <c r="E586" s="219"/>
      <c r="F586" s="219"/>
      <c r="G586" s="219"/>
      <c r="H586" s="219"/>
      <c r="I586" s="219"/>
      <c r="J586" s="219"/>
      <c r="K586" s="219"/>
      <c r="L586" s="219"/>
      <c r="M586" s="219"/>
      <c r="N586" s="219"/>
      <c r="O586" s="219"/>
      <c r="P586" s="219"/>
      <c r="Q586" s="219"/>
      <c r="R586" s="219"/>
      <c r="S586" s="223">
        <f>+'Perfil - interna'!S586+'Perfil - externa'!S584</f>
        <v>31392540.055791058</v>
      </c>
      <c r="T586" s="223">
        <f>+'Perfil - interna'!T586+'Perfil - externa'!T584</f>
        <v>21448176.773039833</v>
      </c>
      <c r="U586" s="223">
        <f>+'Perfil - interna'!U586+'Perfil - externa'!U584</f>
        <v>33394341.14805609</v>
      </c>
      <c r="V586" s="223">
        <f>+'Perfil - interna'!V586+'Perfil - externa'!V584</f>
        <v>24569508.713003807</v>
      </c>
      <c r="W586" s="223">
        <f>+'Perfil - interna'!W586+'Perfil - externa'!W584</f>
        <v>26636089.12618079</v>
      </c>
      <c r="X586" s="223">
        <f>+'Perfil - interna'!X586+'Perfil - externa'!X584</f>
        <v>24405939.093949676</v>
      </c>
      <c r="Y586" s="223">
        <f>+'Perfil - interna'!Y586+'Perfil - externa'!Y584</f>
        <v>21006568.607243191</v>
      </c>
      <c r="Z586" s="223">
        <f>+'Perfil - interna'!Z586+'Perfil - externa'!Z584</f>
        <v>38219186.236606836</v>
      </c>
      <c r="AA586" s="223">
        <f>+'Perfil - interna'!AA586+'Perfil - externa'!AA584</f>
        <v>13033944.422450917</v>
      </c>
      <c r="AB586" s="223">
        <f>+'Perfil - interna'!AB586+'Perfil - externa'!AB584</f>
        <v>32205695.086315311</v>
      </c>
      <c r="AC586" s="223">
        <f>+'Perfil - interna'!AC586+'Perfil - externa'!AC584</f>
        <v>9454207.3639457487</v>
      </c>
      <c r="AD586" s="223">
        <f>+'Perfil - interna'!AD586+'Perfil - externa'!AD584</f>
        <v>18534668.464179732</v>
      </c>
      <c r="AE586" s="223">
        <f>+'Perfil - interna'!AE586+'Perfil - externa'!AE584</f>
        <v>2746068.2173100314</v>
      </c>
      <c r="AF586" s="223">
        <f>+'Perfil - interna'!AF586+'Perfil - externa'!AF584</f>
        <v>19702008.086782638</v>
      </c>
      <c r="AG586" s="223">
        <f>+'Perfil - interna'!AG586+'Perfil - externa'!AG584</f>
        <v>3172670.1675764145</v>
      </c>
      <c r="AH586" s="223">
        <f>+'Perfil - interna'!AH586+'Perfil - externa'!AH584</f>
        <v>5939042.7009201571</v>
      </c>
      <c r="AI586" s="223">
        <f>+'Perfil - interna'!AI586+'Perfil - externa'!AI584</f>
        <v>10447470.764329707</v>
      </c>
      <c r="AJ586" s="223">
        <f>+'Perfil - interna'!AJ586+'Perfil - externa'!AJ584</f>
        <v>2523805.068341325</v>
      </c>
      <c r="AK586" s="223">
        <f>+'Perfil - interna'!AK586+'Perfil - externa'!AK584</f>
        <v>7295081.9900306482</v>
      </c>
      <c r="AL586" s="223">
        <f>+'Perfil - interna'!AL586+'Perfil - externa'!AL584</f>
        <v>2524686.7110481788</v>
      </c>
      <c r="AM586" s="223">
        <f>+'Perfil - interna'!AM586+'Perfil - externa'!AM584</f>
        <v>5411540.9395165127</v>
      </c>
      <c r="AN586" s="223">
        <f>+'Perfil - interna'!AN586+'Perfil - externa'!AN584</f>
        <v>67827.367482688933</v>
      </c>
      <c r="AO586" s="223">
        <f>+'Perfil - interna'!AO586+'Perfil - externa'!AO584</f>
        <v>67827.367482688933</v>
      </c>
      <c r="AP586" s="223">
        <f>+'Perfil - interna'!AP586+'Perfil - externa'!AP584</f>
        <v>67827.367482688933</v>
      </c>
      <c r="AQ586" s="223">
        <f>+'Perfil - interna'!AQ586+'Perfil - externa'!AQ584</f>
        <v>7308502.3674826892</v>
      </c>
      <c r="AR586" s="223">
        <f>+'Perfil - interna'!AR586+'Perfil - externa'!AR584</f>
        <v>67827.367482688933</v>
      </c>
      <c r="AS586" s="223">
        <f>+'Perfil - interna'!AS586+'Perfil - externa'!AS584</f>
        <v>67827.367482688933</v>
      </c>
      <c r="AT586" s="223">
        <f>+'Perfil - interna'!AT586+'Perfil - externa'!AT584</f>
        <v>7307494.9750319887</v>
      </c>
      <c r="AU586" s="223">
        <f>+'Perfil - interna'!AU586+'Perfil - externa'!AU584</f>
        <v>11651899.975031989</v>
      </c>
      <c r="AV586" s="223">
        <f>+'Perfil - interna'!AV586+'Perfil - externa'!AV584</f>
        <v>66819.975031988841</v>
      </c>
      <c r="AW586" s="223">
        <f>+'Perfil - interna'!AW586+'Perfil - externa'!AW584</f>
        <v>66819.975031988841</v>
      </c>
      <c r="AX586" s="223"/>
      <c r="AY586" s="223"/>
      <c r="AZ586" s="223"/>
      <c r="BA586" s="223"/>
      <c r="BB586" s="223"/>
      <c r="BC586" s="223"/>
      <c r="BD586" s="223"/>
      <c r="BE586" s="223"/>
      <c r="BF586" s="223"/>
      <c r="BG586" s="223"/>
      <c r="BH586" s="223"/>
      <c r="BI586" s="223"/>
      <c r="BJ586" s="223"/>
      <c r="BK586" s="223"/>
    </row>
    <row r="587" spans="1:63">
      <c r="A587" s="170">
        <v>42767</v>
      </c>
      <c r="B587" s="220" t="str">
        <f>Servicio_internaColumna_título_intereses</f>
        <v>Intereses</v>
      </c>
      <c r="C587" s="221"/>
      <c r="D587" s="222"/>
      <c r="E587" s="222"/>
      <c r="F587" s="222"/>
      <c r="G587" s="222"/>
      <c r="H587" s="222"/>
      <c r="I587" s="222"/>
      <c r="J587" s="222"/>
      <c r="K587" s="222"/>
      <c r="L587" s="222"/>
      <c r="M587" s="222"/>
      <c r="N587" s="222"/>
      <c r="O587" s="222"/>
      <c r="P587" s="222"/>
      <c r="Q587" s="222"/>
      <c r="R587" s="222"/>
      <c r="S587" s="224">
        <f>+'Perfil - interna'!S587+'Perfil - externa'!S585</f>
        <v>19899842.919687957</v>
      </c>
      <c r="T587" s="224">
        <f>+'Perfil - interna'!T587+'Perfil - externa'!T585</f>
        <v>21646008.630863108</v>
      </c>
      <c r="U587" s="224">
        <f>+'Perfil - interna'!U587+'Perfil - externa'!U585</f>
        <v>19813496.02184676</v>
      </c>
      <c r="V587" s="224">
        <f>+'Perfil - interna'!V587+'Perfil - externa'!V585</f>
        <v>18052556.795374338</v>
      </c>
      <c r="W587" s="224">
        <f>+'Perfil - interna'!W587+'Perfil - externa'!W585</f>
        <v>15867292.369121049</v>
      </c>
      <c r="X587" s="224">
        <f>+'Perfil - interna'!X587+'Perfil - externa'!X585</f>
        <v>14830461.337674711</v>
      </c>
      <c r="Y587" s="224">
        <f>+'Perfil - interna'!Y587+'Perfil - externa'!Y585</f>
        <v>13313793.214420851</v>
      </c>
      <c r="Z587" s="224">
        <f>+'Perfil - interna'!Z587+'Perfil - externa'!Z585</f>
        <v>12019105.993767016</v>
      </c>
      <c r="AA587" s="224">
        <f>+'Perfil - interna'!AA587+'Perfil - externa'!AA585</f>
        <v>9005358.1666083187</v>
      </c>
      <c r="AB587" s="224">
        <f>+'Perfil - interna'!AB587+'Perfil - externa'!AB585</f>
        <v>8389689.925097663</v>
      </c>
      <c r="AC587" s="224">
        <f>+'Perfil - interna'!AC587+'Perfil - externa'!AC585</f>
        <v>6378634.0704080947</v>
      </c>
      <c r="AD587" s="224">
        <f>+'Perfil - interna'!AD587+'Perfil - externa'!AD585</f>
        <v>5936055.4689424671</v>
      </c>
      <c r="AE587" s="224">
        <f>+'Perfil - interna'!AE587+'Perfil - externa'!AE585</f>
        <v>4971995.7195892362</v>
      </c>
      <c r="AF587" s="224">
        <f>+'Perfil - interna'!AF587+'Perfil - externa'!AF585</f>
        <v>4914981.8964366373</v>
      </c>
      <c r="AG587" s="224">
        <f>+'Perfil - interna'!AG587+'Perfil - externa'!AG585</f>
        <v>3496570.5138685964</v>
      </c>
      <c r="AH587" s="224">
        <f>+'Perfil - interna'!AH587+'Perfil - externa'!AH585</f>
        <v>3376548.8243170697</v>
      </c>
      <c r="AI587" s="224">
        <f>+'Perfil - interna'!AI587+'Perfil - externa'!AI585</f>
        <v>3055651.761650309</v>
      </c>
      <c r="AJ587" s="224">
        <f>+'Perfil - interna'!AJ587+'Perfil - externa'!AJ585</f>
        <v>2559896.8299849555</v>
      </c>
      <c r="AK587" s="224">
        <f>+'Perfil - interna'!AK587+'Perfil - externa'!AK585</f>
        <v>2446100.4193940349</v>
      </c>
      <c r="AL587" s="224">
        <f>+'Perfil - interna'!AL587+'Perfil - externa'!AL585</f>
        <v>1984972.5194562939</v>
      </c>
      <c r="AM587" s="224">
        <f>+'Perfil - interna'!AM587+'Perfil - externa'!AM585</f>
        <v>1877950.6908828923</v>
      </c>
      <c r="AN587" s="224">
        <f>+'Perfil - interna'!AN587+'Perfil - externa'!AN585</f>
        <v>1483024.2787517528</v>
      </c>
      <c r="AO587" s="224">
        <f>+'Perfil - interna'!AO587+'Perfil - externa'!AO585</f>
        <v>1477745.8045911111</v>
      </c>
      <c r="AP587" s="224">
        <f>+'Perfil - interna'!AP587+'Perfil - externa'!AP585</f>
        <v>1472364.664050913</v>
      </c>
      <c r="AQ587" s="224">
        <f>+'Perfil - interna'!AQ587+'Perfil - externa'!AQ585</f>
        <v>1245192.5588783741</v>
      </c>
      <c r="AR587" s="224">
        <f>+'Perfil - interna'!AR587+'Perfil - externa'!AR585</f>
        <v>1018013.2557156386</v>
      </c>
      <c r="AS587" s="224">
        <f>+'Perfil - interna'!AS587+'Perfil - externa'!AS585</f>
        <v>1007275.3614167626</v>
      </c>
      <c r="AT587" s="224">
        <f>+'Perfil - interna'!AT587+'Perfil - externa'!AT585</f>
        <v>800944.35559649579</v>
      </c>
      <c r="AU587" s="224">
        <f>+'Perfil - interna'!AU587+'Perfil - externa'!AU585</f>
        <v>304939.07244597492</v>
      </c>
      <c r="AV587" s="224">
        <f>+'Perfil - interna'!AV587+'Perfil - externa'!AV585</f>
        <v>4557.9645156652468</v>
      </c>
      <c r="AW587" s="224">
        <f>+'Perfil - interna'!AW587+'Perfil - externa'!AW585</f>
        <v>9698.3308341939228</v>
      </c>
      <c r="AX587" s="224"/>
      <c r="AY587" s="224"/>
      <c r="AZ587" s="224"/>
      <c r="BA587" s="224"/>
      <c r="BB587" s="224"/>
      <c r="BC587" s="224"/>
      <c r="BD587" s="224"/>
      <c r="BE587" s="224"/>
      <c r="BF587" s="224"/>
      <c r="BG587" s="224"/>
      <c r="BH587" s="224"/>
      <c r="BI587" s="224"/>
      <c r="BJ587" s="224"/>
      <c r="BK587" s="224"/>
    </row>
    <row r="588" spans="1:63">
      <c r="A588" s="171"/>
      <c r="B588" s="318" t="str">
        <f>Servicio_internaColumna_título_total</f>
        <v>Total</v>
      </c>
      <c r="C588" s="319"/>
      <c r="D588" s="320"/>
      <c r="E588" s="320"/>
      <c r="F588" s="320"/>
      <c r="G588" s="320"/>
      <c r="H588" s="320"/>
      <c r="I588" s="320"/>
      <c r="J588" s="320"/>
      <c r="K588" s="320"/>
      <c r="L588" s="320"/>
      <c r="M588" s="320"/>
      <c r="N588" s="320"/>
      <c r="O588" s="320"/>
      <c r="P588" s="320"/>
      <c r="Q588" s="320"/>
      <c r="R588" s="320"/>
      <c r="S588" s="321">
        <f>+'Perfil - interna'!S588+'Perfil - externa'!S586</f>
        <v>51292382.975479014</v>
      </c>
      <c r="T588" s="321">
        <f>+'Perfil - interna'!T588+'Perfil - externa'!T586</f>
        <v>43094185.40390294</v>
      </c>
      <c r="U588" s="321">
        <f>+'Perfil - interna'!U588+'Perfil - externa'!U586</f>
        <v>53207837.169902854</v>
      </c>
      <c r="V588" s="321">
        <f>+'Perfil - interna'!V588+'Perfil - externa'!V586</f>
        <v>42622065.508378141</v>
      </c>
      <c r="W588" s="321">
        <f>+'Perfil - interna'!W588+'Perfil - externa'!W586</f>
        <v>42503381.495301843</v>
      </c>
      <c r="X588" s="321">
        <f>+'Perfil - interna'!X588+'Perfil - externa'!X586</f>
        <v>39236400.431624383</v>
      </c>
      <c r="Y588" s="321">
        <f>+'Perfil - interna'!Y588+'Perfil - externa'!Y586</f>
        <v>34320361.821664043</v>
      </c>
      <c r="Z588" s="321">
        <f>+'Perfil - interna'!Z588+'Perfil - externa'!Z586</f>
        <v>50238292.230373859</v>
      </c>
      <c r="AA588" s="321">
        <f>+'Perfil - interna'!AA588+'Perfil - externa'!AA586</f>
        <v>22039302.589059234</v>
      </c>
      <c r="AB588" s="321">
        <f>+'Perfil - interna'!AB588+'Perfil - externa'!AB586</f>
        <v>40595385.011412971</v>
      </c>
      <c r="AC588" s="321">
        <f>+'Perfil - interna'!AC588+'Perfil - externa'!AC586</f>
        <v>15832841.434353843</v>
      </c>
      <c r="AD588" s="321">
        <f>+'Perfil - interna'!AD588+'Perfil - externa'!AD586</f>
        <v>24470723.933122195</v>
      </c>
      <c r="AE588" s="321">
        <f>+'Perfil - interna'!AE588+'Perfil - externa'!AE586</f>
        <v>7718063.9368992671</v>
      </c>
      <c r="AF588" s="321">
        <f>+'Perfil - interna'!AF588+'Perfil - externa'!AF586</f>
        <v>24616989.983219273</v>
      </c>
      <c r="AG588" s="321">
        <f>+'Perfil - interna'!AG588+'Perfil - externa'!AG586</f>
        <v>6669240.6814450109</v>
      </c>
      <c r="AH588" s="321">
        <f>+'Perfil - interna'!AH588+'Perfil - externa'!AH586</f>
        <v>9315591.5252372269</v>
      </c>
      <c r="AI588" s="321">
        <f>+'Perfil - interna'!AI588+'Perfil - externa'!AI586</f>
        <v>13503122.525980014</v>
      </c>
      <c r="AJ588" s="321">
        <f>+'Perfil - interna'!AJ588+'Perfil - externa'!AJ586</f>
        <v>5083701.8983262796</v>
      </c>
      <c r="AK588" s="321">
        <f>+'Perfil - interna'!AK588+'Perfil - externa'!AK586</f>
        <v>9741182.4094246831</v>
      </c>
      <c r="AL588" s="321">
        <f>+'Perfil - interna'!AL588+'Perfil - externa'!AL586</f>
        <v>4509659.2305044727</v>
      </c>
      <c r="AM588" s="321">
        <f>+'Perfil - interna'!AM588+'Perfil - externa'!AM586</f>
        <v>7289491.630399405</v>
      </c>
      <c r="AN588" s="321">
        <f>+'Perfil - interna'!AN588+'Perfil - externa'!AN586</f>
        <v>1550851.6462344418</v>
      </c>
      <c r="AO588" s="321">
        <f>+'Perfil - interna'!AO588+'Perfil - externa'!AO586</f>
        <v>1545573.1720738001</v>
      </c>
      <c r="AP588" s="321">
        <f>+'Perfil - interna'!AP588+'Perfil - externa'!AP586</f>
        <v>1540192.0315336019</v>
      </c>
      <c r="AQ588" s="321">
        <f>+'Perfil - interna'!AQ588+'Perfil - externa'!AQ586</f>
        <v>8553694.9263610635</v>
      </c>
      <c r="AR588" s="321">
        <f>+'Perfil - interna'!AR588+'Perfil - externa'!AR586</f>
        <v>1085840.6231983276</v>
      </c>
      <c r="AS588" s="321">
        <f>+'Perfil - interna'!AS588+'Perfil - externa'!AS586</f>
        <v>1075102.7288994514</v>
      </c>
      <c r="AT588" s="321">
        <f>+'Perfil - interna'!AT588+'Perfil - externa'!AT586</f>
        <v>8108439.3306284845</v>
      </c>
      <c r="AU588" s="321">
        <f>+'Perfil - interna'!AU588+'Perfil - externa'!AU586</f>
        <v>11956839.047477964</v>
      </c>
      <c r="AV588" s="321">
        <f>+'Perfil - interna'!AV588+'Perfil - externa'!AV586</f>
        <v>71377.939547654081</v>
      </c>
      <c r="AW588" s="321">
        <f>+'Perfil - interna'!AW588+'Perfil - externa'!AW586</f>
        <v>76518.305866182767</v>
      </c>
      <c r="AX588" s="321"/>
      <c r="AY588" s="321"/>
      <c r="AZ588" s="321"/>
      <c r="BA588" s="321"/>
      <c r="BB588" s="321"/>
      <c r="BC588" s="321"/>
      <c r="BD588" s="321"/>
      <c r="BE588" s="321"/>
      <c r="BF588" s="321"/>
      <c r="BG588" s="321"/>
      <c r="BH588" s="321"/>
      <c r="BI588" s="321"/>
      <c r="BJ588" s="321"/>
      <c r="BK588" s="321"/>
    </row>
    <row r="589" spans="1:63">
      <c r="A589" s="167"/>
      <c r="B589" s="217" t="str">
        <f>Servicio_internaColumna_título_amortizaciones</f>
        <v>Amortizaciones</v>
      </c>
      <c r="C589" s="218"/>
      <c r="D589" s="219"/>
      <c r="E589" s="219"/>
      <c r="F589" s="219"/>
      <c r="G589" s="219"/>
      <c r="H589" s="219"/>
      <c r="I589" s="219"/>
      <c r="J589" s="219"/>
      <c r="K589" s="219"/>
      <c r="L589" s="219"/>
      <c r="M589" s="219"/>
      <c r="N589" s="219"/>
      <c r="O589" s="219"/>
      <c r="P589" s="219"/>
      <c r="Q589" s="219"/>
      <c r="R589" s="219"/>
      <c r="S589" s="223">
        <f>+'Perfil - interna'!S589+'Perfil - externa'!S587</f>
        <v>23197944.535481166</v>
      </c>
      <c r="T589" s="223">
        <f>+'Perfil - interna'!T589+'Perfil - externa'!T587</f>
        <v>29226027.302217722</v>
      </c>
      <c r="U589" s="223">
        <f>+'Perfil - interna'!U589+'Perfil - externa'!U587</f>
        <v>33403719.436236158</v>
      </c>
      <c r="V589" s="223">
        <f>+'Perfil - interna'!V589+'Perfil - externa'!V587</f>
        <v>24535673.263703939</v>
      </c>
      <c r="W589" s="223">
        <f>+'Perfil - interna'!W589+'Perfil - externa'!W587</f>
        <v>26815969.185823478</v>
      </c>
      <c r="X589" s="223">
        <f>+'Perfil - interna'!X589+'Perfil - externa'!X587</f>
        <v>25657851.114388719</v>
      </c>
      <c r="Y589" s="223">
        <f>+'Perfil - interna'!Y589+'Perfil - externa'!Y587</f>
        <v>21126494.679236267</v>
      </c>
      <c r="Z589" s="223">
        <f>+'Perfil - interna'!Z589+'Perfil - externa'!Z587</f>
        <v>38149685.84064436</v>
      </c>
      <c r="AA589" s="223">
        <f>+'Perfil - interna'!AA589+'Perfil - externa'!AA587</f>
        <v>13310490.040896889</v>
      </c>
      <c r="AB589" s="223">
        <f>+'Perfil - interna'!AB589+'Perfil - externa'!AB587</f>
        <v>33095838.318565324</v>
      </c>
      <c r="AC589" s="223">
        <f>+'Perfil - interna'!AC589+'Perfil - externa'!AC587</f>
        <v>10550187.433055189</v>
      </c>
      <c r="AD589" s="223">
        <f>+'Perfil - interna'!AD589+'Perfil - externa'!AD587</f>
        <v>18504076.894616462</v>
      </c>
      <c r="AE589" s="223">
        <f>+'Perfil - interna'!AE589+'Perfil - externa'!AE587</f>
        <v>2726541.934931376</v>
      </c>
      <c r="AF589" s="223">
        <f>+'Perfil - interna'!AF589+'Perfil - externa'!AF587</f>
        <v>19753560.099616569</v>
      </c>
      <c r="AG589" s="223">
        <f>+'Perfil - interna'!AG589+'Perfil - externa'!AG587</f>
        <v>3168711.0773041719</v>
      </c>
      <c r="AH589" s="223">
        <f>+'Perfil - interna'!AH589+'Perfil - externa'!AH587</f>
        <v>6718344.2840182222</v>
      </c>
      <c r="AI589" s="223">
        <f>+'Perfil - interna'!AI589+'Perfil - externa'!AI587</f>
        <v>10529011.393379614</v>
      </c>
      <c r="AJ589" s="223">
        <f>+'Perfil - interna'!AJ589+'Perfil - externa'!AJ587</f>
        <v>2509535.7870486877</v>
      </c>
      <c r="AK589" s="223">
        <f>+'Perfil - interna'!AK589+'Perfil - externa'!AK587</f>
        <v>7541621.6240196694</v>
      </c>
      <c r="AL589" s="223">
        <f>+'Perfil - interna'!AL589+'Perfil - externa'!AL587</f>
        <v>2525583.4650530778</v>
      </c>
      <c r="AM589" s="223">
        <f>+'Perfil - interna'!AM589+'Perfil - externa'!AM587</f>
        <v>5382013.5868658945</v>
      </c>
      <c r="AN589" s="223">
        <f>+'Perfil - interna'!AN589+'Perfil - externa'!AN587</f>
        <v>67871.46036912479</v>
      </c>
      <c r="AO589" s="223">
        <f>+'Perfil - interna'!AO589+'Perfil - externa'!AO587</f>
        <v>67871.46036912479</v>
      </c>
      <c r="AP589" s="223">
        <f>+'Perfil - interna'!AP589+'Perfil - externa'!AP587</f>
        <v>67871.46036912479</v>
      </c>
      <c r="AQ589" s="223">
        <f>+'Perfil - interna'!AQ589+'Perfil - externa'!AQ587</f>
        <v>7268471.460369125</v>
      </c>
      <c r="AR589" s="223">
        <f>+'Perfil - interna'!AR589+'Perfil - externa'!AR587</f>
        <v>67871.46036912479</v>
      </c>
      <c r="AS589" s="223">
        <f>+'Perfil - interna'!AS589+'Perfil - externa'!AS587</f>
        <v>67871.46036912479</v>
      </c>
      <c r="AT589" s="223">
        <f>+'Perfil - interna'!AT589+'Perfil - externa'!AT587</f>
        <v>7267469.6435384415</v>
      </c>
      <c r="AU589" s="223">
        <f>+'Perfil - interna'!AU589+'Perfil - externa'!AU587</f>
        <v>11587829.643538442</v>
      </c>
      <c r="AV589" s="223">
        <f>+'Perfil - interna'!AV589+'Perfil - externa'!AV587</f>
        <v>66869.643538441029</v>
      </c>
      <c r="AW589" s="223">
        <f>+'Perfil - interna'!AW589+'Perfil - externa'!AW587</f>
        <v>66869.643538441029</v>
      </c>
      <c r="AX589" s="223"/>
      <c r="AY589" s="223"/>
      <c r="AZ589" s="223"/>
      <c r="BA589" s="223"/>
      <c r="BB589" s="223"/>
      <c r="BC589" s="223"/>
      <c r="BD589" s="223"/>
      <c r="BE589" s="223"/>
      <c r="BF589" s="223"/>
      <c r="BG589" s="223"/>
      <c r="BH589" s="223"/>
      <c r="BI589" s="223"/>
      <c r="BJ589" s="223"/>
      <c r="BK589" s="223"/>
    </row>
    <row r="590" spans="1:63">
      <c r="A590" s="170">
        <v>42795</v>
      </c>
      <c r="B590" s="220" t="str">
        <f>Servicio_internaColumna_título_intereses</f>
        <v>Intereses</v>
      </c>
      <c r="C590" s="221"/>
      <c r="D590" s="222"/>
      <c r="E590" s="222"/>
      <c r="F590" s="222"/>
      <c r="G590" s="222"/>
      <c r="H590" s="222"/>
      <c r="I590" s="222"/>
      <c r="J590" s="222"/>
      <c r="K590" s="222"/>
      <c r="L590" s="222"/>
      <c r="M590" s="222"/>
      <c r="N590" s="222"/>
      <c r="O590" s="222"/>
      <c r="P590" s="222"/>
      <c r="Q590" s="222"/>
      <c r="R590" s="222"/>
      <c r="S590" s="224">
        <f>+'Perfil - interna'!S590+'Perfil - externa'!S588</f>
        <v>18500750.704943892</v>
      </c>
      <c r="T590" s="224">
        <f>+'Perfil - interna'!T590+'Perfil - externa'!T588</f>
        <v>21886231.194036752</v>
      </c>
      <c r="U590" s="224">
        <f>+'Perfil - interna'!U590+'Perfil - externa'!U588</f>
        <v>20095606.952342801</v>
      </c>
      <c r="V590" s="224">
        <f>+'Perfil - interna'!V590+'Perfil - externa'!V588</f>
        <v>18273298.356913269</v>
      </c>
      <c r="W590" s="224">
        <f>+'Perfil - interna'!W590+'Perfil - externa'!W588</f>
        <v>16132180.390656222</v>
      </c>
      <c r="X590" s="224">
        <f>+'Perfil - interna'!X590+'Perfil - externa'!X588</f>
        <v>15086270.075640809</v>
      </c>
      <c r="Y590" s="224">
        <f>+'Perfil - interna'!Y590+'Perfil - externa'!Y588</f>
        <v>13483781.392756337</v>
      </c>
      <c r="Z590" s="224">
        <f>+'Perfil - interna'!Z590+'Perfil - externa'!Z588</f>
        <v>12216727.26457762</v>
      </c>
      <c r="AA590" s="224">
        <f>+'Perfil - interna'!AA590+'Perfil - externa'!AA588</f>
        <v>9196170.6128677744</v>
      </c>
      <c r="AB590" s="224">
        <f>+'Perfil - interna'!AB590+'Perfil - externa'!AB588</f>
        <v>8570935.487270046</v>
      </c>
      <c r="AC590" s="224">
        <f>+'Perfil - interna'!AC590+'Perfil - externa'!AC588</f>
        <v>6500546.8110475205</v>
      </c>
      <c r="AD590" s="224">
        <f>+'Perfil - interna'!AD590+'Perfil - externa'!AD588</f>
        <v>6004677.7625976317</v>
      </c>
      <c r="AE590" s="224">
        <f>+'Perfil - interna'!AE590+'Perfil - externa'!AE588</f>
        <v>5041441.6380157908</v>
      </c>
      <c r="AF590" s="224">
        <f>+'Perfil - interna'!AF590+'Perfil - externa'!AF588</f>
        <v>4985262.6008179691</v>
      </c>
      <c r="AG590" s="224">
        <f>+'Perfil - interna'!AG590+'Perfil - externa'!AG588</f>
        <v>3562036.7813006472</v>
      </c>
      <c r="AH590" s="224">
        <f>+'Perfil - interna'!AH590+'Perfil - externa'!AH588</f>
        <v>3445967.0951849716</v>
      </c>
      <c r="AI590" s="224">
        <f>+'Perfil - interna'!AI590+'Perfil - externa'!AI588</f>
        <v>3065502.135691124</v>
      </c>
      <c r="AJ590" s="224">
        <f>+'Perfil - interna'!AJ590+'Perfil - externa'!AJ588</f>
        <v>2568937.8724551755</v>
      </c>
      <c r="AK590" s="224">
        <f>+'Perfil - interna'!AK590+'Perfil - externa'!AK588</f>
        <v>2455146.2249295125</v>
      </c>
      <c r="AL590" s="224">
        <f>+'Perfil - interna'!AL590+'Perfil - externa'!AL588</f>
        <v>1975576.2426009746</v>
      </c>
      <c r="AM590" s="224">
        <f>+'Perfil - interna'!AM590+'Perfil - externa'!AM588</f>
        <v>1868073.2997273416</v>
      </c>
      <c r="AN590" s="224">
        <f>+'Perfil - interna'!AN590+'Perfil - externa'!AN588</f>
        <v>1475286.6166344837</v>
      </c>
      <c r="AO590" s="224">
        <f>+'Perfil - interna'!AO590+'Perfil - externa'!AO588</f>
        <v>1469990.3899887353</v>
      </c>
      <c r="AP590" s="224">
        <f>+'Perfil - interna'!AP590+'Perfil - externa'!AP588</f>
        <v>1464611.6273353107</v>
      </c>
      <c r="AQ590" s="224">
        <f>+'Perfil - interna'!AQ590+'Perfil - externa'!AQ588</f>
        <v>1238649.9412871788</v>
      </c>
      <c r="AR590" s="224">
        <f>+'Perfil - interna'!AR590+'Perfil - externa'!AR588</f>
        <v>1012685.9253415044</v>
      </c>
      <c r="AS590" s="224">
        <f>+'Perfil - interna'!AS590+'Perfil - externa'!AS588</f>
        <v>1001930.3924887786</v>
      </c>
      <c r="AT590" s="224">
        <f>+'Perfil - interna'!AT590+'Perfil - externa'!AT588</f>
        <v>796720.71013375279</v>
      </c>
      <c r="AU590" s="224">
        <f>+'Perfil - interna'!AU590+'Perfil - externa'!AU588</f>
        <v>303428.75568675855</v>
      </c>
      <c r="AV590" s="224">
        <f>+'Perfil - interna'!AV590+'Perfil - externa'!AV588</f>
        <v>5833.3515038523929</v>
      </c>
      <c r="AW590" s="224">
        <f>+'Perfil - interna'!AW590+'Perfil - externa'!AW588</f>
        <v>8658.8340518370242</v>
      </c>
      <c r="AX590" s="224"/>
      <c r="AY590" s="224"/>
      <c r="AZ590" s="224"/>
      <c r="BA590" s="224"/>
      <c r="BB590" s="224"/>
      <c r="BC590" s="224"/>
      <c r="BD590" s="224"/>
      <c r="BE590" s="224"/>
      <c r="BF590" s="224"/>
      <c r="BG590" s="224"/>
      <c r="BH590" s="224"/>
      <c r="BI590" s="224"/>
      <c r="BJ590" s="224"/>
      <c r="BK590" s="224"/>
    </row>
    <row r="591" spans="1:63">
      <c r="A591" s="171"/>
      <c r="B591" s="318" t="str">
        <f>Servicio_internaColumna_título_total</f>
        <v>Total</v>
      </c>
      <c r="C591" s="319"/>
      <c r="D591" s="320"/>
      <c r="E591" s="320"/>
      <c r="F591" s="320"/>
      <c r="G591" s="320"/>
      <c r="H591" s="320"/>
      <c r="I591" s="320"/>
      <c r="J591" s="320"/>
      <c r="K591" s="320"/>
      <c r="L591" s="320"/>
      <c r="M591" s="320"/>
      <c r="N591" s="320"/>
      <c r="O591" s="320"/>
      <c r="P591" s="320"/>
      <c r="Q591" s="320"/>
      <c r="R591" s="320"/>
      <c r="S591" s="321">
        <f>+'Perfil - interna'!S591+'Perfil - externa'!S589</f>
        <v>41698695.240425058</v>
      </c>
      <c r="T591" s="321">
        <f>+'Perfil - interna'!T591+'Perfil - externa'!T589</f>
        <v>51112258.496254474</v>
      </c>
      <c r="U591" s="321">
        <f>+'Perfil - interna'!U591+'Perfil - externa'!U589</f>
        <v>53499326.388578966</v>
      </c>
      <c r="V591" s="321">
        <f>+'Perfil - interna'!V591+'Perfil - externa'!V589</f>
        <v>42808971.620617211</v>
      </c>
      <c r="W591" s="321">
        <f>+'Perfil - interna'!W591+'Perfil - externa'!W589</f>
        <v>42948149.576479703</v>
      </c>
      <c r="X591" s="321">
        <f>+'Perfil - interna'!X591+'Perfil - externa'!X589</f>
        <v>40744121.190029532</v>
      </c>
      <c r="Y591" s="321">
        <f>+'Perfil - interna'!Y591+'Perfil - externa'!Y589</f>
        <v>34610276.071992606</v>
      </c>
      <c r="Z591" s="321">
        <f>+'Perfil - interna'!Z591+'Perfil - externa'!Z589</f>
        <v>50366413.105221972</v>
      </c>
      <c r="AA591" s="321">
        <f>+'Perfil - interna'!AA591+'Perfil - externa'!AA589</f>
        <v>22506660.653764665</v>
      </c>
      <c r="AB591" s="321">
        <f>+'Perfil - interna'!AB591+'Perfil - externa'!AB589</f>
        <v>41666773.805835374</v>
      </c>
      <c r="AC591" s="321">
        <f>+'Perfil - interna'!AC591+'Perfil - externa'!AC589</f>
        <v>17050734.244102709</v>
      </c>
      <c r="AD591" s="321">
        <f>+'Perfil - interna'!AD591+'Perfil - externa'!AD589</f>
        <v>24508754.65721409</v>
      </c>
      <c r="AE591" s="321">
        <f>+'Perfil - interna'!AE591+'Perfil - externa'!AE589</f>
        <v>7767983.5729471669</v>
      </c>
      <c r="AF591" s="321">
        <f>+'Perfil - interna'!AF591+'Perfil - externa'!AF589</f>
        <v>24738822.700434536</v>
      </c>
      <c r="AG591" s="321">
        <f>+'Perfil - interna'!AG591+'Perfil - externa'!AG589</f>
        <v>6730747.8586048186</v>
      </c>
      <c r="AH591" s="321">
        <f>+'Perfil - interna'!AH591+'Perfil - externa'!AH589</f>
        <v>10164311.379203195</v>
      </c>
      <c r="AI591" s="321">
        <f>+'Perfil - interna'!AI591+'Perfil - externa'!AI589</f>
        <v>13594513.529070737</v>
      </c>
      <c r="AJ591" s="321">
        <f>+'Perfil - interna'!AJ591+'Perfil - externa'!AJ589</f>
        <v>5078473.6595038623</v>
      </c>
      <c r="AK591" s="321">
        <f>+'Perfil - interna'!AK591+'Perfil - externa'!AK589</f>
        <v>9996767.8489491828</v>
      </c>
      <c r="AL591" s="321">
        <f>+'Perfil - interna'!AL591+'Perfil - externa'!AL589</f>
        <v>4501159.7076540524</v>
      </c>
      <c r="AM591" s="321">
        <f>+'Perfil - interna'!AM591+'Perfil - externa'!AM589</f>
        <v>7250086.8865932357</v>
      </c>
      <c r="AN591" s="321">
        <f>+'Perfil - interna'!AN591+'Perfil - externa'!AN589</f>
        <v>1543158.0770036085</v>
      </c>
      <c r="AO591" s="321">
        <f>+'Perfil - interna'!AO591+'Perfil - externa'!AO589</f>
        <v>1537861.8503578601</v>
      </c>
      <c r="AP591" s="321">
        <f>+'Perfil - interna'!AP591+'Perfil - externa'!AP589</f>
        <v>1532483.0877044355</v>
      </c>
      <c r="AQ591" s="321">
        <f>+'Perfil - interna'!AQ591+'Perfil - externa'!AQ589</f>
        <v>8507121.4016563036</v>
      </c>
      <c r="AR591" s="321">
        <f>+'Perfil - interna'!AR591+'Perfil - externa'!AR589</f>
        <v>1080557.3857106292</v>
      </c>
      <c r="AS591" s="321">
        <f>+'Perfil - interna'!AS591+'Perfil - externa'!AS589</f>
        <v>1069801.8528579033</v>
      </c>
      <c r="AT591" s="321">
        <f>+'Perfil - interna'!AT591+'Perfil - externa'!AT589</f>
        <v>8064190.3536721943</v>
      </c>
      <c r="AU591" s="321">
        <f>+'Perfil - interna'!AU591+'Perfil - externa'!AU589</f>
        <v>11891258.3992252</v>
      </c>
      <c r="AV591" s="321">
        <f>+'Perfil - interna'!AV591+'Perfil - externa'!AV589</f>
        <v>72702.99504229342</v>
      </c>
      <c r="AW591" s="321">
        <f>+'Perfil - interna'!AW591+'Perfil - externa'!AW589</f>
        <v>75528.477590278053</v>
      </c>
      <c r="AX591" s="321"/>
      <c r="AY591" s="321"/>
      <c r="AZ591" s="321"/>
      <c r="BA591" s="321"/>
      <c r="BB591" s="321"/>
      <c r="BC591" s="321"/>
      <c r="BD591" s="321"/>
      <c r="BE591" s="321"/>
      <c r="BF591" s="321"/>
      <c r="BG591" s="321"/>
      <c r="BH591" s="321"/>
      <c r="BI591" s="321"/>
      <c r="BJ591" s="321"/>
      <c r="BK591" s="321"/>
    </row>
    <row r="592" spans="1:63">
      <c r="A592" s="167"/>
      <c r="B592" s="217" t="str">
        <f>Servicio_internaColumna_título_amortizaciones</f>
        <v>Amortizaciones</v>
      </c>
      <c r="C592" s="218"/>
      <c r="D592" s="219"/>
      <c r="E592" s="219"/>
      <c r="F592" s="219"/>
      <c r="G592" s="219"/>
      <c r="H592" s="219"/>
      <c r="I592" s="219"/>
      <c r="J592" s="219"/>
      <c r="K592" s="219"/>
      <c r="L592" s="219"/>
      <c r="M592" s="219"/>
      <c r="N592" s="219"/>
      <c r="O592" s="219"/>
      <c r="P592" s="219"/>
      <c r="Q592" s="219"/>
      <c r="R592" s="219"/>
      <c r="S592" s="223">
        <f>+'Perfil - interna'!S592+'Perfil - externa'!S590</f>
        <v>19732003.337202765</v>
      </c>
      <c r="T592" s="223">
        <f>+'Perfil - interna'!T592+'Perfil - externa'!T590</f>
        <v>29918817.58536521</v>
      </c>
      <c r="U592" s="223">
        <f>+'Perfil - interna'!U592+'Perfil - externa'!U590</f>
        <v>33673292.949252971</v>
      </c>
      <c r="V592" s="223">
        <f>+'Perfil - interna'!V592+'Perfil - externa'!V590</f>
        <v>24630657.688874561</v>
      </c>
      <c r="W592" s="223">
        <f>+'Perfil - interna'!W592+'Perfil - externa'!W590</f>
        <v>27403613.950311892</v>
      </c>
      <c r="X592" s="223">
        <f>+'Perfil - interna'!X592+'Perfil - externa'!X590</f>
        <v>26932346.018780645</v>
      </c>
      <c r="Y592" s="223">
        <f>+'Perfil - interna'!Y592+'Perfil - externa'!Y590</f>
        <v>21348054.433335073</v>
      </c>
      <c r="Z592" s="223">
        <f>+'Perfil - interna'!Z592+'Perfil - externa'!Z590</f>
        <v>38398868.939303517</v>
      </c>
      <c r="AA592" s="223">
        <f>+'Perfil - interna'!AA592+'Perfil - externa'!AA590</f>
        <v>13683224.900160855</v>
      </c>
      <c r="AB592" s="223">
        <f>+'Perfil - interna'!AB592+'Perfil - externa'!AB590</f>
        <v>34490515.985685661</v>
      </c>
      <c r="AC592" s="223">
        <f>+'Perfil - interna'!AC592+'Perfil - externa'!AC590</f>
        <v>11508957.325584611</v>
      </c>
      <c r="AD592" s="223">
        <f>+'Perfil - interna'!AD592+'Perfil - externa'!AD590</f>
        <v>18610417.185930073</v>
      </c>
      <c r="AE592" s="223">
        <f>+'Perfil - interna'!AE592+'Perfil - externa'!AE590</f>
        <v>2787194.7905173339</v>
      </c>
      <c r="AF592" s="223">
        <f>+'Perfil - interna'!AF592+'Perfil - externa'!AF590</f>
        <v>19860215.860425569</v>
      </c>
      <c r="AG592" s="223">
        <f>+'Perfil - interna'!AG592+'Perfil - externa'!AG590</f>
        <v>3240190.2879688716</v>
      </c>
      <c r="AH592" s="223">
        <f>+'Perfil - interna'!AH592+'Perfil - externa'!AH590</f>
        <v>7694949.3149257675</v>
      </c>
      <c r="AI592" s="223">
        <f>+'Perfil - interna'!AI592+'Perfil - externa'!AI590</f>
        <v>10631262.932097491</v>
      </c>
      <c r="AJ592" s="223">
        <f>+'Perfil - interna'!AJ592+'Perfil - externa'!AJ590</f>
        <v>2566686.620032914</v>
      </c>
      <c r="AK592" s="223">
        <f>+'Perfil - interna'!AK592+'Perfil - externa'!AK590</f>
        <v>7760365.1259732191</v>
      </c>
      <c r="AL592" s="223">
        <f>+'Perfil - interna'!AL592+'Perfil - externa'!AL590</f>
        <v>2624017.4768348499</v>
      </c>
      <c r="AM592" s="223">
        <f>+'Perfil - interna'!AM592+'Perfil - externa'!AM590</f>
        <v>5503059.9100044221</v>
      </c>
      <c r="AN592" s="223">
        <f>+'Perfil - interna'!AN592+'Perfil - externa'!AN590</f>
        <v>70569.707651295423</v>
      </c>
      <c r="AO592" s="223">
        <f>+'Perfil - interna'!AO592+'Perfil - externa'!AO590</f>
        <v>70569.707651295423</v>
      </c>
      <c r="AP592" s="223">
        <f>+'Perfil - interna'!AP592+'Perfil - externa'!AP590</f>
        <v>70569.707651295423</v>
      </c>
      <c r="AQ592" s="223">
        <f>+'Perfil - interna'!AQ592+'Perfil - externa'!AQ590</f>
        <v>7431344.7076512957</v>
      </c>
      <c r="AR592" s="223">
        <f>+'Perfil - interna'!AR592+'Perfil - externa'!AR590</f>
        <v>70569.707651295423</v>
      </c>
      <c r="AS592" s="223">
        <f>+'Perfil - interna'!AS592+'Perfil - externa'!AS590</f>
        <v>70569.707651295423</v>
      </c>
      <c r="AT592" s="223">
        <f>+'Perfil - interna'!AT592+'Perfil - externa'!AT590</f>
        <v>7430320.6057317508</v>
      </c>
      <c r="AU592" s="223">
        <f>+'Perfil - interna'!AU592+'Perfil - externa'!AU590</f>
        <v>11846785.60573175</v>
      </c>
      <c r="AV592" s="223">
        <f>+'Perfil - interna'!AV592+'Perfil - externa'!AV590</f>
        <v>69545.605731750358</v>
      </c>
      <c r="AW592" s="223">
        <f>+'Perfil - interna'!AW592+'Perfil - externa'!AW590</f>
        <v>69545.605731750358</v>
      </c>
      <c r="AX592" s="223"/>
      <c r="AY592" s="223"/>
      <c r="AZ592" s="223"/>
      <c r="BA592" s="223"/>
      <c r="BB592" s="223"/>
      <c r="BC592" s="223"/>
      <c r="BD592" s="223"/>
      <c r="BE592" s="223"/>
      <c r="BF592" s="223"/>
      <c r="BG592" s="223"/>
      <c r="BH592" s="223"/>
      <c r="BI592" s="223"/>
      <c r="BJ592" s="223"/>
      <c r="BK592" s="223"/>
    </row>
    <row r="593" spans="1:63">
      <c r="A593" s="170">
        <v>42826</v>
      </c>
      <c r="B593" s="220" t="str">
        <f>Servicio_internaColumna_título_intereses</f>
        <v>Intereses</v>
      </c>
      <c r="C593" s="221"/>
      <c r="D593" s="222"/>
      <c r="E593" s="222"/>
      <c r="F593" s="222"/>
      <c r="G593" s="222"/>
      <c r="H593" s="222"/>
      <c r="I593" s="222"/>
      <c r="J593" s="222"/>
      <c r="K593" s="222"/>
      <c r="L593" s="222"/>
      <c r="M593" s="222"/>
      <c r="N593" s="222"/>
      <c r="O593" s="222"/>
      <c r="P593" s="222"/>
      <c r="Q593" s="222"/>
      <c r="R593" s="222"/>
      <c r="S593" s="224">
        <f>+'Perfil - interna'!S593+'Perfil - externa'!S591</f>
        <v>16953774.455453478</v>
      </c>
      <c r="T593" s="224">
        <f>+'Perfil - interna'!T593+'Perfil - externa'!T591</f>
        <v>22253486.633799605</v>
      </c>
      <c r="U593" s="224">
        <f>+'Perfil - interna'!U593+'Perfil - externa'!U591</f>
        <v>20512154.015797026</v>
      </c>
      <c r="V593" s="224">
        <f>+'Perfil - interna'!V593+'Perfil - externa'!V591</f>
        <v>18608947.351336826</v>
      </c>
      <c r="W593" s="224">
        <f>+'Perfil - interna'!W593+'Perfil - externa'!W591</f>
        <v>16471137.349316733</v>
      </c>
      <c r="X593" s="224">
        <f>+'Perfil - interna'!X593+'Perfil - externa'!X591</f>
        <v>15395714.938399639</v>
      </c>
      <c r="Y593" s="224">
        <f>+'Perfil - interna'!Y593+'Perfil - externa'!Y591</f>
        <v>13707073.281646878</v>
      </c>
      <c r="Z593" s="224">
        <f>+'Perfil - interna'!Z593+'Perfil - externa'!Z591</f>
        <v>12458057.750415228</v>
      </c>
      <c r="AA593" s="224">
        <f>+'Perfil - interna'!AA593+'Perfil - externa'!AA591</f>
        <v>9434521.057995921</v>
      </c>
      <c r="AB593" s="224">
        <f>+'Perfil - interna'!AB593+'Perfil - externa'!AB591</f>
        <v>8798711.7984467875</v>
      </c>
      <c r="AC593" s="224">
        <f>+'Perfil - interna'!AC593+'Perfil - externa'!AC591</f>
        <v>6647043.2151235715</v>
      </c>
      <c r="AD593" s="224">
        <f>+'Perfil - interna'!AD593+'Perfil - externa'!AD591</f>
        <v>6114392.4647605401</v>
      </c>
      <c r="AE593" s="224">
        <f>+'Perfil - interna'!AE593+'Perfil - externa'!AE591</f>
        <v>5153018.496497252</v>
      </c>
      <c r="AF593" s="224">
        <f>+'Perfil - interna'!AF593+'Perfil - externa'!AF591</f>
        <v>5097558.8724208353</v>
      </c>
      <c r="AG593" s="224">
        <f>+'Perfil - interna'!AG593+'Perfil - externa'!AG591</f>
        <v>3672778.0824849559</v>
      </c>
      <c r="AH593" s="224">
        <f>+'Perfil - interna'!AH593+'Perfil - externa'!AH591</f>
        <v>3562073.7888162881</v>
      </c>
      <c r="AI593" s="224">
        <f>+'Perfil - interna'!AI593+'Perfil - externa'!AI591</f>
        <v>3114091.8788690148</v>
      </c>
      <c r="AJ593" s="224">
        <f>+'Perfil - interna'!AJ593+'Perfil - externa'!AJ591</f>
        <v>2616708.9322095853</v>
      </c>
      <c r="AK593" s="224">
        <f>+'Perfil - interna'!AK593+'Perfil - externa'!AK591</f>
        <v>2504244.824851939</v>
      </c>
      <c r="AL593" s="224">
        <f>+'Perfil - interna'!AL593+'Perfil - externa'!AL591</f>
        <v>2017205.1814219011</v>
      </c>
      <c r="AM593" s="224">
        <f>+'Perfil - interna'!AM593+'Perfil - externa'!AM591</f>
        <v>1908680.753290141</v>
      </c>
      <c r="AN593" s="224">
        <f>+'Perfil - interna'!AN593+'Perfil - externa'!AN591</f>
        <v>1507288.6108815442</v>
      </c>
      <c r="AO593" s="224">
        <f>+'Perfil - interna'!AO593+'Perfil - externa'!AO591</f>
        <v>1501959.8734581051</v>
      </c>
      <c r="AP593" s="224">
        <f>+'Perfil - interna'!AP593+'Perfil - externa'!AP591</f>
        <v>1496573.5834353</v>
      </c>
      <c r="AQ593" s="224">
        <f>+'Perfil - interna'!AQ593+'Perfil - externa'!AQ591</f>
        <v>1265671.0153570038</v>
      </c>
      <c r="AR593" s="224">
        <f>+'Perfil - interna'!AR593+'Perfil - externa'!AR591</f>
        <v>1034774.2463726259</v>
      </c>
      <c r="AS593" s="224">
        <f>+'Perfil - interna'!AS593+'Perfil - externa'!AS591</f>
        <v>1023984.7844543355</v>
      </c>
      <c r="AT593" s="224">
        <f>+'Perfil - interna'!AT593+'Perfil - externa'!AT591</f>
        <v>814252.23289922834</v>
      </c>
      <c r="AU593" s="224">
        <f>+'Perfil - interna'!AU593+'Perfil - externa'!AU591</f>
        <v>310011.93998665962</v>
      </c>
      <c r="AV593" s="224">
        <f>+'Perfil - interna'!AV593+'Perfil - externa'!AV591</f>
        <v>7306.1639566315989</v>
      </c>
      <c r="AW593" s="224">
        <f>+'Perfil - interna'!AW593+'Perfil - externa'!AW591</f>
        <v>7603.4467626984579</v>
      </c>
      <c r="AX593" s="224"/>
      <c r="AY593" s="224"/>
      <c r="AZ593" s="224"/>
      <c r="BA593" s="224"/>
      <c r="BB593" s="224"/>
      <c r="BC593" s="224"/>
      <c r="BD593" s="224"/>
      <c r="BE593" s="224"/>
      <c r="BF593" s="224"/>
      <c r="BG593" s="224"/>
      <c r="BH593" s="224"/>
      <c r="BI593" s="224"/>
      <c r="BJ593" s="224"/>
      <c r="BK593" s="224"/>
    </row>
    <row r="594" spans="1:63">
      <c r="A594" s="171"/>
      <c r="B594" s="318" t="str">
        <f>Servicio_internaColumna_título_total</f>
        <v>Total</v>
      </c>
      <c r="C594" s="319"/>
      <c r="D594" s="320"/>
      <c r="E594" s="320"/>
      <c r="F594" s="320"/>
      <c r="G594" s="320"/>
      <c r="H594" s="320"/>
      <c r="I594" s="320"/>
      <c r="J594" s="320"/>
      <c r="K594" s="320"/>
      <c r="L594" s="320"/>
      <c r="M594" s="320"/>
      <c r="N594" s="320"/>
      <c r="O594" s="320"/>
      <c r="P594" s="320"/>
      <c r="Q594" s="320"/>
      <c r="R594" s="320"/>
      <c r="S594" s="321">
        <f>+'Perfil - interna'!S594+'Perfil - externa'!S592</f>
        <v>36685777.792656243</v>
      </c>
      <c r="T594" s="321">
        <f>+'Perfil - interna'!T594+'Perfil - externa'!T592</f>
        <v>52172304.219164819</v>
      </c>
      <c r="U594" s="321">
        <f>+'Perfil - interna'!U594+'Perfil - externa'!U592</f>
        <v>54185446.965049997</v>
      </c>
      <c r="V594" s="321">
        <f>+'Perfil - interna'!V594+'Perfil - externa'!V592</f>
        <v>43239605.040211387</v>
      </c>
      <c r="W594" s="321">
        <f>+'Perfil - interna'!W594+'Perfil - externa'!W592</f>
        <v>43874751.299628623</v>
      </c>
      <c r="X594" s="321">
        <f>+'Perfil - interna'!X594+'Perfil - externa'!X592</f>
        <v>42328060.957180284</v>
      </c>
      <c r="Y594" s="321">
        <f>+'Perfil - interna'!Y594+'Perfil - externa'!Y592</f>
        <v>35055127.714981951</v>
      </c>
      <c r="Z594" s="321">
        <f>+'Perfil - interna'!Z594+'Perfil - externa'!Z592</f>
        <v>50856926.689718753</v>
      </c>
      <c r="AA594" s="321">
        <f>+'Perfil - interna'!AA594+'Perfil - externa'!AA592</f>
        <v>23117745.958156776</v>
      </c>
      <c r="AB594" s="321">
        <f>+'Perfil - interna'!AB594+'Perfil - externa'!AB592</f>
        <v>43289227.784132451</v>
      </c>
      <c r="AC594" s="321">
        <f>+'Perfil - interna'!AC594+'Perfil - externa'!AC592</f>
        <v>18156000.540708184</v>
      </c>
      <c r="AD594" s="321">
        <f>+'Perfil - interna'!AD594+'Perfil - externa'!AD592</f>
        <v>24724809.650690611</v>
      </c>
      <c r="AE594" s="321">
        <f>+'Perfil - interna'!AE594+'Perfil - externa'!AE592</f>
        <v>7940213.2870145859</v>
      </c>
      <c r="AF594" s="321">
        <f>+'Perfil - interna'!AF594+'Perfil - externa'!AF592</f>
        <v>24957774.732846409</v>
      </c>
      <c r="AG594" s="321">
        <f>+'Perfil - interna'!AG594+'Perfil - externa'!AG592</f>
        <v>6912968.3704538271</v>
      </c>
      <c r="AH594" s="321">
        <f>+'Perfil - interna'!AH594+'Perfil - externa'!AH592</f>
        <v>11257023.103742056</v>
      </c>
      <c r="AI594" s="321">
        <f>+'Perfil - interna'!AI594+'Perfil - externa'!AI592</f>
        <v>13745354.810966505</v>
      </c>
      <c r="AJ594" s="321">
        <f>+'Perfil - interna'!AJ594+'Perfil - externa'!AJ592</f>
        <v>5183395.5522424998</v>
      </c>
      <c r="AK594" s="321">
        <f>+'Perfil - interna'!AK594+'Perfil - externa'!AK592</f>
        <v>10264609.950825159</v>
      </c>
      <c r="AL594" s="321">
        <f>+'Perfil - interna'!AL594+'Perfil - externa'!AL592</f>
        <v>4641222.6582567506</v>
      </c>
      <c r="AM594" s="321">
        <f>+'Perfil - interna'!AM594+'Perfil - externa'!AM592</f>
        <v>7411740.6632945631</v>
      </c>
      <c r="AN594" s="321">
        <f>+'Perfil - interna'!AN594+'Perfil - externa'!AN592</f>
        <v>1577858.3185328397</v>
      </c>
      <c r="AO594" s="321">
        <f>+'Perfil - interna'!AO594+'Perfil - externa'!AO592</f>
        <v>1572529.5811094006</v>
      </c>
      <c r="AP594" s="321">
        <f>+'Perfil - interna'!AP594+'Perfil - externa'!AP592</f>
        <v>1567143.2910865955</v>
      </c>
      <c r="AQ594" s="321">
        <f>+'Perfil - interna'!AQ594+'Perfil - externa'!AQ592</f>
        <v>8697015.7230082992</v>
      </c>
      <c r="AR594" s="321">
        <f>+'Perfil - interna'!AR594+'Perfil - externa'!AR592</f>
        <v>1105343.9540239214</v>
      </c>
      <c r="AS594" s="321">
        <f>+'Perfil - interna'!AS594+'Perfil - externa'!AS592</f>
        <v>1094554.4921056309</v>
      </c>
      <c r="AT594" s="321">
        <f>+'Perfil - interna'!AT594+'Perfil - externa'!AT592</f>
        <v>8244572.8386309789</v>
      </c>
      <c r="AU594" s="321">
        <f>+'Perfil - interna'!AU594+'Perfil - externa'!AU592</f>
        <v>12156797.545718409</v>
      </c>
      <c r="AV594" s="321">
        <f>+'Perfil - interna'!AV594+'Perfil - externa'!AV592</f>
        <v>76851.769688381959</v>
      </c>
      <c r="AW594" s="321">
        <f>+'Perfil - interna'!AW594+'Perfil - externa'!AW592</f>
        <v>77149.052494448813</v>
      </c>
      <c r="AX594" s="321"/>
      <c r="AY594" s="321"/>
      <c r="AZ594" s="321"/>
      <c r="BA594" s="321"/>
      <c r="BB594" s="321"/>
      <c r="BC594" s="321"/>
      <c r="BD594" s="321"/>
      <c r="BE594" s="321"/>
      <c r="BF594" s="321"/>
      <c r="BG594" s="321"/>
      <c r="BH594" s="321"/>
      <c r="BI594" s="321"/>
      <c r="BJ594" s="321"/>
      <c r="BK594" s="321"/>
    </row>
    <row r="595" spans="1:63">
      <c r="A595" s="167"/>
      <c r="B595" s="217" t="str">
        <f>Servicio_internaColumna_título_amortizaciones</f>
        <v>Amortizaciones</v>
      </c>
      <c r="C595" s="218"/>
      <c r="D595" s="219"/>
      <c r="E595" s="219"/>
      <c r="F595" s="219"/>
      <c r="G595" s="219"/>
      <c r="H595" s="219"/>
      <c r="I595" s="219"/>
      <c r="J595" s="219"/>
      <c r="K595" s="219"/>
      <c r="L595" s="219"/>
      <c r="M595" s="219"/>
      <c r="N595" s="219"/>
      <c r="O595" s="219"/>
      <c r="P595" s="219"/>
      <c r="Q595" s="219"/>
      <c r="R595" s="219"/>
      <c r="S595" s="223">
        <f>+'Perfil - interna'!S595+'Perfil - externa'!S593</f>
        <v>10019320.398865681</v>
      </c>
      <c r="T595" s="223">
        <f>+'Perfil - interna'!T595+'Perfil - externa'!T593</f>
        <v>30874987.072299171</v>
      </c>
      <c r="U595" s="223">
        <f>+'Perfil - interna'!U595+'Perfil - externa'!U593</f>
        <v>33740117.692575276</v>
      </c>
      <c r="V595" s="223">
        <f>+'Perfil - interna'!V595+'Perfil - externa'!V593</f>
        <v>24599750.759883799</v>
      </c>
      <c r="W595" s="223">
        <f>+'Perfil - interna'!W595+'Perfil - externa'!W593</f>
        <v>28102701.867362879</v>
      </c>
      <c r="X595" s="223">
        <f>+'Perfil - interna'!X595+'Perfil - externa'!X593</f>
        <v>27686356.783543415</v>
      </c>
      <c r="Y595" s="223">
        <f>+'Perfil - interna'!Y595+'Perfil - externa'!Y593</f>
        <v>21385313.012610905</v>
      </c>
      <c r="Z595" s="223">
        <f>+'Perfil - interna'!Z595+'Perfil - externa'!Z593</f>
        <v>38314108.178827301</v>
      </c>
      <c r="AA595" s="223">
        <f>+'Perfil - interna'!AA595+'Perfil - externa'!AA593</f>
        <v>13704778.290333718</v>
      </c>
      <c r="AB595" s="223">
        <f>+'Perfil - interna'!AB595+'Perfil - externa'!AB593</f>
        <v>35837647.396196365</v>
      </c>
      <c r="AC595" s="223">
        <f>+'Perfil - interna'!AC595+'Perfil - externa'!AC593</f>
        <v>12525384.215931214</v>
      </c>
      <c r="AD595" s="223">
        <f>+'Perfil - interna'!AD595+'Perfil - externa'!AD593</f>
        <v>18580129.722702987</v>
      </c>
      <c r="AE595" s="223">
        <f>+'Perfil - interna'!AE595+'Perfil - externa'!AE593</f>
        <v>2771951.6220794907</v>
      </c>
      <c r="AF595" s="223">
        <f>+'Perfil - interna'!AF595+'Perfil - externa'!AF593</f>
        <v>19845038.131282128</v>
      </c>
      <c r="AG595" s="223">
        <f>+'Perfil - interna'!AG595+'Perfil - externa'!AG593</f>
        <v>3220051.8845098391</v>
      </c>
      <c r="AH595" s="223">
        <f>+'Perfil - interna'!AH595+'Perfil - externa'!AH593</f>
        <v>8771259.7489785552</v>
      </c>
      <c r="AI595" s="223">
        <f>+'Perfil - interna'!AI595+'Perfil - externa'!AI593</f>
        <v>10661423.481782706</v>
      </c>
      <c r="AJ595" s="223">
        <f>+'Perfil - interna'!AJ595+'Perfil - externa'!AJ593</f>
        <v>2548059.4070504545</v>
      </c>
      <c r="AK595" s="223">
        <f>+'Perfil - interna'!AK595+'Perfil - externa'!AK593</f>
        <v>8157357.7972166669</v>
      </c>
      <c r="AL595" s="223">
        <f>+'Perfil - interna'!AL595+'Perfil - externa'!AL593</f>
        <v>2679208.1568527189</v>
      </c>
      <c r="AM595" s="223">
        <f>+'Perfil - interna'!AM595+'Perfil - externa'!AM593</f>
        <v>5460605.8610380702</v>
      </c>
      <c r="AN595" s="223">
        <f>+'Perfil - interna'!AN595+'Perfil - externa'!AN593</f>
        <v>72154.237485458259</v>
      </c>
      <c r="AO595" s="223">
        <f>+'Perfil - interna'!AO595+'Perfil - externa'!AO593</f>
        <v>72154.237485458259</v>
      </c>
      <c r="AP595" s="223">
        <f>+'Perfil - interna'!AP595+'Perfil - externa'!AP593</f>
        <v>72154.237485458259</v>
      </c>
      <c r="AQ595" s="223">
        <f>+'Perfil - interna'!AQ595+'Perfil - externa'!AQ593</f>
        <v>7373204.2374854581</v>
      </c>
      <c r="AR595" s="223">
        <f>+'Perfil - interna'!AR595+'Perfil - externa'!AR593</f>
        <v>72154.237485458259</v>
      </c>
      <c r="AS595" s="223">
        <f>+'Perfil - interna'!AS595+'Perfil - externa'!AS593</f>
        <v>72154.237485458259</v>
      </c>
      <c r="AT595" s="223">
        <f>+'Perfil - interna'!AT595+'Perfil - externa'!AT593</f>
        <v>7372188.4450832056</v>
      </c>
      <c r="AU595" s="223">
        <f>+'Perfil - interna'!AU595+'Perfil - externa'!AU593</f>
        <v>11752818.445083205</v>
      </c>
      <c r="AV595" s="223">
        <f>+'Perfil - interna'!AV595+'Perfil - externa'!AV593</f>
        <v>71138.445083205166</v>
      </c>
      <c r="AW595" s="223">
        <f>+'Perfil - interna'!AW595+'Perfil - externa'!AW593</f>
        <v>71138.445083205166</v>
      </c>
      <c r="AX595" s="223"/>
      <c r="AY595" s="223"/>
      <c r="AZ595" s="223"/>
      <c r="BA595" s="223"/>
      <c r="BB595" s="223"/>
      <c r="BC595" s="223"/>
      <c r="BD595" s="223"/>
      <c r="BE595" s="223"/>
      <c r="BF595" s="223"/>
      <c r="BG595" s="223"/>
      <c r="BH595" s="223"/>
      <c r="BI595" s="223"/>
      <c r="BJ595" s="223"/>
      <c r="BK595" s="223"/>
    </row>
    <row r="596" spans="1:63">
      <c r="A596" s="170">
        <v>42856</v>
      </c>
      <c r="B596" s="220" t="str">
        <f>Servicio_internaColumna_título_intereses</f>
        <v>Intereses</v>
      </c>
      <c r="C596" s="221"/>
      <c r="D596" s="222"/>
      <c r="E596" s="222"/>
      <c r="F596" s="222"/>
      <c r="G596" s="222"/>
      <c r="H596" s="222"/>
      <c r="I596" s="222"/>
      <c r="J596" s="222"/>
      <c r="K596" s="222"/>
      <c r="L596" s="222"/>
      <c r="M596" s="222"/>
      <c r="N596" s="222"/>
      <c r="O596" s="222"/>
      <c r="P596" s="222"/>
      <c r="Q596" s="222"/>
      <c r="R596" s="222"/>
      <c r="S596" s="224">
        <f>+'Perfil - interna'!S596+'Perfil - externa'!S594</f>
        <v>14306451.794085994</v>
      </c>
      <c r="T596" s="224">
        <f>+'Perfil - interna'!T596+'Perfil - externa'!T594</f>
        <v>22485743.204139702</v>
      </c>
      <c r="U596" s="224">
        <f>+'Perfil - interna'!U596+'Perfil - externa'!U594</f>
        <v>20789850.799725913</v>
      </c>
      <c r="V596" s="224">
        <f>+'Perfil - interna'!V596+'Perfil - externa'!V594</f>
        <v>18833407.549688719</v>
      </c>
      <c r="W596" s="224">
        <f>+'Perfil - interna'!W596+'Perfil - externa'!W594</f>
        <v>16713275.525863266</v>
      </c>
      <c r="X596" s="224">
        <f>+'Perfil - interna'!X596+'Perfil - externa'!X594</f>
        <v>15599918.790845238</v>
      </c>
      <c r="Y596" s="224">
        <f>+'Perfil - interna'!Y596+'Perfil - externa'!Y594</f>
        <v>13852769.826477198</v>
      </c>
      <c r="Z596" s="224">
        <f>+'Perfil - interna'!Z596+'Perfil - externa'!Z594</f>
        <v>12627309.27893311</v>
      </c>
      <c r="AA596" s="224">
        <f>+'Perfil - interna'!AA596+'Perfil - externa'!AA594</f>
        <v>9612845.832766654</v>
      </c>
      <c r="AB596" s="224">
        <f>+'Perfil - interna'!AB596+'Perfil - externa'!AB594</f>
        <v>8983708.526420081</v>
      </c>
      <c r="AC596" s="224">
        <f>+'Perfil - interna'!AC596+'Perfil - externa'!AC594</f>
        <v>6744910.4461293276</v>
      </c>
      <c r="AD596" s="224">
        <f>+'Perfil - interna'!AD596+'Perfil - externa'!AD594</f>
        <v>6173039.3137581516</v>
      </c>
      <c r="AE596" s="224">
        <f>+'Perfil - interna'!AE596+'Perfil - externa'!AE594</f>
        <v>5217545.0980394399</v>
      </c>
      <c r="AF596" s="224">
        <f>+'Perfil - interna'!AF596+'Perfil - externa'!AF594</f>
        <v>5165063.3761126092</v>
      </c>
      <c r="AG596" s="224">
        <f>+'Perfil - interna'!AG596+'Perfil - externa'!AG594</f>
        <v>3744916.9440099178</v>
      </c>
      <c r="AH596" s="224">
        <f>+'Perfil - interna'!AH596+'Perfil - externa'!AH594</f>
        <v>3642322.5157294301</v>
      </c>
      <c r="AI596" s="224">
        <f>+'Perfil - interna'!AI596+'Perfil - externa'!AI594</f>
        <v>3118056.3520848015</v>
      </c>
      <c r="AJ596" s="224">
        <f>+'Perfil - interna'!AJ596+'Perfil - externa'!AJ594</f>
        <v>2622526.5252146237</v>
      </c>
      <c r="AK596" s="224">
        <f>+'Perfil - interna'!AK596+'Perfil - externa'!AK594</f>
        <v>2514218.5974795511</v>
      </c>
      <c r="AL596" s="224">
        <f>+'Perfil - interna'!AL596+'Perfil - externa'!AL594</f>
        <v>2001632.1191724637</v>
      </c>
      <c r="AM596" s="224">
        <f>+'Perfil - interna'!AM596+'Perfil - externa'!AM594</f>
        <v>1893552.949235684</v>
      </c>
      <c r="AN596" s="224">
        <f>+'Perfil - interna'!AN596+'Perfil - externa'!AN594</f>
        <v>1495413.4556780797</v>
      </c>
      <c r="AO596" s="224">
        <f>+'Perfil - interna'!AO596+'Perfil - externa'!AO594</f>
        <v>1490092.0321708936</v>
      </c>
      <c r="AP596" s="224">
        <f>+'Perfil - interna'!AP596+'Perfil - externa'!AP594</f>
        <v>1484737.4509725766</v>
      </c>
      <c r="AQ596" s="224">
        <f>+'Perfil - interna'!AQ596+'Perfil - externa'!AQ594</f>
        <v>1255668.2640123339</v>
      </c>
      <c r="AR596" s="224">
        <f>+'Perfil - interna'!AR596+'Perfil - externa'!AR594</f>
        <v>1026611.5866772619</v>
      </c>
      <c r="AS596" s="224">
        <f>+'Perfil - interna'!AS596+'Perfil - externa'!AS594</f>
        <v>1015825.6815705131</v>
      </c>
      <c r="AT596" s="224">
        <f>+'Perfil - interna'!AT596+'Perfil - externa'!AT594</f>
        <v>807791.73841679923</v>
      </c>
      <c r="AU596" s="224">
        <f>+'Perfil - interna'!AU596+'Perfil - externa'!AU594</f>
        <v>307620.51133297471</v>
      </c>
      <c r="AV596" s="224">
        <f>+'Perfil - interna'!AV596+'Perfil - externa'!AV594</f>
        <v>8706.9485834392563</v>
      </c>
      <c r="AW596" s="224">
        <f>+'Perfil - interna'!AW596+'Perfil - externa'!AW594</f>
        <v>6437.2860808899904</v>
      </c>
      <c r="AX596" s="224"/>
      <c r="AY596" s="224"/>
      <c r="AZ596" s="224"/>
      <c r="BA596" s="224"/>
      <c r="BB596" s="224"/>
      <c r="BC596" s="224"/>
      <c r="BD596" s="224"/>
      <c r="BE596" s="224"/>
      <c r="BF596" s="224"/>
      <c r="BG596" s="224"/>
      <c r="BH596" s="224"/>
      <c r="BI596" s="224"/>
      <c r="BJ596" s="224"/>
      <c r="BK596" s="224"/>
    </row>
    <row r="597" spans="1:63">
      <c r="A597" s="171"/>
      <c r="B597" s="318" t="str">
        <f>Servicio_internaColumna_título_total</f>
        <v>Total</v>
      </c>
      <c r="C597" s="319"/>
      <c r="D597" s="320"/>
      <c r="E597" s="320"/>
      <c r="F597" s="320"/>
      <c r="G597" s="320"/>
      <c r="H597" s="320"/>
      <c r="I597" s="320"/>
      <c r="J597" s="320"/>
      <c r="K597" s="320"/>
      <c r="L597" s="320"/>
      <c r="M597" s="320"/>
      <c r="N597" s="320"/>
      <c r="O597" s="320"/>
      <c r="P597" s="320"/>
      <c r="Q597" s="320"/>
      <c r="R597" s="320"/>
      <c r="S597" s="321">
        <f>+'Perfil - interna'!S597+'Perfil - externa'!S595</f>
        <v>24325772.192951676</v>
      </c>
      <c r="T597" s="321">
        <f>+'Perfil - interna'!T597+'Perfil - externa'!T595</f>
        <v>53360730.276438877</v>
      </c>
      <c r="U597" s="321">
        <f>+'Perfil - interna'!U597+'Perfil - externa'!U595</f>
        <v>54529968.492301181</v>
      </c>
      <c r="V597" s="321">
        <f>+'Perfil - interna'!V597+'Perfil - externa'!V595</f>
        <v>43433158.309572518</v>
      </c>
      <c r="W597" s="321">
        <f>+'Perfil - interna'!W597+'Perfil - externa'!W595</f>
        <v>44815977.393226147</v>
      </c>
      <c r="X597" s="321">
        <f>+'Perfil - interna'!X597+'Perfil - externa'!X595</f>
        <v>43286275.574388653</v>
      </c>
      <c r="Y597" s="321">
        <f>+'Perfil - interna'!Y597+'Perfil - externa'!Y595</f>
        <v>35238082.839088105</v>
      </c>
      <c r="Z597" s="321">
        <f>+'Perfil - interna'!Z597+'Perfil - externa'!Z595</f>
        <v>50941417.457760409</v>
      </c>
      <c r="AA597" s="321">
        <f>+'Perfil - interna'!AA597+'Perfil - externa'!AA595</f>
        <v>23317624.123100374</v>
      </c>
      <c r="AB597" s="321">
        <f>+'Perfil - interna'!AB597+'Perfil - externa'!AB595</f>
        <v>44821355.922616452</v>
      </c>
      <c r="AC597" s="321">
        <f>+'Perfil - interna'!AC597+'Perfil - externa'!AC595</f>
        <v>19270294.662060544</v>
      </c>
      <c r="AD597" s="321">
        <f>+'Perfil - interna'!AD597+'Perfil - externa'!AD595</f>
        <v>24753169.036461137</v>
      </c>
      <c r="AE597" s="321">
        <f>+'Perfil - interna'!AE597+'Perfil - externa'!AE595</f>
        <v>7989496.7201189306</v>
      </c>
      <c r="AF597" s="321">
        <f>+'Perfil - interna'!AF597+'Perfil - externa'!AF595</f>
        <v>25010101.507394738</v>
      </c>
      <c r="AG597" s="321">
        <f>+'Perfil - interna'!AG597+'Perfil - externa'!AG595</f>
        <v>6964968.8285197569</v>
      </c>
      <c r="AH597" s="321">
        <f>+'Perfil - interna'!AH597+'Perfil - externa'!AH595</f>
        <v>12413582.264707986</v>
      </c>
      <c r="AI597" s="321">
        <f>+'Perfil - interna'!AI597+'Perfil - externa'!AI595</f>
        <v>13779479.833867509</v>
      </c>
      <c r="AJ597" s="321">
        <f>+'Perfil - interna'!AJ597+'Perfil - externa'!AJ595</f>
        <v>5170585.9322650777</v>
      </c>
      <c r="AK597" s="321">
        <f>+'Perfil - interna'!AK597+'Perfil - externa'!AK595</f>
        <v>10671576.394696217</v>
      </c>
      <c r="AL597" s="321">
        <f>+'Perfil - interna'!AL597+'Perfil - externa'!AL595</f>
        <v>4680840.2760251826</v>
      </c>
      <c r="AM597" s="321">
        <f>+'Perfil - interna'!AM597+'Perfil - externa'!AM595</f>
        <v>7354158.8102737544</v>
      </c>
      <c r="AN597" s="321">
        <f>+'Perfil - interna'!AN597+'Perfil - externa'!AN595</f>
        <v>1567567.6931635381</v>
      </c>
      <c r="AO597" s="321">
        <f>+'Perfil - interna'!AO597+'Perfil - externa'!AO595</f>
        <v>1562246.269656352</v>
      </c>
      <c r="AP597" s="321">
        <f>+'Perfil - interna'!AP597+'Perfil - externa'!AP595</f>
        <v>1556891.6884580348</v>
      </c>
      <c r="AQ597" s="321">
        <f>+'Perfil - interna'!AQ597+'Perfil - externa'!AQ595</f>
        <v>8628872.5014977921</v>
      </c>
      <c r="AR597" s="321">
        <f>+'Perfil - interna'!AR597+'Perfil - externa'!AR595</f>
        <v>1098765.8241627202</v>
      </c>
      <c r="AS597" s="321">
        <f>+'Perfil - interna'!AS597+'Perfil - externa'!AS595</f>
        <v>1087979.9190559713</v>
      </c>
      <c r="AT597" s="321">
        <f>+'Perfil - interna'!AT597+'Perfil - externa'!AT595</f>
        <v>8179980.1835000049</v>
      </c>
      <c r="AU597" s="321">
        <f>+'Perfil - interna'!AU597+'Perfil - externa'!AU595</f>
        <v>12060438.956416178</v>
      </c>
      <c r="AV597" s="321">
        <f>+'Perfil - interna'!AV597+'Perfil - externa'!AV595</f>
        <v>79845.393666644421</v>
      </c>
      <c r="AW597" s="321">
        <f>+'Perfil - interna'!AW597+'Perfil - externa'!AW595</f>
        <v>77575.731164095152</v>
      </c>
      <c r="AX597" s="321"/>
      <c r="AY597" s="321"/>
      <c r="AZ597" s="321"/>
      <c r="BA597" s="321"/>
      <c r="BB597" s="321"/>
      <c r="BC597" s="321"/>
      <c r="BD597" s="321"/>
      <c r="BE597" s="321"/>
      <c r="BF597" s="321"/>
      <c r="BG597" s="321"/>
      <c r="BH597" s="321"/>
      <c r="BI597" s="321"/>
      <c r="BJ597" s="321"/>
      <c r="BK597" s="321"/>
    </row>
    <row r="598" spans="1:63">
      <c r="A598" s="167"/>
      <c r="B598" s="217" t="str">
        <f>Servicio_internaColumna_título_amortizaciones</f>
        <v>Amortizaciones</v>
      </c>
      <c r="C598" s="218"/>
      <c r="D598" s="219"/>
      <c r="E598" s="219"/>
      <c r="F598" s="219"/>
      <c r="G598" s="219"/>
      <c r="H598" s="219"/>
      <c r="I598" s="219"/>
      <c r="J598" s="219"/>
      <c r="K598" s="219"/>
      <c r="L598" s="219"/>
      <c r="M598" s="219"/>
      <c r="N598" s="219"/>
      <c r="O598" s="219"/>
      <c r="P598" s="219"/>
      <c r="Q598" s="219"/>
      <c r="R598" s="219"/>
      <c r="S598" s="223">
        <f>+'Perfil - interna'!S598+'Perfil - externa'!S596</f>
        <v>7385327.4399290439</v>
      </c>
      <c r="T598" s="223">
        <f>+'Perfil - interna'!T598+'Perfil - externa'!T596</f>
        <v>27715617.382152244</v>
      </c>
      <c r="U598" s="223">
        <f>+'Perfil - interna'!U598+'Perfil - externa'!U596</f>
        <v>34119927.528722152</v>
      </c>
      <c r="V598" s="223">
        <f>+'Perfil - interna'!V598+'Perfil - externa'!V596</f>
        <v>24779525.28951142</v>
      </c>
      <c r="W598" s="223">
        <f>+'Perfil - interna'!W598+'Perfil - externa'!W596</f>
        <v>28838278.972564314</v>
      </c>
      <c r="X598" s="223">
        <f>+'Perfil - interna'!X598+'Perfil - externa'!X596</f>
        <v>28394264.570948139</v>
      </c>
      <c r="Y598" s="223">
        <f>+'Perfil - interna'!Y598+'Perfil - externa'!Y596</f>
        <v>21648018.570632074</v>
      </c>
      <c r="Z598" s="223">
        <f>+'Perfil - interna'!Z598+'Perfil - externa'!Z596</f>
        <v>38770574.246017784</v>
      </c>
      <c r="AA598" s="223">
        <f>+'Perfil - interna'!AA598+'Perfil - externa'!AA596</f>
        <v>13897131.494533483</v>
      </c>
      <c r="AB598" s="223">
        <f>+'Perfil - interna'!AB598+'Perfil - externa'!AB596</f>
        <v>37412810.872586995</v>
      </c>
      <c r="AC598" s="223">
        <f>+'Perfil - interna'!AC598+'Perfil - externa'!AC596</f>
        <v>13192534.416364746</v>
      </c>
      <c r="AD598" s="223">
        <f>+'Perfil - interna'!AD598+'Perfil - externa'!AD596</f>
        <v>18776166.105516605</v>
      </c>
      <c r="AE598" s="223">
        <f>+'Perfil - interna'!AE598+'Perfil - externa'!AE596</f>
        <v>2890057.2816252862</v>
      </c>
      <c r="AF598" s="223">
        <f>+'Perfil - interna'!AF598+'Perfil - externa'!AF596</f>
        <v>19960630.826425545</v>
      </c>
      <c r="AG598" s="223">
        <f>+'Perfil - interna'!AG598+'Perfil - externa'!AG596</f>
        <v>3353796.9297463121</v>
      </c>
      <c r="AH598" s="223">
        <f>+'Perfil - interna'!AH598+'Perfil - externa'!AH596</f>
        <v>9617791.6930402983</v>
      </c>
      <c r="AI598" s="223">
        <f>+'Perfil - interna'!AI598+'Perfil - externa'!AI596</f>
        <v>10766411.080691842</v>
      </c>
      <c r="AJ598" s="223">
        <f>+'Perfil - interna'!AJ598+'Perfil - externa'!AJ596</f>
        <v>2652438.5864145681</v>
      </c>
      <c r="AK598" s="223">
        <f>+'Perfil - interna'!AK598+'Perfil - externa'!AK596</f>
        <v>8621122.8604196459</v>
      </c>
      <c r="AL598" s="223">
        <f>+'Perfil - interna'!AL598+'Perfil - externa'!AL596</f>
        <v>2823927.539527948</v>
      </c>
      <c r="AM598" s="223">
        <f>+'Perfil - interna'!AM598+'Perfil - externa'!AM596</f>
        <v>5682505.8910764847</v>
      </c>
      <c r="AN598" s="223">
        <f>+'Perfil - interna'!AN598+'Perfil - externa'!AN596</f>
        <v>76083.465599631905</v>
      </c>
      <c r="AO598" s="223">
        <f>+'Perfil - interna'!AO598+'Perfil - externa'!AO596</f>
        <v>76083.465599631905</v>
      </c>
      <c r="AP598" s="223">
        <f>+'Perfil - interna'!AP598+'Perfil - externa'!AP596</f>
        <v>76083.465599631905</v>
      </c>
      <c r="AQ598" s="223">
        <f>+'Perfil - interna'!AQ598+'Perfil - externa'!AQ596</f>
        <v>7671733.4655996328</v>
      </c>
      <c r="AR598" s="223">
        <f>+'Perfil - interna'!AR598+'Perfil - externa'!AR596</f>
        <v>76083.465599631905</v>
      </c>
      <c r="AS598" s="223">
        <f>+'Perfil - interna'!AS598+'Perfil - externa'!AS596</f>
        <v>76083.465599631905</v>
      </c>
      <c r="AT598" s="223">
        <f>+'Perfil - interna'!AT598+'Perfil - externa'!AT596</f>
        <v>7670676.6856076904</v>
      </c>
      <c r="AU598" s="223">
        <f>+'Perfil - interna'!AU598+'Perfil - externa'!AU596</f>
        <v>12228066.68560769</v>
      </c>
      <c r="AV598" s="223">
        <f>+'Perfil - interna'!AV598+'Perfil - externa'!AV596</f>
        <v>75026.685607689142</v>
      </c>
      <c r="AW598" s="223">
        <f>+'Perfil - interna'!AW598+'Perfil - externa'!AW596</f>
        <v>75026.685607689142</v>
      </c>
      <c r="AX598" s="223"/>
      <c r="AY598" s="223"/>
      <c r="AZ598" s="223"/>
      <c r="BA598" s="223"/>
      <c r="BB598" s="223"/>
      <c r="BC598" s="223"/>
      <c r="BD598" s="223"/>
      <c r="BE598" s="223"/>
      <c r="BF598" s="223"/>
      <c r="BG598" s="223"/>
      <c r="BH598" s="223"/>
      <c r="BI598" s="223"/>
      <c r="BJ598" s="223"/>
      <c r="BK598" s="223"/>
    </row>
    <row r="599" spans="1:63">
      <c r="A599" s="170">
        <v>42887</v>
      </c>
      <c r="B599" s="220" t="str">
        <f>Servicio_internaColumna_título_intereses</f>
        <v>Intereses</v>
      </c>
      <c r="C599" s="221"/>
      <c r="D599" s="222"/>
      <c r="E599" s="222"/>
      <c r="F599" s="222"/>
      <c r="G599" s="222"/>
      <c r="H599" s="222"/>
      <c r="I599" s="222"/>
      <c r="J599" s="222"/>
      <c r="K599" s="222"/>
      <c r="L599" s="222"/>
      <c r="M599" s="222"/>
      <c r="N599" s="222"/>
      <c r="O599" s="222"/>
      <c r="P599" s="222"/>
      <c r="Q599" s="222"/>
      <c r="R599" s="222"/>
      <c r="S599" s="224">
        <f>+'Perfil - interna'!S599+'Perfil - externa'!S597</f>
        <v>13043841.942915659</v>
      </c>
      <c r="T599" s="224">
        <f>+'Perfil - interna'!T599+'Perfil - externa'!T597</f>
        <v>22496684.241454799</v>
      </c>
      <c r="U599" s="224">
        <f>+'Perfil - interna'!U599+'Perfil - externa'!U597</f>
        <v>21290628.678795435</v>
      </c>
      <c r="V599" s="224">
        <f>+'Perfil - interna'!V599+'Perfil - externa'!V597</f>
        <v>19329882.85136129</v>
      </c>
      <c r="W599" s="224">
        <f>+'Perfil - interna'!W599+'Perfil - externa'!W597</f>
        <v>17168782.290558472</v>
      </c>
      <c r="X599" s="224">
        <f>+'Perfil - interna'!X599+'Perfil - externa'!X597</f>
        <v>16031277.234086733</v>
      </c>
      <c r="Y599" s="224">
        <f>+'Perfil - interna'!Y599+'Perfil - externa'!Y597</f>
        <v>14258561.529067609</v>
      </c>
      <c r="Z599" s="224">
        <f>+'Perfil - interna'!Z599+'Perfil - externa'!Z597</f>
        <v>13027894.244244633</v>
      </c>
      <c r="AA599" s="224">
        <f>+'Perfil - interna'!AA599+'Perfil - externa'!AA597</f>
        <v>9977525.7676488906</v>
      </c>
      <c r="AB599" s="224">
        <f>+'Perfil - interna'!AB599+'Perfil - externa'!AB597</f>
        <v>9336960.2544780262</v>
      </c>
      <c r="AC599" s="224">
        <f>+'Perfil - interna'!AC599+'Perfil - externa'!AC597</f>
        <v>7001473.7317501996</v>
      </c>
      <c r="AD599" s="224">
        <f>+'Perfil - interna'!AD599+'Perfil - externa'!AD597</f>
        <v>6390896.5629900843</v>
      </c>
      <c r="AE599" s="224">
        <f>+'Perfil - interna'!AE599+'Perfil - externa'!AE597</f>
        <v>5424709.7270743717</v>
      </c>
      <c r="AF599" s="224">
        <f>+'Perfil - interna'!AF599+'Perfil - externa'!AF597</f>
        <v>5367785.7813385772</v>
      </c>
      <c r="AG599" s="224">
        <f>+'Perfil - interna'!AG599+'Perfil - externa'!AG597</f>
        <v>3939790.0894106263</v>
      </c>
      <c r="AH599" s="224">
        <f>+'Perfil - interna'!AH599+'Perfil - externa'!AH597</f>
        <v>3832868.6308287419</v>
      </c>
      <c r="AI599" s="224">
        <f>+'Perfil - interna'!AI599+'Perfil - externa'!AI597</f>
        <v>3245805.3861529948</v>
      </c>
      <c r="AJ599" s="224">
        <f>+'Perfil - interna'!AJ599+'Perfil - externa'!AJ597</f>
        <v>2747299.5559850042</v>
      </c>
      <c r="AK599" s="224">
        <f>+'Perfil - interna'!AK599+'Perfil - externa'!AK597</f>
        <v>2629958.9533913201</v>
      </c>
      <c r="AL599" s="224">
        <f>+'Perfil - interna'!AL599+'Perfil - externa'!AL597</f>
        <v>2087911.9292515214</v>
      </c>
      <c r="AM599" s="224">
        <f>+'Perfil - interna'!AM599+'Perfil - externa'!AM597</f>
        <v>1970792.2684265766</v>
      </c>
      <c r="AN599" s="224">
        <f>+'Perfil - interna'!AN599+'Perfil - externa'!AN597</f>
        <v>1556535.4745810134</v>
      </c>
      <c r="AO599" s="224">
        <f>+'Perfil - interna'!AO599+'Perfil - externa'!AO597</f>
        <v>1550968.3130078651</v>
      </c>
      <c r="AP599" s="224">
        <f>+'Perfil - interna'!AP599+'Perfil - externa'!AP597</f>
        <v>1545393.4178195186</v>
      </c>
      <c r="AQ599" s="224">
        <f>+'Perfil - interna'!AQ599+'Perfil - externa'!AQ597</f>
        <v>1307049.9530187487</v>
      </c>
      <c r="AR599" s="224">
        <f>+'Perfil - interna'!AR599+'Perfil - externa'!AR597</f>
        <v>1068732.573790702</v>
      </c>
      <c r="AS599" s="224">
        <f>+'Perfil - interna'!AS599+'Perfil - externa'!AS597</f>
        <v>1057704.5790744382</v>
      </c>
      <c r="AT599" s="224">
        <f>+'Perfil - interna'!AT599+'Perfil - externa'!AT597</f>
        <v>841159.55674169003</v>
      </c>
      <c r="AU599" s="224">
        <f>+'Perfil - interna'!AU599+'Perfil - externa'!AU597</f>
        <v>320672.60465604148</v>
      </c>
      <c r="AV599" s="224">
        <f>+'Perfil - interna'!AV599+'Perfil - externa'!AV597</f>
        <v>10786.022110972172</v>
      </c>
      <c r="AW599" s="224">
        <f>+'Perfil - interna'!AW599+'Perfil - externa'!AW597</f>
        <v>5669.6116554387418</v>
      </c>
      <c r="AX599" s="224"/>
      <c r="AY599" s="224"/>
      <c r="AZ599" s="224"/>
      <c r="BA599" s="224"/>
      <c r="BB599" s="224"/>
      <c r="BC599" s="224"/>
      <c r="BD599" s="224"/>
      <c r="BE599" s="224"/>
      <c r="BF599" s="224"/>
      <c r="BG599" s="224"/>
      <c r="BH599" s="224"/>
      <c r="BI599" s="224"/>
      <c r="BJ599" s="224"/>
      <c r="BK599" s="224"/>
    </row>
    <row r="600" spans="1:63">
      <c r="A600" s="171"/>
      <c r="B600" s="318" t="str">
        <f>Servicio_internaColumna_título_total</f>
        <v>Total</v>
      </c>
      <c r="C600" s="319"/>
      <c r="D600" s="320"/>
      <c r="E600" s="320"/>
      <c r="F600" s="320"/>
      <c r="G600" s="320"/>
      <c r="H600" s="320"/>
      <c r="I600" s="320"/>
      <c r="J600" s="320"/>
      <c r="K600" s="320"/>
      <c r="L600" s="320"/>
      <c r="M600" s="320"/>
      <c r="N600" s="320"/>
      <c r="O600" s="320"/>
      <c r="P600" s="320"/>
      <c r="Q600" s="320"/>
      <c r="R600" s="320"/>
      <c r="S600" s="321">
        <f>+'Perfil - interna'!S600+'Perfil - externa'!S598</f>
        <v>20429169.382844705</v>
      </c>
      <c r="T600" s="321">
        <f>+'Perfil - interna'!T600+'Perfil - externa'!T598</f>
        <v>50212301.623607039</v>
      </c>
      <c r="U600" s="321">
        <f>+'Perfil - interna'!U600+'Perfil - externa'!U598</f>
        <v>55410556.207517587</v>
      </c>
      <c r="V600" s="321">
        <f>+'Perfil - interna'!V600+'Perfil - externa'!V598</f>
        <v>44109408.140872709</v>
      </c>
      <c r="W600" s="321">
        <f>+'Perfil - interna'!W600+'Perfil - externa'!W598</f>
        <v>46007061.263122782</v>
      </c>
      <c r="X600" s="321">
        <f>+'Perfil - interna'!X600+'Perfil - externa'!X598</f>
        <v>44425541.805034876</v>
      </c>
      <c r="Y600" s="321">
        <f>+'Perfil - interna'!Y600+'Perfil - externa'!Y598</f>
        <v>35906580.099699683</v>
      </c>
      <c r="Z600" s="321">
        <f>+'Perfil - interna'!Z600+'Perfil - externa'!Z598</f>
        <v>51798468.490262419</v>
      </c>
      <c r="AA600" s="321">
        <f>+'Perfil - interna'!AA600+'Perfil - externa'!AA598</f>
        <v>23874657.262182374</v>
      </c>
      <c r="AB600" s="321">
        <f>+'Perfil - interna'!AB600+'Perfil - externa'!AB598</f>
        <v>46749771.127065025</v>
      </c>
      <c r="AC600" s="321">
        <f>+'Perfil - interna'!AC600+'Perfil - externa'!AC598</f>
        <v>20194008.148114946</v>
      </c>
      <c r="AD600" s="321">
        <f>+'Perfil - interna'!AD600+'Perfil - externa'!AD598</f>
        <v>25167062.668506686</v>
      </c>
      <c r="AE600" s="321">
        <f>+'Perfil - interna'!AE600+'Perfil - externa'!AE598</f>
        <v>8314767.0086996583</v>
      </c>
      <c r="AF600" s="321">
        <f>+'Perfil - interna'!AF600+'Perfil - externa'!AF598</f>
        <v>25328416.607764125</v>
      </c>
      <c r="AG600" s="321">
        <f>+'Perfil - interna'!AG600+'Perfil - externa'!AG598</f>
        <v>7293587.0191569394</v>
      </c>
      <c r="AH600" s="321">
        <f>+'Perfil - interna'!AH600+'Perfil - externa'!AH598</f>
        <v>13450660.32386904</v>
      </c>
      <c r="AI600" s="321">
        <f>+'Perfil - interna'!AI600+'Perfil - externa'!AI598</f>
        <v>14012216.466844838</v>
      </c>
      <c r="AJ600" s="321">
        <f>+'Perfil - interna'!AJ600+'Perfil - externa'!AJ598</f>
        <v>5399738.1423995718</v>
      </c>
      <c r="AK600" s="321">
        <f>+'Perfil - interna'!AK600+'Perfil - externa'!AK598</f>
        <v>11251081.813810967</v>
      </c>
      <c r="AL600" s="321">
        <f>+'Perfil - interna'!AL600+'Perfil - externa'!AL598</f>
        <v>4911839.4687794689</v>
      </c>
      <c r="AM600" s="321">
        <f>+'Perfil - interna'!AM600+'Perfil - externa'!AM598</f>
        <v>7653298.1595030613</v>
      </c>
      <c r="AN600" s="321">
        <f>+'Perfil - interna'!AN600+'Perfil - externa'!AN598</f>
        <v>1632618.9401806453</v>
      </c>
      <c r="AO600" s="321">
        <f>+'Perfil - interna'!AO600+'Perfil - externa'!AO598</f>
        <v>1627051.778607497</v>
      </c>
      <c r="AP600" s="321">
        <f>+'Perfil - interna'!AP600+'Perfil - externa'!AP598</f>
        <v>1621476.8834191505</v>
      </c>
      <c r="AQ600" s="321">
        <f>+'Perfil - interna'!AQ600+'Perfil - externa'!AQ598</f>
        <v>8978783.418618381</v>
      </c>
      <c r="AR600" s="321">
        <f>+'Perfil - interna'!AR600+'Perfil - externa'!AR598</f>
        <v>1144816.0393903339</v>
      </c>
      <c r="AS600" s="321">
        <f>+'Perfil - interna'!AS600+'Perfil - externa'!AS598</f>
        <v>1133788.0446740701</v>
      </c>
      <c r="AT600" s="321">
        <f>+'Perfil - interna'!AT600+'Perfil - externa'!AT598</f>
        <v>8511836.2423493806</v>
      </c>
      <c r="AU600" s="321">
        <f>+'Perfil - interna'!AU600+'Perfil - externa'!AU598</f>
        <v>12548739.290263731</v>
      </c>
      <c r="AV600" s="321">
        <f>+'Perfil - interna'!AV600+'Perfil - externa'!AV598</f>
        <v>85812.707718661317</v>
      </c>
      <c r="AW600" s="321">
        <f>+'Perfil - interna'!AW600+'Perfil - externa'!AW598</f>
        <v>80696.297263127883</v>
      </c>
      <c r="AX600" s="321"/>
      <c r="AY600" s="321"/>
      <c r="AZ600" s="321"/>
      <c r="BA600" s="321"/>
      <c r="BB600" s="321"/>
      <c r="BC600" s="321"/>
      <c r="BD600" s="321"/>
      <c r="BE600" s="321"/>
      <c r="BF600" s="321"/>
      <c r="BG600" s="321"/>
      <c r="BH600" s="321"/>
      <c r="BI600" s="321"/>
      <c r="BJ600" s="321"/>
      <c r="BK600" s="321"/>
    </row>
    <row r="601" spans="1:63">
      <c r="A601" s="167"/>
      <c r="B601" s="217" t="str">
        <f>Servicio_internaColumna_título_amortizaciones</f>
        <v>Amortizaciones</v>
      </c>
      <c r="C601" s="218"/>
      <c r="D601" s="219"/>
      <c r="E601" s="219"/>
      <c r="F601" s="219"/>
      <c r="G601" s="219"/>
      <c r="H601" s="219"/>
      <c r="I601" s="219"/>
      <c r="J601" s="219"/>
      <c r="K601" s="219"/>
      <c r="L601" s="219"/>
      <c r="M601" s="219"/>
      <c r="N601" s="219"/>
      <c r="O601" s="219"/>
      <c r="P601" s="219"/>
      <c r="Q601" s="219"/>
      <c r="R601" s="219"/>
      <c r="S601" s="223">
        <f>+'Perfil - interna'!S601+'Perfil - externa'!S599</f>
        <v>7326916.6446896885</v>
      </c>
      <c r="T601" s="223">
        <f>+'Perfil - interna'!T601+'Perfil - externa'!T599</f>
        <v>29778780.74757405</v>
      </c>
      <c r="U601" s="223">
        <f>+'Perfil - interna'!U601+'Perfil - externa'!U599</f>
        <v>34012952.526222855</v>
      </c>
      <c r="V601" s="223">
        <f>+'Perfil - interna'!V601+'Perfil - externa'!V599</f>
        <v>24704547.681545235</v>
      </c>
      <c r="W601" s="223">
        <f>+'Perfil - interna'!W601+'Perfil - externa'!W599</f>
        <v>29179876.441329565</v>
      </c>
      <c r="X601" s="223">
        <f>+'Perfil - interna'!X601+'Perfil - externa'!X599</f>
        <v>28895205.521041162</v>
      </c>
      <c r="Y601" s="223">
        <f>+'Perfil - interna'!Y601+'Perfil - externa'!Y599</f>
        <v>21599934.092690978</v>
      </c>
      <c r="Z601" s="223">
        <f>+'Perfil - interna'!Z601+'Perfil - externa'!Z599</f>
        <v>38607470.694696128</v>
      </c>
      <c r="AA601" s="223">
        <f>+'Perfil - interna'!AA601+'Perfil - externa'!AA599</f>
        <v>13860851.375427447</v>
      </c>
      <c r="AB601" s="223">
        <f>+'Perfil - interna'!AB601+'Perfil - externa'!AB599</f>
        <v>38090850.926777303</v>
      </c>
      <c r="AC601" s="223">
        <f>+'Perfil - interna'!AC601+'Perfil - externa'!AC599</f>
        <v>13658120.945191719</v>
      </c>
      <c r="AD601" s="223">
        <f>+'Perfil - interna'!AD601+'Perfil - externa'!AD599</f>
        <v>18713266.613941513</v>
      </c>
      <c r="AE601" s="223">
        <f>+'Perfil - interna'!AE601+'Perfil - externa'!AE599</f>
        <v>2855181.0833557313</v>
      </c>
      <c r="AF601" s="223">
        <f>+'Perfil - interna'!AF601+'Perfil - externa'!AF599</f>
        <v>19929753.092689775</v>
      </c>
      <c r="AG601" s="223">
        <f>+'Perfil - interna'!AG601+'Perfil - externa'!AG599</f>
        <v>3310919.7968912399</v>
      </c>
      <c r="AH601" s="223">
        <f>+'Perfil - interna'!AH601+'Perfil - externa'!AH599</f>
        <v>10012393.053825218</v>
      </c>
      <c r="AI601" s="223">
        <f>+'Perfil - interna'!AI601+'Perfil - externa'!AI599</f>
        <v>10758224.160510736</v>
      </c>
      <c r="AJ601" s="223">
        <f>+'Perfil - interna'!AJ601+'Perfil - externa'!AJ599</f>
        <v>2617288.9750552708</v>
      </c>
      <c r="AK601" s="223">
        <f>+'Perfil - interna'!AK601+'Perfil - externa'!AK599</f>
        <v>8908101.7950266711</v>
      </c>
      <c r="AL601" s="223">
        <f>+'Perfil - interna'!AL601+'Perfil - externa'!AL599</f>
        <v>2868758.9129476887</v>
      </c>
      <c r="AM601" s="223">
        <f>+'Perfil - interna'!AM601+'Perfil - externa'!AM599</f>
        <v>5604445.2196174385</v>
      </c>
      <c r="AN601" s="223">
        <f>+'Perfil - interna'!AN601+'Perfil - externa'!AN599</f>
        <v>77399.034306947287</v>
      </c>
      <c r="AO601" s="223">
        <f>+'Perfil - interna'!AO601+'Perfil - externa'!AO599</f>
        <v>77399.034306947287</v>
      </c>
      <c r="AP601" s="223">
        <f>+'Perfil - interna'!AP601+'Perfil - externa'!AP599</f>
        <v>77399.034306947287</v>
      </c>
      <c r="AQ601" s="223">
        <f>+'Perfil - interna'!AQ601+'Perfil - externa'!AQ599</f>
        <v>7565474.0343069471</v>
      </c>
      <c r="AR601" s="223">
        <f>+'Perfil - interna'!AR601+'Perfil - externa'!AR599</f>
        <v>77399.034306947287</v>
      </c>
      <c r="AS601" s="223">
        <f>+'Perfil - interna'!AS601+'Perfil - externa'!AS599</f>
        <v>77399.034306947287</v>
      </c>
      <c r="AT601" s="223">
        <f>+'Perfil - interna'!AT601+'Perfil - externa'!AT599</f>
        <v>7564432.2211852036</v>
      </c>
      <c r="AU601" s="223">
        <f>+'Perfil - interna'!AU601+'Perfil - externa'!AU599</f>
        <v>12057277.221185204</v>
      </c>
      <c r="AV601" s="223">
        <f>+'Perfil - interna'!AV601+'Perfil - externa'!AV599</f>
        <v>76357.22118520434</v>
      </c>
      <c r="AW601" s="223">
        <f>+'Perfil - interna'!AW601+'Perfil - externa'!AW599</f>
        <v>76357.22118520434</v>
      </c>
      <c r="AX601" s="223"/>
      <c r="AY601" s="223"/>
      <c r="AZ601" s="223"/>
      <c r="BA601" s="223"/>
      <c r="BB601" s="223"/>
      <c r="BC601" s="223"/>
      <c r="BD601" s="223"/>
      <c r="BE601" s="223"/>
      <c r="BF601" s="223"/>
      <c r="BG601" s="223"/>
      <c r="BH601" s="223"/>
      <c r="BI601" s="223"/>
      <c r="BJ601" s="223"/>
      <c r="BK601" s="223"/>
    </row>
    <row r="602" spans="1:63">
      <c r="A602" s="170">
        <v>42917</v>
      </c>
      <c r="B602" s="220" t="str">
        <f>Servicio_internaColumna_título_intereses</f>
        <v>Intereses</v>
      </c>
      <c r="C602" s="221"/>
      <c r="D602" s="222"/>
      <c r="E602" s="222"/>
      <c r="F602" s="222"/>
      <c r="G602" s="222"/>
      <c r="H602" s="222"/>
      <c r="I602" s="222"/>
      <c r="J602" s="222"/>
      <c r="K602" s="222"/>
      <c r="L602" s="222"/>
      <c r="M602" s="222"/>
      <c r="N602" s="222"/>
      <c r="O602" s="222"/>
      <c r="P602" s="222"/>
      <c r="Q602" s="222"/>
      <c r="R602" s="222"/>
      <c r="S602" s="224">
        <f>+'Perfil - interna'!S602+'Perfil - externa'!S600</f>
        <v>7587270.6222894527</v>
      </c>
      <c r="T602" s="224">
        <f>+'Perfil - interna'!T602+'Perfil - externa'!T600</f>
        <v>22574693.26033223</v>
      </c>
      <c r="U602" s="224">
        <f>+'Perfil - interna'!U602+'Perfil - externa'!U600</f>
        <v>21400399.347571075</v>
      </c>
      <c r="V602" s="224">
        <f>+'Perfil - interna'!V602+'Perfil - externa'!V600</f>
        <v>19412646.021240614</v>
      </c>
      <c r="W602" s="224">
        <f>+'Perfil - interna'!W602+'Perfil - externa'!W600</f>
        <v>17258468.122898847</v>
      </c>
      <c r="X602" s="224">
        <f>+'Perfil - interna'!X602+'Perfil - externa'!X600</f>
        <v>16097127.593693361</v>
      </c>
      <c r="Y602" s="224">
        <f>+'Perfil - interna'!Y602+'Perfil - externa'!Y600</f>
        <v>14289847.505987242</v>
      </c>
      <c r="Z602" s="224">
        <f>+'Perfil - interna'!Z602+'Perfil - externa'!Z600</f>
        <v>13080565.709360961</v>
      </c>
      <c r="AA602" s="224">
        <f>+'Perfil - interna'!AA602+'Perfil - externa'!AA600</f>
        <v>10045736.497422421</v>
      </c>
      <c r="AB602" s="224">
        <f>+'Perfil - interna'!AB602+'Perfil - externa'!AB600</f>
        <v>9412249.6938829087</v>
      </c>
      <c r="AC602" s="224">
        <f>+'Perfil - interna'!AC602+'Perfil - externa'!AC600</f>
        <v>7032538.8581047598</v>
      </c>
      <c r="AD602" s="224">
        <f>+'Perfil - interna'!AD602+'Perfil - externa'!AD600</f>
        <v>6399958.3309525456</v>
      </c>
      <c r="AE602" s="224">
        <f>+'Perfil - interna'!AE602+'Perfil - externa'!AE600</f>
        <v>5437620.4022239726</v>
      </c>
      <c r="AF602" s="224">
        <f>+'Perfil - interna'!AF602+'Perfil - externa'!AF600</f>
        <v>5383403.4696060112</v>
      </c>
      <c r="AG602" s="224">
        <f>+'Perfil - interna'!AG602+'Perfil - externa'!AG600</f>
        <v>3958478.2050564112</v>
      </c>
      <c r="AH602" s="224">
        <f>+'Perfil - interna'!AH602+'Perfil - externa'!AH600</f>
        <v>3858598.1068778671</v>
      </c>
      <c r="AI602" s="224">
        <f>+'Perfil - interna'!AI602+'Perfil - externa'!AI600</f>
        <v>3239087.8628731873</v>
      </c>
      <c r="AJ602" s="224">
        <f>+'Perfil - interna'!AJ602+'Perfil - externa'!AJ600</f>
        <v>2742530.9387762463</v>
      </c>
      <c r="AK602" s="224">
        <f>+'Perfil - interna'!AK602+'Perfil - externa'!AK600</f>
        <v>2626094.7863279404</v>
      </c>
      <c r="AL602" s="224">
        <f>+'Perfil - interna'!AL602+'Perfil - externa'!AL600</f>
        <v>2064311.8239780874</v>
      </c>
      <c r="AM602" s="224">
        <f>+'Perfil - interna'!AM602+'Perfil - externa'!AM600</f>
        <v>1944747.3571012612</v>
      </c>
      <c r="AN602" s="224">
        <f>+'Perfil - interna'!AN602+'Perfil - externa'!AN600</f>
        <v>1536247.1449376175</v>
      </c>
      <c r="AO602" s="224">
        <f>+'Perfil - interna'!AO602+'Perfil - externa'!AO600</f>
        <v>1530636.7049284941</v>
      </c>
      <c r="AP602" s="224">
        <f>+'Perfil - interna'!AP602+'Perfil - externa'!AP600</f>
        <v>1525040.0392393935</v>
      </c>
      <c r="AQ602" s="224">
        <f>+'Perfil - interna'!AQ602+'Perfil - externa'!AQ600</f>
        <v>1289932.7788766853</v>
      </c>
      <c r="AR602" s="224">
        <f>+'Perfil - interna'!AR602+'Perfil - externa'!AR600</f>
        <v>1054854.7629461708</v>
      </c>
      <c r="AS602" s="224">
        <f>+'Perfil - interna'!AS602+'Perfil - externa'!AS600</f>
        <v>1043758.4458520999</v>
      </c>
      <c r="AT602" s="224">
        <f>+'Perfil - interna'!AT602+'Perfil - externa'!AT600</f>
        <v>830181.41285064432</v>
      </c>
      <c r="AU602" s="224">
        <f>+'Perfil - interna'!AU602+'Perfil - externa'!AU600</f>
        <v>316937.88617992873</v>
      </c>
      <c r="AV602" s="224">
        <f>+'Perfil - interna'!AV602+'Perfil - externa'!AV600</f>
        <v>12693.236893385651</v>
      </c>
      <c r="AW602" s="224">
        <f>+'Perfil - interna'!AW602+'Perfil - externa'!AW600</f>
        <v>4477.573140622032</v>
      </c>
      <c r="AX602" s="224"/>
      <c r="AY602" s="224"/>
      <c r="AZ602" s="224"/>
      <c r="BA602" s="224"/>
      <c r="BB602" s="224"/>
      <c r="BC602" s="224"/>
      <c r="BD602" s="224"/>
      <c r="BE602" s="224"/>
      <c r="BF602" s="224"/>
      <c r="BG602" s="224"/>
      <c r="BH602" s="224"/>
      <c r="BI602" s="224"/>
      <c r="BJ602" s="224"/>
      <c r="BK602" s="224"/>
    </row>
    <row r="603" spans="1:63">
      <c r="A603" s="171"/>
      <c r="B603" s="318" t="str">
        <f>Servicio_internaColumna_título_total</f>
        <v>Total</v>
      </c>
      <c r="C603" s="319"/>
      <c r="D603" s="320"/>
      <c r="E603" s="320"/>
      <c r="F603" s="320"/>
      <c r="G603" s="320"/>
      <c r="H603" s="320"/>
      <c r="I603" s="320"/>
      <c r="J603" s="320"/>
      <c r="K603" s="320"/>
      <c r="L603" s="320"/>
      <c r="M603" s="320"/>
      <c r="N603" s="320"/>
      <c r="O603" s="320"/>
      <c r="P603" s="320"/>
      <c r="Q603" s="320"/>
      <c r="R603" s="320"/>
      <c r="S603" s="321">
        <f>+'Perfil - interna'!S603+'Perfil - externa'!S601</f>
        <v>14914187.266979141</v>
      </c>
      <c r="T603" s="321">
        <f>+'Perfil - interna'!T603+'Perfil - externa'!T601</f>
        <v>52353474.007906273</v>
      </c>
      <c r="U603" s="321">
        <f>+'Perfil - interna'!U603+'Perfil - externa'!U601</f>
        <v>55413351.87379393</v>
      </c>
      <c r="V603" s="321">
        <f>+'Perfil - interna'!V603+'Perfil - externa'!V601</f>
        <v>44117193.70278585</v>
      </c>
      <c r="W603" s="321">
        <f>+'Perfil - interna'!W603+'Perfil - externa'!W601</f>
        <v>46438344.564228415</v>
      </c>
      <c r="X603" s="321">
        <f>+'Perfil - interna'!X603+'Perfil - externa'!X601</f>
        <v>44992333.114734523</v>
      </c>
      <c r="Y603" s="321">
        <f>+'Perfil - interna'!Y603+'Perfil - externa'!Y601</f>
        <v>35889781.598678216</v>
      </c>
      <c r="Z603" s="321">
        <f>+'Perfil - interna'!Z603+'Perfil - externa'!Z601</f>
        <v>51688036.404057086</v>
      </c>
      <c r="AA603" s="321">
        <f>+'Perfil - interna'!AA603+'Perfil - externa'!AA601</f>
        <v>23906587.872849867</v>
      </c>
      <c r="AB603" s="321">
        <f>+'Perfil - interna'!AB603+'Perfil - externa'!AB601</f>
        <v>47503100.620660216</v>
      </c>
      <c r="AC603" s="321">
        <f>+'Perfil - interna'!AC603+'Perfil - externa'!AC601</f>
        <v>20690659.80329648</v>
      </c>
      <c r="AD603" s="321">
        <f>+'Perfil - interna'!AD603+'Perfil - externa'!AD601</f>
        <v>25113224.944894053</v>
      </c>
      <c r="AE603" s="321">
        <f>+'Perfil - interna'!AE603+'Perfil - externa'!AE601</f>
        <v>8292801.4855797039</v>
      </c>
      <c r="AF603" s="321">
        <f>+'Perfil - interna'!AF603+'Perfil - externa'!AF601</f>
        <v>25313156.562295787</v>
      </c>
      <c r="AG603" s="321">
        <f>+'Perfil - interna'!AG603+'Perfil - externa'!AG601</f>
        <v>7269398.0019476507</v>
      </c>
      <c r="AH603" s="321">
        <f>+'Perfil - interna'!AH603+'Perfil - externa'!AH601</f>
        <v>13870991.160703085</v>
      </c>
      <c r="AI603" s="321">
        <f>+'Perfil - interna'!AI603+'Perfil - externa'!AI601</f>
        <v>13997312.023383923</v>
      </c>
      <c r="AJ603" s="321">
        <f>+'Perfil - interna'!AJ603+'Perfil - externa'!AJ601</f>
        <v>5359819.9138315162</v>
      </c>
      <c r="AK603" s="321">
        <f>+'Perfil - interna'!AK603+'Perfil - externa'!AK601</f>
        <v>11534196.581354611</v>
      </c>
      <c r="AL603" s="321">
        <f>+'Perfil - interna'!AL603+'Perfil - externa'!AL601</f>
        <v>4933070.7369257761</v>
      </c>
      <c r="AM603" s="321">
        <f>+'Perfil - interna'!AM603+'Perfil - externa'!AM601</f>
        <v>7549192.5767186992</v>
      </c>
      <c r="AN603" s="321">
        <f>+'Perfil - interna'!AN603+'Perfil - externa'!AN601</f>
        <v>1613646.1792445648</v>
      </c>
      <c r="AO603" s="321">
        <f>+'Perfil - interna'!AO603+'Perfil - externa'!AO601</f>
        <v>1608035.7392354414</v>
      </c>
      <c r="AP603" s="321">
        <f>+'Perfil - interna'!AP603+'Perfil - externa'!AP601</f>
        <v>1602439.0735463409</v>
      </c>
      <c r="AQ603" s="321">
        <f>+'Perfil - interna'!AQ603+'Perfil - externa'!AQ601</f>
        <v>8855406.8131836317</v>
      </c>
      <c r="AR603" s="321">
        <f>+'Perfil - interna'!AR603+'Perfil - externa'!AR601</f>
        <v>1132253.7972531181</v>
      </c>
      <c r="AS603" s="321">
        <f>+'Perfil - interna'!AS603+'Perfil - externa'!AS601</f>
        <v>1121157.4801590473</v>
      </c>
      <c r="AT603" s="321">
        <f>+'Perfil - interna'!AT603+'Perfil - externa'!AT601</f>
        <v>8394613.6340358481</v>
      </c>
      <c r="AU603" s="321">
        <f>+'Perfil - interna'!AU603+'Perfil - externa'!AU601</f>
        <v>12374215.107365133</v>
      </c>
      <c r="AV603" s="321">
        <f>+'Perfil - interna'!AV603+'Perfil - externa'!AV601</f>
        <v>89050.458078589989</v>
      </c>
      <c r="AW603" s="321">
        <f>+'Perfil - interna'!AW603+'Perfil - externa'!AW601</f>
        <v>80834.794325826369</v>
      </c>
      <c r="AX603" s="321"/>
      <c r="AY603" s="321"/>
      <c r="AZ603" s="321"/>
      <c r="BA603" s="321"/>
      <c r="BB603" s="321"/>
      <c r="BC603" s="321"/>
      <c r="BD603" s="321"/>
      <c r="BE603" s="321"/>
      <c r="BF603" s="321"/>
      <c r="BG603" s="321"/>
      <c r="BH603" s="321"/>
      <c r="BI603" s="321"/>
      <c r="BJ603" s="321"/>
      <c r="BK603" s="321"/>
    </row>
    <row r="604" spans="1:63">
      <c r="A604" s="167"/>
      <c r="B604" s="217" t="str">
        <f>Servicio_internaColumna_título_amortizaciones</f>
        <v>Amortizaciones</v>
      </c>
      <c r="C604" s="218"/>
      <c r="D604" s="219"/>
      <c r="E604" s="219"/>
      <c r="F604" s="219"/>
      <c r="G604" s="219"/>
      <c r="H604" s="219"/>
      <c r="I604" s="219"/>
      <c r="J604" s="219"/>
      <c r="K604" s="219"/>
      <c r="L604" s="219"/>
      <c r="M604" s="219"/>
      <c r="N604" s="219"/>
      <c r="O604" s="219"/>
      <c r="P604" s="219"/>
      <c r="Q604" s="219"/>
      <c r="R604" s="219"/>
      <c r="S604" s="223">
        <v>7250456.4368541818</v>
      </c>
      <c r="T604" s="223">
        <v>30693974.675687402</v>
      </c>
      <c r="U604" s="223">
        <v>33811638.383277476</v>
      </c>
      <c r="V604" s="223">
        <v>24592152.021196924</v>
      </c>
      <c r="W604" s="223">
        <v>29389883.749996655</v>
      </c>
      <c r="X604" s="223">
        <v>29799475.93555906</v>
      </c>
      <c r="Y604" s="223">
        <v>21588129.561370932</v>
      </c>
      <c r="Z604" s="223">
        <v>38478312.379779287</v>
      </c>
      <c r="AA604" s="223">
        <v>13884946.89451414</v>
      </c>
      <c r="AB604" s="223">
        <v>38993703.487507299</v>
      </c>
      <c r="AC604" s="223">
        <v>18093697.056860149</v>
      </c>
      <c r="AD604" s="223">
        <v>18708459.790703773</v>
      </c>
      <c r="AE604" s="223">
        <v>2894278.0257764468</v>
      </c>
      <c r="AF604" s="223">
        <v>19966559.612608477</v>
      </c>
      <c r="AG604" s="223">
        <v>3338266.680711498</v>
      </c>
      <c r="AH604" s="223">
        <v>10744804.762308272</v>
      </c>
      <c r="AI604" s="223">
        <v>10814052.799051464</v>
      </c>
      <c r="AJ604" s="223">
        <v>2654419.7053114679</v>
      </c>
      <c r="AK604" s="223">
        <v>9295744.9040884674</v>
      </c>
      <c r="AL604" s="223">
        <v>2923171.2862995141</v>
      </c>
      <c r="AM604" s="223">
        <v>5584266.4991089609</v>
      </c>
      <c r="AN604" s="223">
        <v>76501.651655323585</v>
      </c>
      <c r="AO604" s="223">
        <v>76501.651655323585</v>
      </c>
      <c r="AP604" s="223">
        <v>76501.651655323585</v>
      </c>
      <c r="AQ604" s="223">
        <v>7419226.6516553247</v>
      </c>
      <c r="AR604" s="223">
        <v>76501.651655323585</v>
      </c>
      <c r="AS604" s="223">
        <v>76501.651655323585</v>
      </c>
      <c r="AT604" s="223">
        <v>7418205.0610256437</v>
      </c>
      <c r="AU604" s="223">
        <v>11823840.061025644</v>
      </c>
      <c r="AV604" s="223">
        <v>75480.061025642397</v>
      </c>
      <c r="AW604" s="223">
        <v>75480.061025642397</v>
      </c>
      <c r="AX604" s="223"/>
      <c r="AY604" s="223"/>
      <c r="AZ604" s="223"/>
      <c r="BA604" s="223"/>
      <c r="BB604" s="223"/>
      <c r="BC604" s="223"/>
      <c r="BD604" s="223"/>
      <c r="BE604" s="223"/>
      <c r="BF604" s="223"/>
      <c r="BG604" s="223"/>
      <c r="BH604" s="223"/>
      <c r="BI604" s="223"/>
      <c r="BJ604" s="223"/>
      <c r="BK604" s="223"/>
    </row>
    <row r="605" spans="1:63">
      <c r="A605" s="170">
        <v>42948</v>
      </c>
      <c r="B605" s="220" t="str">
        <f>Servicio_internaColumna_título_intereses</f>
        <v>Intereses</v>
      </c>
      <c r="C605" s="221"/>
      <c r="D605" s="222"/>
      <c r="E605" s="222"/>
      <c r="F605" s="222"/>
      <c r="G605" s="222"/>
      <c r="H605" s="222"/>
      <c r="I605" s="222"/>
      <c r="J605" s="222"/>
      <c r="K605" s="222"/>
      <c r="L605" s="222"/>
      <c r="M605" s="222"/>
      <c r="N605" s="222"/>
      <c r="O605" s="222"/>
      <c r="P605" s="222"/>
      <c r="Q605" s="222"/>
      <c r="R605" s="222"/>
      <c r="S605" s="224">
        <f>'Perfil - interna'!S605+'Perfil - externa'!S603</f>
        <v>5561101.0727354251</v>
      </c>
      <c r="T605" s="224">
        <f>'Perfil - interna'!T605+'Perfil - externa'!T603</f>
        <v>22681050.052833583</v>
      </c>
      <c r="U605" s="224">
        <f>'Perfil - interna'!U605+'Perfil - externa'!U603</f>
        <v>21512184.787477985</v>
      </c>
      <c r="V605" s="224">
        <f>'Perfil - interna'!V605+'Perfil - externa'!V603</f>
        <v>19539451.180506725</v>
      </c>
      <c r="W605" s="224">
        <f>'Perfil - interna'!W605+'Perfil - externa'!W603</f>
        <v>17388250.722724855</v>
      </c>
      <c r="X605" s="224">
        <f>'Perfil - interna'!X605+'Perfil - externa'!X603</f>
        <v>16222813.759439977</v>
      </c>
      <c r="Y605" s="224">
        <f>'Perfil - interna'!Y605+'Perfil - externa'!Y603</f>
        <v>14350065.204648672</v>
      </c>
      <c r="Z605" s="224">
        <f>'Perfil - interna'!Z605+'Perfil - externa'!Z603</f>
        <v>13149254.584371736</v>
      </c>
      <c r="AA605" s="224">
        <f>'Perfil - interna'!AA605+'Perfil - externa'!AA603</f>
        <v>10122789.71471855</v>
      </c>
      <c r="AB605" s="224">
        <f>'Perfil - interna'!AB605+'Perfil - externa'!AB603</f>
        <v>9494665.8068506159</v>
      </c>
      <c r="AC605" s="224">
        <f>'Perfil - interna'!AC605+'Perfil - externa'!AC603</f>
        <v>7054298.8806322645</v>
      </c>
      <c r="AD605" s="224">
        <f>'Perfil - interna'!AD605+'Perfil - externa'!AD603</f>
        <v>6414535.9709054716</v>
      </c>
      <c r="AE605" s="224">
        <f>'Perfil - interna'!AE605+'Perfil - externa'!AE603</f>
        <v>5455771.5974403974</v>
      </c>
      <c r="AF605" s="224">
        <f>'Perfil - interna'!AF605+'Perfil - externa'!AF603</f>
        <v>5403611.5921441168</v>
      </c>
      <c r="AG605" s="224">
        <f>'Perfil - interna'!AG605+'Perfil - externa'!AG603</f>
        <v>3981688.4654371515</v>
      </c>
      <c r="AH605" s="224">
        <f>'Perfil - interna'!AH605+'Perfil - externa'!AH603</f>
        <v>3884821.4313718695</v>
      </c>
      <c r="AI605" s="224">
        <f>'Perfil - interna'!AI605+'Perfil - externa'!AI603</f>
        <v>3219970.6535530351</v>
      </c>
      <c r="AJ605" s="224">
        <f>'Perfil - interna'!AJ605+'Perfil - externa'!AJ603</f>
        <v>2725615.362958048</v>
      </c>
      <c r="AK605" s="224">
        <f>'Perfil - interna'!AK605+'Perfil - externa'!AK603</f>
        <v>2612425.3320285082</v>
      </c>
      <c r="AL605" s="224">
        <f>'Perfil - interna'!AL605+'Perfil - externa'!AL603</f>
        <v>2024764.7377627466</v>
      </c>
      <c r="AM605" s="224">
        <f>'Perfil - interna'!AM605+'Perfil - externa'!AM603</f>
        <v>1907438.2009863181</v>
      </c>
      <c r="AN605" s="224">
        <f>'Perfil - interna'!AN605+'Perfil - externa'!AN603</f>
        <v>1506805.3193561889</v>
      </c>
      <c r="AO605" s="224">
        <f>'Perfil - interna'!AO605+'Perfil - externa'!AO603</f>
        <v>1501248.7409949487</v>
      </c>
      <c r="AP605" s="224">
        <f>'Perfil - interna'!AP605+'Perfil - externa'!AP603</f>
        <v>1495705.6695822808</v>
      </c>
      <c r="AQ605" s="224">
        <f>'Perfil - interna'!AQ605+'Perfil - externa'!AQ603</f>
        <v>1265107.0022688201</v>
      </c>
      <c r="AR605" s="224">
        <f>'Perfil - interna'!AR605+'Perfil - externa'!AR603</f>
        <v>1034537.0117278701</v>
      </c>
      <c r="AS605" s="224">
        <f>'Perfil - interna'!AS605+'Perfil - externa'!AS603</f>
        <v>1023498.1933700397</v>
      </c>
      <c r="AT605" s="224">
        <f>'Perfil - interna'!AT605+'Perfil - externa'!AT603</f>
        <v>814066.87495434366</v>
      </c>
      <c r="AU605" s="224">
        <f>'Perfil - interna'!AU605+'Perfil - externa'!AU603</f>
        <v>310785.84820538218</v>
      </c>
      <c r="AV605" s="224">
        <f>'Perfil - interna'!AV605+'Perfil - externa'!AV603</f>
        <v>12446.850207561376</v>
      </c>
      <c r="AW605" s="224">
        <f>'Perfil - interna'!AW605+'Perfil - externa'!AW603</f>
        <v>4390.6595805963361</v>
      </c>
      <c r="AX605" s="224"/>
      <c r="AY605" s="224"/>
      <c r="AZ605" s="224"/>
      <c r="BA605" s="224"/>
      <c r="BB605" s="224"/>
      <c r="BC605" s="224"/>
      <c r="BD605" s="224"/>
      <c r="BE605" s="224"/>
      <c r="BF605" s="224"/>
      <c r="BG605" s="224"/>
      <c r="BH605" s="224"/>
      <c r="BI605" s="224"/>
      <c r="BJ605" s="224"/>
      <c r="BK605" s="224"/>
    </row>
    <row r="606" spans="1:63">
      <c r="A606" s="171"/>
      <c r="B606" s="318" t="str">
        <f>Servicio_internaColumna_título_total</f>
        <v>Total</v>
      </c>
      <c r="C606" s="319"/>
      <c r="D606" s="320"/>
      <c r="E606" s="320"/>
      <c r="F606" s="320"/>
      <c r="G606" s="320"/>
      <c r="H606" s="320"/>
      <c r="I606" s="320"/>
      <c r="J606" s="320"/>
      <c r="K606" s="320"/>
      <c r="L606" s="320"/>
      <c r="M606" s="320"/>
      <c r="N606" s="320"/>
      <c r="O606" s="320"/>
      <c r="P606" s="320"/>
      <c r="Q606" s="320"/>
      <c r="R606" s="320"/>
      <c r="S606" s="321">
        <f>+'Perfil - interna'!S606+'Perfil - externa'!S604</f>
        <v>12795541.514385555</v>
      </c>
      <c r="T606" s="321">
        <f>+'Perfil - interna'!T606+'Perfil - externa'!T604</f>
        <v>53359008.733316936</v>
      </c>
      <c r="U606" s="321">
        <f>+'Perfil - interna'!U606+'Perfil - externa'!U604</f>
        <v>55307807.175551414</v>
      </c>
      <c r="V606" s="321">
        <f>+'Perfil - interna'!V606+'Perfil - externa'!V604</f>
        <v>44115587.206499591</v>
      </c>
      <c r="W606" s="321">
        <f>+'Perfil - interna'!W606+'Perfil - externa'!W604</f>
        <v>46762118.477517456</v>
      </c>
      <c r="X606" s="321">
        <f>+'Perfil - interna'!X606+'Perfil - externa'!X604</f>
        <v>46006273.699794985</v>
      </c>
      <c r="Y606" s="321">
        <f>+'Perfil - interna'!Y606+'Perfil - externa'!Y604</f>
        <v>35922178.770815551</v>
      </c>
      <c r="Z606" s="321">
        <f>+'Perfil - interna'!Z606+'Perfil - externa'!Z604</f>
        <v>51611550.968946971</v>
      </c>
      <c r="AA606" s="321">
        <f>+'Perfil - interna'!AA606+'Perfil - externa'!AA604</f>
        <v>23991720.614028636</v>
      </c>
      <c r="AB606" s="321">
        <f>+'Perfil - interna'!AB606+'Perfil - externa'!AB604</f>
        <v>48472353.299153864</v>
      </c>
      <c r="AC606" s="321">
        <f>+'Perfil - interna'!AC606+'Perfil - externa'!AC604</f>
        <v>25144762.481826589</v>
      </c>
      <c r="AD606" s="321">
        <f>+'Perfil - interna'!AD606+'Perfil - externa'!AD604</f>
        <v>25119762.305943422</v>
      </c>
      <c r="AE606" s="321">
        <f>+'Perfil - interna'!AE606+'Perfil - externa'!AE604</f>
        <v>8346816.1675510192</v>
      </c>
      <c r="AF606" s="321">
        <f>+'Perfil - interna'!AF606+'Perfil - externa'!AF604</f>
        <v>25366937.749086767</v>
      </c>
      <c r="AG606" s="321">
        <f>+'Perfil - interna'!AG606+'Perfil - externa'!AG604</f>
        <v>7316721.690482825</v>
      </c>
      <c r="AH606" s="321">
        <f>+'Perfil - interna'!AH606+'Perfil - externa'!AH604</f>
        <v>14626392.738014316</v>
      </c>
      <c r="AI606" s="321">
        <f>+'Perfil - interna'!AI606+'Perfil - externa'!AI604</f>
        <v>14033341.598562665</v>
      </c>
      <c r="AJ606" s="321">
        <f>+'Perfil - interna'!AJ606+'Perfil - externa'!AJ604</f>
        <v>5379353.2142276857</v>
      </c>
      <c r="AK606" s="321">
        <f>+'Perfil - interna'!AK606+'Perfil - externa'!AK604</f>
        <v>11907488.382075146</v>
      </c>
      <c r="AL606" s="321">
        <f>+'Perfil - interna'!AL606+'Perfil - externa'!AL604</f>
        <v>4947254.1700204294</v>
      </c>
      <c r="AM606" s="321">
        <f>+'Perfil - interna'!AM606+'Perfil - externa'!AM604</f>
        <v>7491704.7000952782</v>
      </c>
      <c r="AN606" s="321">
        <f>+'Perfil - interna'!AN606+'Perfil - externa'!AN604</f>
        <v>1583306.9710115124</v>
      </c>
      <c r="AO606" s="321">
        <f>+'Perfil - interna'!AO606+'Perfil - externa'!AO604</f>
        <v>1577750.3926502722</v>
      </c>
      <c r="AP606" s="321">
        <f>+'Perfil - interna'!AP606+'Perfil - externa'!AP604</f>
        <v>1572207.3212376044</v>
      </c>
      <c r="AQ606" s="321">
        <f>+'Perfil - interna'!AQ606+'Perfil - externa'!AQ604</f>
        <v>8684333.6539241448</v>
      </c>
      <c r="AR606" s="321">
        <f>+'Perfil - interna'!AR606+'Perfil - externa'!AR604</f>
        <v>1111038.6633831938</v>
      </c>
      <c r="AS606" s="321">
        <f>+'Perfil - interna'!AS606+'Perfil - externa'!AS604</f>
        <v>1099999.8450253634</v>
      </c>
      <c r="AT606" s="321">
        <f>+'Perfil - interna'!AT606+'Perfil - externa'!AT604</f>
        <v>8232271.9359799875</v>
      </c>
      <c r="AU606" s="321">
        <f>+'Perfil - interna'!AU606+'Perfil - externa'!AU604</f>
        <v>12134625.909231026</v>
      </c>
      <c r="AV606" s="321">
        <f>+'Perfil - interna'!AV606+'Perfil - externa'!AV604</f>
        <v>87926.911233203777</v>
      </c>
      <c r="AW606" s="321">
        <f>+'Perfil - interna'!AW606+'Perfil - externa'!AW604</f>
        <v>79870.720606238727</v>
      </c>
      <c r="AX606" s="321"/>
      <c r="AY606" s="321"/>
      <c r="AZ606" s="321"/>
      <c r="BA606" s="321"/>
      <c r="BB606" s="321"/>
      <c r="BC606" s="321"/>
      <c r="BD606" s="321"/>
      <c r="BE606" s="321"/>
      <c r="BF606" s="321"/>
      <c r="BG606" s="321"/>
      <c r="BH606" s="321"/>
      <c r="BI606" s="321"/>
      <c r="BJ606" s="321"/>
      <c r="BK606" s="321"/>
    </row>
    <row r="607" spans="1:63">
      <c r="A607" s="167"/>
      <c r="B607" s="217" t="str">
        <f>Servicio_internaColumna_título_amortizaciones</f>
        <v>Amortizaciones</v>
      </c>
      <c r="C607" s="218"/>
      <c r="D607" s="219"/>
      <c r="E607" s="219"/>
      <c r="F607" s="219"/>
      <c r="G607" s="219"/>
      <c r="H607" s="219"/>
      <c r="I607" s="219"/>
      <c r="J607" s="219"/>
      <c r="K607" s="219"/>
      <c r="L607" s="219"/>
      <c r="M607" s="219"/>
      <c r="N607" s="219"/>
      <c r="O607" s="219"/>
      <c r="P607" s="219"/>
      <c r="Q607" s="219"/>
      <c r="R607" s="219"/>
      <c r="S607" s="223">
        <v>4622685.6353759225</v>
      </c>
      <c r="T607" s="223">
        <v>31429533.134626005</v>
      </c>
      <c r="U607" s="223">
        <v>33733992.634106547</v>
      </c>
      <c r="V607" s="223">
        <v>24579502.964808803</v>
      </c>
      <c r="W607" s="223">
        <v>29681656.218536235</v>
      </c>
      <c r="X607" s="223">
        <v>30420050.087755557</v>
      </c>
      <c r="Y607" s="223">
        <v>21577570.741741415</v>
      </c>
      <c r="Z607" s="223">
        <v>38468246.218385436</v>
      </c>
      <c r="AA607" s="223">
        <v>13868928.693027906</v>
      </c>
      <c r="AB607" s="223">
        <v>39666171.488524087</v>
      </c>
      <c r="AC607" s="223">
        <v>18383853.344441954</v>
      </c>
      <c r="AD607" s="223">
        <v>18705027.935659423</v>
      </c>
      <c r="AE607" s="223">
        <v>2888099.970734681</v>
      </c>
      <c r="AF607" s="223">
        <v>19960369.626722775</v>
      </c>
      <c r="AG607" s="223">
        <v>3334507.6166760796</v>
      </c>
      <c r="AH607" s="223">
        <v>11437384.70968586</v>
      </c>
      <c r="AI607" s="223">
        <v>10816901.993925873</v>
      </c>
      <c r="AJ607" s="223">
        <v>2656179.0643365323</v>
      </c>
      <c r="AK607" s="223">
        <v>9570015.98621675</v>
      </c>
      <c r="AL607" s="223">
        <v>2911916.4569134484</v>
      </c>
      <c r="AM607" s="223">
        <v>5591419.2055461211</v>
      </c>
      <c r="AN607" s="223">
        <v>76195.31884098603</v>
      </c>
      <c r="AO607" s="223">
        <v>76195.31884098603</v>
      </c>
      <c r="AP607" s="223">
        <v>76195.31884098603</v>
      </c>
      <c r="AQ607" s="223">
        <v>7428870.3188409861</v>
      </c>
      <c r="AR607" s="223">
        <v>76195.31884098603</v>
      </c>
      <c r="AS607" s="223">
        <v>76195.31884098603</v>
      </c>
      <c r="AT607" s="223">
        <v>7427847.3438714631</v>
      </c>
      <c r="AU607" s="223">
        <v>11839452.343871463</v>
      </c>
      <c r="AV607" s="223">
        <v>75172.343871462974</v>
      </c>
      <c r="AW607" s="223">
        <v>75172.343871462974</v>
      </c>
      <c r="AX607" s="223"/>
      <c r="AY607" s="223"/>
      <c r="AZ607" s="223"/>
      <c r="BA607" s="223"/>
      <c r="BB607" s="223"/>
      <c r="BC607" s="223"/>
      <c r="BD607" s="223"/>
      <c r="BE607" s="223"/>
      <c r="BF607" s="223"/>
      <c r="BG607" s="223"/>
      <c r="BH607" s="223"/>
      <c r="BI607" s="223"/>
      <c r="BJ607" s="223"/>
      <c r="BK607" s="223"/>
    </row>
    <row r="608" spans="1:63">
      <c r="A608" s="170">
        <v>42979</v>
      </c>
      <c r="B608" s="220" t="str">
        <f>Servicio_internaColumna_título_intereses</f>
        <v>Intereses</v>
      </c>
      <c r="C608" s="221"/>
      <c r="D608" s="222"/>
      <c r="E608" s="222"/>
      <c r="F608" s="222"/>
      <c r="G608" s="222"/>
      <c r="H608" s="222"/>
      <c r="I608" s="222"/>
      <c r="J608" s="222"/>
      <c r="K608" s="222"/>
      <c r="L608" s="222"/>
      <c r="M608" s="222"/>
      <c r="N608" s="222"/>
      <c r="O608" s="222"/>
      <c r="P608" s="222"/>
      <c r="Q608" s="222"/>
      <c r="R608" s="222"/>
      <c r="S608" s="224">
        <f>'Perfil - interna'!S608+'Perfil - externa'!S606</f>
        <v>2176624.8071130142</v>
      </c>
      <c r="T608" s="224">
        <f>'Perfil - interna'!T608+'Perfil - externa'!T606</f>
        <v>23133968.687000915</v>
      </c>
      <c r="U608" s="224">
        <f>'Perfil - interna'!U608+'Perfil - externa'!U606</f>
        <v>22023541.684508339</v>
      </c>
      <c r="V608" s="224">
        <f>'Perfil - interna'!V608+'Perfil - externa'!V606</f>
        <v>20097728.959900286</v>
      </c>
      <c r="W608" s="224">
        <f>'Perfil - interna'!W608+'Perfil - externa'!W606</f>
        <v>17882567.357765056</v>
      </c>
      <c r="X608" s="224">
        <f>'Perfil - interna'!X608+'Perfil - externa'!X606</f>
        <v>16681296.095336977</v>
      </c>
      <c r="Y608" s="224">
        <f>'Perfil - interna'!Y608+'Perfil - externa'!Y606</f>
        <v>14714898.006404398</v>
      </c>
      <c r="Z608" s="224">
        <f>'Perfil - interna'!Z608+'Perfil - externa'!Z606</f>
        <v>13507831.912235226</v>
      </c>
      <c r="AA608" s="224">
        <f>'Perfil - interna'!AA608+'Perfil - externa'!AA606</f>
        <v>10485282.206129381</v>
      </c>
      <c r="AB608" s="224">
        <f>'Perfil - interna'!AB608+'Perfil - externa'!AB606</f>
        <v>9840562.7233308889</v>
      </c>
      <c r="AC608" s="224">
        <f>'Perfil - interna'!AC608+'Perfil - externa'!AC606</f>
        <v>7263446.1917272108</v>
      </c>
      <c r="AD608" s="224">
        <f>'Perfil - interna'!AD608+'Perfil - externa'!AD606</f>
        <v>6519751.9550228119</v>
      </c>
      <c r="AE608" s="224">
        <f>'Perfil - interna'!AE608+'Perfil - externa'!AE606</f>
        <v>5555269.2456940217</v>
      </c>
      <c r="AF608" s="224">
        <f>'Perfil - interna'!AF608+'Perfil - externa'!AF606</f>
        <v>5498460.2020397941</v>
      </c>
      <c r="AG608" s="224">
        <f>'Perfil - interna'!AG608+'Perfil - externa'!AG606</f>
        <v>4073427.6032008277</v>
      </c>
      <c r="AH608" s="224">
        <f>'Perfil - interna'!AH608+'Perfil - externa'!AH606</f>
        <v>3979320.0982061066</v>
      </c>
      <c r="AI608" s="224">
        <f>'Perfil - interna'!AI608+'Perfil - externa'!AI606</f>
        <v>3261441.9256024435</v>
      </c>
      <c r="AJ608" s="224">
        <f>'Perfil - interna'!AJ608+'Perfil - externa'!AJ606</f>
        <v>2763410.4572368343</v>
      </c>
      <c r="AK608" s="224">
        <f>'Perfil - interna'!AK608+'Perfil - externa'!AK606</f>
        <v>2646149.6743624005</v>
      </c>
      <c r="AL608" s="224">
        <f>'Perfil - interna'!AL608+'Perfil - externa'!AL606</f>
        <v>2031363.7026588966</v>
      </c>
      <c r="AM608" s="224">
        <f>'Perfil - interna'!AM608+'Perfil - externa'!AM606</f>
        <v>1911909.3151976641</v>
      </c>
      <c r="AN608" s="224">
        <f>'Perfil - interna'!AN608+'Perfil - externa'!AN606</f>
        <v>1508335.5952808452</v>
      </c>
      <c r="AO608" s="224">
        <f>'Perfil - interna'!AO608+'Perfil - externa'!AO606</f>
        <v>1502790.305557437</v>
      </c>
      <c r="AP608" s="224">
        <f>'Perfil - interna'!AP608+'Perfil - externa'!AP606</f>
        <v>1497160.7133341557</v>
      </c>
      <c r="AQ608" s="224">
        <f>'Perfil - interna'!AQ608+'Perfil - externa'!AQ606</f>
        <v>1266287.2802232108</v>
      </c>
      <c r="AR608" s="224">
        <f>'Perfil - interna'!AR608+'Perfil - externa'!AR606</f>
        <v>1035416.9319156775</v>
      </c>
      <c r="AS608" s="224">
        <f>'Perfil - interna'!AS608+'Perfil - externa'!AS606</f>
        <v>1024416.0083560189</v>
      </c>
      <c r="AT608" s="224">
        <f>'Perfil - interna'!AT608+'Perfil - externa'!AT606</f>
        <v>814683.58188522363</v>
      </c>
      <c r="AU608" s="224">
        <f>'Perfil - interna'!AU608+'Perfil - externa'!AU606</f>
        <v>310784.7461553996</v>
      </c>
      <c r="AV608" s="224">
        <f>'Perfil - interna'!AV608+'Perfil - externa'!AV606</f>
        <v>13663.817366513607</v>
      </c>
      <c r="AW608" s="224">
        <f>'Perfil - interna'!AW608+'Perfil - externa'!AW606</f>
        <v>3185.8197108175877</v>
      </c>
      <c r="AX608" s="224"/>
      <c r="AY608" s="224"/>
      <c r="AZ608" s="224"/>
      <c r="BA608" s="224"/>
      <c r="BB608" s="224"/>
      <c r="BC608" s="224"/>
      <c r="BD608" s="224"/>
      <c r="BE608" s="224"/>
      <c r="BF608" s="224"/>
      <c r="BG608" s="224"/>
      <c r="BH608" s="224"/>
      <c r="BI608" s="224"/>
      <c r="BJ608" s="224"/>
      <c r="BK608" s="224"/>
    </row>
    <row r="609" spans="1:63">
      <c r="A609" s="171"/>
      <c r="B609" s="318" t="str">
        <f>Servicio_internaColumna_título_total</f>
        <v>Total</v>
      </c>
      <c r="C609" s="319"/>
      <c r="D609" s="320"/>
      <c r="E609" s="320"/>
      <c r="F609" s="320"/>
      <c r="G609" s="320"/>
      <c r="H609" s="320"/>
      <c r="I609" s="320"/>
      <c r="J609" s="320"/>
      <c r="K609" s="320"/>
      <c r="L609" s="320"/>
      <c r="M609" s="320"/>
      <c r="N609" s="320"/>
      <c r="O609" s="320"/>
      <c r="P609" s="320"/>
      <c r="Q609" s="320"/>
      <c r="R609" s="320"/>
      <c r="S609" s="321">
        <f>+'Perfil - interna'!S609+'Perfil - externa'!S607</f>
        <v>6799310.4424889367</v>
      </c>
      <c r="T609" s="321">
        <f>+'Perfil - interna'!T609+'Perfil - externa'!T607</f>
        <v>54563501.821626917</v>
      </c>
      <c r="U609" s="321">
        <f>+'Perfil - interna'!U609+'Perfil - externa'!U607</f>
        <v>55757534.318614885</v>
      </c>
      <c r="V609" s="321">
        <f>+'Perfil - interna'!V609+'Perfil - externa'!V607</f>
        <v>44677231.924709089</v>
      </c>
      <c r="W609" s="321">
        <f>+'Perfil - interna'!W609+'Perfil - externa'!W607</f>
        <v>47564223.576301292</v>
      </c>
      <c r="X609" s="321">
        <f>+'Perfil - interna'!X609+'Perfil - externa'!X607</f>
        <v>47101346.183092535</v>
      </c>
      <c r="Y609" s="321">
        <f>+'Perfil - interna'!Y609+'Perfil - externa'!Y607</f>
        <v>36292468.748145811</v>
      </c>
      <c r="Z609" s="321">
        <f>+'Perfil - interna'!Z609+'Perfil - externa'!Z607</f>
        <v>51976078.130620658</v>
      </c>
      <c r="AA609" s="321">
        <f>+'Perfil - interna'!AA609+'Perfil - externa'!AA607</f>
        <v>24354210.899157289</v>
      </c>
      <c r="AB609" s="321">
        <f>+'Perfil - interna'!AB609+'Perfil - externa'!AB607</f>
        <v>49506734.211854979</v>
      </c>
      <c r="AC609" s="321">
        <f>+'Perfil - interna'!AC609+'Perfil - externa'!AC607</f>
        <v>25647299.536169164</v>
      </c>
      <c r="AD609" s="321">
        <f>+'Perfil - interna'!AD609+'Perfil - externa'!AD607</f>
        <v>25224779.890682235</v>
      </c>
      <c r="AE609" s="321">
        <f>+'Perfil - interna'!AE609+'Perfil - externa'!AE607</f>
        <v>8443369.2164287027</v>
      </c>
      <c r="AF609" s="321">
        <f>+'Perfil - interna'!AF609+'Perfil - externa'!AF607</f>
        <v>25458829.828762572</v>
      </c>
      <c r="AG609" s="321">
        <f>+'Perfil - interna'!AG609+'Perfil - externa'!AG607</f>
        <v>7407935.2198769078</v>
      </c>
      <c r="AH609" s="321">
        <f>+'Perfil - interna'!AH609+'Perfil - externa'!AH607</f>
        <v>15416704.807891967</v>
      </c>
      <c r="AI609" s="321">
        <f>+'Perfil - interna'!AI609+'Perfil - externa'!AI607</f>
        <v>14078343.919528315</v>
      </c>
      <c r="AJ609" s="321">
        <f>+'Perfil - interna'!AJ609+'Perfil - externa'!AJ607</f>
        <v>5419589.5215733675</v>
      </c>
      <c r="AK609" s="321">
        <f>+'Perfil - interna'!AK609+'Perfil - externa'!AK607</f>
        <v>12216165.660579152</v>
      </c>
      <c r="AL609" s="321">
        <f>+'Perfil - interna'!AL609+'Perfil - externa'!AL607</f>
        <v>4943280.1595723452</v>
      </c>
      <c r="AM609" s="321">
        <f>+'Perfil - interna'!AM609+'Perfil - externa'!AM607</f>
        <v>7503328.5207437845</v>
      </c>
      <c r="AN609" s="321">
        <f>+'Perfil - interna'!AN609+'Perfil - externa'!AN607</f>
        <v>1584530.9141218313</v>
      </c>
      <c r="AO609" s="321">
        <f>+'Perfil - interna'!AO609+'Perfil - externa'!AO607</f>
        <v>1578985.6243984231</v>
      </c>
      <c r="AP609" s="321">
        <f>+'Perfil - interna'!AP609+'Perfil - externa'!AP607</f>
        <v>1573356.0321751419</v>
      </c>
      <c r="AQ609" s="321">
        <f>+'Perfil - interna'!AQ609+'Perfil - externa'!AQ607</f>
        <v>8695157.5990641974</v>
      </c>
      <c r="AR609" s="321">
        <f>+'Perfil - interna'!AR609+'Perfil - externa'!AR607</f>
        <v>1111612.2507566635</v>
      </c>
      <c r="AS609" s="321">
        <f>+'Perfil - interna'!AS609+'Perfil - externa'!AS607</f>
        <v>1100611.327197005</v>
      </c>
      <c r="AT609" s="321">
        <f>+'Perfil - interna'!AT609+'Perfil - externa'!AT607</f>
        <v>8242530.9257566864</v>
      </c>
      <c r="AU609" s="321">
        <f>+'Perfil - interna'!AU609+'Perfil - externa'!AU607</f>
        <v>12150237.090026863</v>
      </c>
      <c r="AV609" s="321">
        <f>+'Perfil - interna'!AV609+'Perfil - externa'!AV607</f>
        <v>88836.161237976587</v>
      </c>
      <c r="AW609" s="321">
        <f>+'Perfil - interna'!AW609+'Perfil - externa'!AW607</f>
        <v>78358.163582280555</v>
      </c>
      <c r="AX609" s="321"/>
      <c r="AY609" s="321"/>
      <c r="AZ609" s="321"/>
      <c r="BA609" s="321"/>
      <c r="BB609" s="321"/>
      <c r="BC609" s="321"/>
      <c r="BD609" s="321"/>
      <c r="BE609" s="321"/>
      <c r="BF609" s="321"/>
      <c r="BG609" s="321"/>
      <c r="BH609" s="321"/>
      <c r="BI609" s="321"/>
      <c r="BJ609" s="321"/>
      <c r="BK609" s="321"/>
    </row>
    <row r="610" spans="1:63">
      <c r="A610" s="167"/>
      <c r="B610" s="217" t="str">
        <f>Servicio_internaColumna_título_amortizaciones</f>
        <v>Amortizaciones</v>
      </c>
      <c r="C610" s="218"/>
      <c r="D610" s="219"/>
      <c r="E610" s="219"/>
      <c r="F610" s="219"/>
      <c r="G610" s="219"/>
      <c r="H610" s="219"/>
      <c r="I610" s="219"/>
      <c r="J610" s="219"/>
      <c r="K610" s="219"/>
      <c r="L610" s="219"/>
      <c r="M610" s="219"/>
      <c r="N610" s="219"/>
      <c r="O610" s="219"/>
      <c r="P610" s="219"/>
      <c r="Q610" s="219"/>
      <c r="R610" s="219"/>
      <c r="S610" s="223">
        <v>4642997.724702321</v>
      </c>
      <c r="T610" s="223">
        <v>30959842.108796567</v>
      </c>
      <c r="U610" s="223">
        <v>33936559.376137286</v>
      </c>
      <c r="V610" s="223">
        <v>24692676.447786536</v>
      </c>
      <c r="W610" s="223">
        <v>30090081.568407591</v>
      </c>
      <c r="X610" s="223">
        <v>31109364.25233946</v>
      </c>
      <c r="Y610" s="223">
        <v>21714790.706522848</v>
      </c>
      <c r="Z610" s="223">
        <v>38739020.624119222</v>
      </c>
      <c r="AA610" s="223">
        <v>13971231.338893611</v>
      </c>
      <c r="AB610" s="223">
        <v>40378811.596830606</v>
      </c>
      <c r="AC610" s="223">
        <v>18778993.449478086</v>
      </c>
      <c r="AD610" s="223">
        <v>18815690.598125029</v>
      </c>
      <c r="AE610" s="223">
        <v>2963057.8744269731</v>
      </c>
      <c r="AF610" s="223">
        <v>20032658.400420196</v>
      </c>
      <c r="AG610" s="223">
        <v>3413282.1691385871</v>
      </c>
      <c r="AH610" s="223">
        <v>11892233.540696459</v>
      </c>
      <c r="AI610" s="223">
        <v>10869894.283130828</v>
      </c>
      <c r="AJ610" s="223">
        <v>2718949.6035030098</v>
      </c>
      <c r="AK610" s="223">
        <v>9759408.7542583384</v>
      </c>
      <c r="AL610" s="223">
        <v>2943693.5550209866</v>
      </c>
      <c r="AM610" s="223">
        <v>5724393.3780633891</v>
      </c>
      <c r="AN610" s="223">
        <v>76940.700710543417</v>
      </c>
      <c r="AO610" s="223">
        <v>76940.700710543417</v>
      </c>
      <c r="AP610" s="223">
        <v>76940.700710543417</v>
      </c>
      <c r="AQ610" s="223">
        <v>7605540.7007105434</v>
      </c>
      <c r="AR610" s="223">
        <v>76940.700710543417</v>
      </c>
      <c r="AS610" s="223">
        <v>76940.700710543417</v>
      </c>
      <c r="AT610" s="223">
        <v>7604493.2493604496</v>
      </c>
      <c r="AU610" s="223">
        <v>12121653.24936045</v>
      </c>
      <c r="AV610" s="223">
        <v>75893.249360449568</v>
      </c>
      <c r="AW610" s="223">
        <v>75893.249360449568</v>
      </c>
      <c r="AX610" s="223"/>
      <c r="AY610" s="223"/>
      <c r="AZ610" s="223"/>
      <c r="BA610" s="223"/>
      <c r="BB610" s="223"/>
      <c r="BC610" s="223"/>
      <c r="BD610" s="223"/>
      <c r="BE610" s="223"/>
      <c r="BF610" s="223"/>
      <c r="BG610" s="223"/>
      <c r="BH610" s="223"/>
      <c r="BI610" s="223"/>
      <c r="BJ610" s="223"/>
      <c r="BK610" s="223"/>
    </row>
    <row r="611" spans="1:63">
      <c r="A611" s="170">
        <v>43009</v>
      </c>
      <c r="B611" s="220" t="str">
        <f>Servicio_internaColumna_título_intereses</f>
        <v>Intereses</v>
      </c>
      <c r="C611" s="221"/>
      <c r="D611" s="222"/>
      <c r="E611" s="222"/>
      <c r="F611" s="222"/>
      <c r="G611" s="222"/>
      <c r="H611" s="222"/>
      <c r="I611" s="222"/>
      <c r="J611" s="222"/>
      <c r="K611" s="222"/>
      <c r="L611" s="222"/>
      <c r="M611" s="222"/>
      <c r="N611" s="222"/>
      <c r="O611" s="222"/>
      <c r="P611" s="222"/>
      <c r="Q611" s="222"/>
      <c r="R611" s="222"/>
      <c r="S611" s="224">
        <f>'Perfil - interna'!S611+'Perfil - externa'!S609</f>
        <v>1312891.8413485512</v>
      </c>
      <c r="T611" s="224">
        <f>'Perfil - interna'!T611+'Perfil - externa'!T609</f>
        <v>23225973.330550466</v>
      </c>
      <c r="U611" s="224">
        <f>'Perfil - interna'!U611+'Perfil - externa'!U609</f>
        <v>22294289.0472969</v>
      </c>
      <c r="V611" s="224">
        <f>'Perfil - interna'!V611+'Perfil - externa'!V609</f>
        <v>20369105.480678141</v>
      </c>
      <c r="W611" s="224">
        <f>'Perfil - interna'!W611+'Perfil - externa'!W609</f>
        <v>18135934.258398987</v>
      </c>
      <c r="X611" s="224">
        <f>'Perfil - interna'!X611+'Perfil - externa'!X609</f>
        <v>16920831.939760119</v>
      </c>
      <c r="Y611" s="224">
        <f>'Perfil - interna'!Y611+'Perfil - externa'!Y609</f>
        <v>14917073.392125834</v>
      </c>
      <c r="Z611" s="224">
        <f>'Perfil - interna'!Z611+'Perfil - externa'!Z609</f>
        <v>13708151.356521137</v>
      </c>
      <c r="AA611" s="224">
        <f>'Perfil - interna'!AA611+'Perfil - externa'!AA609</f>
        <v>10653023.962122602</v>
      </c>
      <c r="AB611" s="224">
        <f>'Perfil - interna'!AB611+'Perfil - externa'!AB609</f>
        <v>9996948.8832213283</v>
      </c>
      <c r="AC611" s="224">
        <f>'Perfil - interna'!AC611+'Perfil - externa'!AC609</f>
        <v>7375269.7475495124</v>
      </c>
      <c r="AD611" s="224">
        <f>'Perfil - interna'!AD611+'Perfil - externa'!AD609</f>
        <v>6630957.7234524637</v>
      </c>
      <c r="AE611" s="224">
        <f>'Perfil - interna'!AE611+'Perfil - externa'!AE609</f>
        <v>5661507.8730221149</v>
      </c>
      <c r="AF611" s="224">
        <f>'Perfil - interna'!AF611+'Perfil - externa'!AF609</f>
        <v>5601630.152447734</v>
      </c>
      <c r="AG611" s="224">
        <f>'Perfil - interna'!AG611+'Perfil - externa'!AG609</f>
        <v>4172335.4762067944</v>
      </c>
      <c r="AH611" s="224">
        <f>'Perfil - interna'!AH611+'Perfil - externa'!AH609</f>
        <v>4076041.3216504175</v>
      </c>
      <c r="AI611" s="224">
        <f>'Perfil - interna'!AI611+'Perfil - externa'!AI609</f>
        <v>3331038.8228339022</v>
      </c>
      <c r="AJ611" s="224">
        <f>'Perfil - interna'!AJ611+'Perfil - externa'!AJ609</f>
        <v>2830014.1000013868</v>
      </c>
      <c r="AK611" s="224">
        <f>'Perfil - interna'!AK611+'Perfil - externa'!AK609</f>
        <v>2708347.4435844757</v>
      </c>
      <c r="AL611" s="224">
        <f>'Perfil - interna'!AL611+'Perfil - externa'!AL609</f>
        <v>2079646.6296456472</v>
      </c>
      <c r="AM611" s="224">
        <f>'Perfil - interna'!AM611+'Perfil - externa'!AM609</f>
        <v>1957196.5221999076</v>
      </c>
      <c r="AN611" s="224">
        <f>'Perfil - interna'!AN611+'Perfil - externa'!AN609</f>
        <v>1543988.1891183991</v>
      </c>
      <c r="AO611" s="224">
        <f>'Perfil - interna'!AO611+'Perfil - externa'!AO609</f>
        <v>1538365.5294901407</v>
      </c>
      <c r="AP611" s="224">
        <f>'Perfil - interna'!AP611+'Perfil - externa'!AP609</f>
        <v>1532683.5849202755</v>
      </c>
      <c r="AQ611" s="224">
        <f>'Perfil - interna'!AQ611+'Perfil - externa'!AQ609</f>
        <v>1296341.7407709607</v>
      </c>
      <c r="AR611" s="224">
        <f>'Perfil - interna'!AR611+'Perfil - externa'!AR609</f>
        <v>1060012.3483671215</v>
      </c>
      <c r="AS611" s="224">
        <f>'Perfil - interna'!AS611+'Perfil - externa'!AS609</f>
        <v>1048934.3416274134</v>
      </c>
      <c r="AT611" s="224">
        <f>'Perfil - interna'!AT611+'Perfil - externa'!AT609</f>
        <v>834192.88986831543</v>
      </c>
      <c r="AU611" s="224">
        <f>'Perfil - interna'!AU611+'Perfil - externa'!AU609</f>
        <v>318229.12956422038</v>
      </c>
      <c r="AV611" s="224">
        <f>'Perfil - interna'!AV611+'Perfil - externa'!AV609</f>
        <v>13996.854840956685</v>
      </c>
      <c r="AW611" s="224">
        <f>'Perfil - interna'!AW611+'Perfil - externa'!AW609</f>
        <v>3371.9012316807211</v>
      </c>
      <c r="AX611" s="224"/>
      <c r="AY611" s="224"/>
      <c r="AZ611" s="224"/>
      <c r="BA611" s="224"/>
      <c r="BB611" s="224"/>
      <c r="BC611" s="224"/>
      <c r="BD611" s="224"/>
      <c r="BE611" s="224"/>
      <c r="BF611" s="224"/>
      <c r="BG611" s="224"/>
      <c r="BH611" s="224"/>
      <c r="BI611" s="224"/>
      <c r="BJ611" s="224"/>
      <c r="BK611" s="224"/>
    </row>
    <row r="612" spans="1:63">
      <c r="A612" s="171"/>
      <c r="B612" s="318" t="str">
        <f>Servicio_internaColumna_título_total</f>
        <v>Total</v>
      </c>
      <c r="C612" s="319"/>
      <c r="D612" s="320"/>
      <c r="E612" s="320"/>
      <c r="F612" s="320"/>
      <c r="G612" s="320"/>
      <c r="H612" s="320"/>
      <c r="I612" s="320"/>
      <c r="J612" s="320"/>
      <c r="K612" s="320"/>
      <c r="L612" s="320"/>
      <c r="M612" s="320"/>
      <c r="N612" s="320"/>
      <c r="O612" s="320"/>
      <c r="P612" s="320"/>
      <c r="Q612" s="320"/>
      <c r="R612" s="320"/>
      <c r="S612" s="321">
        <f>+'Perfil - interna'!S612+'Perfil - externa'!S610</f>
        <v>5955889.5660508722</v>
      </c>
      <c r="T612" s="321">
        <f>+'Perfil - interna'!T612+'Perfil - externa'!T610</f>
        <v>54185815.439347036</v>
      </c>
      <c r="U612" s="321">
        <f>+'Perfil - interna'!U612+'Perfil - externa'!U610</f>
        <v>56230848.423434183</v>
      </c>
      <c r="V612" s="321">
        <f>+'Perfil - interna'!V612+'Perfil - externa'!V610</f>
        <v>45061781.928464681</v>
      </c>
      <c r="W612" s="321">
        <f>+'Perfil - interna'!W612+'Perfil - externa'!W610</f>
        <v>48226015.826806575</v>
      </c>
      <c r="X612" s="321">
        <f>+'Perfil - interna'!X612+'Perfil - externa'!X610</f>
        <v>48030196.192099586</v>
      </c>
      <c r="Y612" s="321">
        <f>+'Perfil - interna'!Y612+'Perfil - externa'!Y610</f>
        <v>36631864.098648682</v>
      </c>
      <c r="Z612" s="321">
        <f>+'Perfil - interna'!Z612+'Perfil - externa'!Z610</f>
        <v>52447171.980640359</v>
      </c>
      <c r="AA612" s="321">
        <f>+'Perfil - interna'!AA612+'Perfil - externa'!AA610</f>
        <v>24624255.301016215</v>
      </c>
      <c r="AB612" s="321">
        <f>+'Perfil - interna'!AB612+'Perfil - externa'!AB610</f>
        <v>50375760.480051935</v>
      </c>
      <c r="AC612" s="321">
        <f>+'Perfil - interna'!AC612+'Perfil - externa'!AC610</f>
        <v>26154263.197027601</v>
      </c>
      <c r="AD612" s="321">
        <f>+'Perfil - interna'!AD612+'Perfil - externa'!AD610</f>
        <v>25446648.321577493</v>
      </c>
      <c r="AE612" s="321">
        <f>+'Perfil - interna'!AE612+'Perfil - externa'!AE610</f>
        <v>8624565.747449087</v>
      </c>
      <c r="AF612" s="321">
        <f>+'Perfil - interna'!AF612+'Perfil - externa'!AF610</f>
        <v>25634288.552867934</v>
      </c>
      <c r="AG612" s="321">
        <f>+'Perfil - interna'!AG612+'Perfil - externa'!AG610</f>
        <v>7585617.6453453824</v>
      </c>
      <c r="AH612" s="321">
        <f>+'Perfil - interna'!AH612+'Perfil - externa'!AH610</f>
        <v>15968274.862346876</v>
      </c>
      <c r="AI612" s="321">
        <f>+'Perfil - interna'!AI612+'Perfil - externa'!AI610</f>
        <v>14200933.10596473</v>
      </c>
      <c r="AJ612" s="321">
        <f>+'Perfil - interna'!AJ612+'Perfil - externa'!AJ610</f>
        <v>5548963.7035043966</v>
      </c>
      <c r="AK612" s="321">
        <f>+'Perfil - interna'!AK612+'Perfil - externa'!AK610</f>
        <v>12467756.197842814</v>
      </c>
      <c r="AL612" s="321">
        <f>+'Perfil - interna'!AL612+'Perfil - externa'!AL610</f>
        <v>5023340.1846666336</v>
      </c>
      <c r="AM612" s="321">
        <f>+'Perfil - interna'!AM612+'Perfil - externa'!AM610</f>
        <v>7681589.9002632964</v>
      </c>
      <c r="AN612" s="321">
        <f>+'Perfil - interna'!AN612+'Perfil - externa'!AN610</f>
        <v>1620928.8898289425</v>
      </c>
      <c r="AO612" s="321">
        <f>+'Perfil - interna'!AO612+'Perfil - externa'!AO610</f>
        <v>1615306.2302006842</v>
      </c>
      <c r="AP612" s="321">
        <f>+'Perfil - interna'!AP612+'Perfil - externa'!AP610</f>
        <v>1609624.2856308189</v>
      </c>
      <c r="AQ612" s="321">
        <f>+'Perfil - interna'!AQ612+'Perfil - externa'!AQ610</f>
        <v>8901882.4414815046</v>
      </c>
      <c r="AR612" s="321">
        <f>+'Perfil - interna'!AR612+'Perfil - externa'!AR610</f>
        <v>1136953.049077665</v>
      </c>
      <c r="AS612" s="321">
        <f>+'Perfil - interna'!AS612+'Perfil - externa'!AS610</f>
        <v>1125875.0423379568</v>
      </c>
      <c r="AT612" s="321">
        <f>+'Perfil - interna'!AT612+'Perfil - externa'!AT610</f>
        <v>8438686.1392287649</v>
      </c>
      <c r="AU612" s="321">
        <f>+'Perfil - interna'!AU612+'Perfil - externa'!AU610</f>
        <v>12439882.37892467</v>
      </c>
      <c r="AV612" s="321">
        <f>+'Perfil - interna'!AV612+'Perfil - externa'!AV610</f>
        <v>89890.104201406255</v>
      </c>
      <c r="AW612" s="321">
        <f>+'Perfil - interna'!AW612+'Perfil - externa'!AW610</f>
        <v>79265.150592130289</v>
      </c>
      <c r="AX612" s="321"/>
      <c r="AY612" s="321"/>
      <c r="AZ612" s="321"/>
      <c r="BA612" s="321"/>
      <c r="BB612" s="321"/>
      <c r="BC612" s="321"/>
      <c r="BD612" s="321"/>
      <c r="BE612" s="321"/>
      <c r="BF612" s="321"/>
      <c r="BG612" s="321"/>
      <c r="BH612" s="321"/>
      <c r="BI612" s="321"/>
      <c r="BJ612" s="321"/>
      <c r="BK612" s="321"/>
    </row>
    <row r="613" spans="1:63">
      <c r="A613" s="167"/>
      <c r="B613" s="217" t="str">
        <f>Servicio_internaColumna_título_amortizaciones</f>
        <v>Amortizaciones</v>
      </c>
      <c r="C613" s="218"/>
      <c r="D613" s="219"/>
      <c r="E613" s="219"/>
      <c r="F613" s="219"/>
      <c r="G613" s="219"/>
      <c r="H613" s="219"/>
      <c r="I613" s="219"/>
      <c r="J613" s="219"/>
      <c r="K613" s="219"/>
      <c r="L613" s="219"/>
      <c r="M613" s="219"/>
      <c r="N613" s="219"/>
      <c r="O613" s="219"/>
      <c r="P613" s="219"/>
      <c r="Q613" s="219"/>
      <c r="R613" s="219"/>
      <c r="S613" s="224">
        <f>'Perfil - interna'!S613+'Perfil - externa'!S611</f>
        <v>4520751.3948539887</v>
      </c>
      <c r="T613" s="224">
        <f>'Perfil - interna'!T613+'Perfil - externa'!T611</f>
        <v>31717908.092474103</v>
      </c>
      <c r="U613" s="224">
        <f>'Perfil - interna'!U613+'Perfil - externa'!U611</f>
        <v>33905866.609804273</v>
      </c>
      <c r="V613" s="224">
        <f>'Perfil - interna'!V613+'Perfil - externa'!V611</f>
        <v>24675177.275617175</v>
      </c>
      <c r="W613" s="224">
        <f>'Perfil - interna'!W613+'Perfil - externa'!W611</f>
        <v>30209104.74021858</v>
      </c>
      <c r="X613" s="224">
        <f>'Perfil - interna'!X613+'Perfil - externa'!X611</f>
        <v>31121927.405917179</v>
      </c>
      <c r="Y613" s="224">
        <f>'Perfil - interna'!Y613+'Perfil - externa'!Y611</f>
        <v>21699793.150775995</v>
      </c>
      <c r="Z613" s="224">
        <f>'Perfil - interna'!Z613+'Perfil - externa'!Z611</f>
        <v>38708482.535270602</v>
      </c>
      <c r="AA613" s="224">
        <f>'Perfil - interna'!AA613+'Perfil - externa'!AA611</f>
        <v>13957062.093211524</v>
      </c>
      <c r="AB613" s="224">
        <f>'Perfil - interna'!AB613+'Perfil - externa'!AB611</f>
        <v>40675518.739398137</v>
      </c>
      <c r="AC613" s="224">
        <f>'Perfil - interna'!AC613+'Perfil - externa'!AC611</f>
        <v>18950697.558058355</v>
      </c>
      <c r="AD613" s="224">
        <f>'Perfil - interna'!AD613+'Perfil - externa'!AD611</f>
        <v>18797387.290422682</v>
      </c>
      <c r="AE613" s="224">
        <f>'Perfil - interna'!AE613+'Perfil - externa'!AE611</f>
        <v>2947333.224824138</v>
      </c>
      <c r="AF613" s="224">
        <f>'Perfil - interna'!AF613+'Perfil - externa'!AF611</f>
        <v>20119104.155614048</v>
      </c>
      <c r="AG613" s="224">
        <f>'Perfil - interna'!AG613+'Perfil - externa'!AG611</f>
        <v>3396017.3236269709</v>
      </c>
      <c r="AH613" s="224">
        <f>'Perfil - interna'!AH613+'Perfil - externa'!AH611</f>
        <v>12034498.225572739</v>
      </c>
      <c r="AI613" s="224">
        <f>'Perfil - interna'!AI613+'Perfil - externa'!AI611</f>
        <v>10989336.422850478</v>
      </c>
      <c r="AJ613" s="224">
        <f>'Perfil - interna'!AJ613+'Perfil - externa'!AJ611</f>
        <v>2715866.2080128193</v>
      </c>
      <c r="AK613" s="224">
        <f>'Perfil - interna'!AK613+'Perfil - externa'!AK611</f>
        <v>9911413.3274577428</v>
      </c>
      <c r="AL613" s="224">
        <f>'Perfil - interna'!AL613+'Perfil - externa'!AL611</f>
        <v>2999226.7481923448</v>
      </c>
      <c r="AM613" s="224">
        <f>'Perfil - interna'!AM613+'Perfil - externa'!AM611</f>
        <v>5715969.2484293263</v>
      </c>
      <c r="AN613" s="224">
        <f>'Perfil - interna'!AN613+'Perfil - externa'!AN611</f>
        <v>78517.790962802595</v>
      </c>
      <c r="AO613" s="224">
        <f>'Perfil - interna'!AO613+'Perfil - externa'!AO611</f>
        <v>78517.790962802595</v>
      </c>
      <c r="AP613" s="224">
        <f>'Perfil - interna'!AP613+'Perfil - externa'!AP611</f>
        <v>78517.790962802595</v>
      </c>
      <c r="AQ613" s="224">
        <f>'Perfil - interna'!AQ613+'Perfil - externa'!AQ611</f>
        <v>7593742.7909628022</v>
      </c>
      <c r="AR613" s="224">
        <f>'Perfil - interna'!AR613+'Perfil - externa'!AR611</f>
        <v>78517.790962802595</v>
      </c>
      <c r="AS613" s="224">
        <f>'Perfil - interna'!AS613+'Perfil - externa'!AS611</f>
        <v>78517.790962802595</v>
      </c>
      <c r="AT613" s="224">
        <f>'Perfil - interna'!AT613+'Perfil - externa'!AT611</f>
        <v>7592697.2004715418</v>
      </c>
      <c r="AU613" s="224">
        <f>'Perfil - interna'!AU613+'Perfil - externa'!AU611</f>
        <v>12101832.200471541</v>
      </c>
      <c r="AV613" s="224">
        <f>'Perfil - interna'!AV613+'Perfil - externa'!AV611</f>
        <v>77472.200471541408</v>
      </c>
      <c r="AW613" s="224">
        <f>'Perfil - interna'!AW613+'Perfil - externa'!AW611</f>
        <v>77472.200471541408</v>
      </c>
      <c r="AX613" s="224"/>
      <c r="AY613" s="224"/>
      <c r="AZ613" s="224"/>
      <c r="BA613" s="224"/>
      <c r="BB613" s="224"/>
      <c r="BC613" s="224"/>
      <c r="BD613" s="224"/>
      <c r="BE613" s="224"/>
      <c r="BF613" s="224"/>
      <c r="BG613" s="224"/>
      <c r="BH613" s="224"/>
      <c r="BI613" s="224"/>
      <c r="BJ613" s="224"/>
      <c r="BK613" s="224"/>
    </row>
    <row r="614" spans="1:63">
      <c r="A614" s="170">
        <v>43040</v>
      </c>
      <c r="B614" s="220" t="str">
        <f>Servicio_internaColumna_título_intereses</f>
        <v>Intereses</v>
      </c>
      <c r="C614" s="221"/>
      <c r="D614" s="222"/>
      <c r="E614" s="222"/>
      <c r="F614" s="222"/>
      <c r="G614" s="222"/>
      <c r="H614" s="222"/>
      <c r="I614" s="222"/>
      <c r="J614" s="222"/>
      <c r="K614" s="222"/>
      <c r="L614" s="222"/>
      <c r="M614" s="222"/>
      <c r="N614" s="222"/>
      <c r="O614" s="222"/>
      <c r="P614" s="222"/>
      <c r="Q614" s="222"/>
      <c r="R614" s="222"/>
      <c r="S614" s="224">
        <f>'Perfil - interna'!S614+'Perfil - externa'!S612</f>
        <v>472463.09182776895</v>
      </c>
      <c r="T614" s="224">
        <f>'Perfil - interna'!T614+'Perfil - externa'!T612</f>
        <v>23236163.917813469</v>
      </c>
      <c r="U614" s="224">
        <f>'Perfil - interna'!U614+'Perfil - externa'!U612</f>
        <v>22340273.40992846</v>
      </c>
      <c r="V614" s="224">
        <f>'Perfil - interna'!V614+'Perfil - externa'!V612</f>
        <v>20486843.250291489</v>
      </c>
      <c r="W614" s="224">
        <f>'Perfil - interna'!W614+'Perfil - externa'!W612</f>
        <v>18205396.204921801</v>
      </c>
      <c r="X614" s="224">
        <f>'Perfil - interna'!X614+'Perfil - externa'!X612</f>
        <v>16983784.769859124</v>
      </c>
      <c r="Y614" s="224">
        <f>'Perfil - interna'!Y614+'Perfil - externa'!Y612</f>
        <v>14953849.702005655</v>
      </c>
      <c r="Z614" s="224">
        <f>'Perfil - interna'!Z614+'Perfil - externa'!Z612</f>
        <v>13744088.047402792</v>
      </c>
      <c r="AA614" s="224">
        <f>'Perfil - interna'!AA614+'Perfil - externa'!AA612</f>
        <v>10706280.471041435</v>
      </c>
      <c r="AB614" s="224">
        <f>'Perfil - interna'!AB614+'Perfil - externa'!AB612</f>
        <v>10048682.04993511</v>
      </c>
      <c r="AC614" s="224">
        <f>'Perfil - interna'!AC614+'Perfil - externa'!AC612</f>
        <v>7408822.6867197193</v>
      </c>
      <c r="AD614" s="224">
        <f>'Perfil - interna'!AD614+'Perfil - externa'!AD612</f>
        <v>6663932.3903187308</v>
      </c>
      <c r="AE614" s="224">
        <f>'Perfil - interna'!AE614+'Perfil - externa'!AE612</f>
        <v>5691621.0308875628</v>
      </c>
      <c r="AF614" s="224">
        <f>'Perfil - interna'!AF614+'Perfil - externa'!AF612</f>
        <v>5629984.109383719</v>
      </c>
      <c r="AG614" s="224">
        <f>'Perfil - interna'!AG614+'Perfil - externa'!AG612</f>
        <v>4191949.4384347331</v>
      </c>
      <c r="AH614" s="224">
        <f>'Perfil - interna'!AH614+'Perfil - externa'!AH612</f>
        <v>4096236.605832682</v>
      </c>
      <c r="AI614" s="224">
        <f>'Perfil - interna'!AI614+'Perfil - externa'!AI612</f>
        <v>3349128.8319554627</v>
      </c>
      <c r="AJ614" s="224">
        <f>'Perfil - interna'!AJ614+'Perfil - externa'!AJ612</f>
        <v>2841065.2164127375</v>
      </c>
      <c r="AK614" s="224">
        <f>'Perfil - interna'!AK614+'Perfil - externa'!AK612</f>
        <v>2717704.2411604971</v>
      </c>
      <c r="AL614" s="224">
        <f>'Perfil - interna'!AL614+'Perfil - externa'!AL612</f>
        <v>2079892.3916338675</v>
      </c>
      <c r="AM614" s="224">
        <f>'Perfil - interna'!AM614+'Perfil - externa'!AM612</f>
        <v>1954768.2506222802</v>
      </c>
      <c r="AN614" s="224">
        <f>'Perfil - interna'!AN614+'Perfil - externa'!AN612</f>
        <v>1542171.5722076406</v>
      </c>
      <c r="AO614" s="224">
        <f>'Perfil - interna'!AO614+'Perfil - externa'!AO612</f>
        <v>1536444.1915367318</v>
      </c>
      <c r="AP614" s="224">
        <f>'Perfil - interna'!AP614+'Perfil - externa'!AP612</f>
        <v>1530688.7139079315</v>
      </c>
      <c r="AQ614" s="224">
        <f>'Perfil - interna'!AQ614+'Perfil - externa'!AQ612</f>
        <v>1294658.3944994402</v>
      </c>
      <c r="AR614" s="224">
        <f>'Perfil - interna'!AR614+'Perfil - externa'!AR612</f>
        <v>1058656.1729103131</v>
      </c>
      <c r="AS614" s="224">
        <f>'Perfil - interna'!AS614+'Perfil - externa'!AS612</f>
        <v>1047495.6152556684</v>
      </c>
      <c r="AT614" s="224">
        <f>'Perfil - interna'!AT614+'Perfil - externa'!AT612</f>
        <v>833070.39386734716</v>
      </c>
      <c r="AU614" s="224">
        <f>'Perfil - interna'!AU614+'Perfil - externa'!AU612</f>
        <v>317944.33734003536</v>
      </c>
      <c r="AV614" s="224">
        <f>'Perfil - interna'!AV614+'Perfil - externa'!AV612</f>
        <v>14186.23086176793</v>
      </c>
      <c r="AW614" s="224">
        <f>'Perfil - interna'!AW614+'Perfil - externa'!AW612</f>
        <v>3613.0655718790854</v>
      </c>
      <c r="AX614" s="224"/>
      <c r="AY614" s="224"/>
      <c r="AZ614" s="224"/>
      <c r="BA614" s="224"/>
      <c r="BB614" s="224"/>
      <c r="BC614" s="224"/>
      <c r="BD614" s="224"/>
      <c r="BE614" s="224"/>
      <c r="BF614" s="224"/>
      <c r="BG614" s="224"/>
      <c r="BH614" s="224"/>
      <c r="BI614" s="224"/>
      <c r="BJ614" s="224"/>
      <c r="BK614" s="224"/>
    </row>
    <row r="615" spans="1:63">
      <c r="A615" s="171"/>
      <c r="B615" s="318" t="str">
        <f>Servicio_internaColumna_título_total</f>
        <v>Total</v>
      </c>
      <c r="C615" s="319"/>
      <c r="D615" s="320"/>
      <c r="E615" s="320"/>
      <c r="F615" s="320"/>
      <c r="G615" s="320"/>
      <c r="H615" s="320"/>
      <c r="I615" s="320"/>
      <c r="J615" s="320"/>
      <c r="K615" s="320"/>
      <c r="L615" s="320"/>
      <c r="M615" s="320"/>
      <c r="N615" s="320"/>
      <c r="O615" s="320"/>
      <c r="P615" s="320"/>
      <c r="Q615" s="320"/>
      <c r="R615" s="320"/>
      <c r="S615" s="321">
        <f>+'Perfil - interna'!S615+'Perfil - externa'!S613</f>
        <v>4993214.4866817575</v>
      </c>
      <c r="T615" s="321">
        <f>+'Perfil - interna'!T615+'Perfil - externa'!T613</f>
        <v>54954072.010287568</v>
      </c>
      <c r="U615" s="321">
        <f>+'Perfil - interna'!U615+'Perfil - externa'!U613</f>
        <v>56246140.019732736</v>
      </c>
      <c r="V615" s="321">
        <f>+'Perfil - interna'!V615+'Perfil - externa'!V613</f>
        <v>45162020.525908664</v>
      </c>
      <c r="W615" s="321">
        <f>+'Perfil - interna'!W615+'Perfil - externa'!W613</f>
        <v>48414500.945140377</v>
      </c>
      <c r="X615" s="321">
        <f>+'Perfil - interna'!X615+'Perfil - externa'!X613</f>
        <v>48105712.175776303</v>
      </c>
      <c r="Y615" s="321">
        <f>+'Perfil - interna'!Y615+'Perfil - externa'!Y613</f>
        <v>36653642.852781653</v>
      </c>
      <c r="Z615" s="321">
        <f>+'Perfil - interna'!Z615+'Perfil - externa'!Z613</f>
        <v>52452570.582673393</v>
      </c>
      <c r="AA615" s="321">
        <f>+'Perfil - interna'!AA615+'Perfil - externa'!AA613</f>
        <v>24663342.564252958</v>
      </c>
      <c r="AB615" s="321">
        <f>+'Perfil - interna'!AB615+'Perfil - externa'!AB613</f>
        <v>50724200.789333247</v>
      </c>
      <c r="AC615" s="321">
        <f>+'Perfil - interna'!AC615+'Perfil - externa'!AC613</f>
        <v>26359520.244778074</v>
      </c>
      <c r="AD615" s="321">
        <f>+'Perfil - interna'!AD615+'Perfil - externa'!AD613</f>
        <v>25461319.680741411</v>
      </c>
      <c r="AE615" s="321">
        <f>+'Perfil - interna'!AE615+'Perfil - externa'!AE613</f>
        <v>8638954.2557117008</v>
      </c>
      <c r="AF615" s="321">
        <f>+'Perfil - interna'!AF615+'Perfil - externa'!AF613</f>
        <v>25749088.264997769</v>
      </c>
      <c r="AG615" s="321">
        <f>+'Perfil - interna'!AG615+'Perfil - externa'!AG613</f>
        <v>7587966.762061704</v>
      </c>
      <c r="AH615" s="321">
        <f>+'Perfil - interna'!AH615+'Perfil - externa'!AH613</f>
        <v>16130734.831405422</v>
      </c>
      <c r="AI615" s="321">
        <f>+'Perfil - interna'!AI615+'Perfil - externa'!AI613</f>
        <v>14338465.254805941</v>
      </c>
      <c r="AJ615" s="321">
        <f>+'Perfil - interna'!AJ615+'Perfil - externa'!AJ613</f>
        <v>5556931.4244255563</v>
      </c>
      <c r="AK615" s="321">
        <f>+'Perfil - interna'!AK615+'Perfil - externa'!AK613</f>
        <v>12629117.568618242</v>
      </c>
      <c r="AL615" s="321">
        <f>+'Perfil - interna'!AL615+'Perfil - externa'!AL613</f>
        <v>5079119.1398262121</v>
      </c>
      <c r="AM615" s="321">
        <f>+'Perfil - interna'!AM615+'Perfil - externa'!AM613</f>
        <v>7670737.4990516063</v>
      </c>
      <c r="AN615" s="321">
        <f>+'Perfil - interna'!AN615+'Perfil - externa'!AN613</f>
        <v>1620689.3631704433</v>
      </c>
      <c r="AO615" s="321">
        <f>+'Perfil - interna'!AO615+'Perfil - externa'!AO613</f>
        <v>1614961.9824995345</v>
      </c>
      <c r="AP615" s="321">
        <f>+'Perfil - interna'!AP615+'Perfil - externa'!AP613</f>
        <v>1609206.5048707342</v>
      </c>
      <c r="AQ615" s="321">
        <f>+'Perfil - interna'!AQ615+'Perfil - externa'!AQ613</f>
        <v>8888401.185462242</v>
      </c>
      <c r="AR615" s="321">
        <f>+'Perfil - interna'!AR615+'Perfil - externa'!AR613</f>
        <v>1137173.9638731158</v>
      </c>
      <c r="AS615" s="321">
        <f>+'Perfil - interna'!AS615+'Perfil - externa'!AS613</f>
        <v>1126013.406218471</v>
      </c>
      <c r="AT615" s="321">
        <f>+'Perfil - interna'!AT615+'Perfil - externa'!AT613</f>
        <v>8425767.5943388883</v>
      </c>
      <c r="AU615" s="321">
        <f>+'Perfil - interna'!AU615+'Perfil - externa'!AU613</f>
        <v>12419776.537811575</v>
      </c>
      <c r="AV615" s="321">
        <f>+'Perfil - interna'!AV615+'Perfil - externa'!AV613</f>
        <v>91658.431333309331</v>
      </c>
      <c r="AW615" s="321">
        <f>+'Perfil - interna'!AW615+'Perfil - externa'!AW613</f>
        <v>81085.266043420488</v>
      </c>
      <c r="AX615" s="321"/>
      <c r="AY615" s="321"/>
      <c r="AZ615" s="321"/>
      <c r="BA615" s="321"/>
      <c r="BB615" s="321"/>
      <c r="BC615" s="321"/>
      <c r="BD615" s="321"/>
      <c r="BE615" s="321"/>
      <c r="BF615" s="321"/>
      <c r="BG615" s="321"/>
      <c r="BH615" s="321"/>
      <c r="BI615" s="321"/>
      <c r="BJ615" s="321"/>
      <c r="BK615" s="321"/>
    </row>
    <row r="616" spans="1:63">
      <c r="A616" s="167"/>
      <c r="B616" s="217" t="str">
        <f>Servicio_internaColumna_título_amortizaciones</f>
        <v>Amortizaciones</v>
      </c>
      <c r="C616" s="218"/>
      <c r="D616" s="219"/>
      <c r="E616" s="219"/>
      <c r="F616" s="219"/>
      <c r="G616" s="219"/>
      <c r="H616" s="219"/>
      <c r="I616" s="219"/>
      <c r="J616" s="219"/>
      <c r="K616" s="219"/>
      <c r="L616" s="219"/>
      <c r="M616" s="219"/>
      <c r="N616" s="219"/>
      <c r="O616" s="219"/>
      <c r="P616" s="219"/>
      <c r="Q616" s="219"/>
      <c r="R616" s="219"/>
      <c r="S616" s="224"/>
      <c r="T616" s="224">
        <f>'Perfil - interna'!T616+'Perfil - externa'!T614</f>
        <v>37788530.629002415</v>
      </c>
      <c r="U616" s="224">
        <v>33777887.467603728</v>
      </c>
      <c r="V616" s="224">
        <v>24335375.197442368</v>
      </c>
      <c r="W616" s="224">
        <v>30567061.778336167</v>
      </c>
      <c r="X616" s="224">
        <v>31141203.806394879</v>
      </c>
      <c r="Y616" s="224">
        <v>21659269.326475359</v>
      </c>
      <c r="Z616" s="224">
        <v>38608298.185004152</v>
      </c>
      <c r="AA616" s="224">
        <v>13924696.430239992</v>
      </c>
      <c r="AB616" s="224">
        <v>41541096.908543646</v>
      </c>
      <c r="AC616" s="224">
        <v>19045076.369057521</v>
      </c>
      <c r="AD616" s="224">
        <v>18808425.367959283</v>
      </c>
      <c r="AE616" s="224">
        <v>2927669.9101103651</v>
      </c>
      <c r="AF616" s="224">
        <v>20210774.906898662</v>
      </c>
      <c r="AG616" s="224">
        <v>3376426.3267619745</v>
      </c>
      <c r="AH616" s="224">
        <v>12148708.882564649</v>
      </c>
      <c r="AI616" s="224">
        <v>11090146.642046712</v>
      </c>
      <c r="AJ616" s="224">
        <v>2696491.8321072133</v>
      </c>
      <c r="AK616" s="224">
        <v>10005175.437659124</v>
      </c>
      <c r="AL616" s="224">
        <v>2995729.6235456998</v>
      </c>
      <c r="AM616" s="224">
        <v>5674640.371575987</v>
      </c>
      <c r="AN616" s="224">
        <v>78462.341151578774</v>
      </c>
      <c r="AO616" s="224">
        <v>78462.341151578774</v>
      </c>
      <c r="AP616" s="224">
        <v>78462.341151578774</v>
      </c>
      <c r="AQ616" s="224">
        <v>7538462.3411515793</v>
      </c>
      <c r="AR616" s="224">
        <v>78462.341151578774</v>
      </c>
      <c r="AS616" s="224">
        <v>78462.341151578774</v>
      </c>
      <c r="AT616" s="224">
        <v>7537424.4340942642</v>
      </c>
      <c r="AU616" s="224">
        <v>12013424.434094265</v>
      </c>
      <c r="AV616" s="224">
        <v>77424.434094263997</v>
      </c>
      <c r="AW616" s="224">
        <v>77424.434094263997</v>
      </c>
      <c r="AX616" s="224">
        <v>77424.434094263997</v>
      </c>
      <c r="AY616" s="224"/>
      <c r="AZ616" s="224"/>
      <c r="BA616" s="224"/>
      <c r="BB616" s="224"/>
      <c r="BC616" s="224"/>
      <c r="BD616" s="224"/>
      <c r="BE616" s="224"/>
      <c r="BF616" s="224"/>
      <c r="BG616" s="224"/>
      <c r="BH616" s="224"/>
      <c r="BI616" s="224"/>
      <c r="BJ616" s="224"/>
      <c r="BK616" s="224"/>
    </row>
    <row r="617" spans="1:63">
      <c r="A617" s="170">
        <v>43070</v>
      </c>
      <c r="B617" s="220" t="str">
        <f>Servicio_internaColumna_título_intereses</f>
        <v>Intereses</v>
      </c>
      <c r="C617" s="221"/>
      <c r="D617" s="222"/>
      <c r="E617" s="222"/>
      <c r="F617" s="222"/>
      <c r="G617" s="222"/>
      <c r="H617" s="222"/>
      <c r="I617" s="222"/>
      <c r="J617" s="222"/>
      <c r="K617" s="222"/>
      <c r="L617" s="222"/>
      <c r="M617" s="222"/>
      <c r="N617" s="222"/>
      <c r="O617" s="222"/>
      <c r="P617" s="222"/>
      <c r="Q617" s="222"/>
      <c r="R617" s="222"/>
      <c r="S617" s="224"/>
      <c r="T617" s="224">
        <f>'Perfil - interna'!T617+'Perfil - externa'!T615</f>
        <v>23282621.770168733</v>
      </c>
      <c r="U617" s="224">
        <v>22398355.546358496</v>
      </c>
      <c r="V617" s="224">
        <v>20528962.043818694</v>
      </c>
      <c r="W617" s="224">
        <v>22380581.834756196</v>
      </c>
      <c r="X617" s="224">
        <v>17023883.720370244</v>
      </c>
      <c r="Y617" s="224">
        <v>14943131.653471313</v>
      </c>
      <c r="Z617" s="224">
        <v>13732466.23233439</v>
      </c>
      <c r="AA617" s="224">
        <v>10725004.329811186</v>
      </c>
      <c r="AB617" s="224">
        <v>10034880.372559305</v>
      </c>
      <c r="AC617" s="224">
        <v>7393135.3583086831</v>
      </c>
      <c r="AD617" s="224">
        <v>6652859.9471588405</v>
      </c>
      <c r="AE617" s="224">
        <v>5682257.9480294324</v>
      </c>
      <c r="AF617" s="224">
        <v>5624767.6855440512</v>
      </c>
      <c r="AG617" s="224">
        <v>4178359.0865033516</v>
      </c>
      <c r="AH617" s="224">
        <v>4086366.0855573658</v>
      </c>
      <c r="AI617" s="224">
        <v>3340533.9615323506</v>
      </c>
      <c r="AJ617" s="224">
        <v>2828571.9917403767</v>
      </c>
      <c r="AK617" s="224">
        <v>2706068.5207064492</v>
      </c>
      <c r="AL617" s="224">
        <v>2060751.8345808941</v>
      </c>
      <c r="AM617" s="224">
        <v>1936482.932750779</v>
      </c>
      <c r="AN617" s="224">
        <v>1529572.5204984692</v>
      </c>
      <c r="AO617" s="224">
        <v>1523126.7040301922</v>
      </c>
      <c r="AP617" s="224">
        <v>1517708.6149091688</v>
      </c>
      <c r="AQ617" s="224">
        <v>1283685.4743176608</v>
      </c>
      <c r="AR617" s="224">
        <v>1049707.1160361264</v>
      </c>
      <c r="AS617" s="224">
        <v>1044178.8231581638</v>
      </c>
      <c r="AT617" s="224">
        <v>826640.67777547543</v>
      </c>
      <c r="AU617" s="224">
        <v>315319.38935783639</v>
      </c>
      <c r="AV617" s="224">
        <v>13827.338655044896</v>
      </c>
      <c r="AW617" s="224">
        <v>3799.1560165576439</v>
      </c>
      <c r="AX617" s="224">
        <v>7534.1215313248122</v>
      </c>
      <c r="AY617" s="224"/>
      <c r="AZ617" s="224"/>
      <c r="BA617" s="224"/>
      <c r="BB617" s="224"/>
      <c r="BC617" s="224"/>
      <c r="BD617" s="224"/>
      <c r="BE617" s="224"/>
      <c r="BF617" s="224"/>
      <c r="BG617" s="224"/>
      <c r="BH617" s="224"/>
      <c r="BI617" s="224"/>
      <c r="BJ617" s="224"/>
      <c r="BK617" s="224"/>
    </row>
    <row r="618" spans="1:63">
      <c r="A618" s="171"/>
      <c r="B618" s="318" t="str">
        <f>Servicio_internaColumna_título_total</f>
        <v>Total</v>
      </c>
      <c r="C618" s="319"/>
      <c r="D618" s="320"/>
      <c r="E618" s="320"/>
      <c r="F618" s="320"/>
      <c r="G618" s="320"/>
      <c r="H618" s="320"/>
      <c r="I618" s="320"/>
      <c r="J618" s="320"/>
      <c r="K618" s="320"/>
      <c r="L618" s="320"/>
      <c r="M618" s="320"/>
      <c r="N618" s="320"/>
      <c r="O618" s="320"/>
      <c r="P618" s="320"/>
      <c r="Q618" s="320"/>
      <c r="R618" s="320"/>
      <c r="S618" s="321"/>
      <c r="T618" s="321">
        <f>+'Perfil - interna'!T618+'Perfil - externa'!T616</f>
        <v>61071152.399171144</v>
      </c>
      <c r="U618" s="321">
        <v>56176243.013962217</v>
      </c>
      <c r="V618" s="321">
        <v>44864337.241261058</v>
      </c>
      <c r="W618" s="321">
        <v>52947643.613092363</v>
      </c>
      <c r="X618" s="321">
        <v>48165087.526765123</v>
      </c>
      <c r="Y618" s="321">
        <v>36602400.979946673</v>
      </c>
      <c r="Z618" s="321">
        <v>52340764.417338543</v>
      </c>
      <c r="AA618" s="321">
        <v>24649700.760051176</v>
      </c>
      <c r="AB618" s="321">
        <v>51575977.281102948</v>
      </c>
      <c r="AC618" s="321">
        <v>26438211.727366209</v>
      </c>
      <c r="AD618" s="321">
        <v>25461285.315118127</v>
      </c>
      <c r="AE618" s="321">
        <v>8609927.858139798</v>
      </c>
      <c r="AF618" s="321">
        <v>25835542.592442714</v>
      </c>
      <c r="AG618" s="321">
        <v>7554785.4132653251</v>
      </c>
      <c r="AH618" s="321">
        <v>16235074.968122015</v>
      </c>
      <c r="AI618" s="321">
        <v>14430680.603579063</v>
      </c>
      <c r="AJ618" s="321">
        <v>5525063.82384759</v>
      </c>
      <c r="AK618" s="321">
        <v>12711243.958365574</v>
      </c>
      <c r="AL618" s="321">
        <v>5056481.4581265934</v>
      </c>
      <c r="AM618" s="321">
        <v>7611123.3043267662</v>
      </c>
      <c r="AN618" s="321">
        <v>1608034.8616500481</v>
      </c>
      <c r="AO618" s="321">
        <v>1601589.045181771</v>
      </c>
      <c r="AP618" s="321">
        <v>1596170.9560607476</v>
      </c>
      <c r="AQ618" s="321">
        <v>8822147.8154692408</v>
      </c>
      <c r="AR618" s="321">
        <v>1128169.457187705</v>
      </c>
      <c r="AS618" s="321">
        <v>1122641.1643097424</v>
      </c>
      <c r="AT618" s="321">
        <v>8364065.1118697394</v>
      </c>
      <c r="AU618" s="321">
        <v>12328743.823452102</v>
      </c>
      <c r="AV618" s="321">
        <v>91251.77274930889</v>
      </c>
      <c r="AW618" s="321">
        <v>81223.590110821635</v>
      </c>
      <c r="AX618" s="321">
        <v>84958.555625588808</v>
      </c>
      <c r="AY618" s="321"/>
      <c r="AZ618" s="321"/>
      <c r="BA618" s="321"/>
      <c r="BB618" s="321"/>
      <c r="BC618" s="321"/>
      <c r="BD618" s="321"/>
      <c r="BE618" s="321"/>
      <c r="BF618" s="321"/>
      <c r="BG618" s="321"/>
      <c r="BH618" s="321"/>
      <c r="BI618" s="321"/>
      <c r="BJ618" s="321"/>
      <c r="BK618" s="321"/>
    </row>
    <row r="619" spans="1:63">
      <c r="A619" s="167"/>
      <c r="B619" s="217" t="str">
        <f>Servicio_internaColumna_título_amortizaciones</f>
        <v>Amortizaciones</v>
      </c>
      <c r="C619" s="218"/>
      <c r="D619" s="219"/>
      <c r="E619" s="219"/>
      <c r="F619" s="219"/>
      <c r="G619" s="219"/>
      <c r="H619" s="219"/>
      <c r="I619" s="219"/>
      <c r="J619" s="219"/>
      <c r="K619" s="219"/>
      <c r="L619" s="219"/>
      <c r="M619" s="219"/>
      <c r="N619" s="219"/>
      <c r="O619" s="219"/>
      <c r="P619" s="219"/>
      <c r="Q619" s="219"/>
      <c r="R619" s="219"/>
      <c r="S619" s="224"/>
      <c r="T619" s="224">
        <f>'Perfil - interna'!T619+'Perfil - externa'!T617</f>
        <v>38148035.001846164</v>
      </c>
      <c r="U619" s="224">
        <v>33704851.122699499</v>
      </c>
      <c r="V619" s="224">
        <v>24299135.716484692</v>
      </c>
      <c r="W619" s="224">
        <v>30374699.701050449</v>
      </c>
      <c r="X619" s="224">
        <v>31179214.999489069</v>
      </c>
      <c r="Y619" s="224">
        <v>21960795.989017971</v>
      </c>
      <c r="Z619" s="224">
        <v>38158247.454388238</v>
      </c>
      <c r="AA619" s="224">
        <v>15704156.14014321</v>
      </c>
      <c r="AB619" s="224">
        <v>41214100.963674366</v>
      </c>
      <c r="AC619" s="224">
        <v>18805690.609469961</v>
      </c>
      <c r="AD619" s="224">
        <v>18669979.580068965</v>
      </c>
      <c r="AE619" s="224">
        <v>3980987.275584491</v>
      </c>
      <c r="AF619" s="224">
        <v>20137438.312555097</v>
      </c>
      <c r="AG619" s="224">
        <v>3253282.2512932206</v>
      </c>
      <c r="AH619" s="224">
        <v>12053262.065533999</v>
      </c>
      <c r="AI619" s="224">
        <v>11040799.577475213</v>
      </c>
      <c r="AJ619" s="224">
        <v>2577142.2846195628</v>
      </c>
      <c r="AK619" s="224">
        <v>10247743.732453614</v>
      </c>
      <c r="AL619" s="224">
        <v>2950055.5088292314</v>
      </c>
      <c r="AM619" s="224">
        <v>5411606.9745335607</v>
      </c>
      <c r="AN619" s="224">
        <v>77447.781607352299</v>
      </c>
      <c r="AO619" s="224">
        <v>77447.781607352299</v>
      </c>
      <c r="AP619" s="224">
        <v>77447.781607352299</v>
      </c>
      <c r="AQ619" s="224">
        <v>7187797.7816073522</v>
      </c>
      <c r="AR619" s="224">
        <v>77447.781607352299</v>
      </c>
      <c r="AS619" s="224">
        <v>77447.781607352299</v>
      </c>
      <c r="AT619" s="224">
        <v>7186808.5212259879</v>
      </c>
      <c r="AU619" s="224">
        <v>11453018.521225987</v>
      </c>
      <c r="AV619" s="224">
        <v>76458.521225987934</v>
      </c>
      <c r="AW619" s="224">
        <v>76458.521225987934</v>
      </c>
      <c r="AX619" s="224">
        <v>76458.521225987934</v>
      </c>
      <c r="AY619" s="224"/>
      <c r="AZ619" s="224"/>
      <c r="BA619" s="224"/>
      <c r="BB619" s="224"/>
      <c r="BC619" s="224"/>
      <c r="BD619" s="224"/>
      <c r="BE619" s="224"/>
      <c r="BF619" s="224"/>
      <c r="BG619" s="224"/>
      <c r="BH619" s="224"/>
      <c r="BI619" s="224"/>
      <c r="BJ619" s="224"/>
      <c r="BK619" s="224"/>
    </row>
    <row r="620" spans="1:63">
      <c r="A620" s="170">
        <v>43101</v>
      </c>
      <c r="B620" s="220" t="str">
        <f>Servicio_internaColumna_título_intereses</f>
        <v>Intereses</v>
      </c>
      <c r="C620" s="221"/>
      <c r="D620" s="222"/>
      <c r="E620" s="222"/>
      <c r="F620" s="222"/>
      <c r="G620" s="222"/>
      <c r="H620" s="222"/>
      <c r="I620" s="222"/>
      <c r="J620" s="222"/>
      <c r="K620" s="222"/>
      <c r="L620" s="222"/>
      <c r="M620" s="222"/>
      <c r="N620" s="222"/>
      <c r="O620" s="222"/>
      <c r="P620" s="222"/>
      <c r="Q620" s="222"/>
      <c r="R620" s="222"/>
      <c r="S620" s="224"/>
      <c r="T620" s="224">
        <f>'Perfil - interna'!T620+'Perfil - externa'!T618</f>
        <v>22718004.58419662</v>
      </c>
      <c r="U620" s="224">
        <v>22484167.154391173</v>
      </c>
      <c r="V620" s="224">
        <v>20757582.463888418</v>
      </c>
      <c r="W620" s="224">
        <v>18446258.412357237</v>
      </c>
      <c r="X620" s="224">
        <v>17238452.951123752</v>
      </c>
      <c r="Y620" s="224">
        <v>15172694.563194439</v>
      </c>
      <c r="Z620" s="224">
        <v>13962577.655239873</v>
      </c>
      <c r="AA620" s="224">
        <v>10933776.7210433</v>
      </c>
      <c r="AB620" s="224">
        <v>10106071.012730261</v>
      </c>
      <c r="AC620" s="224">
        <v>7472767.2113649491</v>
      </c>
      <c r="AD620" s="224">
        <v>6716757.1883919053</v>
      </c>
      <c r="AE620" s="224">
        <v>5735681.0555467196</v>
      </c>
      <c r="AF620" s="224">
        <v>5636948.8908650074</v>
      </c>
      <c r="AG620" s="224">
        <v>4186936.3683018284</v>
      </c>
      <c r="AH620" s="224">
        <v>4094032.9243015628</v>
      </c>
      <c r="AI620" s="224">
        <v>3351409.7883018805</v>
      </c>
      <c r="AJ620" s="224">
        <v>2842093.3435990419</v>
      </c>
      <c r="AK620" s="224">
        <v>2715538.8644849737</v>
      </c>
      <c r="AL620" s="224">
        <v>2047426.637976829</v>
      </c>
      <c r="AM620" s="224">
        <v>1918441.5221363376</v>
      </c>
      <c r="AN620" s="224">
        <v>1531995.7622306428</v>
      </c>
      <c r="AO620" s="224">
        <v>1527412.126389412</v>
      </c>
      <c r="AP620" s="224">
        <v>1523955.875980465</v>
      </c>
      <c r="AQ620" s="224">
        <v>1300428.5384597618</v>
      </c>
      <c r="AR620" s="224">
        <v>1076966.7095245398</v>
      </c>
      <c r="AS620" s="224">
        <v>1071247.7067972985</v>
      </c>
      <c r="AT620" s="224">
        <v>789818.91984786966</v>
      </c>
      <c r="AU620" s="224">
        <v>302135.84255130327</v>
      </c>
      <c r="AV620" s="224">
        <v>14464.091286754228</v>
      </c>
      <c r="AW620" s="224">
        <v>3966.7901458562319</v>
      </c>
      <c r="AX620" s="224">
        <v>7843.0757780367103</v>
      </c>
      <c r="AY620" s="224"/>
      <c r="AZ620" s="224"/>
      <c r="BA620" s="224"/>
      <c r="BB620" s="224"/>
      <c r="BC620" s="224"/>
      <c r="BD620" s="224"/>
      <c r="BE620" s="224"/>
      <c r="BF620" s="224"/>
      <c r="BG620" s="224"/>
      <c r="BH620" s="224"/>
      <c r="BI620" s="224"/>
      <c r="BJ620" s="224"/>
      <c r="BK620" s="224"/>
    </row>
    <row r="621" spans="1:63">
      <c r="A621" s="171"/>
      <c r="B621" s="318" t="str">
        <f>Servicio_internaColumna_título_total</f>
        <v>Total</v>
      </c>
      <c r="C621" s="319"/>
      <c r="D621" s="320"/>
      <c r="E621" s="320"/>
      <c r="F621" s="320"/>
      <c r="G621" s="320"/>
      <c r="H621" s="320"/>
      <c r="I621" s="320"/>
      <c r="J621" s="320"/>
      <c r="K621" s="320"/>
      <c r="L621" s="320"/>
      <c r="M621" s="320"/>
      <c r="N621" s="320"/>
      <c r="O621" s="320"/>
      <c r="P621" s="320"/>
      <c r="Q621" s="320"/>
      <c r="R621" s="320"/>
      <c r="S621" s="321"/>
      <c r="T621" s="321">
        <f>+'Perfil - interna'!T621+'Perfil - externa'!T619</f>
        <v>60866039.586042777</v>
      </c>
      <c r="U621" s="321">
        <v>56189018.277090676</v>
      </c>
      <c r="V621" s="321">
        <v>45056718.180373117</v>
      </c>
      <c r="W621" s="321">
        <v>48820958.113407686</v>
      </c>
      <c r="X621" s="321">
        <v>48417667.950612821</v>
      </c>
      <c r="Y621" s="321">
        <v>37133490.55221241</v>
      </c>
      <c r="Z621" s="321">
        <v>52120825.109628111</v>
      </c>
      <c r="AA621" s="321">
        <v>26637932.861186512</v>
      </c>
      <c r="AB621" s="321">
        <v>51320171.97640463</v>
      </c>
      <c r="AC621" s="321">
        <v>26278457.820834912</v>
      </c>
      <c r="AD621" s="321">
        <v>25386736.76846087</v>
      </c>
      <c r="AE621" s="321">
        <v>9716668.3311312106</v>
      </c>
      <c r="AF621" s="321">
        <v>25774387.203420103</v>
      </c>
      <c r="AG621" s="321">
        <v>7440218.6195950489</v>
      </c>
      <c r="AH621" s="321">
        <v>16147294.989835562</v>
      </c>
      <c r="AI621" s="321">
        <v>14392209.365777094</v>
      </c>
      <c r="AJ621" s="321">
        <v>5419235.6282186043</v>
      </c>
      <c r="AK621" s="321">
        <v>12963282.596938588</v>
      </c>
      <c r="AL621" s="321">
        <v>4997482.1468060603</v>
      </c>
      <c r="AM621" s="321">
        <v>7330048.4966698978</v>
      </c>
      <c r="AN621" s="321">
        <v>1609443.543837995</v>
      </c>
      <c r="AO621" s="321">
        <v>1604859.9079967642</v>
      </c>
      <c r="AP621" s="321">
        <v>1601403.6575878172</v>
      </c>
      <c r="AQ621" s="321">
        <v>8488226.3200671151</v>
      </c>
      <c r="AR621" s="321">
        <v>1154414.491131892</v>
      </c>
      <c r="AS621" s="321">
        <v>1148695.4884046509</v>
      </c>
      <c r="AT621" s="321">
        <v>7976627.4410738572</v>
      </c>
      <c r="AU621" s="321">
        <v>11755154.363777291</v>
      </c>
      <c r="AV621" s="321">
        <v>90922.612512742169</v>
      </c>
      <c r="AW621" s="321">
        <v>80425.31137184416</v>
      </c>
      <c r="AX621" s="321">
        <v>84301.597004024647</v>
      </c>
      <c r="AY621" s="321"/>
      <c r="AZ621" s="321"/>
      <c r="BA621" s="321"/>
      <c r="BB621" s="321"/>
      <c r="BC621" s="321"/>
      <c r="BD621" s="321"/>
      <c r="BE621" s="321"/>
      <c r="BF621" s="321"/>
      <c r="BG621" s="321"/>
      <c r="BH621" s="321"/>
      <c r="BI621" s="321"/>
      <c r="BJ621" s="321"/>
      <c r="BK621" s="321"/>
    </row>
    <row r="622" spans="1:63">
      <c r="A622" s="167"/>
      <c r="B622" s="217" t="str">
        <f>Servicio_internaColumna_título_amortizaciones</f>
        <v>Amortizaciones</v>
      </c>
      <c r="C622" s="218"/>
      <c r="D622" s="219"/>
      <c r="E622" s="219"/>
      <c r="F622" s="219"/>
      <c r="G622" s="219"/>
      <c r="H622" s="219"/>
      <c r="I622" s="219"/>
      <c r="J622" s="219"/>
      <c r="K622" s="219"/>
      <c r="L622" s="219"/>
      <c r="M622" s="219"/>
      <c r="N622" s="219"/>
      <c r="O622" s="219"/>
      <c r="P622" s="219"/>
      <c r="Q622" s="219"/>
      <c r="R622" s="219"/>
      <c r="S622" s="224"/>
      <c r="T622" s="224">
        <f>'Perfil - interna'!T622+'Perfil - externa'!T620</f>
        <v>39457544.635882646</v>
      </c>
      <c r="U622" s="224">
        <v>33777425.912720241</v>
      </c>
      <c r="V622" s="224">
        <v>24301193.597540129</v>
      </c>
      <c r="W622" s="224">
        <v>30501475.49624994</v>
      </c>
      <c r="X622" s="224">
        <v>31190228.867845029</v>
      </c>
      <c r="Y622" s="224">
        <v>22285123.636248294</v>
      </c>
      <c r="Z622" s="224">
        <v>38217541.887770154</v>
      </c>
      <c r="AA622" s="224">
        <v>16937753.834378202</v>
      </c>
      <c r="AB622" s="224">
        <v>41192945.878398858</v>
      </c>
      <c r="AC622" s="224">
        <v>19259369.142486699</v>
      </c>
      <c r="AD622" s="224">
        <v>19107641.403420143</v>
      </c>
      <c r="AE622" s="224">
        <v>4015844.6219146964</v>
      </c>
      <c r="AF622" s="224">
        <v>20169677.558734342</v>
      </c>
      <c r="AG622" s="224">
        <v>3288933.7728749663</v>
      </c>
      <c r="AH622" s="224">
        <v>13141102.283167016</v>
      </c>
      <c r="AI622" s="224">
        <v>11089502.412523715</v>
      </c>
      <c r="AJ622" s="224">
        <v>2585069.4189437684</v>
      </c>
      <c r="AK622" s="224">
        <v>10790277.733779849</v>
      </c>
      <c r="AL622" s="224">
        <v>2907485.0874642222</v>
      </c>
      <c r="AM622" s="224">
        <v>5432649.7434472302</v>
      </c>
      <c r="AN622" s="224">
        <v>76217.906763601844</v>
      </c>
      <c r="AO622" s="224">
        <v>76217.906763601844</v>
      </c>
      <c r="AP622" s="224">
        <v>76217.906763601844</v>
      </c>
      <c r="AQ622" s="224">
        <v>7216042.906763602</v>
      </c>
      <c r="AR622" s="224">
        <v>76217.906763601844</v>
      </c>
      <c r="AS622" s="224">
        <v>76217.906763601844</v>
      </c>
      <c r="AT622" s="224">
        <v>7215049.5455363244</v>
      </c>
      <c r="AU622" s="224">
        <v>11498944.545536324</v>
      </c>
      <c r="AV622" s="224">
        <v>75224.545536324033</v>
      </c>
      <c r="AW622" s="224">
        <v>75224.545536324033</v>
      </c>
      <c r="AX622" s="224">
        <v>75224.545536324033</v>
      </c>
      <c r="AY622" s="224"/>
      <c r="AZ622" s="224"/>
      <c r="BA622" s="224"/>
      <c r="BB622" s="224"/>
      <c r="BC622" s="224"/>
      <c r="BD622" s="224"/>
      <c r="BE622" s="224"/>
      <c r="BF622" s="224"/>
      <c r="BG622" s="224"/>
      <c r="BH622" s="224"/>
      <c r="BI622" s="224"/>
      <c r="BJ622" s="224"/>
      <c r="BK622" s="224"/>
    </row>
    <row r="623" spans="1:63">
      <c r="A623" s="170">
        <v>43132</v>
      </c>
      <c r="B623" s="220" t="str">
        <f>Servicio_internaColumna_título_intereses</f>
        <v>Intereses</v>
      </c>
      <c r="C623" s="221"/>
      <c r="D623" s="222"/>
      <c r="E623" s="222"/>
      <c r="F623" s="222"/>
      <c r="G623" s="222"/>
      <c r="H623" s="222"/>
      <c r="I623" s="222"/>
      <c r="J623" s="222"/>
      <c r="K623" s="222"/>
      <c r="L623" s="222"/>
      <c r="M623" s="222"/>
      <c r="N623" s="222"/>
      <c r="O623" s="222"/>
      <c r="P623" s="222"/>
      <c r="Q623" s="222"/>
      <c r="R623" s="222"/>
      <c r="S623" s="224"/>
      <c r="T623" s="224">
        <f>'Perfil - interna'!T623+'Perfil - externa'!T621</f>
        <v>22182245.827999383</v>
      </c>
      <c r="U623" s="224">
        <v>22721862.499094486</v>
      </c>
      <c r="V623" s="224">
        <v>20994232.706521802</v>
      </c>
      <c r="W623" s="224">
        <v>18683658.49601154</v>
      </c>
      <c r="X623" s="224">
        <v>17476229.552922308</v>
      </c>
      <c r="Y623" s="224">
        <v>15411759.552171208</v>
      </c>
      <c r="Z623" s="224">
        <v>14188790.56518342</v>
      </c>
      <c r="AA623" s="224">
        <v>11160143.203606218</v>
      </c>
      <c r="AB623" s="224">
        <v>10260769.76002875</v>
      </c>
      <c r="AC623" s="224">
        <v>7629468.32507159</v>
      </c>
      <c r="AD623" s="224">
        <v>6857189.6428115908</v>
      </c>
      <c r="AE623" s="224">
        <v>5852605.1437453236</v>
      </c>
      <c r="AF623" s="224">
        <v>5754562.0880722143</v>
      </c>
      <c r="AG623" s="224">
        <v>4305202.5830303021</v>
      </c>
      <c r="AH623" s="224">
        <v>4213015.1191209545</v>
      </c>
      <c r="AI623" s="224">
        <v>3397572.355630097</v>
      </c>
      <c r="AJ623" s="224">
        <v>2889266.9111912581</v>
      </c>
      <c r="AK623" s="224">
        <v>2764226.8868124317</v>
      </c>
      <c r="AL623" s="224">
        <v>2052735.0392994941</v>
      </c>
      <c r="AM623" s="224">
        <v>1925272.6920330962</v>
      </c>
      <c r="AN623" s="224">
        <v>1537274.1353455314</v>
      </c>
      <c r="AO623" s="224">
        <v>1532732.8043883811</v>
      </c>
      <c r="AP623" s="224">
        <v>1529318.2509017489</v>
      </c>
      <c r="AQ623" s="224">
        <v>1304932.3020642311</v>
      </c>
      <c r="AR623" s="224">
        <v>1080610.9730199513</v>
      </c>
      <c r="AS623" s="224">
        <v>1074935.3004984949</v>
      </c>
      <c r="AT623" s="224">
        <v>792720.58788153192</v>
      </c>
      <c r="AU623" s="224">
        <v>303074.21007948252</v>
      </c>
      <c r="AV623" s="224">
        <v>14267.698908617216</v>
      </c>
      <c r="AW623" s="224">
        <v>3913.1587117638401</v>
      </c>
      <c r="AX623" s="224">
        <v>7736.6001230794727</v>
      </c>
      <c r="AY623" s="224"/>
      <c r="AZ623" s="224"/>
      <c r="BA623" s="224"/>
      <c r="BB623" s="224"/>
      <c r="BC623" s="224"/>
      <c r="BD623" s="224"/>
      <c r="BE623" s="224"/>
      <c r="BF623" s="224"/>
      <c r="BG623" s="224"/>
      <c r="BH623" s="224"/>
      <c r="BI623" s="224"/>
      <c r="BJ623" s="224"/>
      <c r="BK623" s="224"/>
    </row>
    <row r="624" spans="1:63">
      <c r="A624" s="171"/>
      <c r="B624" s="318" t="str">
        <f>Servicio_internaColumna_título_total</f>
        <v>Total</v>
      </c>
      <c r="C624" s="319"/>
      <c r="D624" s="320"/>
      <c r="E624" s="320"/>
      <c r="F624" s="320"/>
      <c r="G624" s="320"/>
      <c r="H624" s="320"/>
      <c r="I624" s="320"/>
      <c r="J624" s="320"/>
      <c r="K624" s="320"/>
      <c r="L624" s="320"/>
      <c r="M624" s="320"/>
      <c r="N624" s="320"/>
      <c r="O624" s="320"/>
      <c r="P624" s="320"/>
      <c r="Q624" s="320"/>
      <c r="R624" s="320"/>
      <c r="S624" s="321"/>
      <c r="T624" s="321">
        <f>+'Perfil - interna'!T624+'Perfil - externa'!T622</f>
        <v>61639790.463882029</v>
      </c>
      <c r="U624" s="321">
        <v>56499288.411814727</v>
      </c>
      <c r="V624" s="321">
        <v>45295426.304061934</v>
      </c>
      <c r="W624" s="321">
        <v>49185133.992261477</v>
      </c>
      <c r="X624" s="321">
        <v>48666458.420767337</v>
      </c>
      <c r="Y624" s="321">
        <v>37696883.188419506</v>
      </c>
      <c r="Z624" s="321">
        <v>52406332.452953577</v>
      </c>
      <c r="AA624" s="321">
        <v>28097897.037984416</v>
      </c>
      <c r="AB624" s="321">
        <v>51453715.638427608</v>
      </c>
      <c r="AC624" s="321">
        <v>26888837.467558291</v>
      </c>
      <c r="AD624" s="321">
        <v>25964831.046231735</v>
      </c>
      <c r="AE624" s="321">
        <v>9868449.7656600215</v>
      </c>
      <c r="AF624" s="321">
        <v>25924239.646806553</v>
      </c>
      <c r="AG624" s="321">
        <v>7594136.3559052683</v>
      </c>
      <c r="AH624" s="321">
        <v>17354117.402287968</v>
      </c>
      <c r="AI624" s="321">
        <v>14487074.768153813</v>
      </c>
      <c r="AJ624" s="321">
        <v>5474336.3301350269</v>
      </c>
      <c r="AK624" s="321">
        <v>13554504.620592281</v>
      </c>
      <c r="AL624" s="321">
        <v>4960220.1267637173</v>
      </c>
      <c r="AM624" s="321">
        <v>7357922.4354803255</v>
      </c>
      <c r="AN624" s="321">
        <v>1613492.0421091332</v>
      </c>
      <c r="AO624" s="321">
        <v>1608950.7111519829</v>
      </c>
      <c r="AP624" s="321">
        <v>1605536.1576653507</v>
      </c>
      <c r="AQ624" s="321">
        <v>8520975.2088278327</v>
      </c>
      <c r="AR624" s="321">
        <v>1156828.8797835531</v>
      </c>
      <c r="AS624" s="321">
        <v>1151153.2072620967</v>
      </c>
      <c r="AT624" s="321">
        <v>8007770.1334178559</v>
      </c>
      <c r="AU624" s="321">
        <v>11802018.755615806</v>
      </c>
      <c r="AV624" s="321">
        <v>89492.244444941243</v>
      </c>
      <c r="AW624" s="321">
        <v>79137.704248087874</v>
      </c>
      <c r="AX624" s="321">
        <v>82961.145659403512</v>
      </c>
      <c r="AY624" s="321"/>
      <c r="AZ624" s="321"/>
      <c r="BA624" s="321"/>
      <c r="BB624" s="321"/>
      <c r="BC624" s="321"/>
      <c r="BD624" s="321"/>
      <c r="BE624" s="321"/>
      <c r="BF624" s="321"/>
      <c r="BG624" s="321"/>
      <c r="BH624" s="321"/>
      <c r="BI624" s="321"/>
      <c r="BJ624" s="321"/>
      <c r="BK624" s="321"/>
    </row>
    <row r="625" spans="1:63">
      <c r="A625" s="167"/>
      <c r="B625" s="217" t="str">
        <f>Servicio_internaColumna_título_amortizaciones</f>
        <v>Amortizaciones</v>
      </c>
      <c r="C625" s="218"/>
      <c r="D625" s="219"/>
      <c r="E625" s="219"/>
      <c r="F625" s="219"/>
      <c r="G625" s="219"/>
      <c r="H625" s="219"/>
      <c r="I625" s="219"/>
      <c r="J625" s="219"/>
      <c r="K625" s="219"/>
      <c r="L625" s="219"/>
      <c r="M625" s="219"/>
      <c r="N625" s="219"/>
      <c r="O625" s="219"/>
      <c r="P625" s="219"/>
      <c r="Q625" s="219"/>
      <c r="R625" s="219"/>
      <c r="S625" s="224"/>
      <c r="T625" s="224">
        <f>'Perfil - interna'!T625+'Perfil - externa'!T623</f>
        <v>36585165.543336883</v>
      </c>
      <c r="U625" s="224">
        <v>34240193.013361841</v>
      </c>
      <c r="V625" s="224">
        <v>24167291.017028164</v>
      </c>
      <c r="W625" s="224">
        <v>30334094.330052689</v>
      </c>
      <c r="X625" s="224">
        <v>31116047.1723915</v>
      </c>
      <c r="Y625" s="224">
        <v>22527969.666467208</v>
      </c>
      <c r="Z625" s="224">
        <v>37909317.463873833</v>
      </c>
      <c r="AA625" s="224">
        <v>17388499.417415354</v>
      </c>
      <c r="AB625" s="224">
        <v>40894255.063824877</v>
      </c>
      <c r="AC625" s="224">
        <v>19222769.612235319</v>
      </c>
      <c r="AD625" s="224">
        <v>19459106.20419766</v>
      </c>
      <c r="AE625" s="224">
        <v>3905431.8591279355</v>
      </c>
      <c r="AF625" s="224">
        <v>20089576.880792711</v>
      </c>
      <c r="AG625" s="224">
        <v>3198662.8667117441</v>
      </c>
      <c r="AH625" s="224">
        <v>13972751.627325427</v>
      </c>
      <c r="AI625" s="224">
        <v>11066448.014413901</v>
      </c>
      <c r="AJ625" s="224">
        <v>2516180.1198846619</v>
      </c>
      <c r="AK625" s="224">
        <v>11458326.009335227</v>
      </c>
      <c r="AL625" s="224">
        <v>2851084.4013201683</v>
      </c>
      <c r="AM625" s="224">
        <v>7232158.6100787316</v>
      </c>
      <c r="AN625" s="224">
        <v>74782.587413167465</v>
      </c>
      <c r="AO625" s="224">
        <v>74782.587413167465</v>
      </c>
      <c r="AP625" s="224">
        <v>74782.587413167465</v>
      </c>
      <c r="AQ625" s="224">
        <v>7024882.5874131676</v>
      </c>
      <c r="AR625" s="224">
        <v>74782.587413167465</v>
      </c>
      <c r="AS625" s="224">
        <v>74782.587413167465</v>
      </c>
      <c r="AT625" s="224">
        <v>7023915.6225553872</v>
      </c>
      <c r="AU625" s="224">
        <v>11193975.622555386</v>
      </c>
      <c r="AV625" s="224">
        <v>73815.622555386843</v>
      </c>
      <c r="AW625" s="224">
        <v>73815.622555386843</v>
      </c>
      <c r="AX625" s="224">
        <v>73815.622555386843</v>
      </c>
      <c r="AY625" s="224"/>
      <c r="AZ625" s="224"/>
      <c r="BA625" s="224"/>
      <c r="BB625" s="224"/>
      <c r="BC625" s="224"/>
      <c r="BD625" s="224"/>
      <c r="BE625" s="224"/>
      <c r="BF625" s="224"/>
      <c r="BG625" s="224"/>
      <c r="BH625" s="224"/>
      <c r="BI625" s="224"/>
      <c r="BJ625" s="224"/>
      <c r="BK625" s="224"/>
    </row>
    <row r="626" spans="1:63">
      <c r="A626" s="170">
        <v>43160</v>
      </c>
      <c r="B626" s="220" t="str">
        <f>Servicio_internaColumna_título_intereses</f>
        <v>Intereses</v>
      </c>
      <c r="C626" s="221"/>
      <c r="D626" s="222"/>
      <c r="E626" s="222"/>
      <c r="F626" s="222"/>
      <c r="G626" s="222"/>
      <c r="H626" s="222"/>
      <c r="I626" s="222"/>
      <c r="J626" s="222"/>
      <c r="K626" s="222"/>
      <c r="L626" s="222"/>
      <c r="M626" s="222"/>
      <c r="N626" s="222"/>
      <c r="O626" s="222"/>
      <c r="P626" s="222"/>
      <c r="Q626" s="222"/>
      <c r="R626" s="222"/>
      <c r="S626" s="224"/>
      <c r="T626" s="224">
        <f>'Perfil - interna'!T626+'Perfil - externa'!T624</f>
        <v>19418792.164035756</v>
      </c>
      <c r="U626" s="224">
        <v>22408962.54834424</v>
      </c>
      <c r="V626" s="224">
        <v>20739725.405230861</v>
      </c>
      <c r="W626" s="224">
        <v>18408283.508902058</v>
      </c>
      <c r="X626" s="224">
        <v>17098417.792161085</v>
      </c>
      <c r="Y626" s="224">
        <v>15065892.724074859</v>
      </c>
      <c r="Z626" s="224">
        <v>13854193.043298097</v>
      </c>
      <c r="AA626" s="224">
        <v>10887423.030630467</v>
      </c>
      <c r="AB626" s="224">
        <v>9989332.8580305688</v>
      </c>
      <c r="AC626" s="224">
        <v>7375280.7597321039</v>
      </c>
      <c r="AD626" s="224">
        <v>6608861.6224152073</v>
      </c>
      <c r="AE626" s="224">
        <v>5590087.5530770086</v>
      </c>
      <c r="AF626" s="224">
        <v>5503502.4653846603</v>
      </c>
      <c r="AG626" s="224">
        <v>4083251.856216141</v>
      </c>
      <c r="AH626" s="224">
        <v>4021286.8003596077</v>
      </c>
      <c r="AI626" s="224">
        <v>3175271.1093598916</v>
      </c>
      <c r="AJ626" s="224">
        <v>2678257.1452072402</v>
      </c>
      <c r="AK626" s="224">
        <v>2619658.9622440124</v>
      </c>
      <c r="AL626" s="224">
        <v>1889729.7835687362</v>
      </c>
      <c r="AM626" s="224">
        <v>1846074.6392084283</v>
      </c>
      <c r="AN626" s="224">
        <v>1470791.8804470822</v>
      </c>
      <c r="AO626" s="224">
        <v>1468495.8747112192</v>
      </c>
      <c r="AP626" s="224">
        <v>1467306.7051661257</v>
      </c>
      <c r="AQ626" s="224">
        <v>1251075.4391535949</v>
      </c>
      <c r="AR626" s="224">
        <v>1034868.3695560344</v>
      </c>
      <c r="AS626" s="224">
        <v>1031508.112458494</v>
      </c>
      <c r="AT626" s="224">
        <v>756790.60484555154</v>
      </c>
      <c r="AU626" s="224">
        <v>282467.82045055128</v>
      </c>
      <c r="AV626" s="224">
        <v>3631.6755746409431</v>
      </c>
      <c r="AW626" s="224">
        <v>2799.5306987305798</v>
      </c>
      <c r="AX626" s="224">
        <v>1973.3434460096346</v>
      </c>
      <c r="AY626" s="224"/>
      <c r="AZ626" s="224"/>
      <c r="BA626" s="224"/>
      <c r="BB626" s="224"/>
      <c r="BC626" s="224"/>
      <c r="BD626" s="224"/>
      <c r="BE626" s="224"/>
      <c r="BF626" s="224"/>
      <c r="BG626" s="224"/>
      <c r="BH626" s="224"/>
      <c r="BI626" s="224"/>
      <c r="BJ626" s="224"/>
      <c r="BK626" s="224"/>
    </row>
    <row r="627" spans="1:63">
      <c r="A627" s="171"/>
      <c r="B627" s="318" t="str">
        <f>Servicio_internaColumna_título_total</f>
        <v>Total</v>
      </c>
      <c r="C627" s="319"/>
      <c r="D627" s="320"/>
      <c r="E627" s="320"/>
      <c r="F627" s="320"/>
      <c r="G627" s="320"/>
      <c r="H627" s="320"/>
      <c r="I627" s="320"/>
      <c r="J627" s="320"/>
      <c r="K627" s="320"/>
      <c r="L627" s="320"/>
      <c r="M627" s="320"/>
      <c r="N627" s="320"/>
      <c r="O627" s="320"/>
      <c r="P627" s="320"/>
      <c r="Q627" s="320"/>
      <c r="R627" s="320"/>
      <c r="S627" s="321"/>
      <c r="T627" s="321">
        <f>+'Perfil - interna'!T627+'Perfil - externa'!T625</f>
        <v>56003957.707372636</v>
      </c>
      <c r="U627" s="321">
        <v>56649155.561706088</v>
      </c>
      <c r="V627" s="321">
        <v>44907016.422259033</v>
      </c>
      <c r="W627" s="321">
        <v>48742377.838954747</v>
      </c>
      <c r="X627" s="321">
        <v>48214464.964552581</v>
      </c>
      <c r="Y627" s="321">
        <v>37593862.390542068</v>
      </c>
      <c r="Z627" s="321">
        <v>51763510.507171929</v>
      </c>
      <c r="AA627" s="321">
        <v>28275922.44804582</v>
      </c>
      <c r="AB627" s="321">
        <v>50883587.92185545</v>
      </c>
      <c r="AC627" s="321">
        <v>26598050.371967424</v>
      </c>
      <c r="AD627" s="321">
        <v>26067967.826612867</v>
      </c>
      <c r="AE627" s="321">
        <v>9495519.4122049436</v>
      </c>
      <c r="AF627" s="321">
        <v>25593079.346177369</v>
      </c>
      <c r="AG627" s="321">
        <v>7281914.7229278851</v>
      </c>
      <c r="AH627" s="321">
        <v>17994038.427685034</v>
      </c>
      <c r="AI627" s="321">
        <v>14241719.123773795</v>
      </c>
      <c r="AJ627" s="321">
        <v>5194437.2650919016</v>
      </c>
      <c r="AK627" s="321">
        <v>14077984.971579239</v>
      </c>
      <c r="AL627" s="321">
        <v>4740814.184888904</v>
      </c>
      <c r="AM627" s="321">
        <v>9078233.2492871601</v>
      </c>
      <c r="AN627" s="321">
        <v>1545574.4678602498</v>
      </c>
      <c r="AO627" s="321">
        <v>1543278.4621243868</v>
      </c>
      <c r="AP627" s="321">
        <v>1542089.292579293</v>
      </c>
      <c r="AQ627" s="321">
        <v>8275958.0265667625</v>
      </c>
      <c r="AR627" s="321">
        <v>1109650.9569692018</v>
      </c>
      <c r="AS627" s="321">
        <v>1106290.6998716616</v>
      </c>
      <c r="AT627" s="321">
        <v>7780706.227400939</v>
      </c>
      <c r="AU627" s="321">
        <v>11476443.443005938</v>
      </c>
      <c r="AV627" s="321">
        <v>77447.29813002779</v>
      </c>
      <c r="AW627" s="321">
        <v>76615.153254117424</v>
      </c>
      <c r="AX627" s="321">
        <v>75788.966001396475</v>
      </c>
      <c r="AY627" s="321"/>
      <c r="AZ627" s="321"/>
      <c r="BA627" s="321"/>
      <c r="BB627" s="321"/>
      <c r="BC627" s="321"/>
      <c r="BD627" s="321"/>
      <c r="BE627" s="321"/>
      <c r="BF627" s="321"/>
      <c r="BG627" s="321"/>
      <c r="BH627" s="321"/>
      <c r="BI627" s="321"/>
      <c r="BJ627" s="321"/>
      <c r="BK627" s="321"/>
    </row>
    <row r="628" spans="1:63">
      <c r="A628" s="167"/>
      <c r="B628" s="217" t="str">
        <f>Servicio_internaColumna_título_amortizaciones</f>
        <v>Amortizaciones</v>
      </c>
      <c r="C628" s="218"/>
      <c r="D628" s="219"/>
      <c r="E628" s="219"/>
      <c r="F628" s="219"/>
      <c r="G628" s="219"/>
      <c r="H628" s="219"/>
      <c r="I628" s="219"/>
      <c r="J628" s="219"/>
      <c r="K628" s="219"/>
      <c r="L628" s="219"/>
      <c r="M628" s="219"/>
      <c r="N628" s="219"/>
      <c r="O628" s="219"/>
      <c r="P628" s="219"/>
      <c r="Q628" s="219"/>
      <c r="R628" s="219"/>
      <c r="S628" s="224"/>
      <c r="T628" s="224">
        <f>'Perfil - interna'!T628+'Perfil - externa'!T626</f>
        <v>24976800.177848108</v>
      </c>
      <c r="U628" s="224">
        <v>48156209.783851154</v>
      </c>
      <c r="V628" s="224">
        <v>24199632.259794768</v>
      </c>
      <c r="W628" s="224">
        <v>30565097.194761038</v>
      </c>
      <c r="X628" s="224">
        <v>31126861.62758784</v>
      </c>
      <c r="Y628" s="224">
        <v>23267099.529884815</v>
      </c>
      <c r="Z628" s="224">
        <v>38046327.728320375</v>
      </c>
      <c r="AA628" s="224">
        <v>18321357.218547672</v>
      </c>
      <c r="AB628" s="224">
        <v>40985375.515516572</v>
      </c>
      <c r="AC628" s="224">
        <v>19745242.519822847</v>
      </c>
      <c r="AD628" s="224">
        <v>19957509.448079862</v>
      </c>
      <c r="AE628" s="224">
        <v>3980283.4278326235</v>
      </c>
      <c r="AF628" s="224">
        <v>20153115.655069817</v>
      </c>
      <c r="AG628" s="224">
        <v>3267449.2767165643</v>
      </c>
      <c r="AH628" s="224">
        <v>14659761.468442747</v>
      </c>
      <c r="AI628" s="224">
        <v>11204535.879519146</v>
      </c>
      <c r="AJ628" s="224">
        <v>2581105.4960261113</v>
      </c>
      <c r="AK628" s="224">
        <v>12418843.817201804</v>
      </c>
      <c r="AL628" s="224">
        <v>2875538.6611400819</v>
      </c>
      <c r="AM628" s="224">
        <v>7309755.5803595046</v>
      </c>
      <c r="AN628" s="224">
        <v>74221.390285563204</v>
      </c>
      <c r="AO628" s="224">
        <v>74221.390285563204</v>
      </c>
      <c r="AP628" s="224">
        <v>74221.390285563204</v>
      </c>
      <c r="AQ628" s="224">
        <v>7089921.3902855646</v>
      </c>
      <c r="AR628" s="224">
        <v>74221.390285563204</v>
      </c>
      <c r="AS628" s="224">
        <v>74221.390285563204</v>
      </c>
      <c r="AT628" s="224">
        <v>7088945.298523902</v>
      </c>
      <c r="AU628" s="224">
        <v>11298365.298523903</v>
      </c>
      <c r="AV628" s="224">
        <v>73245.29852390055</v>
      </c>
      <c r="AW628" s="224">
        <v>73245.29852390055</v>
      </c>
      <c r="AX628" s="224">
        <v>73245.29852390055</v>
      </c>
      <c r="AY628" s="224"/>
      <c r="AZ628" s="224"/>
      <c r="BA628" s="224"/>
      <c r="BB628" s="224"/>
      <c r="BC628" s="224"/>
      <c r="BD628" s="224"/>
      <c r="BE628" s="224"/>
      <c r="BF628" s="224"/>
      <c r="BG628" s="224"/>
      <c r="BH628" s="224"/>
      <c r="BI628" s="224"/>
      <c r="BJ628" s="224"/>
      <c r="BK628" s="224"/>
    </row>
    <row r="629" spans="1:63">
      <c r="A629" s="170">
        <v>43191</v>
      </c>
      <c r="B629" s="220" t="str">
        <f>Servicio_internaColumna_título_intereses</f>
        <v>Intereses</v>
      </c>
      <c r="C629" s="221"/>
      <c r="D629" s="222"/>
      <c r="E629" s="222"/>
      <c r="F629" s="222"/>
      <c r="G629" s="222"/>
      <c r="H629" s="222"/>
      <c r="I629" s="222"/>
      <c r="J629" s="222"/>
      <c r="K629" s="222"/>
      <c r="L629" s="222"/>
      <c r="M629" s="222"/>
      <c r="N629" s="222"/>
      <c r="O629" s="222"/>
      <c r="P629" s="222"/>
      <c r="Q629" s="222"/>
      <c r="R629" s="222"/>
      <c r="S629" s="224"/>
      <c r="T629" s="224">
        <f>'Perfil - interna'!T629+'Perfil - externa'!T627</f>
        <v>17544861.968200892</v>
      </c>
      <c r="U629" s="224">
        <v>22808714.506126471</v>
      </c>
      <c r="V629" s="224">
        <v>21074355.499061592</v>
      </c>
      <c r="W629" s="224">
        <v>18740528.705798749</v>
      </c>
      <c r="X629" s="224">
        <v>17532546.406613149</v>
      </c>
      <c r="Y629" s="224">
        <v>15470410.363955883</v>
      </c>
      <c r="Z629" s="224">
        <v>14170173.381232062</v>
      </c>
      <c r="AA629" s="224">
        <v>11190859.428934395</v>
      </c>
      <c r="AB629" s="224">
        <v>10228649.496142235</v>
      </c>
      <c r="AC629" s="224">
        <v>7610276.5622693561</v>
      </c>
      <c r="AD629" s="224">
        <v>6831440.8505621096</v>
      </c>
      <c r="AE629" s="224">
        <v>5785291.8855904583</v>
      </c>
      <c r="AF629" s="224">
        <v>5692442.3657596828</v>
      </c>
      <c r="AG629" s="224">
        <v>4275360.4222643115</v>
      </c>
      <c r="AH629" s="224">
        <v>4213794.030594958</v>
      </c>
      <c r="AI629" s="224">
        <v>3325568.1650444325</v>
      </c>
      <c r="AJ629" s="224">
        <v>2828648.8650567345</v>
      </c>
      <c r="AK629" s="224">
        <v>2773940.5806096871</v>
      </c>
      <c r="AL629" s="224">
        <v>1977761.552279141</v>
      </c>
      <c r="AM629" s="224">
        <v>1935445.9979125061</v>
      </c>
      <c r="AN629" s="224">
        <v>1533413.804252381</v>
      </c>
      <c r="AO629" s="224">
        <v>1533882.0552432525</v>
      </c>
      <c r="AP629" s="224">
        <v>1534482.6969340495</v>
      </c>
      <c r="AQ629" s="224">
        <v>1316456.4906167588</v>
      </c>
      <c r="AR629" s="224">
        <v>1098454.2341506444</v>
      </c>
      <c r="AS629" s="224">
        <v>1095307.79018456</v>
      </c>
      <c r="AT629" s="224">
        <v>763829.53120748512</v>
      </c>
      <c r="AU629" s="224">
        <v>285046.37901068816</v>
      </c>
      <c r="AV629" s="224">
        <v>3594.7126848038047</v>
      </c>
      <c r="AW629" s="224">
        <v>2771.0463589194533</v>
      </c>
      <c r="AX629" s="224">
        <v>1953.2769236640579</v>
      </c>
      <c r="AY629" s="224"/>
      <c r="AZ629" s="224"/>
      <c r="BA629" s="224"/>
      <c r="BB629" s="224"/>
      <c r="BC629" s="224"/>
      <c r="BD629" s="224"/>
      <c r="BE629" s="224"/>
      <c r="BF629" s="224"/>
      <c r="BG629" s="224"/>
      <c r="BH629" s="224"/>
      <c r="BI629" s="224"/>
      <c r="BJ629" s="224"/>
      <c r="BK629" s="224"/>
    </row>
    <row r="630" spans="1:63">
      <c r="A630" s="171"/>
      <c r="B630" s="318" t="str">
        <f>Servicio_internaColumna_título_total</f>
        <v>Total</v>
      </c>
      <c r="C630" s="319"/>
      <c r="D630" s="320"/>
      <c r="E630" s="320"/>
      <c r="F630" s="320"/>
      <c r="G630" s="320"/>
      <c r="H630" s="320"/>
      <c r="I630" s="320"/>
      <c r="J630" s="320"/>
      <c r="K630" s="320"/>
      <c r="L630" s="320"/>
      <c r="M630" s="320"/>
      <c r="N630" s="320"/>
      <c r="O630" s="320"/>
      <c r="P630" s="320"/>
      <c r="Q630" s="320"/>
      <c r="R630" s="320"/>
      <c r="S630" s="321"/>
      <c r="T630" s="321">
        <f>+'Perfil - interna'!T630+'Perfil - externa'!T628</f>
        <v>42521662.146049</v>
      </c>
      <c r="U630" s="321">
        <v>70964924.289977625</v>
      </c>
      <c r="V630" s="321">
        <v>45273987.758856356</v>
      </c>
      <c r="W630" s="321">
        <v>49305625.90055979</v>
      </c>
      <c r="X630" s="321">
        <v>48659408.034200989</v>
      </c>
      <c r="Y630" s="321">
        <v>38737509.8938407</v>
      </c>
      <c r="Z630" s="321">
        <v>52216501.109552436</v>
      </c>
      <c r="AA630" s="321">
        <v>29512216.647482067</v>
      </c>
      <c r="AB630" s="321">
        <v>51214025.011658803</v>
      </c>
      <c r="AC630" s="321">
        <v>27355519.082092203</v>
      </c>
      <c r="AD630" s="321">
        <v>26788950.298641972</v>
      </c>
      <c r="AE630" s="321">
        <v>9765575.3134230822</v>
      </c>
      <c r="AF630" s="321">
        <v>25845558.020829499</v>
      </c>
      <c r="AG630" s="321">
        <v>7542809.6989808762</v>
      </c>
      <c r="AH630" s="321">
        <v>18873555.499037705</v>
      </c>
      <c r="AI630" s="321">
        <v>14530104.04456358</v>
      </c>
      <c r="AJ630" s="321">
        <v>5409754.3610828463</v>
      </c>
      <c r="AK630" s="321">
        <v>15192784.397811491</v>
      </c>
      <c r="AL630" s="321">
        <v>4853300.2134192223</v>
      </c>
      <c r="AM630" s="321">
        <v>9245201.5782720093</v>
      </c>
      <c r="AN630" s="321">
        <v>1607635.1945379442</v>
      </c>
      <c r="AO630" s="321">
        <v>1608103.4455288157</v>
      </c>
      <c r="AP630" s="321">
        <v>1608704.0872196127</v>
      </c>
      <c r="AQ630" s="321">
        <v>8406377.8809023239</v>
      </c>
      <c r="AR630" s="321">
        <v>1172675.6244362076</v>
      </c>
      <c r="AS630" s="321">
        <v>1169529.1804701232</v>
      </c>
      <c r="AT630" s="321">
        <v>7852774.8297313871</v>
      </c>
      <c r="AU630" s="321">
        <v>11583411.677534591</v>
      </c>
      <c r="AV630" s="321">
        <v>76840.011208704353</v>
      </c>
      <c r="AW630" s="321">
        <v>76016.344882820005</v>
      </c>
      <c r="AX630" s="321">
        <v>75198.57544756461</v>
      </c>
      <c r="AY630" s="321"/>
      <c r="AZ630" s="321"/>
      <c r="BA630" s="321"/>
      <c r="BB630" s="321"/>
      <c r="BC630" s="321"/>
      <c r="BD630" s="321"/>
      <c r="BE630" s="321"/>
      <c r="BF630" s="321"/>
      <c r="BG630" s="321"/>
      <c r="BH630" s="321"/>
      <c r="BI630" s="321"/>
      <c r="BJ630" s="321"/>
      <c r="BK630" s="321"/>
    </row>
    <row r="631" spans="1:63">
      <c r="A631" s="167"/>
      <c r="B631" s="217" t="str">
        <f>Servicio_internaColumna_título_amortizaciones</f>
        <v>Amortizaciones</v>
      </c>
      <c r="C631" s="218"/>
      <c r="D631" s="219"/>
      <c r="E631" s="219"/>
      <c r="F631" s="219"/>
      <c r="G631" s="219"/>
      <c r="H631" s="219"/>
      <c r="I631" s="219"/>
      <c r="J631" s="219"/>
      <c r="K631" s="219"/>
      <c r="L631" s="219"/>
      <c r="M631" s="219"/>
      <c r="N631" s="219"/>
      <c r="O631" s="219"/>
      <c r="P631" s="219"/>
      <c r="Q631" s="219"/>
      <c r="R631" s="219"/>
      <c r="S631" s="224"/>
      <c r="T631" s="224">
        <f>'Perfil - interna'!T631+'Perfil - externa'!T629</f>
        <v>24584526.711614531</v>
      </c>
      <c r="U631" s="224">
        <v>49599766.442645743</v>
      </c>
      <c r="V631" s="224">
        <v>24281081.22111325</v>
      </c>
      <c r="W631" s="224">
        <v>30816904.769279599</v>
      </c>
      <c r="X631" s="224">
        <v>31152011.99603121</v>
      </c>
      <c r="Y631" s="224">
        <v>23894697.834138442</v>
      </c>
      <c r="Z631" s="224">
        <v>38302452.060900629</v>
      </c>
      <c r="AA631" s="224">
        <v>19487494.345614266</v>
      </c>
      <c r="AB631" s="224">
        <v>41130988.209156953</v>
      </c>
      <c r="AC631" s="224">
        <v>20477602.146993384</v>
      </c>
      <c r="AD631" s="224">
        <v>21106791.57935432</v>
      </c>
      <c r="AE631" s="224">
        <v>4051296.9720562743</v>
      </c>
      <c r="AF631" s="224">
        <v>20198071.293618433</v>
      </c>
      <c r="AG631" s="224">
        <v>3355911.097743799</v>
      </c>
      <c r="AH631" s="224">
        <v>15517559.558786176</v>
      </c>
      <c r="AI631" s="224">
        <v>11281572.030513626</v>
      </c>
      <c r="AJ631" s="224">
        <v>2644234.2443918134</v>
      </c>
      <c r="AK631" s="224">
        <v>12818240.607550178</v>
      </c>
      <c r="AL631" s="224">
        <v>2861952.6805117829</v>
      </c>
      <c r="AM631" s="224">
        <v>7429035.8324641241</v>
      </c>
      <c r="AN631" s="224">
        <v>73702.895343079756</v>
      </c>
      <c r="AO631" s="224">
        <v>73702.895343079756</v>
      </c>
      <c r="AP631" s="224">
        <v>73702.895343079756</v>
      </c>
      <c r="AQ631" s="224">
        <v>7272002.8953430792</v>
      </c>
      <c r="AR631" s="224">
        <v>73702.895343079756</v>
      </c>
      <c r="AS631" s="224">
        <v>73702.895343079756</v>
      </c>
      <c r="AT631" s="224">
        <v>7271001.3985105501</v>
      </c>
      <c r="AU631" s="224">
        <v>11589981.398510551</v>
      </c>
      <c r="AV631" s="224">
        <v>72701.398510550396</v>
      </c>
      <c r="AW631" s="224">
        <v>72701.398510550396</v>
      </c>
      <c r="AX631" s="224">
        <v>72701.398510550396</v>
      </c>
      <c r="AY631" s="224"/>
      <c r="AZ631" s="224"/>
      <c r="BA631" s="224"/>
      <c r="BB631" s="224"/>
      <c r="BC631" s="224"/>
      <c r="BD631" s="224"/>
      <c r="BE631" s="224"/>
      <c r="BF631" s="224"/>
      <c r="BG631" s="224"/>
      <c r="BH631" s="224"/>
      <c r="BI631" s="224"/>
      <c r="BJ631" s="224"/>
      <c r="BK631" s="224"/>
    </row>
    <row r="632" spans="1:63">
      <c r="A632" s="170">
        <v>43221</v>
      </c>
      <c r="B632" s="220" t="str">
        <f>Servicio_internaColumna_título_intereses</f>
        <v>Intereses</v>
      </c>
      <c r="C632" s="221"/>
      <c r="D632" s="222"/>
      <c r="E632" s="222"/>
      <c r="F632" s="222"/>
      <c r="G632" s="222"/>
      <c r="H632" s="222"/>
      <c r="I632" s="222"/>
      <c r="J632" s="222"/>
      <c r="K632" s="222"/>
      <c r="L632" s="222"/>
      <c r="M632" s="222"/>
      <c r="N632" s="222"/>
      <c r="O632" s="222"/>
      <c r="P632" s="222"/>
      <c r="Q632" s="222"/>
      <c r="R632" s="222"/>
      <c r="S632" s="224"/>
      <c r="T632" s="224">
        <f>'Perfil - interna'!T632+'Perfil - externa'!T630</f>
        <v>15128474.282891225</v>
      </c>
      <c r="U632" s="224">
        <v>22082204.757091008</v>
      </c>
      <c r="V632" s="224">
        <v>21627268.46023538</v>
      </c>
      <c r="W632" s="224">
        <v>19248889.467130493</v>
      </c>
      <c r="X632" s="224">
        <v>18052094.06684272</v>
      </c>
      <c r="Y632" s="224">
        <v>15994914.096635101</v>
      </c>
      <c r="Z632" s="224">
        <v>14661376.345457911</v>
      </c>
      <c r="AA632" s="224">
        <v>11678993.747345058</v>
      </c>
      <c r="AB632" s="224">
        <v>10630315.120750312</v>
      </c>
      <c r="AC632" s="224">
        <v>8004773.6202531978</v>
      </c>
      <c r="AD632" s="224">
        <v>7200171.3422832228</v>
      </c>
      <c r="AE632" s="224">
        <v>6083455.954648504</v>
      </c>
      <c r="AF632" s="224">
        <v>5982880.6302561527</v>
      </c>
      <c r="AG632" s="224">
        <v>4537872.8861920293</v>
      </c>
      <c r="AH632" s="224">
        <v>4446019.2166858464</v>
      </c>
      <c r="AI632" s="224">
        <v>3484556.1180582526</v>
      </c>
      <c r="AJ632" s="224">
        <v>2983863.6354649463</v>
      </c>
      <c r="AK632" s="224">
        <v>2900204.5785110104</v>
      </c>
      <c r="AL632" s="224">
        <v>2073259.2799973886</v>
      </c>
      <c r="AM632" s="224">
        <v>2030641.8380285529</v>
      </c>
      <c r="AN632" s="224">
        <v>1620014.8336501061</v>
      </c>
      <c r="AO632" s="224">
        <v>1622009.9922824795</v>
      </c>
      <c r="AP632" s="224">
        <v>1624182.950007234</v>
      </c>
      <c r="AQ632" s="224">
        <v>1400572.9557798612</v>
      </c>
      <c r="AR632" s="224">
        <v>1176986.758079869</v>
      </c>
      <c r="AS632" s="224">
        <v>1173848.4978798768</v>
      </c>
      <c r="AT632" s="224">
        <v>783539.57915510715</v>
      </c>
      <c r="AU632" s="224">
        <v>292322.16870788764</v>
      </c>
      <c r="AV632" s="224">
        <v>3571.7735742653863</v>
      </c>
      <c r="AW632" s="224">
        <v>2753.3784406431669</v>
      </c>
      <c r="AX632" s="224">
        <v>1940.8424068251554</v>
      </c>
      <c r="AY632" s="224"/>
      <c r="AZ632" s="224"/>
      <c r="BA632" s="224"/>
      <c r="BB632" s="224"/>
      <c r="BC632" s="224"/>
      <c r="BD632" s="224"/>
      <c r="BE632" s="224"/>
      <c r="BF632" s="224"/>
      <c r="BG632" s="224"/>
      <c r="BH632" s="224"/>
      <c r="BI632" s="224"/>
      <c r="BJ632" s="224"/>
      <c r="BK632" s="224"/>
    </row>
    <row r="633" spans="1:63">
      <c r="A633" s="171"/>
      <c r="B633" s="318" t="str">
        <f>Servicio_internaColumna_título_total</f>
        <v>Total</v>
      </c>
      <c r="C633" s="319"/>
      <c r="D633" s="320"/>
      <c r="E633" s="320"/>
      <c r="F633" s="320"/>
      <c r="G633" s="320"/>
      <c r="H633" s="320"/>
      <c r="I633" s="320"/>
      <c r="J633" s="320"/>
      <c r="K633" s="320"/>
      <c r="L633" s="320"/>
      <c r="M633" s="320"/>
      <c r="N633" s="320"/>
      <c r="O633" s="320"/>
      <c r="P633" s="320"/>
      <c r="Q633" s="320"/>
      <c r="R633" s="320"/>
      <c r="S633" s="321"/>
      <c r="T633" s="321">
        <f>+'Perfil - interna'!T633+'Perfil - externa'!T631</f>
        <v>39713000.994505748</v>
      </c>
      <c r="U633" s="321">
        <v>71681971.199736744</v>
      </c>
      <c r="V633" s="321">
        <v>45908349.681348629</v>
      </c>
      <c r="W633" s="321">
        <v>50065794.236410096</v>
      </c>
      <c r="X633" s="321">
        <v>49204106.06287393</v>
      </c>
      <c r="Y633" s="321">
        <v>39889611.930773541</v>
      </c>
      <c r="Z633" s="321">
        <v>52963828.40635854</v>
      </c>
      <c r="AA633" s="321">
        <v>31166488.092959322</v>
      </c>
      <c r="AB633" s="321">
        <v>51761303.329907261</v>
      </c>
      <c r="AC633" s="321">
        <v>28482375.767246582</v>
      </c>
      <c r="AD633" s="321">
        <v>28306962.921637543</v>
      </c>
      <c r="AE633" s="321">
        <v>10134752.926704779</v>
      </c>
      <c r="AF633" s="321">
        <v>26180951.923874587</v>
      </c>
      <c r="AG633" s="321">
        <v>7893783.9839358283</v>
      </c>
      <c r="AH633" s="321">
        <v>19963578.775472023</v>
      </c>
      <c r="AI633" s="321">
        <v>14766128.148571877</v>
      </c>
      <c r="AJ633" s="321">
        <v>5628097.8798567597</v>
      </c>
      <c r="AK633" s="321">
        <v>15718445.186061189</v>
      </c>
      <c r="AL633" s="321">
        <v>4935211.9605091717</v>
      </c>
      <c r="AM633" s="321">
        <v>9459677.670492677</v>
      </c>
      <c r="AN633" s="321">
        <v>1693717.7289931858</v>
      </c>
      <c r="AO633" s="321">
        <v>1695712.8876255592</v>
      </c>
      <c r="AP633" s="321">
        <v>1697885.8453503137</v>
      </c>
      <c r="AQ633" s="321">
        <v>8672575.8511229418</v>
      </c>
      <c r="AR633" s="321">
        <v>1250689.6534229487</v>
      </c>
      <c r="AS633" s="321">
        <v>1247551.3932229565</v>
      </c>
      <c r="AT633" s="321">
        <v>8054540.9776656572</v>
      </c>
      <c r="AU633" s="321">
        <v>11882303.567218438</v>
      </c>
      <c r="AV633" s="321">
        <v>76273.172084815786</v>
      </c>
      <c r="AW633" s="321">
        <v>75454.776951193562</v>
      </c>
      <c r="AX633" s="321">
        <v>74642.240917375559</v>
      </c>
      <c r="AY633" s="321"/>
      <c r="AZ633" s="321"/>
      <c r="BA633" s="321"/>
      <c r="BB633" s="321"/>
      <c r="BC633" s="321"/>
      <c r="BD633" s="321"/>
      <c r="BE633" s="321"/>
      <c r="BF633" s="321"/>
      <c r="BG633" s="321"/>
      <c r="BH633" s="321"/>
      <c r="BI633" s="321"/>
      <c r="BJ633" s="321"/>
      <c r="BK633" s="321"/>
    </row>
    <row r="634" spans="1:63">
      <c r="A634" s="167"/>
      <c r="B634" s="217" t="str">
        <f>Servicio_internaColumna_título_amortizaciones</f>
        <v>Amortizaciones</v>
      </c>
      <c r="C634" s="218"/>
      <c r="D634" s="219"/>
      <c r="E634" s="219"/>
      <c r="F634" s="219"/>
      <c r="G634" s="219"/>
      <c r="H634" s="219"/>
      <c r="I634" s="219"/>
      <c r="J634" s="219"/>
      <c r="K634" s="219"/>
      <c r="L634" s="219"/>
      <c r="M634" s="219"/>
      <c r="N634" s="219"/>
      <c r="O634" s="219"/>
      <c r="P634" s="219"/>
      <c r="Q634" s="219"/>
      <c r="R634" s="219"/>
      <c r="S634" s="224"/>
      <c r="T634" s="224">
        <f>'Perfil - interna'!T634+'Perfil - externa'!T632</f>
        <v>23386763.282243986</v>
      </c>
      <c r="U634" s="224">
        <v>52261937.609542161</v>
      </c>
      <c r="V634" s="224">
        <v>25838535.371990025</v>
      </c>
      <c r="W634" s="224">
        <v>26651944.54188</v>
      </c>
      <c r="X634" s="224">
        <v>31194178.813042819</v>
      </c>
      <c r="Y634" s="224">
        <v>24313810.308435977</v>
      </c>
      <c r="Z634" s="224">
        <v>38548692.000668235</v>
      </c>
      <c r="AA634" s="224">
        <v>20403807.414066896</v>
      </c>
      <c r="AB634" s="224">
        <v>41405890.259697936</v>
      </c>
      <c r="AC634" s="224">
        <v>21093691.06445932</v>
      </c>
      <c r="AD634" s="224">
        <v>22241646.639944788</v>
      </c>
      <c r="AE634" s="224">
        <v>4150719.3420671285</v>
      </c>
      <c r="AF634" s="224">
        <v>20274479.632070147</v>
      </c>
      <c r="AG634" s="224">
        <v>3431891.5393052828</v>
      </c>
      <c r="AH634" s="224">
        <v>16214865.64726931</v>
      </c>
      <c r="AI634" s="224">
        <v>11357175.012590501</v>
      </c>
      <c r="AJ634" s="224">
        <v>2704848.9729318367</v>
      </c>
      <c r="AK634" s="224">
        <v>13195143.830346225</v>
      </c>
      <c r="AL634" s="224">
        <v>2928173.6239590156</v>
      </c>
      <c r="AM634" s="224">
        <v>7599449.3659535339</v>
      </c>
      <c r="AN634" s="224">
        <v>75447.786326746427</v>
      </c>
      <c r="AO634" s="224">
        <v>75404.814786291885</v>
      </c>
      <c r="AP634" s="224">
        <v>75404.814786291885</v>
      </c>
      <c r="AQ634" s="224">
        <v>7438129.8147862926</v>
      </c>
      <c r="AR634" s="224">
        <v>75404.814786291885</v>
      </c>
      <c r="AS634" s="224">
        <v>75404.814786291885</v>
      </c>
      <c r="AT634" s="224">
        <v>7437105.4415639648</v>
      </c>
      <c r="AU634" s="224">
        <v>11854740.441563966</v>
      </c>
      <c r="AV634" s="224">
        <v>74380.44156396373</v>
      </c>
      <c r="AW634" s="224">
        <v>74380.44156396373</v>
      </c>
      <c r="AX634" s="224">
        <v>74380.44156396373</v>
      </c>
      <c r="AY634" s="224"/>
      <c r="AZ634" s="224"/>
      <c r="BA634" s="224"/>
      <c r="BB634" s="224"/>
      <c r="BC634" s="224"/>
      <c r="BD634" s="224"/>
      <c r="BE634" s="224"/>
      <c r="BF634" s="224"/>
      <c r="BG634" s="224"/>
      <c r="BH634" s="224"/>
      <c r="BI634" s="224"/>
      <c r="BJ634" s="224"/>
      <c r="BK634" s="224"/>
    </row>
    <row r="635" spans="1:63">
      <c r="A635" s="170">
        <v>43281</v>
      </c>
      <c r="B635" s="220" t="str">
        <f>Servicio_internaColumna_título_intereses</f>
        <v>Intereses</v>
      </c>
      <c r="C635" s="221"/>
      <c r="D635" s="222"/>
      <c r="E635" s="222"/>
      <c r="F635" s="222"/>
      <c r="G635" s="222"/>
      <c r="H635" s="222"/>
      <c r="I635" s="222"/>
      <c r="J635" s="222"/>
      <c r="K635" s="222"/>
      <c r="L635" s="222"/>
      <c r="M635" s="222"/>
      <c r="N635" s="222"/>
      <c r="O635" s="222"/>
      <c r="P635" s="222"/>
      <c r="Q635" s="222"/>
      <c r="R635" s="222"/>
      <c r="S635" s="224"/>
      <c r="T635" s="224">
        <f>'Perfil - interna'!T635+'Perfil - externa'!T633</f>
        <v>13593525.437702067</v>
      </c>
      <c r="U635" s="224">
        <v>23648712.738240004</v>
      </c>
      <c r="V635" s="224">
        <v>22000241.651326977</v>
      </c>
      <c r="W635" s="224">
        <v>19641930.299206644</v>
      </c>
      <c r="X635" s="224">
        <v>18422507.45140063</v>
      </c>
      <c r="Y635" s="224">
        <v>16380681.558907518</v>
      </c>
      <c r="Z635" s="224">
        <v>15059342.94977724</v>
      </c>
      <c r="AA635" s="224">
        <v>12090193.396196589</v>
      </c>
      <c r="AB635" s="224">
        <v>10981808.249304445</v>
      </c>
      <c r="AC635" s="224">
        <v>8360266.8602667954</v>
      </c>
      <c r="AD635" s="224">
        <v>7546895.2555513512</v>
      </c>
      <c r="AE635" s="224">
        <v>6363438.8311922485</v>
      </c>
      <c r="AF635" s="224">
        <v>6272294.554550577</v>
      </c>
      <c r="AG635" s="224">
        <v>4835930.6623740718</v>
      </c>
      <c r="AH635" s="224">
        <v>4753719.0866346322</v>
      </c>
      <c r="AI635" s="224">
        <v>3743910.6774071669</v>
      </c>
      <c r="AJ635" s="224">
        <v>3208244.7438591048</v>
      </c>
      <c r="AK635" s="224">
        <v>3108428.4530076538</v>
      </c>
      <c r="AL635" s="224">
        <v>2243593.3073966638</v>
      </c>
      <c r="AM635" s="224">
        <v>2158749.6722140112</v>
      </c>
      <c r="AN635" s="224">
        <v>1704185.0144220327</v>
      </c>
      <c r="AO635" s="224">
        <v>1706364.2224552538</v>
      </c>
      <c r="AP635" s="224">
        <v>1708681.0281909436</v>
      </c>
      <c r="AQ635" s="224">
        <v>1478982.5736121426</v>
      </c>
      <c r="AR635" s="224">
        <v>1249248.1063295442</v>
      </c>
      <c r="AS635" s="224">
        <v>1244919.2214995865</v>
      </c>
      <c r="AT635" s="224">
        <v>811597.74326735048</v>
      </c>
      <c r="AU635" s="224">
        <v>307803.14322519588</v>
      </c>
      <c r="AV635" s="224">
        <v>11024.76920191303</v>
      </c>
      <c r="AW635" s="224">
        <v>6988.6196825561447</v>
      </c>
      <c r="AX635" s="224">
        <v>3471.9899036988495</v>
      </c>
      <c r="AY635" s="224"/>
      <c r="AZ635" s="224"/>
      <c r="BA635" s="224"/>
      <c r="BB635" s="224"/>
      <c r="BC635" s="224"/>
      <c r="BD635" s="224"/>
      <c r="BE635" s="224"/>
      <c r="BF635" s="224"/>
      <c r="BG635" s="224"/>
      <c r="BH635" s="224"/>
      <c r="BI635" s="224"/>
      <c r="BJ635" s="224"/>
      <c r="BK635" s="224"/>
    </row>
    <row r="636" spans="1:63">
      <c r="A636" s="171"/>
      <c r="B636" s="318" t="str">
        <f>Servicio_internaColumna_título_total</f>
        <v>Total</v>
      </c>
      <c r="C636" s="319"/>
      <c r="D636" s="320"/>
      <c r="E636" s="320"/>
      <c r="F636" s="320"/>
      <c r="G636" s="320"/>
      <c r="H636" s="320"/>
      <c r="I636" s="320"/>
      <c r="J636" s="320"/>
      <c r="K636" s="320"/>
      <c r="L636" s="320"/>
      <c r="M636" s="320"/>
      <c r="N636" s="320"/>
      <c r="O636" s="320"/>
      <c r="P636" s="320"/>
      <c r="Q636" s="320"/>
      <c r="R636" s="320"/>
      <c r="S636" s="321"/>
      <c r="T636" s="321">
        <f>+'Perfil - interna'!T636+'Perfil - externa'!T634</f>
        <v>36980288.719946057</v>
      </c>
      <c r="U636" s="321">
        <v>75910650.347782165</v>
      </c>
      <c r="V636" s="321">
        <v>47838777.023317002</v>
      </c>
      <c r="W636" s="321">
        <v>46293874.841086641</v>
      </c>
      <c r="X636" s="321">
        <v>49616686.264443457</v>
      </c>
      <c r="Y636" s="321">
        <v>40694491.867343493</v>
      </c>
      <c r="Z636" s="321">
        <v>53608034.950445473</v>
      </c>
      <c r="AA636" s="321">
        <v>32494000.810263485</v>
      </c>
      <c r="AB636" s="321">
        <v>52387698.509002388</v>
      </c>
      <c r="AC636" s="321">
        <v>29453957.924726114</v>
      </c>
      <c r="AD636" s="321">
        <v>29788541.895496137</v>
      </c>
      <c r="AE636" s="321">
        <v>10514158.173259377</v>
      </c>
      <c r="AF636" s="321">
        <v>26546774.186620723</v>
      </c>
      <c r="AG636" s="321">
        <v>8267822.2016793545</v>
      </c>
      <c r="AH636" s="321">
        <v>20968584.733903944</v>
      </c>
      <c r="AI636" s="321">
        <v>15101085.689997669</v>
      </c>
      <c r="AJ636" s="321">
        <v>5913093.7167909425</v>
      </c>
      <c r="AK636" s="321">
        <v>16303572.283353878</v>
      </c>
      <c r="AL636" s="321">
        <v>5171766.9313556794</v>
      </c>
      <c r="AM636" s="321">
        <v>9758199.0381675437</v>
      </c>
      <c r="AN636" s="321">
        <v>1779632.8007487792</v>
      </c>
      <c r="AO636" s="321">
        <v>1781769.037241546</v>
      </c>
      <c r="AP636" s="321">
        <v>1784085.8429772358</v>
      </c>
      <c r="AQ636" s="321">
        <v>8917112.3883984368</v>
      </c>
      <c r="AR636" s="321">
        <v>1324652.9211158359</v>
      </c>
      <c r="AS636" s="321">
        <v>1320324.0362858782</v>
      </c>
      <c r="AT636" s="321">
        <v>8248703.1848313157</v>
      </c>
      <c r="AU636" s="321">
        <v>12162543.584789161</v>
      </c>
      <c r="AV636" s="321">
        <v>85405.210765876764</v>
      </c>
      <c r="AW636" s="321">
        <v>81369.061246519879</v>
      </c>
      <c r="AX636" s="321">
        <v>77852.43146766258</v>
      </c>
      <c r="AY636" s="321"/>
      <c r="AZ636" s="321"/>
      <c r="BA636" s="321"/>
      <c r="BB636" s="321"/>
      <c r="BC636" s="321"/>
      <c r="BD636" s="321"/>
      <c r="BE636" s="321"/>
      <c r="BF636" s="321"/>
      <c r="BG636" s="321"/>
      <c r="BH636" s="321"/>
      <c r="BI636" s="321"/>
      <c r="BJ636" s="321"/>
      <c r="BK636" s="321"/>
    </row>
    <row r="637" spans="1:63">
      <c r="A637" s="167"/>
      <c r="B637" s="217" t="str">
        <f>Servicio_internaColumna_título_amortizaciones</f>
        <v>Amortizaciones</v>
      </c>
      <c r="C637" s="218"/>
      <c r="D637" s="219"/>
      <c r="E637" s="219"/>
      <c r="F637" s="219"/>
      <c r="G637" s="219"/>
      <c r="H637" s="219"/>
      <c r="I637" s="219"/>
      <c r="J637" s="219"/>
      <c r="K637" s="219"/>
      <c r="L637" s="219"/>
      <c r="M637" s="219"/>
      <c r="N637" s="219"/>
      <c r="O637" s="219"/>
      <c r="P637" s="219"/>
      <c r="Q637" s="219"/>
      <c r="R637" s="219"/>
      <c r="S637" s="224"/>
      <c r="T637" s="224">
        <f>'Perfil - interna'!T637+'Perfil - externa'!T635</f>
        <v>22354107.762298379</v>
      </c>
      <c r="U637" s="224">
        <v>51811366.486484811</v>
      </c>
      <c r="V637" s="224">
        <v>24242423.579081118</v>
      </c>
      <c r="W637" s="224">
        <v>30890849.363984659</v>
      </c>
      <c r="X637" s="224">
        <v>31124163.657098275</v>
      </c>
      <c r="Y637" s="224">
        <v>24621534.825351842</v>
      </c>
      <c r="Z637" s="224">
        <v>38268558.124508791</v>
      </c>
      <c r="AA637" s="224">
        <v>21513830.41107329</v>
      </c>
      <c r="AB637" s="224">
        <v>41114211.513346642</v>
      </c>
      <c r="AC637" s="224">
        <v>21150212.666207265</v>
      </c>
      <c r="AD637" s="224">
        <v>22704733.987597775</v>
      </c>
      <c r="AE637" s="224">
        <v>4051523.0387119157</v>
      </c>
      <c r="AF637" s="224">
        <v>20203897.288518906</v>
      </c>
      <c r="AG637" s="224">
        <v>3351198.4634742476</v>
      </c>
      <c r="AH637" s="224">
        <v>16629896.596474476</v>
      </c>
      <c r="AI637" s="224">
        <v>11331349.888443323</v>
      </c>
      <c r="AJ637" s="224">
        <v>2641294.3086128742</v>
      </c>
      <c r="AK637" s="224">
        <v>13612178.470233176</v>
      </c>
      <c r="AL637" s="224">
        <v>2864509.8018793417</v>
      </c>
      <c r="AM637" s="224">
        <v>7424781.1998491781</v>
      </c>
      <c r="AN637" s="224">
        <v>73820.239948170594</v>
      </c>
      <c r="AO637" s="224">
        <v>73778.280579079685</v>
      </c>
      <c r="AP637" s="224">
        <v>73778.280579079685</v>
      </c>
      <c r="AQ637" s="224">
        <v>7263078.2805790789</v>
      </c>
      <c r="AR637" s="224">
        <v>73778.280579079685</v>
      </c>
      <c r="AS637" s="224">
        <v>73778.280579079685</v>
      </c>
      <c r="AT637" s="224">
        <v>7262078.0359132411</v>
      </c>
      <c r="AU637" s="224">
        <v>11575658.03591324</v>
      </c>
      <c r="AV637" s="224">
        <v>72778.03591324146</v>
      </c>
      <c r="AW637" s="224">
        <v>72778.03591324146</v>
      </c>
      <c r="AX637" s="224">
        <v>72778.03591324146</v>
      </c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</row>
    <row r="638" spans="1:63">
      <c r="A638" s="170">
        <v>43312</v>
      </c>
      <c r="B638" s="220" t="str">
        <f>Servicio_internaColumna_título_intereses</f>
        <v>Intereses</v>
      </c>
      <c r="C638" s="221"/>
      <c r="D638" s="222"/>
      <c r="E638" s="222"/>
      <c r="F638" s="222"/>
      <c r="G638" s="222"/>
      <c r="H638" s="222"/>
      <c r="I638" s="222"/>
      <c r="J638" s="222"/>
      <c r="K638" s="222"/>
      <c r="L638" s="222"/>
      <c r="M638" s="222"/>
      <c r="N638" s="222"/>
      <c r="O638" s="222"/>
      <c r="P638" s="222"/>
      <c r="Q638" s="222"/>
      <c r="R638" s="222"/>
      <c r="S638" s="224"/>
      <c r="T638" s="224">
        <f>'Perfil - interna'!T638+'Perfil - externa'!T636</f>
        <v>8140400.312188983</v>
      </c>
      <c r="U638" s="224">
        <v>23706732.26994257</v>
      </c>
      <c r="V638" s="224">
        <v>22113216.704415135</v>
      </c>
      <c r="W638" s="224">
        <v>19768384.656495187</v>
      </c>
      <c r="X638" s="224">
        <v>18538191.355163895</v>
      </c>
      <c r="Y638" s="224">
        <v>16500185.147203794</v>
      </c>
      <c r="Z638" s="224">
        <v>15170274.813974995</v>
      </c>
      <c r="AA638" s="224">
        <v>12214957.421460308</v>
      </c>
      <c r="AB638" s="224">
        <v>11029684.758561537</v>
      </c>
      <c r="AC638" s="224">
        <v>8419665.3988836035</v>
      </c>
      <c r="AD638" s="224">
        <v>7598709.0345399845</v>
      </c>
      <c r="AE638" s="224">
        <v>6381093.7852133177</v>
      </c>
      <c r="AF638" s="224">
        <v>6291603.3786069378</v>
      </c>
      <c r="AG638" s="224">
        <v>4856605.7764725294</v>
      </c>
      <c r="AH638" s="224">
        <v>4776145.9628164023</v>
      </c>
      <c r="AI638" s="224">
        <v>3738951.5971440314</v>
      </c>
      <c r="AJ638" s="224">
        <v>3198344.2514142613</v>
      </c>
      <c r="AK638" s="224">
        <v>3099387.9251415459</v>
      </c>
      <c r="AL638" s="224">
        <v>2198701.9566412945</v>
      </c>
      <c r="AM638" s="224">
        <v>2114406.7251232569</v>
      </c>
      <c r="AN638" s="224">
        <v>1669661.1646959402</v>
      </c>
      <c r="AO638" s="224">
        <v>1671829.7676548606</v>
      </c>
      <c r="AP638" s="224">
        <v>1674152.1055278918</v>
      </c>
      <c r="AQ638" s="224">
        <v>1449763.4072265439</v>
      </c>
      <c r="AR638" s="224">
        <v>1225347.4567884989</v>
      </c>
      <c r="AS638" s="224">
        <v>1221028.1923736255</v>
      </c>
      <c r="AT638" s="224">
        <v>792607.05702040775</v>
      </c>
      <c r="AU638" s="224">
        <v>300646.82623548934</v>
      </c>
      <c r="AV638" s="224">
        <v>10833.338355733</v>
      </c>
      <c r="AW638" s="224">
        <v>7667.8382867746304</v>
      </c>
      <c r="AX638" s="224">
        <v>2726.1540919160952</v>
      </c>
      <c r="AY638" s="224"/>
      <c r="AZ638" s="224"/>
      <c r="BA638" s="224"/>
      <c r="BB638" s="224"/>
      <c r="BC638" s="224"/>
      <c r="BD638" s="224"/>
      <c r="BE638" s="224"/>
      <c r="BF638" s="224"/>
      <c r="BG638" s="224"/>
      <c r="BH638" s="224"/>
      <c r="BI638" s="224"/>
      <c r="BJ638" s="224"/>
      <c r="BK638" s="224"/>
    </row>
    <row r="639" spans="1:63">
      <c r="A639" s="171"/>
      <c r="B639" s="318" t="str">
        <f>Servicio_internaColumna_título_total</f>
        <v>Total</v>
      </c>
      <c r="C639" s="319"/>
      <c r="D639" s="320"/>
      <c r="E639" s="320"/>
      <c r="F639" s="320"/>
      <c r="G639" s="320"/>
      <c r="H639" s="320"/>
      <c r="I639" s="320"/>
      <c r="J639" s="320"/>
      <c r="K639" s="320"/>
      <c r="L639" s="320"/>
      <c r="M639" s="320"/>
      <c r="N639" s="320"/>
      <c r="O639" s="320"/>
      <c r="P639" s="320"/>
      <c r="Q639" s="320"/>
      <c r="R639" s="320"/>
      <c r="S639" s="321"/>
      <c r="T639" s="321">
        <f>+'Perfil - interna'!T639+'Perfil - externa'!T637</f>
        <v>30494508.074487362</v>
      </c>
      <c r="U639" s="321">
        <v>75518098.756427377</v>
      </c>
      <c r="V639" s="321">
        <v>46355640.283496253</v>
      </c>
      <c r="W639" s="321">
        <v>50659234.020479843</v>
      </c>
      <c r="X639" s="321">
        <v>49662355.012262173</v>
      </c>
      <c r="Y639" s="321">
        <v>41121719.972555637</v>
      </c>
      <c r="Z639" s="321">
        <v>53438832.938483797</v>
      </c>
      <c r="AA639" s="321">
        <v>33728787.832533598</v>
      </c>
      <c r="AB639" s="321">
        <v>52143896.271908179</v>
      </c>
      <c r="AC639" s="321">
        <v>29569878.065090869</v>
      </c>
      <c r="AD639" s="321">
        <v>30303443.022137757</v>
      </c>
      <c r="AE639" s="321">
        <v>10432616.823925234</v>
      </c>
      <c r="AF639" s="321">
        <v>26495500.667125843</v>
      </c>
      <c r="AG639" s="321">
        <v>8207804.239946777</v>
      </c>
      <c r="AH639" s="321">
        <v>21406042.559290878</v>
      </c>
      <c r="AI639" s="321">
        <v>15070301.485587355</v>
      </c>
      <c r="AJ639" s="321">
        <v>5839638.5600271355</v>
      </c>
      <c r="AK639" s="321">
        <v>16711566.395374721</v>
      </c>
      <c r="AL639" s="321">
        <v>5063211.7585206367</v>
      </c>
      <c r="AM639" s="321">
        <v>9539187.9249724336</v>
      </c>
      <c r="AN639" s="321">
        <v>1743481.4046441107</v>
      </c>
      <c r="AO639" s="321">
        <v>1745608.0482339405</v>
      </c>
      <c r="AP639" s="321">
        <v>1747930.3861069714</v>
      </c>
      <c r="AQ639" s="321">
        <v>8712841.6878056228</v>
      </c>
      <c r="AR639" s="321">
        <v>1299125.7373675785</v>
      </c>
      <c r="AS639" s="321">
        <v>1294806.4729527051</v>
      </c>
      <c r="AT639" s="321">
        <v>8054685.0929336492</v>
      </c>
      <c r="AU639" s="321">
        <v>11876304.86214873</v>
      </c>
      <c r="AV639" s="321">
        <v>83611.374268974454</v>
      </c>
      <c r="AW639" s="321">
        <v>80445.874200016086</v>
      </c>
      <c r="AX639" s="321">
        <v>75504.19000515755</v>
      </c>
      <c r="AY639" s="321"/>
      <c r="AZ639" s="321"/>
      <c r="BA639" s="321"/>
      <c r="BB639" s="321"/>
      <c r="BC639" s="321"/>
      <c r="BD639" s="321"/>
      <c r="BE639" s="321"/>
      <c r="BF639" s="321"/>
      <c r="BG639" s="321"/>
      <c r="BH639" s="321"/>
      <c r="BI639" s="321"/>
      <c r="BJ639" s="321"/>
      <c r="BK639" s="321"/>
    </row>
    <row r="640" spans="1:63">
      <c r="A640" s="167"/>
      <c r="B640" s="217" t="str">
        <f>Servicio_internaColumna_título_amortizaciones</f>
        <v>Amortizaciones</v>
      </c>
      <c r="C640" s="218"/>
      <c r="D640" s="219"/>
      <c r="E640" s="219"/>
      <c r="F640" s="219"/>
      <c r="G640" s="219"/>
      <c r="H640" s="219"/>
      <c r="I640" s="219"/>
      <c r="J640" s="219"/>
      <c r="K640" s="219"/>
      <c r="L640" s="219"/>
      <c r="M640" s="219"/>
      <c r="N640" s="219"/>
      <c r="O640" s="219"/>
      <c r="P640" s="219"/>
      <c r="Q640" s="219"/>
      <c r="R640" s="219"/>
      <c r="S640" s="224"/>
      <c r="T640" s="224">
        <f>'Perfil - interna'!T640+'Perfil - externa'!T638</f>
        <v>22035124.814397052</v>
      </c>
      <c r="U640" s="224">
        <v>53270834.359949231</v>
      </c>
      <c r="V640" s="224">
        <v>24442904.674682092</v>
      </c>
      <c r="W640" s="224">
        <v>31302074.085331354</v>
      </c>
      <c r="X640" s="224">
        <v>31228349.270010237</v>
      </c>
      <c r="Y640" s="224">
        <v>25562572.221457668</v>
      </c>
      <c r="Z640" s="224">
        <v>38860804.746169925</v>
      </c>
      <c r="AA640" s="224">
        <v>23407513.970551714</v>
      </c>
      <c r="AB640" s="224">
        <v>41735026.822218865</v>
      </c>
      <c r="AC640" s="224">
        <v>22482774.600289177</v>
      </c>
      <c r="AD640" s="224">
        <v>23820241.456245653</v>
      </c>
      <c r="AE640" s="224">
        <v>4262332.6241393508</v>
      </c>
      <c r="AF640" s="224">
        <v>20454911.308891688</v>
      </c>
      <c r="AG640" s="224">
        <v>3525170.2907190849</v>
      </c>
      <c r="AH640" s="224">
        <v>17680512.037677493</v>
      </c>
      <c r="AI640" s="224">
        <v>11672528.097614102</v>
      </c>
      <c r="AJ640" s="224">
        <v>2776779.7250254201</v>
      </c>
      <c r="AK640" s="224">
        <v>14264813.143434785</v>
      </c>
      <c r="AL640" s="224">
        <v>5000831.9014228247</v>
      </c>
      <c r="AM640" s="224">
        <v>5800623.1068690997</v>
      </c>
      <c r="AN640" s="224">
        <v>77297.902312700127</v>
      </c>
      <c r="AO640" s="224">
        <v>77253.729940427409</v>
      </c>
      <c r="AP640" s="224">
        <v>77253.729940427409</v>
      </c>
      <c r="AQ640" s="224">
        <v>7645728.7299404265</v>
      </c>
      <c r="AR640" s="224">
        <v>77253.729940427409</v>
      </c>
      <c r="AS640" s="224">
        <v>77253.729940427409</v>
      </c>
      <c r="AT640" s="224">
        <v>7644675.7307962431</v>
      </c>
      <c r="AU640" s="224">
        <v>12185760.730796242</v>
      </c>
      <c r="AV640" s="224">
        <v>76200.73079624369</v>
      </c>
      <c r="AW640" s="224">
        <v>76200.73079624369</v>
      </c>
      <c r="AX640" s="224">
        <v>76200.73079624369</v>
      </c>
      <c r="AY640" s="224"/>
      <c r="AZ640" s="224"/>
      <c r="BA640" s="224"/>
      <c r="BB640" s="224"/>
      <c r="BC640" s="224"/>
      <c r="BD640" s="224"/>
      <c r="BE640" s="224"/>
      <c r="BF640" s="224"/>
      <c r="BG640" s="224"/>
      <c r="BH640" s="224"/>
      <c r="BI640" s="224"/>
      <c r="BJ640" s="224"/>
      <c r="BK640" s="224"/>
    </row>
    <row r="641" spans="1:63">
      <c r="A641" s="170">
        <v>43343</v>
      </c>
      <c r="B641" s="220" t="str">
        <f>Servicio_internaColumna_título_intereses</f>
        <v>Intereses</v>
      </c>
      <c r="C641" s="221"/>
      <c r="D641" s="222"/>
      <c r="E641" s="222"/>
      <c r="F641" s="222"/>
      <c r="G641" s="222"/>
      <c r="H641" s="222"/>
      <c r="I641" s="222"/>
      <c r="J641" s="222"/>
      <c r="K641" s="222"/>
      <c r="L641" s="222"/>
      <c r="M641" s="222"/>
      <c r="N641" s="222"/>
      <c r="O641" s="222"/>
      <c r="P641" s="222"/>
      <c r="Q641" s="222"/>
      <c r="R641" s="222"/>
      <c r="S641" s="224"/>
      <c r="T641" s="224">
        <f>'Perfil - interna'!T641+'Perfil - externa'!T639</f>
        <v>5706521.8412181716</v>
      </c>
      <c r="U641" s="224">
        <v>24597001.297171019</v>
      </c>
      <c r="V641" s="224">
        <v>23073694.735036582</v>
      </c>
      <c r="W641" s="224">
        <v>20841110.763886172</v>
      </c>
      <c r="X641" s="224">
        <v>19649332.718471989</v>
      </c>
      <c r="Y641" s="224">
        <v>17657684.631993063</v>
      </c>
      <c r="Z641" s="224">
        <v>16623942.059639674</v>
      </c>
      <c r="AA641" s="224">
        <v>13741080.308247508</v>
      </c>
      <c r="AB641" s="224">
        <v>12235843.133326022</v>
      </c>
      <c r="AC641" s="224">
        <v>9548915.5724506006</v>
      </c>
      <c r="AD641" s="224">
        <v>8605533.2168650348</v>
      </c>
      <c r="AE641" s="224">
        <v>7147142.6042086799</v>
      </c>
      <c r="AF641" s="224">
        <v>6918734.0041487841</v>
      </c>
      <c r="AG641" s="224">
        <v>5315068.9612448141</v>
      </c>
      <c r="AH641" s="224">
        <v>5047554.407082146</v>
      </c>
      <c r="AI641" s="224">
        <v>3899272.9540262497</v>
      </c>
      <c r="AJ641" s="224">
        <v>3343066.1864296878</v>
      </c>
      <c r="AK641" s="224">
        <v>3242076.6528027188</v>
      </c>
      <c r="AL641" s="224">
        <v>2298560.3466685256</v>
      </c>
      <c r="AM641" s="224">
        <v>2154885.4611321832</v>
      </c>
      <c r="AN641" s="224">
        <v>1745270.210441835</v>
      </c>
      <c r="AO641" s="224">
        <v>1747437.4081312311</v>
      </c>
      <c r="AP641" s="224">
        <v>1749695.7466042195</v>
      </c>
      <c r="AQ641" s="224">
        <v>1513680.6603991508</v>
      </c>
      <c r="AR641" s="224">
        <v>1277613.4498734078</v>
      </c>
      <c r="AS641" s="224">
        <v>1273262.07802406</v>
      </c>
      <c r="AT641" s="224">
        <v>834098.00188084925</v>
      </c>
      <c r="AU641" s="224">
        <v>316260.99464276852</v>
      </c>
      <c r="AV641" s="224">
        <v>11214.839065703831</v>
      </c>
      <c r="AW641" s="224">
        <v>8793.5100852769265</v>
      </c>
      <c r="AX641" s="224">
        <v>2155.7217263551192</v>
      </c>
      <c r="AY641" s="224"/>
      <c r="AZ641" s="224"/>
      <c r="BA641" s="224"/>
      <c r="BB641" s="224"/>
      <c r="BC641" s="224"/>
      <c r="BD641" s="224"/>
      <c r="BE641" s="224"/>
      <c r="BF641" s="224"/>
      <c r="BG641" s="224"/>
      <c r="BH641" s="224"/>
      <c r="BI641" s="224"/>
      <c r="BJ641" s="224"/>
      <c r="BK641" s="224"/>
    </row>
    <row r="642" spans="1:63">
      <c r="A642" s="171"/>
      <c r="B642" s="318" t="str">
        <f>Servicio_internaColumna_título_total</f>
        <v>Total</v>
      </c>
      <c r="C642" s="319"/>
      <c r="D642" s="320"/>
      <c r="E642" s="320"/>
      <c r="F642" s="320"/>
      <c r="G642" s="320"/>
      <c r="H642" s="320"/>
      <c r="I642" s="320"/>
      <c r="J642" s="320"/>
      <c r="K642" s="320"/>
      <c r="L642" s="320"/>
      <c r="M642" s="320"/>
      <c r="N642" s="320"/>
      <c r="O642" s="320"/>
      <c r="P642" s="320"/>
      <c r="Q642" s="320"/>
      <c r="R642" s="320"/>
      <c r="S642" s="321"/>
      <c r="T642" s="321">
        <f>+'Perfil - interna'!T642+'Perfil - externa'!T640</f>
        <v>27741646.655615222</v>
      </c>
      <c r="U642" s="321">
        <v>77867835.657120258</v>
      </c>
      <c r="V642" s="321">
        <v>47516599.409718677</v>
      </c>
      <c r="W642" s="321">
        <v>52143184.849217527</v>
      </c>
      <c r="X642" s="321">
        <v>50877681.988482229</v>
      </c>
      <c r="Y642" s="321">
        <v>43220256.85345073</v>
      </c>
      <c r="Z642" s="321">
        <v>55484746.805809602</v>
      </c>
      <c r="AA642" s="321">
        <v>37148594.278799221</v>
      </c>
      <c r="AB642" s="321">
        <v>53970869.955544882</v>
      </c>
      <c r="AC642" s="321">
        <v>32031690.172739774</v>
      </c>
      <c r="AD642" s="321">
        <v>32425774.673110694</v>
      </c>
      <c r="AE642" s="321">
        <v>11409475.228348032</v>
      </c>
      <c r="AF642" s="321">
        <v>27373645.313040473</v>
      </c>
      <c r="AG642" s="321">
        <v>8840239.2519638985</v>
      </c>
      <c r="AH642" s="321">
        <v>22728066.444759641</v>
      </c>
      <c r="AI642" s="321">
        <v>15571801.05164035</v>
      </c>
      <c r="AJ642" s="321">
        <v>6119845.9114551079</v>
      </c>
      <c r="AK642" s="321">
        <v>17506889.796237502</v>
      </c>
      <c r="AL642" s="321">
        <v>7299392.2480913503</v>
      </c>
      <c r="AM642" s="321">
        <v>7955508.5680012833</v>
      </c>
      <c r="AN642" s="321">
        <v>1822568.1127545349</v>
      </c>
      <c r="AO642" s="321">
        <v>1824691.1380716586</v>
      </c>
      <c r="AP642" s="321">
        <v>1826949.476544647</v>
      </c>
      <c r="AQ642" s="321">
        <v>9159409.3903395776</v>
      </c>
      <c r="AR642" s="321">
        <v>1354867.1798138351</v>
      </c>
      <c r="AS642" s="321">
        <v>1350515.8079644872</v>
      </c>
      <c r="AT642" s="321">
        <v>8478773.7326770909</v>
      </c>
      <c r="AU642" s="321">
        <v>12502021.72543901</v>
      </c>
      <c r="AV642" s="321">
        <v>87415.56986194753</v>
      </c>
      <c r="AW642" s="321">
        <v>84994.240881520629</v>
      </c>
      <c r="AX642" s="321">
        <v>78356.452522598818</v>
      </c>
      <c r="AY642" s="321"/>
      <c r="AZ642" s="321"/>
      <c r="BA642" s="321"/>
      <c r="BB642" s="321"/>
      <c r="BC642" s="321"/>
      <c r="BD642" s="321"/>
      <c r="BE642" s="321"/>
      <c r="BF642" s="321"/>
      <c r="BG642" s="321"/>
      <c r="BH642" s="321"/>
      <c r="BI642" s="321"/>
      <c r="BJ642" s="321"/>
      <c r="BK642" s="321"/>
    </row>
    <row r="643" spans="1:63">
      <c r="A643" s="167"/>
      <c r="B643" s="217" t="str">
        <f>Servicio_internaColumna_título_amortizaciones</f>
        <v>Amortizaciones</v>
      </c>
      <c r="C643" s="218"/>
      <c r="D643" s="219"/>
      <c r="E643" s="219"/>
      <c r="F643" s="219"/>
      <c r="G643" s="219"/>
      <c r="H643" s="219"/>
      <c r="I643" s="219"/>
      <c r="J643" s="219"/>
      <c r="K643" s="219"/>
      <c r="L643" s="219"/>
      <c r="M643" s="219"/>
      <c r="N643" s="219"/>
      <c r="O643" s="219"/>
      <c r="P643" s="219"/>
      <c r="Q643" s="219"/>
      <c r="R643" s="219"/>
      <c r="S643" s="224"/>
      <c r="T643" s="224">
        <f>'Perfil - interna'!T643+'Perfil - externa'!T641</f>
        <v>21932422.43320236</v>
      </c>
      <c r="U643" s="224">
        <v>53045878.070329487</v>
      </c>
      <c r="V643" s="224">
        <v>24372417.0123564</v>
      </c>
      <c r="W643" s="224">
        <v>31320029.18716982</v>
      </c>
      <c r="X643" s="224">
        <v>31308671.780135311</v>
      </c>
      <c r="Y643" s="224">
        <v>26237811.991422776</v>
      </c>
      <c r="Z643" s="224">
        <v>38823289.289113119</v>
      </c>
      <c r="AA643" s="224">
        <v>24125902.489215847</v>
      </c>
      <c r="AB643" s="224">
        <v>41679650.311345339</v>
      </c>
      <c r="AC643" s="224">
        <v>22657660.46889174</v>
      </c>
      <c r="AD643" s="224">
        <v>24529172.033780679</v>
      </c>
      <c r="AE643" s="224">
        <v>4202735.9746234743</v>
      </c>
      <c r="AF643" s="224">
        <v>20411051.964348093</v>
      </c>
      <c r="AG643" s="224">
        <v>3475725.3422285975</v>
      </c>
      <c r="AH643" s="224">
        <v>18654723.734587163</v>
      </c>
      <c r="AI643" s="224">
        <v>11644297.628936797</v>
      </c>
      <c r="AJ643" s="224">
        <v>2741113.8205590094</v>
      </c>
      <c r="AK643" s="224">
        <v>14381763.323492656</v>
      </c>
      <c r="AL643" s="224">
        <v>4930501.5114241242</v>
      </c>
      <c r="AM643" s="224">
        <v>5727986.690394735</v>
      </c>
      <c r="AN643" s="224">
        <v>76164.478080824221</v>
      </c>
      <c r="AO643" s="224">
        <v>76164.478080824221</v>
      </c>
      <c r="AP643" s="224">
        <v>76164.478080824221</v>
      </c>
      <c r="AQ643" s="224">
        <v>7550114.4780808231</v>
      </c>
      <c r="AR643" s="224">
        <v>76164.478080824221</v>
      </c>
      <c r="AS643" s="224">
        <v>76164.478080824221</v>
      </c>
      <c r="AT643" s="224">
        <v>7549074.6301651374</v>
      </c>
      <c r="AU643" s="224">
        <v>12033444.630165137</v>
      </c>
      <c r="AV643" s="224">
        <v>75124.63016513818</v>
      </c>
      <c r="AW643" s="224">
        <v>75124.63016513818</v>
      </c>
      <c r="AX643" s="224">
        <v>75124.63016513818</v>
      </c>
      <c r="AY643" s="224"/>
      <c r="AZ643" s="224"/>
      <c r="BA643" s="224"/>
      <c r="BB643" s="224"/>
      <c r="BC643" s="224"/>
      <c r="BD643" s="224"/>
      <c r="BE643" s="224"/>
      <c r="BF643" s="224"/>
      <c r="BG643" s="224"/>
      <c r="BH643" s="224"/>
      <c r="BI643" s="224"/>
      <c r="BJ643" s="224"/>
      <c r="BK643" s="224"/>
    </row>
    <row r="644" spans="1:63">
      <c r="A644" s="170">
        <v>43373</v>
      </c>
      <c r="B644" s="220" t="str">
        <f>Servicio_internaColumna_título_intereses</f>
        <v>Intereses</v>
      </c>
      <c r="C644" s="221"/>
      <c r="D644" s="222"/>
      <c r="E644" s="222"/>
      <c r="F644" s="222"/>
      <c r="G644" s="222"/>
      <c r="H644" s="222"/>
      <c r="I644" s="222"/>
      <c r="J644" s="222"/>
      <c r="K644" s="222"/>
      <c r="L644" s="222"/>
      <c r="M644" s="222"/>
      <c r="N644" s="222"/>
      <c r="O644" s="222"/>
      <c r="P644" s="222"/>
      <c r="Q644" s="222"/>
      <c r="R644" s="222"/>
      <c r="S644" s="224"/>
      <c r="T644" s="224">
        <f>'Perfil - interna'!T644+'Perfil - externa'!T642</f>
        <v>2661330.0665251352</v>
      </c>
      <c r="U644" s="224">
        <v>24423755.233094547</v>
      </c>
      <c r="V644" s="224">
        <v>22865243.500465065</v>
      </c>
      <c r="W644" s="224">
        <v>20544922.037952881</v>
      </c>
      <c r="X644" s="224">
        <v>19286108.035928953</v>
      </c>
      <c r="Y644" s="224">
        <v>17244407.574250247</v>
      </c>
      <c r="Z644" s="224">
        <v>15820040.652387958</v>
      </c>
      <c r="AA644" s="224">
        <v>12862540.577384658</v>
      </c>
      <c r="AB644" s="224">
        <v>11523097.56653448</v>
      </c>
      <c r="AC644" s="224">
        <v>8896054.9215226881</v>
      </c>
      <c r="AD644" s="224">
        <v>8020007.9459388833</v>
      </c>
      <c r="AE644" s="224">
        <v>6697333.6701359544</v>
      </c>
      <c r="AF644" s="224">
        <v>6601298.2210677378</v>
      </c>
      <c r="AG644" s="224">
        <v>5152502.3113655914</v>
      </c>
      <c r="AH644" s="224">
        <v>5066229.9852597136</v>
      </c>
      <c r="AI644" s="224">
        <v>3900322.9307727092</v>
      </c>
      <c r="AJ644" s="224">
        <v>3340244.3103014948</v>
      </c>
      <c r="AK644" s="224">
        <v>3234759.2952364832</v>
      </c>
      <c r="AL644" s="224">
        <v>2277356.0992888496</v>
      </c>
      <c r="AM644" s="224">
        <v>2131576.1532270312</v>
      </c>
      <c r="AN644" s="224">
        <v>1726866.1359628874</v>
      </c>
      <c r="AO644" s="224">
        <v>1728967.9211774261</v>
      </c>
      <c r="AP644" s="224">
        <v>1731174.5186184943</v>
      </c>
      <c r="AQ644" s="224">
        <v>1498000.7499083446</v>
      </c>
      <c r="AR644" s="224">
        <v>1264785.4406691357</v>
      </c>
      <c r="AS644" s="224">
        <v>1260396.9379243853</v>
      </c>
      <c r="AT644" s="224">
        <v>823867.02659368864</v>
      </c>
      <c r="AU644" s="224">
        <v>312446.40581287025</v>
      </c>
      <c r="AV644" s="224">
        <v>11168.49865073396</v>
      </c>
      <c r="AW644" s="224">
        <v>8769.1583625619842</v>
      </c>
      <c r="AX644" s="224">
        <v>2215.5421182656669</v>
      </c>
      <c r="AY644" s="224"/>
      <c r="AZ644" s="224"/>
      <c r="BA644" s="224"/>
      <c r="BB644" s="224"/>
      <c r="BC644" s="224"/>
      <c r="BD644" s="224"/>
      <c r="BE644" s="224"/>
      <c r="BF644" s="224"/>
      <c r="BG644" s="224"/>
      <c r="BH644" s="224"/>
      <c r="BI644" s="224"/>
      <c r="BJ644" s="224"/>
      <c r="BK644" s="224"/>
    </row>
    <row r="645" spans="1:63">
      <c r="A645" s="171"/>
      <c r="B645" s="318" t="str">
        <f>Servicio_internaColumna_título_total</f>
        <v>Total</v>
      </c>
      <c r="C645" s="319"/>
      <c r="D645" s="320"/>
      <c r="E645" s="320"/>
      <c r="F645" s="320"/>
      <c r="G645" s="320"/>
      <c r="H645" s="320"/>
      <c r="I645" s="320"/>
      <c r="J645" s="320"/>
      <c r="K645" s="320"/>
      <c r="L645" s="320"/>
      <c r="M645" s="320"/>
      <c r="N645" s="320"/>
      <c r="O645" s="320"/>
      <c r="P645" s="320"/>
      <c r="Q645" s="320"/>
      <c r="R645" s="320"/>
      <c r="S645" s="321"/>
      <c r="T645" s="321">
        <f>+'Perfil - interna'!T645+'Perfil - externa'!T643</f>
        <v>27741646.655615222</v>
      </c>
      <c r="U645" s="321">
        <v>77867835.657120258</v>
      </c>
      <c r="V645" s="321">
        <v>47516599.409718677</v>
      </c>
      <c r="W645" s="321">
        <v>52143184.849217527</v>
      </c>
      <c r="X645" s="321">
        <v>50877681.988482229</v>
      </c>
      <c r="Y645" s="321">
        <v>43220256.85345073</v>
      </c>
      <c r="Z645" s="321">
        <v>55484746.805809602</v>
      </c>
      <c r="AA645" s="321">
        <v>37148594.278799221</v>
      </c>
      <c r="AB645" s="321">
        <v>53970869.955544882</v>
      </c>
      <c r="AC645" s="321">
        <v>32031690.172739774</v>
      </c>
      <c r="AD645" s="321">
        <v>32425774.673110694</v>
      </c>
      <c r="AE645" s="321">
        <v>11409475.228348032</v>
      </c>
      <c r="AF645" s="321">
        <v>27373645.313040473</v>
      </c>
      <c r="AG645" s="321">
        <v>8840239.2519638985</v>
      </c>
      <c r="AH645" s="321">
        <v>22728066.444759641</v>
      </c>
      <c r="AI645" s="321">
        <v>15571801.05164035</v>
      </c>
      <c r="AJ645" s="321">
        <v>6119845.9114551079</v>
      </c>
      <c r="AK645" s="321">
        <v>17506889.796237502</v>
      </c>
      <c r="AL645" s="321">
        <v>7299392.2480913503</v>
      </c>
      <c r="AM645" s="321">
        <v>7955508.5680012833</v>
      </c>
      <c r="AN645" s="321">
        <v>1822568.1127545349</v>
      </c>
      <c r="AO645" s="321">
        <v>1824691.1380716586</v>
      </c>
      <c r="AP645" s="321">
        <v>1826949.476544647</v>
      </c>
      <c r="AQ645" s="321">
        <v>9159409.3903395776</v>
      </c>
      <c r="AR645" s="321">
        <v>1354867.1798138351</v>
      </c>
      <c r="AS645" s="321">
        <v>1350515.8079644872</v>
      </c>
      <c r="AT645" s="321">
        <v>8478773.7326770909</v>
      </c>
      <c r="AU645" s="321">
        <v>12502021.72543901</v>
      </c>
      <c r="AV645" s="321">
        <v>87415.56986194753</v>
      </c>
      <c r="AW645" s="321">
        <v>84994.240881520629</v>
      </c>
      <c r="AX645" s="321">
        <v>78356.452522598818</v>
      </c>
      <c r="AY645" s="321"/>
      <c r="AZ645" s="321"/>
      <c r="BA645" s="321"/>
      <c r="BB645" s="321"/>
      <c r="BC645" s="321"/>
      <c r="BD645" s="321"/>
      <c r="BE645" s="321"/>
      <c r="BF645" s="321"/>
      <c r="BG645" s="321"/>
      <c r="BH645" s="321"/>
      <c r="BI645" s="321"/>
      <c r="BJ645" s="321"/>
      <c r="BK645" s="321"/>
    </row>
    <row r="646" spans="1:63">
      <c r="A646" s="167"/>
      <c r="B646" s="217" t="str">
        <f>Servicio_internaColumna_título_amortizaciones</f>
        <v>Amortizaciones</v>
      </c>
      <c r="C646" s="218"/>
      <c r="D646" s="219"/>
      <c r="E646" s="219"/>
      <c r="F646" s="219"/>
      <c r="G646" s="219"/>
      <c r="H646" s="219"/>
      <c r="I646" s="219"/>
      <c r="J646" s="219"/>
      <c r="K646" s="219"/>
      <c r="L646" s="219"/>
      <c r="M646" s="219"/>
      <c r="N646" s="219"/>
      <c r="O646" s="219"/>
      <c r="P646" s="219"/>
      <c r="Q646" s="219"/>
      <c r="R646" s="219"/>
      <c r="S646" s="224"/>
      <c r="T646" s="224">
        <f>'Perfil - interna'!T646+'Perfil - externa'!T644</f>
        <v>9507893.1791368481</v>
      </c>
      <c r="U646" s="224">
        <v>46996845.408697642</v>
      </c>
      <c r="V646" s="224">
        <v>24695700.434231959</v>
      </c>
      <c r="W646" s="224">
        <v>31920205.716606513</v>
      </c>
      <c r="X646" s="224">
        <v>31473151.155936878</v>
      </c>
      <c r="Y646" s="224">
        <v>29329017.876162142</v>
      </c>
      <c r="Z646" s="224">
        <v>39693978.658847854</v>
      </c>
      <c r="AA646" s="224">
        <v>27418108.20641391</v>
      </c>
      <c r="AB646" s="224">
        <v>42496435.667039528</v>
      </c>
      <c r="AC646" s="224">
        <v>25564387.135750033</v>
      </c>
      <c r="AD646" s="224">
        <v>27767675.618370097</v>
      </c>
      <c r="AE646" s="224">
        <v>9333619.8347832169</v>
      </c>
      <c r="AF646" s="224">
        <v>20665792.319840338</v>
      </c>
      <c r="AG646" s="224">
        <v>3755699.298070957</v>
      </c>
      <c r="AH646" s="224">
        <v>21398435.145773597</v>
      </c>
      <c r="AI646" s="224">
        <v>11832064.682543196</v>
      </c>
      <c r="AJ646" s="224">
        <v>2972832.5053941212</v>
      </c>
      <c r="AK646" s="224">
        <v>16724034.211679861</v>
      </c>
      <c r="AL646" s="224">
        <v>5204393.6718237819</v>
      </c>
      <c r="AM646" s="224">
        <v>6178732.2098739706</v>
      </c>
      <c r="AN646" s="224">
        <v>125730.16074227718</v>
      </c>
      <c r="AO646" s="224">
        <v>79695.085742277181</v>
      </c>
      <c r="AP646" s="224">
        <v>79695.085742277181</v>
      </c>
      <c r="AQ646" s="224">
        <v>8085795.085742278</v>
      </c>
      <c r="AR646" s="224">
        <v>79695.085742277181</v>
      </c>
      <c r="AS646" s="224">
        <v>79695.085742277181</v>
      </c>
      <c r="AT646" s="224">
        <v>8084681.1999927377</v>
      </c>
      <c r="AU646" s="224">
        <v>14489561.199992739</v>
      </c>
      <c r="AV646" s="224">
        <v>78581.199992737253</v>
      </c>
      <c r="AW646" s="224">
        <v>78581.199992737253</v>
      </c>
      <c r="AX646" s="224">
        <v>78581.199992737253</v>
      </c>
      <c r="AY646" s="224"/>
      <c r="AZ646" s="224"/>
      <c r="BA646" s="224"/>
      <c r="BB646" s="224"/>
      <c r="BC646" s="224"/>
      <c r="BD646" s="224"/>
      <c r="BE646" s="224"/>
      <c r="BF646" s="224"/>
      <c r="BG646" s="224"/>
      <c r="BH646" s="224"/>
      <c r="BI646" s="224"/>
      <c r="BJ646" s="224"/>
      <c r="BK646" s="224"/>
    </row>
    <row r="647" spans="1:63">
      <c r="A647" s="170">
        <v>43404</v>
      </c>
      <c r="B647" s="220" t="str">
        <f>Servicio_internaColumna_título_intereses</f>
        <v>Intereses</v>
      </c>
      <c r="C647" s="221"/>
      <c r="D647" s="222"/>
      <c r="E647" s="222"/>
      <c r="F647" s="222"/>
      <c r="G647" s="222"/>
      <c r="H647" s="222"/>
      <c r="I647" s="222"/>
      <c r="J647" s="222"/>
      <c r="K647" s="222"/>
      <c r="L647" s="222"/>
      <c r="M647" s="222"/>
      <c r="N647" s="222"/>
      <c r="O647" s="222"/>
      <c r="P647" s="222"/>
      <c r="Q647" s="222"/>
      <c r="R647" s="222"/>
      <c r="S647" s="224"/>
      <c r="T647" s="224">
        <f>'Perfil - interna'!T647+'Perfil - externa'!T645</f>
        <v>2706423.1140643228</v>
      </c>
      <c r="U647" s="224">
        <v>18421913113.407001</v>
      </c>
      <c r="V647" s="224">
        <v>17558226050.572441</v>
      </c>
      <c r="W647" s="224">
        <v>15519304374.071253</v>
      </c>
      <c r="X647" s="224">
        <v>14840192885.636833</v>
      </c>
      <c r="Y647" s="224">
        <v>12927977569.598652</v>
      </c>
      <c r="Z647" s="224">
        <v>11761541371.35071</v>
      </c>
      <c r="AA647" s="224">
        <v>9129884821.3481159</v>
      </c>
      <c r="AB647" s="224">
        <v>7954306677.3018484</v>
      </c>
      <c r="AC647" s="224">
        <v>5843264669.5127678</v>
      </c>
      <c r="AD647" s="224">
        <v>5423956906.3873768</v>
      </c>
      <c r="AE647" s="224">
        <v>4130388092.7965894</v>
      </c>
      <c r="AF647" s="224">
        <v>4168567791.1988068</v>
      </c>
      <c r="AG647" s="224">
        <v>2860025613.7206469</v>
      </c>
      <c r="AH647" s="224">
        <v>2901010244.2671361</v>
      </c>
      <c r="AI647" s="224">
        <v>1693145099.6076438</v>
      </c>
      <c r="AJ647" s="224">
        <v>1270035303.4226391</v>
      </c>
      <c r="AK647" s="224">
        <v>1303745064.4396791</v>
      </c>
      <c r="AL647" s="224">
        <v>220941888.33621073</v>
      </c>
      <c r="AM647" s="224">
        <v>222662232.08114409</v>
      </c>
      <c r="AN647" s="224">
        <v>224959742.11720622</v>
      </c>
      <c r="AO647" s="224">
        <v>228811934.78397712</v>
      </c>
      <c r="AP647" s="224">
        <v>232850055.958866</v>
      </c>
      <c r="AQ647" s="224">
        <v>230273847.30757916</v>
      </c>
      <c r="AR647" s="224">
        <v>227698598.10115886</v>
      </c>
      <c r="AS647" s="224">
        <v>225367465.11429882</v>
      </c>
      <c r="AT647" s="224">
        <v>962078.02385505079</v>
      </c>
      <c r="AU647" s="224">
        <v>374289.5039068709</v>
      </c>
      <c r="AV647" s="224">
        <v>11609.120546180813</v>
      </c>
      <c r="AW647" s="224">
        <v>9117.0522868260305</v>
      </c>
      <c r="AX647" s="224">
        <v>2445.9700051330874</v>
      </c>
      <c r="AY647" s="224"/>
      <c r="AZ647" s="224"/>
      <c r="BA647" s="224"/>
      <c r="BB647" s="224"/>
      <c r="BC647" s="224"/>
      <c r="BD647" s="224"/>
      <c r="BE647" s="224"/>
      <c r="BF647" s="224"/>
      <c r="BG647" s="224"/>
      <c r="BH647" s="224"/>
      <c r="BI647" s="224"/>
      <c r="BJ647" s="224"/>
      <c r="BK647" s="224"/>
    </row>
    <row r="648" spans="1:63">
      <c r="A648" s="171"/>
      <c r="B648" s="318" t="str">
        <f>Servicio_internaColumna_título_total</f>
        <v>Total</v>
      </c>
      <c r="C648" s="319"/>
      <c r="D648" s="320"/>
      <c r="E648" s="320"/>
      <c r="F648" s="320"/>
      <c r="G648" s="320"/>
      <c r="H648" s="320"/>
      <c r="I648" s="320"/>
      <c r="J648" s="320"/>
      <c r="K648" s="320"/>
      <c r="L648" s="320"/>
      <c r="M648" s="320"/>
      <c r="N648" s="320"/>
      <c r="O648" s="320"/>
      <c r="P648" s="320"/>
      <c r="Q648" s="320"/>
      <c r="R648" s="320"/>
      <c r="S648" s="321"/>
      <c r="T648" s="321">
        <f>+'Perfil - interna'!T648+'Perfil - externa'!T646</f>
        <v>11171018.1970599</v>
      </c>
      <c r="U648" s="321">
        <v>70481206.068692818</v>
      </c>
      <c r="V648" s="321">
        <v>46707317.789173543</v>
      </c>
      <c r="W648" s="321">
        <v>51499540.384538904</v>
      </c>
      <c r="X648" s="321">
        <v>49783644.520989776</v>
      </c>
      <c r="Y648" s="321">
        <v>45564536.326362841</v>
      </c>
      <c r="Z648" s="321">
        <v>54650177.436227232</v>
      </c>
      <c r="AA648" s="321">
        <v>39379395.32122574</v>
      </c>
      <c r="AB648" s="321">
        <v>53511821.10548491</v>
      </c>
      <c r="AC648" s="321">
        <v>33905263.517562337</v>
      </c>
      <c r="AD648" s="321">
        <v>35307184.664719567</v>
      </c>
      <c r="AE648" s="321">
        <v>15720419.916634265</v>
      </c>
      <c r="AF648" s="321">
        <v>26824343.90888546</v>
      </c>
      <c r="AG648" s="321">
        <v>8448691.8635301068</v>
      </c>
      <c r="AH648" s="321">
        <v>25980924.462978743</v>
      </c>
      <c r="AI648" s="321">
        <v>15601239.868921526</v>
      </c>
      <c r="AJ648" s="321">
        <v>6171893.4830634724</v>
      </c>
      <c r="AK648" s="321">
        <v>19791400.365899533</v>
      </c>
      <c r="AL648" s="321">
        <v>7574043.2612904236</v>
      </c>
      <c r="AM648" s="321">
        <v>8392732.9657548163</v>
      </c>
      <c r="AN648" s="321">
        <v>1901992.1972232554</v>
      </c>
      <c r="AO648" s="321">
        <v>1853901.3189446547</v>
      </c>
      <c r="AP648" s="321">
        <v>1851836.4277661708</v>
      </c>
      <c r="AQ648" s="321">
        <v>9608399.1736914329</v>
      </c>
      <c r="AR648" s="321">
        <v>1352721.3644832398</v>
      </c>
      <c r="AS648" s="321">
        <v>1348259.7748353051</v>
      </c>
      <c r="AT648" s="321">
        <v>9046759.2238477878</v>
      </c>
      <c r="AU648" s="321">
        <v>14863850.703899609</v>
      </c>
      <c r="AV648" s="321">
        <v>90190.320538918066</v>
      </c>
      <c r="AW648" s="321">
        <v>87698.252279563283</v>
      </c>
      <c r="AX648" s="321">
        <v>81027.16999787034</v>
      </c>
      <c r="AY648" s="321"/>
      <c r="AZ648" s="321"/>
      <c r="BA648" s="321"/>
      <c r="BB648" s="321"/>
      <c r="BC648" s="321"/>
      <c r="BD648" s="321"/>
      <c r="BE648" s="321"/>
      <c r="BF648" s="321"/>
      <c r="BG648" s="321"/>
      <c r="BH648" s="321"/>
      <c r="BI648" s="321"/>
      <c r="BJ648" s="321"/>
      <c r="BK648" s="321"/>
    </row>
    <row r="649" spans="1:63">
      <c r="A649" s="167"/>
      <c r="B649" s="217" t="str">
        <f>Servicio_internaColumna_título_amortizaciones</f>
        <v>Amortizaciones</v>
      </c>
      <c r="C649" s="218"/>
      <c r="D649" s="219"/>
      <c r="E649" s="219"/>
      <c r="F649" s="219"/>
      <c r="G649" s="219"/>
      <c r="H649" s="219"/>
      <c r="I649" s="219"/>
      <c r="J649" s="219"/>
      <c r="K649" s="219"/>
      <c r="L649" s="219"/>
      <c r="M649" s="219"/>
      <c r="N649" s="219"/>
      <c r="O649" s="219"/>
      <c r="P649" s="219"/>
      <c r="Q649" s="219"/>
      <c r="R649" s="219"/>
      <c r="S649" s="224"/>
      <c r="T649" s="224">
        <f>'Perfil - interna'!T649+'Perfil - externa'!T647</f>
        <v>5438603.2267240267</v>
      </c>
      <c r="U649" s="224">
        <v>48022472.345950633</v>
      </c>
      <c r="V649" s="224">
        <v>24717101.898260824</v>
      </c>
      <c r="W649" s="224">
        <v>32023248.836739734</v>
      </c>
      <c r="X649" s="224">
        <v>31470110.520878322</v>
      </c>
      <c r="Y649" s="224">
        <v>29558664.545312237</v>
      </c>
      <c r="Z649" s="224">
        <v>39936376.661957026</v>
      </c>
      <c r="AA649" s="224">
        <v>27767883.286188859</v>
      </c>
      <c r="AB649" s="224">
        <v>42800055.435830779</v>
      </c>
      <c r="AC649" s="224">
        <v>25857563.130862031</v>
      </c>
      <c r="AD649" s="224">
        <v>27827470.456206944</v>
      </c>
      <c r="AE649" s="224">
        <v>9744198.1599418614</v>
      </c>
      <c r="AF649" s="224">
        <v>20685020.028123744</v>
      </c>
      <c r="AG649" s="224">
        <v>3779908.5282322736</v>
      </c>
      <c r="AH649" s="224">
        <v>21668735.111361824</v>
      </c>
      <c r="AI649" s="224">
        <v>11869887.126810087</v>
      </c>
      <c r="AJ649" s="224">
        <v>3007403.8486151737</v>
      </c>
      <c r="AK649" s="224">
        <v>16849812.275654048</v>
      </c>
      <c r="AL649" s="224">
        <v>5262053.995945977</v>
      </c>
      <c r="AM649" s="224">
        <v>6251156.2736064307</v>
      </c>
      <c r="AN649" s="224">
        <v>127151.64809792909</v>
      </c>
      <c r="AO649" s="224">
        <v>80576.360597929088</v>
      </c>
      <c r="AP649" s="224">
        <v>80576.360597929088</v>
      </c>
      <c r="AQ649" s="224">
        <v>8180626.360597929</v>
      </c>
      <c r="AR649" s="224">
        <v>80576.360597929088</v>
      </c>
      <c r="AS649" s="224">
        <v>80576.360597929088</v>
      </c>
      <c r="AT649" s="224">
        <v>8179499.40361943</v>
      </c>
      <c r="AU649" s="224">
        <v>14659539.403619431</v>
      </c>
      <c r="AV649" s="224">
        <v>79449.403619430086</v>
      </c>
      <c r="AW649" s="224">
        <v>79449.403619430086</v>
      </c>
      <c r="AX649" s="224">
        <v>79449.403619430086</v>
      </c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</row>
    <row r="650" spans="1:63">
      <c r="A650" s="170">
        <v>43434</v>
      </c>
      <c r="B650" s="220" t="str">
        <f>Servicio_internaColumna_título_intereses</f>
        <v>Intereses</v>
      </c>
      <c r="C650" s="221"/>
      <c r="D650" s="222"/>
      <c r="E650" s="222"/>
      <c r="F650" s="222"/>
      <c r="G650" s="222"/>
      <c r="H650" s="222"/>
      <c r="I650" s="222"/>
      <c r="J650" s="222"/>
      <c r="K650" s="222"/>
      <c r="L650" s="222"/>
      <c r="M650" s="222"/>
      <c r="N650" s="222"/>
      <c r="O650" s="222"/>
      <c r="P650" s="222"/>
      <c r="Q650" s="222"/>
      <c r="R650" s="222"/>
      <c r="S650" s="224"/>
      <c r="T650" s="224">
        <f>'Perfil - interna'!T650+'Perfil - externa'!T648</f>
        <v>616072.77218145109</v>
      </c>
      <c r="U650" s="224">
        <v>25836758.773327999</v>
      </c>
      <c r="V650" s="224">
        <v>24614161.385331526</v>
      </c>
      <c r="W650" s="224">
        <v>22069871.792450994</v>
      </c>
      <c r="X650" s="224">
        <v>20875911.228667106</v>
      </c>
      <c r="Y650" s="224">
        <v>18829379.489814106</v>
      </c>
      <c r="Z650" s="224">
        <v>17227104.606334448</v>
      </c>
      <c r="AA650" s="224">
        <v>14243581.407757431</v>
      </c>
      <c r="AB650" s="224">
        <v>12731431.402558066</v>
      </c>
      <c r="AC650" s="224">
        <v>10069757.674207224</v>
      </c>
      <c r="AD650" s="224">
        <v>9082810.5006618928</v>
      </c>
      <c r="AE650" s="224">
        <v>7478203.6223472524</v>
      </c>
      <c r="AF650" s="224">
        <v>7252726.2733350405</v>
      </c>
      <c r="AG650" s="224">
        <v>5796264.6098902281</v>
      </c>
      <c r="AH650" s="224">
        <v>5703703.6647591703</v>
      </c>
      <c r="AI650" s="224">
        <v>4343462.7245186716</v>
      </c>
      <c r="AJ650" s="224">
        <v>3781060.6386915026</v>
      </c>
      <c r="AK650" s="224">
        <v>3662006.6855295245</v>
      </c>
      <c r="AL650" s="224">
        <v>2526113.9863260668</v>
      </c>
      <c r="AM650" s="224">
        <v>2373834.9269441725</v>
      </c>
      <c r="AN650" s="224">
        <v>1932825.694535919</v>
      </c>
      <c r="AO650" s="224">
        <v>1934309.7057638587</v>
      </c>
      <c r="AP650" s="224">
        <v>1936517.4446363528</v>
      </c>
      <c r="AQ650" s="224">
        <v>1684133.9005638596</v>
      </c>
      <c r="AR650" s="224">
        <v>1431710.5427336597</v>
      </c>
      <c r="AS650" s="224">
        <v>1427274.0008343945</v>
      </c>
      <c r="AT650" s="224">
        <v>973097.72292854218</v>
      </c>
      <c r="AU650" s="224">
        <v>378458.021757168</v>
      </c>
      <c r="AV650" s="224">
        <v>11568.270313521367</v>
      </c>
      <c r="AW650" s="224">
        <v>9089.5730927398745</v>
      </c>
      <c r="AX650" s="224">
        <v>2609.2184115590426</v>
      </c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</row>
    <row r="651" spans="1:63">
      <c r="A651" s="171"/>
      <c r="B651" s="318" t="str">
        <f>Servicio_internaColumna_título_total</f>
        <v>Total</v>
      </c>
      <c r="C651" s="319"/>
      <c r="D651" s="320"/>
      <c r="E651" s="320"/>
      <c r="F651" s="320"/>
      <c r="G651" s="320"/>
      <c r="H651" s="320"/>
      <c r="I651" s="320"/>
      <c r="J651" s="320"/>
      <c r="K651" s="320"/>
      <c r="L651" s="320"/>
      <c r="M651" s="320"/>
      <c r="N651" s="320"/>
      <c r="O651" s="320"/>
      <c r="P651" s="320"/>
      <c r="Q651" s="320"/>
      <c r="R651" s="320"/>
      <c r="S651" s="321"/>
      <c r="T651" s="321">
        <f>+'Perfil - interna'!T651+'Perfil - externa'!T649</f>
        <v>6054675.998905478</v>
      </c>
      <c r="U651" s="321">
        <v>73859231.11927864</v>
      </c>
      <c r="V651" s="321">
        <v>49331263.283592351</v>
      </c>
      <c r="W651" s="321">
        <v>54093120.629190728</v>
      </c>
      <c r="X651" s="321">
        <v>52346021.749545425</v>
      </c>
      <c r="Y651" s="321">
        <v>48388044.035126343</v>
      </c>
      <c r="Z651" s="321">
        <v>57163481.268291473</v>
      </c>
      <c r="AA651" s="321">
        <v>42011464.693946287</v>
      </c>
      <c r="AB651" s="321">
        <v>55531486.838388845</v>
      </c>
      <c r="AC651" s="321">
        <v>35927320.805069253</v>
      </c>
      <c r="AD651" s="321">
        <v>36910280.956868835</v>
      </c>
      <c r="AE651" s="321">
        <v>17222401.782289114</v>
      </c>
      <c r="AF651" s="321">
        <v>27937746.301458783</v>
      </c>
      <c r="AG651" s="321">
        <v>9576173.1381225027</v>
      </c>
      <c r="AH651" s="321">
        <v>27372438.776120994</v>
      </c>
      <c r="AI651" s="321">
        <v>16213349.851328759</v>
      </c>
      <c r="AJ651" s="321">
        <v>6788464.4873066768</v>
      </c>
      <c r="AK651" s="321">
        <v>20511818.96118357</v>
      </c>
      <c r="AL651" s="321">
        <v>7788167.9822720438</v>
      </c>
      <c r="AM651" s="321">
        <v>8624991.2005506027</v>
      </c>
      <c r="AN651" s="321">
        <v>2059977.3426338481</v>
      </c>
      <c r="AO651" s="321">
        <v>2014886.0663617877</v>
      </c>
      <c r="AP651" s="321">
        <v>2017093.8052342818</v>
      </c>
      <c r="AQ651" s="321">
        <v>9864760.2611617893</v>
      </c>
      <c r="AR651" s="321">
        <v>1512286.9033315887</v>
      </c>
      <c r="AS651" s="321">
        <v>1507850.3614323235</v>
      </c>
      <c r="AT651" s="321">
        <v>9152597.1265479717</v>
      </c>
      <c r="AU651" s="321">
        <v>15037997.4253766</v>
      </c>
      <c r="AV651" s="321">
        <v>91017.673932951453</v>
      </c>
      <c r="AW651" s="321">
        <v>88538.976712169955</v>
      </c>
      <c r="AX651" s="321">
        <v>82058.622030989121</v>
      </c>
      <c r="AY651" s="321"/>
      <c r="AZ651" s="321"/>
      <c r="BA651" s="321"/>
      <c r="BB651" s="321"/>
      <c r="BC651" s="321"/>
      <c r="BD651" s="321"/>
      <c r="BE651" s="321"/>
      <c r="BF651" s="321"/>
      <c r="BG651" s="321"/>
      <c r="BH651" s="321"/>
      <c r="BI651" s="321"/>
      <c r="BJ651" s="321"/>
      <c r="BK651" s="321"/>
    </row>
    <row r="652" spans="1:63">
      <c r="A652" s="167"/>
      <c r="B652" s="217" t="str">
        <f>Servicio_internaColumna_título_amortizaciones</f>
        <v>Amortizaciones</v>
      </c>
      <c r="C652" s="218"/>
      <c r="D652" s="219"/>
      <c r="E652" s="219"/>
      <c r="F652" s="219"/>
      <c r="G652" s="219"/>
      <c r="H652" s="219"/>
      <c r="I652" s="219"/>
      <c r="J652" s="219"/>
      <c r="K652" s="219"/>
      <c r="L652" s="219"/>
      <c r="M652" s="219"/>
      <c r="N652" s="219"/>
      <c r="O652" s="219"/>
      <c r="P652" s="219"/>
      <c r="Q652" s="219"/>
      <c r="R652" s="219"/>
      <c r="S652" s="224"/>
      <c r="T652" s="224"/>
      <c r="U652" s="224">
        <v>36780746.706441492</v>
      </c>
      <c r="V652" s="224">
        <v>41125278.995564207</v>
      </c>
      <c r="W652" s="224">
        <v>31943797.472199395</v>
      </c>
      <c r="X652" s="224">
        <v>31957637.048214015</v>
      </c>
      <c r="Y652" s="224">
        <v>29871681.136354141</v>
      </c>
      <c r="Z652" s="224">
        <v>40365286.905081138</v>
      </c>
      <c r="AA652" s="224">
        <v>28226061.899253801</v>
      </c>
      <c r="AB652" s="224">
        <v>43258513.026531465</v>
      </c>
      <c r="AC652" s="224">
        <v>26315786.862746831</v>
      </c>
      <c r="AD652" s="224">
        <v>28138923.518222164</v>
      </c>
      <c r="AE652" s="224">
        <v>10007406.589601308</v>
      </c>
      <c r="AF652" s="224">
        <v>20914403.091631964</v>
      </c>
      <c r="AG652" s="224">
        <v>3976225.620145699</v>
      </c>
      <c r="AH652" s="224">
        <v>21842433.612601921</v>
      </c>
      <c r="AI652" s="224">
        <v>12049814.941139193</v>
      </c>
      <c r="AJ652" s="224">
        <v>3169537.3463007947</v>
      </c>
      <c r="AK652" s="224">
        <v>17070429.708723769</v>
      </c>
      <c r="AL652" s="224">
        <v>5463556.8000559146</v>
      </c>
      <c r="AM652" s="224">
        <v>6405773.0573925711</v>
      </c>
      <c r="AN652" s="224">
        <v>258240.22765751308</v>
      </c>
      <c r="AO652" s="224">
        <v>81535.071407513125</v>
      </c>
      <c r="AP652" s="224">
        <v>81535.071407513125</v>
      </c>
      <c r="AQ652" s="224">
        <v>8205910.0714075137</v>
      </c>
      <c r="AR652" s="224">
        <v>81535.071407513125</v>
      </c>
      <c r="AS652" s="224">
        <v>81535.071407513125</v>
      </c>
      <c r="AT652" s="224">
        <v>8204779.7301007081</v>
      </c>
      <c r="AU652" s="224">
        <v>14704279.730100706</v>
      </c>
      <c r="AV652" s="224">
        <v>80404.730100707253</v>
      </c>
      <c r="AW652" s="224">
        <v>80404.730100707253</v>
      </c>
      <c r="AX652" s="224">
        <v>80404.730100707253</v>
      </c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</row>
    <row r="653" spans="1:63">
      <c r="A653" s="170">
        <v>43465</v>
      </c>
      <c r="B653" s="220" t="str">
        <f>Servicio_internaColumna_título_intereses</f>
        <v>Intereses</v>
      </c>
      <c r="C653" s="221"/>
      <c r="D653" s="222"/>
      <c r="E653" s="222"/>
      <c r="F653" s="222"/>
      <c r="G653" s="222"/>
      <c r="H653" s="222"/>
      <c r="I653" s="222"/>
      <c r="J653" s="222"/>
      <c r="K653" s="222"/>
      <c r="L653" s="222"/>
      <c r="M653" s="222"/>
      <c r="N653" s="222"/>
      <c r="O653" s="222"/>
      <c r="P653" s="222"/>
      <c r="Q653" s="222"/>
      <c r="R653" s="222"/>
      <c r="S653" s="224"/>
      <c r="T653" s="224"/>
      <c r="U653" s="224">
        <v>25723979.4686777</v>
      </c>
      <c r="V653" s="224">
        <v>24711207.786009893</v>
      </c>
      <c r="W653" s="224">
        <v>22013989.693825461</v>
      </c>
      <c r="X653" s="224">
        <v>20815762.27936152</v>
      </c>
      <c r="Y653" s="224">
        <v>18791926.859788224</v>
      </c>
      <c r="Z653" s="224">
        <v>17210883.459715232</v>
      </c>
      <c r="AA653" s="224">
        <v>14224619.207284275</v>
      </c>
      <c r="AB653" s="224">
        <v>12749503.911420316</v>
      </c>
      <c r="AC653" s="224">
        <v>10088212.696555901</v>
      </c>
      <c r="AD653" s="224">
        <v>9106257.5279084127</v>
      </c>
      <c r="AE653" s="224">
        <v>7497776.7406195588</v>
      </c>
      <c r="AF653" s="224">
        <v>7275152.7232164228</v>
      </c>
      <c r="AG653" s="224">
        <v>5824030.9913317868</v>
      </c>
      <c r="AH653" s="224">
        <v>5735655.8751974069</v>
      </c>
      <c r="AI653" s="224">
        <v>4374028.1635560188</v>
      </c>
      <c r="AJ653" s="224">
        <v>3808818.7676663194</v>
      </c>
      <c r="AK653" s="224">
        <v>3687096.5126063731</v>
      </c>
      <c r="AL653" s="224">
        <v>2546339.1504108752</v>
      </c>
      <c r="AM653" s="224">
        <v>2392140.2478413656</v>
      </c>
      <c r="AN653" s="224">
        <v>1944624.4393055795</v>
      </c>
      <c r="AO653" s="224">
        <v>1941458.0006147914</v>
      </c>
      <c r="AP653" s="224">
        <v>1943700.0549485818</v>
      </c>
      <c r="AQ653" s="224">
        <v>1690592.2040918982</v>
      </c>
      <c r="AR653" s="224">
        <v>1437447.0878961128</v>
      </c>
      <c r="AS653" s="224">
        <v>1433029.3111420106</v>
      </c>
      <c r="AT653" s="224">
        <v>1202373.6806221572</v>
      </c>
      <c r="AU653" s="224">
        <v>605971.82903974992</v>
      </c>
      <c r="AV653" s="224">
        <v>238005.71716915243</v>
      </c>
      <c r="AW653" s="224">
        <v>235542.69722819625</v>
      </c>
      <c r="AX653" s="224">
        <v>229294.7101723699</v>
      </c>
      <c r="AY653" s="224"/>
      <c r="AZ653" s="224"/>
      <c r="BA653" s="224"/>
      <c r="BB653" s="224"/>
      <c r="BC653" s="224"/>
      <c r="BD653" s="224"/>
      <c r="BE653" s="224"/>
      <c r="BF653" s="224"/>
      <c r="BG653" s="224"/>
      <c r="BH653" s="224"/>
      <c r="BI653" s="224"/>
      <c r="BJ653" s="224"/>
      <c r="BK653" s="224"/>
    </row>
    <row r="654" spans="1:63">
      <c r="A654" s="171"/>
      <c r="B654" s="318" t="str">
        <f>Servicio_internaColumna_título_total</f>
        <v>Total</v>
      </c>
      <c r="C654" s="319"/>
      <c r="D654" s="320"/>
      <c r="E654" s="320"/>
      <c r="F654" s="320"/>
      <c r="G654" s="320"/>
      <c r="H654" s="320"/>
      <c r="I654" s="320"/>
      <c r="J654" s="320"/>
      <c r="K654" s="320"/>
      <c r="L654" s="320"/>
      <c r="M654" s="320"/>
      <c r="N654" s="320"/>
      <c r="O654" s="320"/>
      <c r="P654" s="320"/>
      <c r="Q654" s="320"/>
      <c r="R654" s="320"/>
      <c r="S654" s="321"/>
      <c r="T654" s="321"/>
      <c r="U654" s="321">
        <v>62504726.175119191</v>
      </c>
      <c r="V654" s="321">
        <v>65836486.7815741</v>
      </c>
      <c r="W654" s="321">
        <v>53957787.166024856</v>
      </c>
      <c r="X654" s="321">
        <v>52773399.327575535</v>
      </c>
      <c r="Y654" s="321">
        <v>48663607.996142365</v>
      </c>
      <c r="Z654" s="321">
        <v>57576170.36479637</v>
      </c>
      <c r="AA654" s="321">
        <v>42450681.106538072</v>
      </c>
      <c r="AB654" s="321">
        <v>56008016.937951781</v>
      </c>
      <c r="AC654" s="321">
        <v>36403999.559302732</v>
      </c>
      <c r="AD654" s="321">
        <v>37245181.046130575</v>
      </c>
      <c r="AE654" s="321">
        <v>17505183.330220867</v>
      </c>
      <c r="AF654" s="321">
        <v>28189555.814848386</v>
      </c>
      <c r="AG654" s="321">
        <v>9800256.6114774868</v>
      </c>
      <c r="AH654" s="321">
        <v>27578089.487799328</v>
      </c>
      <c r="AI654" s="321">
        <v>16423843.104695212</v>
      </c>
      <c r="AJ654" s="321">
        <v>6978356.1139671141</v>
      </c>
      <c r="AK654" s="321">
        <v>20757526.221330144</v>
      </c>
      <c r="AL654" s="321">
        <v>8009895.9504667893</v>
      </c>
      <c r="AM654" s="321">
        <v>8797913.3052339368</v>
      </c>
      <c r="AN654" s="321">
        <v>2202864.6669630925</v>
      </c>
      <c r="AO654" s="321">
        <v>2022993.0720223046</v>
      </c>
      <c r="AP654" s="321">
        <v>2025235.1263560951</v>
      </c>
      <c r="AQ654" s="321">
        <v>9896502.2754994109</v>
      </c>
      <c r="AR654" s="321">
        <v>1518982.159303626</v>
      </c>
      <c r="AS654" s="321">
        <v>1514564.3825495238</v>
      </c>
      <c r="AT654" s="321">
        <v>9407153.4107228648</v>
      </c>
      <c r="AU654" s="321">
        <v>15310251.559140457</v>
      </c>
      <c r="AV654" s="321">
        <v>318410.44726985967</v>
      </c>
      <c r="AW654" s="321">
        <v>315947.42732890352</v>
      </c>
      <c r="AX654" s="321">
        <v>309699.44027307717</v>
      </c>
      <c r="AY654" s="321"/>
      <c r="AZ654" s="321"/>
      <c r="BA654" s="321"/>
      <c r="BB654" s="321"/>
      <c r="BC654" s="321"/>
      <c r="BD654" s="321"/>
      <c r="BE654" s="321"/>
      <c r="BF654" s="321"/>
      <c r="BG654" s="321"/>
      <c r="BH654" s="321"/>
      <c r="BI654" s="321"/>
      <c r="BJ654" s="321"/>
      <c r="BK654" s="321"/>
    </row>
    <row r="655" spans="1:63">
      <c r="A655" s="167"/>
      <c r="B655" s="217" t="str">
        <f>Servicio_internaColumna_título_amortizaciones</f>
        <v>Amortizaciones</v>
      </c>
      <c r="C655" s="218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24"/>
      <c r="T655" s="224"/>
      <c r="U655" s="224">
        <v>38642415.928360395</v>
      </c>
      <c r="V655" s="224">
        <v>25150661.672422428</v>
      </c>
      <c r="W655" s="224">
        <v>31977619.713676117</v>
      </c>
      <c r="X655" s="224">
        <v>31705847.591674019</v>
      </c>
      <c r="Y655" s="224">
        <v>30275692.182402682</v>
      </c>
      <c r="Z655" s="224">
        <v>40125286.523570195</v>
      </c>
      <c r="AA655" s="224">
        <v>29416006.607531935</v>
      </c>
      <c r="AB655" s="224">
        <v>41877085.554239489</v>
      </c>
      <c r="AC655" s="224">
        <v>26359948.071435191</v>
      </c>
      <c r="AD655" s="224">
        <v>27943077.844301563</v>
      </c>
      <c r="AE655" s="224">
        <v>11184441.017518302</v>
      </c>
      <c r="AF655" s="224">
        <v>20588998.224121273</v>
      </c>
      <c r="AG655" s="224">
        <v>3606381.6751590855</v>
      </c>
      <c r="AH655" s="224">
        <v>21652739.258080162</v>
      </c>
      <c r="AI655" s="224">
        <v>11932145.495227888</v>
      </c>
      <c r="AJ655" s="224">
        <v>4554612.8882807922</v>
      </c>
      <c r="AK655" s="224">
        <v>17428372.845997818</v>
      </c>
      <c r="AL655" s="224">
        <v>5319183.4183947593</v>
      </c>
      <c r="AM655" s="224">
        <v>6201902.4684088556</v>
      </c>
      <c r="AN655" s="224">
        <v>231497.94394023906</v>
      </c>
      <c r="AO655" s="224">
        <v>80706.350606905733</v>
      </c>
      <c r="AP655" s="224">
        <v>80706.350606905733</v>
      </c>
      <c r="AQ655" s="224">
        <v>7989356.3506069044</v>
      </c>
      <c r="AR655" s="224">
        <v>80706.350606905733</v>
      </c>
      <c r="AS655" s="224">
        <v>80131.179378770379</v>
      </c>
      <c r="AT655" s="224">
        <v>7988206.0081506344</v>
      </c>
      <c r="AU655" s="224">
        <v>14315126.008150635</v>
      </c>
      <c r="AV655" s="224">
        <v>79556.008150635011</v>
      </c>
      <c r="AW655" s="224">
        <v>79556.008150635011</v>
      </c>
      <c r="AX655" s="224">
        <v>79556.008150635011</v>
      </c>
      <c r="AY655" s="224"/>
      <c r="AZ655" s="224"/>
      <c r="BA655" s="224"/>
      <c r="BB655" s="224"/>
      <c r="BC655" s="224"/>
      <c r="BD655" s="224"/>
      <c r="BE655" s="224"/>
      <c r="BF655" s="224"/>
      <c r="BG655" s="224"/>
      <c r="BH655" s="224"/>
      <c r="BI655" s="224"/>
      <c r="BJ655" s="224"/>
      <c r="BK655" s="224"/>
    </row>
    <row r="656" spans="1:63">
      <c r="A656" s="170">
        <v>43496</v>
      </c>
      <c r="B656" s="220" t="str">
        <f>Servicio_internaColumna_título_intereses</f>
        <v>Intereses</v>
      </c>
      <c r="C656" s="221"/>
      <c r="D656" s="222"/>
      <c r="E656" s="222"/>
      <c r="F656" s="222"/>
      <c r="G656" s="222"/>
      <c r="H656" s="222"/>
      <c r="I656" s="222"/>
      <c r="J656" s="222"/>
      <c r="K656" s="222"/>
      <c r="L656" s="222"/>
      <c r="M656" s="222"/>
      <c r="N656" s="222"/>
      <c r="O656" s="222"/>
      <c r="P656" s="222"/>
      <c r="Q656" s="222"/>
      <c r="R656" s="222"/>
      <c r="S656" s="224"/>
      <c r="T656" s="224"/>
      <c r="U656" s="224">
        <v>25553314.861790072</v>
      </c>
      <c r="V656" s="224">
        <v>24946106.104492683</v>
      </c>
      <c r="W656" s="224">
        <v>22317327.917980108</v>
      </c>
      <c r="X656" s="224">
        <v>21049592.31131272</v>
      </c>
      <c r="Y656" s="224">
        <v>19070346.13430794</v>
      </c>
      <c r="Z656" s="224">
        <v>17465083.585359536</v>
      </c>
      <c r="AA656" s="224">
        <v>14494618.779705152</v>
      </c>
      <c r="AB656" s="224">
        <v>12999197.949527178</v>
      </c>
      <c r="AC656" s="224">
        <v>10358573.415966393</v>
      </c>
      <c r="AD656" s="224">
        <v>9369853.0010025613</v>
      </c>
      <c r="AE656" s="224">
        <v>7746087.671232475</v>
      </c>
      <c r="AF656" s="224">
        <v>7505130.4083204484</v>
      </c>
      <c r="AG656" s="224">
        <v>6064437.3827054854</v>
      </c>
      <c r="AH656" s="224">
        <v>5987260.8019082677</v>
      </c>
      <c r="AI656" s="224">
        <v>4634129.2408161741</v>
      </c>
      <c r="AJ656" s="224">
        <v>4088542.3521745862</v>
      </c>
      <c r="AK656" s="224">
        <v>3867120.3375736158</v>
      </c>
      <c r="AL656" s="224">
        <v>2697641.6245253845</v>
      </c>
      <c r="AM656" s="224">
        <v>2558935.5869875038</v>
      </c>
      <c r="AN656" s="224">
        <v>2127501.8605374428</v>
      </c>
      <c r="AO656" s="224">
        <v>2127902.8799137375</v>
      </c>
      <c r="AP656" s="224">
        <v>2133352.2617386924</v>
      </c>
      <c r="AQ656" s="224">
        <v>1888672.4680611345</v>
      </c>
      <c r="AR656" s="224">
        <v>1644646.3305570222</v>
      </c>
      <c r="AS656" s="224">
        <v>1642744.0834127141</v>
      </c>
      <c r="AT656" s="224">
        <v>1419041.0707613537</v>
      </c>
      <c r="AU656" s="224">
        <v>837932.75223182281</v>
      </c>
      <c r="AV656" s="224">
        <v>479885.69951509847</v>
      </c>
      <c r="AW656" s="224">
        <v>477640.53087523358</v>
      </c>
      <c r="AX656" s="224">
        <v>472913.36468184157</v>
      </c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</row>
    <row r="657" spans="1:63">
      <c r="A657" s="171"/>
      <c r="B657" s="318" t="str">
        <f>Servicio_internaColumna_título_total</f>
        <v>Total</v>
      </c>
      <c r="C657" s="319"/>
      <c r="D657" s="320"/>
      <c r="E657" s="320"/>
      <c r="F657" s="320"/>
      <c r="G657" s="320"/>
      <c r="H657" s="320"/>
      <c r="I657" s="320"/>
      <c r="J657" s="320"/>
      <c r="K657" s="320"/>
      <c r="L657" s="320"/>
      <c r="M657" s="320"/>
      <c r="N657" s="320"/>
      <c r="O657" s="320"/>
      <c r="P657" s="320"/>
      <c r="Q657" s="320"/>
      <c r="R657" s="320"/>
      <c r="S657" s="321"/>
      <c r="T657" s="321"/>
      <c r="U657" s="321">
        <v>64195730.790150464</v>
      </c>
      <c r="V657" s="321">
        <v>50096767.776915111</v>
      </c>
      <c r="W657" s="321">
        <v>54294947.631656229</v>
      </c>
      <c r="X657" s="321">
        <v>52755439.902986735</v>
      </c>
      <c r="Y657" s="321">
        <v>49346038.316710621</v>
      </c>
      <c r="Z657" s="321">
        <v>57590370.108929731</v>
      </c>
      <c r="AA657" s="321">
        <v>43910625.387237087</v>
      </c>
      <c r="AB657" s="321">
        <v>54876283.503766671</v>
      </c>
      <c r="AC657" s="321">
        <v>36718521.487401582</v>
      </c>
      <c r="AD657" s="321">
        <v>37312930.845304124</v>
      </c>
      <c r="AE657" s="321">
        <v>18930528.688750777</v>
      </c>
      <c r="AF657" s="321">
        <v>28094128.632441722</v>
      </c>
      <c r="AG657" s="321">
        <v>9670819.057864571</v>
      </c>
      <c r="AH657" s="321">
        <v>27640000.059988432</v>
      </c>
      <c r="AI657" s="321">
        <v>16566274.736044062</v>
      </c>
      <c r="AJ657" s="321">
        <v>8643155.2404553778</v>
      </c>
      <c r="AK657" s="321">
        <v>21295493.183571436</v>
      </c>
      <c r="AL657" s="321">
        <v>8016825.0429201443</v>
      </c>
      <c r="AM657" s="321">
        <v>8760838.0553963594</v>
      </c>
      <c r="AN657" s="321">
        <v>2358999.8044776819</v>
      </c>
      <c r="AO657" s="321">
        <v>2208609.2305206433</v>
      </c>
      <c r="AP657" s="321">
        <v>2214058.6123455982</v>
      </c>
      <c r="AQ657" s="321">
        <v>9878028.8186680395</v>
      </c>
      <c r="AR657" s="321">
        <v>1725352.681163928</v>
      </c>
      <c r="AS657" s="321">
        <v>1722875.2627914844</v>
      </c>
      <c r="AT657" s="321">
        <v>9407247.0789119881</v>
      </c>
      <c r="AU657" s="321">
        <v>15153058.760382459</v>
      </c>
      <c r="AV657" s="321">
        <v>559441.70766573353</v>
      </c>
      <c r="AW657" s="321">
        <v>557196.53902586864</v>
      </c>
      <c r="AX657" s="321">
        <v>552469.37283247663</v>
      </c>
      <c r="AY657" s="321"/>
      <c r="AZ657" s="321"/>
      <c r="BA657" s="321"/>
      <c r="BB657" s="321"/>
      <c r="BC657" s="321"/>
      <c r="BD657" s="321"/>
      <c r="BE657" s="321"/>
      <c r="BF657" s="321"/>
      <c r="BG657" s="321"/>
      <c r="BH657" s="321"/>
      <c r="BI657" s="321"/>
      <c r="BJ657" s="321"/>
      <c r="BK657" s="321"/>
    </row>
    <row r="658" spans="1:63">
      <c r="A658" s="167"/>
      <c r="B658" s="217" t="str">
        <f>Servicio_internaColumna_título_amortizaciones</f>
        <v>Amortizaciones</v>
      </c>
      <c r="C658" s="218"/>
      <c r="D658" s="219"/>
      <c r="E658" s="219"/>
      <c r="F658" s="219"/>
      <c r="G658" s="219"/>
      <c r="H658" s="219"/>
      <c r="I658" s="219"/>
      <c r="J658" s="219"/>
      <c r="K658" s="219"/>
      <c r="L658" s="219"/>
      <c r="M658" s="219"/>
      <c r="N658" s="219"/>
      <c r="O658" s="219"/>
      <c r="P658" s="219"/>
      <c r="Q658" s="219"/>
      <c r="R658" s="219"/>
      <c r="S658" s="224"/>
      <c r="T658" s="224"/>
      <c r="U658" s="224">
        <v>54899809.005256362</v>
      </c>
      <c r="V658" s="224">
        <v>24991162.933595587</v>
      </c>
      <c r="W658" s="224">
        <v>31788611.327383474</v>
      </c>
      <c r="X658" s="224">
        <v>31927337.526507463</v>
      </c>
      <c r="Y658" s="224">
        <v>30579877.107555836</v>
      </c>
      <c r="Z658" s="224">
        <v>39738792.296381898</v>
      </c>
      <c r="AA658" s="224">
        <v>30313292.081346478</v>
      </c>
      <c r="AB658" s="224">
        <v>41458102.320624843</v>
      </c>
      <c r="AC658" s="224">
        <v>26384748.931666471</v>
      </c>
      <c r="AD658" s="224">
        <v>28280934.274574772</v>
      </c>
      <c r="AE658" s="224">
        <v>10858559.233111301</v>
      </c>
      <c r="AF658" s="224">
        <v>20494429.764041848</v>
      </c>
      <c r="AG658" s="224">
        <v>3500189.5541851167</v>
      </c>
      <c r="AH658" s="224">
        <v>21549124.888033997</v>
      </c>
      <c r="AI658" s="224">
        <v>11910013.987391979</v>
      </c>
      <c r="AJ658" s="224">
        <v>6010452.3345871791</v>
      </c>
      <c r="AK658" s="224">
        <v>17757890.737756755</v>
      </c>
      <c r="AL658" s="224">
        <v>5129867.576792161</v>
      </c>
      <c r="AM658" s="224">
        <v>6021716.4743773667</v>
      </c>
      <c r="AN658" s="224">
        <v>224272.8658302408</v>
      </c>
      <c r="AO658" s="224">
        <v>77840.389163574102</v>
      </c>
      <c r="AP658" s="224">
        <v>77840.389163574102</v>
      </c>
      <c r="AQ658" s="224">
        <v>7757865.3891635751</v>
      </c>
      <c r="AR658" s="224">
        <v>77840.389163574102</v>
      </c>
      <c r="AS658" s="224">
        <v>77281.845112268216</v>
      </c>
      <c r="AT658" s="224">
        <v>7756748.3010609616</v>
      </c>
      <c r="AU658" s="224">
        <v>13900768.301060965</v>
      </c>
      <c r="AV658" s="224">
        <v>76723.301060962345</v>
      </c>
      <c r="AW658" s="224">
        <v>76723.301060962345</v>
      </c>
      <c r="AX658" s="224">
        <v>76723.301060962345</v>
      </c>
      <c r="AY658" s="224"/>
      <c r="AZ658" s="224"/>
      <c r="BA658" s="224"/>
      <c r="BB658" s="224"/>
      <c r="BC658" s="224"/>
      <c r="BD658" s="224"/>
      <c r="BE658" s="224"/>
      <c r="BF658" s="224"/>
      <c r="BG658" s="224"/>
      <c r="BH658" s="224"/>
      <c r="BI658" s="224"/>
      <c r="BJ658" s="224"/>
      <c r="BK658" s="224"/>
    </row>
    <row r="659" spans="1:63">
      <c r="A659" s="170">
        <v>43524</v>
      </c>
      <c r="B659" s="220" t="str">
        <f>Servicio_internaColumna_título_intereses</f>
        <v>Intereses</v>
      </c>
      <c r="C659" s="221"/>
      <c r="D659" s="222"/>
      <c r="E659" s="222"/>
      <c r="F659" s="222"/>
      <c r="G659" s="222"/>
      <c r="H659" s="222"/>
      <c r="I659" s="222"/>
      <c r="J659" s="222"/>
      <c r="K659" s="222"/>
      <c r="L659" s="222"/>
      <c r="M659" s="222"/>
      <c r="N659" s="222"/>
      <c r="O659" s="222"/>
      <c r="P659" s="222"/>
      <c r="Q659" s="222"/>
      <c r="R659" s="222"/>
      <c r="S659" s="224"/>
      <c r="T659" s="224"/>
      <c r="U659" s="224">
        <v>23651847.598355193</v>
      </c>
      <c r="V659" s="224">
        <v>25054829.149731498</v>
      </c>
      <c r="W659" s="224">
        <v>22584472.031441033</v>
      </c>
      <c r="X659" s="224">
        <v>21275779.303013071</v>
      </c>
      <c r="Y659" s="224">
        <v>19288117.606050611</v>
      </c>
      <c r="Z659" s="224">
        <v>17658711.21799631</v>
      </c>
      <c r="AA659" s="224">
        <v>14700657.571044508</v>
      </c>
      <c r="AB659" s="224">
        <v>13137132.561426004</v>
      </c>
      <c r="AC659" s="224">
        <v>10508796.227766994</v>
      </c>
      <c r="AD659" s="224">
        <v>9505391.1888416279</v>
      </c>
      <c r="AE659" s="224">
        <v>7854146.8285912639</v>
      </c>
      <c r="AF659" s="224">
        <v>7613254.8884069212</v>
      </c>
      <c r="AG659" s="224">
        <v>6169254.6555554662</v>
      </c>
      <c r="AH659" s="224">
        <v>6087002.1085247863</v>
      </c>
      <c r="AI659" s="224">
        <v>4732381.8359986115</v>
      </c>
      <c r="AJ659" s="224">
        <v>4192313.9762941794</v>
      </c>
      <c r="AK659" s="224">
        <v>3854200.261161603</v>
      </c>
      <c r="AL659" s="224">
        <v>2652352.5976788639</v>
      </c>
      <c r="AM659" s="224">
        <v>2511929.4294795808</v>
      </c>
      <c r="AN659" s="224">
        <v>2089633.0620820052</v>
      </c>
      <c r="AO659" s="224">
        <v>2087777.1005907096</v>
      </c>
      <c r="AP659" s="224">
        <v>2090879.3099028696</v>
      </c>
      <c r="AQ659" s="224">
        <v>1850939.9975661305</v>
      </c>
      <c r="AR659" s="224">
        <v>1611618.4230631243</v>
      </c>
      <c r="AS659" s="224">
        <v>1607429.7140368295</v>
      </c>
      <c r="AT659" s="224">
        <v>1386960.1302303839</v>
      </c>
      <c r="AU659" s="224">
        <v>820603.39311841805</v>
      </c>
      <c r="AV659" s="224">
        <v>1748725.6796051194</v>
      </c>
      <c r="AW659" s="224">
        <v>470333.14565990458</v>
      </c>
      <c r="AX659" s="224">
        <v>465690.82316615869</v>
      </c>
      <c r="AY659" s="224"/>
      <c r="AZ659" s="224"/>
      <c r="BA659" s="224"/>
      <c r="BB659" s="224"/>
      <c r="BC659" s="224"/>
      <c r="BD659" s="224"/>
      <c r="BE659" s="224"/>
      <c r="BF659" s="224"/>
      <c r="BG659" s="224"/>
      <c r="BH659" s="224"/>
      <c r="BI659" s="224"/>
      <c r="BJ659" s="224"/>
      <c r="BK659" s="224"/>
    </row>
    <row r="660" spans="1:63">
      <c r="A660" s="171"/>
      <c r="B660" s="318" t="str">
        <f>Servicio_internaColumna_título_total</f>
        <v>Total</v>
      </c>
      <c r="C660" s="319"/>
      <c r="D660" s="320"/>
      <c r="E660" s="320"/>
      <c r="F660" s="320"/>
      <c r="G660" s="320"/>
      <c r="H660" s="320"/>
      <c r="I660" s="320"/>
      <c r="J660" s="320"/>
      <c r="K660" s="320"/>
      <c r="L660" s="320"/>
      <c r="M660" s="320"/>
      <c r="N660" s="320"/>
      <c r="O660" s="320"/>
      <c r="P660" s="320"/>
      <c r="Q660" s="320"/>
      <c r="R660" s="320"/>
      <c r="S660" s="321"/>
      <c r="T660" s="321"/>
      <c r="U660" s="321">
        <v>78551656.603611559</v>
      </c>
      <c r="V660" s="321">
        <v>50045992.083327085</v>
      </c>
      <c r="W660" s="321">
        <v>54373083.358824506</v>
      </c>
      <c r="X660" s="321">
        <v>53203116.829520538</v>
      </c>
      <c r="Y660" s="321">
        <v>49867994.713606447</v>
      </c>
      <c r="Z660" s="321">
        <v>57397503.514378205</v>
      </c>
      <c r="AA660" s="321">
        <v>45013949.652390987</v>
      </c>
      <c r="AB660" s="321">
        <v>54595234.882050849</v>
      </c>
      <c r="AC660" s="321">
        <v>36893545.159433469</v>
      </c>
      <c r="AD660" s="321">
        <v>37786325.463416398</v>
      </c>
      <c r="AE660" s="321">
        <v>18712706.061702564</v>
      </c>
      <c r="AF660" s="321">
        <v>28107684.65244877</v>
      </c>
      <c r="AG660" s="321">
        <v>9669444.2097405829</v>
      </c>
      <c r="AH660" s="321">
        <v>27636126.996558785</v>
      </c>
      <c r="AI660" s="321">
        <v>16642395.82339059</v>
      </c>
      <c r="AJ660" s="321">
        <v>10202766.310881358</v>
      </c>
      <c r="AK660" s="321">
        <v>21612090.998918358</v>
      </c>
      <c r="AL660" s="321">
        <v>7782220.1744710244</v>
      </c>
      <c r="AM660" s="321">
        <v>8533645.903856948</v>
      </c>
      <c r="AN660" s="321">
        <v>2313905.927912246</v>
      </c>
      <c r="AO660" s="321">
        <v>2165617.4897542838</v>
      </c>
      <c r="AP660" s="321">
        <v>2168719.6990664438</v>
      </c>
      <c r="AQ660" s="321">
        <v>9608805.3867297061</v>
      </c>
      <c r="AR660" s="321">
        <v>1689458.8122266985</v>
      </c>
      <c r="AS660" s="321">
        <v>1684711.5591490977</v>
      </c>
      <c r="AT660" s="321">
        <v>9143708.4312913455</v>
      </c>
      <c r="AU660" s="321">
        <v>14721371.694179384</v>
      </c>
      <c r="AV660" s="321">
        <v>1825448.9806660817</v>
      </c>
      <c r="AW660" s="321">
        <v>547056.44672086695</v>
      </c>
      <c r="AX660" s="321">
        <v>542414.12422712101</v>
      </c>
      <c r="AY660" s="321"/>
      <c r="AZ660" s="321"/>
      <c r="BA660" s="321"/>
      <c r="BB660" s="321"/>
      <c r="BC660" s="321"/>
      <c r="BD660" s="321"/>
      <c r="BE660" s="321"/>
      <c r="BF660" s="321"/>
      <c r="BG660" s="321"/>
      <c r="BH660" s="321"/>
      <c r="BI660" s="321"/>
      <c r="BJ660" s="321"/>
      <c r="BK660" s="321"/>
    </row>
    <row r="661" spans="1:63">
      <c r="A661" s="167"/>
      <c r="B661" s="217" t="s">
        <v>28</v>
      </c>
      <c r="C661" s="218"/>
      <c r="D661" s="219"/>
      <c r="E661" s="219"/>
      <c r="F661" s="219"/>
      <c r="G661" s="219"/>
      <c r="H661" s="219"/>
      <c r="I661" s="219"/>
      <c r="J661" s="219"/>
      <c r="K661" s="219"/>
      <c r="L661" s="219"/>
      <c r="M661" s="219"/>
      <c r="N661" s="219"/>
      <c r="O661" s="219"/>
      <c r="P661" s="219"/>
      <c r="Q661" s="219"/>
      <c r="R661" s="219"/>
      <c r="S661" s="224"/>
      <c r="T661" s="224"/>
      <c r="U661" s="224">
        <v>42797964.090177625</v>
      </c>
      <c r="V661" s="224">
        <v>21355216.599221867</v>
      </c>
      <c r="W661" s="224">
        <v>32251555.72207693</v>
      </c>
      <c r="X661" s="224">
        <v>36924788.958513364</v>
      </c>
      <c r="Y661" s="224">
        <v>33894524.916105874</v>
      </c>
      <c r="Z661" s="224">
        <v>40228442.537929639</v>
      </c>
      <c r="AA661" s="224">
        <v>32833418.65548823</v>
      </c>
      <c r="AB661" s="224">
        <v>41869183.541747607</v>
      </c>
      <c r="AC661" s="224">
        <v>27006934.320315298</v>
      </c>
      <c r="AD661" s="224">
        <v>30862732.233887766</v>
      </c>
      <c r="AE661" s="224">
        <v>11274134.330853</v>
      </c>
      <c r="AF661" s="224">
        <v>20610255.709198002</v>
      </c>
      <c r="AG661" s="224">
        <v>3632204.7316280729</v>
      </c>
      <c r="AH661" s="224">
        <v>21679558.28912618</v>
      </c>
      <c r="AI661" s="224">
        <v>12046142.039034985</v>
      </c>
      <c r="AJ661" s="224">
        <v>8022875.0362480488</v>
      </c>
      <c r="AK661" s="224">
        <v>17919341.328870818</v>
      </c>
      <c r="AL661" s="224">
        <v>5252859.8446953846</v>
      </c>
      <c r="AM661" s="224">
        <v>7695792.8689710889</v>
      </c>
      <c r="AN661" s="224">
        <v>231711.27207588922</v>
      </c>
      <c r="AO661" s="224">
        <v>79609.798742555926</v>
      </c>
      <c r="AP661" s="224">
        <v>79609.798742555926</v>
      </c>
      <c r="AQ661" s="224">
        <v>8056959.7987425551</v>
      </c>
      <c r="AR661" s="224">
        <v>79609.798742555926</v>
      </c>
      <c r="AS661" s="224">
        <v>79029.631179600721</v>
      </c>
      <c r="AT661" s="224">
        <v>8055799.463616644</v>
      </c>
      <c r="AU661" s="224">
        <v>14437679.463616647</v>
      </c>
      <c r="AV661" s="224">
        <v>78449.463616645531</v>
      </c>
      <c r="AW661" s="224">
        <v>78449.463616645531</v>
      </c>
      <c r="AX661" s="224">
        <v>78449.463616645531</v>
      </c>
      <c r="AY661" s="224"/>
      <c r="AZ661" s="224"/>
      <c r="BA661" s="224"/>
      <c r="BB661" s="224"/>
      <c r="BC661" s="224"/>
      <c r="BD661" s="224"/>
      <c r="BE661" s="224"/>
      <c r="BF661" s="224"/>
      <c r="BG661" s="224"/>
      <c r="BH661" s="224"/>
      <c r="BI661" s="224"/>
      <c r="BJ661" s="224"/>
      <c r="BK661" s="224"/>
    </row>
    <row r="662" spans="1:63">
      <c r="A662" s="170">
        <v>43555</v>
      </c>
      <c r="B662" s="220" t="s">
        <v>385</v>
      </c>
      <c r="C662" s="221"/>
      <c r="D662" s="222"/>
      <c r="E662" s="222"/>
      <c r="F662" s="222"/>
      <c r="G662" s="222"/>
      <c r="H662" s="222"/>
      <c r="I662" s="222"/>
      <c r="J662" s="222"/>
      <c r="K662" s="222"/>
      <c r="L662" s="222"/>
      <c r="M662" s="222"/>
      <c r="N662" s="222"/>
      <c r="O662" s="222"/>
      <c r="P662" s="222"/>
      <c r="Q662" s="222"/>
      <c r="R662" s="222"/>
      <c r="S662" s="224"/>
      <c r="T662" s="224"/>
      <c r="U662" s="224">
        <v>21392637.313388065</v>
      </c>
      <c r="V662" s="224">
        <v>25646911.639406238</v>
      </c>
      <c r="W662" s="224">
        <v>23666591.454361621</v>
      </c>
      <c r="X662" s="224">
        <v>22299402.931752577</v>
      </c>
      <c r="Y662" s="224">
        <v>20001351.558926899</v>
      </c>
      <c r="Z662" s="224">
        <v>18188169.21467052</v>
      </c>
      <c r="AA662" s="224">
        <v>15221166.126444783</v>
      </c>
      <c r="AB662" s="224">
        <v>13526934.133594975</v>
      </c>
      <c r="AC662" s="224">
        <v>10893365.986705815</v>
      </c>
      <c r="AD662" s="224">
        <v>9890180.5425082948</v>
      </c>
      <c r="AE662" s="224">
        <v>8104220.5598227829</v>
      </c>
      <c r="AF662" s="224">
        <v>7869183.5266288966</v>
      </c>
      <c r="AG662" s="224">
        <v>6432118.0361123364</v>
      </c>
      <c r="AH662" s="224">
        <v>6357507.7052373309</v>
      </c>
      <c r="AI662" s="224">
        <v>5005750.2128863037</v>
      </c>
      <c r="AJ662" s="224">
        <v>4477334.8537518876</v>
      </c>
      <c r="AK662" s="224">
        <v>4011136.5906569995</v>
      </c>
      <c r="AL662" s="224">
        <v>2815578.7936674175</v>
      </c>
      <c r="AM662" s="224">
        <v>2689225.9730625572</v>
      </c>
      <c r="AN662" s="224">
        <v>2158266.7342473599</v>
      </c>
      <c r="AO662" s="224">
        <v>2156716.2983301939</v>
      </c>
      <c r="AP662" s="224">
        <v>2159972.7569782892</v>
      </c>
      <c r="AQ662" s="224">
        <v>1911024.0693926758</v>
      </c>
      <c r="AR662" s="224">
        <v>1662724.533395587</v>
      </c>
      <c r="AS662" s="224">
        <v>1658662.9733704675</v>
      </c>
      <c r="AT662" s="224">
        <v>1429987.9209571294</v>
      </c>
      <c r="AU662" s="224">
        <v>842217.16909937398</v>
      </c>
      <c r="AV662" s="224">
        <v>1668936.2224282878</v>
      </c>
      <c r="AW662" s="224">
        <v>479105.56332068623</v>
      </c>
      <c r="AX662" s="224">
        <v>475526.52497598936</v>
      </c>
      <c r="AY662" s="224"/>
      <c r="AZ662" s="224"/>
      <c r="BA662" s="224"/>
      <c r="BB662" s="224"/>
      <c r="BC662" s="224"/>
      <c r="BD662" s="224"/>
      <c r="BE662" s="224"/>
      <c r="BF662" s="224"/>
      <c r="BG662" s="224"/>
      <c r="BH662" s="224"/>
      <c r="BI662" s="224"/>
      <c r="BJ662" s="224"/>
      <c r="BK662" s="224"/>
    </row>
    <row r="663" spans="1:63">
      <c r="A663" s="171"/>
      <c r="B663" s="318" t="s">
        <v>29</v>
      </c>
      <c r="C663" s="319"/>
      <c r="D663" s="320"/>
      <c r="E663" s="320"/>
      <c r="F663" s="320"/>
      <c r="G663" s="320"/>
      <c r="H663" s="320"/>
      <c r="I663" s="320"/>
      <c r="J663" s="320"/>
      <c r="K663" s="320"/>
      <c r="L663" s="320"/>
      <c r="M663" s="320"/>
      <c r="N663" s="320"/>
      <c r="O663" s="320"/>
      <c r="P663" s="320"/>
      <c r="Q663" s="320"/>
      <c r="R663" s="320"/>
      <c r="S663" s="321"/>
      <c r="T663" s="321"/>
      <c r="U663" s="321">
        <v>64190601.40356569</v>
      </c>
      <c r="V663" s="321">
        <v>47002128.238628104</v>
      </c>
      <c r="W663" s="321">
        <v>55918147.176438555</v>
      </c>
      <c r="X663" s="321">
        <v>59224191.890265942</v>
      </c>
      <c r="Y663" s="321">
        <v>53895876.475032777</v>
      </c>
      <c r="Z663" s="321">
        <v>58416611.752600163</v>
      </c>
      <c r="AA663" s="321">
        <v>48054584.78193301</v>
      </c>
      <c r="AB663" s="321">
        <v>55396117.675342582</v>
      </c>
      <c r="AC663" s="321">
        <v>37900300.307021111</v>
      </c>
      <c r="AD663" s="321">
        <v>40752912.776396058</v>
      </c>
      <c r="AE663" s="321">
        <v>19378354.890675783</v>
      </c>
      <c r="AF663" s="321">
        <v>28479439.235826898</v>
      </c>
      <c r="AG663" s="321">
        <v>10064322.76774041</v>
      </c>
      <c r="AH663" s="321">
        <v>28037065.994363509</v>
      </c>
      <c r="AI663" s="321">
        <v>17051892.251921289</v>
      </c>
      <c r="AJ663" s="321">
        <v>12500209.889999937</v>
      </c>
      <c r="AK663" s="321">
        <v>21930477.919527818</v>
      </c>
      <c r="AL663" s="321">
        <v>8068438.6383628026</v>
      </c>
      <c r="AM663" s="321">
        <v>10385018.842033647</v>
      </c>
      <c r="AN663" s="321">
        <v>2389978.0063232491</v>
      </c>
      <c r="AO663" s="321">
        <v>2236326.0970727499</v>
      </c>
      <c r="AP663" s="321">
        <v>2239582.5557208452</v>
      </c>
      <c r="AQ663" s="321">
        <v>9967983.8681352306</v>
      </c>
      <c r="AR663" s="321">
        <v>1742334.332138143</v>
      </c>
      <c r="AS663" s="321">
        <v>1737692.6045500683</v>
      </c>
      <c r="AT663" s="321">
        <v>9485787.3845737725</v>
      </c>
      <c r="AU663" s="321">
        <v>15279896.632716021</v>
      </c>
      <c r="AV663" s="321">
        <v>1747385.6860449333</v>
      </c>
      <c r="AW663" s="321">
        <v>557555.02693733177</v>
      </c>
      <c r="AX663" s="321">
        <v>553975.98859263491</v>
      </c>
      <c r="AY663" s="321"/>
      <c r="AZ663" s="321"/>
      <c r="BA663" s="321"/>
      <c r="BB663" s="321"/>
      <c r="BC663" s="321"/>
      <c r="BD663" s="321"/>
      <c r="BE663" s="321"/>
      <c r="BF663" s="321"/>
      <c r="BG663" s="321"/>
      <c r="BH663" s="321"/>
      <c r="BI663" s="321"/>
      <c r="BJ663" s="321"/>
      <c r="BK663" s="321"/>
    </row>
    <row r="664" spans="1:63">
      <c r="A664" s="167"/>
      <c r="B664" s="210" t="s">
        <v>28</v>
      </c>
      <c r="C664" s="218"/>
      <c r="D664" s="219"/>
      <c r="E664" s="219"/>
      <c r="F664" s="219"/>
      <c r="G664" s="219"/>
      <c r="H664" s="219"/>
      <c r="I664" s="219"/>
      <c r="J664" s="219"/>
      <c r="K664" s="219"/>
      <c r="L664" s="219"/>
      <c r="M664" s="219"/>
      <c r="N664" s="219"/>
      <c r="O664" s="219"/>
      <c r="P664" s="219"/>
      <c r="Q664" s="219"/>
      <c r="R664" s="219"/>
      <c r="S664" s="224"/>
      <c r="T664" s="224"/>
      <c r="U664" s="224">
        <v>35398870.109189264</v>
      </c>
      <c r="V664" s="224">
        <v>23205008.258974954</v>
      </c>
      <c r="W664" s="224">
        <v>32526142.213723566</v>
      </c>
      <c r="X664" s="224">
        <v>36968504.356559917</v>
      </c>
      <c r="Y664" s="224">
        <v>34319805.123708948</v>
      </c>
      <c r="Z664" s="224">
        <v>40464574.596921995</v>
      </c>
      <c r="AA664" s="224">
        <v>33827938.236686088</v>
      </c>
      <c r="AB664" s="224">
        <v>42085363.494431317</v>
      </c>
      <c r="AC664" s="224">
        <v>27596419.144518055</v>
      </c>
      <c r="AD664" s="224">
        <v>32756100.990064576</v>
      </c>
      <c r="AE664" s="224">
        <v>11476187.918473914</v>
      </c>
      <c r="AF664" s="224">
        <v>20667890.270372584</v>
      </c>
      <c r="AG664" s="224">
        <v>3695951.7643083432</v>
      </c>
      <c r="AH664" s="224">
        <v>21742375.760888968</v>
      </c>
      <c r="AI664" s="224">
        <v>12136535.726416387</v>
      </c>
      <c r="AJ664" s="224">
        <v>9022451.7648073062</v>
      </c>
      <c r="AK664" s="224">
        <v>18042379.750572097</v>
      </c>
      <c r="AL664" s="224">
        <v>5327842.748029789</v>
      </c>
      <c r="AM664" s="224">
        <v>8609089.9281790629</v>
      </c>
      <c r="AN664" s="224">
        <v>235538.81838219921</v>
      </c>
      <c r="AO664" s="224">
        <v>80730.831715532535</v>
      </c>
      <c r="AP664" s="224">
        <v>80730.831715532535</v>
      </c>
      <c r="AQ664" s="224">
        <v>8200030.8317155316</v>
      </c>
      <c r="AR664" s="224">
        <v>80730.831715532535</v>
      </c>
      <c r="AS664" s="224">
        <v>80140.340575755254</v>
      </c>
      <c r="AT664" s="224">
        <v>8198849.8494359776</v>
      </c>
      <c r="AU664" s="224">
        <v>14694289.849435978</v>
      </c>
      <c r="AV664" s="224">
        <v>79549.849435978016</v>
      </c>
      <c r="AW664" s="224">
        <v>79549.849435978016</v>
      </c>
      <c r="AX664" s="224">
        <v>79549.849435978016</v>
      </c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</row>
    <row r="665" spans="1:63">
      <c r="A665" s="168">
        <v>43585</v>
      </c>
      <c r="B665" s="213" t="s">
        <v>385</v>
      </c>
      <c r="C665" s="221"/>
      <c r="D665" s="222"/>
      <c r="E665" s="222"/>
      <c r="F665" s="222"/>
      <c r="G665" s="222"/>
      <c r="H665" s="222"/>
      <c r="I665" s="222"/>
      <c r="J665" s="222"/>
      <c r="K665" s="222"/>
      <c r="L665" s="222"/>
      <c r="M665" s="222"/>
      <c r="N665" s="222"/>
      <c r="O665" s="222"/>
      <c r="P665" s="222"/>
      <c r="Q665" s="222"/>
      <c r="R665" s="222"/>
      <c r="S665" s="224"/>
      <c r="T665" s="224"/>
      <c r="U665" s="224">
        <v>18526139.079142734</v>
      </c>
      <c r="V665" s="224">
        <v>26015208.577706855</v>
      </c>
      <c r="W665" s="224">
        <v>24085227.725842759</v>
      </c>
      <c r="X665" s="224">
        <v>22645810.98265902</v>
      </c>
      <c r="Y665" s="224">
        <v>20383085.48231151</v>
      </c>
      <c r="Z665" s="224">
        <v>18561163.341445651</v>
      </c>
      <c r="AA665" s="224">
        <v>15608334.145726956</v>
      </c>
      <c r="AB665" s="224">
        <v>13856047.846787747</v>
      </c>
      <c r="AC665" s="224">
        <v>11217836.542160891</v>
      </c>
      <c r="AD665" s="224">
        <v>10199021.123037828</v>
      </c>
      <c r="AE665" s="224">
        <v>8295940.8419925775</v>
      </c>
      <c r="AF665" s="224">
        <v>8050718.4603213901</v>
      </c>
      <c r="AG665" s="224">
        <v>6610239.6280743126</v>
      </c>
      <c r="AH665" s="224">
        <v>6531864.7013599873</v>
      </c>
      <c r="AI665" s="224">
        <v>5177339.7830409668</v>
      </c>
      <c r="AJ665" s="224">
        <v>4650822.599323906</v>
      </c>
      <c r="AK665" s="224">
        <v>4105353.2705352707</v>
      </c>
      <c r="AL665" s="224">
        <v>2911909.6061082855</v>
      </c>
      <c r="AM665" s="224">
        <v>2782918.8953593345</v>
      </c>
      <c r="AN665" s="224">
        <v>2192639.0510875797</v>
      </c>
      <c r="AO665" s="224">
        <v>2190895.3703576373</v>
      </c>
      <c r="AP665" s="224">
        <v>2194106.8337423629</v>
      </c>
      <c r="AQ665" s="224">
        <v>1940744.6047307695</v>
      </c>
      <c r="AR665" s="224">
        <v>1688045.6898460959</v>
      </c>
      <c r="AS665" s="224">
        <v>1683929.4471477831</v>
      </c>
      <c r="AT665" s="224">
        <v>1451222.9412922517</v>
      </c>
      <c r="AU665" s="224">
        <v>853001.13405582705</v>
      </c>
      <c r="AV665" s="224">
        <v>1671954.4430991011</v>
      </c>
      <c r="AW665" s="224">
        <v>483383.815302526</v>
      </c>
      <c r="AX665" s="224">
        <v>480097.32861194265</v>
      </c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</row>
    <row r="666" spans="1:63">
      <c r="A666" s="171"/>
      <c r="B666" s="307" t="s">
        <v>29</v>
      </c>
      <c r="C666" s="319"/>
      <c r="D666" s="320"/>
      <c r="E666" s="320"/>
      <c r="F666" s="320"/>
      <c r="G666" s="320"/>
      <c r="H666" s="320"/>
      <c r="I666" s="320"/>
      <c r="J666" s="320"/>
      <c r="K666" s="320"/>
      <c r="L666" s="320"/>
      <c r="M666" s="320"/>
      <c r="N666" s="320"/>
      <c r="O666" s="320"/>
      <c r="P666" s="320"/>
      <c r="Q666" s="320"/>
      <c r="R666" s="320"/>
      <c r="S666" s="321"/>
      <c r="T666" s="321"/>
      <c r="U666" s="321">
        <v>53925009.188331999</v>
      </c>
      <c r="V666" s="321">
        <v>49220216.836681813</v>
      </c>
      <c r="W666" s="321">
        <v>56611369.939566329</v>
      </c>
      <c r="X666" s="321">
        <v>59614315.339218937</v>
      </c>
      <c r="Y666" s="321">
        <v>54702890.606020458</v>
      </c>
      <c r="Z666" s="321">
        <v>59025737.93836765</v>
      </c>
      <c r="AA666" s="321">
        <v>49436272.382413045</v>
      </c>
      <c r="AB666" s="321">
        <v>55941411.341219068</v>
      </c>
      <c r="AC666" s="321">
        <v>38814255.686678946</v>
      </c>
      <c r="AD666" s="321">
        <v>42955122.113102406</v>
      </c>
      <c r="AE666" s="321">
        <v>19772128.760466494</v>
      </c>
      <c r="AF666" s="321">
        <v>28718608.730693974</v>
      </c>
      <c r="AG666" s="321">
        <v>10306191.392382655</v>
      </c>
      <c r="AH666" s="321">
        <v>28274240.462248955</v>
      </c>
      <c r="AI666" s="321">
        <v>17313875.509457354</v>
      </c>
      <c r="AJ666" s="321">
        <v>13673274.364131212</v>
      </c>
      <c r="AK666" s="321">
        <v>22147733.021107368</v>
      </c>
      <c r="AL666" s="321">
        <v>8239752.3541380744</v>
      </c>
      <c r="AM666" s="321">
        <v>11392008.823538397</v>
      </c>
      <c r="AN666" s="321">
        <v>2428177.8694697791</v>
      </c>
      <c r="AO666" s="321">
        <v>2271626.2020731699</v>
      </c>
      <c r="AP666" s="321">
        <v>2274837.6654578955</v>
      </c>
      <c r="AQ666" s="321">
        <v>10140775.436446302</v>
      </c>
      <c r="AR666" s="321">
        <v>1768776.5215616284</v>
      </c>
      <c r="AS666" s="321">
        <v>1764069.7877235385</v>
      </c>
      <c r="AT666" s="321">
        <v>9650072.79072823</v>
      </c>
      <c r="AU666" s="321">
        <v>15547290.983491804</v>
      </c>
      <c r="AV666" s="321">
        <v>1751504.2925350792</v>
      </c>
      <c r="AW666" s="321">
        <v>562933.66473850398</v>
      </c>
      <c r="AX666" s="321">
        <v>559647.17804792069</v>
      </c>
      <c r="AY666" s="321"/>
      <c r="AZ666" s="321"/>
      <c r="BA666" s="321"/>
      <c r="BB666" s="321"/>
      <c r="BC666" s="321"/>
      <c r="BD666" s="321"/>
      <c r="BE666" s="321"/>
      <c r="BF666" s="321"/>
      <c r="BG666" s="321"/>
      <c r="BH666" s="321"/>
      <c r="BI666" s="321"/>
      <c r="BJ666" s="321"/>
      <c r="BK666" s="321"/>
    </row>
    <row r="667" spans="1:63">
      <c r="A667" s="167"/>
      <c r="B667" s="210" t="s">
        <v>28</v>
      </c>
      <c r="C667" s="218"/>
      <c r="D667" s="219"/>
      <c r="E667" s="219"/>
      <c r="F667" s="219"/>
      <c r="G667" s="219"/>
      <c r="H667" s="219"/>
      <c r="I667" s="219"/>
      <c r="J667" s="219"/>
      <c r="K667" s="219"/>
      <c r="L667" s="219"/>
      <c r="M667" s="219"/>
      <c r="N667" s="219"/>
      <c r="O667" s="219"/>
      <c r="P667" s="219"/>
      <c r="Q667" s="219"/>
      <c r="R667" s="219"/>
      <c r="S667" s="224"/>
      <c r="T667" s="224"/>
      <c r="U667" s="224">
        <v>35021977.891592674</v>
      </c>
      <c r="V667" s="224">
        <v>23369967.59890997</v>
      </c>
      <c r="W667" s="224">
        <v>32950308.746333599</v>
      </c>
      <c r="X667" s="224">
        <v>37088449.098411761</v>
      </c>
      <c r="Y667" s="224">
        <v>34643616.746903487</v>
      </c>
      <c r="Z667" s="224">
        <v>40927829.151137918</v>
      </c>
      <c r="AA667" s="224">
        <v>34089729.057396226</v>
      </c>
      <c r="AB667" s="224">
        <v>42635731.439412527</v>
      </c>
      <c r="AC667" s="224">
        <v>28118249.454710454</v>
      </c>
      <c r="AD667" s="224">
        <v>32958176.365938529</v>
      </c>
      <c r="AE667" s="224">
        <v>11870753.789472213</v>
      </c>
      <c r="AF667" s="224">
        <v>20792312.863232452</v>
      </c>
      <c r="AG667" s="224">
        <v>3826596.9138073898</v>
      </c>
      <c r="AH667" s="224">
        <v>21867834.002587259</v>
      </c>
      <c r="AI667" s="224">
        <v>12260801.435087744</v>
      </c>
      <c r="AJ667" s="224">
        <v>9131203.1325535029</v>
      </c>
      <c r="AK667" s="224">
        <v>18223134.371664107</v>
      </c>
      <c r="AL667" s="224">
        <v>5517958.575015516</v>
      </c>
      <c r="AM667" s="224">
        <v>8837561.6436177269</v>
      </c>
      <c r="AN667" s="224">
        <v>243705.473952256</v>
      </c>
      <c r="AO667" s="224">
        <v>83649.38728558927</v>
      </c>
      <c r="AP667" s="224">
        <v>83649.38728558927</v>
      </c>
      <c r="AQ667" s="224">
        <v>8478199.3872855883</v>
      </c>
      <c r="AR667" s="224">
        <v>83649.38728558927</v>
      </c>
      <c r="AS667" s="224">
        <v>83038.87807944871</v>
      </c>
      <c r="AT667" s="224">
        <v>8476918.0460886359</v>
      </c>
      <c r="AU667" s="224">
        <v>15192558.046088634</v>
      </c>
      <c r="AV667" s="224">
        <v>82368.046088634917</v>
      </c>
      <c r="AW667" s="224">
        <v>82368.046088634917</v>
      </c>
      <c r="AX667" s="224">
        <v>82368.046088634917</v>
      </c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</row>
    <row r="668" spans="1:63">
      <c r="A668" s="168">
        <v>43616</v>
      </c>
      <c r="B668" s="213" t="s">
        <v>385</v>
      </c>
      <c r="C668" s="221"/>
      <c r="D668" s="222"/>
      <c r="E668" s="222"/>
      <c r="F668" s="222"/>
      <c r="G668" s="222"/>
      <c r="H668" s="222"/>
      <c r="I668" s="222"/>
      <c r="J668" s="222"/>
      <c r="K668" s="222"/>
      <c r="L668" s="222"/>
      <c r="M668" s="222"/>
      <c r="N668" s="222"/>
      <c r="O668" s="222"/>
      <c r="P668" s="222"/>
      <c r="Q668" s="222"/>
      <c r="R668" s="222"/>
      <c r="S668" s="224"/>
      <c r="T668" s="224"/>
      <c r="U668" s="224">
        <v>15444639.095039882</v>
      </c>
      <c r="V668" s="224">
        <v>26152102.383510835</v>
      </c>
      <c r="W668" s="224">
        <v>24124630.494753949</v>
      </c>
      <c r="X668" s="224">
        <v>22518742.301591039</v>
      </c>
      <c r="Y668" s="224">
        <v>20398125.988204837</v>
      </c>
      <c r="Z668" s="224">
        <v>18562572.187166266</v>
      </c>
      <c r="AA668" s="224">
        <v>15622225.791398499</v>
      </c>
      <c r="AB668" s="224">
        <v>13873316.104626205</v>
      </c>
      <c r="AC668" s="224">
        <v>11222938.543392196</v>
      </c>
      <c r="AD668" s="224">
        <v>10213690.788237071</v>
      </c>
      <c r="AE668" s="224">
        <v>8320056.1059369352</v>
      </c>
      <c r="AF668" s="224">
        <v>8083572.4750339426</v>
      </c>
      <c r="AG668" s="224">
        <v>6652430.1205220539</v>
      </c>
      <c r="AH668" s="224">
        <v>6583091.1696786806</v>
      </c>
      <c r="AI668" s="224">
        <v>5231970.5450480543</v>
      </c>
      <c r="AJ668" s="224">
        <v>4710618.9421309903</v>
      </c>
      <c r="AK668" s="224">
        <v>4171967.578294944</v>
      </c>
      <c r="AL668" s="224">
        <v>2982122.3800105974</v>
      </c>
      <c r="AM668" s="224">
        <v>2860954.913677182</v>
      </c>
      <c r="AN668" s="224">
        <v>2256781.5659105475</v>
      </c>
      <c r="AO668" s="224">
        <v>2255461.433217722</v>
      </c>
      <c r="AP668" s="224">
        <v>2258792.6309399651</v>
      </c>
      <c r="AQ668" s="224">
        <v>1997067.6496118992</v>
      </c>
      <c r="AR668" s="224">
        <v>1736034.670611185</v>
      </c>
      <c r="AS668" s="224">
        <v>1732014.0252464802</v>
      </c>
      <c r="AT668" s="224">
        <v>1491697.3695222323</v>
      </c>
      <c r="AU668" s="224">
        <v>873430.98335245368</v>
      </c>
      <c r="AV668" s="224">
        <v>1679781.3974417446</v>
      </c>
      <c r="AW668" s="224">
        <v>491655.62757228082</v>
      </c>
      <c r="AX668" s="224">
        <v>489146.17692677816</v>
      </c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</row>
    <row r="669" spans="1:63">
      <c r="A669" s="171"/>
      <c r="B669" s="307" t="s">
        <v>29</v>
      </c>
      <c r="C669" s="319"/>
      <c r="D669" s="320"/>
      <c r="E669" s="320"/>
      <c r="F669" s="320"/>
      <c r="G669" s="320"/>
      <c r="H669" s="320"/>
      <c r="I669" s="320"/>
      <c r="J669" s="320"/>
      <c r="K669" s="320"/>
      <c r="L669" s="320"/>
      <c r="M669" s="320"/>
      <c r="N669" s="320"/>
      <c r="O669" s="320"/>
      <c r="P669" s="320"/>
      <c r="Q669" s="320"/>
      <c r="R669" s="320"/>
      <c r="S669" s="321"/>
      <c r="T669" s="321"/>
      <c r="U669" s="321">
        <v>50466616.986632556</v>
      </c>
      <c r="V669" s="321">
        <v>49522069.982420802</v>
      </c>
      <c r="W669" s="321">
        <v>57074939.241087548</v>
      </c>
      <c r="X669" s="321">
        <v>59607191.4000028</v>
      </c>
      <c r="Y669" s="321">
        <v>55041742.735108323</v>
      </c>
      <c r="Z669" s="321">
        <v>59490401.338304184</v>
      </c>
      <c r="AA669" s="321">
        <v>49711954.848794729</v>
      </c>
      <c r="AB669" s="321">
        <v>56509047.544038728</v>
      </c>
      <c r="AC669" s="321">
        <v>39341187.99810265</v>
      </c>
      <c r="AD669" s="321">
        <v>43171867.154175602</v>
      </c>
      <c r="AE669" s="321">
        <v>20190809.895409148</v>
      </c>
      <c r="AF669" s="321">
        <v>28875885.338266395</v>
      </c>
      <c r="AG669" s="321">
        <v>10479027.034329444</v>
      </c>
      <c r="AH669" s="321">
        <v>28450925.172265939</v>
      </c>
      <c r="AI669" s="321">
        <v>17492771.980135798</v>
      </c>
      <c r="AJ669" s="321">
        <v>13841822.074684493</v>
      </c>
      <c r="AK669" s="321">
        <v>22395101.949959051</v>
      </c>
      <c r="AL669" s="321">
        <v>8500080.9550261125</v>
      </c>
      <c r="AM669" s="321">
        <v>11698516.557294909</v>
      </c>
      <c r="AN669" s="321">
        <v>2500487.0398628036</v>
      </c>
      <c r="AO669" s="321">
        <v>2339110.8205033112</v>
      </c>
      <c r="AP669" s="321">
        <v>2342442.0182255544</v>
      </c>
      <c r="AQ669" s="321">
        <v>10475267.036897488</v>
      </c>
      <c r="AR669" s="321">
        <v>1819684.0578967743</v>
      </c>
      <c r="AS669" s="321">
        <v>1815052.9033259288</v>
      </c>
      <c r="AT669" s="321">
        <v>9968615.4156108685</v>
      </c>
      <c r="AU669" s="321">
        <v>16065989.029441088</v>
      </c>
      <c r="AV669" s="321">
        <v>1762149.4435303796</v>
      </c>
      <c r="AW669" s="321">
        <v>574023.67366091569</v>
      </c>
      <c r="AX669" s="321">
        <v>571514.22301541304</v>
      </c>
      <c r="AY669" s="321"/>
      <c r="AZ669" s="321"/>
      <c r="BA669" s="321"/>
      <c r="BB669" s="321"/>
      <c r="BC669" s="321"/>
      <c r="BD669" s="321"/>
      <c r="BE669" s="321"/>
      <c r="BF669" s="321"/>
      <c r="BG669" s="321"/>
      <c r="BH669" s="321"/>
      <c r="BI669" s="321"/>
      <c r="BJ669" s="321"/>
      <c r="BK669" s="321"/>
    </row>
    <row r="670" spans="1:63">
      <c r="A670" s="167"/>
      <c r="B670" s="210" t="s">
        <v>28</v>
      </c>
      <c r="C670" s="218"/>
      <c r="D670" s="219"/>
      <c r="E670" s="219"/>
      <c r="F670" s="219"/>
      <c r="G670" s="219"/>
      <c r="H670" s="219"/>
      <c r="I670" s="219"/>
      <c r="J670" s="219"/>
      <c r="K670" s="219"/>
      <c r="L670" s="219"/>
      <c r="M670" s="219"/>
      <c r="N670" s="219"/>
      <c r="O670" s="219"/>
      <c r="P670" s="219"/>
      <c r="Q670" s="219"/>
      <c r="R670" s="219"/>
      <c r="S670" s="224"/>
      <c r="T670" s="224"/>
      <c r="U670" s="224">
        <v>16047312.769178985</v>
      </c>
      <c r="V670" s="224">
        <v>42049113.304564506</v>
      </c>
      <c r="W670" s="224">
        <v>32561692.426715892</v>
      </c>
      <c r="X670" s="224">
        <v>36945380.486741215</v>
      </c>
      <c r="Y670" s="224">
        <v>35031260.372525007</v>
      </c>
      <c r="Z670" s="224">
        <v>40270278.274704166</v>
      </c>
      <c r="AA670" s="224">
        <v>35371087.342433453</v>
      </c>
      <c r="AB670" s="224">
        <v>42097566.085049868</v>
      </c>
      <c r="AC670" s="224">
        <v>28359164.624106899</v>
      </c>
      <c r="AD670" s="224">
        <v>34302464.573521264</v>
      </c>
      <c r="AE670" s="224">
        <v>11310245.997315807</v>
      </c>
      <c r="AF670" s="224">
        <v>20636138.340404581</v>
      </c>
      <c r="AG670" s="224">
        <v>3670674.4304081211</v>
      </c>
      <c r="AH670" s="224">
        <v>21692094.906423051</v>
      </c>
      <c r="AI670" s="224">
        <v>12191288.598692117</v>
      </c>
      <c r="AJ670" s="224">
        <v>10867448.994974865</v>
      </c>
      <c r="AK670" s="224">
        <v>18182550.060357932</v>
      </c>
      <c r="AL670" s="224">
        <v>5362052.4791215025</v>
      </c>
      <c r="AM670" s="224">
        <v>9531116.6782178245</v>
      </c>
      <c r="AN670" s="224">
        <v>233774.68729569527</v>
      </c>
      <c r="AO670" s="224">
        <v>81373.390629028581</v>
      </c>
      <c r="AP670" s="224">
        <v>81373.390629028581</v>
      </c>
      <c r="AQ670" s="224">
        <v>8074448.390629028</v>
      </c>
      <c r="AR670" s="224">
        <v>81373.390629028581</v>
      </c>
      <c r="AS670" s="224">
        <v>80792.079436305678</v>
      </c>
      <c r="AT670" s="224">
        <v>8073228.3304366609</v>
      </c>
      <c r="AU670" s="224">
        <v>14467688.33043666</v>
      </c>
      <c r="AV670" s="224">
        <v>80153.33043666021</v>
      </c>
      <c r="AW670" s="224">
        <v>80153.33043666021</v>
      </c>
      <c r="AX670" s="224">
        <v>80153.33043666021</v>
      </c>
      <c r="AY670" s="224"/>
      <c r="AZ670" s="224"/>
      <c r="BA670" s="224"/>
      <c r="BB670" s="224"/>
      <c r="BC670" s="224"/>
      <c r="BD670" s="224"/>
      <c r="BE670" s="224"/>
      <c r="BF670" s="224"/>
      <c r="BG670" s="224"/>
      <c r="BH670" s="224"/>
      <c r="BI670" s="224"/>
      <c r="BJ670" s="224"/>
      <c r="BK670" s="224"/>
    </row>
    <row r="671" spans="1:63">
      <c r="A671" s="168">
        <v>43646</v>
      </c>
      <c r="B671" s="213" t="s">
        <v>385</v>
      </c>
      <c r="C671" s="221"/>
      <c r="D671" s="222"/>
      <c r="E671" s="222"/>
      <c r="F671" s="222"/>
      <c r="G671" s="222"/>
      <c r="H671" s="222"/>
      <c r="I671" s="222"/>
      <c r="J671" s="222"/>
      <c r="K671" s="222"/>
      <c r="L671" s="222"/>
      <c r="M671" s="222"/>
      <c r="N671" s="222"/>
      <c r="O671" s="222"/>
      <c r="P671" s="222"/>
      <c r="Q671" s="222"/>
      <c r="R671" s="222"/>
      <c r="S671" s="224"/>
      <c r="T671" s="224"/>
      <c r="U671" s="224">
        <v>13276385.847554775</v>
      </c>
      <c r="V671" s="224">
        <v>26088119.300104141</v>
      </c>
      <c r="W671" s="224">
        <v>24209754.49289719</v>
      </c>
      <c r="X671" s="224">
        <v>22681293.267921697</v>
      </c>
      <c r="Y671" s="224">
        <v>20500573.755675741</v>
      </c>
      <c r="Z671" s="224">
        <v>18650090.143400863</v>
      </c>
      <c r="AA671" s="224">
        <v>15738816.799937174</v>
      </c>
      <c r="AB671" s="224">
        <v>13916288.081168616</v>
      </c>
      <c r="AC671" s="224">
        <v>11297179.1221005</v>
      </c>
      <c r="AD671" s="224">
        <v>10278498.644577077</v>
      </c>
      <c r="AE671" s="224">
        <v>8308674.4911910351</v>
      </c>
      <c r="AF671" s="224">
        <v>8088198.8896292374</v>
      </c>
      <c r="AG671" s="224">
        <v>6668262.5708285794</v>
      </c>
      <c r="AH671" s="224">
        <v>6608360.4716081563</v>
      </c>
      <c r="AI671" s="224">
        <v>5266465.5485541448</v>
      </c>
      <c r="AJ671" s="224">
        <v>4757577.6525493329</v>
      </c>
      <c r="AK671" s="224">
        <v>4094002.3413795982</v>
      </c>
      <c r="AL671" s="224">
        <v>2910210.2709709234</v>
      </c>
      <c r="AM671" s="224">
        <v>2803830.5330412337</v>
      </c>
      <c r="AN671" s="224">
        <v>2158119.3325550156</v>
      </c>
      <c r="AO671" s="224">
        <v>2157230.9198107687</v>
      </c>
      <c r="AP671" s="224">
        <v>2160694.3056297158</v>
      </c>
      <c r="AQ671" s="224">
        <v>1911471.6046087563</v>
      </c>
      <c r="AR671" s="224">
        <v>1662909.6119857056</v>
      </c>
      <c r="AS671" s="224">
        <v>1659067.9082865529</v>
      </c>
      <c r="AT671" s="224">
        <v>1430196.2825827377</v>
      </c>
      <c r="AU671" s="224">
        <v>841516.23674355645</v>
      </c>
      <c r="AV671" s="224">
        <v>1666130.526006019</v>
      </c>
      <c r="AW671" s="224">
        <v>478210.70033538062</v>
      </c>
      <c r="AX671" s="224">
        <v>476398.65944717848</v>
      </c>
      <c r="AY671" s="224"/>
      <c r="AZ671" s="224"/>
      <c r="BA671" s="224"/>
      <c r="BB671" s="224"/>
      <c r="BC671" s="224"/>
      <c r="BD671" s="224"/>
      <c r="BE671" s="224"/>
      <c r="BF671" s="224"/>
      <c r="BG671" s="224"/>
      <c r="BH671" s="224"/>
      <c r="BI671" s="224"/>
      <c r="BJ671" s="224"/>
      <c r="BK671" s="224"/>
    </row>
    <row r="672" spans="1:63">
      <c r="A672" s="171"/>
      <c r="B672" s="307" t="s">
        <v>29</v>
      </c>
      <c r="C672" s="319"/>
      <c r="D672" s="320"/>
      <c r="E672" s="320"/>
      <c r="F672" s="320"/>
      <c r="G672" s="320"/>
      <c r="H672" s="320"/>
      <c r="I672" s="320"/>
      <c r="J672" s="320"/>
      <c r="K672" s="320"/>
      <c r="L672" s="320"/>
      <c r="M672" s="320"/>
      <c r="N672" s="320"/>
      <c r="O672" s="320"/>
      <c r="P672" s="320"/>
      <c r="Q672" s="320"/>
      <c r="R672" s="320"/>
      <c r="S672" s="321"/>
      <c r="T672" s="321"/>
      <c r="U672" s="321">
        <v>29323698.61673376</v>
      </c>
      <c r="V672" s="321">
        <v>68137232.604668647</v>
      </c>
      <c r="W672" s="321">
        <v>56771446.919613078</v>
      </c>
      <c r="X672" s="321">
        <v>59626673.754662916</v>
      </c>
      <c r="Y672" s="321">
        <v>55531834.128200747</v>
      </c>
      <c r="Z672" s="321">
        <v>58920368.418105029</v>
      </c>
      <c r="AA672" s="321">
        <v>51109904.142370626</v>
      </c>
      <c r="AB672" s="321">
        <v>56013854.166218482</v>
      </c>
      <c r="AC672" s="321">
        <v>39656343.746207401</v>
      </c>
      <c r="AD672" s="321">
        <v>44580963.218098342</v>
      </c>
      <c r="AE672" s="321">
        <v>19618920.488506842</v>
      </c>
      <c r="AF672" s="321">
        <v>28724337.230033819</v>
      </c>
      <c r="AG672" s="321">
        <v>10338937.0012367</v>
      </c>
      <c r="AH672" s="321">
        <v>28300455.378031209</v>
      </c>
      <c r="AI672" s="321">
        <v>17457754.147246264</v>
      </c>
      <c r="AJ672" s="321">
        <v>15625026.647524197</v>
      </c>
      <c r="AK672" s="321">
        <v>22276552.40173753</v>
      </c>
      <c r="AL672" s="321">
        <v>8272262.7500924263</v>
      </c>
      <c r="AM672" s="321">
        <v>12334947.211259058</v>
      </c>
      <c r="AN672" s="321">
        <v>2391894.0198507109</v>
      </c>
      <c r="AO672" s="321">
        <v>2238604.3104397971</v>
      </c>
      <c r="AP672" s="321">
        <v>2242067.6962587442</v>
      </c>
      <c r="AQ672" s="321">
        <v>9985919.9952377845</v>
      </c>
      <c r="AR672" s="321">
        <v>1744283.0026147342</v>
      </c>
      <c r="AS672" s="321">
        <v>1739859.9877228586</v>
      </c>
      <c r="AT672" s="321">
        <v>9503424.6130193993</v>
      </c>
      <c r="AU672" s="321">
        <v>15309204.567180216</v>
      </c>
      <c r="AV672" s="321">
        <v>1746283.8564426792</v>
      </c>
      <c r="AW672" s="321">
        <v>558364.03077204083</v>
      </c>
      <c r="AX672" s="321">
        <v>556551.98988383869</v>
      </c>
      <c r="AY672" s="321"/>
      <c r="AZ672" s="321"/>
      <c r="BA672" s="321"/>
      <c r="BB672" s="321"/>
      <c r="BC672" s="321"/>
      <c r="BD672" s="321"/>
      <c r="BE672" s="321"/>
      <c r="BF672" s="321"/>
      <c r="BG672" s="321"/>
      <c r="BH672" s="321"/>
      <c r="BI672" s="321"/>
      <c r="BJ672" s="321"/>
      <c r="BK672" s="321"/>
    </row>
    <row r="673" spans="1:63">
      <c r="A673" s="167"/>
      <c r="B673" s="210" t="s">
        <v>28</v>
      </c>
      <c r="C673" s="218"/>
      <c r="D673" s="219"/>
      <c r="E673" s="219"/>
      <c r="F673" s="219"/>
      <c r="G673" s="219"/>
      <c r="H673" s="219"/>
      <c r="I673" s="219"/>
      <c r="J673" s="219"/>
      <c r="K673" s="219"/>
      <c r="L673" s="219"/>
      <c r="M673" s="219"/>
      <c r="N673" s="219"/>
      <c r="O673" s="219"/>
      <c r="P673" s="219"/>
      <c r="Q673" s="219"/>
      <c r="R673" s="219"/>
      <c r="S673" s="224"/>
      <c r="T673" s="224"/>
      <c r="U673" s="224">
        <v>16056046.861828333</v>
      </c>
      <c r="V673" s="224">
        <v>47323123.168029636</v>
      </c>
      <c r="W673" s="224">
        <v>32910297.873348858</v>
      </c>
      <c r="X673" s="224">
        <v>37024015.21125631</v>
      </c>
      <c r="Y673" s="224">
        <v>35411384.255847439</v>
      </c>
      <c r="Z673" s="224">
        <v>40671733.784272835</v>
      </c>
      <c r="AA673" s="224">
        <v>36010586.384689167</v>
      </c>
      <c r="AB673" s="224">
        <v>42347087.360525295</v>
      </c>
      <c r="AC673" s="224">
        <v>29008459.834716313</v>
      </c>
      <c r="AD673" s="224">
        <v>35089188.57979665</v>
      </c>
      <c r="AE673" s="224">
        <v>11652823.55809458</v>
      </c>
      <c r="AF673" s="224">
        <v>20737054.645940952</v>
      </c>
      <c r="AG673" s="224">
        <v>3777786.5432340652</v>
      </c>
      <c r="AH673" s="224">
        <v>21798444.821625728</v>
      </c>
      <c r="AI673" s="224">
        <v>12287157.539365329</v>
      </c>
      <c r="AJ673" s="224">
        <v>11503770.22191369</v>
      </c>
      <c r="AK673" s="224">
        <v>18251507.98329604</v>
      </c>
      <c r="AL673" s="224">
        <v>5382476.1649135407</v>
      </c>
      <c r="AM673" s="224">
        <v>9952299.2585263569</v>
      </c>
      <c r="AN673" s="224">
        <v>238716.52143757723</v>
      </c>
      <c r="AO673" s="224">
        <v>81566.671437577272</v>
      </c>
      <c r="AP673" s="224">
        <v>81566.671437577272</v>
      </c>
      <c r="AQ673" s="224">
        <v>8323691.6714375764</v>
      </c>
      <c r="AR673" s="224">
        <v>81566.671437577272</v>
      </c>
      <c r="AS673" s="224">
        <v>80967.247622046794</v>
      </c>
      <c r="AT673" s="224">
        <v>8322433.5963396924</v>
      </c>
      <c r="AU673" s="224">
        <v>14916133.596339691</v>
      </c>
      <c r="AV673" s="224">
        <v>80308.596339692638</v>
      </c>
      <c r="AW673" s="224">
        <v>80308.596339692638</v>
      </c>
      <c r="AX673" s="224">
        <v>80308.596339692638</v>
      </c>
      <c r="AY673" s="224">
        <v>8156352.2617563922</v>
      </c>
      <c r="AZ673" s="224">
        <v>50520.896143413149</v>
      </c>
      <c r="BA673" s="224"/>
      <c r="BB673" s="224"/>
      <c r="BC673" s="224"/>
      <c r="BD673" s="224"/>
      <c r="BE673" s="224"/>
      <c r="BF673" s="224"/>
      <c r="BG673" s="224"/>
      <c r="BH673" s="224"/>
      <c r="BI673" s="224"/>
      <c r="BJ673" s="224"/>
      <c r="BK673" s="224"/>
    </row>
    <row r="674" spans="1:63">
      <c r="A674" s="168">
        <v>43647</v>
      </c>
      <c r="B674" s="213" t="s">
        <v>385</v>
      </c>
      <c r="C674" s="221"/>
      <c r="D674" s="222"/>
      <c r="E674" s="222"/>
      <c r="F674" s="222"/>
      <c r="G674" s="222"/>
      <c r="H674" s="222"/>
      <c r="I674" s="222"/>
      <c r="J674" s="222"/>
      <c r="K674" s="222"/>
      <c r="L674" s="222"/>
      <c r="M674" s="222"/>
      <c r="N674" s="222"/>
      <c r="O674" s="222"/>
      <c r="P674" s="222"/>
      <c r="Q674" s="222"/>
      <c r="R674" s="222"/>
      <c r="S674" s="224"/>
      <c r="T674" s="224"/>
      <c r="U674" s="224">
        <v>8414551.1128656231</v>
      </c>
      <c r="V674" s="224">
        <v>26386334.440309871</v>
      </c>
      <c r="W674" s="224">
        <v>24567266.958147164</v>
      </c>
      <c r="X674" s="224">
        <v>23131879.69361461</v>
      </c>
      <c r="Y674" s="224">
        <v>20843894.005619984</v>
      </c>
      <c r="Z674" s="224">
        <v>18956008.747410942</v>
      </c>
      <c r="AA674" s="224">
        <v>15984843.913038839</v>
      </c>
      <c r="AB674" s="224">
        <v>14113527.550448194</v>
      </c>
      <c r="AC674" s="224">
        <v>11488731.890442017</v>
      </c>
      <c r="AD674" s="224">
        <v>10447523.672924897</v>
      </c>
      <c r="AE674" s="224">
        <v>8430881.9259905256</v>
      </c>
      <c r="AF674" s="224">
        <v>8202889.2791776164</v>
      </c>
      <c r="AG674" s="224">
        <v>6778877.9729579259</v>
      </c>
      <c r="AH674" s="224">
        <v>6716383.496326454</v>
      </c>
      <c r="AI674" s="224">
        <v>5370563.4536568727</v>
      </c>
      <c r="AJ674" s="224">
        <v>4864768.7497784551</v>
      </c>
      <c r="AK674" s="224">
        <v>4166393.0660975147</v>
      </c>
      <c r="AL674" s="224">
        <v>2985019.4610580113</v>
      </c>
      <c r="AM674" s="224">
        <v>2888772.8522826172</v>
      </c>
      <c r="AN674" s="224">
        <v>2215648.3807236813</v>
      </c>
      <c r="AO674" s="224">
        <v>2214835.3651860612</v>
      </c>
      <c r="AP674" s="224">
        <v>2218457.1412952943</v>
      </c>
      <c r="AQ674" s="224">
        <v>1961731.0294642684</v>
      </c>
      <c r="AR674" s="224">
        <v>1705690.960846059</v>
      </c>
      <c r="AS674" s="224">
        <v>1702003.1387455678</v>
      </c>
      <c r="AT674" s="224">
        <v>1466310.5723787907</v>
      </c>
      <c r="AU674" s="224">
        <v>859567.13970751141</v>
      </c>
      <c r="AV674" s="224">
        <v>1616816.5549954851</v>
      </c>
      <c r="AW674" s="224">
        <v>485412.57123257534</v>
      </c>
      <c r="AX674" s="224">
        <v>484213.09678859403</v>
      </c>
      <c r="AY674" s="224">
        <v>349624.09446622524</v>
      </c>
      <c r="AZ674" s="224">
        <v>550.63019335772674</v>
      </c>
      <c r="BA674" s="224"/>
      <c r="BB674" s="224"/>
      <c r="BC674" s="224"/>
      <c r="BD674" s="224"/>
      <c r="BE674" s="224"/>
      <c r="BF674" s="224"/>
      <c r="BG674" s="224"/>
      <c r="BH674" s="224"/>
      <c r="BI674" s="224"/>
      <c r="BJ674" s="224"/>
      <c r="BK674" s="224"/>
    </row>
    <row r="675" spans="1:63">
      <c r="A675" s="171"/>
      <c r="B675" s="307" t="s">
        <v>29</v>
      </c>
      <c r="C675" s="319"/>
      <c r="D675" s="320"/>
      <c r="E675" s="320"/>
      <c r="F675" s="320"/>
      <c r="G675" s="320"/>
      <c r="H675" s="320"/>
      <c r="I675" s="320"/>
      <c r="J675" s="320"/>
      <c r="K675" s="320"/>
      <c r="L675" s="320"/>
      <c r="M675" s="320"/>
      <c r="N675" s="320"/>
      <c r="O675" s="320"/>
      <c r="P675" s="320"/>
      <c r="Q675" s="320"/>
      <c r="R675" s="320"/>
      <c r="S675" s="321"/>
      <c r="T675" s="321"/>
      <c r="U675" s="321">
        <v>24470597.974693954</v>
      </c>
      <c r="V675" s="321">
        <v>73709457.608339503</v>
      </c>
      <c r="W675" s="321">
        <v>57477564.831496023</v>
      </c>
      <c r="X675" s="321">
        <v>60155894.90487092</v>
      </c>
      <c r="Y675" s="321">
        <v>56255278.261467427</v>
      </c>
      <c r="Z675" s="321">
        <v>59627742.531683773</v>
      </c>
      <c r="AA675" s="321">
        <v>51995430.297728002</v>
      </c>
      <c r="AB675" s="321">
        <v>56460614.910973489</v>
      </c>
      <c r="AC675" s="321">
        <v>40497191.725158334</v>
      </c>
      <c r="AD675" s="321">
        <v>45536712.252721548</v>
      </c>
      <c r="AE675" s="321">
        <v>20083705.484085105</v>
      </c>
      <c r="AF675" s="321">
        <v>28939943.925118569</v>
      </c>
      <c r="AG675" s="321">
        <v>10556664.516191991</v>
      </c>
      <c r="AH675" s="321">
        <v>28514828.317952182</v>
      </c>
      <c r="AI675" s="321">
        <v>17657720.993022203</v>
      </c>
      <c r="AJ675" s="321">
        <v>16368538.971692145</v>
      </c>
      <c r="AK675" s="321">
        <v>22417901.049393557</v>
      </c>
      <c r="AL675" s="321">
        <v>8367495.625971552</v>
      </c>
      <c r="AM675" s="321">
        <v>12841072.110808974</v>
      </c>
      <c r="AN675" s="321">
        <v>2454364.9021612587</v>
      </c>
      <c r="AO675" s="321">
        <v>2296402.0366236386</v>
      </c>
      <c r="AP675" s="321">
        <v>2300023.8127328716</v>
      </c>
      <c r="AQ675" s="321">
        <v>10285422.700901845</v>
      </c>
      <c r="AR675" s="321">
        <v>1787257.6322836364</v>
      </c>
      <c r="AS675" s="321">
        <v>1782970.3863676146</v>
      </c>
      <c r="AT675" s="321">
        <v>9788744.1687184833</v>
      </c>
      <c r="AU675" s="321">
        <v>15775700.736047203</v>
      </c>
      <c r="AV675" s="321">
        <v>1697125.1513351777</v>
      </c>
      <c r="AW675" s="321">
        <v>565721.16757226794</v>
      </c>
      <c r="AX675" s="321">
        <v>564521.69312828663</v>
      </c>
      <c r="AY675" s="321">
        <v>8505976.3562226184</v>
      </c>
      <c r="AZ675" s="321">
        <v>51071.526336770876</v>
      </c>
      <c r="BA675" s="321"/>
      <c r="BB675" s="321"/>
      <c r="BC675" s="321"/>
      <c r="BD675" s="321"/>
      <c r="BE675" s="321"/>
      <c r="BF675" s="321"/>
      <c r="BG675" s="321"/>
      <c r="BH675" s="321"/>
      <c r="BI675" s="321"/>
      <c r="BJ675" s="321"/>
      <c r="BK675" s="321"/>
    </row>
    <row r="676" spans="1:63">
      <c r="A676" s="167"/>
      <c r="B676" s="210" t="s">
        <v>28</v>
      </c>
      <c r="C676" s="218"/>
      <c r="D676" s="219"/>
      <c r="E676" s="219"/>
      <c r="F676" s="219"/>
      <c r="G676" s="219"/>
      <c r="H676" s="219"/>
      <c r="I676" s="219"/>
      <c r="J676" s="219"/>
      <c r="K676" s="219"/>
      <c r="L676" s="219"/>
      <c r="M676" s="219"/>
      <c r="N676" s="219"/>
      <c r="O676" s="219"/>
      <c r="P676" s="219"/>
      <c r="Q676" s="219"/>
      <c r="R676" s="219"/>
      <c r="S676" s="224"/>
      <c r="T676" s="224"/>
      <c r="U676" s="224">
        <v>15850545.315718025</v>
      </c>
      <c r="V676" s="224">
        <v>48995152.602886088</v>
      </c>
      <c r="W676" s="224">
        <v>33446020.725425929</v>
      </c>
      <c r="X676" s="224">
        <v>37186028.969584897</v>
      </c>
      <c r="Y676" s="224">
        <v>35922046.44017332</v>
      </c>
      <c r="Z676" s="224">
        <v>41359874.496604726</v>
      </c>
      <c r="AA676" s="224">
        <v>36536688.176966935</v>
      </c>
      <c r="AB676" s="224">
        <v>42947161.751421489</v>
      </c>
      <c r="AC676" s="224">
        <v>29900844.050550312</v>
      </c>
      <c r="AD676" s="224">
        <v>35537203.904498383</v>
      </c>
      <c r="AE676" s="224">
        <v>12236052.549683299</v>
      </c>
      <c r="AF676" s="224">
        <v>20901363.433528401</v>
      </c>
      <c r="AG676" s="224">
        <v>3965293.9193994096</v>
      </c>
      <c r="AH676" s="224">
        <v>21982630.246172946</v>
      </c>
      <c r="AI676" s="224">
        <v>12423337.138883432</v>
      </c>
      <c r="AJ676" s="224">
        <v>11925247.357312337</v>
      </c>
      <c r="AK676" s="224">
        <v>18406486.689971898</v>
      </c>
      <c r="AL676" s="224">
        <v>5579919.7152083907</v>
      </c>
      <c r="AM676" s="224">
        <v>10436277.138603562</v>
      </c>
      <c r="AN676" s="224">
        <v>249621.55935086179</v>
      </c>
      <c r="AO676" s="224">
        <v>84497.076017528452</v>
      </c>
      <c r="AP676" s="224">
        <v>84497.076017528452</v>
      </c>
      <c r="AQ676" s="224">
        <v>8744872.0760175288</v>
      </c>
      <c r="AR676" s="224">
        <v>84497.076017528452</v>
      </c>
      <c r="AS676" s="224">
        <v>83867.234195616649</v>
      </c>
      <c r="AT676" s="224">
        <v>8743550.1593848821</v>
      </c>
      <c r="AU676" s="224">
        <v>15671850.159384884</v>
      </c>
      <c r="AV676" s="224">
        <v>83175.159384883009</v>
      </c>
      <c r="AW676" s="224">
        <v>83175.159384883009</v>
      </c>
      <c r="AX676" s="224">
        <v>83175.159384883009</v>
      </c>
      <c r="AY676" s="224">
        <v>8417591.5426117834</v>
      </c>
      <c r="AZ676" s="224">
        <v>52342.595013892518</v>
      </c>
      <c r="BA676" s="224"/>
      <c r="BB676" s="224"/>
      <c r="BC676" s="224"/>
      <c r="BD676" s="224"/>
      <c r="BE676" s="224"/>
      <c r="BF676" s="224"/>
      <c r="BG676" s="224"/>
      <c r="BH676" s="224"/>
      <c r="BI676" s="224"/>
      <c r="BJ676" s="224"/>
      <c r="BK676" s="224"/>
    </row>
    <row r="677" spans="1:63">
      <c r="A677" s="168">
        <v>43678</v>
      </c>
      <c r="B677" s="213" t="s">
        <v>385</v>
      </c>
      <c r="C677" s="221"/>
      <c r="D677" s="222"/>
      <c r="E677" s="222"/>
      <c r="F677" s="222"/>
      <c r="G677" s="222"/>
      <c r="H677" s="222"/>
      <c r="I677" s="222"/>
      <c r="J677" s="222"/>
      <c r="K677" s="222"/>
      <c r="L677" s="222"/>
      <c r="M677" s="222"/>
      <c r="N677" s="222"/>
      <c r="O677" s="222"/>
      <c r="P677" s="222"/>
      <c r="Q677" s="222"/>
      <c r="R677" s="222"/>
      <c r="S677" s="224"/>
      <c r="T677" s="224"/>
      <c r="U677" s="224">
        <v>5636477.8005270418</v>
      </c>
      <c r="V677" s="224">
        <v>25342695.856019989</v>
      </c>
      <c r="W677" s="224">
        <v>24859532.454102248</v>
      </c>
      <c r="X677" s="224">
        <v>23269204.097570043</v>
      </c>
      <c r="Y677" s="224">
        <v>21054300.003854025</v>
      </c>
      <c r="Z677" s="224">
        <v>19131455.185933135</v>
      </c>
      <c r="AA677" s="224">
        <v>16125247.6233408</v>
      </c>
      <c r="AB677" s="224">
        <v>14224453.929236073</v>
      </c>
      <c r="AC677" s="224">
        <v>11599406.77327837</v>
      </c>
      <c r="AD677" s="224">
        <v>10532060.885464387</v>
      </c>
      <c r="AE677" s="224">
        <v>8490477.2170181237</v>
      </c>
      <c r="AF677" s="224">
        <v>8263258.5244286899</v>
      </c>
      <c r="AG677" s="224">
        <v>6853373.5128935128</v>
      </c>
      <c r="AH677" s="224">
        <v>6805029.2271781005</v>
      </c>
      <c r="AI677" s="224">
        <v>5464940.7401158949</v>
      </c>
      <c r="AJ677" s="224">
        <v>4962442.7368339468</v>
      </c>
      <c r="AK677" s="224">
        <v>4267231.759099273</v>
      </c>
      <c r="AL677" s="224">
        <v>3092064.3078675023</v>
      </c>
      <c r="AM677" s="224">
        <v>3015130.3569298647</v>
      </c>
      <c r="AN677" s="224">
        <v>2311544.9780559642</v>
      </c>
      <c r="AO677" s="224">
        <v>2311465.1393280798</v>
      </c>
      <c r="AP677" s="224">
        <v>2315329.0458019269</v>
      </c>
      <c r="AQ677" s="224">
        <v>2045977.9621336241</v>
      </c>
      <c r="AR677" s="224">
        <v>1777365.4500094217</v>
      </c>
      <c r="AS677" s="224">
        <v>1773929.1542478991</v>
      </c>
      <c r="AT677" s="224">
        <v>1526783.1173282322</v>
      </c>
      <c r="AU677" s="224">
        <v>889712.39668453916</v>
      </c>
      <c r="AV677" s="224">
        <v>1628155.4092883964</v>
      </c>
      <c r="AW677" s="224">
        <v>497377.35605440894</v>
      </c>
      <c r="AX677" s="224">
        <v>496818.08151986601</v>
      </c>
      <c r="AY677" s="224">
        <v>356153.49480635946</v>
      </c>
      <c r="AZ677" s="224">
        <v>429.06525387591552</v>
      </c>
      <c r="BA677" s="224"/>
      <c r="BB677" s="224"/>
      <c r="BC677" s="224"/>
      <c r="BD677" s="224"/>
      <c r="BE677" s="224"/>
      <c r="BF677" s="224"/>
      <c r="BG677" s="224"/>
      <c r="BH677" s="224"/>
      <c r="BI677" s="224"/>
      <c r="BJ677" s="224"/>
      <c r="BK677" s="224"/>
    </row>
    <row r="678" spans="1:63">
      <c r="A678" s="171"/>
      <c r="B678" s="307" t="s">
        <v>29</v>
      </c>
      <c r="C678" s="319"/>
      <c r="D678" s="320"/>
      <c r="E678" s="320"/>
      <c r="F678" s="320"/>
      <c r="G678" s="320"/>
      <c r="H678" s="320"/>
      <c r="I678" s="320"/>
      <c r="J678" s="320"/>
      <c r="K678" s="320"/>
      <c r="L678" s="320"/>
      <c r="M678" s="320"/>
      <c r="N678" s="320"/>
      <c r="O678" s="320"/>
      <c r="P678" s="320"/>
      <c r="Q678" s="320"/>
      <c r="R678" s="320"/>
      <c r="S678" s="321"/>
      <c r="T678" s="321"/>
      <c r="U678" s="321">
        <v>21487023.116245069</v>
      </c>
      <c r="V678" s="321">
        <v>74337848.458906084</v>
      </c>
      <c r="W678" s="321">
        <v>58305553.179528177</v>
      </c>
      <c r="X678" s="321">
        <v>60455233.067154944</v>
      </c>
      <c r="Y678" s="321">
        <v>56976346.444027349</v>
      </c>
      <c r="Z678" s="321">
        <v>60491329.682537861</v>
      </c>
      <c r="AA678" s="321">
        <v>52661935.800307736</v>
      </c>
      <c r="AB678" s="321">
        <v>57171615.680657566</v>
      </c>
      <c r="AC678" s="321">
        <v>41500250.823828682</v>
      </c>
      <c r="AD678" s="321">
        <v>46069264.789962769</v>
      </c>
      <c r="AE678" s="321">
        <v>20726529.766701423</v>
      </c>
      <c r="AF678" s="321">
        <v>29164621.957957089</v>
      </c>
      <c r="AG678" s="321">
        <v>10818667.432292923</v>
      </c>
      <c r="AH678" s="321">
        <v>28787659.473351046</v>
      </c>
      <c r="AI678" s="321">
        <v>17888277.878999326</v>
      </c>
      <c r="AJ678" s="321">
        <v>16887690.094146281</v>
      </c>
      <c r="AK678" s="321">
        <v>22673718.449071169</v>
      </c>
      <c r="AL678" s="321">
        <v>8671984.0230758935</v>
      </c>
      <c r="AM678" s="321">
        <v>13451407.495533427</v>
      </c>
      <c r="AN678" s="321">
        <v>2561166.5374068259</v>
      </c>
      <c r="AO678" s="321">
        <v>2395962.2153456081</v>
      </c>
      <c r="AP678" s="321">
        <v>2399826.1218194552</v>
      </c>
      <c r="AQ678" s="321">
        <v>10790850.038151152</v>
      </c>
      <c r="AR678" s="321">
        <v>1861862.5260269502</v>
      </c>
      <c r="AS678" s="321">
        <v>1857796.3884435156</v>
      </c>
      <c r="AT678" s="321">
        <v>10270333.276713114</v>
      </c>
      <c r="AU678" s="321">
        <v>16561562.556069423</v>
      </c>
      <c r="AV678" s="321">
        <v>1711330.5686732794</v>
      </c>
      <c r="AW678" s="321">
        <v>580552.51543929195</v>
      </c>
      <c r="AX678" s="321">
        <v>579993.24090474902</v>
      </c>
      <c r="AY678" s="321">
        <v>8773745.037418142</v>
      </c>
      <c r="AZ678" s="321">
        <v>52771.660267768435</v>
      </c>
      <c r="BA678" s="321"/>
      <c r="BB678" s="321"/>
      <c r="BC678" s="321"/>
      <c r="BD678" s="321"/>
      <c r="BE678" s="321"/>
      <c r="BF678" s="321"/>
      <c r="BG678" s="321"/>
      <c r="BH678" s="321"/>
      <c r="BI678" s="321"/>
      <c r="BJ678" s="321"/>
      <c r="BK678" s="321"/>
    </row>
    <row r="679" spans="1:63">
      <c r="A679" s="167"/>
      <c r="B679" s="210" t="s">
        <v>28</v>
      </c>
      <c r="C679" s="218"/>
      <c r="D679" s="219"/>
      <c r="E679" s="219"/>
      <c r="F679" s="219"/>
      <c r="G679" s="219"/>
      <c r="H679" s="219"/>
      <c r="I679" s="219"/>
      <c r="J679" s="219"/>
      <c r="K679" s="219"/>
      <c r="L679" s="219"/>
      <c r="M679" s="219"/>
      <c r="N679" s="219"/>
      <c r="O679" s="219"/>
      <c r="P679" s="219"/>
      <c r="Q679" s="219"/>
      <c r="R679" s="219"/>
      <c r="S679" s="224"/>
      <c r="T679" s="224"/>
      <c r="U679" s="224">
        <v>6903892.1708470965</v>
      </c>
      <c r="V679" s="224">
        <v>47208327.67826917</v>
      </c>
      <c r="W679" s="224">
        <v>33476254.290509813</v>
      </c>
      <c r="X679" s="224">
        <v>37187931.69380939</v>
      </c>
      <c r="Y679" s="224">
        <v>35974108.031796969</v>
      </c>
      <c r="Z679" s="224">
        <v>41354980.657167606</v>
      </c>
      <c r="AA679" s="224">
        <v>36637555.490892336</v>
      </c>
      <c r="AB679" s="224">
        <v>42959443.562310323</v>
      </c>
      <c r="AC679" s="224">
        <v>30128589.724440515</v>
      </c>
      <c r="AD679" s="224">
        <v>36199642.906744301</v>
      </c>
      <c r="AE679" s="224">
        <v>12241011.260817455</v>
      </c>
      <c r="AF679" s="224">
        <v>21103059.805300206</v>
      </c>
      <c r="AG679" s="224">
        <v>5014252.9509309651</v>
      </c>
      <c r="AH679" s="224">
        <v>22322359.547729727</v>
      </c>
      <c r="AI679" s="224">
        <v>12592976.945864901</v>
      </c>
      <c r="AJ679" s="224">
        <v>12323883.348309305</v>
      </c>
      <c r="AK679" s="224">
        <v>18482052.999656528</v>
      </c>
      <c r="AL679" s="224">
        <v>5593780.2473991672</v>
      </c>
      <c r="AM679" s="224">
        <v>10582232.714418519</v>
      </c>
      <c r="AN679" s="224">
        <v>259254.69176872665</v>
      </c>
      <c r="AO679" s="224">
        <v>94232.21510205997</v>
      </c>
      <c r="AP679" s="224">
        <v>94232.21510205997</v>
      </c>
      <c r="AQ679" s="224">
        <v>8749257.2151020598</v>
      </c>
      <c r="AR679" s="224">
        <v>94232.21510205997</v>
      </c>
      <c r="AS679" s="224">
        <v>93602.762368813186</v>
      </c>
      <c r="AT679" s="224">
        <v>8743257.7231996637</v>
      </c>
      <c r="AU679" s="224">
        <v>15662599.331307776</v>
      </c>
      <c r="AV679" s="224">
        <v>83554.331307772954</v>
      </c>
      <c r="AW679" s="224">
        <v>83554.331307772954</v>
      </c>
      <c r="AX679" s="224">
        <v>83554.331307772954</v>
      </c>
      <c r="AY679" s="224">
        <v>8419734.4721619729</v>
      </c>
      <c r="AZ679" s="224">
        <v>43438.480154284793</v>
      </c>
      <c r="BA679" s="224"/>
      <c r="BB679" s="224"/>
      <c r="BC679" s="224"/>
      <c r="BD679" s="224"/>
      <c r="BE679" s="224"/>
      <c r="BF679" s="224"/>
      <c r="BG679" s="224"/>
      <c r="BH679" s="224"/>
      <c r="BI679" s="224"/>
      <c r="BJ679" s="224"/>
      <c r="BK679" s="224"/>
    </row>
    <row r="680" spans="1:63">
      <c r="A680" s="168">
        <v>43738</v>
      </c>
      <c r="B680" s="213" t="s">
        <v>385</v>
      </c>
      <c r="C680" s="221"/>
      <c r="D680" s="222"/>
      <c r="E680" s="222"/>
      <c r="F680" s="222"/>
      <c r="G680" s="222"/>
      <c r="H680" s="222"/>
      <c r="I680" s="222"/>
      <c r="J680" s="222"/>
      <c r="K680" s="222"/>
      <c r="L680" s="222"/>
      <c r="M680" s="222"/>
      <c r="N680" s="222"/>
      <c r="O680" s="222"/>
      <c r="P680" s="222"/>
      <c r="Q680" s="222"/>
      <c r="R680" s="222"/>
      <c r="S680" s="224"/>
      <c r="T680" s="224"/>
      <c r="U680" s="224">
        <v>3417237.159357171</v>
      </c>
      <c r="V680" s="224">
        <v>26960112.128438707</v>
      </c>
      <c r="W680" s="224">
        <v>25123858.81032043</v>
      </c>
      <c r="X680" s="224">
        <v>23546238.686823901</v>
      </c>
      <c r="Y680" s="224">
        <v>21305160.05574403</v>
      </c>
      <c r="Z680" s="224">
        <v>19381810.878218979</v>
      </c>
      <c r="AA680" s="224">
        <v>16354961.959329683</v>
      </c>
      <c r="AB680" s="224">
        <v>14438554.787855111</v>
      </c>
      <c r="AC680" s="224">
        <v>11778098.366244167</v>
      </c>
      <c r="AD680" s="224">
        <v>10695787.58646562</v>
      </c>
      <c r="AE680" s="224">
        <v>8638535.1746637393</v>
      </c>
      <c r="AF680" s="224">
        <v>8394024.0148126427</v>
      </c>
      <c r="AG680" s="224">
        <v>6964060.5426324923</v>
      </c>
      <c r="AH680" s="224">
        <v>6860588.1097595543</v>
      </c>
      <c r="AI680" s="224">
        <v>5505375.7483054698</v>
      </c>
      <c r="AJ680" s="224">
        <v>4994604.6863111733</v>
      </c>
      <c r="AK680" s="224">
        <v>4302985.0041191597</v>
      </c>
      <c r="AL680" s="224">
        <v>3115368.6738783089</v>
      </c>
      <c r="AM680" s="224">
        <v>3020647.2043370372</v>
      </c>
      <c r="AN680" s="224">
        <v>2314738.3431544243</v>
      </c>
      <c r="AO680" s="224">
        <v>2312859.0306763216</v>
      </c>
      <c r="AP680" s="224">
        <v>2316112.21885033</v>
      </c>
      <c r="AQ680" s="224">
        <v>2046349.885821179</v>
      </c>
      <c r="AR680" s="224">
        <v>1777378.6790947961</v>
      </c>
      <c r="AS680" s="224">
        <v>1773467.5975083937</v>
      </c>
      <c r="AT680" s="224">
        <v>1526040.7618046976</v>
      </c>
      <c r="AU680" s="224">
        <v>889151.43897836388</v>
      </c>
      <c r="AV680" s="224">
        <v>1627726.9037047098</v>
      </c>
      <c r="AW680" s="224">
        <v>496900.64679064602</v>
      </c>
      <c r="AX680" s="224">
        <v>496335.5951964733</v>
      </c>
      <c r="AY680" s="224">
        <v>356233.40055159153</v>
      </c>
      <c r="AZ680" s="224">
        <v>331.57186516621982</v>
      </c>
      <c r="BA680" s="224"/>
      <c r="BB680" s="224"/>
      <c r="BC680" s="224"/>
      <c r="BD680" s="224"/>
      <c r="BE680" s="224"/>
      <c r="BF680" s="224"/>
      <c r="BG680" s="224"/>
      <c r="BH680" s="224"/>
      <c r="BI680" s="224"/>
      <c r="BJ680" s="224"/>
      <c r="BK680" s="224"/>
    </row>
    <row r="681" spans="1:63">
      <c r="A681" s="171"/>
      <c r="B681" s="307" t="s">
        <v>29</v>
      </c>
      <c r="C681" s="319"/>
      <c r="D681" s="320"/>
      <c r="E681" s="320"/>
      <c r="F681" s="320"/>
      <c r="G681" s="320"/>
      <c r="H681" s="320"/>
      <c r="I681" s="320"/>
      <c r="J681" s="320"/>
      <c r="K681" s="320"/>
      <c r="L681" s="320"/>
      <c r="M681" s="320"/>
      <c r="N681" s="320"/>
      <c r="O681" s="320"/>
      <c r="P681" s="320"/>
      <c r="Q681" s="320"/>
      <c r="R681" s="320"/>
      <c r="S681" s="321"/>
      <c r="T681" s="321"/>
      <c r="U681" s="321">
        <v>10321129.330204267</v>
      </c>
      <c r="V681" s="321">
        <v>74168439.806707874</v>
      </c>
      <c r="W681" s="321">
        <v>58600113.100830242</v>
      </c>
      <c r="X681" s="321">
        <v>60734170.380633295</v>
      </c>
      <c r="Y681" s="321">
        <v>57279268.087540999</v>
      </c>
      <c r="Z681" s="321">
        <v>60736791.535386585</v>
      </c>
      <c r="AA681" s="321">
        <v>52992517.450222015</v>
      </c>
      <c r="AB681" s="321">
        <v>57397998.350165434</v>
      </c>
      <c r="AC681" s="321">
        <v>41906688.090684682</v>
      </c>
      <c r="AD681" s="321">
        <v>46895430.493209921</v>
      </c>
      <c r="AE681" s="321">
        <v>20879546.435481194</v>
      </c>
      <c r="AF681" s="321">
        <v>29497083.820112847</v>
      </c>
      <c r="AG681" s="321">
        <v>11978313.493563458</v>
      </c>
      <c r="AH681" s="321">
        <v>29182947.657489281</v>
      </c>
      <c r="AI681" s="321">
        <v>18098352.694170371</v>
      </c>
      <c r="AJ681" s="321">
        <v>17318488.034620479</v>
      </c>
      <c r="AK681" s="321">
        <v>22785038.003775686</v>
      </c>
      <c r="AL681" s="321">
        <v>8709148.9212774765</v>
      </c>
      <c r="AM681" s="321">
        <v>13602879.918755557</v>
      </c>
      <c r="AN681" s="321">
        <v>2573993.0349231511</v>
      </c>
      <c r="AO681" s="321">
        <v>2407091.2457783814</v>
      </c>
      <c r="AP681" s="321">
        <v>2410344.4339523898</v>
      </c>
      <c r="AQ681" s="321">
        <v>10795607.100923238</v>
      </c>
      <c r="AR681" s="321">
        <v>1871610.8941968561</v>
      </c>
      <c r="AS681" s="321">
        <v>1867070.3598772069</v>
      </c>
      <c r="AT681" s="321">
        <v>10269298.485004362</v>
      </c>
      <c r="AU681" s="321">
        <v>16551750.770286141</v>
      </c>
      <c r="AV681" s="321">
        <v>1711281.2350124829</v>
      </c>
      <c r="AW681" s="321">
        <v>580454.97809841903</v>
      </c>
      <c r="AX681" s="321">
        <v>579889.92650424619</v>
      </c>
      <c r="AY681" s="321">
        <v>8775967.872713564</v>
      </c>
      <c r="AZ681" s="321">
        <v>43770.05201945101</v>
      </c>
      <c r="BA681" s="321"/>
      <c r="BB681" s="321"/>
      <c r="BC681" s="321"/>
      <c r="BD681" s="321"/>
      <c r="BE681" s="321"/>
      <c r="BF681" s="321"/>
      <c r="BG681" s="321"/>
      <c r="BH681" s="321"/>
      <c r="BI681" s="321"/>
      <c r="BJ681" s="321"/>
      <c r="BK681" s="321"/>
    </row>
    <row r="682" spans="1:63">
      <c r="A682" s="167"/>
      <c r="B682" s="210" t="s">
        <v>28</v>
      </c>
      <c r="C682" s="218"/>
      <c r="D682" s="219"/>
      <c r="E682" s="219"/>
      <c r="F682" s="219"/>
      <c r="G682" s="219"/>
      <c r="H682" s="219"/>
      <c r="I682" s="219"/>
      <c r="J682" s="219"/>
      <c r="K682" s="219"/>
      <c r="L682" s="219"/>
      <c r="M682" s="219"/>
      <c r="N682" s="219"/>
      <c r="O682" s="219"/>
      <c r="P682" s="219"/>
      <c r="Q682" s="219"/>
      <c r="R682" s="219"/>
      <c r="S682" s="224"/>
      <c r="T682" s="224"/>
      <c r="U682" s="224">
        <v>6587176.8346745465</v>
      </c>
      <c r="V682" s="224">
        <v>48933515.215251185</v>
      </c>
      <c r="W682" s="224">
        <v>28338066.057284318</v>
      </c>
      <c r="X682" s="224">
        <v>37125327.911081843</v>
      </c>
      <c r="Y682" s="224">
        <v>35893160.538581043</v>
      </c>
      <c r="Z682" s="224">
        <v>41063076.375274599</v>
      </c>
      <c r="AA682" s="224">
        <v>36574756.643344037</v>
      </c>
      <c r="AB682" s="224">
        <v>42777670.755255878</v>
      </c>
      <c r="AC682" s="224">
        <v>33081453.135985248</v>
      </c>
      <c r="AD682" s="224">
        <v>36150062.104758911</v>
      </c>
      <c r="AE682" s="224">
        <v>11993567.455990842</v>
      </c>
      <c r="AF682" s="224">
        <v>21035839.439217247</v>
      </c>
      <c r="AG682" s="224">
        <v>4915205.4037595466</v>
      </c>
      <c r="AH682" s="224">
        <v>22245469.401169956</v>
      </c>
      <c r="AI682" s="224">
        <v>12562648.178868795</v>
      </c>
      <c r="AJ682" s="224">
        <v>12402916.962301321</v>
      </c>
      <c r="AK682" s="224">
        <v>18477835.047080088</v>
      </c>
      <c r="AL682" s="224">
        <v>5552260.7712711412</v>
      </c>
      <c r="AM682" s="224">
        <v>12035874.61990599</v>
      </c>
      <c r="AN682" s="224">
        <v>254751.45903777968</v>
      </c>
      <c r="AO682" s="224">
        <v>93164.319037779671</v>
      </c>
      <c r="AP682" s="224">
        <v>93164.319037779671</v>
      </c>
      <c r="AQ682" s="224">
        <v>8568014.3190377783</v>
      </c>
      <c r="AR682" s="224">
        <v>93164.319037779671</v>
      </c>
      <c r="AS682" s="224">
        <v>92547.969865321298</v>
      </c>
      <c r="AT682" s="224">
        <v>8562139.7208767105</v>
      </c>
      <c r="AU682" s="224">
        <v>15337438.72087671</v>
      </c>
      <c r="AV682" s="224">
        <v>82708.720876709849</v>
      </c>
      <c r="AW682" s="224">
        <v>82708.720876709849</v>
      </c>
      <c r="AX682" s="224">
        <v>82708.720876709849</v>
      </c>
      <c r="AY682" s="224">
        <v>8315930.2949690092</v>
      </c>
      <c r="AZ682" s="224">
        <v>52028.76123721405</v>
      </c>
      <c r="BA682" s="224"/>
      <c r="BB682" s="224"/>
      <c r="BC682" s="224"/>
      <c r="BD682" s="224"/>
      <c r="BE682" s="224"/>
      <c r="BF682" s="224"/>
      <c r="BG682" s="224"/>
      <c r="BH682" s="224"/>
      <c r="BI682" s="224"/>
      <c r="BJ682" s="224"/>
      <c r="BK682" s="224"/>
    </row>
    <row r="683" spans="1:63">
      <c r="A683" s="168">
        <v>43769</v>
      </c>
      <c r="B683" s="213" t="s">
        <v>385</v>
      </c>
      <c r="C683" s="221"/>
      <c r="D683" s="222"/>
      <c r="E683" s="222"/>
      <c r="F683" s="222"/>
      <c r="G683" s="222"/>
      <c r="H683" s="222"/>
      <c r="I683" s="222"/>
      <c r="J683" s="222"/>
      <c r="K683" s="222"/>
      <c r="L683" s="222"/>
      <c r="M683" s="222"/>
      <c r="N683" s="222"/>
      <c r="O683" s="222"/>
      <c r="P683" s="222"/>
      <c r="Q683" s="222"/>
      <c r="R683" s="222"/>
      <c r="S683" s="224"/>
      <c r="T683" s="224"/>
      <c r="U683" s="224">
        <v>2392762.760377421</v>
      </c>
      <c r="V683" s="224">
        <v>26381617.275848508</v>
      </c>
      <c r="W683" s="224">
        <v>24970939.299807426</v>
      </c>
      <c r="X683" s="224">
        <v>23646151.370595723</v>
      </c>
      <c r="Y683" s="224">
        <v>21396282.830663078</v>
      </c>
      <c r="Z683" s="224">
        <v>19501933.869056158</v>
      </c>
      <c r="AA683" s="224">
        <v>16504398.018864352</v>
      </c>
      <c r="AB683" s="224">
        <v>14602353.080323314</v>
      </c>
      <c r="AC683" s="224">
        <v>11968401.501926929</v>
      </c>
      <c r="AD683" s="224">
        <v>10764406.084135097</v>
      </c>
      <c r="AE683" s="224">
        <v>8681912.6925550308</v>
      </c>
      <c r="AF683" s="224">
        <v>8451741.4276335631</v>
      </c>
      <c r="AG683" s="224">
        <v>7023318.0147180296</v>
      </c>
      <c r="AH683" s="224">
        <v>6943749.8686252236</v>
      </c>
      <c r="AI683" s="224">
        <v>5577359.8881173637</v>
      </c>
      <c r="AJ683" s="224">
        <v>5069371.3428218309</v>
      </c>
      <c r="AK683" s="224">
        <v>4346887.4887078302</v>
      </c>
      <c r="AL683" s="224">
        <v>3162709.4361957526</v>
      </c>
      <c r="AM683" s="224">
        <v>3074454.5025166702</v>
      </c>
      <c r="AN683" s="224">
        <v>2270513.7076267502</v>
      </c>
      <c r="AO683" s="224">
        <v>2269747.8159095882</v>
      </c>
      <c r="AP683" s="224">
        <v>2273003.8204636392</v>
      </c>
      <c r="AQ683" s="224">
        <v>2008793.4649523573</v>
      </c>
      <c r="AR683" s="224">
        <v>1745358.5827904991</v>
      </c>
      <c r="AS683" s="224">
        <v>1741465.9637006947</v>
      </c>
      <c r="AT683" s="224">
        <v>1499109.4043119324</v>
      </c>
      <c r="AU683" s="224">
        <v>875424.94022636965</v>
      </c>
      <c r="AV683" s="224">
        <v>1621358.846298968</v>
      </c>
      <c r="AW683" s="224">
        <v>491307.79637279641</v>
      </c>
      <c r="AX683" s="224">
        <v>490740.33515937196</v>
      </c>
      <c r="AY683" s="224">
        <v>353539.51413455314</v>
      </c>
      <c r="AZ683" s="224">
        <v>402.0025699246209</v>
      </c>
      <c r="BA683" s="224"/>
      <c r="BB683" s="224"/>
      <c r="BC683" s="224"/>
      <c r="BD683" s="224"/>
      <c r="BE683" s="224"/>
      <c r="BF683" s="224"/>
      <c r="BG683" s="224"/>
      <c r="BH683" s="224"/>
      <c r="BI683" s="224"/>
      <c r="BJ683" s="224"/>
      <c r="BK683" s="224"/>
    </row>
    <row r="684" spans="1:63">
      <c r="A684" s="171"/>
      <c r="B684" s="307" t="s">
        <v>29</v>
      </c>
      <c r="C684" s="319"/>
      <c r="D684" s="320"/>
      <c r="E684" s="320"/>
      <c r="F684" s="320"/>
      <c r="G684" s="320"/>
      <c r="H684" s="320"/>
      <c r="I684" s="320"/>
      <c r="J684" s="320"/>
      <c r="K684" s="320"/>
      <c r="L684" s="320"/>
      <c r="M684" s="320"/>
      <c r="N684" s="320"/>
      <c r="O684" s="320"/>
      <c r="P684" s="320"/>
      <c r="Q684" s="320"/>
      <c r="R684" s="320"/>
      <c r="S684" s="321"/>
      <c r="T684" s="321"/>
      <c r="U684" s="321">
        <v>8979939.5950519666</v>
      </c>
      <c r="V684" s="321">
        <v>75315132.491099685</v>
      </c>
      <c r="W684" s="321">
        <v>53309005.35709174</v>
      </c>
      <c r="X684" s="321">
        <v>60771479.281677566</v>
      </c>
      <c r="Y684" s="321">
        <v>57289443.369244121</v>
      </c>
      <c r="Z684" s="321">
        <v>60565010.244330756</v>
      </c>
      <c r="AA684" s="321">
        <v>53079154.662208393</v>
      </c>
      <c r="AB684" s="321">
        <v>57380023.835579194</v>
      </c>
      <c r="AC684" s="321">
        <v>45049854.637912177</v>
      </c>
      <c r="AD684" s="321">
        <v>46914468.188894004</v>
      </c>
      <c r="AE684" s="321">
        <v>20675480.148545872</v>
      </c>
      <c r="AF684" s="321">
        <v>29487580.866850808</v>
      </c>
      <c r="AG684" s="321">
        <v>11938523.418477576</v>
      </c>
      <c r="AH684" s="321">
        <v>29189219.269795179</v>
      </c>
      <c r="AI684" s="321">
        <v>18140008.066986158</v>
      </c>
      <c r="AJ684" s="321">
        <v>17472288.30512315</v>
      </c>
      <c r="AK684" s="321">
        <v>22824722.535787918</v>
      </c>
      <c r="AL684" s="321">
        <v>8714970.2074668929</v>
      </c>
      <c r="AM684" s="321">
        <v>15110329.12242266</v>
      </c>
      <c r="AN684" s="321">
        <v>2525265.1666645301</v>
      </c>
      <c r="AO684" s="321">
        <v>2362912.1349473679</v>
      </c>
      <c r="AP684" s="321">
        <v>2366168.1395014189</v>
      </c>
      <c r="AQ684" s="321">
        <v>10576807.783990135</v>
      </c>
      <c r="AR684" s="321">
        <v>1838522.9018282788</v>
      </c>
      <c r="AS684" s="321">
        <v>1834013.9335660161</v>
      </c>
      <c r="AT684" s="321">
        <v>10061249.125188643</v>
      </c>
      <c r="AU684" s="321">
        <v>16212863.661103081</v>
      </c>
      <c r="AV684" s="321">
        <v>1704067.5671756777</v>
      </c>
      <c r="AW684" s="321">
        <v>574016.5172495062</v>
      </c>
      <c r="AX684" s="321">
        <v>573449.05603608186</v>
      </c>
      <c r="AY684" s="321">
        <v>8669469.8091035616</v>
      </c>
      <c r="AZ684" s="321">
        <v>52430.763807138668</v>
      </c>
      <c r="BA684" s="321"/>
      <c r="BB684" s="321"/>
      <c r="BC684" s="321"/>
      <c r="BD684" s="321"/>
      <c r="BE684" s="321"/>
      <c r="BF684" s="321"/>
      <c r="BG684" s="321"/>
      <c r="BH684" s="321"/>
      <c r="BI684" s="321"/>
      <c r="BJ684" s="321"/>
      <c r="BK684" s="321"/>
    </row>
    <row r="685" spans="1:63">
      <c r="A685" s="167"/>
      <c r="B685" s="210" t="s">
        <v>28</v>
      </c>
      <c r="C685" s="218"/>
      <c r="D685" s="219"/>
      <c r="E685" s="219"/>
      <c r="F685" s="219"/>
      <c r="G685" s="219"/>
      <c r="H685" s="219"/>
      <c r="I685" s="219"/>
      <c r="J685" s="219"/>
      <c r="K685" s="219"/>
      <c r="L685" s="219"/>
      <c r="M685" s="219"/>
      <c r="N685" s="219"/>
      <c r="O685" s="219"/>
      <c r="P685" s="219"/>
      <c r="Q685" s="219"/>
      <c r="R685" s="219"/>
      <c r="S685" s="224"/>
      <c r="T685" s="224"/>
      <c r="U685" s="224">
        <f>'Perfil - interna'!U685+'Perfil - externa'!U683</f>
        <v>4586812.665493696</v>
      </c>
      <c r="V685" s="224">
        <f>'Perfil - interna'!V685+'Perfil - externa'!V683</f>
        <v>50415920.731047049</v>
      </c>
      <c r="W685" s="224">
        <f>'Perfil - interna'!W685+'Perfil - externa'!W683</f>
        <v>28700753.771664206</v>
      </c>
      <c r="X685" s="224">
        <f>'Perfil - interna'!X685+'Perfil - externa'!X683</f>
        <v>37232627.969405398</v>
      </c>
      <c r="Y685" s="224">
        <f>'Perfil - interna'!Y685+'Perfil - externa'!Y683</f>
        <v>36199583.800000094</v>
      </c>
      <c r="Z685" s="224">
        <f>'Perfil - interna'!Z685+'Perfil - externa'!Z683</f>
        <v>41531298.389917351</v>
      </c>
      <c r="AA685" s="224">
        <f>'Perfil - interna'!AA685+'Perfil - externa'!AA683</f>
        <v>36933603.617368966</v>
      </c>
      <c r="AB685" s="224">
        <f>'Perfil - interna'!AB685+'Perfil - externa'!AB683</f>
        <v>43213995.915768839</v>
      </c>
      <c r="AC685" s="224">
        <f>'Perfil - interna'!AC685+'Perfil - externa'!AC683</f>
        <v>33598945.981200546</v>
      </c>
      <c r="AD685" s="224">
        <f>'Perfil - interna'!AD685+'Perfil - externa'!AD683</f>
        <v>36954194.238484979</v>
      </c>
      <c r="AE685" s="224">
        <f>'Perfil - interna'!AE685+'Perfil - externa'!AE683</f>
        <v>12390122.372921528</v>
      </c>
      <c r="AF685" s="224">
        <f>'Perfil - interna'!AF685+'Perfil - externa'!AF683</f>
        <v>21346520.386593323</v>
      </c>
      <c r="AG685" s="224">
        <f>'Perfil - interna'!AG685+'Perfil - externa'!AG683</f>
        <v>5074764.7446206221</v>
      </c>
      <c r="AH685" s="224">
        <f>'Perfil - interna'!AH685+'Perfil - externa'!AH683</f>
        <v>22698464.641002454</v>
      </c>
      <c r="AI685" s="224">
        <f>'Perfil - interna'!AI685+'Perfil - externa'!AI683</f>
        <v>12656811.658149444</v>
      </c>
      <c r="AJ685" s="224">
        <f>'Perfil - interna'!AJ685+'Perfil - externa'!AJ683</f>
        <v>12905233.236839237</v>
      </c>
      <c r="AK685" s="224">
        <f>'Perfil - interna'!AK685+'Perfil - externa'!AK683</f>
        <v>18598359.728081249</v>
      </c>
      <c r="AL685" s="224">
        <f>'Perfil - interna'!AL685+'Perfil - externa'!AL683</f>
        <v>6339219.0641363943</v>
      </c>
      <c r="AM685" s="224">
        <f>'Perfil - interna'!AM685+'Perfil - externa'!AM683</f>
        <v>12936614.812270848</v>
      </c>
      <c r="AN685" s="224">
        <f>'Perfil - interna'!AN685+'Perfil - externa'!AN683</f>
        <v>892046.33381131268</v>
      </c>
      <c r="AO685" s="224">
        <f>'Perfil - interna'!AO685+'Perfil - externa'!AO683</f>
        <v>725073.81381131255</v>
      </c>
      <c r="AP685" s="224">
        <f>'Perfil - interna'!AP685+'Perfil - externa'!AP683</f>
        <v>95861.8088113126</v>
      </c>
      <c r="AQ685" s="224">
        <f>'Perfil - interna'!AQ685+'Perfil - externa'!AQ683</f>
        <v>8853161.8088113125</v>
      </c>
      <c r="AR685" s="224">
        <f>'Perfil - interna'!AR685+'Perfil - externa'!AR683</f>
        <v>95861.8088113126</v>
      </c>
      <c r="AS685" s="224">
        <f>'Perfil - interna'!AS685+'Perfil - externa'!AS683</f>
        <v>95224.917939147344</v>
      </c>
      <c r="AT685" s="224">
        <f>'Perfil - interna'!AT685+'Perfil - externa'!AT683</f>
        <v>8847091.4219046477</v>
      </c>
      <c r="AU685" s="224">
        <f>'Perfil - interna'!AU685+'Perfil - externa'!AU683</f>
        <v>15848197.746228972</v>
      </c>
      <c r="AV685" s="224">
        <f>'Perfil - interna'!AV685+'Perfil - externa'!AV683</f>
        <v>85057.746228973469</v>
      </c>
      <c r="AW685" s="224">
        <f>'Perfil - interna'!AW685+'Perfil - externa'!AW683</f>
        <v>85057.746228973469</v>
      </c>
      <c r="AX685" s="224">
        <f>'Perfil - interna'!AX685+'Perfil - externa'!AX683</f>
        <v>85057.746228973469</v>
      </c>
      <c r="AY685" s="224">
        <f>'Perfil - interna'!AY685+'Perfil - externa'!AY683</f>
        <v>8493602.7901819739</v>
      </c>
      <c r="AZ685" s="224">
        <f>'Perfil - interna'!AZ685+'Perfil - externa'!AZ683</f>
        <v>53512.628752169083</v>
      </c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</row>
    <row r="686" spans="1:63">
      <c r="A686" s="168">
        <v>43799</v>
      </c>
      <c r="B686" s="213" t="s">
        <v>385</v>
      </c>
      <c r="C686" s="221"/>
      <c r="D686" s="222"/>
      <c r="E686" s="222"/>
      <c r="F686" s="222"/>
      <c r="G686" s="222"/>
      <c r="H686" s="222"/>
      <c r="I686" s="222"/>
      <c r="J686" s="222"/>
      <c r="K686" s="222"/>
      <c r="L686" s="222"/>
      <c r="M686" s="222"/>
      <c r="N686" s="222"/>
      <c r="O686" s="222"/>
      <c r="P686" s="222"/>
      <c r="Q686" s="222"/>
      <c r="R686" s="222"/>
      <c r="S686" s="224"/>
      <c r="T686" s="224"/>
      <c r="U686" s="224">
        <f>'Perfil - interna'!U686+'Perfil - externa'!U684</f>
        <v>649889.15956853994</v>
      </c>
      <c r="V686" s="224">
        <f>'Perfil - interna'!V686+'Perfil - externa'!V684</f>
        <v>26759729.131526764</v>
      </c>
      <c r="W686" s="224">
        <f>'Perfil - interna'!W686+'Perfil - externa'!W684</f>
        <v>25446819.838506874</v>
      </c>
      <c r="X686" s="224">
        <f>'Perfil - interna'!X686+'Perfil - externa'!X684</f>
        <v>24068632.091056712</v>
      </c>
      <c r="Y686" s="224">
        <f>'Perfil - interna'!Y686+'Perfil - externa'!Y684</f>
        <v>21797683.427900992</v>
      </c>
      <c r="Z686" s="224">
        <f>'Perfil - interna'!Z686+'Perfil - externa'!Z684</f>
        <v>19911979.443077527</v>
      </c>
      <c r="AA686" s="224">
        <f>'Perfil - interna'!AA686+'Perfil - externa'!AA684</f>
        <v>16915903.571738452</v>
      </c>
      <c r="AB686" s="224">
        <f>'Perfil - interna'!AB686+'Perfil - externa'!AB684</f>
        <v>15003536.684362952</v>
      </c>
      <c r="AC686" s="224">
        <f>'Perfil - interna'!AC686+'Perfil - externa'!AC684</f>
        <v>12325695.709197437</v>
      </c>
      <c r="AD686" s="224">
        <f>'Perfil - interna'!AD686+'Perfil - externa'!AD684</f>
        <v>11108420.108191639</v>
      </c>
      <c r="AE686" s="224">
        <f>'Perfil - interna'!AE686+'Perfil - externa'!AE684</f>
        <v>8978172.0928900987</v>
      </c>
      <c r="AF686" s="224">
        <f>'Perfil - interna'!AF686+'Perfil - externa'!AF684</f>
        <v>8736806.5260181278</v>
      </c>
      <c r="AG686" s="224">
        <f>'Perfil - interna'!AG686+'Perfil - externa'!AG684</f>
        <v>7282711.2556474181</v>
      </c>
      <c r="AH686" s="224">
        <f>'Perfil - interna'!AH686+'Perfil - externa'!AH684</f>
        <v>7188523.6603454687</v>
      </c>
      <c r="AI686" s="224">
        <f>'Perfil - interna'!AI686+'Perfil - externa'!AI684</f>
        <v>5790162.9199713077</v>
      </c>
      <c r="AJ686" s="224">
        <f>'Perfil - interna'!AJ686+'Perfil - externa'!AJ684</f>
        <v>5278831.946466038</v>
      </c>
      <c r="AK686" s="224">
        <f>'Perfil - interna'!AK686+'Perfil - externa'!AK684</f>
        <v>4514148.0227648653</v>
      </c>
      <c r="AL686" s="224">
        <f>'Perfil - interna'!AL686+'Perfil - externa'!AL684</f>
        <v>3321747.9687397424</v>
      </c>
      <c r="AM686" s="224">
        <f>'Perfil - interna'!AM686+'Perfil - externa'!AM684</f>
        <v>3211383.1096708826</v>
      </c>
      <c r="AN686" s="224">
        <f>'Perfil - interna'!AN686+'Perfil - externa'!AN684</f>
        <v>2370475.6452906262</v>
      </c>
      <c r="AO686" s="224">
        <f>'Perfil - interna'!AO686+'Perfil - externa'!AO684</f>
        <v>2350969.1351787122</v>
      </c>
      <c r="AP686" s="224">
        <f>'Perfil - interna'!AP686+'Perfil - externa'!AP684</f>
        <v>2340347.6769156069</v>
      </c>
      <c r="AQ686" s="224">
        <f>'Perfil - interna'!AQ686+'Perfil - externa'!AQ684</f>
        <v>2067569.2506321149</v>
      </c>
      <c r="AR686" s="224">
        <f>'Perfil - interna'!AR686+'Perfil - externa'!AR684</f>
        <v>1795590.0858360571</v>
      </c>
      <c r="AS686" s="224">
        <f>'Perfil - interna'!AS686+'Perfil - externa'!AS684</f>
        <v>1791803.2141962966</v>
      </c>
      <c r="AT686" s="224">
        <f>'Perfil - interna'!AT686+'Perfil - externa'!AT684</f>
        <v>1541633.4969955785</v>
      </c>
      <c r="AU686" s="224">
        <f>'Perfil - interna'!AU686+'Perfil - externa'!AU684</f>
        <v>897268.55429396383</v>
      </c>
      <c r="AV686" s="224">
        <f>'Perfil - interna'!AV686+'Perfil - externa'!AV684</f>
        <v>1630112.9510771495</v>
      </c>
      <c r="AW686" s="224">
        <f>'Perfil - interna'!AW686+'Perfil - externa'!AW684</f>
        <v>500367.13803156535</v>
      </c>
      <c r="AX686" s="224">
        <f>'Perfil - interna'!AX686+'Perfil - externa'!AX684</f>
        <v>499787.40959637053</v>
      </c>
      <c r="AY686" s="224">
        <f>'Perfil - interna'!AY686+'Perfil - externa'!AY684</f>
        <v>358020.6973844968</v>
      </c>
      <c r="AZ686" s="224">
        <f>'Perfil - interna'!AZ686+'Perfil - externa'!AZ684</f>
        <v>413.36306342612181</v>
      </c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</row>
    <row r="687" spans="1:63">
      <c r="A687" s="171"/>
      <c r="B687" s="307" t="s">
        <v>29</v>
      </c>
      <c r="C687" s="319"/>
      <c r="D687" s="320"/>
      <c r="E687" s="320"/>
      <c r="F687" s="320"/>
      <c r="G687" s="320"/>
      <c r="H687" s="320"/>
      <c r="I687" s="320"/>
      <c r="J687" s="320"/>
      <c r="K687" s="320"/>
      <c r="L687" s="320"/>
      <c r="M687" s="320"/>
      <c r="N687" s="320"/>
      <c r="O687" s="320"/>
      <c r="P687" s="320"/>
      <c r="Q687" s="320"/>
      <c r="R687" s="320"/>
      <c r="S687" s="321"/>
      <c r="T687" s="321"/>
      <c r="U687" s="321">
        <f>+U685+U686</f>
        <v>5236701.8250622358</v>
      </c>
      <c r="V687" s="321">
        <f t="shared" ref="V687:AZ687" si="33">+V685+V686</f>
        <v>77175649.862573817</v>
      </c>
      <c r="W687" s="321">
        <f t="shared" si="33"/>
        <v>54147573.61017108</v>
      </c>
      <c r="X687" s="321">
        <f t="shared" si="33"/>
        <v>61301260.06046211</v>
      </c>
      <c r="Y687" s="321">
        <f t="shared" si="33"/>
        <v>57997267.227901086</v>
      </c>
      <c r="Z687" s="321">
        <f t="shared" si="33"/>
        <v>61443277.832994878</v>
      </c>
      <c r="AA687" s="321">
        <f t="shared" si="33"/>
        <v>53849507.189107418</v>
      </c>
      <c r="AB687" s="321">
        <f t="shared" si="33"/>
        <v>58217532.600131795</v>
      </c>
      <c r="AC687" s="321">
        <f t="shared" si="33"/>
        <v>45924641.690397985</v>
      </c>
      <c r="AD687" s="321">
        <f t="shared" si="33"/>
        <v>48062614.346676618</v>
      </c>
      <c r="AE687" s="321">
        <f t="shared" si="33"/>
        <v>21368294.465811625</v>
      </c>
      <c r="AF687" s="321">
        <f t="shared" si="33"/>
        <v>30083326.912611451</v>
      </c>
      <c r="AG687" s="321">
        <f t="shared" si="33"/>
        <v>12357476.00026804</v>
      </c>
      <c r="AH687" s="321">
        <f t="shared" si="33"/>
        <v>29886988.301347923</v>
      </c>
      <c r="AI687" s="321">
        <f t="shared" si="33"/>
        <v>18446974.578120753</v>
      </c>
      <c r="AJ687" s="321">
        <f t="shared" si="33"/>
        <v>18184065.183305275</v>
      </c>
      <c r="AK687" s="321">
        <f t="shared" si="33"/>
        <v>23112507.750846114</v>
      </c>
      <c r="AL687" s="321">
        <f t="shared" si="33"/>
        <v>9660967.0328761376</v>
      </c>
      <c r="AM687" s="321">
        <f t="shared" si="33"/>
        <v>16147997.921941731</v>
      </c>
      <c r="AN687" s="321">
        <f t="shared" si="33"/>
        <v>3262521.9791019391</v>
      </c>
      <c r="AO687" s="321">
        <f t="shared" si="33"/>
        <v>3076042.9489900246</v>
      </c>
      <c r="AP687" s="321">
        <f t="shared" si="33"/>
        <v>2436209.4857269195</v>
      </c>
      <c r="AQ687" s="321">
        <f t="shared" si="33"/>
        <v>10920731.059443427</v>
      </c>
      <c r="AR687" s="321">
        <f t="shared" si="33"/>
        <v>1891451.8946473696</v>
      </c>
      <c r="AS687" s="321">
        <f t="shared" si="33"/>
        <v>1887028.1321354441</v>
      </c>
      <c r="AT687" s="321">
        <f t="shared" si="33"/>
        <v>10388724.918900225</v>
      </c>
      <c r="AU687" s="321">
        <f t="shared" si="33"/>
        <v>16745466.300522937</v>
      </c>
      <c r="AV687" s="321">
        <f t="shared" si="33"/>
        <v>1715170.6973061229</v>
      </c>
      <c r="AW687" s="321">
        <f t="shared" si="33"/>
        <v>585424.88426053885</v>
      </c>
      <c r="AX687" s="321">
        <f t="shared" si="33"/>
        <v>584845.15582534403</v>
      </c>
      <c r="AY687" s="321">
        <f t="shared" si="33"/>
        <v>8851623.4875664711</v>
      </c>
      <c r="AZ687" s="321">
        <f t="shared" si="33"/>
        <v>53925.991815595204</v>
      </c>
      <c r="BA687" s="321"/>
      <c r="BB687" s="321"/>
      <c r="BC687" s="321"/>
      <c r="BD687" s="321"/>
      <c r="BE687" s="321"/>
      <c r="BF687" s="321"/>
      <c r="BG687" s="321"/>
      <c r="BH687" s="321"/>
      <c r="BI687" s="321"/>
      <c r="BJ687" s="321"/>
      <c r="BK687" s="321"/>
    </row>
    <row r="688" spans="1:63">
      <c r="A688" s="167"/>
      <c r="B688" s="210" t="s">
        <v>28</v>
      </c>
      <c r="C688" s="218"/>
      <c r="D688" s="219"/>
      <c r="E688" s="219"/>
      <c r="F688" s="219"/>
      <c r="G688" s="219"/>
      <c r="H688" s="219"/>
      <c r="I688" s="219"/>
      <c r="J688" s="219"/>
      <c r="K688" s="219"/>
      <c r="L688" s="219"/>
      <c r="M688" s="219"/>
      <c r="N688" s="219"/>
      <c r="O688" s="219"/>
      <c r="P688" s="219"/>
      <c r="Q688" s="219"/>
      <c r="R688" s="219"/>
      <c r="S688" s="224"/>
      <c r="T688" s="224"/>
      <c r="U688" s="224"/>
      <c r="V688" s="224">
        <f>'Perfil - interna'!V688+'Perfil - externa'!V686</f>
        <v>45438433.980026737</v>
      </c>
      <c r="W688" s="224">
        <f>'Perfil - interna'!W688+'Perfil - externa'!W686</f>
        <v>28059374.740585655</v>
      </c>
      <c r="X688" s="224">
        <f>'Perfil - interna'!X688+'Perfil - externa'!X686</f>
        <v>36701298.697369754</v>
      </c>
      <c r="Y688" s="224">
        <f>'Perfil - interna'!Y688+'Perfil - externa'!Y686</f>
        <v>36123657.327125914</v>
      </c>
      <c r="Z688" s="224">
        <f>'Perfil - interna'!Z688+'Perfil - externa'!Z686</f>
        <v>39485931.388034396</v>
      </c>
      <c r="AA688" s="224">
        <f>'Perfil - interna'!AA688+'Perfil - externa'!AA686</f>
        <v>36962777.817428723</v>
      </c>
      <c r="AB688" s="224">
        <f>'Perfil - interna'!AB688+'Perfil - externa'!AB686</f>
        <v>42513990.331842467</v>
      </c>
      <c r="AC688" s="224">
        <f>'Perfil - interna'!AC688+'Perfil - externa'!AC686</f>
        <v>32839427.668007065</v>
      </c>
      <c r="AD688" s="224">
        <f>'Perfil - interna'!AD688+'Perfil - externa'!AD686</f>
        <v>37015002.585476547</v>
      </c>
      <c r="AE688" s="224">
        <f>'Perfil - interna'!AE688+'Perfil - externa'!AE686</f>
        <v>11751140.695807712</v>
      </c>
      <c r="AF688" s="224">
        <f>'Perfil - interna'!AF688+'Perfil - externa'!AF686</f>
        <v>21311666.87419593</v>
      </c>
      <c r="AG688" s="224">
        <f>'Perfil - interna'!AG688+'Perfil - externa'!AG686</f>
        <v>4937570.1811354114</v>
      </c>
      <c r="AH688" s="224">
        <f>'Perfil - interna'!AH688+'Perfil - externa'!AH686</f>
        <v>22629399.319507625</v>
      </c>
      <c r="AI688" s="224">
        <f>'Perfil - interna'!AI688+'Perfil - externa'!AI686</f>
        <v>12658847.030369183</v>
      </c>
      <c r="AJ688" s="224">
        <f>'Perfil - interna'!AJ688+'Perfil - externa'!AJ686</f>
        <v>13229274.497288901</v>
      </c>
      <c r="AK688" s="224">
        <f>'Perfil - interna'!AK688+'Perfil - externa'!AK686</f>
        <v>18587227.363900091</v>
      </c>
      <c r="AL688" s="224">
        <f>'Perfil - interna'!AL688+'Perfil - externa'!AL686</f>
        <v>6149951.6972238841</v>
      </c>
      <c r="AM688" s="224">
        <f>'Perfil - interna'!AM688+'Perfil - externa'!AM686</f>
        <v>12645142.084886979</v>
      </c>
      <c r="AN688" s="224">
        <f>'Perfil - interna'!AN688+'Perfil - externa'!AN686</f>
        <v>976258.54562303459</v>
      </c>
      <c r="AO688" s="224">
        <f>'Perfil - interna'!AO688+'Perfil - externa'!AO686</f>
        <v>679599.34848017734</v>
      </c>
      <c r="AP688" s="224">
        <f>'Perfil - interna'!AP688+'Perfil - externa'!AP686</f>
        <v>90943.075980177397</v>
      </c>
      <c r="AQ688" s="224">
        <f>'Perfil - interna'!AQ688+'Perfil - externa'!AQ686</f>
        <v>8283793.0759801762</v>
      </c>
      <c r="AR688" s="224">
        <f>'Perfil - interna'!AR688+'Perfil - externa'!AR686</f>
        <v>90943.075980177397</v>
      </c>
      <c r="AS688" s="224">
        <f>'Perfil - interna'!AS688+'Perfil - externa'!AS686</f>
        <v>90347.235780341944</v>
      </c>
      <c r="AT688" s="224">
        <f>'Perfil - interna'!AT688+'Perfil - externa'!AT686</f>
        <v>8278113.9546336122</v>
      </c>
      <c r="AU688" s="224">
        <f>'Perfil - interna'!AU688+'Perfil - externa'!AU686</f>
        <v>14827965.387066046</v>
      </c>
      <c r="AV688" s="224">
        <f>'Perfil - interna'!AV688+'Perfil - externa'!AV686</f>
        <v>80835.387066046664</v>
      </c>
      <c r="AW688" s="224">
        <f>'Perfil - interna'!AW688+'Perfil - externa'!AW686</f>
        <v>80835.387066046664</v>
      </c>
      <c r="AX688" s="224">
        <f>'Perfil - interna'!AX688+'Perfil - externa'!AX686</f>
        <v>80835.387066046664</v>
      </c>
      <c r="AY688" s="224">
        <f>'Perfil - interna'!AY688+'Perfil - externa'!AY686</f>
        <v>8155029.6547432458</v>
      </c>
      <c r="AZ688" s="224">
        <f>'Perfil - interna'!AZ688+'Perfil - externa'!AZ686</f>
        <v>50836.973930446868</v>
      </c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</row>
    <row r="689" spans="1:63">
      <c r="A689" s="168">
        <v>43830</v>
      </c>
      <c r="B689" s="213" t="s">
        <v>385</v>
      </c>
      <c r="C689" s="221"/>
      <c r="D689" s="222"/>
      <c r="E689" s="222"/>
      <c r="F689" s="222"/>
      <c r="G689" s="222"/>
      <c r="H689" s="222"/>
      <c r="I689" s="222"/>
      <c r="J689" s="222"/>
      <c r="K689" s="222"/>
      <c r="L689" s="222"/>
      <c r="M689" s="222"/>
      <c r="N689" s="222"/>
      <c r="O689" s="222"/>
      <c r="P689" s="222"/>
      <c r="Q689" s="222"/>
      <c r="R689" s="222"/>
      <c r="S689" s="224"/>
      <c r="T689" s="224"/>
      <c r="U689" s="224"/>
      <c r="V689" s="224">
        <f>'Perfil - interna'!V689+'Perfil - externa'!V687</f>
        <v>25841674.03142412</v>
      </c>
      <c r="W689" s="224">
        <f>'Perfil - interna'!W689+'Perfil - externa'!W687</f>
        <v>25108645.483679581</v>
      </c>
      <c r="X689" s="224">
        <f>'Perfil - interna'!X689+'Perfil - externa'!X687</f>
        <v>23803060.319838785</v>
      </c>
      <c r="Y689" s="224">
        <f>'Perfil - interna'!Y689+'Perfil - externa'!Y687</f>
        <v>21497293.455879778</v>
      </c>
      <c r="Z689" s="224">
        <f>'Perfil - interna'!Z689+'Perfil - externa'!Z687</f>
        <v>19648802.766720794</v>
      </c>
      <c r="AA689" s="224">
        <f>'Perfil - interna'!AA689+'Perfil - externa'!AA687</f>
        <v>16790256.32772401</v>
      </c>
      <c r="AB689" s="224">
        <f>'Perfil - interna'!AB689+'Perfil - externa'!AB687</f>
        <v>14877390.048227191</v>
      </c>
      <c r="AC689" s="224">
        <f>'Perfil - interna'!AC689+'Perfil - externa'!AC687</f>
        <v>12227867.357996907</v>
      </c>
      <c r="AD689" s="224">
        <f>'Perfil - interna'!AD689+'Perfil - externa'!AD687</f>
        <v>11025015.732238421</v>
      </c>
      <c r="AE689" s="224">
        <f>'Perfil - interna'!AE689+'Perfil - externa'!AE687</f>
        <v>8893036.7465895861</v>
      </c>
      <c r="AF689" s="224">
        <f>'Perfil - interna'!AF689+'Perfil - externa'!AF687</f>
        <v>8651662.0006273463</v>
      </c>
      <c r="AG689" s="224">
        <f>'Perfil - interna'!AG689+'Perfil - externa'!AG687</f>
        <v>7190930.7076955419</v>
      </c>
      <c r="AH689" s="224">
        <f>'Perfil - interna'!AH689+'Perfil - externa'!AH687</f>
        <v>7092964.8453296851</v>
      </c>
      <c r="AI689" s="224">
        <f>'Perfil - interna'!AI689+'Perfil - externa'!AI687</f>
        <v>5691973.2146533951</v>
      </c>
      <c r="AJ689" s="224">
        <f>'Perfil - interna'!AJ689+'Perfil - externa'!AJ687</f>
        <v>5176759.640783309</v>
      </c>
      <c r="AK689" s="224">
        <f>'Perfil - interna'!AK689+'Perfil - externa'!AK687</f>
        <v>4378478.5810388969</v>
      </c>
      <c r="AL689" s="224">
        <f>'Perfil - interna'!AL689+'Perfil - externa'!AL687</f>
        <v>3173746.6784505737</v>
      </c>
      <c r="AM689" s="224">
        <f>'Perfil - interna'!AM689+'Perfil - externa'!AM687</f>
        <v>3063513.5413939389</v>
      </c>
      <c r="AN689" s="224">
        <f>'Perfil - interna'!AN689+'Perfil - externa'!AN687</f>
        <v>2242889.0206011529</v>
      </c>
      <c r="AO689" s="224">
        <f>'Perfil - interna'!AO689+'Perfil - externa'!AO687</f>
        <v>2219837.0772307292</v>
      </c>
      <c r="AP689" s="224">
        <f>'Perfil - interna'!AP689+'Perfil - externa'!AP687</f>
        <v>2209085.6725203469</v>
      </c>
      <c r="AQ689" s="224">
        <f>'Perfil - interna'!AQ689+'Perfil - externa'!AQ687</f>
        <v>1953573.6698150872</v>
      </c>
      <c r="AR689" s="224">
        <f>'Perfil - interna'!AR689+'Perfil - externa'!AR687</f>
        <v>1698811.7463278158</v>
      </c>
      <c r="AS689" s="224">
        <f>'Perfil - interna'!AS689+'Perfil - externa'!AS687</f>
        <v>1694955.8320922747</v>
      </c>
      <c r="AT689" s="224">
        <f>'Perfil - interna'!AT689+'Perfil - externa'!AT687</f>
        <v>1461410.0330847483</v>
      </c>
      <c r="AU689" s="224">
        <f>'Perfil - interna'!AU689+'Perfil - externa'!AU687</f>
        <v>857021.00304999761</v>
      </c>
      <c r="AV689" s="224">
        <f>'Perfil - interna'!AV689+'Perfil - externa'!AV687</f>
        <v>485227.35928749421</v>
      </c>
      <c r="AW689" s="224">
        <f>'Perfil - interna'!AW689+'Perfil - externa'!AW687</f>
        <v>1611163.5977470407</v>
      </c>
      <c r="AX689" s="224">
        <f>'Perfil - interna'!AX689+'Perfil - externa'!AX687</f>
        <v>483256.09324102435</v>
      </c>
      <c r="AY689" s="224">
        <f>'Perfil - interna'!AY689+'Perfil - externa'!AY687</f>
        <v>350606.08173865377</v>
      </c>
      <c r="AZ689" s="224">
        <f>'Perfil - interna'!AZ689+'Perfil - externa'!AZ687</f>
        <v>393.01991367939229</v>
      </c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</row>
    <row r="690" spans="1:63">
      <c r="A690" s="171"/>
      <c r="B690" s="307" t="s">
        <v>29</v>
      </c>
      <c r="C690" s="319"/>
      <c r="D690" s="320"/>
      <c r="E690" s="320"/>
      <c r="F690" s="320"/>
      <c r="G690" s="320"/>
      <c r="H690" s="320"/>
      <c r="I690" s="320"/>
      <c r="J690" s="320"/>
      <c r="K690" s="320"/>
      <c r="L690" s="320"/>
      <c r="M690" s="320"/>
      <c r="N690" s="320"/>
      <c r="O690" s="320"/>
      <c r="P690" s="320"/>
      <c r="Q690" s="320"/>
      <c r="R690" s="320"/>
      <c r="S690" s="321"/>
      <c r="T690" s="321"/>
      <c r="U690" s="321"/>
      <c r="V690" s="321">
        <f>+V688+V689</f>
        <v>71280108.011450857</v>
      </c>
      <c r="W690" s="321">
        <f t="shared" ref="W690:AZ690" si="34">+W688+W689</f>
        <v>53168020.224265233</v>
      </c>
      <c r="X690" s="321">
        <f t="shared" si="34"/>
        <v>60504359.017208539</v>
      </c>
      <c r="Y690" s="321">
        <f t="shared" si="34"/>
        <v>57620950.783005692</v>
      </c>
      <c r="Z690" s="321">
        <f t="shared" si="34"/>
        <v>59134734.15475519</v>
      </c>
      <c r="AA690" s="321">
        <f t="shared" si="34"/>
        <v>53753034.145152733</v>
      </c>
      <c r="AB690" s="321">
        <f t="shared" si="34"/>
        <v>57391380.380069658</v>
      </c>
      <c r="AC690" s="321">
        <f t="shared" si="34"/>
        <v>45067295.026003972</v>
      </c>
      <c r="AD690" s="321">
        <f t="shared" si="34"/>
        <v>48040018.317714967</v>
      </c>
      <c r="AE690" s="321">
        <f t="shared" si="34"/>
        <v>20644177.442397296</v>
      </c>
      <c r="AF690" s="321">
        <f t="shared" si="34"/>
        <v>29963328.874823276</v>
      </c>
      <c r="AG690" s="321">
        <f t="shared" si="34"/>
        <v>12128500.888830952</v>
      </c>
      <c r="AH690" s="321">
        <f t="shared" si="34"/>
        <v>29722364.164837308</v>
      </c>
      <c r="AI690" s="321">
        <f t="shared" si="34"/>
        <v>18350820.24502258</v>
      </c>
      <c r="AJ690" s="321">
        <f t="shared" si="34"/>
        <v>18406034.138072211</v>
      </c>
      <c r="AK690" s="321">
        <f t="shared" si="34"/>
        <v>22965705.944938987</v>
      </c>
      <c r="AL690" s="321">
        <f t="shared" si="34"/>
        <v>9323698.3756744582</v>
      </c>
      <c r="AM690" s="321">
        <f t="shared" si="34"/>
        <v>15708655.626280919</v>
      </c>
      <c r="AN690" s="321">
        <f t="shared" si="34"/>
        <v>3219147.5662241876</v>
      </c>
      <c r="AO690" s="321">
        <f t="shared" si="34"/>
        <v>2899436.4257109063</v>
      </c>
      <c r="AP690" s="321">
        <f t="shared" si="34"/>
        <v>2300028.7485005246</v>
      </c>
      <c r="AQ690" s="321">
        <f t="shared" si="34"/>
        <v>10237366.745795263</v>
      </c>
      <c r="AR690" s="321">
        <f t="shared" si="34"/>
        <v>1789754.8223079932</v>
      </c>
      <c r="AS690" s="321">
        <f t="shared" si="34"/>
        <v>1785303.0678726167</v>
      </c>
      <c r="AT690" s="321">
        <f t="shared" si="34"/>
        <v>9739523.9877183605</v>
      </c>
      <c r="AU690" s="321">
        <f t="shared" si="34"/>
        <v>15684986.390116043</v>
      </c>
      <c r="AV690" s="321">
        <f t="shared" si="34"/>
        <v>566062.74635354092</v>
      </c>
      <c r="AW690" s="321">
        <f t="shared" si="34"/>
        <v>1691998.9848130874</v>
      </c>
      <c r="AX690" s="321">
        <f t="shared" si="34"/>
        <v>564091.480307071</v>
      </c>
      <c r="AY690" s="321">
        <f t="shared" si="34"/>
        <v>8505635.7364818994</v>
      </c>
      <c r="AZ690" s="321">
        <f t="shared" si="34"/>
        <v>51229.993844126257</v>
      </c>
      <c r="BA690" s="321"/>
      <c r="BB690" s="321"/>
      <c r="BC690" s="321"/>
      <c r="BD690" s="321"/>
      <c r="BE690" s="321"/>
      <c r="BF690" s="321"/>
      <c r="BG690" s="321"/>
      <c r="BH690" s="321"/>
      <c r="BI690" s="321"/>
      <c r="BJ690" s="321"/>
      <c r="BK690" s="321"/>
    </row>
    <row r="691" spans="1:63">
      <c r="A691" s="167"/>
      <c r="B691" s="210" t="s">
        <v>28</v>
      </c>
      <c r="C691" s="218"/>
      <c r="D691" s="219"/>
      <c r="E691" s="219"/>
      <c r="F691" s="219"/>
      <c r="G691" s="219"/>
      <c r="H691" s="219"/>
      <c r="I691" s="219"/>
      <c r="J691" s="219"/>
      <c r="K691" s="219"/>
      <c r="L691" s="219"/>
      <c r="M691" s="219"/>
      <c r="N691" s="219"/>
      <c r="O691" s="219"/>
      <c r="P691" s="219"/>
      <c r="Q691" s="219"/>
      <c r="R691" s="219"/>
      <c r="S691" s="224"/>
      <c r="T691" s="224"/>
      <c r="U691" s="224"/>
      <c r="V691" s="224">
        <f>'Perfil - interna'!V691+'Perfil - externa'!V689</f>
        <v>57869202.24097231</v>
      </c>
      <c r="W691" s="224">
        <f>'Perfil - interna'!W691+'Perfil - externa'!W689</f>
        <v>26728863.952909093</v>
      </c>
      <c r="X691" s="224">
        <f>'Perfil - interna'!X691+'Perfil - externa'!X689</f>
        <v>36826868.343154915</v>
      </c>
      <c r="Y691" s="224">
        <f>'Perfil - interna'!Y691+'Perfil - externa'!Y689</f>
        <v>36440813.70585569</v>
      </c>
      <c r="Z691" s="224">
        <f>'Perfil - interna'!Z691+'Perfil - externa'!Z689</f>
        <v>40042348.363621518</v>
      </c>
      <c r="AA691" s="224">
        <f>'Perfil - interna'!AA691+'Perfil - externa'!AA689</f>
        <v>37307424.299227178</v>
      </c>
      <c r="AB691" s="224">
        <f>'Perfil - interna'!AB691+'Perfil - externa'!AB689</f>
        <v>43132459.123120919</v>
      </c>
      <c r="AC691" s="224">
        <f>'Perfil - interna'!AC691+'Perfil - externa'!AC689</f>
        <v>36335135.922797941</v>
      </c>
      <c r="AD691" s="224">
        <f>'Perfil - interna'!AD691+'Perfil - externa'!AD689</f>
        <v>37431835.087052643</v>
      </c>
      <c r="AE691" s="224">
        <f>'Perfil - interna'!AE691+'Perfil - externa'!AE689</f>
        <v>12347126.730192164</v>
      </c>
      <c r="AF691" s="224">
        <f>'Perfil - interna'!AF691+'Perfil - externa'!AF689</f>
        <v>26839399.236525066</v>
      </c>
      <c r="AG691" s="224">
        <f>'Perfil - interna'!AG691+'Perfil - externa'!AG689</f>
        <v>5254996.966720866</v>
      </c>
      <c r="AH691" s="224">
        <f>'Perfil - interna'!AH691+'Perfil - externa'!AH689</f>
        <v>22910834.711066376</v>
      </c>
      <c r="AI691" s="224">
        <f>'Perfil - interna'!AI691+'Perfil - externa'!AI689</f>
        <v>13231050.874497522</v>
      </c>
      <c r="AJ691" s="224">
        <f>'Perfil - interna'!AJ691+'Perfil - externa'!AJ689</f>
        <v>13811182.493785031</v>
      </c>
      <c r="AK691" s="224">
        <f>'Perfil - interna'!AK691+'Perfil - externa'!AK689</f>
        <v>18838602.522895314</v>
      </c>
      <c r="AL691" s="224">
        <f>'Perfil - interna'!AL691+'Perfil - externa'!AL689</f>
        <v>6464350.4479899155</v>
      </c>
      <c r="AM691" s="224">
        <f>'Perfil - interna'!AM691+'Perfil - externa'!AM689</f>
        <v>13418155.066365045</v>
      </c>
      <c r="AN691" s="224">
        <f>'Perfil - interna'!AN691+'Perfil - externa'!AN689</f>
        <v>1133022.4725580432</v>
      </c>
      <c r="AO691" s="224">
        <f>'Perfil - interna'!AO691+'Perfil - externa'!AO689</f>
        <v>824205.02255804301</v>
      </c>
      <c r="AP691" s="224">
        <f>'Perfil - interna'!AP691+'Perfil - externa'!AP689</f>
        <v>93787.109411491387</v>
      </c>
      <c r="AQ691" s="224">
        <f>'Perfil - interna'!AQ691+'Perfil - externa'!AQ689</f>
        <v>8622412.1094114892</v>
      </c>
      <c r="AR691" s="224">
        <f>'Perfil - interna'!AR691+'Perfil - externa'!AR689</f>
        <v>93787.109411491387</v>
      </c>
      <c r="AS691" s="224">
        <f>'Perfil - interna'!AS691+'Perfil - externa'!AS689</f>
        <v>93166.849352498277</v>
      </c>
      <c r="AT691" s="224">
        <f>'Perfil - interna'!AT691+'Perfil - externa'!AT689</f>
        <v>8616500.2354855277</v>
      </c>
      <c r="AU691" s="224">
        <f>'Perfil - interna'!AU691+'Perfil - externa'!AU689</f>
        <v>15434790.167917961</v>
      </c>
      <c r="AV691" s="224">
        <f>'Perfil - interna'!AV691+'Perfil - externa'!AV689</f>
        <v>83265.167917960047</v>
      </c>
      <c r="AW691" s="224">
        <f>'Perfil - interna'!AW691+'Perfil - externa'!AW689</f>
        <v>83265.167917960047</v>
      </c>
      <c r="AX691" s="224">
        <f>'Perfil - interna'!AX691+'Perfil - externa'!AX689</f>
        <v>83265.167917960047</v>
      </c>
      <c r="AY691" s="224">
        <f>'Perfil - interna'!AY691+'Perfil - externa'!AY689</f>
        <v>9388125.4009233601</v>
      </c>
      <c r="AZ691" s="224">
        <f>'Perfil - interna'!AZ691+'Perfil - externa'!AZ689</f>
        <v>52378.319335658554</v>
      </c>
      <c r="BA691" s="224"/>
      <c r="BB691" s="224"/>
      <c r="BC691" s="224"/>
      <c r="BD691" s="224"/>
      <c r="BE691" s="224"/>
      <c r="BF691" s="224"/>
      <c r="BG691" s="224"/>
      <c r="BH691" s="224"/>
      <c r="BI691" s="224"/>
      <c r="BJ691" s="224"/>
      <c r="BK691" s="224"/>
    </row>
    <row r="692" spans="1:63">
      <c r="A692" s="168">
        <v>43861</v>
      </c>
      <c r="B692" s="213" t="s">
        <v>385</v>
      </c>
      <c r="C692" s="221"/>
      <c r="D692" s="222"/>
      <c r="E692" s="222"/>
      <c r="F692" s="222"/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4"/>
      <c r="T692" s="224"/>
      <c r="U692" s="224"/>
      <c r="V692" s="224">
        <f>'Perfil - interna'!V692+'Perfil - externa'!V690</f>
        <v>25677624.7906783</v>
      </c>
      <c r="W692" s="224">
        <f>'Perfil - interna'!W692+'Perfil - externa'!W690</f>
        <v>25618582.783436202</v>
      </c>
      <c r="X692" s="224">
        <f>'Perfil - interna'!X692+'Perfil - externa'!X690</f>
        <v>24379778.397694133</v>
      </c>
      <c r="Y692" s="224">
        <f>'Perfil - interna'!Y692+'Perfil - externa'!Y690</f>
        <v>22013283.047217898</v>
      </c>
      <c r="Z692" s="224">
        <f>'Perfil - interna'!Z692+'Perfil - externa'!Z690</f>
        <v>20191191.714102358</v>
      </c>
      <c r="AA692" s="224">
        <f>'Perfil - interna'!AA692+'Perfil - externa'!AA690</f>
        <v>17313186.893889342</v>
      </c>
      <c r="AB692" s="224">
        <f>'Perfil - interna'!AB692+'Perfil - externa'!AB690</f>
        <v>15391842.066110969</v>
      </c>
      <c r="AC692" s="224">
        <f>'Perfil - interna'!AC692+'Perfil - externa'!AC690</f>
        <v>12738161.882195562</v>
      </c>
      <c r="AD692" s="224">
        <f>'Perfil - interna'!AD692+'Perfil - externa'!AD690</f>
        <v>11380132.26704428</v>
      </c>
      <c r="AE692" s="224">
        <f>'Perfil - interna'!AE692+'Perfil - externa'!AE690</f>
        <v>9236638.247446347</v>
      </c>
      <c r="AF692" s="224">
        <f>'Perfil - interna'!AF692+'Perfil - externa'!AF690</f>
        <v>8918182.3438041359</v>
      </c>
      <c r="AG692" s="224">
        <f>'Perfil - interna'!AG692+'Perfil - externa'!AG690</f>
        <v>7390318.47355875</v>
      </c>
      <c r="AH692" s="224">
        <f>'Perfil - interna'!AH692+'Perfil - externa'!AH690</f>
        <v>7305656.5833042823</v>
      </c>
      <c r="AI692" s="224">
        <f>'Perfil - interna'!AI692+'Perfil - externa'!AI690</f>
        <v>5906146.9097340014</v>
      </c>
      <c r="AJ692" s="224">
        <f>'Perfil - interna'!AJ692+'Perfil - externa'!AJ690</f>
        <v>5372656.7211940717</v>
      </c>
      <c r="AK692" s="224">
        <f>'Perfil - interna'!AK692+'Perfil - externa'!AK690</f>
        <v>4559599.1326554623</v>
      </c>
      <c r="AL692" s="224">
        <f>'Perfil - interna'!AL692+'Perfil - externa'!AL690</f>
        <v>3354099.232228708</v>
      </c>
      <c r="AM692" s="224">
        <f>'Perfil - interna'!AM692+'Perfil - externa'!AM690</f>
        <v>3242044.9170614295</v>
      </c>
      <c r="AN692" s="224">
        <f>'Perfil - interna'!AN692+'Perfil - externa'!AN690</f>
        <v>2380361.6874795463</v>
      </c>
      <c r="AO692" s="224">
        <f>'Perfil - interna'!AO692+'Perfil - externa'!AO690</f>
        <v>2356052.1616243981</v>
      </c>
      <c r="AP692" s="224">
        <f>'Perfil - interna'!AP692+'Perfil - externa'!AP690</f>
        <v>2343949.1835045218</v>
      </c>
      <c r="AQ692" s="224">
        <f>'Perfil - interna'!AQ692+'Perfil - externa'!AQ690</f>
        <v>2077928.8860564032</v>
      </c>
      <c r="AR692" s="224">
        <f>'Perfil - interna'!AR692+'Perfil - externa'!AR690</f>
        <v>1812836.8165613143</v>
      </c>
      <c r="AS692" s="224">
        <f>'Perfil - interna'!AS692+'Perfil - externa'!AS690</f>
        <v>1808933.8644503718</v>
      </c>
      <c r="AT692" s="224">
        <f>'Perfil - interna'!AT692+'Perfil - externa'!AT690</f>
        <v>1566074.9372997517</v>
      </c>
      <c r="AU692" s="224">
        <f>'Perfil - interna'!AU692+'Perfil - externa'!AU690</f>
        <v>936914.39368040068</v>
      </c>
      <c r="AV692" s="224">
        <f>'Perfil - interna'!AV692+'Perfil - externa'!AV690</f>
        <v>549972.83400190831</v>
      </c>
      <c r="AW692" s="224">
        <f>'Perfil - interna'!AW692+'Perfil - externa'!AW690</f>
        <v>1622052.9738595958</v>
      </c>
      <c r="AX692" s="224">
        <f>'Perfil - interna'!AX692+'Perfil - externa'!AX690</f>
        <v>548102.68846782157</v>
      </c>
      <c r="AY692" s="224">
        <f>'Perfil - interna'!AY692+'Perfil - externa'!AY690</f>
        <v>382682.31370510184</v>
      </c>
      <c r="AZ692" s="224">
        <f>'Perfil - interna'!AZ692+'Perfil - externa'!AZ690</f>
        <v>404.71157392604283</v>
      </c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</row>
    <row r="693" spans="1:63">
      <c r="A693" s="171"/>
      <c r="B693" s="307" t="s">
        <v>29</v>
      </c>
      <c r="C693" s="319"/>
      <c r="D693" s="320"/>
      <c r="E693" s="320"/>
      <c r="F693" s="320"/>
      <c r="G693" s="320"/>
      <c r="H693" s="320"/>
      <c r="I693" s="320"/>
      <c r="J693" s="320"/>
      <c r="K693" s="320"/>
      <c r="L693" s="320"/>
      <c r="M693" s="320"/>
      <c r="N693" s="320"/>
      <c r="O693" s="320"/>
      <c r="P693" s="320"/>
      <c r="Q693" s="320"/>
      <c r="R693" s="320"/>
      <c r="S693" s="321"/>
      <c r="T693" s="321"/>
      <c r="U693" s="321"/>
      <c r="V693" s="321">
        <f>+V691+V692</f>
        <v>83546827.031650603</v>
      </c>
      <c r="W693" s="321">
        <f t="shared" ref="W693:AZ693" si="35">+W691+W692</f>
        <v>52347446.736345291</v>
      </c>
      <c r="X693" s="321">
        <f t="shared" si="35"/>
        <v>61206646.740849048</v>
      </c>
      <c r="Y693" s="321">
        <f t="shared" si="35"/>
        <v>58454096.753073588</v>
      </c>
      <c r="Z693" s="321">
        <f t="shared" si="35"/>
        <v>60233540.077723876</v>
      </c>
      <c r="AA693" s="321">
        <f t="shared" si="35"/>
        <v>54620611.193116516</v>
      </c>
      <c r="AB693" s="321">
        <f t="shared" si="35"/>
        <v>58524301.189231887</v>
      </c>
      <c r="AC693" s="321">
        <f t="shared" si="35"/>
        <v>49073297.804993503</v>
      </c>
      <c r="AD693" s="321">
        <f t="shared" si="35"/>
        <v>48811967.354096919</v>
      </c>
      <c r="AE693" s="321">
        <f t="shared" si="35"/>
        <v>21583764.977638513</v>
      </c>
      <c r="AF693" s="321">
        <f t="shared" si="35"/>
        <v>35757581.580329202</v>
      </c>
      <c r="AG693" s="321">
        <f t="shared" si="35"/>
        <v>12645315.440279616</v>
      </c>
      <c r="AH693" s="321">
        <f t="shared" si="35"/>
        <v>30216491.294370659</v>
      </c>
      <c r="AI693" s="321">
        <f t="shared" si="35"/>
        <v>19137197.784231521</v>
      </c>
      <c r="AJ693" s="321">
        <f t="shared" si="35"/>
        <v>19183839.214979105</v>
      </c>
      <c r="AK693" s="321">
        <f t="shared" si="35"/>
        <v>23398201.655550778</v>
      </c>
      <c r="AL693" s="321">
        <f t="shared" si="35"/>
        <v>9818449.680218624</v>
      </c>
      <c r="AM693" s="321">
        <f t="shared" si="35"/>
        <v>16660199.983426474</v>
      </c>
      <c r="AN693" s="321">
        <f t="shared" si="35"/>
        <v>3513384.1600375893</v>
      </c>
      <c r="AO693" s="321">
        <f t="shared" si="35"/>
        <v>3180257.1841824409</v>
      </c>
      <c r="AP693" s="321">
        <f t="shared" si="35"/>
        <v>2437736.2929160134</v>
      </c>
      <c r="AQ693" s="321">
        <f t="shared" si="35"/>
        <v>10700340.995467892</v>
      </c>
      <c r="AR693" s="321">
        <f t="shared" si="35"/>
        <v>1906623.9259728056</v>
      </c>
      <c r="AS693" s="321">
        <f t="shared" si="35"/>
        <v>1902100.7138028701</v>
      </c>
      <c r="AT693" s="321">
        <f t="shared" si="35"/>
        <v>10182575.172785278</v>
      </c>
      <c r="AU693" s="321">
        <f t="shared" si="35"/>
        <v>16371704.561598362</v>
      </c>
      <c r="AV693" s="321">
        <f t="shared" si="35"/>
        <v>633238.0019198684</v>
      </c>
      <c r="AW693" s="321">
        <f t="shared" si="35"/>
        <v>1705318.1417775559</v>
      </c>
      <c r="AX693" s="321">
        <f t="shared" si="35"/>
        <v>631367.85638578166</v>
      </c>
      <c r="AY693" s="321">
        <f t="shared" si="35"/>
        <v>9770807.7146284617</v>
      </c>
      <c r="AZ693" s="321">
        <f t="shared" si="35"/>
        <v>52783.030909584595</v>
      </c>
      <c r="BA693" s="321"/>
      <c r="BB693" s="321"/>
      <c r="BC693" s="321"/>
      <c r="BD693" s="321"/>
      <c r="BE693" s="321"/>
      <c r="BF693" s="321"/>
      <c r="BG693" s="321"/>
      <c r="BH693" s="321"/>
      <c r="BI693" s="321"/>
      <c r="BJ693" s="321"/>
      <c r="BK693" s="321"/>
    </row>
    <row r="694" spans="1:63">
      <c r="A694" s="167"/>
      <c r="B694" s="210" t="s">
        <v>28</v>
      </c>
      <c r="C694" s="218"/>
      <c r="D694" s="219"/>
      <c r="E694" s="219"/>
      <c r="F694" s="219"/>
      <c r="G694" s="219"/>
      <c r="H694" s="219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24"/>
      <c r="T694" s="224"/>
      <c r="U694" s="224"/>
      <c r="V694" s="224">
        <f>'Perfil - interna'!V694+'Perfil - externa'!V692</f>
        <v>55211329.283849351</v>
      </c>
      <c r="W694" s="224">
        <f>'Perfil - interna'!W694+'Perfil - externa'!W692</f>
        <v>26925615.958625477</v>
      </c>
      <c r="X694" s="224">
        <f>'Perfil - interna'!X694+'Perfil - externa'!X692</f>
        <v>36882008.975085884</v>
      </c>
      <c r="Y694" s="224">
        <f>'Perfil - interna'!Y694+'Perfil - externa'!Y692</f>
        <v>36594146.372985601</v>
      </c>
      <c r="Z694" s="224">
        <f>'Perfil - interna'!Z694+'Perfil - externa'!Z692</f>
        <v>40404636.675350949</v>
      </c>
      <c r="AA694" s="224">
        <f>'Perfil - interna'!AA694+'Perfil - externa'!AA692</f>
        <v>37457821.371428549</v>
      </c>
      <c r="AB694" s="224">
        <f>'Perfil - interna'!AB694+'Perfil - externa'!AB692</f>
        <v>43494710.996796839</v>
      </c>
      <c r="AC694" s="224">
        <f>'Perfil - interna'!AC694+'Perfil - externa'!AC692</f>
        <v>38935051.663134769</v>
      </c>
      <c r="AD694" s="224">
        <f>'Perfil - interna'!AD694+'Perfil - externa'!AD692</f>
        <v>37572316.114298113</v>
      </c>
      <c r="AE694" s="224">
        <f>'Perfil - interna'!AE694+'Perfil - externa'!AE692</f>
        <v>12655796.665575268</v>
      </c>
      <c r="AF694" s="224">
        <f>'Perfil - interna'!AF694+'Perfil - externa'!AF692</f>
        <v>27106526.792816523</v>
      </c>
      <c r="AG694" s="224">
        <f>'Perfil - interna'!AG694+'Perfil - externa'!AG692</f>
        <v>5513706.0748528847</v>
      </c>
      <c r="AH694" s="224">
        <f>'Perfil - interna'!AH694+'Perfil - externa'!AH692</f>
        <v>23137515.677277833</v>
      </c>
      <c r="AI694" s="224">
        <f>'Perfil - interna'!AI694+'Perfil - externa'!AI692</f>
        <v>13665164.38403645</v>
      </c>
      <c r="AJ694" s="224">
        <f>'Perfil - interna'!AJ694+'Perfil - externa'!AJ692</f>
        <v>15062292.331386773</v>
      </c>
      <c r="AK694" s="224">
        <f>'Perfil - interna'!AK694+'Perfil - externa'!AK692</f>
        <v>18953378.491578434</v>
      </c>
      <c r="AL694" s="224">
        <f>'Perfil - interna'!AL694+'Perfil - externa'!AL692</f>
        <v>6653488.4485381963</v>
      </c>
      <c r="AM694" s="224">
        <f>'Perfil - interna'!AM694+'Perfil - externa'!AM692</f>
        <v>13936153.694268119</v>
      </c>
      <c r="AN694" s="224">
        <f>'Perfil - interna'!AN694+'Perfil - externa'!AN692</f>
        <v>1164709.0328587482</v>
      </c>
      <c r="AO694" s="224">
        <f>'Perfil - interna'!AO694+'Perfil - externa'!AO692</f>
        <v>847232.07523970061</v>
      </c>
      <c r="AP694" s="224">
        <f>'Perfil - interna'!AP694+'Perfil - externa'!AP692</f>
        <v>96209.865053493602</v>
      </c>
      <c r="AQ694" s="224">
        <f>'Perfil - interna'!AQ694+'Perfil - externa'!AQ692</f>
        <v>8863984.8650534935</v>
      </c>
      <c r="AR694" s="224">
        <f>'Perfil - interna'!AR694+'Perfil - externa'!AR692</f>
        <v>96209.865053493602</v>
      </c>
      <c r="AS694" s="224">
        <f>'Perfil - interna'!AS694+'Perfil - externa'!AS692</f>
        <v>95572.212367540327</v>
      </c>
      <c r="AT694" s="224">
        <f>'Perfil - interna'!AT694+'Perfil - externa'!AT692</f>
        <v>8857817.4482708201</v>
      </c>
      <c r="AU694" s="224">
        <f>'Perfil - interna'!AU694+'Perfil - externa'!AU692</f>
        <v>15867298.110432984</v>
      </c>
      <c r="AV694" s="224">
        <f>'Perfil - interna'!AV694+'Perfil - externa'!AV692</f>
        <v>85303.110432983245</v>
      </c>
      <c r="AW694" s="224">
        <f>'Perfil - interna'!AW694+'Perfil - externa'!AW692</f>
        <v>85303.110432983245</v>
      </c>
      <c r="AX694" s="224">
        <f>'Perfil - interna'!AX694+'Perfil - externa'!AX692</f>
        <v>85303.110432983245</v>
      </c>
      <c r="AY694" s="224">
        <f>'Perfil - interna'!AY694+'Perfil - externa'!AY692</f>
        <v>9562351.3434383851</v>
      </c>
      <c r="AZ694" s="224">
        <f>'Perfil - interna'!AZ694+'Perfil - externa'!AZ692</f>
        <v>53664.803570185555</v>
      </c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</row>
    <row r="695" spans="1:63">
      <c r="A695" s="168">
        <v>43890</v>
      </c>
      <c r="B695" s="213" t="s">
        <v>385</v>
      </c>
      <c r="C695" s="221"/>
      <c r="D695" s="222"/>
      <c r="E695" s="222"/>
      <c r="F695" s="222"/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4"/>
      <c r="T695" s="224"/>
      <c r="U695" s="224"/>
      <c r="V695" s="224">
        <f>'Perfil - interna'!V695+'Perfil - externa'!V693</f>
        <v>23618168.073359836</v>
      </c>
      <c r="W695" s="224">
        <f>'Perfil - interna'!W695+'Perfil - externa'!W693</f>
        <v>25888093.427511707</v>
      </c>
      <c r="X695" s="224">
        <f>'Perfil - interna'!X695+'Perfil - externa'!X693</f>
        <v>24829111.664090432</v>
      </c>
      <c r="Y695" s="224">
        <f>'Perfil - interna'!Y695+'Perfil - externa'!Y693</f>
        <v>22433732.904370543</v>
      </c>
      <c r="Z695" s="224">
        <f>'Perfil - interna'!Z695+'Perfil - externa'!Z693</f>
        <v>20576363.796073187</v>
      </c>
      <c r="AA695" s="224">
        <f>'Perfil - interna'!AA695+'Perfil - externa'!AA693</f>
        <v>17682114.016411878</v>
      </c>
      <c r="AB695" s="224">
        <f>'Perfil - interna'!AB695+'Perfil - externa'!AB693</f>
        <v>15759167.506362578</v>
      </c>
      <c r="AC695" s="224">
        <f>'Perfil - interna'!AC695+'Perfil - externa'!AC693</f>
        <v>13072823.460168868</v>
      </c>
      <c r="AD695" s="224">
        <f>'Perfil - interna'!AD695+'Perfil - externa'!AD693</f>
        <v>11574817.164131675</v>
      </c>
      <c r="AE695" s="224">
        <f>'Perfil - interna'!AE695+'Perfil - externa'!AE693</f>
        <v>9423706.9690571893</v>
      </c>
      <c r="AF695" s="224">
        <f>'Perfil - interna'!AF695+'Perfil - externa'!AF693</f>
        <v>9092705.7146902382</v>
      </c>
      <c r="AG695" s="224">
        <f>'Perfil - interna'!AG695+'Perfil - externa'!AG693</f>
        <v>7561794.8635905646</v>
      </c>
      <c r="AH695" s="224">
        <f>'Perfil - interna'!AH695+'Perfil - externa'!AH693</f>
        <v>7475791.1936327396</v>
      </c>
      <c r="AI695" s="224">
        <f>'Perfil - interna'!AI695+'Perfil - externa'!AI693</f>
        <v>6077233.1290290877</v>
      </c>
      <c r="AJ695" s="224">
        <f>'Perfil - interna'!AJ695+'Perfil - externa'!AJ693</f>
        <v>5527491.5745323021</v>
      </c>
      <c r="AK695" s="224">
        <f>'Perfil - interna'!AK695+'Perfil - externa'!AK693</f>
        <v>4643044.8415057212</v>
      </c>
      <c r="AL695" s="224">
        <f>'Perfil - interna'!AL695+'Perfil - externa'!AL693</f>
        <v>3438734.1561419163</v>
      </c>
      <c r="AM695" s="224">
        <f>'Perfil - interna'!AM695+'Perfil - externa'!AM693</f>
        <v>3327562.4257709943</v>
      </c>
      <c r="AN695" s="224">
        <f>'Perfil - interna'!AN695+'Perfil - externa'!AN693</f>
        <v>2436039.3938524225</v>
      </c>
      <c r="AO695" s="224">
        <f>'Perfil - interna'!AO695+'Perfil - externa'!AO693</f>
        <v>2413863.1786931921</v>
      </c>
      <c r="AP695" s="224">
        <f>'Perfil - interna'!AP695+'Perfil - externa'!AP693</f>
        <v>2403044.6775567811</v>
      </c>
      <c r="AQ695" s="224">
        <f>'Perfil - interna'!AQ695+'Perfil - externa'!AQ693</f>
        <v>2129634.003991026</v>
      </c>
      <c r="AR695" s="224">
        <f>'Perfil - interna'!AR695+'Perfil - externa'!AR693</f>
        <v>1857177.4518555882</v>
      </c>
      <c r="AS695" s="224">
        <f>'Perfil - interna'!AS695+'Perfil - externa'!AS693</f>
        <v>1853233.9614496322</v>
      </c>
      <c r="AT695" s="224">
        <f>'Perfil - interna'!AT695+'Perfil - externa'!AT693</f>
        <v>1603634.3163232394</v>
      </c>
      <c r="AU695" s="224">
        <f>'Perfil - interna'!AU695+'Perfil - externa'!AU693</f>
        <v>956926.68958184263</v>
      </c>
      <c r="AV695" s="224">
        <f>'Perfil - interna'!AV695+'Perfil - externa'!AV693</f>
        <v>559191.23731560854</v>
      </c>
      <c r="AW695" s="224">
        <f>'Perfil - interna'!AW695+'Perfil - externa'!AW693</f>
        <v>1631236.2584977141</v>
      </c>
      <c r="AX695" s="224">
        <f>'Perfil - interna'!AX695+'Perfil - externa'!AX693</f>
        <v>557281.90833312063</v>
      </c>
      <c r="AY695" s="224">
        <f>'Perfil - interna'!AY695+'Perfil - externa'!AY693</f>
        <v>387227.91485557647</v>
      </c>
      <c r="AZ695" s="224">
        <f>'Perfil - interna'!AZ695+'Perfil - externa'!AZ693</f>
        <v>414.57561729019966</v>
      </c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</row>
    <row r="696" spans="1:63">
      <c r="A696" s="171"/>
      <c r="B696" s="307" t="s">
        <v>29</v>
      </c>
      <c r="C696" s="319"/>
      <c r="D696" s="320"/>
      <c r="E696" s="320"/>
      <c r="F696" s="320"/>
      <c r="G696" s="320"/>
      <c r="H696" s="320"/>
      <c r="I696" s="320"/>
      <c r="J696" s="320"/>
      <c r="K696" s="320"/>
      <c r="L696" s="320"/>
      <c r="M696" s="320"/>
      <c r="N696" s="320"/>
      <c r="O696" s="320"/>
      <c r="P696" s="320"/>
      <c r="Q696" s="320"/>
      <c r="R696" s="320"/>
      <c r="S696" s="321"/>
      <c r="T696" s="321"/>
      <c r="U696" s="321"/>
      <c r="V696" s="321">
        <f>+V694+V695</f>
        <v>78829497.357209191</v>
      </c>
      <c r="W696" s="321">
        <f t="shared" ref="W696:AZ696" si="36">+W694+W695</f>
        <v>52813709.386137187</v>
      </c>
      <c r="X696" s="321">
        <f t="shared" si="36"/>
        <v>61711120.639176317</v>
      </c>
      <c r="Y696" s="321">
        <f t="shared" si="36"/>
        <v>59027879.277356148</v>
      </c>
      <c r="Z696" s="321">
        <f t="shared" si="36"/>
        <v>60981000.471424133</v>
      </c>
      <c r="AA696" s="321">
        <f t="shared" si="36"/>
        <v>55139935.387840427</v>
      </c>
      <c r="AB696" s="321">
        <f t="shared" si="36"/>
        <v>59253878.503159419</v>
      </c>
      <c r="AC696" s="321">
        <f t="shared" si="36"/>
        <v>52007875.123303637</v>
      </c>
      <c r="AD696" s="321">
        <f t="shared" si="36"/>
        <v>49147133.278429791</v>
      </c>
      <c r="AE696" s="321">
        <f t="shared" si="36"/>
        <v>22079503.634632457</v>
      </c>
      <c r="AF696" s="321">
        <f t="shared" si="36"/>
        <v>36199232.507506758</v>
      </c>
      <c r="AG696" s="321">
        <f t="shared" si="36"/>
        <v>13075500.938443448</v>
      </c>
      <c r="AH696" s="321">
        <f t="shared" si="36"/>
        <v>30613306.870910574</v>
      </c>
      <c r="AI696" s="321">
        <f t="shared" si="36"/>
        <v>19742397.513065539</v>
      </c>
      <c r="AJ696" s="321">
        <f t="shared" si="36"/>
        <v>20589783.905919075</v>
      </c>
      <c r="AK696" s="321">
        <f t="shared" si="36"/>
        <v>23596423.333084155</v>
      </c>
      <c r="AL696" s="321">
        <f t="shared" si="36"/>
        <v>10092222.604680113</v>
      </c>
      <c r="AM696" s="321">
        <f t="shared" si="36"/>
        <v>17263716.120039113</v>
      </c>
      <c r="AN696" s="321">
        <f t="shared" si="36"/>
        <v>3600748.4267111709</v>
      </c>
      <c r="AO696" s="321">
        <f t="shared" si="36"/>
        <v>3261095.2539328928</v>
      </c>
      <c r="AP696" s="321">
        <f t="shared" si="36"/>
        <v>2499254.5426102746</v>
      </c>
      <c r="AQ696" s="321">
        <f t="shared" si="36"/>
        <v>10993618.86904452</v>
      </c>
      <c r="AR696" s="321">
        <f t="shared" si="36"/>
        <v>1953387.3169090818</v>
      </c>
      <c r="AS696" s="321">
        <f t="shared" si="36"/>
        <v>1948806.1738171724</v>
      </c>
      <c r="AT696" s="321">
        <f t="shared" si="36"/>
        <v>10461451.764594059</v>
      </c>
      <c r="AU696" s="321">
        <f t="shared" si="36"/>
        <v>16824224.800014827</v>
      </c>
      <c r="AV696" s="321">
        <f t="shared" si="36"/>
        <v>644494.3477485918</v>
      </c>
      <c r="AW696" s="321">
        <f t="shared" si="36"/>
        <v>1716539.3689306972</v>
      </c>
      <c r="AX696" s="321">
        <f t="shared" si="36"/>
        <v>642585.01876610389</v>
      </c>
      <c r="AY696" s="321">
        <f t="shared" si="36"/>
        <v>9949579.2582939621</v>
      </c>
      <c r="AZ696" s="321">
        <f t="shared" si="36"/>
        <v>54079.379187475752</v>
      </c>
      <c r="BA696" s="321"/>
      <c r="BB696" s="321"/>
      <c r="BC696" s="321"/>
      <c r="BD696" s="321"/>
      <c r="BE696" s="321"/>
      <c r="BF696" s="321"/>
      <c r="BG696" s="321"/>
      <c r="BH696" s="321"/>
      <c r="BI696" s="321"/>
      <c r="BJ696" s="321"/>
      <c r="BK696" s="321"/>
    </row>
    <row r="697" spans="1:63">
      <c r="A697" s="167"/>
      <c r="B697" s="210" t="s">
        <v>28</v>
      </c>
      <c r="C697" s="218"/>
      <c r="D697" s="219"/>
      <c r="E697" s="219"/>
      <c r="F697" s="219"/>
      <c r="G697" s="219"/>
      <c r="H697" s="219"/>
      <c r="I697" s="219"/>
      <c r="J697" s="219"/>
      <c r="K697" s="219"/>
      <c r="L697" s="219"/>
      <c r="M697" s="219"/>
      <c r="N697" s="219"/>
      <c r="O697" s="219"/>
      <c r="P697" s="219"/>
      <c r="Q697" s="219"/>
      <c r="R697" s="219"/>
      <c r="S697" s="224"/>
      <c r="T697" s="224"/>
      <c r="U697" s="224"/>
      <c r="V697" s="224">
        <f>'Perfil - interna'!V697+'Perfil - externa'!V695</f>
        <v>52388110.707953639</v>
      </c>
      <c r="W697" s="224">
        <f>'Perfil - interna'!W697+'Perfil - externa'!W695</f>
        <v>29026341.630286135</v>
      </c>
      <c r="X697" s="224">
        <f>'Perfil - interna'!X697+'Perfil - externa'!X695</f>
        <v>37413342.610950641</v>
      </c>
      <c r="Y697" s="224">
        <f>'Perfil - interna'!Y697+'Perfil - externa'!Y695</f>
        <v>38189890.703664482</v>
      </c>
      <c r="Z697" s="224">
        <f>'Perfil - interna'!Z697+'Perfil - externa'!Z695</f>
        <v>42965868.102192312</v>
      </c>
      <c r="AA697" s="224">
        <f>'Perfil - interna'!AA697+'Perfil - externa'!AA695</f>
        <v>38878584.643532723</v>
      </c>
      <c r="AB697" s="224">
        <f>'Perfil - interna'!AB697+'Perfil - externa'!AB695</f>
        <v>46038912.951512769</v>
      </c>
      <c r="AC697" s="224">
        <f>'Perfil - interna'!AC697+'Perfil - externa'!AC695</f>
        <v>42474010.699931316</v>
      </c>
      <c r="AD697" s="224">
        <f>'Perfil - interna'!AD697+'Perfil - externa'!AD695</f>
        <v>38840581.1704209</v>
      </c>
      <c r="AE697" s="224">
        <f>'Perfil - interna'!AE697+'Perfil - externa'!AE695</f>
        <v>15141091.936808284</v>
      </c>
      <c r="AF697" s="224">
        <f>'Perfil - interna'!AF697+'Perfil - externa'!AF695</f>
        <v>29839733.994526528</v>
      </c>
      <c r="AG697" s="224">
        <f>'Perfil - interna'!AG697+'Perfil - externa'!AG695</f>
        <v>6628436.6830169046</v>
      </c>
      <c r="AH697" s="224">
        <f>'Perfil - interna'!AH697+'Perfil - externa'!AH695</f>
        <v>24061868.401131228</v>
      </c>
      <c r="AI697" s="224">
        <f>'Perfil - interna'!AI697+'Perfil - externa'!AI695</f>
        <v>14317900.896801533</v>
      </c>
      <c r="AJ697" s="224">
        <f>'Perfil - interna'!AJ697+'Perfil - externa'!AJ695</f>
        <v>16288840.639722735</v>
      </c>
      <c r="AK697" s="224">
        <f>'Perfil - interna'!AK697+'Perfil - externa'!AK695</f>
        <v>19683698.940310519</v>
      </c>
      <c r="AL697" s="224">
        <f>'Perfil - interna'!AL697+'Perfil - externa'!AL695</f>
        <v>7681273.6284436313</v>
      </c>
      <c r="AM697" s="224">
        <f>'Perfil - interna'!AM697+'Perfil - externa'!AM695</f>
        <v>15324724.493539058</v>
      </c>
      <c r="AN697" s="224">
        <f>'Perfil - interna'!AN697+'Perfil - externa'!AN695</f>
        <v>1349430.7377115125</v>
      </c>
      <c r="AO697" s="224">
        <f>'Perfil - interna'!AO697+'Perfil - externa'!AO695</f>
        <v>981468.6515210364</v>
      </c>
      <c r="AP697" s="224">
        <f>'Perfil - interna'!AP697+'Perfil - externa'!AP695</f>
        <v>111019.0248520709</v>
      </c>
      <c r="AQ697" s="224">
        <f>'Perfil - interna'!AQ697+'Perfil - externa'!AQ695</f>
        <v>10273044.024852069</v>
      </c>
      <c r="AR697" s="224">
        <f>'Perfil - interna'!AR697+'Perfil - externa'!AR695</f>
        <v>111019.0248520709</v>
      </c>
      <c r="AS697" s="224">
        <f>'Perfil - interna'!AS697+'Perfil - externa'!AS695</f>
        <v>110279.97275094212</v>
      </c>
      <c r="AT697" s="224">
        <f>'Perfil - interna'!AT697+'Perfil - externa'!AT695</f>
        <v>10265895.866564371</v>
      </c>
      <c r="AU697" s="224">
        <f>'Perfil - interna'!AU697+'Perfil - externa'!AU695</f>
        <v>18390022.880077887</v>
      </c>
      <c r="AV697" s="224">
        <f>'Perfil - interna'!AV697+'Perfil - externa'!AV695</f>
        <v>98377.880077884533</v>
      </c>
      <c r="AW697" s="224">
        <f>'Perfil - interna'!AW697+'Perfil - externa'!AW695</f>
        <v>98377.880077884533</v>
      </c>
      <c r="AX697" s="224">
        <f>'Perfil - interna'!AX697+'Perfil - externa'!AX695</f>
        <v>98377.880077884533</v>
      </c>
      <c r="AY697" s="224">
        <f>'Perfil - interna'!AY697+'Perfil - externa'!AY695</f>
        <v>10607555.910716284</v>
      </c>
      <c r="AZ697" s="224">
        <f>'Perfil - interna'!AZ697+'Perfil - externa'!AZ695</f>
        <v>61897.702937047849</v>
      </c>
      <c r="BA697" s="224"/>
      <c r="BB697" s="224"/>
      <c r="BC697" s="224"/>
      <c r="BD697" s="224"/>
      <c r="BE697" s="224"/>
      <c r="BF697" s="224"/>
      <c r="BG697" s="224"/>
      <c r="BH697" s="224"/>
      <c r="BI697" s="224"/>
      <c r="BJ697" s="224"/>
      <c r="BK697" s="224"/>
    </row>
    <row r="698" spans="1:63">
      <c r="A698" s="168">
        <v>43921</v>
      </c>
      <c r="B698" s="213" t="s">
        <v>385</v>
      </c>
      <c r="C698" s="221"/>
      <c r="D698" s="222"/>
      <c r="E698" s="222"/>
      <c r="F698" s="222"/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4"/>
      <c r="T698" s="224"/>
      <c r="U698" s="224"/>
      <c r="V698" s="224">
        <f>'Perfil - interna'!V698+'Perfil - externa'!V696</f>
        <v>22150588.6472563</v>
      </c>
      <c r="W698" s="224">
        <f>'Perfil - interna'!W698+'Perfil - externa'!W696</f>
        <v>27067966.291205913</v>
      </c>
      <c r="X698" s="224">
        <f>'Perfil - interna'!X698+'Perfil - externa'!X696</f>
        <v>26016844.632322993</v>
      </c>
      <c r="Y698" s="224">
        <f>'Perfil - interna'!Y698+'Perfil - externa'!Y696</f>
        <v>23609919.461253237</v>
      </c>
      <c r="Z698" s="224">
        <f>'Perfil - interna'!Z698+'Perfil - externa'!Z696</f>
        <v>21669025.404386949</v>
      </c>
      <c r="AA698" s="224">
        <f>'Perfil - interna'!AA698+'Perfil - externa'!AA696</f>
        <v>18707167.646606565</v>
      </c>
      <c r="AB698" s="224">
        <f>'Perfil - interna'!AB698+'Perfil - externa'!AB696</f>
        <v>16732244.77997932</v>
      </c>
      <c r="AC698" s="224">
        <f>'Perfil - interna'!AC698+'Perfil - externa'!AC696</f>
        <v>13951928.108920598</v>
      </c>
      <c r="AD698" s="224">
        <f>'Perfil - interna'!AD698+'Perfil - externa'!AD696</f>
        <v>12352244.095068896</v>
      </c>
      <c r="AE698" s="224">
        <f>'Perfil - interna'!AE698+'Perfil - externa'!AE696</f>
        <v>10147002.067742575</v>
      </c>
      <c r="AF698" s="224">
        <f>'Perfil - interna'!AF698+'Perfil - externa'!AF696</f>
        <v>9736284.375102412</v>
      </c>
      <c r="AG698" s="224">
        <f>'Perfil - interna'!AG698+'Perfil - externa'!AG696</f>
        <v>8165104.9616988916</v>
      </c>
      <c r="AH698" s="224">
        <f>'Perfil - interna'!AH698+'Perfil - externa'!AH696</f>
        <v>8055932.2974504381</v>
      </c>
      <c r="AI698" s="224">
        <f>'Perfil - interna'!AI698+'Perfil - externa'!AI696</f>
        <v>6634305.4335263446</v>
      </c>
      <c r="AJ698" s="224">
        <f>'Perfil - interna'!AJ698+'Perfil - externa'!AJ696</f>
        <v>6062477.0522053279</v>
      </c>
      <c r="AK698" s="224">
        <f>'Perfil - interna'!AK698+'Perfil - externa'!AK696</f>
        <v>5115701.4298917577</v>
      </c>
      <c r="AL698" s="224">
        <f>'Perfil - interna'!AL698+'Perfil - externa'!AL696</f>
        <v>3903842.27757766</v>
      </c>
      <c r="AM698" s="224">
        <f>'Perfil - interna'!AM698+'Perfil - externa'!AM696</f>
        <v>3770999.4176812298</v>
      </c>
      <c r="AN698" s="224">
        <f>'Perfil - interna'!AN698+'Perfil - externa'!AN696</f>
        <v>2791130.0405551004</v>
      </c>
      <c r="AO698" s="224">
        <f>'Perfil - interna'!AO698+'Perfil - externa'!AO696</f>
        <v>2762507.9778560027</v>
      </c>
      <c r="AP698" s="224">
        <f>'Perfil - interna'!AP698+'Perfil - externa'!AP696</f>
        <v>2747735.5679488406</v>
      </c>
      <c r="AQ698" s="224">
        <f>'Perfil - interna'!AQ698+'Perfil - externa'!AQ696</f>
        <v>2431229.5156007223</v>
      </c>
      <c r="AR698" s="224">
        <f>'Perfil - interna'!AR698+'Perfil - externa'!AR696</f>
        <v>2115829.0704933568</v>
      </c>
      <c r="AS698" s="224">
        <f>'Perfil - interna'!AS698+'Perfil - externa'!AS696</f>
        <v>2111640.5921902698</v>
      </c>
      <c r="AT698" s="224">
        <f>'Perfil - interna'!AT698+'Perfil - externa'!AT696</f>
        <v>1822731.4291216959</v>
      </c>
      <c r="AU698" s="224">
        <f>'Perfil - interna'!AU698+'Perfil - externa'!AU696</f>
        <v>1073703.9454773108</v>
      </c>
      <c r="AV698" s="224">
        <f>'Perfil - interna'!AV698+'Perfil - externa'!AV696</f>
        <v>613020.24765359389</v>
      </c>
      <c r="AW698" s="224">
        <f>'Perfil - interna'!AW698+'Perfil - externa'!AW696</f>
        <v>1683862.8166729969</v>
      </c>
      <c r="AX698" s="224">
        <f>'Perfil - interna'!AX698+'Perfil - externa'!AX696</f>
        <v>610843.41158893728</v>
      </c>
      <c r="AY698" s="224">
        <f>'Perfil - interna'!AY698+'Perfil - externa'!AY696</f>
        <v>413755.57052111335</v>
      </c>
      <c r="AZ698" s="224">
        <f>'Perfil - interna'!AZ698+'Perfil - externa'!AZ696</f>
        <v>478.05078717095972</v>
      </c>
      <c r="BA698" s="224"/>
      <c r="BB698" s="224"/>
      <c r="BC698" s="224"/>
      <c r="BD698" s="224"/>
      <c r="BE698" s="224"/>
      <c r="BF698" s="224"/>
      <c r="BG698" s="224"/>
      <c r="BH698" s="224"/>
      <c r="BI698" s="224"/>
      <c r="BJ698" s="224"/>
      <c r="BK698" s="224"/>
    </row>
    <row r="699" spans="1:63">
      <c r="A699" s="171"/>
      <c r="B699" s="307" t="s">
        <v>29</v>
      </c>
      <c r="C699" s="319"/>
      <c r="D699" s="320"/>
      <c r="E699" s="320"/>
      <c r="F699" s="320"/>
      <c r="G699" s="320"/>
      <c r="H699" s="320"/>
      <c r="I699" s="320"/>
      <c r="J699" s="320"/>
      <c r="K699" s="320"/>
      <c r="L699" s="320"/>
      <c r="M699" s="320"/>
      <c r="N699" s="320"/>
      <c r="O699" s="320"/>
      <c r="P699" s="320"/>
      <c r="Q699" s="320"/>
      <c r="R699" s="320"/>
      <c r="S699" s="321"/>
      <c r="T699" s="321"/>
      <c r="U699" s="321"/>
      <c r="V699" s="321">
        <f>+V697+V698</f>
        <v>74538699.355209947</v>
      </c>
      <c r="W699" s="321">
        <f t="shared" ref="W699:AZ699" si="37">+W697+W698</f>
        <v>56094307.921492048</v>
      </c>
      <c r="X699" s="321">
        <f t="shared" si="37"/>
        <v>63430187.243273631</v>
      </c>
      <c r="Y699" s="321">
        <f t="shared" si="37"/>
        <v>61799810.164917722</v>
      </c>
      <c r="Z699" s="321">
        <f t="shared" si="37"/>
        <v>64634893.506579265</v>
      </c>
      <c r="AA699" s="321">
        <f t="shared" si="37"/>
        <v>57585752.290139288</v>
      </c>
      <c r="AB699" s="321">
        <f t="shared" si="37"/>
        <v>62771157.731492087</v>
      </c>
      <c r="AC699" s="321">
        <f t="shared" si="37"/>
        <v>56425938.808851913</v>
      </c>
      <c r="AD699" s="321">
        <f t="shared" si="37"/>
        <v>51192825.265489794</v>
      </c>
      <c r="AE699" s="321">
        <f t="shared" si="37"/>
        <v>25288094.004550859</v>
      </c>
      <c r="AF699" s="321">
        <f t="shared" si="37"/>
        <v>39576018.369628936</v>
      </c>
      <c r="AG699" s="321">
        <f t="shared" si="37"/>
        <v>14793541.644715797</v>
      </c>
      <c r="AH699" s="321">
        <f t="shared" si="37"/>
        <v>32117800.698581666</v>
      </c>
      <c r="AI699" s="321">
        <f t="shared" si="37"/>
        <v>20952206.330327876</v>
      </c>
      <c r="AJ699" s="321">
        <f t="shared" si="37"/>
        <v>22351317.691928063</v>
      </c>
      <c r="AK699" s="321">
        <f t="shared" si="37"/>
        <v>24799400.370202277</v>
      </c>
      <c r="AL699" s="321">
        <f t="shared" si="37"/>
        <v>11585115.906021291</v>
      </c>
      <c r="AM699" s="321">
        <f t="shared" si="37"/>
        <v>19095723.911220286</v>
      </c>
      <c r="AN699" s="321">
        <f t="shared" si="37"/>
        <v>4140560.7782666129</v>
      </c>
      <c r="AO699" s="321">
        <f t="shared" si="37"/>
        <v>3743976.6293770391</v>
      </c>
      <c r="AP699" s="321">
        <f t="shared" si="37"/>
        <v>2858754.5928009115</v>
      </c>
      <c r="AQ699" s="321">
        <f t="shared" si="37"/>
        <v>12704273.540452791</v>
      </c>
      <c r="AR699" s="321">
        <f t="shared" si="37"/>
        <v>2226848.0953454277</v>
      </c>
      <c r="AS699" s="321">
        <f t="shared" si="37"/>
        <v>2221920.5649412121</v>
      </c>
      <c r="AT699" s="321">
        <f t="shared" si="37"/>
        <v>12088627.295686066</v>
      </c>
      <c r="AU699" s="321">
        <f t="shared" si="37"/>
        <v>19463726.825555198</v>
      </c>
      <c r="AV699" s="321">
        <f t="shared" si="37"/>
        <v>711398.12773147842</v>
      </c>
      <c r="AW699" s="321">
        <f t="shared" si="37"/>
        <v>1782240.6967508814</v>
      </c>
      <c r="AX699" s="321">
        <f t="shared" si="37"/>
        <v>709221.29166682181</v>
      </c>
      <c r="AY699" s="321">
        <f t="shared" si="37"/>
        <v>11021311.481237397</v>
      </c>
      <c r="AZ699" s="321">
        <f t="shared" si="37"/>
        <v>62375.753724218812</v>
      </c>
      <c r="BA699" s="321"/>
      <c r="BB699" s="321"/>
      <c r="BC699" s="321"/>
      <c r="BD699" s="321"/>
      <c r="BE699" s="321"/>
      <c r="BF699" s="321"/>
      <c r="BG699" s="321"/>
      <c r="BH699" s="321"/>
      <c r="BI699" s="321"/>
      <c r="BJ699" s="321"/>
      <c r="BK699" s="321"/>
    </row>
    <row r="700" spans="1:63">
      <c r="A700" s="167"/>
      <c r="B700" s="210" t="s">
        <v>28</v>
      </c>
      <c r="C700" s="218"/>
      <c r="D700" s="219"/>
      <c r="E700" s="219"/>
      <c r="F700" s="219"/>
      <c r="G700" s="219"/>
      <c r="H700" s="219"/>
      <c r="I700" s="219"/>
      <c r="J700" s="219"/>
      <c r="K700" s="219"/>
      <c r="L700" s="219"/>
      <c r="M700" s="219"/>
      <c r="N700" s="219"/>
      <c r="O700" s="219"/>
      <c r="P700" s="219"/>
      <c r="Q700" s="219"/>
      <c r="R700" s="219"/>
      <c r="S700" s="224"/>
      <c r="T700" s="224"/>
      <c r="U700" s="224"/>
      <c r="V700" s="224">
        <f>'Perfil - interna'!V700+'Perfil - externa'!V698</f>
        <v>44459185.592358515</v>
      </c>
      <c r="W700" s="224">
        <f>'Perfil - interna'!W700+'Perfil - externa'!W698</f>
        <v>29916685.670681342</v>
      </c>
      <c r="X700" s="224">
        <f>'Perfil - interna'!X700+'Perfil - externa'!X698</f>
        <v>37325548.851072051</v>
      </c>
      <c r="Y700" s="224">
        <f>'Perfil - interna'!Y700+'Perfil - externa'!Y698</f>
        <v>38567275.506392196</v>
      </c>
      <c r="Z700" s="224">
        <f>'Perfil - interna'!Z700+'Perfil - externa'!Z698</f>
        <v>42990470.129593968</v>
      </c>
      <c r="AA700" s="224">
        <f>'Perfil - interna'!AA700+'Perfil - externa'!AA698</f>
        <v>39188983.649173856</v>
      </c>
      <c r="AB700" s="224">
        <f>'Perfil - interna'!AB700+'Perfil - externa'!AB698</f>
        <v>46040150.422881931</v>
      </c>
      <c r="AC700" s="224">
        <f>'Perfil - interna'!AC700+'Perfil - externa'!AC698</f>
        <v>44290127.621626824</v>
      </c>
      <c r="AD700" s="224">
        <f>'Perfil - interna'!AD700+'Perfil - externa'!AD698</f>
        <v>39169323.280155301</v>
      </c>
      <c r="AE700" s="224">
        <f>'Perfil - interna'!AE700+'Perfil - externa'!AE698</f>
        <v>15343267.253983714</v>
      </c>
      <c r="AF700" s="224">
        <f>'Perfil - interna'!AF700+'Perfil - externa'!AF698</f>
        <v>30780341.790002041</v>
      </c>
      <c r="AG700" s="224">
        <f>'Perfil - interna'!AG700+'Perfil - externa'!AG698</f>
        <v>6949667.3224750981</v>
      </c>
      <c r="AH700" s="224">
        <f>'Perfil - interna'!AH700+'Perfil - externa'!AH698</f>
        <v>24897641.109405283</v>
      </c>
      <c r="AI700" s="224">
        <f>'Perfil - interna'!AI700+'Perfil - externa'!AI698</f>
        <v>14909617.27198921</v>
      </c>
      <c r="AJ700" s="224">
        <f>'Perfil - interna'!AJ700+'Perfil - externa'!AJ698</f>
        <v>17246581.654517673</v>
      </c>
      <c r="AK700" s="224">
        <f>'Perfil - interna'!AK700+'Perfil - externa'!AK698</f>
        <v>20103196.911605973</v>
      </c>
      <c r="AL700" s="224">
        <f>'Perfil - interna'!AL700+'Perfil - externa'!AL698</f>
        <v>7887068.5392689267</v>
      </c>
      <c r="AM700" s="224">
        <f>'Perfil - interna'!AM700+'Perfil - externa'!AM698</f>
        <v>16113681.270667912</v>
      </c>
      <c r="AN700" s="224">
        <f>'Perfil - interna'!AN700+'Perfil - externa'!AN698</f>
        <v>1400449.018432311</v>
      </c>
      <c r="AO700" s="224">
        <f>'Perfil - interna'!AO700+'Perfil - externa'!AO698</f>
        <v>1039866.4331942159</v>
      </c>
      <c r="AP700" s="224">
        <f>'Perfil - interna'!AP700+'Perfil - externa'!AP698</f>
        <v>147040.82420800888</v>
      </c>
      <c r="AQ700" s="224">
        <f>'Perfil - interna'!AQ700+'Perfil - externa'!AQ698</f>
        <v>10065432.924208008</v>
      </c>
      <c r="AR700" s="224">
        <f>'Perfil - interna'!AR700+'Perfil - externa'!AR698</f>
        <v>107207.92420800889</v>
      </c>
      <c r="AS700" s="224">
        <f>'Perfil - interna'!AS700+'Perfil - externa'!AS698</f>
        <v>106483.69383957708</v>
      </c>
      <c r="AT700" s="224">
        <f>'Perfil - interna'!AT700+'Perfil - externa'!AT698</f>
        <v>10058428.122648817</v>
      </c>
      <c r="AU700" s="224">
        <f>'Perfil - interna'!AU700+'Perfil - externa'!AU698</f>
        <v>18019625.298324496</v>
      </c>
      <c r="AV700" s="224">
        <f>'Perfil - interna'!AV700+'Perfil - externa'!AV698</f>
        <v>94820.298324494346</v>
      </c>
      <c r="AW700" s="224">
        <f>'Perfil - interna'!AW700+'Perfil - externa'!AW698</f>
        <v>94820.298324494346</v>
      </c>
      <c r="AX700" s="224">
        <f>'Perfil - interna'!AX700+'Perfil - externa'!AX698</f>
        <v>94820.298324494346</v>
      </c>
      <c r="AY700" s="224">
        <f>'Perfil - interna'!AY700+'Perfil - externa'!AY698</f>
        <v>10476709.336265694</v>
      </c>
      <c r="AZ700" s="224">
        <f>'Perfil - interna'!AZ700+'Perfil - externa'!AZ698</f>
        <v>59683.595350964039</v>
      </c>
      <c r="BA700" s="224"/>
      <c r="BB700" s="224"/>
      <c r="BC700" s="224"/>
      <c r="BD700" s="224"/>
      <c r="BE700" s="224"/>
      <c r="BF700" s="224"/>
      <c r="BG700" s="224"/>
      <c r="BH700" s="224"/>
      <c r="BI700" s="224"/>
      <c r="BJ700" s="224"/>
      <c r="BK700" s="224"/>
    </row>
    <row r="701" spans="1:63">
      <c r="A701" s="168">
        <v>43951</v>
      </c>
      <c r="B701" s="213" t="s">
        <v>385</v>
      </c>
      <c r="C701" s="221"/>
      <c r="D701" s="222"/>
      <c r="E701" s="222"/>
      <c r="F701" s="222"/>
      <c r="G701" s="222"/>
      <c r="H701" s="222"/>
      <c r="I701" s="222"/>
      <c r="J701" s="222"/>
      <c r="K701" s="222"/>
      <c r="L701" s="222"/>
      <c r="M701" s="222"/>
      <c r="N701" s="222"/>
      <c r="O701" s="222"/>
      <c r="P701" s="222"/>
      <c r="Q701" s="222"/>
      <c r="R701" s="222"/>
      <c r="S701" s="224"/>
      <c r="T701" s="224"/>
      <c r="U701" s="224"/>
      <c r="V701" s="224">
        <f>'Perfil - interna'!V701+'Perfil - externa'!V699</f>
        <v>18802653.849746328</v>
      </c>
      <c r="W701" s="224">
        <f>'Perfil - interna'!W701+'Perfil - externa'!W699</f>
        <v>27093694.658473428</v>
      </c>
      <c r="X701" s="224">
        <f>'Perfil - interna'!X701+'Perfil - externa'!X699</f>
        <v>26060657.238041721</v>
      </c>
      <c r="Y701" s="224">
        <f>'Perfil - interna'!Y701+'Perfil - externa'!Y699</f>
        <v>23629708.198732439</v>
      </c>
      <c r="Z701" s="224">
        <f>'Perfil - interna'!Z701+'Perfil - externa'!Z699</f>
        <v>21718583.979046922</v>
      </c>
      <c r="AA701" s="224">
        <f>'Perfil - interna'!AA701+'Perfil - externa'!AA699</f>
        <v>18769666.665157944</v>
      </c>
      <c r="AB701" s="224">
        <f>'Perfil - interna'!AB701+'Perfil - externa'!AB699</f>
        <v>16805797.068683147</v>
      </c>
      <c r="AC701" s="224">
        <f>'Perfil - interna'!AC701+'Perfil - externa'!AC699</f>
        <v>14045861.7543584</v>
      </c>
      <c r="AD701" s="224">
        <f>'Perfil - interna'!AD701+'Perfil - externa'!AD699</f>
        <v>12368491.170538392</v>
      </c>
      <c r="AE701" s="224">
        <f>'Perfil - interna'!AE701+'Perfil - externa'!AE699</f>
        <v>10170475.605322396</v>
      </c>
      <c r="AF701" s="224">
        <f>'Perfil - interna'!AF701+'Perfil - externa'!AF699</f>
        <v>9768500.7538933232</v>
      </c>
      <c r="AG701" s="224">
        <f>'Perfil - interna'!AG701+'Perfil - externa'!AG699</f>
        <v>8202231.8647004683</v>
      </c>
      <c r="AH701" s="224">
        <f>'Perfil - interna'!AH701+'Perfil - externa'!AH699</f>
        <v>8096825.406339502</v>
      </c>
      <c r="AI701" s="224">
        <f>'Perfil - interna'!AI701+'Perfil - externa'!AI699</f>
        <v>6644511.7885858621</v>
      </c>
      <c r="AJ701" s="224">
        <f>'Perfil - interna'!AJ701+'Perfil - externa'!AJ699</f>
        <v>6068892.1460748455</v>
      </c>
      <c r="AK701" s="224">
        <f>'Perfil - interna'!AK701+'Perfil - externa'!AK699</f>
        <v>5081569.1620291248</v>
      </c>
      <c r="AL701" s="224">
        <f>'Perfil - interna'!AL701+'Perfil - externa'!AL699</f>
        <v>3870185.1314505101</v>
      </c>
      <c r="AM701" s="224">
        <f>'Perfil - interna'!AM701+'Perfil - externa'!AM699</f>
        <v>3741610.190266897</v>
      </c>
      <c r="AN701" s="224">
        <f>'Perfil - interna'!AN701+'Perfil - externa'!AN699</f>
        <v>2742430.3426382351</v>
      </c>
      <c r="AO701" s="224">
        <f>'Perfil - interna'!AO701+'Perfil - externa'!AO699</f>
        <v>2713147.8542935727</v>
      </c>
      <c r="AP701" s="224">
        <f>'Perfil - interna'!AP701+'Perfil - externa'!AP699</f>
        <v>2697416.2588102296</v>
      </c>
      <c r="AQ701" s="224">
        <f>'Perfil - interna'!AQ701+'Perfil - externa'!AQ699</f>
        <v>2386891.0596194877</v>
      </c>
      <c r="AR701" s="224">
        <f>'Perfil - interna'!AR701+'Perfil - externa'!AR699</f>
        <v>2077795.0424042586</v>
      </c>
      <c r="AS701" s="224">
        <f>'Perfil - interna'!AS701+'Perfil - externa'!AS699</f>
        <v>2073669.6121985624</v>
      </c>
      <c r="AT701" s="224">
        <f>'Perfil - interna'!AT701+'Perfil - externa'!AT699</f>
        <v>1790533.085763372</v>
      </c>
      <c r="AU701" s="224">
        <f>'Perfil - interna'!AU701+'Perfil - externa'!AU699</f>
        <v>1056489.4098724716</v>
      </c>
      <c r="AV701" s="224">
        <f>'Perfil - interna'!AV701+'Perfil - externa'!AV699</f>
        <v>605034.01139653428</v>
      </c>
      <c r="AW701" s="224">
        <f>'Perfil - interna'!AW701+'Perfil - externa'!AW699</f>
        <v>1675930.9098112369</v>
      </c>
      <c r="AX701" s="224">
        <f>'Perfil - interna'!AX701+'Perfil - externa'!AX699</f>
        <v>602950.16853726702</v>
      </c>
      <c r="AY701" s="224">
        <f>'Perfil - interna'!AY701+'Perfil - externa'!AY699</f>
        <v>409841.14910739224</v>
      </c>
      <c r="AZ701" s="224">
        <f>'Perfil - interna'!AZ701+'Perfil - externa'!AZ699</f>
        <v>460.54043828967559</v>
      </c>
      <c r="BA701" s="224"/>
      <c r="BB701" s="224"/>
      <c r="BC701" s="224"/>
      <c r="BD701" s="224"/>
      <c r="BE701" s="224"/>
      <c r="BF701" s="224"/>
      <c r="BG701" s="224"/>
      <c r="BH701" s="224"/>
      <c r="BI701" s="224"/>
      <c r="BJ701" s="224"/>
      <c r="BK701" s="224"/>
    </row>
    <row r="702" spans="1:63">
      <c r="A702" s="171"/>
      <c r="B702" s="307" t="s">
        <v>29</v>
      </c>
      <c r="C702" s="319"/>
      <c r="D702" s="320"/>
      <c r="E702" s="320"/>
      <c r="F702" s="320"/>
      <c r="G702" s="320"/>
      <c r="H702" s="320"/>
      <c r="I702" s="320"/>
      <c r="J702" s="320"/>
      <c r="K702" s="320"/>
      <c r="L702" s="320"/>
      <c r="M702" s="320"/>
      <c r="N702" s="320"/>
      <c r="O702" s="320"/>
      <c r="P702" s="320"/>
      <c r="Q702" s="320"/>
      <c r="R702" s="320"/>
      <c r="S702" s="321"/>
      <c r="T702" s="321"/>
      <c r="U702" s="321"/>
      <c r="V702" s="321">
        <f>+V700+V701</f>
        <v>63261839.442104846</v>
      </c>
      <c r="W702" s="321">
        <f t="shared" ref="W702:AZ702" si="38">+W700+W701</f>
        <v>57010380.329154775</v>
      </c>
      <c r="X702" s="321">
        <f t="shared" si="38"/>
        <v>63386206.089113772</v>
      </c>
      <c r="Y702" s="321">
        <f t="shared" si="38"/>
        <v>62196983.705124632</v>
      </c>
      <c r="Z702" s="321">
        <f t="shared" si="38"/>
        <v>64709054.108640894</v>
      </c>
      <c r="AA702" s="321">
        <f t="shared" si="38"/>
        <v>57958650.3143318</v>
      </c>
      <c r="AB702" s="321">
        <f t="shared" si="38"/>
        <v>62845947.491565078</v>
      </c>
      <c r="AC702" s="321">
        <f t="shared" si="38"/>
        <v>58335989.37598522</v>
      </c>
      <c r="AD702" s="321">
        <f t="shared" si="38"/>
        <v>51537814.450693697</v>
      </c>
      <c r="AE702" s="321">
        <f t="shared" si="38"/>
        <v>25513742.859306112</v>
      </c>
      <c r="AF702" s="321">
        <f t="shared" si="38"/>
        <v>40548842.543895364</v>
      </c>
      <c r="AG702" s="321">
        <f t="shared" si="38"/>
        <v>15151899.187175566</v>
      </c>
      <c r="AH702" s="321">
        <f t="shared" si="38"/>
        <v>32994466.515744783</v>
      </c>
      <c r="AI702" s="321">
        <f t="shared" si="38"/>
        <v>21554129.060575072</v>
      </c>
      <c r="AJ702" s="321">
        <f t="shared" si="38"/>
        <v>23315473.800592519</v>
      </c>
      <c r="AK702" s="321">
        <f t="shared" si="38"/>
        <v>25184766.073635098</v>
      </c>
      <c r="AL702" s="321">
        <f t="shared" si="38"/>
        <v>11757253.670719437</v>
      </c>
      <c r="AM702" s="321">
        <f t="shared" si="38"/>
        <v>19855291.46093481</v>
      </c>
      <c r="AN702" s="321">
        <f t="shared" si="38"/>
        <v>4142879.3610705463</v>
      </c>
      <c r="AO702" s="321">
        <f t="shared" si="38"/>
        <v>3753014.2874877886</v>
      </c>
      <c r="AP702" s="321">
        <f t="shared" si="38"/>
        <v>2844457.0830182387</v>
      </c>
      <c r="AQ702" s="321">
        <f t="shared" si="38"/>
        <v>12452323.983827496</v>
      </c>
      <c r="AR702" s="321">
        <f t="shared" si="38"/>
        <v>2185002.9666122673</v>
      </c>
      <c r="AS702" s="321">
        <f t="shared" si="38"/>
        <v>2180153.3060381394</v>
      </c>
      <c r="AT702" s="321">
        <f t="shared" si="38"/>
        <v>11848961.208412189</v>
      </c>
      <c r="AU702" s="321">
        <f t="shared" si="38"/>
        <v>19076114.708196968</v>
      </c>
      <c r="AV702" s="321">
        <f t="shared" si="38"/>
        <v>699854.30972102867</v>
      </c>
      <c r="AW702" s="321">
        <f t="shared" si="38"/>
        <v>1770751.2081357313</v>
      </c>
      <c r="AX702" s="321">
        <f t="shared" si="38"/>
        <v>697770.46686176141</v>
      </c>
      <c r="AY702" s="321">
        <f t="shared" si="38"/>
        <v>10886550.485373087</v>
      </c>
      <c r="AZ702" s="321">
        <f t="shared" si="38"/>
        <v>60144.135789253713</v>
      </c>
      <c r="BA702" s="321"/>
      <c r="BB702" s="321"/>
      <c r="BC702" s="321"/>
      <c r="BD702" s="321"/>
      <c r="BE702" s="321"/>
      <c r="BF702" s="321"/>
      <c r="BG702" s="321"/>
      <c r="BH702" s="321"/>
      <c r="BI702" s="321"/>
      <c r="BJ702" s="321"/>
      <c r="BK702" s="321"/>
    </row>
    <row r="703" spans="1:63">
      <c r="A703" s="167"/>
      <c r="B703" s="210" t="s">
        <v>28</v>
      </c>
      <c r="C703" s="224"/>
      <c r="D703" s="224"/>
      <c r="E703" s="224"/>
      <c r="F703" s="224"/>
      <c r="G703" s="224"/>
      <c r="H703" s="224"/>
      <c r="I703" s="224"/>
      <c r="J703" s="224"/>
      <c r="K703" s="224"/>
      <c r="L703" s="224"/>
      <c r="M703" s="224"/>
      <c r="N703" s="224"/>
      <c r="O703" s="224"/>
      <c r="P703" s="224"/>
      <c r="Q703" s="224"/>
      <c r="R703" s="224"/>
      <c r="S703" s="224"/>
      <c r="T703" s="224"/>
      <c r="U703" s="224"/>
      <c r="V703" s="224">
        <f>'Perfil - interna'!V703+'Perfil - externa'!V701</f>
        <v>45262313.591707446</v>
      </c>
      <c r="W703" s="224">
        <f>'Perfil - interna'!W703+'Perfil - externa'!W701</f>
        <v>27904009.109858051</v>
      </c>
      <c r="X703" s="224">
        <f>'Perfil - interna'!X703+'Perfil - externa'!X701</f>
        <v>37092074.536791474</v>
      </c>
      <c r="Y703" s="224">
        <f>'Perfil - interna'!Y703+'Perfil - externa'!Y701</f>
        <v>38348288.912721962</v>
      </c>
      <c r="Z703" s="224">
        <f>'Perfil - interna'!Z703+'Perfil - externa'!Z701</f>
        <v>42130160.736927912</v>
      </c>
      <c r="AA703" s="224">
        <f>'Perfil - interna'!AA703+'Perfil - externa'!AA701</f>
        <v>38940475.147779807</v>
      </c>
      <c r="AB703" s="224">
        <f>'Perfil - interna'!AB703+'Perfil - externa'!AB701</f>
        <v>45320328.122756138</v>
      </c>
      <c r="AC703" s="224">
        <f>'Perfil - interna'!AC703+'Perfil - externa'!AC701</f>
        <v>44867021.01075457</v>
      </c>
      <c r="AD703" s="224">
        <f>'Perfil - interna'!AD703+'Perfil - externa'!AD701</f>
        <v>38906480.330152422</v>
      </c>
      <c r="AE703" s="224">
        <f>'Perfil - interna'!AE703+'Perfil - externa'!AE701</f>
        <v>14843193.534678601</v>
      </c>
      <c r="AF703" s="224">
        <f>'Perfil - interna'!AF703+'Perfil - externa'!AF701</f>
        <v>32211546.326742142</v>
      </c>
      <c r="AG703" s="224">
        <f>'Perfil - interna'!AG703+'Perfil - externa'!AG701</f>
        <v>6751003.7219399493</v>
      </c>
      <c r="AH703" s="224">
        <f>'Perfil - interna'!AH703+'Perfil - externa'!AH701</f>
        <v>25517762.579007201</v>
      </c>
      <c r="AI703" s="224">
        <f>'Perfil - interna'!AI703+'Perfil - externa'!AI701</f>
        <v>15037882.140412241</v>
      </c>
      <c r="AJ703" s="224">
        <f>'Perfil - interna'!AJ703+'Perfil - externa'!AJ701</f>
        <v>18901312.627883267</v>
      </c>
      <c r="AK703" s="224">
        <f>'Perfil - interna'!AK703+'Perfil - externa'!AK701</f>
        <v>20491894.629659109</v>
      </c>
      <c r="AL703" s="224">
        <f>'Perfil - interna'!AL703+'Perfil - externa'!AL701</f>
        <v>7713059.2624587258</v>
      </c>
      <c r="AM703" s="224">
        <f>'Perfil - interna'!AM703+'Perfil - externa'!AM701</f>
        <v>16168009.023722639</v>
      </c>
      <c r="AN703" s="224">
        <f>'Perfil - interna'!AN703+'Perfil - externa'!AN701</f>
        <v>1311498.5328789256</v>
      </c>
      <c r="AO703" s="224">
        <f>'Perfil - interna'!AO703+'Perfil - externa'!AO701</f>
        <v>2463808.3700217828</v>
      </c>
      <c r="AP703" s="224">
        <f>'Perfil - interna'!AP703+'Perfil - externa'!AP701</f>
        <v>139691.46239833441</v>
      </c>
      <c r="AQ703" s="224">
        <f>'Perfil - interna'!AQ703+'Perfil - externa'!AQ701</f>
        <v>9411007.2623983342</v>
      </c>
      <c r="AR703" s="224">
        <f>'Perfil - interna'!AR703+'Perfil - externa'!AR701</f>
        <v>102457.26239833438</v>
      </c>
      <c r="AS703" s="224">
        <f>'Perfil - interna'!AS703+'Perfil - externa'!AS701</f>
        <v>101780.28084830254</v>
      </c>
      <c r="AT703" s="224">
        <f>'Perfil - interna'!AT703+'Perfil - externa'!AT701</f>
        <v>9404459.4543749355</v>
      </c>
      <c r="AU703" s="224">
        <f>'Perfil - interna'!AU703+'Perfil - externa'!AU701</f>
        <v>16846267.805726286</v>
      </c>
      <c r="AV703" s="224">
        <f>'Perfil - interna'!AV703+'Perfil - externa'!AV701</f>
        <v>90877.805726287974</v>
      </c>
      <c r="AW703" s="224">
        <f>'Perfil - interna'!AW703+'Perfil - externa'!AW701</f>
        <v>90877.805726287974</v>
      </c>
      <c r="AX703" s="224">
        <f>'Perfil - interna'!AX703+'Perfil - externa'!AX701</f>
        <v>90877.805726287974</v>
      </c>
      <c r="AY703" s="224">
        <f>'Perfil - interna'!AY703+'Perfil - externa'!AY701</f>
        <v>10016467.437606288</v>
      </c>
      <c r="AZ703" s="224">
        <f>'Perfil - interna'!AZ703+'Perfil - externa'!AZ701</f>
        <v>57167.109715048588</v>
      </c>
      <c r="BA703" s="224"/>
      <c r="BB703" s="224"/>
      <c r="BC703" s="224"/>
      <c r="BD703" s="224"/>
      <c r="BE703" s="224"/>
      <c r="BF703" s="224"/>
      <c r="BG703" s="224"/>
      <c r="BH703" s="224"/>
      <c r="BI703" s="224"/>
      <c r="BJ703" s="224"/>
      <c r="BK703" s="224"/>
    </row>
    <row r="704" spans="1:63">
      <c r="A704" s="168">
        <v>43982</v>
      </c>
      <c r="B704" s="213" t="s">
        <v>385</v>
      </c>
      <c r="C704" s="224"/>
      <c r="D704" s="224"/>
      <c r="E704" s="224"/>
      <c r="F704" s="224"/>
      <c r="G704" s="224"/>
      <c r="H704" s="224"/>
      <c r="I704" s="224"/>
      <c r="J704" s="224"/>
      <c r="K704" s="224"/>
      <c r="L704" s="224"/>
      <c r="M704" s="224"/>
      <c r="N704" s="224"/>
      <c r="O704" s="224"/>
      <c r="P704" s="224"/>
      <c r="Q704" s="224"/>
      <c r="R704" s="224"/>
      <c r="S704" s="224"/>
      <c r="T704" s="224"/>
      <c r="U704" s="224"/>
      <c r="V704" s="224">
        <f>'Perfil - interna'!V704+'Perfil - externa'!V702</f>
        <v>15441142.990339816</v>
      </c>
      <c r="W704" s="224">
        <f>'Perfil - interna'!W704+'Perfil - externa'!W702</f>
        <v>26965137.238652602</v>
      </c>
      <c r="X704" s="224">
        <f>'Perfil - interna'!X704+'Perfil - externa'!X702</f>
        <v>26066903.635867015</v>
      </c>
      <c r="Y704" s="224">
        <f>'Perfil - interna'!Y704+'Perfil - externa'!Y702</f>
        <v>23651445.070493843</v>
      </c>
      <c r="Z704" s="224">
        <f>'Perfil - interna'!Z704+'Perfil - externa'!Z702</f>
        <v>21759447.896249011</v>
      </c>
      <c r="AA704" s="224">
        <f>'Perfil - interna'!AA704+'Perfil - externa'!AA702</f>
        <v>18840210.120472997</v>
      </c>
      <c r="AB704" s="224">
        <f>'Perfil - interna'!AB704+'Perfil - externa'!AB702</f>
        <v>16899623.133781765</v>
      </c>
      <c r="AC704" s="224">
        <f>'Perfil - interna'!AC704+'Perfil - externa'!AC702</f>
        <v>14177698.308724917</v>
      </c>
      <c r="AD704" s="224">
        <f>'Perfil - interna'!AD704+'Perfil - externa'!AD702</f>
        <v>12446318.789057441</v>
      </c>
      <c r="AE704" s="224">
        <f>'Perfil - interna'!AE704+'Perfil - externa'!AE702</f>
        <v>10273667.91568552</v>
      </c>
      <c r="AF704" s="224">
        <f>'Perfil - interna'!AF704+'Perfil - externa'!AF702</f>
        <v>9893356.214287905</v>
      </c>
      <c r="AG704" s="224">
        <f>'Perfil - interna'!AG704+'Perfil - externa'!AG702</f>
        <v>8227782.1738219969</v>
      </c>
      <c r="AH704" s="224">
        <f>'Perfil - interna'!AH704+'Perfil - externa'!AH702</f>
        <v>8134284.7469286425</v>
      </c>
      <c r="AI704" s="224">
        <f>'Perfil - interna'!AI704+'Perfil - externa'!AI702</f>
        <v>6642724.0563469566</v>
      </c>
      <c r="AJ704" s="224">
        <f>'Perfil - interna'!AJ704+'Perfil - externa'!AJ702</f>
        <v>6071333.3937162179</v>
      </c>
      <c r="AK704" s="224">
        <f>'Perfil - interna'!AK704+'Perfil - externa'!AK702</f>
        <v>4964194.1839037333</v>
      </c>
      <c r="AL704" s="224">
        <f>'Perfil - interna'!AL704+'Perfil - externa'!AL702</f>
        <v>3727812.2621132727</v>
      </c>
      <c r="AM704" s="224">
        <f>'Perfil - interna'!AM704+'Perfil - externa'!AM702</f>
        <v>3606810.2690176745</v>
      </c>
      <c r="AN704" s="224">
        <f>'Perfil - interna'!AN704+'Perfil - externa'!AN702</f>
        <v>2617905.3532738299</v>
      </c>
      <c r="AO704" s="224">
        <f>'Perfil - interna'!AO704+'Perfil - externa'!AO702</f>
        <v>2590793.121917747</v>
      </c>
      <c r="AP704" s="224">
        <f>'Perfil - interna'!AP704+'Perfil - externa'!AP702</f>
        <v>2537223.3290836699</v>
      </c>
      <c r="AQ704" s="224">
        <f>'Perfil - interna'!AQ704+'Perfil - externa'!AQ702</f>
        <v>2246687.7977527864</v>
      </c>
      <c r="AR704" s="224">
        <f>'Perfil - interna'!AR704+'Perfil - externa'!AR702</f>
        <v>1957567.0139331822</v>
      </c>
      <c r="AS704" s="224">
        <f>'Perfil - interna'!AS704+'Perfil - externa'!AS702</f>
        <v>1953520.4915403433</v>
      </c>
      <c r="AT704" s="224">
        <f>'Perfil - interna'!AT704+'Perfil - externa'!AT702</f>
        <v>1688666.2726904931</v>
      </c>
      <c r="AU704" s="224">
        <f>'Perfil - interna'!AU704+'Perfil - externa'!AU702</f>
        <v>1002264.3586461535</v>
      </c>
      <c r="AV704" s="224">
        <f>'Perfil - interna'!AV704+'Perfil - externa'!AV702</f>
        <v>580105.47585348762</v>
      </c>
      <c r="AW704" s="224">
        <f>'Perfil - interna'!AW704+'Perfil - externa'!AW702</f>
        <v>1651062.0668239016</v>
      </c>
      <c r="AX704" s="224">
        <f>'Perfil - interna'!AX704+'Perfil - externa'!AX702</f>
        <v>578075.91046490439</v>
      </c>
      <c r="AY704" s="224">
        <f>'Perfil - interna'!AY704+'Perfil - externa'!AY702</f>
        <v>397528.21641416062</v>
      </c>
      <c r="AZ704" s="224">
        <f>'Perfil - interna'!AZ704+'Perfil - externa'!AZ702</f>
        <v>441.7126625821615</v>
      </c>
      <c r="BA704" s="224"/>
      <c r="BB704" s="224"/>
      <c r="BC704" s="224"/>
      <c r="BD704" s="224"/>
      <c r="BE704" s="224"/>
      <c r="BF704" s="224"/>
      <c r="BG704" s="224"/>
      <c r="BH704" s="224"/>
      <c r="BI704" s="224"/>
      <c r="BJ704" s="224"/>
      <c r="BK704" s="224"/>
    </row>
    <row r="705" spans="1:63">
      <c r="A705" s="171"/>
      <c r="B705" s="307" t="s">
        <v>29</v>
      </c>
      <c r="C705" s="321"/>
      <c r="D705" s="321"/>
      <c r="E705" s="321"/>
      <c r="F705" s="321"/>
      <c r="G705" s="321"/>
      <c r="H705" s="321"/>
      <c r="I705" s="321"/>
      <c r="J705" s="321"/>
      <c r="K705" s="321"/>
      <c r="L705" s="321"/>
      <c r="M705" s="321"/>
      <c r="N705" s="321"/>
      <c r="O705" s="321"/>
      <c r="P705" s="321"/>
      <c r="Q705" s="321"/>
      <c r="R705" s="321"/>
      <c r="S705" s="321"/>
      <c r="T705" s="321"/>
      <c r="U705" s="321"/>
      <c r="V705" s="321">
        <f>+V703+V704</f>
        <v>60703456.582047261</v>
      </c>
      <c r="W705" s="321">
        <f t="shared" ref="W705:AZ705" si="39">+W703+W704</f>
        <v>54869146.348510653</v>
      </c>
      <c r="X705" s="321">
        <f t="shared" si="39"/>
        <v>63158978.172658488</v>
      </c>
      <c r="Y705" s="321">
        <f t="shared" si="39"/>
        <v>61999733.983215809</v>
      </c>
      <c r="Z705" s="321">
        <f t="shared" si="39"/>
        <v>63889608.633176923</v>
      </c>
      <c r="AA705" s="321">
        <f t="shared" si="39"/>
        <v>57780685.268252805</v>
      </c>
      <c r="AB705" s="321">
        <f t="shared" si="39"/>
        <v>62219951.256537899</v>
      </c>
      <c r="AC705" s="321">
        <f t="shared" si="39"/>
        <v>59044719.319479488</v>
      </c>
      <c r="AD705" s="321">
        <f t="shared" si="39"/>
        <v>51352799.119209863</v>
      </c>
      <c r="AE705" s="321">
        <f t="shared" si="39"/>
        <v>25116861.45036412</v>
      </c>
      <c r="AF705" s="321">
        <f t="shared" si="39"/>
        <v>42104902.541030049</v>
      </c>
      <c r="AG705" s="321">
        <f t="shared" si="39"/>
        <v>14978785.895761946</v>
      </c>
      <c r="AH705" s="321">
        <f t="shared" si="39"/>
        <v>33652047.325935841</v>
      </c>
      <c r="AI705" s="321">
        <f t="shared" si="39"/>
        <v>21680606.196759198</v>
      </c>
      <c r="AJ705" s="321">
        <f t="shared" si="39"/>
        <v>24972646.021599486</v>
      </c>
      <c r="AK705" s="321">
        <f t="shared" si="39"/>
        <v>25456088.81356284</v>
      </c>
      <c r="AL705" s="321">
        <f t="shared" si="39"/>
        <v>11440871.524571998</v>
      </c>
      <c r="AM705" s="321">
        <f t="shared" si="39"/>
        <v>19774819.292740315</v>
      </c>
      <c r="AN705" s="321">
        <f t="shared" si="39"/>
        <v>3929403.8861527555</v>
      </c>
      <c r="AO705" s="321">
        <f t="shared" si="39"/>
        <v>5054601.4919395298</v>
      </c>
      <c r="AP705" s="321">
        <f t="shared" si="39"/>
        <v>2676914.7914820043</v>
      </c>
      <c r="AQ705" s="321">
        <f t="shared" si="39"/>
        <v>11657695.060151121</v>
      </c>
      <c r="AR705" s="321">
        <f t="shared" si="39"/>
        <v>2060024.2763315167</v>
      </c>
      <c r="AS705" s="321">
        <f t="shared" si="39"/>
        <v>2055300.7723886459</v>
      </c>
      <c r="AT705" s="321">
        <f t="shared" si="39"/>
        <v>11093125.727065429</v>
      </c>
      <c r="AU705" s="321">
        <f t="shared" si="39"/>
        <v>17848532.16437244</v>
      </c>
      <c r="AV705" s="321">
        <f t="shared" si="39"/>
        <v>670983.28157977562</v>
      </c>
      <c r="AW705" s="321">
        <f t="shared" si="39"/>
        <v>1741939.8725501895</v>
      </c>
      <c r="AX705" s="321">
        <f t="shared" si="39"/>
        <v>668953.71619119239</v>
      </c>
      <c r="AY705" s="321">
        <f t="shared" si="39"/>
        <v>10413995.654020449</v>
      </c>
      <c r="AZ705" s="321">
        <f t="shared" si="39"/>
        <v>57608.82237763075</v>
      </c>
      <c r="BA705" s="321"/>
      <c r="BB705" s="321"/>
      <c r="BC705" s="321"/>
      <c r="BD705" s="321"/>
      <c r="BE705" s="321"/>
      <c r="BF705" s="321"/>
      <c r="BG705" s="321"/>
      <c r="BH705" s="321"/>
      <c r="BI705" s="321"/>
      <c r="BJ705" s="321"/>
      <c r="BK705" s="321"/>
    </row>
    <row r="706" spans="1:63">
      <c r="A706" s="167"/>
      <c r="B706" s="210" t="s">
        <v>28</v>
      </c>
      <c r="C706" s="224"/>
      <c r="D706" s="224"/>
      <c r="E706" s="224"/>
      <c r="F706" s="224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>
        <f>'Perfil - interna'!V706+'Perfil - externa'!V704</f>
        <v>39499898.991789922</v>
      </c>
      <c r="W706" s="224">
        <f>'Perfil - interna'!W706+'Perfil - externa'!W704</f>
        <v>38645700.529878505</v>
      </c>
      <c r="X706" s="224">
        <f>'Perfil - interna'!X706+'Perfil - externa'!X704</f>
        <v>37131038.06400232</v>
      </c>
      <c r="Y706" s="224">
        <f>'Perfil - interna'!Y706+'Perfil - externa'!Y704</f>
        <v>38410970.85016454</v>
      </c>
      <c r="Z706" s="224">
        <f>'Perfil - interna'!Z706+'Perfil - externa'!Z704</f>
        <v>42292016.969349474</v>
      </c>
      <c r="AA706" s="224">
        <f>'Perfil - interna'!AA706+'Perfil - externa'!AA704</f>
        <v>39016184.828182474</v>
      </c>
      <c r="AB706" s="224">
        <f>'Perfil - interna'!AB706+'Perfil - externa'!AB704</f>
        <v>45538204.577095687</v>
      </c>
      <c r="AC706" s="224">
        <f>'Perfil - interna'!AC706+'Perfil - externa'!AC704</f>
        <v>45696696.22621277</v>
      </c>
      <c r="AD706" s="224">
        <f>'Perfil - interna'!AD706+'Perfil - externa'!AD704</f>
        <v>38989382.119493432</v>
      </c>
      <c r="AE706" s="224">
        <f>'Perfil - interna'!AE706+'Perfil - externa'!AE704</f>
        <v>15201475.236316636</v>
      </c>
      <c r="AF706" s="224">
        <f>'Perfil - interna'!AF706+'Perfil - externa'!AF704</f>
        <v>32499148.923642933</v>
      </c>
      <c r="AG706" s="224">
        <f>'Perfil - interna'!AG706+'Perfil - externa'!AG704</f>
        <v>10577348.193975175</v>
      </c>
      <c r="AH706" s="224">
        <f>'Perfil - interna'!AH706+'Perfil - externa'!AH704</f>
        <v>25572294.359110169</v>
      </c>
      <c r="AI706" s="224">
        <f>'Perfil - interna'!AI706+'Perfil - externa'!AI704</f>
        <v>15142413.352442183</v>
      </c>
      <c r="AJ706" s="224">
        <f>'Perfil - interna'!AJ706+'Perfil - externa'!AJ704</f>
        <v>19545268.712373152</v>
      </c>
      <c r="AK706" s="224">
        <f>'Perfil - interna'!AK706+'Perfil - externa'!AK704</f>
        <v>20549871.852020942</v>
      </c>
      <c r="AL706" s="224">
        <f>'Perfil - interna'!AL706+'Perfil - externa'!AL704</f>
        <v>7840165.4972259291</v>
      </c>
      <c r="AM706" s="224">
        <f>'Perfil - interna'!AM706+'Perfil - externa'!AM704</f>
        <v>16455698.778857274</v>
      </c>
      <c r="AN706" s="224">
        <f>'Perfil - interna'!AN706+'Perfil - externa'!AN704</f>
        <v>1325438.1388348339</v>
      </c>
      <c r="AO706" s="224">
        <f>'Perfil - interna'!AO706+'Perfil - externa'!AO704</f>
        <v>2488731.2859776914</v>
      </c>
      <c r="AP706" s="224">
        <f>'Perfil - interna'!AP706+'Perfil - externa'!AP704</f>
        <v>141869.23393772382</v>
      </c>
      <c r="AQ706" s="224">
        <f>'Perfil - interna'!AQ706+'Perfil - externa'!AQ704</f>
        <v>9501555.1339377221</v>
      </c>
      <c r="AR706" s="224">
        <f>'Perfil - interna'!AR706+'Perfil - externa'!AR704</f>
        <v>104280.13393772386</v>
      </c>
      <c r="AS706" s="224">
        <f>'Perfil - interna'!AS706+'Perfil - externa'!AS704</f>
        <v>103596.69969763538</v>
      </c>
      <c r="AT706" s="224">
        <f>'Perfil - interna'!AT706+'Perfil - externa'!AT704</f>
        <v>9494944.915091278</v>
      </c>
      <c r="AU706" s="224">
        <f>'Perfil - interna'!AU706+'Perfil - externa'!AU704</f>
        <v>17007685.306983169</v>
      </c>
      <c r="AV706" s="224">
        <f>'Perfil - interna'!AV706+'Perfil - externa'!AV704</f>
        <v>92590.306983170798</v>
      </c>
      <c r="AW706" s="224">
        <f>'Perfil - interna'!AW706+'Perfil - externa'!AW704</f>
        <v>92590.306983170798</v>
      </c>
      <c r="AX706" s="224">
        <f>'Perfil - interna'!AX706+'Perfil - externa'!AX704</f>
        <v>92590.306983170798</v>
      </c>
      <c r="AY706" s="224">
        <f>'Perfil - interna'!AY706+'Perfil - externa'!AY704</f>
        <v>10356522.718522672</v>
      </c>
      <c r="AZ706" s="224">
        <f>'Perfil - interna'!AZ706+'Perfil - externa'!AZ704</f>
        <v>58231.517260747103</v>
      </c>
      <c r="BA706" s="224">
        <f>'Perfil - interna'!BA706+'Perfil - externa'!BA704</f>
        <v>5638365</v>
      </c>
      <c r="BB706" s="224">
        <f>'Perfil - interna'!BB706+'Perfil - externa'!BB704</f>
        <v>5638365</v>
      </c>
      <c r="BC706" s="224">
        <f>'Perfil - interna'!BC706+'Perfil - externa'!BC704</f>
        <v>5638365</v>
      </c>
      <c r="BD706" s="224">
        <f>'Perfil - interna'!BD706+'Perfil - externa'!BD704</f>
        <v>5638365</v>
      </c>
      <c r="BE706" s="224">
        <f>'Perfil - interna'!BE706+'Perfil - externa'!BE704</f>
        <v>5638365</v>
      </c>
      <c r="BF706" s="224">
        <f>'Perfil - interna'!BF706+'Perfil - externa'!BF704</f>
        <v>5638365</v>
      </c>
      <c r="BG706" s="224">
        <f>'Perfil - interna'!BG706+'Perfil - externa'!BG704</f>
        <v>5638365</v>
      </c>
      <c r="BH706" s="224">
        <f>'Perfil - interna'!BH706+'Perfil - externa'!BH704</f>
        <v>5638365</v>
      </c>
      <c r="BI706" s="224">
        <f>'Perfil - interna'!BI706+'Perfil - externa'!BI704</f>
        <v>5638365</v>
      </c>
      <c r="BJ706" s="224">
        <f>'Perfil - interna'!BJ706+'Perfil - externa'!BJ704</f>
        <v>5638365</v>
      </c>
      <c r="BK706" s="224">
        <f>'Perfil - interna'!BK706+'Perfil - externa'!BK704</f>
        <v>5638365</v>
      </c>
    </row>
    <row r="707" spans="1:63">
      <c r="A707" s="168">
        <v>44012</v>
      </c>
      <c r="B707" s="213" t="s">
        <v>385</v>
      </c>
      <c r="C707" s="224"/>
      <c r="D707" s="224"/>
      <c r="E707" s="224"/>
      <c r="F707" s="224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>
        <f>'Perfil - interna'!V707+'Perfil - externa'!V705</f>
        <v>13308428.984981854</v>
      </c>
      <c r="W707" s="224">
        <f>'Perfil - interna'!W707+'Perfil - externa'!W705</f>
        <v>27489567.645471547</v>
      </c>
      <c r="X707" s="224">
        <f>'Perfil - interna'!X707+'Perfil - externa'!X705</f>
        <v>26605325.254178222</v>
      </c>
      <c r="Y707" s="224">
        <f>'Perfil - interna'!Y707+'Perfil - externa'!Y705</f>
        <v>24187124.684225358</v>
      </c>
      <c r="Z707" s="224">
        <f>'Perfil - interna'!Z707+'Perfil - externa'!Z705</f>
        <v>22288301.651757564</v>
      </c>
      <c r="AA707" s="224">
        <f>'Perfil - interna'!AA707+'Perfil - externa'!AA705</f>
        <v>19364096.621795192</v>
      </c>
      <c r="AB707" s="224">
        <f>'Perfil - interna'!AB707+'Perfil - externa'!AB705</f>
        <v>17422018.259224605</v>
      </c>
      <c r="AC707" s="224">
        <f>'Perfil - interna'!AC707+'Perfil - externa'!AC705</f>
        <v>14694013.287800774</v>
      </c>
      <c r="AD707" s="224">
        <f>'Perfil - interna'!AD707+'Perfil - externa'!AD705</f>
        <v>12923495.564388271</v>
      </c>
      <c r="AE707" s="224">
        <f>'Perfil - interna'!AE707+'Perfil - externa'!AE705</f>
        <v>10747675.385126337</v>
      </c>
      <c r="AF707" s="224">
        <f>'Perfil - interna'!AF707+'Perfil - externa'!AF705</f>
        <v>10358013.972104825</v>
      </c>
      <c r="AG707" s="224">
        <f>'Perfil - interna'!AG707+'Perfil - externa'!AG705</f>
        <v>8631205.4824220371</v>
      </c>
      <c r="AH707" s="224">
        <f>'Perfil - interna'!AH707+'Perfil - externa'!AH705</f>
        <v>8478530.666866323</v>
      </c>
      <c r="AI707" s="224">
        <f>'Perfil - interna'!AI707+'Perfil - externa'!AI705</f>
        <v>6985882.5105894133</v>
      </c>
      <c r="AJ707" s="224">
        <f>'Perfil - interna'!AJ707+'Perfil - externa'!AJ705</f>
        <v>6410925.2492843727</v>
      </c>
      <c r="AK707" s="224">
        <f>'Perfil - interna'!AK707+'Perfil - externa'!AK705</f>
        <v>5260072.2853534622</v>
      </c>
      <c r="AL707" s="224">
        <f>'Perfil - interna'!AL707+'Perfil - externa'!AL705</f>
        <v>4023388.0785758514</v>
      </c>
      <c r="AM707" s="224">
        <f>'Perfil - interna'!AM707+'Perfil - externa'!AM705</f>
        <v>3900376.8965570522</v>
      </c>
      <c r="AN707" s="224">
        <f>'Perfil - interna'!AN707+'Perfil - externa'!AN705</f>
        <v>2893924.0851764176</v>
      </c>
      <c r="AO707" s="224">
        <f>'Perfil - interna'!AO707+'Perfil - externa'!AO705</f>
        <v>2867007.4392796727</v>
      </c>
      <c r="AP707" s="224">
        <f>'Perfil - interna'!AP707+'Perfil - externa'!AP705</f>
        <v>2814705.6567663071</v>
      </c>
      <c r="AQ707" s="224">
        <f>'Perfil - interna'!AQ707+'Perfil - externa'!AQ705</f>
        <v>2520762.9449046934</v>
      </c>
      <c r="AR707" s="224">
        <f>'Perfil - interna'!AR707+'Perfil - externa'!AR705</f>
        <v>2228894.9329605354</v>
      </c>
      <c r="AS707" s="224">
        <f>'Perfil - interna'!AS707+'Perfil - externa'!AS705</f>
        <v>2224818.3886461798</v>
      </c>
      <c r="AT707" s="224">
        <f>'Perfil - interna'!AT707+'Perfil - externa'!AT705</f>
        <v>1958094.5399114285</v>
      </c>
      <c r="AU707" s="224">
        <f>'Perfil - interna'!AU707+'Perfil - externa'!AU705</f>
        <v>1264520.575813079</v>
      </c>
      <c r="AV707" s="224">
        <f>'Perfil - interna'!AV707+'Perfil - externa'!AV705</f>
        <v>838341.43384851923</v>
      </c>
      <c r="AW707" s="224">
        <f>'Perfil - interna'!AW707+'Perfil - externa'!AW705</f>
        <v>1909269.5375033191</v>
      </c>
      <c r="AX707" s="224">
        <f>'Perfil - interna'!AX707+'Perfil - externa'!AX705</f>
        <v>836912.08804822701</v>
      </c>
      <c r="AY707" s="224">
        <f>'Perfil - interna'!AY707+'Perfil - externa'!AY705</f>
        <v>653983.43029351032</v>
      </c>
      <c r="AZ707" s="224">
        <f>'Perfil - interna'!AZ707+'Perfil - externa'!AZ705</f>
        <v>236263.02386085334</v>
      </c>
      <c r="BA707" s="224">
        <f>'Perfil - interna'!BA707+'Perfil - externa'!BA705</f>
        <v>116937.34078124999</v>
      </c>
      <c r="BB707" s="224">
        <f>'Perfil - interna'!BB707+'Perfil - externa'!BB705</f>
        <v>116937.34078124999</v>
      </c>
      <c r="BC707" s="224">
        <f>'Perfil - interna'!BC707+'Perfil - externa'!BC705</f>
        <v>116937.34078124999</v>
      </c>
      <c r="BD707" s="224">
        <f>'Perfil - interna'!BD707+'Perfil - externa'!BD705</f>
        <v>116937.34078124999</v>
      </c>
      <c r="BE707" s="224">
        <f>'Perfil - interna'!BE707+'Perfil - externa'!BE705</f>
        <v>116937.34078124999</v>
      </c>
      <c r="BF707" s="224">
        <f>'Perfil - interna'!BF707+'Perfil - externa'!BF705</f>
        <v>116937.34078124999</v>
      </c>
      <c r="BG707" s="224">
        <f>'Perfil - interna'!BG707+'Perfil - externa'!BG705</f>
        <v>116937.34078124999</v>
      </c>
      <c r="BH707" s="224">
        <f>'Perfil - interna'!BH707+'Perfil - externa'!BH705</f>
        <v>116937.34078124999</v>
      </c>
      <c r="BI707" s="224">
        <f>'Perfil - interna'!BI707+'Perfil - externa'!BI705</f>
        <v>116937.34078124999</v>
      </c>
      <c r="BJ707" s="224">
        <f>'Perfil - interna'!BJ707+'Perfil - externa'!BJ705</f>
        <v>116937.34078124999</v>
      </c>
      <c r="BK707" s="224">
        <f>'Perfil - interna'!BK707+'Perfil - externa'!BK705</f>
        <v>116937.34078124999</v>
      </c>
    </row>
    <row r="708" spans="1:63">
      <c r="A708" s="171"/>
      <c r="B708" s="307" t="s">
        <v>29</v>
      </c>
      <c r="C708" s="321"/>
      <c r="D708" s="321"/>
      <c r="E708" s="321"/>
      <c r="F708" s="321"/>
      <c r="G708" s="321"/>
      <c r="H708" s="321"/>
      <c r="I708" s="321"/>
      <c r="J708" s="321"/>
      <c r="K708" s="321"/>
      <c r="L708" s="321"/>
      <c r="M708" s="321"/>
      <c r="N708" s="321"/>
      <c r="O708" s="321"/>
      <c r="P708" s="321"/>
      <c r="Q708" s="321"/>
      <c r="R708" s="321"/>
      <c r="S708" s="321"/>
      <c r="T708" s="321"/>
      <c r="U708" s="321"/>
      <c r="V708" s="321">
        <f>+V706+V707</f>
        <v>52808327.976771772</v>
      </c>
      <c r="W708" s="321">
        <f t="shared" ref="W708:AZ708" si="40">+W706+W707</f>
        <v>66135268.175350055</v>
      </c>
      <c r="X708" s="321">
        <f t="shared" si="40"/>
        <v>63736363.318180546</v>
      </c>
      <c r="Y708" s="321">
        <f t="shared" si="40"/>
        <v>62598095.534389898</v>
      </c>
      <c r="Z708" s="321">
        <f t="shared" si="40"/>
        <v>64580318.621107042</v>
      </c>
      <c r="AA708" s="321">
        <f t="shared" si="40"/>
        <v>58380281.449977666</v>
      </c>
      <c r="AB708" s="321">
        <f t="shared" si="40"/>
        <v>62960222.836320296</v>
      </c>
      <c r="AC708" s="321">
        <f t="shared" si="40"/>
        <v>60390709.514013544</v>
      </c>
      <c r="AD708" s="321">
        <f t="shared" si="40"/>
        <v>51912877.6838817</v>
      </c>
      <c r="AE708" s="321">
        <f t="shared" si="40"/>
        <v>25949150.621442974</v>
      </c>
      <c r="AF708" s="321">
        <f t="shared" si="40"/>
        <v>42857162.895747758</v>
      </c>
      <c r="AG708" s="321">
        <f t="shared" si="40"/>
        <v>19208553.676397212</v>
      </c>
      <c r="AH708" s="321">
        <f t="shared" si="40"/>
        <v>34050825.025976494</v>
      </c>
      <c r="AI708" s="321">
        <f t="shared" si="40"/>
        <v>22128295.863031596</v>
      </c>
      <c r="AJ708" s="321">
        <f t="shared" si="40"/>
        <v>25956193.961657524</v>
      </c>
      <c r="AK708" s="321">
        <f t="shared" si="40"/>
        <v>25809944.137374405</v>
      </c>
      <c r="AL708" s="321">
        <f t="shared" si="40"/>
        <v>11863553.57580178</v>
      </c>
      <c r="AM708" s="321">
        <f t="shared" si="40"/>
        <v>20356075.675414328</v>
      </c>
      <c r="AN708" s="321">
        <f t="shared" si="40"/>
        <v>4219362.2240112517</v>
      </c>
      <c r="AO708" s="321">
        <f t="shared" si="40"/>
        <v>5355738.7252573641</v>
      </c>
      <c r="AP708" s="321">
        <f t="shared" si="40"/>
        <v>2956574.8907040311</v>
      </c>
      <c r="AQ708" s="321">
        <f t="shared" si="40"/>
        <v>12022318.078842416</v>
      </c>
      <c r="AR708" s="321">
        <f t="shared" si="40"/>
        <v>2333175.0668982593</v>
      </c>
      <c r="AS708" s="321">
        <f t="shared" si="40"/>
        <v>2328415.0883438154</v>
      </c>
      <c r="AT708" s="321">
        <f t="shared" si="40"/>
        <v>11453039.455002706</v>
      </c>
      <c r="AU708" s="321">
        <f t="shared" si="40"/>
        <v>18272205.882796247</v>
      </c>
      <c r="AV708" s="321">
        <f t="shared" si="40"/>
        <v>930931.74083169003</v>
      </c>
      <c r="AW708" s="321">
        <f t="shared" si="40"/>
        <v>2001859.8444864899</v>
      </c>
      <c r="AX708" s="321">
        <f t="shared" si="40"/>
        <v>929502.39503139781</v>
      </c>
      <c r="AY708" s="321">
        <f t="shared" si="40"/>
        <v>11010506.148816181</v>
      </c>
      <c r="AZ708" s="321">
        <f t="shared" si="40"/>
        <v>294494.54112160043</v>
      </c>
      <c r="BA708" s="321">
        <f>+BA706+BA707</f>
        <v>5755302.34078125</v>
      </c>
      <c r="BB708" s="321">
        <f t="shared" ref="BB708:BG708" si="41">+BB706+BB707</f>
        <v>5755302.34078125</v>
      </c>
      <c r="BC708" s="321">
        <f t="shared" si="41"/>
        <v>5755302.34078125</v>
      </c>
      <c r="BD708" s="321">
        <f t="shared" si="41"/>
        <v>5755302.34078125</v>
      </c>
      <c r="BE708" s="321">
        <f t="shared" si="41"/>
        <v>5755302.34078125</v>
      </c>
      <c r="BF708" s="321">
        <f t="shared" si="41"/>
        <v>5755302.34078125</v>
      </c>
      <c r="BG708" s="321">
        <f t="shared" si="41"/>
        <v>5755302.34078125</v>
      </c>
      <c r="BH708" s="321">
        <f>+BH706+BH707</f>
        <v>5755302.34078125</v>
      </c>
      <c r="BI708" s="321">
        <f>+BI706+BI707</f>
        <v>5755302.34078125</v>
      </c>
      <c r="BJ708" s="321">
        <f>+BJ706+BJ707</f>
        <v>5755302.34078125</v>
      </c>
      <c r="BK708" s="321">
        <f>+BK706+BK707</f>
        <v>5755302.34078125</v>
      </c>
    </row>
    <row r="709" spans="1:63">
      <c r="A709" s="167"/>
      <c r="B709" s="210" t="s">
        <v>28</v>
      </c>
      <c r="C709" s="224"/>
      <c r="D709" s="224"/>
      <c r="E709" s="224"/>
      <c r="F709" s="224"/>
      <c r="G709" s="224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>
        <f>'Perfil - interna'!V709+'Perfil - externa'!V707</f>
        <v>36722878.852469236</v>
      </c>
      <c r="W709" s="224">
        <f>'Perfil - interna'!W709+'Perfil - externa'!W707</f>
        <v>38982106.573873125</v>
      </c>
      <c r="X709" s="224">
        <f>'Perfil - interna'!X709+'Perfil - externa'!X707</f>
        <v>37137837.709927164</v>
      </c>
      <c r="Y709" s="224">
        <f>'Perfil - interna'!Y709+'Perfil - externa'!Y707</f>
        <v>38296727.968544357</v>
      </c>
      <c r="Z709" s="224">
        <f>'Perfil - interna'!Z709+'Perfil - externa'!Z707</f>
        <v>42234754.20078408</v>
      </c>
      <c r="AA709" s="224">
        <f>'Perfil - interna'!AA709+'Perfil - externa'!AA707</f>
        <v>38963134.032920077</v>
      </c>
      <c r="AB709" s="224">
        <f>'Perfil - interna'!AB709+'Perfil - externa'!AB707</f>
        <v>45745607.593093425</v>
      </c>
      <c r="AC709" s="224">
        <f>'Perfil - interna'!AC709+'Perfil - externa'!AC707</f>
        <v>47098683.0349603</v>
      </c>
      <c r="AD709" s="224">
        <f>'Perfil - interna'!AD709+'Perfil - externa'!AD707</f>
        <v>38976589.377563648</v>
      </c>
      <c r="AE709" s="224">
        <f>'Perfil - interna'!AE709+'Perfil - externa'!AE707</f>
        <v>15662207.350451909</v>
      </c>
      <c r="AF709" s="224">
        <f>'Perfil - interna'!AF709+'Perfil - externa'!AF707</f>
        <v>33129195.707639955</v>
      </c>
      <c r="AG709" s="224">
        <f>'Perfil - interna'!AG709+'Perfil - externa'!AG707</f>
        <v>10536647.340579201</v>
      </c>
      <c r="AH709" s="224">
        <f>'Perfil - interna'!AH709+'Perfil - externa'!AH707</f>
        <v>27082838.414291434</v>
      </c>
      <c r="AI709" s="224">
        <f>'Perfil - interna'!AI709+'Perfil - externa'!AI707</f>
        <v>18268298.837960262</v>
      </c>
      <c r="AJ709" s="224">
        <f>'Perfil - interna'!AJ709+'Perfil - externa'!AJ707</f>
        <v>22748889.354422934</v>
      </c>
      <c r="AK709" s="224">
        <f>'Perfil - interna'!AK709+'Perfil - externa'!AK707</f>
        <v>20601955.343960881</v>
      </c>
      <c r="AL709" s="224">
        <f>'Perfil - interna'!AL709+'Perfil - externa'!AL707</f>
        <v>8059687.5107687823</v>
      </c>
      <c r="AM709" s="224">
        <f>'Perfil - interna'!AM709+'Perfil - externa'!AM707</f>
        <v>16563882.949486528</v>
      </c>
      <c r="AN709" s="224">
        <f>'Perfil - interna'!AN709+'Perfil - externa'!AN707</f>
        <v>1322742.7729927341</v>
      </c>
      <c r="AO709" s="224">
        <f>'Perfil - interna'!AO709+'Perfil - externa'!AO707</f>
        <v>2480025.8925165432</v>
      </c>
      <c r="AP709" s="224">
        <f>'Perfil - interna'!AP709+'Perfil - externa'!AP707</f>
        <v>2762931.6482135574</v>
      </c>
      <c r="AQ709" s="224">
        <f>'Perfil - interna'!AQ709+'Perfil - externa'!AQ707</f>
        <v>9456618.7482135557</v>
      </c>
      <c r="AR709" s="224">
        <f>'Perfil - interna'!AR709+'Perfil - externa'!AR707</f>
        <v>107893.74821355786</v>
      </c>
      <c r="AS709" s="224">
        <f>'Perfil - interna'!AS709+'Perfil - externa'!AS707</f>
        <v>107213.84486219577</v>
      </c>
      <c r="AT709" s="224">
        <f>'Perfil - interna'!AT709+'Perfil - externa'!AT707</f>
        <v>9450042.6803443879</v>
      </c>
      <c r="AU709" s="224">
        <f>'Perfil - interna'!AU709+'Perfil - externa'!AU707</f>
        <v>16923969.315479524</v>
      </c>
      <c r="AV709" s="224">
        <f>'Perfil - interna'!AV709+'Perfil - externa'!AV707</f>
        <v>96264.315479525467</v>
      </c>
      <c r="AW709" s="224">
        <f>'Perfil - interna'!AW709+'Perfil - externa'!AW707</f>
        <v>96264.315479525467</v>
      </c>
      <c r="AX709" s="224">
        <f>'Perfil - interna'!AX709+'Perfil - externa'!AX707</f>
        <v>96264.315479525467</v>
      </c>
      <c r="AY709" s="224">
        <f>'Perfil - interna'!AY709+'Perfil - externa'!AY707</f>
        <v>10900833.677344326</v>
      </c>
      <c r="AZ709" s="224">
        <f>'Perfil - interna'!AZ709+'Perfil - externa'!AZ707</f>
        <v>60479.689969061168</v>
      </c>
      <c r="BA709" s="224">
        <f>'Perfil - interna'!BA709+'Perfil - externa'!BA707</f>
        <v>5609235</v>
      </c>
      <c r="BB709" s="224">
        <f>'Perfil - interna'!BB709+'Perfil - externa'!BB707</f>
        <v>5609235</v>
      </c>
      <c r="BC709" s="224">
        <f>'Perfil - interna'!BC709+'Perfil - externa'!BC707</f>
        <v>5609235</v>
      </c>
      <c r="BD709" s="224">
        <f>'Perfil - interna'!BD709+'Perfil - externa'!BD707</f>
        <v>5609235</v>
      </c>
      <c r="BE709" s="224">
        <f>'Perfil - interna'!BE709+'Perfil - externa'!BE707</f>
        <v>5609235</v>
      </c>
      <c r="BF709" s="224">
        <f>'Perfil - interna'!BF709+'Perfil - externa'!BF707</f>
        <v>5609235</v>
      </c>
      <c r="BG709" s="224">
        <f>'Perfil - interna'!BG709+'Perfil - externa'!BG707</f>
        <v>5609235</v>
      </c>
      <c r="BH709" s="224">
        <f>'Perfil - interna'!BH709+'Perfil - externa'!BH707</f>
        <v>5609235</v>
      </c>
      <c r="BI709" s="224">
        <f>'Perfil - interna'!BI709+'Perfil - externa'!BI707</f>
        <v>5609235</v>
      </c>
      <c r="BJ709" s="224">
        <f>'Perfil - interna'!BJ709+'Perfil - externa'!BJ707</f>
        <v>5609235</v>
      </c>
      <c r="BK709" s="224">
        <f>'Perfil - interna'!BK709+'Perfil - externa'!BK707</f>
        <v>5609235</v>
      </c>
    </row>
    <row r="710" spans="1:63">
      <c r="A710" s="168">
        <v>44043</v>
      </c>
      <c r="B710" s="213" t="s">
        <v>385</v>
      </c>
      <c r="C710" s="224"/>
      <c r="D710" s="224"/>
      <c r="E710" s="224"/>
      <c r="F710" s="224"/>
      <c r="G710" s="224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>
        <f>'Perfil - interna'!V710+'Perfil - externa'!V708</f>
        <v>9794163.5772001259</v>
      </c>
      <c r="W710" s="224">
        <f>'Perfil - interna'!W710+'Perfil - externa'!W708</f>
        <v>27881793.805128124</v>
      </c>
      <c r="X710" s="224">
        <f>'Perfil - interna'!X710+'Perfil - externa'!X708</f>
        <v>27220283.414443772</v>
      </c>
      <c r="Y710" s="224">
        <f>'Perfil - interna'!Y710+'Perfil - externa'!Y708</f>
        <v>24756011.193582408</v>
      </c>
      <c r="Z710" s="224">
        <f>'Perfil - interna'!Z710+'Perfil - externa'!Z708</f>
        <v>22884681.22531816</v>
      </c>
      <c r="AA710" s="224">
        <f>'Perfil - interna'!AA710+'Perfil - externa'!AA708</f>
        <v>19960725.351070721</v>
      </c>
      <c r="AB710" s="224">
        <f>'Perfil - interna'!AB710+'Perfil - externa'!AB708</f>
        <v>18022966.42940677</v>
      </c>
      <c r="AC710" s="224">
        <f>'Perfil - interna'!AC710+'Perfil - externa'!AC708</f>
        <v>15293179.998358142</v>
      </c>
      <c r="AD710" s="224">
        <f>'Perfil - interna'!AD710+'Perfil - externa'!AD708</f>
        <v>13463645.198926315</v>
      </c>
      <c r="AE710" s="224">
        <f>'Perfil - interna'!AE710+'Perfil - externa'!AE708</f>
        <v>11297781.410304882</v>
      </c>
      <c r="AF710" s="224">
        <f>'Perfil - interna'!AF710+'Perfil - externa'!AF708</f>
        <v>10901105.178717785</v>
      </c>
      <c r="AG710" s="224">
        <f>'Perfil - interna'!AG710+'Perfil - externa'!AG708</f>
        <v>9105434.0873209387</v>
      </c>
      <c r="AH710" s="224">
        <f>'Perfil - interna'!AH710+'Perfil - externa'!AH708</f>
        <v>8957974.6388815064</v>
      </c>
      <c r="AI710" s="224">
        <f>'Perfil - interna'!AI710+'Perfil - externa'!AI708</f>
        <v>7336251.2133577913</v>
      </c>
      <c r="AJ710" s="224">
        <f>'Perfil - interna'!AJ710+'Perfil - externa'!AJ708</f>
        <v>6737926.8734957334</v>
      </c>
      <c r="AK710" s="224">
        <f>'Perfil - interna'!AK710+'Perfil - externa'!AK708</f>
        <v>5356908.9960654434</v>
      </c>
      <c r="AL710" s="224">
        <f>'Perfil - interna'!AL710+'Perfil - externa'!AL708</f>
        <v>4119177.2175730909</v>
      </c>
      <c r="AM710" s="224">
        <f>'Perfil - interna'!AM710+'Perfil - externa'!AM708</f>
        <v>3994148.4499801658</v>
      </c>
      <c r="AN710" s="224">
        <f>'Perfil - interna'!AN710+'Perfil - externa'!AN708</f>
        <v>2981080.9266869933</v>
      </c>
      <c r="AO710" s="224">
        <f>'Perfil - interna'!AO710+'Perfil - externa'!AO708</f>
        <v>2955908.258595326</v>
      </c>
      <c r="AP710" s="224">
        <f>'Perfil - interna'!AP710+'Perfil - externa'!AP708</f>
        <v>2875439.7875425662</v>
      </c>
      <c r="AQ710" s="224">
        <f>'Perfil - interna'!AQ710+'Perfil - externa'!AQ708</f>
        <v>2550046.0323492805</v>
      </c>
      <c r="AR710" s="224">
        <f>'Perfil - interna'!AR710+'Perfil - externa'!AR708</f>
        <v>2259605.8876597821</v>
      </c>
      <c r="AS710" s="224">
        <f>'Perfil - interna'!AS710+'Perfil - externa'!AS708</f>
        <v>2255470.3766517453</v>
      </c>
      <c r="AT710" s="224">
        <f>'Perfil - interna'!AT710+'Perfil - externa'!AT708</f>
        <v>1990045.6655030344</v>
      </c>
      <c r="AU710" s="224">
        <f>'Perfil - interna'!AU710+'Perfil - externa'!AU708</f>
        <v>1299968.9265759038</v>
      </c>
      <c r="AV710" s="224">
        <f>'Perfil - interna'!AV710+'Perfil - externa'!AV708</f>
        <v>875913.91889213561</v>
      </c>
      <c r="AW710" s="224">
        <f>'Perfil - interna'!AW710+'Perfil - externa'!AW708</f>
        <v>1894409.0152333179</v>
      </c>
      <c r="AX710" s="224">
        <f>'Perfil - interna'!AX710+'Perfil - externa'!AX708</f>
        <v>874355.38873902801</v>
      </c>
      <c r="AY710" s="224">
        <f>'Perfil - interna'!AY710+'Perfil - externa'!AY708</f>
        <v>692303.12097950128</v>
      </c>
      <c r="AZ710" s="224">
        <f>'Perfil - interna'!AZ710+'Perfil - externa'!AZ708</f>
        <v>235063.15838887086</v>
      </c>
      <c r="BA710" s="224">
        <f>'Perfil - interna'!BA710+'Perfil - externa'!BA708</f>
        <v>116333.19671875</v>
      </c>
      <c r="BB710" s="224">
        <f>'Perfil - interna'!BB710+'Perfil - externa'!BB708</f>
        <v>116333.19671875</v>
      </c>
      <c r="BC710" s="224">
        <f>'Perfil - interna'!BC710+'Perfil - externa'!BC708</f>
        <v>116333.19671875</v>
      </c>
      <c r="BD710" s="224">
        <f>'Perfil - interna'!BD710+'Perfil - externa'!BD708</f>
        <v>116333.19671875</v>
      </c>
      <c r="BE710" s="224">
        <f>'Perfil - interna'!BE710+'Perfil - externa'!BE708</f>
        <v>116333.19671875</v>
      </c>
      <c r="BF710" s="224">
        <f>'Perfil - interna'!BF710+'Perfil - externa'!BF708</f>
        <v>116333.19671875</v>
      </c>
      <c r="BG710" s="224">
        <f>'Perfil - interna'!BG710+'Perfil - externa'!BG708</f>
        <v>116333.19671875</v>
      </c>
      <c r="BH710" s="224">
        <f>'Perfil - interna'!BH710+'Perfil - externa'!BH708</f>
        <v>116333.19671875</v>
      </c>
      <c r="BI710" s="224">
        <f>'Perfil - interna'!BI710+'Perfil - externa'!BI708</f>
        <v>116333.19671875</v>
      </c>
      <c r="BJ710" s="224">
        <f>'Perfil - interna'!BJ710+'Perfil - externa'!BJ708</f>
        <v>116333.19671875</v>
      </c>
      <c r="BK710" s="224">
        <f>'Perfil - interna'!BK710+'Perfil - externa'!BK708</f>
        <v>116333.19671875</v>
      </c>
    </row>
    <row r="711" spans="1:63">
      <c r="A711" s="171"/>
      <c r="B711" s="307" t="s">
        <v>29</v>
      </c>
      <c r="C711" s="321"/>
      <c r="D711" s="321"/>
      <c r="E711" s="321"/>
      <c r="F711" s="321"/>
      <c r="G711" s="321"/>
      <c r="H711" s="321"/>
      <c r="I711" s="321"/>
      <c r="J711" s="321"/>
      <c r="K711" s="321"/>
      <c r="L711" s="321"/>
      <c r="M711" s="321"/>
      <c r="N711" s="321"/>
      <c r="O711" s="321"/>
      <c r="P711" s="321"/>
      <c r="Q711" s="321"/>
      <c r="R711" s="321"/>
      <c r="S711" s="321"/>
      <c r="T711" s="321"/>
      <c r="U711" s="321"/>
      <c r="V711" s="321">
        <f>+V709+V710</f>
        <v>46517042.429669365</v>
      </c>
      <c r="W711" s="321">
        <f t="shared" ref="W711:AZ711" si="42">+W709+W710</f>
        <v>66863900.379001245</v>
      </c>
      <c r="X711" s="321">
        <f t="shared" si="42"/>
        <v>64358121.124370933</v>
      </c>
      <c r="Y711" s="321">
        <f t="shared" si="42"/>
        <v>63052739.162126765</v>
      </c>
      <c r="Z711" s="321">
        <f t="shared" si="42"/>
        <v>65119435.426102236</v>
      </c>
      <c r="AA711" s="321">
        <f t="shared" si="42"/>
        <v>58923859.383990794</v>
      </c>
      <c r="AB711" s="321">
        <f t="shared" si="42"/>
        <v>63768574.022500195</v>
      </c>
      <c r="AC711" s="321">
        <f t="shared" si="42"/>
        <v>62391863.033318445</v>
      </c>
      <c r="AD711" s="321">
        <f t="shared" si="42"/>
        <v>52440234.576489963</v>
      </c>
      <c r="AE711" s="321">
        <f t="shared" si="42"/>
        <v>26959988.760756791</v>
      </c>
      <c r="AF711" s="321">
        <f t="shared" si="42"/>
        <v>44030300.88635774</v>
      </c>
      <c r="AG711" s="321">
        <f t="shared" si="42"/>
        <v>19642081.427900139</v>
      </c>
      <c r="AH711" s="321">
        <f t="shared" si="42"/>
        <v>36040813.053172939</v>
      </c>
      <c r="AI711" s="321">
        <f t="shared" si="42"/>
        <v>25604550.051318053</v>
      </c>
      <c r="AJ711" s="321">
        <f t="shared" si="42"/>
        <v>29486816.22791867</v>
      </c>
      <c r="AK711" s="321">
        <f t="shared" si="42"/>
        <v>25958864.340026326</v>
      </c>
      <c r="AL711" s="321">
        <f t="shared" si="42"/>
        <v>12178864.728341874</v>
      </c>
      <c r="AM711" s="321">
        <f t="shared" si="42"/>
        <v>20558031.399466693</v>
      </c>
      <c r="AN711" s="321">
        <f t="shared" si="42"/>
        <v>4303823.6996797277</v>
      </c>
      <c r="AO711" s="321">
        <f t="shared" si="42"/>
        <v>5435934.1511118691</v>
      </c>
      <c r="AP711" s="321">
        <f t="shared" si="42"/>
        <v>5638371.4357561236</v>
      </c>
      <c r="AQ711" s="321">
        <f t="shared" si="42"/>
        <v>12006664.780562837</v>
      </c>
      <c r="AR711" s="321">
        <f t="shared" si="42"/>
        <v>2367499.6358733401</v>
      </c>
      <c r="AS711" s="321">
        <f t="shared" si="42"/>
        <v>2362684.221513941</v>
      </c>
      <c r="AT711" s="321">
        <f t="shared" si="42"/>
        <v>11440088.345847422</v>
      </c>
      <c r="AU711" s="321">
        <f t="shared" si="42"/>
        <v>18223938.242055427</v>
      </c>
      <c r="AV711" s="321">
        <f t="shared" si="42"/>
        <v>972178.23437166109</v>
      </c>
      <c r="AW711" s="321">
        <f t="shared" si="42"/>
        <v>1990673.3307128432</v>
      </c>
      <c r="AX711" s="321">
        <f t="shared" si="42"/>
        <v>970619.7042185535</v>
      </c>
      <c r="AY711" s="321">
        <f t="shared" si="42"/>
        <v>11593136.798323827</v>
      </c>
      <c r="AZ711" s="321">
        <f t="shared" si="42"/>
        <v>295542.848357932</v>
      </c>
      <c r="BA711" s="321">
        <f>+BA709+BA710</f>
        <v>5725568.1967187496</v>
      </c>
      <c r="BB711" s="321">
        <f t="shared" ref="BB711:BG711" si="43">+BB709+BB710</f>
        <v>5725568.1967187496</v>
      </c>
      <c r="BC711" s="321">
        <f t="shared" si="43"/>
        <v>5725568.1967187496</v>
      </c>
      <c r="BD711" s="321">
        <f t="shared" si="43"/>
        <v>5725568.1967187496</v>
      </c>
      <c r="BE711" s="321">
        <f t="shared" si="43"/>
        <v>5725568.1967187496</v>
      </c>
      <c r="BF711" s="321">
        <f t="shared" si="43"/>
        <v>5725568.1967187496</v>
      </c>
      <c r="BG711" s="321">
        <f t="shared" si="43"/>
        <v>5725568.1967187496</v>
      </c>
      <c r="BH711" s="321">
        <f>+BH709+BH710</f>
        <v>5725568.1967187496</v>
      </c>
      <c r="BI711" s="321">
        <f>+BI709+BI710</f>
        <v>5725568.1967187496</v>
      </c>
      <c r="BJ711" s="321">
        <f>+BJ709+BJ710</f>
        <v>5725568.1967187496</v>
      </c>
      <c r="BK711" s="321">
        <f>+BK709+BK710</f>
        <v>5725568.1967187496</v>
      </c>
    </row>
    <row r="712" spans="1:63">
      <c r="A712" s="167"/>
      <c r="B712" s="210" t="s">
        <v>28</v>
      </c>
      <c r="C712" s="224"/>
      <c r="D712" s="224"/>
      <c r="E712" s="224"/>
      <c r="F712" s="224"/>
      <c r="G712" s="224"/>
      <c r="H712" s="224"/>
      <c r="I712" s="224"/>
      <c r="J712" s="224"/>
      <c r="K712" s="224"/>
      <c r="L712" s="224"/>
      <c r="M712" s="224"/>
      <c r="N712" s="224"/>
      <c r="O712" s="224"/>
      <c r="P712" s="224"/>
      <c r="Q712" s="224"/>
      <c r="R712" s="224"/>
      <c r="S712" s="224"/>
      <c r="T712" s="224"/>
      <c r="U712" s="224"/>
      <c r="V712" s="224">
        <f>'Perfil - interna'!V712+'Perfil - externa'!V710</f>
        <v>37094256.300163075</v>
      </c>
      <c r="W712" s="224">
        <f>'Perfil - interna'!W712+'Perfil - externa'!W710</f>
        <v>40021332.651923254</v>
      </c>
      <c r="X712" s="224">
        <f>'Perfil - interna'!X712+'Perfil - externa'!X710</f>
        <v>37165141.507920317</v>
      </c>
      <c r="Y712" s="224">
        <f>'Perfil - interna'!Y712+'Perfil - externa'!Y710</f>
        <v>38331158.287251242</v>
      </c>
      <c r="Z712" s="224">
        <f>'Perfil - interna'!Z712+'Perfil - externa'!Z710</f>
        <v>42401715.448786244</v>
      </c>
      <c r="AA712" s="224">
        <f>'Perfil - interna'!AA712+'Perfil - externa'!AA710</f>
        <v>39064515.478100613</v>
      </c>
      <c r="AB712" s="224">
        <f>'Perfil - interna'!AB712+'Perfil - externa'!AB710</f>
        <v>46020149.170802906</v>
      </c>
      <c r="AC712" s="224">
        <f>'Perfil - interna'!AC712+'Perfil - externa'!AC710</f>
        <v>48653749.897537425</v>
      </c>
      <c r="AD712" s="224">
        <f>'Perfil - interna'!AD712+'Perfil - externa'!AD710</f>
        <v>39186672.67678792</v>
      </c>
      <c r="AE712" s="224">
        <f>'Perfil - interna'!AE712+'Perfil - externa'!AE710</f>
        <v>16231727.304727741</v>
      </c>
      <c r="AF712" s="224">
        <f>'Perfil - interna'!AF712+'Perfil - externa'!AF710</f>
        <v>33358158.338658083</v>
      </c>
      <c r="AG712" s="224">
        <f>'Perfil - interna'!AG712+'Perfil - externa'!AG710</f>
        <v>10758437.834193956</v>
      </c>
      <c r="AH712" s="224">
        <f>'Perfil - interna'!AH712+'Perfil - externa'!AH710</f>
        <v>27275618.081730533</v>
      </c>
      <c r="AI712" s="224">
        <f>'Perfil - interna'!AI712+'Perfil - externa'!AI710</f>
        <v>18448428.128797498</v>
      </c>
      <c r="AJ712" s="224">
        <f>'Perfil - interna'!AJ712+'Perfil - externa'!AJ710</f>
        <v>24235945.267135553</v>
      </c>
      <c r="AK712" s="224">
        <f>'Perfil - interna'!AK712+'Perfil - externa'!AK710</f>
        <v>20786181.855333589</v>
      </c>
      <c r="AL712" s="224">
        <f>'Perfil - interna'!AL712+'Perfil - externa'!AL710</f>
        <v>8253277.4699152689</v>
      </c>
      <c r="AM712" s="224">
        <f>'Perfil - interna'!AM712+'Perfil - externa'!AM710</f>
        <v>17249330.469969362</v>
      </c>
      <c r="AN712" s="224">
        <f>'Perfil - interna'!AN712+'Perfil - externa'!AN710</f>
        <v>1421886.2881043733</v>
      </c>
      <c r="AO712" s="224">
        <f>'Perfil - interna'!AO712+'Perfil - externa'!AO710</f>
        <v>2585634.3652472314</v>
      </c>
      <c r="AP712" s="224">
        <f>'Perfil - interna'!AP712+'Perfil - externa'!AP710</f>
        <v>2870054.7173001384</v>
      </c>
      <c r="AQ712" s="224">
        <f>'Perfil - interna'!AQ712+'Perfil - externa'!AQ710</f>
        <v>9510367.1241966896</v>
      </c>
      <c r="AR712" s="224">
        <f>'Perfil - interna'!AR712+'Perfil - externa'!AR710</f>
        <v>109417.12419669029</v>
      </c>
      <c r="AS712" s="224">
        <f>'Perfil - interna'!AS712+'Perfil - externa'!AS710</f>
        <v>108733.42268541605</v>
      </c>
      <c r="AT712" s="224">
        <f>'Perfil - interna'!AT712+'Perfil - externa'!AT710</f>
        <v>9503754.3202865683</v>
      </c>
      <c r="AU712" s="224">
        <f>'Perfil - interna'!AU712+'Perfil - externa'!AU710</f>
        <v>17019432.725691974</v>
      </c>
      <c r="AV712" s="224">
        <f>'Perfil - interna'!AV712+'Perfil - externa'!AV710</f>
        <v>97722.725691974221</v>
      </c>
      <c r="AW712" s="224">
        <f>'Perfil - interna'!AW712+'Perfil - externa'!AW710</f>
        <v>97722.725691974221</v>
      </c>
      <c r="AX712" s="224">
        <f>'Perfil - interna'!AX712+'Perfil - externa'!AX710</f>
        <v>97722.725691974221</v>
      </c>
      <c r="AY712" s="224">
        <f>'Perfil - interna'!AY712+'Perfil - externa'!AY710</f>
        <v>11341591.894101974</v>
      </c>
      <c r="AZ712" s="224">
        <f>'Perfil - interna'!AZ712+'Perfil - externa'!AZ710</f>
        <v>61382.707841347627</v>
      </c>
      <c r="BA712" s="224">
        <f>'Perfil - interna'!BA712+'Perfil - externa'!BA710</f>
        <v>5640570</v>
      </c>
      <c r="BB712" s="224">
        <f>'Perfil - interna'!BB712+'Perfil - externa'!BB710</f>
        <v>5640570</v>
      </c>
      <c r="BC712" s="224">
        <f>'Perfil - interna'!BC712+'Perfil - externa'!BC710</f>
        <v>5640570</v>
      </c>
      <c r="BD712" s="224">
        <f>'Perfil - interna'!BD712+'Perfil - externa'!BD710</f>
        <v>5640570</v>
      </c>
      <c r="BE712" s="224">
        <f>'Perfil - interna'!BE712+'Perfil - externa'!BE710</f>
        <v>5640570</v>
      </c>
      <c r="BF712" s="224">
        <f>'Perfil - interna'!BF712+'Perfil - externa'!BF710</f>
        <v>5640570</v>
      </c>
      <c r="BG712" s="224">
        <f>'Perfil - interna'!BG712+'Perfil - externa'!BG710</f>
        <v>5640570</v>
      </c>
      <c r="BH712" s="224">
        <f>'Perfil - interna'!BH712+'Perfil - externa'!BH710</f>
        <v>5640570</v>
      </c>
      <c r="BI712" s="224">
        <f>'Perfil - interna'!BI712+'Perfil - externa'!BI710</f>
        <v>5640570</v>
      </c>
      <c r="BJ712" s="224">
        <f>'Perfil - interna'!BJ712+'Perfil - externa'!BJ710</f>
        <v>5640570</v>
      </c>
      <c r="BK712" s="224">
        <f>'Perfil - interna'!BK712+'Perfil - externa'!BK710</f>
        <v>5640570</v>
      </c>
    </row>
    <row r="713" spans="1:63">
      <c r="A713" s="168">
        <v>44074</v>
      </c>
      <c r="B713" s="213" t="s">
        <v>385</v>
      </c>
      <c r="C713" s="224"/>
      <c r="D713" s="224"/>
      <c r="E713" s="224"/>
      <c r="F713" s="224"/>
      <c r="G713" s="224"/>
      <c r="H713" s="224"/>
      <c r="I713" s="224"/>
      <c r="J713" s="224"/>
      <c r="K713" s="224"/>
      <c r="L713" s="224"/>
      <c r="M713" s="224"/>
      <c r="N713" s="224"/>
      <c r="O713" s="224"/>
      <c r="P713" s="224"/>
      <c r="Q713" s="224"/>
      <c r="R713" s="224"/>
      <c r="S713" s="224"/>
      <c r="T713" s="224"/>
      <c r="U713" s="224"/>
      <c r="V713" s="224">
        <f>'Perfil - interna'!V713+'Perfil - externa'!V711</f>
        <v>7224028.6247066613</v>
      </c>
      <c r="W713" s="224">
        <f>'Perfil - interna'!W713+'Perfil - externa'!W711</f>
        <v>28219771.763307258</v>
      </c>
      <c r="X713" s="224">
        <f>'Perfil - interna'!X713+'Perfil - externa'!X711</f>
        <v>27535398.593779955</v>
      </c>
      <c r="Y713" s="224">
        <f>'Perfil - interna'!Y713+'Perfil - externa'!Y711</f>
        <v>25103298.64654972</v>
      </c>
      <c r="Z713" s="224">
        <f>'Perfil - interna'!Z713+'Perfil - externa'!Z711</f>
        <v>23207638.781666897</v>
      </c>
      <c r="AA713" s="224">
        <f>'Perfil - interna'!AA713+'Perfil - externa'!AA711</f>
        <v>20284400.795404136</v>
      </c>
      <c r="AB713" s="224">
        <f>'Perfil - interna'!AB713+'Perfil - externa'!AB711</f>
        <v>18349828.276382811</v>
      </c>
      <c r="AC713" s="224">
        <f>'Perfil - interna'!AC713+'Perfil - externa'!AC711</f>
        <v>15613244.24952668</v>
      </c>
      <c r="AD713" s="224">
        <f>'Perfil - interna'!AD713+'Perfil - externa'!AD711</f>
        <v>13685866.448291011</v>
      </c>
      <c r="AE713" s="224">
        <f>'Perfil - interna'!AE713+'Perfil - externa'!AE711</f>
        <v>11513959.653209908</v>
      </c>
      <c r="AF713" s="224">
        <f>'Perfil - interna'!AF713+'Perfil - externa'!AF711</f>
        <v>11103566.815297157</v>
      </c>
      <c r="AG713" s="224">
        <f>'Perfil - interna'!AG713+'Perfil - externa'!AG711</f>
        <v>9327823.7349817511</v>
      </c>
      <c r="AH713" s="224">
        <f>'Perfil - interna'!AH713+'Perfil - externa'!AH711</f>
        <v>9179241.8585410509</v>
      </c>
      <c r="AI713" s="224">
        <f>'Perfil - interna'!AI713+'Perfil - externa'!AI711</f>
        <v>7550352.9609995764</v>
      </c>
      <c r="AJ713" s="224">
        <f>'Perfil - interna'!AJ713+'Perfil - externa'!AJ711</f>
        <v>6946223.7785236351</v>
      </c>
      <c r="AK713" s="224">
        <f>'Perfil - interna'!AK713+'Perfil - externa'!AK711</f>
        <v>5470826.5581214819</v>
      </c>
      <c r="AL713" s="224">
        <f>'Perfil - interna'!AL713+'Perfil - externa'!AL711</f>
        <v>4218642.9880076898</v>
      </c>
      <c r="AM713" s="224">
        <f>'Perfil - interna'!AM713+'Perfil - externa'!AM711</f>
        <v>4090897.6515833591</v>
      </c>
      <c r="AN713" s="224">
        <f>'Perfil - interna'!AN713+'Perfil - externa'!AN711</f>
        <v>3039074.2759863893</v>
      </c>
      <c r="AO713" s="224">
        <f>'Perfil - interna'!AO713+'Perfil - externa'!AO711</f>
        <v>3012993.6821228722</v>
      </c>
      <c r="AP713" s="224">
        <f>'Perfil - interna'!AP713+'Perfil - externa'!AP711</f>
        <v>2921547.4556276063</v>
      </c>
      <c r="AQ713" s="224">
        <f>'Perfil - interna'!AQ713+'Perfil - externa'!AQ711</f>
        <v>2588057.4660227802</v>
      </c>
      <c r="AR713" s="224">
        <f>'Perfil - interna'!AR713+'Perfil - externa'!AR711</f>
        <v>2296417.201038599</v>
      </c>
      <c r="AS713" s="224">
        <f>'Perfil - interna'!AS713+'Perfil - externa'!AS711</f>
        <v>2292680.9195600012</v>
      </c>
      <c r="AT713" s="224">
        <f>'Perfil - interna'!AT713+'Perfil - externa'!AT711</f>
        <v>2026196.2039028318</v>
      </c>
      <c r="AU713" s="224">
        <f>'Perfil - interna'!AU713+'Perfil - externa'!AU711</f>
        <v>1333559.7164267048</v>
      </c>
      <c r="AV713" s="224">
        <f>'Perfil - interna'!AV713+'Perfil - externa'!AV711</f>
        <v>907424.52489350038</v>
      </c>
      <c r="AW713" s="224">
        <f>'Perfil - interna'!AW713+'Perfil - externa'!AW711</f>
        <v>1704875.0174585257</v>
      </c>
      <c r="AX713" s="224">
        <f>'Perfil - interna'!AX713+'Perfil - externa'!AX711</f>
        <v>905856.30237388366</v>
      </c>
      <c r="AY713" s="224">
        <f>'Perfil - interna'!AY713+'Perfil - externa'!AY711</f>
        <v>722771.80188366678</v>
      </c>
      <c r="AZ713" s="224">
        <f>'Perfil - interna'!AZ713+'Perfil - externa'!AZ711</f>
        <v>236380.90039839377</v>
      </c>
      <c r="BA713" s="224">
        <f>'Perfil - interna'!BA713+'Perfil - externa'!BA711</f>
        <v>116983.0715625</v>
      </c>
      <c r="BB713" s="224">
        <f>'Perfil - interna'!BB713+'Perfil - externa'!BB711</f>
        <v>116983.0715625</v>
      </c>
      <c r="BC713" s="224">
        <f>'Perfil - interna'!BC713+'Perfil - externa'!BC711</f>
        <v>116983.0715625</v>
      </c>
      <c r="BD713" s="224">
        <f>'Perfil - interna'!BD713+'Perfil - externa'!BD711</f>
        <v>116983.0715625</v>
      </c>
      <c r="BE713" s="224">
        <f>'Perfil - interna'!BE713+'Perfil - externa'!BE711</f>
        <v>116983.0715625</v>
      </c>
      <c r="BF713" s="224">
        <f>'Perfil - interna'!BF713+'Perfil - externa'!BF711</f>
        <v>116983.0715625</v>
      </c>
      <c r="BG713" s="224">
        <f>'Perfil - interna'!BG713+'Perfil - externa'!BG711</f>
        <v>116983.0715625</v>
      </c>
      <c r="BH713" s="224">
        <f>'Perfil - interna'!BH713+'Perfil - externa'!BH711</f>
        <v>116983.0715625</v>
      </c>
      <c r="BI713" s="224">
        <f>'Perfil - interna'!BI713+'Perfil - externa'!BI711</f>
        <v>116983.0715625</v>
      </c>
      <c r="BJ713" s="224">
        <f>'Perfil - interna'!BJ713+'Perfil - externa'!BJ711</f>
        <v>116983.0715625</v>
      </c>
      <c r="BK713" s="224">
        <f>'Perfil - interna'!BK713+'Perfil - externa'!BK711</f>
        <v>116983.0715625</v>
      </c>
    </row>
    <row r="714" spans="1:63">
      <c r="A714" s="171"/>
      <c r="B714" s="307" t="s">
        <v>29</v>
      </c>
      <c r="C714" s="321"/>
      <c r="D714" s="321"/>
      <c r="E714" s="321"/>
      <c r="F714" s="321"/>
      <c r="G714" s="321"/>
      <c r="H714" s="321"/>
      <c r="I714" s="321"/>
      <c r="J714" s="321"/>
      <c r="K714" s="321"/>
      <c r="L714" s="321"/>
      <c r="M714" s="321"/>
      <c r="N714" s="321"/>
      <c r="O714" s="321"/>
      <c r="P714" s="321"/>
      <c r="Q714" s="321"/>
      <c r="R714" s="321"/>
      <c r="S714" s="321"/>
      <c r="T714" s="321"/>
      <c r="U714" s="321"/>
      <c r="V714" s="321">
        <f>+V712+V713</f>
        <v>44318284.924869739</v>
      </c>
      <c r="W714" s="321">
        <f t="shared" ref="W714:AZ714" si="44">+W712+W713</f>
        <v>68241104.415230513</v>
      </c>
      <c r="X714" s="321">
        <f t="shared" si="44"/>
        <v>64700540.101700276</v>
      </c>
      <c r="Y714" s="321">
        <f t="shared" si="44"/>
        <v>63434456.933800966</v>
      </c>
      <c r="Z714" s="321">
        <f t="shared" si="44"/>
        <v>65609354.230453141</v>
      </c>
      <c r="AA714" s="321">
        <f t="shared" si="44"/>
        <v>59348916.273504749</v>
      </c>
      <c r="AB714" s="321">
        <f t="shared" si="44"/>
        <v>64369977.447185718</v>
      </c>
      <c r="AC714" s="321">
        <f t="shared" si="44"/>
        <v>64266994.147064105</v>
      </c>
      <c r="AD714" s="321">
        <f t="shared" si="44"/>
        <v>52872539.125078931</v>
      </c>
      <c r="AE714" s="321">
        <f t="shared" si="44"/>
        <v>27745686.95793765</v>
      </c>
      <c r="AF714" s="321">
        <f t="shared" si="44"/>
        <v>44461725.153955236</v>
      </c>
      <c r="AG714" s="321">
        <f t="shared" si="44"/>
        <v>20086261.569175705</v>
      </c>
      <c r="AH714" s="321">
        <f t="shared" si="44"/>
        <v>36454859.940271586</v>
      </c>
      <c r="AI714" s="321">
        <f t="shared" si="44"/>
        <v>25998781.089797072</v>
      </c>
      <c r="AJ714" s="321">
        <f t="shared" si="44"/>
        <v>31182169.045659188</v>
      </c>
      <c r="AK714" s="321">
        <f t="shared" si="44"/>
        <v>26257008.413455069</v>
      </c>
      <c r="AL714" s="321">
        <f t="shared" si="44"/>
        <v>12471920.457922958</v>
      </c>
      <c r="AM714" s="321">
        <f t="shared" si="44"/>
        <v>21340228.121552721</v>
      </c>
      <c r="AN714" s="321">
        <f t="shared" si="44"/>
        <v>4460960.5640907623</v>
      </c>
      <c r="AO714" s="321">
        <f t="shared" si="44"/>
        <v>5598628.0473701041</v>
      </c>
      <c r="AP714" s="321">
        <f t="shared" si="44"/>
        <v>5791602.1729277447</v>
      </c>
      <c r="AQ714" s="321">
        <f t="shared" si="44"/>
        <v>12098424.59021947</v>
      </c>
      <c r="AR714" s="321">
        <f t="shared" si="44"/>
        <v>2405834.3252352895</v>
      </c>
      <c r="AS714" s="321">
        <f t="shared" si="44"/>
        <v>2401414.3422454172</v>
      </c>
      <c r="AT714" s="321">
        <f t="shared" si="44"/>
        <v>11529950.5241894</v>
      </c>
      <c r="AU714" s="321">
        <f t="shared" si="44"/>
        <v>18352992.442118678</v>
      </c>
      <c r="AV714" s="321">
        <f t="shared" si="44"/>
        <v>1005147.2505854745</v>
      </c>
      <c r="AW714" s="321">
        <f t="shared" si="44"/>
        <v>1802597.7431504999</v>
      </c>
      <c r="AX714" s="321">
        <f t="shared" si="44"/>
        <v>1003579.0280658579</v>
      </c>
      <c r="AY714" s="321">
        <f t="shared" si="44"/>
        <v>12064363.695985641</v>
      </c>
      <c r="AZ714" s="321">
        <f t="shared" si="44"/>
        <v>297763.60823974141</v>
      </c>
      <c r="BA714" s="321">
        <f>+BA712+BA713</f>
        <v>5757553.0715624997</v>
      </c>
      <c r="BB714" s="321">
        <f t="shared" ref="BB714:BG714" si="45">+BB712+BB713</f>
        <v>5757553.0715624997</v>
      </c>
      <c r="BC714" s="321">
        <f t="shared" si="45"/>
        <v>5757553.0715624997</v>
      </c>
      <c r="BD714" s="321">
        <f t="shared" si="45"/>
        <v>5757553.0715624997</v>
      </c>
      <c r="BE714" s="321">
        <f t="shared" si="45"/>
        <v>5757553.0715624997</v>
      </c>
      <c r="BF714" s="321">
        <f t="shared" si="45"/>
        <v>5757553.0715624997</v>
      </c>
      <c r="BG714" s="321">
        <f t="shared" si="45"/>
        <v>5757553.0715624997</v>
      </c>
      <c r="BH714" s="321">
        <f>+BH712+BH713</f>
        <v>5757553.0715624997</v>
      </c>
      <c r="BI714" s="321">
        <f>+BI712+BI713</f>
        <v>5757553.0715624997</v>
      </c>
      <c r="BJ714" s="321">
        <f>+BJ712+BJ713</f>
        <v>5757553.0715624997</v>
      </c>
      <c r="BK714" s="321">
        <f>+BK712+BK713</f>
        <v>5757553.0715624997</v>
      </c>
    </row>
    <row r="715" spans="1:63">
      <c r="A715" s="167"/>
      <c r="B715" s="210" t="s">
        <v>28</v>
      </c>
      <c r="C715" s="224"/>
      <c r="D715" s="224"/>
      <c r="E715" s="224"/>
      <c r="F715" s="224"/>
      <c r="G715" s="224"/>
      <c r="H715" s="224"/>
      <c r="I715" s="224"/>
      <c r="J715" s="224"/>
      <c r="K715" s="224"/>
      <c r="L715" s="224"/>
      <c r="M715" s="224"/>
      <c r="N715" s="224"/>
      <c r="O715" s="224"/>
      <c r="P715" s="224"/>
      <c r="Q715" s="224"/>
      <c r="R715" s="224"/>
      <c r="S715" s="224"/>
      <c r="T715" s="224"/>
      <c r="U715" s="224"/>
      <c r="V715" s="224">
        <f>'Perfil - interna'!V715+'Perfil - externa'!V713</f>
        <v>7088605.7712589251</v>
      </c>
      <c r="W715" s="224">
        <f>'Perfil - interna'!W715+'Perfil - externa'!W713</f>
        <v>66555950.062835008</v>
      </c>
      <c r="X715" s="224">
        <f>'Perfil - interna'!X715+'Perfil - externa'!X713</f>
        <v>33031738.341658525</v>
      </c>
      <c r="Y715" s="224">
        <f>'Perfil - interna'!Y715+'Perfil - externa'!Y713</f>
        <v>38576747.223283745</v>
      </c>
      <c r="Z715" s="224">
        <f>'Perfil - interna'!Z715+'Perfil - externa'!Z713</f>
        <v>42908873.262918979</v>
      </c>
      <c r="AA715" s="224">
        <f>'Perfil - interna'!AA715+'Perfil - externa'!AA713</f>
        <v>39309694.611500382</v>
      </c>
      <c r="AB715" s="224">
        <f>'Perfil - interna'!AB715+'Perfil - externa'!AB713</f>
        <v>46385126.475457676</v>
      </c>
      <c r="AC715" s="224">
        <f>'Perfil - interna'!AC715+'Perfil - externa'!AC713</f>
        <v>49999898.031164505</v>
      </c>
      <c r="AD715" s="224">
        <f>'Perfil - interna'!AD715+'Perfil - externa'!AD713</f>
        <v>39424271.785497792</v>
      </c>
      <c r="AE715" s="224">
        <f>'Perfil - interna'!AE715+'Perfil - externa'!AE713</f>
        <v>17179477.353159528</v>
      </c>
      <c r="AF715" s="224">
        <f>'Perfil - interna'!AF715+'Perfil - externa'!AF713</f>
        <v>34116466.065368868</v>
      </c>
      <c r="AG715" s="224">
        <f>'Perfil - interna'!AG715+'Perfil - externa'!AG713</f>
        <v>11099155.805954464</v>
      </c>
      <c r="AH715" s="224">
        <f>'Perfil - interna'!AH715+'Perfil - externa'!AH713</f>
        <v>29492429.853705954</v>
      </c>
      <c r="AI715" s="224">
        <f>'Perfil - interna'!AI715+'Perfil - externa'!AI713</f>
        <v>18662315.07278879</v>
      </c>
      <c r="AJ715" s="224">
        <f>'Perfil - interna'!AJ715+'Perfil - externa'!AJ713</f>
        <v>27195246.555511348</v>
      </c>
      <c r="AK715" s="224">
        <f>'Perfil - interna'!AK715+'Perfil - externa'!AK713</f>
        <v>20858035.148315795</v>
      </c>
      <c r="AL715" s="224">
        <f>'Perfil - interna'!AL715+'Perfil - externa'!AL713</f>
        <v>8355371.1882978473</v>
      </c>
      <c r="AM715" s="224">
        <f>'Perfil - interna'!AM715+'Perfil - externa'!AM713</f>
        <v>17831446.831335701</v>
      </c>
      <c r="AN715" s="224">
        <f>'Perfil - interna'!AN715+'Perfil - externa'!AN713</f>
        <v>1464191.491015289</v>
      </c>
      <c r="AO715" s="224">
        <f>'Perfil - interna'!AO715+'Perfil - externa'!AO713</f>
        <v>2664631.0653010029</v>
      </c>
      <c r="AP715" s="224">
        <f>'Perfil - interna'!AP715+'Perfil - externa'!AP713</f>
        <v>2958018.8294078507</v>
      </c>
      <c r="AQ715" s="224">
        <f>'Perfil - interna'!AQ715+'Perfil - externa'!AQ713</f>
        <v>9807691.8432009537</v>
      </c>
      <c r="AR715" s="224">
        <f>'Perfil - interna'!AR715+'Perfil - externa'!AR713</f>
        <v>110341.84320095398</v>
      </c>
      <c r="AS715" s="224">
        <f>'Perfil - interna'!AS715+'Perfil - externa'!AS713</f>
        <v>109636.5854503697</v>
      </c>
      <c r="AT715" s="224">
        <f>'Perfil - interna'!AT715+'Perfil - externa'!AT713</f>
        <v>9800870.5459918603</v>
      </c>
      <c r="AU715" s="224">
        <f>'Perfil - interna'!AU715+'Perfil - externa'!AU713</f>
        <v>17553508.735181052</v>
      </c>
      <c r="AV715" s="224">
        <f>'Perfil - interna'!AV715+'Perfil - externa'!AV713</f>
        <v>98278.735181050855</v>
      </c>
      <c r="AW715" s="224">
        <f>'Perfil - interna'!AW715+'Perfil - externa'!AW713</f>
        <v>98278.735181050855</v>
      </c>
      <c r="AX715" s="224">
        <f>'Perfil - interna'!AX715+'Perfil - externa'!AX713</f>
        <v>98278.735181050855</v>
      </c>
      <c r="AY715" s="224">
        <f>'Perfil - interna'!AY715+'Perfil - externa'!AY713</f>
        <v>12114719.232968353</v>
      </c>
      <c r="AZ715" s="224">
        <f>'Perfil - interna'!AZ715+'Perfil - externa'!AZ713</f>
        <v>5216227.9617413254</v>
      </c>
      <c r="BA715" s="224">
        <f>'Perfil - interna'!BA715+'Perfil - externa'!BA713</f>
        <v>5818410</v>
      </c>
      <c r="BB715" s="224">
        <f>'Perfil - interna'!BB715+'Perfil - externa'!BB713</f>
        <v>5818410</v>
      </c>
      <c r="BC715" s="224">
        <f>'Perfil - interna'!BC715+'Perfil - externa'!BC713</f>
        <v>5818410</v>
      </c>
      <c r="BD715" s="224">
        <f>'Perfil - interna'!BD715+'Perfil - externa'!BD713</f>
        <v>5818410</v>
      </c>
      <c r="BE715" s="224">
        <f>'Perfil - interna'!BE715+'Perfil - externa'!BE713</f>
        <v>5818410</v>
      </c>
      <c r="BF715" s="224">
        <f>'Perfil - interna'!BF715+'Perfil - externa'!BF713</f>
        <v>5818410</v>
      </c>
      <c r="BG715" s="224">
        <f>'Perfil - interna'!BG715+'Perfil - externa'!BG713</f>
        <v>5818410</v>
      </c>
      <c r="BH715" s="224">
        <f>'Perfil - interna'!BH715+'Perfil - externa'!BH713</f>
        <v>5818410</v>
      </c>
      <c r="BI715" s="224">
        <f>'Perfil - interna'!BI715+'Perfil - externa'!BI713</f>
        <v>5818410</v>
      </c>
      <c r="BJ715" s="224">
        <f>'Perfil - interna'!BJ715+'Perfil - externa'!BJ713</f>
        <v>5818410</v>
      </c>
      <c r="BK715" s="224">
        <f>'Perfil - interna'!BK715+'Perfil - externa'!BK713</f>
        <v>5818410</v>
      </c>
    </row>
    <row r="716" spans="1:63">
      <c r="A716" s="168">
        <v>44104</v>
      </c>
      <c r="B716" s="213" t="s">
        <v>385</v>
      </c>
      <c r="C716" s="224"/>
      <c r="D716" s="224"/>
      <c r="E716" s="224"/>
      <c r="F716" s="224"/>
      <c r="G716" s="224"/>
      <c r="H716" s="224"/>
      <c r="I716" s="224"/>
      <c r="J716" s="224"/>
      <c r="K716" s="224"/>
      <c r="L716" s="224"/>
      <c r="M716" s="224"/>
      <c r="N716" s="224"/>
      <c r="O716" s="224"/>
      <c r="P716" s="224"/>
      <c r="Q716" s="224"/>
      <c r="R716" s="224"/>
      <c r="S716" s="224"/>
      <c r="T716" s="224"/>
      <c r="U716" s="224"/>
      <c r="V716" s="224">
        <f>'Perfil - interna'!V716+'Perfil - externa'!V714</f>
        <v>5801726.2866729153</v>
      </c>
      <c r="W716" s="224">
        <f>'Perfil - interna'!W716+'Perfil - externa'!W714</f>
        <v>29018264.040061273</v>
      </c>
      <c r="X716" s="224">
        <f>'Perfil - interna'!X716+'Perfil - externa'!X714</f>
        <v>28346089.058394909</v>
      </c>
      <c r="Y716" s="224">
        <f>'Perfil - interna'!Y716+'Perfil - externa'!Y714</f>
        <v>26247282.182834234</v>
      </c>
      <c r="Z716" s="224">
        <f>'Perfil - interna'!Z716+'Perfil - externa'!Z714</f>
        <v>24317258.930526141</v>
      </c>
      <c r="AA716" s="224">
        <f>'Perfil - interna'!AA716+'Perfil - externa'!AA714</f>
        <v>21378426.90002175</v>
      </c>
      <c r="AB716" s="224">
        <f>'Perfil - interna'!AB716+'Perfil - externa'!AB714</f>
        <v>19424235.780532643</v>
      </c>
      <c r="AC716" s="224">
        <f>'Perfil - interna'!AC716+'Perfil - externa'!AC714</f>
        <v>16668797.720906515</v>
      </c>
      <c r="AD716" s="224">
        <f>'Perfil - interna'!AD716+'Perfil - externa'!AD714</f>
        <v>14674572.369654223</v>
      </c>
      <c r="AE716" s="224">
        <f>'Perfil - interna'!AE716+'Perfil - externa'!AE714</f>
        <v>12486619.90634859</v>
      </c>
      <c r="AF716" s="224">
        <f>'Perfil - interna'!AF716+'Perfil - externa'!AF714</f>
        <v>12043716.385581238</v>
      </c>
      <c r="AG716" s="224">
        <f>'Perfil - interna'!AG716+'Perfil - externa'!AG714</f>
        <v>10227142.188380726</v>
      </c>
      <c r="AH716" s="224">
        <f>'Perfil - interna'!AH716+'Perfil - externa'!AH714</f>
        <v>10068578.811626729</v>
      </c>
      <c r="AI716" s="224">
        <f>'Perfil - interna'!AI716+'Perfil - externa'!AI714</f>
        <v>8287334.3698004037</v>
      </c>
      <c r="AJ716" s="224">
        <f>'Perfil - interna'!AJ716+'Perfil - externa'!AJ714</f>
        <v>7675472.4364733007</v>
      </c>
      <c r="AK716" s="224">
        <f>'Perfil - interna'!AK716+'Perfil - externa'!AK714</f>
        <v>5991548.0427653352</v>
      </c>
      <c r="AL716" s="224">
        <f>'Perfil - interna'!AL716+'Perfil - externa'!AL714</f>
        <v>4758445.8687165827</v>
      </c>
      <c r="AM716" s="224">
        <f>'Perfil - interna'!AM716+'Perfil - externa'!AM714</f>
        <v>4630192.0496918391</v>
      </c>
      <c r="AN716" s="224">
        <f>'Perfil - interna'!AN716+'Perfil - externa'!AN714</f>
        <v>3542024.1725780256</v>
      </c>
      <c r="AO716" s="224">
        <f>'Perfil - interna'!AO716+'Perfil - externa'!AO714</f>
        <v>3514601.70899698</v>
      </c>
      <c r="AP716" s="224">
        <f>'Perfil - interna'!AP716+'Perfil - externa'!AP714</f>
        <v>3416926.731268194</v>
      </c>
      <c r="AQ716" s="224">
        <f>'Perfil - interna'!AQ716+'Perfil - externa'!AQ714</f>
        <v>3071441.8169296179</v>
      </c>
      <c r="AR716" s="224">
        <f>'Perfil - interna'!AR716+'Perfil - externa'!AR714</f>
        <v>2770708.6213127915</v>
      </c>
      <c r="AS716" s="224">
        <f>'Perfil - interna'!AS716+'Perfil - externa'!AS714</f>
        <v>2766956.6543837958</v>
      </c>
      <c r="AT716" s="224">
        <f>'Perfil - interna'!AT716+'Perfil - externa'!AT714</f>
        <v>2492171.3660734468</v>
      </c>
      <c r="AU716" s="224">
        <f>'Perfil - interna'!AU716+'Perfil - externa'!AU714</f>
        <v>1777799.7705841791</v>
      </c>
      <c r="AV716" s="224">
        <f>'Perfil - interna'!AV716+'Perfil - externa'!AV714</f>
        <v>1338319.095749184</v>
      </c>
      <c r="AW716" s="224">
        <f>'Perfil - interna'!AW716+'Perfil - externa'!AW714</f>
        <v>2135756.0163249788</v>
      </c>
      <c r="AX716" s="224">
        <f>'Perfil - interna'!AX716+'Perfil - externa'!AX714</f>
        <v>1336787.1632474675</v>
      </c>
      <c r="AY716" s="224">
        <f>'Perfil - interna'!AY716+'Perfil - externa'!AY714</f>
        <v>1147972.0124339783</v>
      </c>
      <c r="AZ716" s="224">
        <f>'Perfil - interna'!AZ716+'Perfil - externa'!AZ714</f>
        <v>617519.414346779</v>
      </c>
      <c r="BA716" s="224">
        <f>'Perfil - interna'!BA716+'Perfil - externa'!BA714</f>
        <v>120671.3990625</v>
      </c>
      <c r="BB716" s="224">
        <f>'Perfil - interna'!BB716+'Perfil - externa'!BB714</f>
        <v>120671.3990625</v>
      </c>
      <c r="BC716" s="224">
        <f>'Perfil - interna'!BC716+'Perfil - externa'!BC714</f>
        <v>120671.3990625</v>
      </c>
      <c r="BD716" s="224">
        <f>'Perfil - interna'!BD716+'Perfil - externa'!BD714</f>
        <v>120671.3990625</v>
      </c>
      <c r="BE716" s="224">
        <f>'Perfil - interna'!BE716+'Perfil - externa'!BE714</f>
        <v>120671.3990625</v>
      </c>
      <c r="BF716" s="224">
        <f>'Perfil - interna'!BF716+'Perfil - externa'!BF714</f>
        <v>120671.3990625</v>
      </c>
      <c r="BG716" s="224">
        <f>'Perfil - interna'!BG716+'Perfil - externa'!BG714</f>
        <v>120671.3990625</v>
      </c>
      <c r="BH716" s="224">
        <f>'Perfil - interna'!BH716+'Perfil - externa'!BH714</f>
        <v>120671.3990625</v>
      </c>
      <c r="BI716" s="224">
        <f>'Perfil - interna'!BI716+'Perfil - externa'!BI714</f>
        <v>120671.3990625</v>
      </c>
      <c r="BJ716" s="224">
        <f>'Perfil - interna'!BJ716+'Perfil - externa'!BJ714</f>
        <v>120671.3990625</v>
      </c>
      <c r="BK716" s="224">
        <f>'Perfil - interna'!BK716+'Perfil - externa'!BK714</f>
        <v>120671.3990625</v>
      </c>
    </row>
    <row r="717" spans="1:63">
      <c r="A717" s="171"/>
      <c r="B717" s="307" t="s">
        <v>29</v>
      </c>
      <c r="C717" s="321"/>
      <c r="D717" s="321"/>
      <c r="E717" s="321"/>
      <c r="F717" s="321"/>
      <c r="G717" s="321"/>
      <c r="H717" s="321"/>
      <c r="I717" s="321"/>
      <c r="J717" s="321"/>
      <c r="K717" s="321"/>
      <c r="L717" s="321"/>
      <c r="M717" s="321"/>
      <c r="N717" s="321"/>
      <c r="O717" s="321"/>
      <c r="P717" s="321"/>
      <c r="Q717" s="321"/>
      <c r="R717" s="321"/>
      <c r="S717" s="321"/>
      <c r="T717" s="321"/>
      <c r="U717" s="321"/>
      <c r="V717" s="321">
        <f>+V715+V716</f>
        <v>12890332.05793184</v>
      </c>
      <c r="W717" s="321">
        <f t="shared" ref="W717:AZ717" si="46">+W715+W716</f>
        <v>95574214.102896273</v>
      </c>
      <c r="X717" s="321">
        <f t="shared" si="46"/>
        <v>61377827.400053434</v>
      </c>
      <c r="Y717" s="321">
        <f t="shared" si="46"/>
        <v>64824029.406117976</v>
      </c>
      <c r="Z717" s="321">
        <f t="shared" si="46"/>
        <v>67226132.193445116</v>
      </c>
      <c r="AA717" s="321">
        <f t="shared" si="46"/>
        <v>60688121.511522129</v>
      </c>
      <c r="AB717" s="321">
        <f t="shared" si="46"/>
        <v>65809362.255990319</v>
      </c>
      <c r="AC717" s="321">
        <f t="shared" si="46"/>
        <v>66668695.752071023</v>
      </c>
      <c r="AD717" s="321">
        <f t="shared" si="46"/>
        <v>54098844.155152015</v>
      </c>
      <c r="AE717" s="321">
        <f t="shared" si="46"/>
        <v>29666097.259508118</v>
      </c>
      <c r="AF717" s="321">
        <f t="shared" si="46"/>
        <v>46160182.450950108</v>
      </c>
      <c r="AG717" s="321">
        <f t="shared" si="46"/>
        <v>21326297.994335189</v>
      </c>
      <c r="AH717" s="321">
        <f t="shared" si="46"/>
        <v>39561008.665332682</v>
      </c>
      <c r="AI717" s="321">
        <f t="shared" si="46"/>
        <v>26949649.442589194</v>
      </c>
      <c r="AJ717" s="321">
        <f t="shared" si="46"/>
        <v>34870718.99198465</v>
      </c>
      <c r="AK717" s="321">
        <f t="shared" si="46"/>
        <v>26849583.191081129</v>
      </c>
      <c r="AL717" s="321">
        <f t="shared" si="46"/>
        <v>13113817.05701443</v>
      </c>
      <c r="AM717" s="321">
        <f t="shared" si="46"/>
        <v>22461638.881027542</v>
      </c>
      <c r="AN717" s="321">
        <f t="shared" si="46"/>
        <v>5006215.6635933146</v>
      </c>
      <c r="AO717" s="321">
        <f t="shared" si="46"/>
        <v>6179232.7742979825</v>
      </c>
      <c r="AP717" s="321">
        <f t="shared" si="46"/>
        <v>6374945.5606760448</v>
      </c>
      <c r="AQ717" s="321">
        <f t="shared" si="46"/>
        <v>12879133.660130572</v>
      </c>
      <c r="AR717" s="321">
        <f t="shared" si="46"/>
        <v>2881050.4645137456</v>
      </c>
      <c r="AS717" s="321">
        <f t="shared" si="46"/>
        <v>2876593.2398341657</v>
      </c>
      <c r="AT717" s="321">
        <f t="shared" si="46"/>
        <v>12293041.912065307</v>
      </c>
      <c r="AU717" s="321">
        <f t="shared" si="46"/>
        <v>19331308.505765229</v>
      </c>
      <c r="AV717" s="321">
        <f t="shared" si="46"/>
        <v>1436597.8309302349</v>
      </c>
      <c r="AW717" s="321">
        <f t="shared" si="46"/>
        <v>2234034.7515060296</v>
      </c>
      <c r="AX717" s="321">
        <f t="shared" si="46"/>
        <v>1435065.8984285183</v>
      </c>
      <c r="AY717" s="321">
        <f t="shared" si="46"/>
        <v>13262691.245402331</v>
      </c>
      <c r="AZ717" s="321">
        <f t="shared" si="46"/>
        <v>5833747.3760881042</v>
      </c>
      <c r="BA717" s="321">
        <f>+BA715+BA716</f>
        <v>5939081.3990625003</v>
      </c>
      <c r="BB717" s="321">
        <f t="shared" ref="BB717:BG717" si="47">+BB715+BB716</f>
        <v>5939081.3990625003</v>
      </c>
      <c r="BC717" s="321">
        <f t="shared" si="47"/>
        <v>5939081.3990625003</v>
      </c>
      <c r="BD717" s="321">
        <f t="shared" si="47"/>
        <v>5939081.3990625003</v>
      </c>
      <c r="BE717" s="321">
        <f t="shared" si="47"/>
        <v>5939081.3990625003</v>
      </c>
      <c r="BF717" s="321">
        <f t="shared" si="47"/>
        <v>5939081.3990625003</v>
      </c>
      <c r="BG717" s="321">
        <f t="shared" si="47"/>
        <v>5939081.3990625003</v>
      </c>
      <c r="BH717" s="321">
        <f>+BH715+BH716</f>
        <v>5939081.3990625003</v>
      </c>
      <c r="BI717" s="321">
        <f>+BI715+BI716</f>
        <v>5939081.3990625003</v>
      </c>
      <c r="BJ717" s="321">
        <f>+BJ715+BJ716</f>
        <v>5939081.3990625003</v>
      </c>
      <c r="BK717" s="321">
        <f>+BK715+BK716</f>
        <v>5939081.3990625003</v>
      </c>
    </row>
    <row r="718" spans="1:63">
      <c r="A718" s="167"/>
      <c r="B718" s="210" t="s">
        <v>28</v>
      </c>
      <c r="C718" s="224"/>
      <c r="D718" s="224"/>
      <c r="E718" s="224"/>
      <c r="F718" s="224"/>
      <c r="G718" s="224"/>
      <c r="H718" s="224"/>
      <c r="I718" s="224"/>
      <c r="J718" s="224"/>
      <c r="K718" s="224"/>
      <c r="L718" s="224"/>
      <c r="M718" s="224"/>
      <c r="N718" s="224"/>
      <c r="O718" s="224"/>
      <c r="P718" s="224"/>
      <c r="Q718" s="224"/>
      <c r="R718" s="224"/>
      <c r="S718" s="224"/>
      <c r="T718" s="224"/>
      <c r="U718" s="224"/>
      <c r="V718" s="224">
        <f>'Perfil - interna'!V718+'Perfil - externa'!V716</f>
        <v>7259654.1539991312</v>
      </c>
      <c r="W718" s="224">
        <f>'Perfil - interna'!W718+'Perfil - externa'!W716</f>
        <v>66619567.61619623</v>
      </c>
      <c r="X718" s="224">
        <f>'Perfil - interna'!X718+'Perfil - externa'!X716</f>
        <v>31687618.942528609</v>
      </c>
      <c r="Y718" s="224">
        <f>'Perfil - interna'!Y718+'Perfil - externa'!Y716</f>
        <v>38522244.041205965</v>
      </c>
      <c r="Z718" s="224">
        <f>'Perfil - interna'!Z718+'Perfil - externa'!Z716</f>
        <v>42786205.000601321</v>
      </c>
      <c r="AA718" s="224">
        <f>'Perfil - interna'!AA718+'Perfil - externa'!AA716</f>
        <v>39251793.289962433</v>
      </c>
      <c r="AB718" s="224">
        <f>'Perfil - interna'!AB718+'Perfil - externa'!AB716</f>
        <v>46334526.603850707</v>
      </c>
      <c r="AC718" s="224">
        <f>'Perfil - interna'!AC718+'Perfil - externa'!AC716</f>
        <v>51587192.923208386</v>
      </c>
      <c r="AD718" s="224">
        <f>'Perfil - interna'!AD718+'Perfil - externa'!AD716</f>
        <v>39372919.468625978</v>
      </c>
      <c r="AE718" s="224">
        <f>'Perfil - interna'!AE718+'Perfil - externa'!AE716</f>
        <v>17259767.843775805</v>
      </c>
      <c r="AF718" s="224">
        <f>'Perfil - interna'!AF718+'Perfil - externa'!AF716</f>
        <v>34131128.992976278</v>
      </c>
      <c r="AG718" s="224">
        <f>'Perfil - interna'!AG718+'Perfil - externa'!AG716</f>
        <v>11017989.103853926</v>
      </c>
      <c r="AH718" s="224">
        <f>'Perfil - interna'!AH718+'Perfil - externa'!AH716</f>
        <v>29744066.486791968</v>
      </c>
      <c r="AI718" s="224">
        <f>'Perfil - interna'!AI718+'Perfil - externa'!AI716</f>
        <v>18609378.711849779</v>
      </c>
      <c r="AJ718" s="224">
        <f>'Perfil - interna'!AJ718+'Perfil - externa'!AJ716</f>
        <v>28509004.523477562</v>
      </c>
      <c r="AK718" s="224">
        <f>'Perfil - interna'!AK718+'Perfil - externa'!AK716</f>
        <v>20856851.075825412</v>
      </c>
      <c r="AL718" s="224">
        <f>'Perfil - interna'!AL718+'Perfil - externa'!AL716</f>
        <v>8365256.8420541845</v>
      </c>
      <c r="AM718" s="224">
        <f>'Perfil - interna'!AM718+'Perfil - externa'!AM716</f>
        <v>18581404.703072317</v>
      </c>
      <c r="AN718" s="224">
        <f>'Perfil - interna'!AN718+'Perfil - externa'!AN716</f>
        <v>1455008.0227299312</v>
      </c>
      <c r="AO718" s="224">
        <f>'Perfil - interna'!AO718+'Perfil - externa'!AO716</f>
        <v>2646345.9022537409</v>
      </c>
      <c r="AP718" s="224">
        <f>'Perfil - interna'!AP718+'Perfil - externa'!AP716</f>
        <v>2936760.4760574168</v>
      </c>
      <c r="AQ718" s="224">
        <f>'Perfil - interna'!AQ718+'Perfil - externa'!AQ716</f>
        <v>9734499.4864022452</v>
      </c>
      <c r="AR718" s="224">
        <f>'Perfil - interna'!AR718+'Perfil - externa'!AR716</f>
        <v>110674.4864022447</v>
      </c>
      <c r="AS718" s="224">
        <f>'Perfil - interna'!AS718+'Perfil - externa'!AS716</f>
        <v>109974.57589354728</v>
      </c>
      <c r="AT718" s="224">
        <f>'Perfil - interna'!AT718+'Perfil - externa'!AT716</f>
        <v>9727729.9080521502</v>
      </c>
      <c r="AU718" s="224">
        <f>'Perfil - interna'!AU718+'Perfil - externa'!AU716</f>
        <v>17421587.840484586</v>
      </c>
      <c r="AV718" s="224">
        <f>'Perfil - interna'!AV718+'Perfil - externa'!AV716</f>
        <v>98702.840484582222</v>
      </c>
      <c r="AW718" s="224">
        <f>'Perfil - interna'!AW718+'Perfil - externa'!AW716</f>
        <v>98702.840484582222</v>
      </c>
      <c r="AX718" s="224">
        <f>'Perfil - interna'!AX718+'Perfil - externa'!AX716</f>
        <v>98702.840484582222</v>
      </c>
      <c r="AY718" s="224">
        <f>'Perfil - interna'!AY718+'Perfil - externa'!AY716</f>
        <v>12573907.155369883</v>
      </c>
      <c r="AZ718" s="224">
        <f>'Perfil - interna'!AZ718+'Perfil - externa'!AZ716</f>
        <v>6077526.5092812143</v>
      </c>
      <c r="BA718" s="224">
        <f>'Perfil - interna'!BA718+'Perfil - externa'!BA716</f>
        <v>5774295</v>
      </c>
      <c r="BB718" s="224">
        <f>'Perfil - interna'!BB718+'Perfil - externa'!BB716</f>
        <v>5774295</v>
      </c>
      <c r="BC718" s="224">
        <f>'Perfil - interna'!BC718+'Perfil - externa'!BC716</f>
        <v>5774295</v>
      </c>
      <c r="BD718" s="224">
        <f>'Perfil - interna'!BD718+'Perfil - externa'!BD716</f>
        <v>5774295</v>
      </c>
      <c r="BE718" s="224">
        <f>'Perfil - interna'!BE718+'Perfil - externa'!BE716</f>
        <v>5774295</v>
      </c>
      <c r="BF718" s="224">
        <f>'Perfil - interna'!BF718+'Perfil - externa'!BF716</f>
        <v>5774295</v>
      </c>
      <c r="BG718" s="224">
        <f>'Perfil - interna'!BG718+'Perfil - externa'!BG716</f>
        <v>5774295</v>
      </c>
      <c r="BH718" s="224">
        <f>'Perfil - interna'!BH718+'Perfil - externa'!BH716</f>
        <v>5774295</v>
      </c>
      <c r="BI718" s="224">
        <f>'Perfil - interna'!BI718+'Perfil - externa'!BI716</f>
        <v>5774295</v>
      </c>
      <c r="BJ718" s="224">
        <f>'Perfil - interna'!BJ718+'Perfil - externa'!BJ716</f>
        <v>5774295</v>
      </c>
      <c r="BK718" s="224">
        <f>'Perfil - interna'!BK718+'Perfil - externa'!BK716</f>
        <v>5774295</v>
      </c>
    </row>
    <row r="719" spans="1:63">
      <c r="A719" s="168">
        <v>44135</v>
      </c>
      <c r="B719" s="213" t="s">
        <v>385</v>
      </c>
      <c r="C719" s="224"/>
      <c r="D719" s="224"/>
      <c r="E719" s="224"/>
      <c r="F719" s="224"/>
      <c r="G719" s="224"/>
      <c r="H719" s="224"/>
      <c r="I719" s="224"/>
      <c r="J719" s="224"/>
      <c r="K719" s="224"/>
      <c r="L719" s="224"/>
      <c r="M719" s="224"/>
      <c r="N719" s="224"/>
      <c r="O719" s="224"/>
      <c r="P719" s="224"/>
      <c r="Q719" s="224"/>
      <c r="R719" s="224"/>
      <c r="S719" s="224"/>
      <c r="T719" s="224"/>
      <c r="U719" s="224"/>
      <c r="V719" s="224">
        <f>'Perfil - interna'!V719+'Perfil - externa'!V717</f>
        <v>3439217.6511149816</v>
      </c>
      <c r="W719" s="224">
        <f>'Perfil - interna'!W719+'Perfil - externa'!W717</f>
        <v>29052179.987492241</v>
      </c>
      <c r="X719" s="224">
        <f>'Perfil - interna'!X719+'Perfil - externa'!X717</f>
        <v>28374877.924369801</v>
      </c>
      <c r="Y719" s="224">
        <f>'Perfil - interna'!Y719+'Perfil - externa'!Y717</f>
        <v>26327139.933313556</v>
      </c>
      <c r="Z719" s="224">
        <f>'Perfil - interna'!Z719+'Perfil - externa'!Z717</f>
        <v>24446294.256184991</v>
      </c>
      <c r="AA719" s="224">
        <f>'Perfil - interna'!AA719+'Perfil - externa'!AA717</f>
        <v>21478330.725020189</v>
      </c>
      <c r="AB719" s="224">
        <f>'Perfil - interna'!AB719+'Perfil - externa'!AB717</f>
        <v>19530593.510471378</v>
      </c>
      <c r="AC719" s="224">
        <f>'Perfil - interna'!AC719+'Perfil - externa'!AC717</f>
        <v>16747076.00085143</v>
      </c>
      <c r="AD719" s="224">
        <f>'Perfil - interna'!AD719+'Perfil - externa'!AD717</f>
        <v>14702314.36384242</v>
      </c>
      <c r="AE719" s="224">
        <f>'Perfil - interna'!AE719+'Perfil - externa'!AE717</f>
        <v>12492459.534500726</v>
      </c>
      <c r="AF719" s="224">
        <f>'Perfil - interna'!AF719+'Perfil - externa'!AF717</f>
        <v>12029420.889090616</v>
      </c>
      <c r="AG719" s="224">
        <f>'Perfil - interna'!AG719+'Perfil - externa'!AG717</f>
        <v>10167066.866407871</v>
      </c>
      <c r="AH719" s="224">
        <f>'Perfil - interna'!AH719+'Perfil - externa'!AH717</f>
        <v>9979560.8238573987</v>
      </c>
      <c r="AI719" s="224">
        <f>'Perfil - interna'!AI719+'Perfil - externa'!AI717</f>
        <v>8150887.8519975394</v>
      </c>
      <c r="AJ719" s="224">
        <f>'Perfil - interna'!AJ719+'Perfil - externa'!AJ717</f>
        <v>7588931.2344954452</v>
      </c>
      <c r="AK719" s="224">
        <f>'Perfil - interna'!AK719+'Perfil - externa'!AK717</f>
        <v>5783201.4256137647</v>
      </c>
      <c r="AL719" s="224">
        <f>'Perfil - interna'!AL719+'Perfil - externa'!AL717</f>
        <v>4727977.9613713957</v>
      </c>
      <c r="AM719" s="224">
        <f>'Perfil - interna'!AM719+'Perfil - externa'!AM717</f>
        <v>4589929.1382215144</v>
      </c>
      <c r="AN719" s="224">
        <f>'Perfil - interna'!AN719+'Perfil - externa'!AN717</f>
        <v>3551614.8361299378</v>
      </c>
      <c r="AO719" s="224">
        <f>'Perfil - interna'!AO719+'Perfil - externa'!AO717</f>
        <v>3520502.4038406489</v>
      </c>
      <c r="AP719" s="224">
        <f>'Perfil - interna'!AP719+'Perfil - externa'!AP717</f>
        <v>3419510.3094979809</v>
      </c>
      <c r="AQ719" s="224">
        <f>'Perfil - interna'!AQ719+'Perfil - externa'!AQ717</f>
        <v>3076596.7527756072</v>
      </c>
      <c r="AR719" s="224">
        <f>'Perfil - interna'!AR719+'Perfil - externa'!AR717</f>
        <v>2778096.3001681333</v>
      </c>
      <c r="AS719" s="224">
        <f>'Perfil - interna'!AS719+'Perfil - externa'!AS717</f>
        <v>2774325.3669012166</v>
      </c>
      <c r="AT719" s="224">
        <f>'Perfil - interna'!AT719+'Perfil - externa'!AT717</f>
        <v>2501579.8336426802</v>
      </c>
      <c r="AU719" s="224">
        <f>'Perfil - interna'!AU719+'Perfil - externa'!AU717</f>
        <v>1792590.4516198775</v>
      </c>
      <c r="AV719" s="224">
        <f>'Perfil - interna'!AV719+'Perfil - externa'!AV717</f>
        <v>1356411.0267660248</v>
      </c>
      <c r="AW719" s="224">
        <f>'Perfil - interna'!AW719+'Perfil - externa'!AW717</f>
        <v>2153778.5481978222</v>
      </c>
      <c r="AX719" s="224">
        <f>'Perfil - interna'!AX719+'Perfil - externa'!AX717</f>
        <v>1354851.69561453</v>
      </c>
      <c r="AY719" s="224">
        <f>'Perfil - interna'!AY719+'Perfil - externa'!AY717</f>
        <v>1167448.7927942469</v>
      </c>
      <c r="AZ719" s="224">
        <f>'Perfil - interna'!AZ719+'Perfil - externa'!AZ717</f>
        <v>615676.61701223732</v>
      </c>
      <c r="BA719" s="224">
        <f>'Perfil - interna'!BA719+'Perfil - externa'!BA717</f>
        <v>119756.47234375001</v>
      </c>
      <c r="BB719" s="224">
        <f>'Perfil - interna'!BB719+'Perfil - externa'!BB717</f>
        <v>119756.47234375001</v>
      </c>
      <c r="BC719" s="224">
        <f>'Perfil - interna'!BC719+'Perfil - externa'!BC717</f>
        <v>119756.47234375001</v>
      </c>
      <c r="BD719" s="224">
        <f>'Perfil - interna'!BD719+'Perfil - externa'!BD717</f>
        <v>119756.47234375001</v>
      </c>
      <c r="BE719" s="224">
        <f>'Perfil - interna'!BE719+'Perfil - externa'!BE717</f>
        <v>119756.47234375001</v>
      </c>
      <c r="BF719" s="224">
        <f>'Perfil - interna'!BF719+'Perfil - externa'!BF717</f>
        <v>119756.47234375001</v>
      </c>
      <c r="BG719" s="224">
        <f>'Perfil - interna'!BG719+'Perfil - externa'!BG717</f>
        <v>119756.47234375001</v>
      </c>
      <c r="BH719" s="224">
        <f>'Perfil - interna'!BH719+'Perfil - externa'!BH717</f>
        <v>119756.47234375001</v>
      </c>
      <c r="BI719" s="224">
        <f>'Perfil - interna'!BI719+'Perfil - externa'!BI717</f>
        <v>119756.47234375001</v>
      </c>
      <c r="BJ719" s="224">
        <f>'Perfil - interna'!BJ719+'Perfil - externa'!BJ717</f>
        <v>119756.47234375001</v>
      </c>
      <c r="BK719" s="224">
        <f>'Perfil - interna'!BK719+'Perfil - externa'!BK717</f>
        <v>119756.47234375001</v>
      </c>
    </row>
    <row r="720" spans="1:63">
      <c r="A720" s="171"/>
      <c r="B720" s="307" t="s">
        <v>29</v>
      </c>
      <c r="C720" s="321"/>
      <c r="D720" s="321"/>
      <c r="E720" s="321"/>
      <c r="F720" s="321"/>
      <c r="G720" s="321"/>
      <c r="H720" s="321"/>
      <c r="I720" s="321"/>
      <c r="J720" s="321"/>
      <c r="K720" s="321"/>
      <c r="L720" s="321"/>
      <c r="M720" s="321"/>
      <c r="N720" s="321"/>
      <c r="O720" s="321"/>
      <c r="P720" s="321"/>
      <c r="Q720" s="321"/>
      <c r="R720" s="321"/>
      <c r="S720" s="321"/>
      <c r="T720" s="321"/>
      <c r="U720" s="321"/>
      <c r="V720" s="321">
        <f>+V718+V719</f>
        <v>10698871.805114113</v>
      </c>
      <c r="W720" s="321">
        <f t="shared" ref="W720:AZ720" si="48">+W718+W719</f>
        <v>95671747.603688478</v>
      </c>
      <c r="X720" s="321">
        <f t="shared" si="48"/>
        <v>60062496.86689841</v>
      </c>
      <c r="Y720" s="321">
        <f t="shared" si="48"/>
        <v>64849383.974519521</v>
      </c>
      <c r="Z720" s="321">
        <f t="shared" si="48"/>
        <v>67232499.256786317</v>
      </c>
      <c r="AA720" s="321">
        <f t="shared" si="48"/>
        <v>60730124.014982626</v>
      </c>
      <c r="AB720" s="321">
        <f t="shared" si="48"/>
        <v>65865120.114322081</v>
      </c>
      <c r="AC720" s="321">
        <f t="shared" si="48"/>
        <v>68334268.924059808</v>
      </c>
      <c r="AD720" s="321">
        <f t="shared" si="48"/>
        <v>54075233.832468398</v>
      </c>
      <c r="AE720" s="321">
        <f t="shared" si="48"/>
        <v>29752227.378276531</v>
      </c>
      <c r="AF720" s="321">
        <f t="shared" si="48"/>
        <v>46160549.882066891</v>
      </c>
      <c r="AG720" s="321">
        <f t="shared" si="48"/>
        <v>21185055.970261797</v>
      </c>
      <c r="AH720" s="321">
        <f t="shared" si="48"/>
        <v>39723627.310649365</v>
      </c>
      <c r="AI720" s="321">
        <f t="shared" si="48"/>
        <v>26760266.563847318</v>
      </c>
      <c r="AJ720" s="321">
        <f t="shared" si="48"/>
        <v>36097935.757973008</v>
      </c>
      <c r="AK720" s="321">
        <f t="shared" si="48"/>
        <v>26640052.501439176</v>
      </c>
      <c r="AL720" s="321">
        <f t="shared" si="48"/>
        <v>13093234.80342558</v>
      </c>
      <c r="AM720" s="321">
        <f t="shared" si="48"/>
        <v>23171333.84129383</v>
      </c>
      <c r="AN720" s="321">
        <f t="shared" si="48"/>
        <v>5006622.8588598687</v>
      </c>
      <c r="AO720" s="321">
        <f t="shared" si="48"/>
        <v>6166848.3060943894</v>
      </c>
      <c r="AP720" s="321">
        <f t="shared" si="48"/>
        <v>6356270.7855553981</v>
      </c>
      <c r="AQ720" s="321">
        <f t="shared" si="48"/>
        <v>12811096.239177853</v>
      </c>
      <c r="AR720" s="321">
        <f t="shared" si="48"/>
        <v>2888770.7865703781</v>
      </c>
      <c r="AS720" s="321">
        <f t="shared" si="48"/>
        <v>2884299.9427947639</v>
      </c>
      <c r="AT720" s="321">
        <f t="shared" si="48"/>
        <v>12229309.74169483</v>
      </c>
      <c r="AU720" s="321">
        <f t="shared" si="48"/>
        <v>19214178.292104464</v>
      </c>
      <c r="AV720" s="321">
        <f t="shared" si="48"/>
        <v>1455113.8672506069</v>
      </c>
      <c r="AW720" s="321">
        <f t="shared" si="48"/>
        <v>2252481.3886824045</v>
      </c>
      <c r="AX720" s="321">
        <f t="shared" si="48"/>
        <v>1453554.5360991121</v>
      </c>
      <c r="AY720" s="321">
        <f t="shared" si="48"/>
        <v>13741355.94816413</v>
      </c>
      <c r="AZ720" s="321">
        <f t="shared" si="48"/>
        <v>6693203.1262934515</v>
      </c>
      <c r="BA720" s="321">
        <f>+BA718+BA719</f>
        <v>5894051.4723437503</v>
      </c>
      <c r="BB720" s="321">
        <f t="shared" ref="BB720:BG720" si="49">+BB718+BB719</f>
        <v>5894051.4723437503</v>
      </c>
      <c r="BC720" s="321">
        <f t="shared" si="49"/>
        <v>5894051.4723437503</v>
      </c>
      <c r="BD720" s="321">
        <f t="shared" si="49"/>
        <v>5894051.4723437503</v>
      </c>
      <c r="BE720" s="321">
        <f t="shared" si="49"/>
        <v>5894051.4723437503</v>
      </c>
      <c r="BF720" s="321">
        <f t="shared" si="49"/>
        <v>5894051.4723437503</v>
      </c>
      <c r="BG720" s="321">
        <f t="shared" si="49"/>
        <v>5894051.4723437503</v>
      </c>
      <c r="BH720" s="321">
        <f>+BH718+BH719</f>
        <v>5894051.4723437503</v>
      </c>
      <c r="BI720" s="321">
        <f>+BI718+BI719</f>
        <v>5894051.4723437503</v>
      </c>
      <c r="BJ720" s="321">
        <f>+BJ718+BJ719</f>
        <v>5894051.4723437503</v>
      </c>
      <c r="BK720" s="321">
        <f>+BK718+BK719</f>
        <v>5894051.4723437503</v>
      </c>
    </row>
    <row r="721" spans="1:63">
      <c r="A721" s="167"/>
      <c r="B721" s="210" t="s">
        <v>28</v>
      </c>
      <c r="C721" s="224"/>
      <c r="D721" s="224"/>
      <c r="E721" s="224"/>
      <c r="F721" s="224"/>
      <c r="G721" s="224"/>
      <c r="H721" s="224"/>
      <c r="I721" s="224"/>
      <c r="J721" s="224"/>
      <c r="K721" s="224"/>
      <c r="L721" s="224"/>
      <c r="M721" s="224"/>
      <c r="N721" s="224"/>
      <c r="O721" s="224"/>
      <c r="P721" s="224"/>
      <c r="Q721" s="224"/>
      <c r="R721" s="224"/>
      <c r="S721" s="224"/>
      <c r="T721" s="224"/>
      <c r="U721" s="224"/>
      <c r="V721" s="224">
        <f>'Perfil - interna'!V721+'Perfil - externa'!V719</f>
        <v>4205308.0922020432</v>
      </c>
      <c r="W721" s="224">
        <f>'Perfil - interna'!W721+'Perfil - externa'!W719</f>
        <v>69335187.701150075</v>
      </c>
      <c r="X721" s="224">
        <f>'Perfil - interna'!X721+'Perfil - externa'!X719</f>
        <v>31476777.452700634</v>
      </c>
      <c r="Y721" s="224">
        <f>'Perfil - interna'!Y721+'Perfil - externa'!Y719</f>
        <v>38123909.162688807</v>
      </c>
      <c r="Z721" s="224">
        <f>'Perfil - interna'!Z721+'Perfil - externa'!Z719</f>
        <v>41752513.675373338</v>
      </c>
      <c r="AA721" s="224">
        <f>'Perfil - interna'!AA721+'Perfil - externa'!AA719</f>
        <v>38774156.029217549</v>
      </c>
      <c r="AB721" s="224">
        <f>'Perfil - interna'!AB721+'Perfil - externa'!AB719</f>
        <v>45363778.889324136</v>
      </c>
      <c r="AC721" s="224">
        <f>'Perfil - interna'!AC721+'Perfil - externa'!AC719</f>
        <v>51690725.301247373</v>
      </c>
      <c r="AD721" s="224">
        <f>'Perfil - interna'!AD721+'Perfil - externa'!AD719</f>
        <v>38885293.119314946</v>
      </c>
      <c r="AE721" s="224">
        <f>'Perfil - interna'!AE721+'Perfil - externa'!AE719</f>
        <v>16444321.165240539</v>
      </c>
      <c r="AF721" s="224">
        <f>'Perfil - interna'!AF721+'Perfil - externa'!AF719</f>
        <v>33416408.794807389</v>
      </c>
      <c r="AG721" s="224">
        <f>'Perfil - interna'!AG721+'Perfil - externa'!AG719</f>
        <v>10343312.275316793</v>
      </c>
      <c r="AH721" s="224">
        <f>'Perfil - interna'!AH721+'Perfil - externa'!AH719</f>
        <v>29385320.785911161</v>
      </c>
      <c r="AI721" s="224">
        <f>'Perfil - interna'!AI721+'Perfil - externa'!AI719</f>
        <v>18209698.928973749</v>
      </c>
      <c r="AJ721" s="224">
        <f>'Perfil - interna'!AJ721+'Perfil - externa'!AJ719</f>
        <v>29917776.561954089</v>
      </c>
      <c r="AK721" s="224">
        <f>'Perfil - interna'!AK721+'Perfil - externa'!AK719</f>
        <v>20635740.951987155</v>
      </c>
      <c r="AL721" s="224">
        <f>'Perfil - interna'!AL721+'Perfil - externa'!AL719</f>
        <v>7924752.3385613095</v>
      </c>
      <c r="AM721" s="224">
        <f>'Perfil - interna'!AM721+'Perfil - externa'!AM719</f>
        <v>18601793.090459242</v>
      </c>
      <c r="AN721" s="224">
        <f>'Perfil - interna'!AN721+'Perfil - externa'!AN719</f>
        <v>1366276.3207354129</v>
      </c>
      <c r="AO721" s="224">
        <f>'Perfil - interna'!AO721+'Perfil - externa'!AO719</f>
        <v>2483931.0140687469</v>
      </c>
      <c r="AP721" s="224">
        <f>'Perfil - interna'!AP721+'Perfil - externa'!AP719</f>
        <v>2756383.7052849592</v>
      </c>
      <c r="AQ721" s="224">
        <f>'Perfil - interna'!AQ721+'Perfil - externa'!AQ719</f>
        <v>9133688.6156297866</v>
      </c>
      <c r="AR721" s="224">
        <f>'Perfil - interna'!AR721+'Perfil - externa'!AR719</f>
        <v>105088.61562978708</v>
      </c>
      <c r="AS721" s="224">
        <f>'Perfil - interna'!AS721+'Perfil - externa'!AS719</f>
        <v>104431.99396232894</v>
      </c>
      <c r="AT721" s="224">
        <f>'Perfil - interna'!AT721+'Perfil - externa'!AT719</f>
        <v>9127337.7296679504</v>
      </c>
      <c r="AU721" s="224">
        <f>'Perfil - interna'!AU721+'Perfil - externa'!AU719</f>
        <v>16345337.405343629</v>
      </c>
      <c r="AV721" s="224">
        <f>'Perfil - interna'!AV721+'Perfil - externa'!AV719</f>
        <v>93857.405343626699</v>
      </c>
      <c r="AW721" s="224">
        <f>'Perfil - interna'!AW721+'Perfil - externa'!AW719</f>
        <v>93857.405343626699</v>
      </c>
      <c r="AX721" s="224">
        <f>'Perfil - interna'!AX721+'Perfil - externa'!AX719</f>
        <v>93857.405343626699</v>
      </c>
      <c r="AY721" s="224">
        <f>'Perfil - interna'!AY721+'Perfil - externa'!AY719</f>
        <v>12544356.497078126</v>
      </c>
      <c r="AZ721" s="224">
        <f>'Perfil - interna'!AZ721+'Perfil - externa'!AZ719</f>
        <v>6931389.8040516255</v>
      </c>
      <c r="BA721" s="224">
        <f>'Perfil - interna'!BA721+'Perfil - externa'!BA719</f>
        <v>5417160</v>
      </c>
      <c r="BB721" s="224">
        <f>'Perfil - interna'!BB721+'Perfil - externa'!BB719</f>
        <v>5417160</v>
      </c>
      <c r="BC721" s="224">
        <f>'Perfil - interna'!BC721+'Perfil - externa'!BC719</f>
        <v>5417160</v>
      </c>
      <c r="BD721" s="224">
        <f>'Perfil - interna'!BD721+'Perfil - externa'!BD719</f>
        <v>5417160</v>
      </c>
      <c r="BE721" s="224">
        <f>'Perfil - interna'!BE721+'Perfil - externa'!BE719</f>
        <v>5417160</v>
      </c>
      <c r="BF721" s="224">
        <f>'Perfil - interna'!BF721+'Perfil - externa'!BF719</f>
        <v>5417160</v>
      </c>
      <c r="BG721" s="224">
        <f>'Perfil - interna'!BG721+'Perfil - externa'!BG719</f>
        <v>5417160</v>
      </c>
      <c r="BH721" s="224">
        <f>'Perfil - interna'!BH721+'Perfil - externa'!BH719</f>
        <v>5417160</v>
      </c>
      <c r="BI721" s="224">
        <f>'Perfil - interna'!BI721+'Perfil - externa'!BI719</f>
        <v>5417160</v>
      </c>
      <c r="BJ721" s="224">
        <f>'Perfil - interna'!BJ721+'Perfil - externa'!BJ719</f>
        <v>5417160</v>
      </c>
      <c r="BK721" s="224">
        <f>'Perfil - interna'!BK721+'Perfil - externa'!BK719</f>
        <v>5417160</v>
      </c>
    </row>
    <row r="722" spans="1:63">
      <c r="A722" s="168">
        <v>44165</v>
      </c>
      <c r="B722" s="213" t="s">
        <v>385</v>
      </c>
      <c r="C722" s="224"/>
      <c r="D722" s="224"/>
      <c r="E722" s="224"/>
      <c r="F722" s="224"/>
      <c r="G722" s="224"/>
      <c r="H722" s="224"/>
      <c r="I722" s="224"/>
      <c r="J722" s="224"/>
      <c r="K722" s="224"/>
      <c r="L722" s="224"/>
      <c r="M722" s="224"/>
      <c r="N722" s="224"/>
      <c r="O722" s="224"/>
      <c r="P722" s="224"/>
      <c r="Q722" s="224"/>
      <c r="R722" s="224"/>
      <c r="S722" s="224"/>
      <c r="T722" s="224"/>
      <c r="U722" s="224"/>
      <c r="V722" s="224">
        <f>'Perfil - interna'!V722+'Perfil - externa'!V720</f>
        <v>657990.07654182671</v>
      </c>
      <c r="W722" s="224">
        <f>'Perfil - interna'!W722+'Perfil - externa'!W720</f>
        <v>28893260.806220748</v>
      </c>
      <c r="X722" s="224">
        <f>'Perfil - interna'!X722+'Perfil - externa'!X720</f>
        <v>28277965.755190868</v>
      </c>
      <c r="Y722" s="224">
        <f>'Perfil - interna'!Y722+'Perfil - externa'!Y720</f>
        <v>26285685.364789903</v>
      </c>
      <c r="Z722" s="224">
        <f>'Perfil - interna'!Z722+'Perfil - externa'!Z720</f>
        <v>24410651.167218145</v>
      </c>
      <c r="AA722" s="224">
        <f>'Perfil - interna'!AA722+'Perfil - externa'!AA720</f>
        <v>21504028.997838371</v>
      </c>
      <c r="AB722" s="224">
        <f>'Perfil - interna'!AB722+'Perfil - externa'!AB720</f>
        <v>19583781.090136342</v>
      </c>
      <c r="AC722" s="224">
        <f>'Perfil - interna'!AC722+'Perfil - externa'!AC720</f>
        <v>16870896.764129423</v>
      </c>
      <c r="AD722" s="224">
        <f>'Perfil - interna'!AD722+'Perfil - externa'!AD720</f>
        <v>14757974.837347519</v>
      </c>
      <c r="AE722" s="224">
        <f>'Perfil - interna'!AE722+'Perfil - externa'!AE720</f>
        <v>12597853.442668065</v>
      </c>
      <c r="AF722" s="224">
        <f>'Perfil - interna'!AF722+'Perfil - externa'!AF720</f>
        <v>12180301.295401115</v>
      </c>
      <c r="AG722" s="224">
        <f>'Perfil - interna'!AG722+'Perfil - externa'!AG720</f>
        <v>10384841.290517189</v>
      </c>
      <c r="AH722" s="224">
        <f>'Perfil - interna'!AH722+'Perfil - externa'!AH720</f>
        <v>10220443.22623302</v>
      </c>
      <c r="AI722" s="224">
        <f>'Perfil - interna'!AI722+'Perfil - externa'!AI720</f>
        <v>8409871.2200756446</v>
      </c>
      <c r="AJ722" s="224">
        <f>'Perfil - interna'!AJ722+'Perfil - externa'!AJ720</f>
        <v>7808330.9286193345</v>
      </c>
      <c r="AK722" s="224">
        <f>'Perfil - interna'!AK722+'Perfil - externa'!AK720</f>
        <v>5893779.8754174169</v>
      </c>
      <c r="AL722" s="224">
        <f>'Perfil - interna'!AL722+'Perfil - externa'!AL720</f>
        <v>4721400.0632120483</v>
      </c>
      <c r="AM722" s="224">
        <f>'Perfil - interna'!AM722+'Perfil - externa'!AM720</f>
        <v>4594315.4033114295</v>
      </c>
      <c r="AN722" s="224">
        <f>'Perfil - interna'!AN722+'Perfil - externa'!AN720</f>
        <v>3499463.0405008085</v>
      </c>
      <c r="AO722" s="224">
        <f>'Perfil - interna'!AO722+'Perfil - externa'!AO720</f>
        <v>3471686.730306807</v>
      </c>
      <c r="AP722" s="224">
        <f>'Perfil - interna'!AP722+'Perfil - externa'!AP720</f>
        <v>3378391.5443327394</v>
      </c>
      <c r="AQ722" s="224">
        <f>'Perfil - interna'!AQ722+'Perfil - externa'!AQ720</f>
        <v>3056559.3982206932</v>
      </c>
      <c r="AR722" s="224">
        <f>'Perfil - interna'!AR722+'Perfil - externa'!AR720</f>
        <v>2776393.9051682735</v>
      </c>
      <c r="AS722" s="224">
        <f>'Perfil - interna'!AS722+'Perfil - externa'!AS720</f>
        <v>2772729.1762278024</v>
      </c>
      <c r="AT722" s="224">
        <f>'Perfil - interna'!AT722+'Perfil - externa'!AT720</f>
        <v>2516722.9095005477</v>
      </c>
      <c r="AU722" s="224">
        <f>'Perfil - interna'!AU722+'Perfil - externa'!AU720</f>
        <v>1851443.9259839207</v>
      </c>
      <c r="AV722" s="224">
        <f>'Perfil - interna'!AV722+'Perfil - externa'!AV720</f>
        <v>1442125.9006015509</v>
      </c>
      <c r="AW722" s="224">
        <f>'Perfil - interna'!AW722+'Perfil - externa'!AW720</f>
        <v>2238089.5638026209</v>
      </c>
      <c r="AX722" s="224">
        <f>'Perfil - interna'!AX722+'Perfil - externa'!AX720</f>
        <v>1440615.7471883302</v>
      </c>
      <c r="AY722" s="224">
        <f>'Perfil - interna'!AY722+'Perfil - externa'!AY720</f>
        <v>1264782.7156442218</v>
      </c>
      <c r="AZ722" s="224">
        <f>'Perfil - interna'!AZ722+'Perfil - externa'!AZ720</f>
        <v>600716.77305341978</v>
      </c>
      <c r="BA722" s="224">
        <f>'Perfil - interna'!BA722+'Perfil - externa'!BA720</f>
        <v>112349.64125</v>
      </c>
      <c r="BB722" s="224">
        <f>'Perfil - interna'!BB722+'Perfil - externa'!BB720</f>
        <v>112349.64125</v>
      </c>
      <c r="BC722" s="224">
        <f>'Perfil - interna'!BC722+'Perfil - externa'!BC720</f>
        <v>112349.64125</v>
      </c>
      <c r="BD722" s="224">
        <f>'Perfil - interna'!BD722+'Perfil - externa'!BD720</f>
        <v>112349.64125</v>
      </c>
      <c r="BE722" s="224">
        <f>'Perfil - interna'!BE722+'Perfil - externa'!BE720</f>
        <v>112349.64125</v>
      </c>
      <c r="BF722" s="224">
        <f>'Perfil - interna'!BF722+'Perfil - externa'!BF720</f>
        <v>112349.64125</v>
      </c>
      <c r="BG722" s="224">
        <f>'Perfil - interna'!BG722+'Perfil - externa'!BG720</f>
        <v>112349.64125</v>
      </c>
      <c r="BH722" s="224">
        <f>'Perfil - interna'!BH722+'Perfil - externa'!BH720</f>
        <v>112349.64125</v>
      </c>
      <c r="BI722" s="224">
        <f>'Perfil - interna'!BI722+'Perfil - externa'!BI720</f>
        <v>112349.64125</v>
      </c>
      <c r="BJ722" s="224">
        <f>'Perfil - interna'!BJ722+'Perfil - externa'!BJ720</f>
        <v>112349.64125</v>
      </c>
      <c r="BK722" s="224">
        <f>'Perfil - interna'!BK722+'Perfil - externa'!BK720</f>
        <v>112349.64125</v>
      </c>
    </row>
    <row r="723" spans="1:63">
      <c r="A723" s="171"/>
      <c r="B723" s="307" t="s">
        <v>29</v>
      </c>
      <c r="C723" s="321"/>
      <c r="D723" s="321"/>
      <c r="E723" s="321"/>
      <c r="F723" s="321"/>
      <c r="G723" s="321"/>
      <c r="H723" s="321"/>
      <c r="I723" s="321"/>
      <c r="J723" s="321"/>
      <c r="K723" s="321"/>
      <c r="L723" s="321"/>
      <c r="M723" s="321"/>
      <c r="N723" s="321"/>
      <c r="O723" s="321"/>
      <c r="P723" s="321"/>
      <c r="Q723" s="321"/>
      <c r="R723" s="321"/>
      <c r="S723" s="321"/>
      <c r="T723" s="321"/>
      <c r="U723" s="321"/>
      <c r="V723" s="321">
        <f>+V721+V722</f>
        <v>4863298.1687438702</v>
      </c>
      <c r="W723" s="321">
        <f t="shared" ref="W723:AZ723" si="50">+W721+W722</f>
        <v>98228448.50737083</v>
      </c>
      <c r="X723" s="321">
        <f t="shared" si="50"/>
        <v>59754743.207891501</v>
      </c>
      <c r="Y723" s="321">
        <f t="shared" si="50"/>
        <v>64409594.52747871</v>
      </c>
      <c r="Z723" s="321">
        <f t="shared" si="50"/>
        <v>66163164.842591479</v>
      </c>
      <c r="AA723" s="321">
        <f t="shared" si="50"/>
        <v>60278185.027055919</v>
      </c>
      <c r="AB723" s="321">
        <f t="shared" si="50"/>
        <v>64947559.979460478</v>
      </c>
      <c r="AC723" s="321">
        <f t="shared" si="50"/>
        <v>68561622.065376788</v>
      </c>
      <c r="AD723" s="321">
        <f t="shared" si="50"/>
        <v>53643267.956662461</v>
      </c>
      <c r="AE723" s="321">
        <f t="shared" si="50"/>
        <v>29042174.607908607</v>
      </c>
      <c r="AF723" s="321">
        <f t="shared" si="50"/>
        <v>45596710.090208501</v>
      </c>
      <c r="AG723" s="321">
        <f t="shared" si="50"/>
        <v>20728153.565833982</v>
      </c>
      <c r="AH723" s="321">
        <f t="shared" si="50"/>
        <v>39605764.012144178</v>
      </c>
      <c r="AI723" s="321">
        <f t="shared" si="50"/>
        <v>26619570.149049394</v>
      </c>
      <c r="AJ723" s="321">
        <f t="shared" si="50"/>
        <v>37726107.490573421</v>
      </c>
      <c r="AK723" s="321">
        <f t="shared" si="50"/>
        <v>26529520.827404574</v>
      </c>
      <c r="AL723" s="321">
        <f t="shared" si="50"/>
        <v>12646152.401773358</v>
      </c>
      <c r="AM723" s="321">
        <f t="shared" si="50"/>
        <v>23196108.493770674</v>
      </c>
      <c r="AN723" s="321">
        <f t="shared" si="50"/>
        <v>4865739.3612362212</v>
      </c>
      <c r="AO723" s="321">
        <f t="shared" si="50"/>
        <v>5955617.7443755539</v>
      </c>
      <c r="AP723" s="321">
        <f t="shared" si="50"/>
        <v>6134775.2496176986</v>
      </c>
      <c r="AQ723" s="321">
        <f t="shared" si="50"/>
        <v>12190248.01385048</v>
      </c>
      <c r="AR723" s="321">
        <f t="shared" si="50"/>
        <v>2881482.5207980606</v>
      </c>
      <c r="AS723" s="321">
        <f t="shared" si="50"/>
        <v>2877161.1701901313</v>
      </c>
      <c r="AT723" s="321">
        <f t="shared" si="50"/>
        <v>11644060.639168497</v>
      </c>
      <c r="AU723" s="321">
        <f t="shared" si="50"/>
        <v>18196781.33132755</v>
      </c>
      <c r="AV723" s="321">
        <f t="shared" si="50"/>
        <v>1535983.3059451776</v>
      </c>
      <c r="AW723" s="321">
        <f t="shared" si="50"/>
        <v>2331946.9691462475</v>
      </c>
      <c r="AX723" s="321">
        <f t="shared" si="50"/>
        <v>1534473.1525319568</v>
      </c>
      <c r="AY723" s="321">
        <f t="shared" si="50"/>
        <v>13809139.212722348</v>
      </c>
      <c r="AZ723" s="321">
        <f t="shared" si="50"/>
        <v>7532106.5771050453</v>
      </c>
      <c r="BA723" s="321">
        <f>+BA721+BA722</f>
        <v>5529509.6412500003</v>
      </c>
      <c r="BB723" s="321">
        <f t="shared" ref="BB723:BG723" si="51">+BB721+BB722</f>
        <v>5529509.6412500003</v>
      </c>
      <c r="BC723" s="321">
        <f t="shared" si="51"/>
        <v>5529509.6412500003</v>
      </c>
      <c r="BD723" s="321">
        <f t="shared" si="51"/>
        <v>5529509.6412500003</v>
      </c>
      <c r="BE723" s="321">
        <f t="shared" si="51"/>
        <v>5529509.6412500003</v>
      </c>
      <c r="BF723" s="321">
        <f t="shared" si="51"/>
        <v>5529509.6412500003</v>
      </c>
      <c r="BG723" s="321">
        <f t="shared" si="51"/>
        <v>5529509.6412500003</v>
      </c>
      <c r="BH723" s="321">
        <f>+BH721+BH722</f>
        <v>5529509.6412500003</v>
      </c>
      <c r="BI723" s="321">
        <f>+BI721+BI722</f>
        <v>5529509.6412500003</v>
      </c>
      <c r="BJ723" s="321">
        <f>+BJ721+BJ722</f>
        <v>5529509.6412500003</v>
      </c>
      <c r="BK723" s="321">
        <f>+BK721+BK722</f>
        <v>5529509.6412500003</v>
      </c>
    </row>
    <row r="724" spans="1:63">
      <c r="A724" s="167"/>
      <c r="B724" s="210" t="s">
        <v>28</v>
      </c>
      <c r="C724" s="224"/>
      <c r="D724" s="224"/>
      <c r="E724" s="224"/>
      <c r="F724" s="224"/>
      <c r="G724" s="224"/>
      <c r="H724" s="224"/>
      <c r="I724" s="224"/>
      <c r="J724" s="224"/>
      <c r="K724" s="224"/>
      <c r="L724" s="224"/>
      <c r="M724" s="224"/>
      <c r="N724" s="224"/>
      <c r="O724" s="224"/>
      <c r="P724" s="224"/>
      <c r="Q724" s="224"/>
      <c r="R724" s="224"/>
      <c r="S724" s="224"/>
      <c r="T724" s="224"/>
      <c r="U724" s="224"/>
      <c r="V724" s="224"/>
      <c r="W724" s="224">
        <f>'Perfil - interna'!W724+'Perfil - externa'!W722</f>
        <v>68992963.782196313</v>
      </c>
      <c r="X724" s="224">
        <f>'Perfil - interna'!X724+'Perfil - externa'!X722</f>
        <v>31326285.44974152</v>
      </c>
      <c r="Y724" s="224">
        <f>'Perfil - interna'!Y724+'Perfil - externa'!Y722</f>
        <v>37380973.139512874</v>
      </c>
      <c r="Z724" s="224">
        <f>'Perfil - interna'!Z724+'Perfil - externa'!Z722</f>
        <v>50715251.264303297</v>
      </c>
      <c r="AA724" s="224">
        <f>'Perfil - interna'!AA724+'Perfil - externa'!AA722</f>
        <v>47762014.986519367</v>
      </c>
      <c r="AB724" s="224">
        <f>'Perfil - interna'!AB724+'Perfil - externa'!AB722</f>
        <v>44900132.087199368</v>
      </c>
      <c r="AC724" s="224">
        <f>'Perfil - interna'!AC724+'Perfil - externa'!AC722</f>
        <v>51081907.665063411</v>
      </c>
      <c r="AD724" s="224">
        <f>'Perfil - interna'!AD724+'Perfil - externa'!AD722</f>
        <v>38663266.474682018</v>
      </c>
      <c r="AE724" s="224">
        <f>'Perfil - interna'!AE724+'Perfil - externa'!AE722</f>
        <v>15912782.999986423</v>
      </c>
      <c r="AF724" s="224">
        <f>'Perfil - interna'!AF724+'Perfil - externa'!AF722</f>
        <v>33003013.626223464</v>
      </c>
      <c r="AG724" s="224">
        <f>'Perfil - interna'!AG724+'Perfil - externa'!AG722</f>
        <v>10064667.152995948</v>
      </c>
      <c r="AH724" s="224">
        <f>'Perfil - interna'!AH724+'Perfil - externa'!AH722</f>
        <v>29639929.408931546</v>
      </c>
      <c r="AI724" s="224">
        <f>'Perfil - interna'!AI724+'Perfil - externa'!AI722</f>
        <v>18004653.257330522</v>
      </c>
      <c r="AJ724" s="224">
        <f>'Perfil - interna'!AJ724+'Perfil - externa'!AJ722</f>
        <v>31185316.787299674</v>
      </c>
      <c r="AK724" s="224">
        <f>'Perfil - interna'!AK724+'Perfil - externa'!AK722</f>
        <v>20581719.619997263</v>
      </c>
      <c r="AL724" s="224">
        <f>'Perfil - interna'!AL724+'Perfil - externa'!AL722</f>
        <v>7731038.0073007233</v>
      </c>
      <c r="AM724" s="224">
        <f>'Perfil - interna'!AM724+'Perfil - externa'!AM722</f>
        <v>18218144.863388587</v>
      </c>
      <c r="AN724" s="224">
        <f>'Perfil - interna'!AN724+'Perfil - externa'!AN722</f>
        <v>1362423.4436375147</v>
      </c>
      <c r="AO724" s="224">
        <f>'Perfil - interna'!AO724+'Perfil - externa'!AO722</f>
        <v>2424752.2981970389</v>
      </c>
      <c r="AP724" s="224">
        <f>'Perfil - interna'!AP724+'Perfil - externa'!AP722</f>
        <v>2952543.9349941025</v>
      </c>
      <c r="AQ724" s="224">
        <f>'Perfil - interna'!AQ724+'Perfil - externa'!AQ722</f>
        <v>8683538.1721507404</v>
      </c>
      <c r="AR724" s="224">
        <f>'Perfil - interna'!AR724+'Perfil - externa'!AR722</f>
        <v>102288.17215074063</v>
      </c>
      <c r="AS724" s="224">
        <f>'Perfil - interna'!AS724+'Perfil - externa'!AS722</f>
        <v>101664.08484109404</v>
      </c>
      <c r="AT724" s="224">
        <f>'Perfil - interna'!AT724+'Perfil - externa'!AT722</f>
        <v>8677288.8998215236</v>
      </c>
      <c r="AU724" s="224">
        <f>'Perfil - interna'!AU724+'Perfil - externa'!AU722</f>
        <v>15537650.386308011</v>
      </c>
      <c r="AV724" s="224">
        <f>'Perfil - interna'!AV724+'Perfil - externa'!AV722</f>
        <v>91400.386308009154</v>
      </c>
      <c r="AW724" s="224">
        <f>'Perfil - interna'!AW724+'Perfil - externa'!AW722</f>
        <v>91400.386308009154</v>
      </c>
      <c r="AX724" s="224">
        <f>'Perfil - interna'!AX724+'Perfil - externa'!AX722</f>
        <v>91400.386308009154</v>
      </c>
      <c r="AY724" s="224">
        <f>'Perfil - interna'!AY724+'Perfil - externa'!AY722</f>
        <v>12232914.906054709</v>
      </c>
      <c r="AZ724" s="224">
        <f>'Perfil - interna'!AZ724+'Perfil - externa'!AZ722</f>
        <v>6929815.1990927337</v>
      </c>
      <c r="BA724" s="224">
        <f>'Perfil - interna'!BA724+'Perfil - externa'!BA722</f>
        <v>5148750</v>
      </c>
      <c r="BB724" s="224">
        <f>'Perfil - interna'!BB724+'Perfil - externa'!BB722</f>
        <v>5148750</v>
      </c>
      <c r="BC724" s="224">
        <f>'Perfil - interna'!BC724+'Perfil - externa'!BC722</f>
        <v>5148750</v>
      </c>
      <c r="BD724" s="224">
        <f>'Perfil - interna'!BD724+'Perfil - externa'!BD722</f>
        <v>5148750</v>
      </c>
      <c r="BE724" s="224">
        <f>'Perfil - interna'!BE724+'Perfil - externa'!BE722</f>
        <v>5148750</v>
      </c>
      <c r="BF724" s="224">
        <f>'Perfil - interna'!BF724+'Perfil - externa'!BF722</f>
        <v>5148750</v>
      </c>
      <c r="BG724" s="224">
        <f>'Perfil - interna'!BG724+'Perfil - externa'!BG722</f>
        <v>5148750</v>
      </c>
      <c r="BH724" s="224">
        <f>'Perfil - interna'!BH724+'Perfil - externa'!BH722</f>
        <v>5148750</v>
      </c>
      <c r="BI724" s="224">
        <f>'Perfil - interna'!BI724+'Perfil - externa'!BI722</f>
        <v>5148750</v>
      </c>
      <c r="BJ724" s="224">
        <f>'Perfil - interna'!BJ724+'Perfil - externa'!BJ722</f>
        <v>5148750</v>
      </c>
      <c r="BK724" s="224">
        <f>'Perfil - interna'!BK724+'Perfil - externa'!BK722</f>
        <v>5148750</v>
      </c>
    </row>
    <row r="725" spans="1:63">
      <c r="A725" s="168">
        <v>44196</v>
      </c>
      <c r="B725" s="213" t="s">
        <v>385</v>
      </c>
      <c r="C725" s="224"/>
      <c r="D725" s="224"/>
      <c r="E725" s="224"/>
      <c r="F725" s="224"/>
      <c r="G725" s="224"/>
      <c r="H725" s="224"/>
      <c r="I725" s="224"/>
      <c r="J725" s="224"/>
      <c r="K725" s="224"/>
      <c r="L725" s="224"/>
      <c r="M725" s="224"/>
      <c r="N725" s="224"/>
      <c r="O725" s="224"/>
      <c r="P725" s="224"/>
      <c r="Q725" s="224"/>
      <c r="R725" s="224"/>
      <c r="S725" s="224"/>
      <c r="T725" s="224"/>
      <c r="U725" s="224"/>
      <c r="V725" s="224"/>
      <c r="W725" s="224">
        <f>'Perfil - interna'!W725+'Perfil - externa'!W723</f>
        <v>28846412.7141454</v>
      </c>
      <c r="X725" s="224">
        <f>'Perfil - interna'!X725+'Perfil - externa'!X723</f>
        <v>28202781.440638661</v>
      </c>
      <c r="Y725" s="224">
        <f>'Perfil - interna'!Y725+'Perfil - externa'!Y723</f>
        <v>26304166.733850986</v>
      </c>
      <c r="Z725" s="224">
        <f>'Perfil - interna'!Z725+'Perfil - externa'!Z723</f>
        <v>24408924.464264378</v>
      </c>
      <c r="AA725" s="224">
        <f>'Perfil - interna'!AA725+'Perfil - externa'!AA723</f>
        <v>21421534.886946931</v>
      </c>
      <c r="AB725" s="224">
        <f>'Perfil - interna'!AB725+'Perfil - externa'!AB723</f>
        <v>19453911.520188712</v>
      </c>
      <c r="AC725" s="224">
        <f>'Perfil - interna'!AC725+'Perfil - externa'!AC723</f>
        <v>16767529.856255891</v>
      </c>
      <c r="AD725" s="224">
        <f>'Perfil - interna'!AD725+'Perfil - externa'!AD723</f>
        <v>14667243.663303979</v>
      </c>
      <c r="AE725" s="224">
        <f>'Perfil - interna'!AE725+'Perfil - externa'!AE723</f>
        <v>12523818.486571085</v>
      </c>
      <c r="AF725" s="224">
        <f>'Perfil - interna'!AF725+'Perfil - externa'!AF723</f>
        <v>12125532.803449545</v>
      </c>
      <c r="AG725" s="224">
        <f>'Perfil - interna'!AG725+'Perfil - externa'!AG723</f>
        <v>10342422.85099915</v>
      </c>
      <c r="AH725" s="224">
        <f>'Perfil - interna'!AH725+'Perfil - externa'!AH723</f>
        <v>10185286.931008309</v>
      </c>
      <c r="AI725" s="224">
        <f>'Perfil - interna'!AI725+'Perfil - externa'!AI723</f>
        <v>8356889.1739611048</v>
      </c>
      <c r="AJ725" s="224">
        <f>'Perfil - interna'!AJ725+'Perfil - externa'!AJ723</f>
        <v>7759651.4022186287</v>
      </c>
      <c r="AK725" s="224">
        <f>'Perfil - interna'!AK725+'Perfil - externa'!AK723</f>
        <v>5751518.0214847503</v>
      </c>
      <c r="AL725" s="224">
        <f>'Perfil - interna'!AL725+'Perfil - externa'!AL723</f>
        <v>4578940.9306106307</v>
      </c>
      <c r="AM725" s="224">
        <f>'Perfil - interna'!AM725+'Perfil - externa'!AM723</f>
        <v>4454820.4673397457</v>
      </c>
      <c r="AN725" s="224">
        <f>'Perfil - interna'!AN725+'Perfil - externa'!AN723</f>
        <v>3384415.8485137434</v>
      </c>
      <c r="AO725" s="224">
        <f>'Perfil - interna'!AO725+'Perfil - externa'!AO723</f>
        <v>3357054.3761050813</v>
      </c>
      <c r="AP725" s="224">
        <f>'Perfil - interna'!AP725+'Perfil - externa'!AP723</f>
        <v>3263487.1778223733</v>
      </c>
      <c r="AQ725" s="224">
        <f>'Perfil - interna'!AQ725+'Perfil - externa'!AQ723</f>
        <v>2952627.9711226407</v>
      </c>
      <c r="AR725" s="224">
        <f>'Perfil - interna'!AR725+'Perfil - externa'!AR723</f>
        <v>2686207.83416908</v>
      </c>
      <c r="AS725" s="224">
        <f>'Perfil - interna'!AS725+'Perfil - externa'!AS723</f>
        <v>2682588.1802140903</v>
      </c>
      <c r="AT725" s="224">
        <f>'Perfil - interna'!AT725+'Perfil - externa'!AT723</f>
        <v>2439131.8476113603</v>
      </c>
      <c r="AU725" s="224">
        <f>'Perfil - interna'!AU725+'Perfil - externa'!AU723</f>
        <v>1806684.239138383</v>
      </c>
      <c r="AV725" s="224">
        <f>'Perfil - interna'!AV725+'Perfil - externa'!AV723</f>
        <v>1417151.9814505165</v>
      </c>
      <c r="AW725" s="224">
        <f>'Perfil - interna'!AW725+'Perfil - externa'!AW723</f>
        <v>1414158.8235738499</v>
      </c>
      <c r="AX725" s="224">
        <f>'Perfil - interna'!AX725+'Perfil - externa'!AX723</f>
        <v>2211653.1722100368</v>
      </c>
      <c r="AY725" s="224">
        <f>'Perfil - interna'!AY725+'Perfil - externa'!AY723</f>
        <v>1246943.2364534384</v>
      </c>
      <c r="AZ725" s="224">
        <f>'Perfil - interna'!AZ725+'Perfil - externa'!AZ723</f>
        <v>714032.60281516029</v>
      </c>
      <c r="BA725" s="224">
        <f>'Perfil - interna'!BA725+'Perfil - externa'!BA723</f>
        <v>106782.9296875</v>
      </c>
      <c r="BB725" s="224">
        <f>'Perfil - interna'!BB725+'Perfil - externa'!BB723</f>
        <v>106782.9296875</v>
      </c>
      <c r="BC725" s="224">
        <f>'Perfil - interna'!BC725+'Perfil - externa'!BC723</f>
        <v>106782.9296875</v>
      </c>
      <c r="BD725" s="224">
        <f>'Perfil - interna'!BD725+'Perfil - externa'!BD723</f>
        <v>106782.9296875</v>
      </c>
      <c r="BE725" s="224">
        <f>'Perfil - interna'!BE725+'Perfil - externa'!BE723</f>
        <v>106782.9296875</v>
      </c>
      <c r="BF725" s="224">
        <f>'Perfil - interna'!BF725+'Perfil - externa'!BF723</f>
        <v>106782.9296875</v>
      </c>
      <c r="BG725" s="224">
        <f>'Perfil - interna'!BG725+'Perfil - externa'!BG723</f>
        <v>106782.9296875</v>
      </c>
      <c r="BH725" s="224">
        <f>'Perfil - interna'!BH725+'Perfil - externa'!BH723</f>
        <v>106782.9296875</v>
      </c>
      <c r="BI725" s="224">
        <f>'Perfil - interna'!BI725+'Perfil - externa'!BI723</f>
        <v>106782.9296875</v>
      </c>
      <c r="BJ725" s="224">
        <f>'Perfil - interna'!BJ725+'Perfil - externa'!BJ723</f>
        <v>106782.9296875</v>
      </c>
      <c r="BK725" s="224">
        <f>'Perfil - interna'!BK725+'Perfil - externa'!BK723</f>
        <v>106782.9296875</v>
      </c>
    </row>
    <row r="726" spans="1:63">
      <c r="A726" s="171"/>
      <c r="B726" s="307" t="s">
        <v>29</v>
      </c>
      <c r="C726" s="321"/>
      <c r="D726" s="321"/>
      <c r="E726" s="321"/>
      <c r="F726" s="321"/>
      <c r="G726" s="321"/>
      <c r="H726" s="321"/>
      <c r="I726" s="321"/>
      <c r="J726" s="321"/>
      <c r="K726" s="321"/>
      <c r="L726" s="321"/>
      <c r="M726" s="321"/>
      <c r="N726" s="321"/>
      <c r="O726" s="321"/>
      <c r="P726" s="321"/>
      <c r="Q726" s="321"/>
      <c r="R726" s="321"/>
      <c r="S726" s="321"/>
      <c r="T726" s="321"/>
      <c r="U726" s="321"/>
      <c r="V726" s="321"/>
      <c r="W726" s="321">
        <f t="shared" ref="W726:BA726" si="52">+W724+W725</f>
        <v>97839376.496341705</v>
      </c>
      <c r="X726" s="321">
        <f t="shared" si="52"/>
        <v>59529066.890380181</v>
      </c>
      <c r="Y726" s="321">
        <f t="shared" si="52"/>
        <v>63685139.87336386</v>
      </c>
      <c r="Z726" s="321">
        <f t="shared" si="52"/>
        <v>75124175.728567675</v>
      </c>
      <c r="AA726" s="321">
        <f t="shared" si="52"/>
        <v>69183549.873466298</v>
      </c>
      <c r="AB726" s="321">
        <f t="shared" si="52"/>
        <v>64354043.607388079</v>
      </c>
      <c r="AC726" s="321">
        <f t="shared" si="52"/>
        <v>67849437.5213193</v>
      </c>
      <c r="AD726" s="321">
        <f t="shared" si="52"/>
        <v>53330510.137985997</v>
      </c>
      <c r="AE726" s="321">
        <f t="shared" si="52"/>
        <v>28436601.486557506</v>
      </c>
      <c r="AF726" s="321">
        <f t="shared" si="52"/>
        <v>45128546.429673009</v>
      </c>
      <c r="AG726" s="321">
        <f t="shared" si="52"/>
        <v>20407090.003995098</v>
      </c>
      <c r="AH726" s="321">
        <f t="shared" si="52"/>
        <v>39825216.339939855</v>
      </c>
      <c r="AI726" s="321">
        <f t="shared" si="52"/>
        <v>26361542.431291625</v>
      </c>
      <c r="AJ726" s="321">
        <f t="shared" si="52"/>
        <v>38944968.189518303</v>
      </c>
      <c r="AK726" s="321">
        <f t="shared" si="52"/>
        <v>26333237.641482014</v>
      </c>
      <c r="AL726" s="321">
        <f t="shared" si="52"/>
        <v>12309978.937911354</v>
      </c>
      <c r="AM726" s="321">
        <f t="shared" si="52"/>
        <v>22672965.330728333</v>
      </c>
      <c r="AN726" s="321">
        <f t="shared" si="52"/>
        <v>4746839.2921512583</v>
      </c>
      <c r="AO726" s="321">
        <f t="shared" si="52"/>
        <v>5781806.6743021198</v>
      </c>
      <c r="AP726" s="321">
        <f t="shared" si="52"/>
        <v>6216031.1128164753</v>
      </c>
      <c r="AQ726" s="321">
        <f t="shared" si="52"/>
        <v>11636166.143273382</v>
      </c>
      <c r="AR726" s="321">
        <f t="shared" si="52"/>
        <v>2788496.0063198209</v>
      </c>
      <c r="AS726" s="321">
        <f t="shared" si="52"/>
        <v>2784252.2650551843</v>
      </c>
      <c r="AT726" s="321">
        <f t="shared" si="52"/>
        <v>11116420.747432884</v>
      </c>
      <c r="AU726" s="321">
        <f t="shared" si="52"/>
        <v>17344334.625446394</v>
      </c>
      <c r="AV726" s="321">
        <f t="shared" si="52"/>
        <v>1508552.3677585255</v>
      </c>
      <c r="AW726" s="321">
        <f t="shared" si="52"/>
        <v>1505559.2098818589</v>
      </c>
      <c r="AX726" s="321">
        <f t="shared" si="52"/>
        <v>2303053.558518046</v>
      </c>
      <c r="AY726" s="321">
        <f t="shared" si="52"/>
        <v>13479858.142508147</v>
      </c>
      <c r="AZ726" s="321">
        <f t="shared" si="52"/>
        <v>7643847.8019078942</v>
      </c>
      <c r="BA726" s="321">
        <f t="shared" si="52"/>
        <v>5255532.9296875</v>
      </c>
      <c r="BB726" s="321">
        <f t="shared" ref="BB726:BG726" si="53">+BB724+BB725</f>
        <v>5255532.9296875</v>
      </c>
      <c r="BC726" s="321">
        <f t="shared" si="53"/>
        <v>5255532.9296875</v>
      </c>
      <c r="BD726" s="321">
        <f t="shared" si="53"/>
        <v>5255532.9296875</v>
      </c>
      <c r="BE726" s="321">
        <f t="shared" si="53"/>
        <v>5255532.9296875</v>
      </c>
      <c r="BF726" s="321">
        <f t="shared" si="53"/>
        <v>5255532.9296875</v>
      </c>
      <c r="BG726" s="321">
        <f t="shared" si="53"/>
        <v>5255532.9296875</v>
      </c>
      <c r="BH726" s="321">
        <f>+BH724+BH725</f>
        <v>5255532.9296875</v>
      </c>
      <c r="BI726" s="321">
        <f>+BI724+BI725</f>
        <v>5255532.9296875</v>
      </c>
      <c r="BJ726" s="321">
        <f>+BJ724+BJ725</f>
        <v>5255532.9296875</v>
      </c>
      <c r="BK726" s="321">
        <f>+BK724+BK725</f>
        <v>5255532.9296875</v>
      </c>
    </row>
    <row r="727" spans="1:63">
      <c r="A727" s="167"/>
      <c r="B727" s="210" t="s">
        <v>28</v>
      </c>
      <c r="C727" s="224"/>
      <c r="D727" s="224"/>
      <c r="E727" s="224"/>
      <c r="F727" s="224"/>
      <c r="G727" s="224"/>
      <c r="H727" s="224"/>
      <c r="I727" s="224"/>
      <c r="J727" s="224"/>
      <c r="K727" s="224"/>
      <c r="L727" s="224"/>
      <c r="M727" s="224"/>
      <c r="N727" s="224"/>
      <c r="O727" s="224"/>
      <c r="P727" s="224"/>
      <c r="Q727" s="224"/>
      <c r="R727" s="224"/>
      <c r="S727" s="224"/>
      <c r="T727" s="224"/>
      <c r="U727" s="224"/>
      <c r="V727" s="224"/>
      <c r="W727" s="224">
        <f>'Perfil - interna'!W727+'Perfil - externa'!W725</f>
        <v>62913006.163685203</v>
      </c>
      <c r="X727" s="224">
        <f>'Perfil - interna'!X727+'Perfil - externa'!X725</f>
        <v>31420726.64952416</v>
      </c>
      <c r="Y727" s="224">
        <f>'Perfil - interna'!Y727+'Perfil - externa'!Y725</f>
        <v>37713027.956121102</v>
      </c>
      <c r="Z727" s="224">
        <f>'Perfil - interna'!Z727+'Perfil - externa'!Z725</f>
        <v>49737759.132292964</v>
      </c>
      <c r="AA727" s="224">
        <f>'Perfil - interna'!AA727+'Perfil - externa'!AA725</f>
        <v>48444626.555904463</v>
      </c>
      <c r="AB727" s="224">
        <f>'Perfil - interna'!AB727+'Perfil - externa'!AB725</f>
        <v>45484409.263124242</v>
      </c>
      <c r="AC727" s="224">
        <f>'Perfil - interna'!AC727+'Perfil - externa'!AC725</f>
        <v>49957560.633134387</v>
      </c>
      <c r="AD727" s="224">
        <f>'Perfil - interna'!AD727+'Perfil - externa'!AD725</f>
        <v>38933820.393157735</v>
      </c>
      <c r="AE727" s="224">
        <f>'Perfil - interna'!AE727+'Perfil - externa'!AE725</f>
        <v>16793946.002418634</v>
      </c>
      <c r="AF727" s="224">
        <f>'Perfil - interna'!AF727+'Perfil - externa'!AF725</f>
        <v>33431958.433770102</v>
      </c>
      <c r="AG727" s="224">
        <f>'Perfil - interna'!AG727+'Perfil - externa'!AG725</f>
        <v>15913490.407162532</v>
      </c>
      <c r="AH727" s="224">
        <f>'Perfil - interna'!AH727+'Perfil - externa'!AH725</f>
        <v>29834162.239939705</v>
      </c>
      <c r="AI727" s="224">
        <f>'Perfil - interna'!AI727+'Perfil - externa'!AI725</f>
        <v>18273284.850831054</v>
      </c>
      <c r="AJ727" s="224">
        <f>'Perfil - interna'!AJ727+'Perfil - externa'!AJ725</f>
        <v>31378310.11665177</v>
      </c>
      <c r="AK727" s="224">
        <f>'Perfil - interna'!AK727+'Perfil - externa'!AK725</f>
        <v>20793960.840646263</v>
      </c>
      <c r="AL727" s="224">
        <f>'Perfil - interna'!AL727+'Perfil - externa'!AL725</f>
        <v>10507541.92500307</v>
      </c>
      <c r="AM727" s="224">
        <f>'Perfil - interna'!AM727+'Perfil - externa'!AM725</f>
        <v>18874976.480351545</v>
      </c>
      <c r="AN727" s="224">
        <f>'Perfil - interna'!AN727+'Perfil - externa'!AN725</f>
        <v>1412725.802442136</v>
      </c>
      <c r="AO727" s="224">
        <f>'Perfil - interna'!AO727+'Perfil - externa'!AO725</f>
        <v>2514347.6712405174</v>
      </c>
      <c r="AP727" s="224">
        <f>'Perfil - interna'!AP727+'Perfil - externa'!AP725</f>
        <v>3061661.0636698473</v>
      </c>
      <c r="AQ727" s="224">
        <f>'Perfil - interna'!AQ727+'Perfil - externa'!AQ725</f>
        <v>9004667.2238853071</v>
      </c>
      <c r="AR727" s="224">
        <f>'Perfil - interna'!AR727+'Perfil - externa'!AR725</f>
        <v>106017.22388530757</v>
      </c>
      <c r="AS727" s="224">
        <f>'Perfil - interna'!AS727+'Perfil - externa'!AS725</f>
        <v>105370.0530724322</v>
      </c>
      <c r="AT727" s="224">
        <f>'Perfil - interna'!AT727+'Perfil - externa'!AT725</f>
        <v>8998186.805856185</v>
      </c>
      <c r="AU727" s="224">
        <f>'Perfil - interna'!AU727+'Perfil - externa'!AU725</f>
        <v>16112296.724775108</v>
      </c>
      <c r="AV727" s="224">
        <f>'Perfil - interna'!AV727+'Perfil - externa'!AV725</f>
        <v>94726.724775105395</v>
      </c>
      <c r="AW727" s="224">
        <f>'Perfil - interna'!AW727+'Perfil - externa'!AW725</f>
        <v>94726.724775105395</v>
      </c>
      <c r="AX727" s="224">
        <f>'Perfil - interna'!AX727+'Perfil - externa'!AX725</f>
        <v>94726.724775105395</v>
      </c>
      <c r="AY727" s="224">
        <f>'Perfil - interna'!AY727+'Perfil - externa'!AY725</f>
        <v>12990952.969254203</v>
      </c>
      <c r="AZ727" s="224">
        <f>'Perfil - interna'!AZ727+'Perfil - externa'!AZ725</f>
        <v>7220099.2919781432</v>
      </c>
      <c r="BA727" s="224">
        <f>'Perfil - interna'!BA727+'Perfil - externa'!BA725</f>
        <v>5339190</v>
      </c>
      <c r="BB727" s="224">
        <f>'Perfil - interna'!BB727+'Perfil - externa'!BB725</f>
        <v>0</v>
      </c>
      <c r="BC727" s="224">
        <f>'Perfil - interna'!BC727+'Perfil - externa'!BC725</f>
        <v>0</v>
      </c>
      <c r="BD727" s="224">
        <f>'Perfil - interna'!BD727+'Perfil - externa'!BD725</f>
        <v>0</v>
      </c>
      <c r="BE727" s="224">
        <f>'Perfil - interna'!BE727+'Perfil - externa'!BE725</f>
        <v>0</v>
      </c>
      <c r="BF727" s="224">
        <f>'Perfil - interna'!BF727+'Perfil - externa'!BF725</f>
        <v>0</v>
      </c>
      <c r="BG727" s="224">
        <f>'Perfil - interna'!BG727+'Perfil - externa'!BG725</f>
        <v>0</v>
      </c>
      <c r="BH727" s="224">
        <f>'Perfil - interna'!BH727+'Perfil - externa'!BH725</f>
        <v>0</v>
      </c>
      <c r="BI727" s="224">
        <f>'Perfil - interna'!BI727+'Perfil - externa'!BI725</f>
        <v>0</v>
      </c>
      <c r="BJ727" s="224">
        <f>'Perfil - interna'!BJ727+'Perfil - externa'!BJ725</f>
        <v>0</v>
      </c>
      <c r="BK727" s="224">
        <f>'Perfil - interna'!BK727+'Perfil - externa'!BK725</f>
        <v>4627298</v>
      </c>
    </row>
    <row r="728" spans="1:63">
      <c r="A728" s="168">
        <v>44227</v>
      </c>
      <c r="B728" s="213" t="s">
        <v>385</v>
      </c>
      <c r="C728" s="224"/>
      <c r="D728" s="224"/>
      <c r="E728" s="224"/>
      <c r="F728" s="224"/>
      <c r="G728" s="224"/>
      <c r="H728" s="224"/>
      <c r="I728" s="224"/>
      <c r="J728" s="224"/>
      <c r="K728" s="224"/>
      <c r="L728" s="224"/>
      <c r="M728" s="224"/>
      <c r="N728" s="224"/>
      <c r="O728" s="224"/>
      <c r="P728" s="224"/>
      <c r="Q728" s="224"/>
      <c r="R728" s="224"/>
      <c r="S728" s="224"/>
      <c r="T728" s="224"/>
      <c r="U728" s="224"/>
      <c r="V728" s="224"/>
      <c r="W728" s="224">
        <f>'Perfil - interna'!W728+'Perfil - externa'!W726</f>
        <v>28238108.920377593</v>
      </c>
      <c r="X728" s="224">
        <f>'Perfil - interna'!X728+'Perfil - externa'!X726</f>
        <v>28603006.558204945</v>
      </c>
      <c r="Y728" s="224">
        <f>'Perfil - interna'!Y728+'Perfil - externa'!Y726</f>
        <v>26669463.890061501</v>
      </c>
      <c r="Z728" s="224">
        <f>'Perfil - interna'!Z728+'Perfil - externa'!Z726</f>
        <v>24859654.289659239</v>
      </c>
      <c r="AA728" s="224">
        <f>'Perfil - interna'!AA728+'Perfil - externa'!AA726</f>
        <v>21913029.204664387</v>
      </c>
      <c r="AB728" s="224">
        <f>'Perfil - interna'!AB728+'Perfil - externa'!AB726</f>
        <v>19949050.442168914</v>
      </c>
      <c r="AC728" s="224">
        <f>'Perfil - interna'!AC728+'Perfil - externa'!AC726</f>
        <v>17299999.111817427</v>
      </c>
      <c r="AD728" s="224">
        <f>'Perfil - interna'!AD728+'Perfil - externa'!AD726</f>
        <v>15237136.104622848</v>
      </c>
      <c r="AE728" s="224">
        <f>'Perfil - interna'!AE728+'Perfil - externa'!AE726</f>
        <v>13091963.097940866</v>
      </c>
      <c r="AF728" s="224">
        <f>'Perfil - interna'!AF728+'Perfil - externa'!AF726</f>
        <v>12684673.214397129</v>
      </c>
      <c r="AG728" s="224">
        <f>'Perfil - interna'!AG728+'Perfil - externa'!AG726</f>
        <v>10817460.728406714</v>
      </c>
      <c r="AH728" s="224">
        <f>'Perfil - interna'!AH728+'Perfil - externa'!AH726</f>
        <v>10576695.975896996</v>
      </c>
      <c r="AI728" s="224">
        <f>'Perfil - interna'!AI728+'Perfil - externa'!AI726</f>
        <v>8748648.419031322</v>
      </c>
      <c r="AJ728" s="224">
        <f>'Perfil - interna'!AJ728+'Perfil - externa'!AJ726</f>
        <v>8153844.9039216135</v>
      </c>
      <c r="AK728" s="224">
        <f>'Perfil - interna'!AK728+'Perfil - externa'!AK726</f>
        <v>6145205.2027847702</v>
      </c>
      <c r="AL728" s="224">
        <f>'Perfil - interna'!AL728+'Perfil - externa'!AL726</f>
        <v>4977368.6889296435</v>
      </c>
      <c r="AM728" s="224">
        <f>'Perfil - interna'!AM728+'Perfil - externa'!AM726</f>
        <v>4697235.4356927387</v>
      </c>
      <c r="AN728" s="224">
        <f>'Perfil - interna'!AN728+'Perfil - externa'!AN726</f>
        <v>3610538.9779566522</v>
      </c>
      <c r="AO728" s="224">
        <f>'Perfil - interna'!AO728+'Perfil - externa'!AO726</f>
        <v>3583406.7443585307</v>
      </c>
      <c r="AP728" s="224">
        <f>'Perfil - interna'!AP728+'Perfil - externa'!AP726</f>
        <v>3490004.1056968523</v>
      </c>
      <c r="AQ728" s="224">
        <f>'Perfil - interna'!AQ728+'Perfil - externa'!AQ726</f>
        <v>3178787.787014097</v>
      </c>
      <c r="AR728" s="224">
        <f>'Perfil - interna'!AR728+'Perfil - externa'!AR726</f>
        <v>2912367.1140630599</v>
      </c>
      <c r="AS728" s="224">
        <f>'Perfil - interna'!AS728+'Perfil - externa'!AS726</f>
        <v>2908746.9026531903</v>
      </c>
      <c r="AT728" s="224">
        <f>'Perfil - interna'!AT728+'Perfil - externa'!AT726</f>
        <v>2665290.3330691145</v>
      </c>
      <c r="AU728" s="224">
        <f>'Perfil - interna'!AU728+'Perfil - externa'!AU726</f>
        <v>2032843.6009582076</v>
      </c>
      <c r="AV728" s="224">
        <f>'Perfil - interna'!AV728+'Perfil - externa'!AV726</f>
        <v>1643312.2040351839</v>
      </c>
      <c r="AW728" s="224">
        <f>'Perfil - interna'!AW728+'Perfil - externa'!AW726</f>
        <v>1640319.9069233597</v>
      </c>
      <c r="AX728" s="224">
        <f>'Perfil - interna'!AX728+'Perfil - externa'!AX726</f>
        <v>2397751.914053591</v>
      </c>
      <c r="AY728" s="224">
        <f>'Perfil - interna'!AY728+'Perfil - externa'!AY726</f>
        <v>1473106.0413326323</v>
      </c>
      <c r="AZ728" s="224">
        <f>'Perfil - interna'!AZ728+'Perfil - externa'!AZ726</f>
        <v>910240.23119686078</v>
      </c>
      <c r="BA728" s="224">
        <f>'Perfil - interna'!BA728+'Perfil - externa'!BA726</f>
        <v>282096.67534722219</v>
      </c>
      <c r="BB728" s="224">
        <f>'Perfil - interna'!BB728+'Perfil - externa'!BB726</f>
        <v>175313.74565972222</v>
      </c>
      <c r="BC728" s="224">
        <f>'Perfil - interna'!BC728+'Perfil - externa'!BC726</f>
        <v>175313.74565972222</v>
      </c>
      <c r="BD728" s="224">
        <f>'Perfil - interna'!BD728+'Perfil - externa'!BD726</f>
        <v>175313.74565972222</v>
      </c>
      <c r="BE728" s="224">
        <f>'Perfil - interna'!BE728+'Perfil - externa'!BE726</f>
        <v>175313.74565972222</v>
      </c>
      <c r="BF728" s="224">
        <f>'Perfil - interna'!BF728+'Perfil - externa'!BF726</f>
        <v>175313.74565972222</v>
      </c>
      <c r="BG728" s="224">
        <f>'Perfil - interna'!BG728+'Perfil - externa'!BG726</f>
        <v>175313.74565972222</v>
      </c>
      <c r="BH728" s="224">
        <f>'Perfil - interna'!BH728+'Perfil - externa'!BH726</f>
        <v>175313.74565972222</v>
      </c>
      <c r="BI728" s="224">
        <f>'Perfil - interna'!BI728+'Perfil - externa'!BI726</f>
        <v>175313.74565972222</v>
      </c>
      <c r="BJ728" s="224">
        <f>'Perfil - interna'!BJ728+'Perfil - externa'!BJ726</f>
        <v>175313.74565972222</v>
      </c>
      <c r="BK728" s="224">
        <f>'Perfil - interna'!BK728+'Perfil - externa'!BK726</f>
        <v>88377.340277777766</v>
      </c>
    </row>
    <row r="729" spans="1:63">
      <c r="A729" s="171"/>
      <c r="B729" s="307" t="s">
        <v>29</v>
      </c>
      <c r="C729" s="321"/>
      <c r="D729" s="321"/>
      <c r="E729" s="321"/>
      <c r="F729" s="321"/>
      <c r="G729" s="321"/>
      <c r="H729" s="321"/>
      <c r="I729" s="321"/>
      <c r="J729" s="321"/>
      <c r="K729" s="321"/>
      <c r="L729" s="321"/>
      <c r="M729" s="321"/>
      <c r="N729" s="321"/>
      <c r="O729" s="321"/>
      <c r="P729" s="321"/>
      <c r="Q729" s="321"/>
      <c r="R729" s="321"/>
      <c r="S729" s="321"/>
      <c r="T729" s="321"/>
      <c r="U729" s="321"/>
      <c r="V729" s="321"/>
      <c r="W729" s="321">
        <f t="shared" ref="W729:BA729" si="54">+W727+W728</f>
        <v>91151115.0840628</v>
      </c>
      <c r="X729" s="321">
        <f t="shared" si="54"/>
        <v>60023733.207729101</v>
      </c>
      <c r="Y729" s="321">
        <f t="shared" si="54"/>
        <v>64382491.8461826</v>
      </c>
      <c r="Z729" s="321">
        <f t="shared" si="54"/>
        <v>74597413.421952203</v>
      </c>
      <c r="AA729" s="321">
        <f t="shared" si="54"/>
        <v>70357655.760568857</v>
      </c>
      <c r="AB729" s="321">
        <f t="shared" si="54"/>
        <v>65433459.705293156</v>
      </c>
      <c r="AC729" s="321">
        <f t="shared" si="54"/>
        <v>67257559.744951814</v>
      </c>
      <c r="AD729" s="321">
        <f t="shared" si="54"/>
        <v>54170956.497780584</v>
      </c>
      <c r="AE729" s="321">
        <f t="shared" si="54"/>
        <v>29885909.100359499</v>
      </c>
      <c r="AF729" s="321">
        <f t="shared" si="54"/>
        <v>46116631.64816723</v>
      </c>
      <c r="AG729" s="321">
        <f t="shared" si="54"/>
        <v>26730951.135569245</v>
      </c>
      <c r="AH729" s="321">
        <f t="shared" si="54"/>
        <v>40410858.215836704</v>
      </c>
      <c r="AI729" s="321">
        <f t="shared" si="54"/>
        <v>27021933.269862376</v>
      </c>
      <c r="AJ729" s="321">
        <f t="shared" si="54"/>
        <v>39532155.020573385</v>
      </c>
      <c r="AK729" s="321">
        <f t="shared" si="54"/>
        <v>26939166.043431032</v>
      </c>
      <c r="AL729" s="321">
        <f t="shared" si="54"/>
        <v>15484910.613932714</v>
      </c>
      <c r="AM729" s="321">
        <f t="shared" si="54"/>
        <v>23572211.916044284</v>
      </c>
      <c r="AN729" s="321">
        <f t="shared" si="54"/>
        <v>5023264.7803987879</v>
      </c>
      <c r="AO729" s="321">
        <f t="shared" si="54"/>
        <v>6097754.4155990481</v>
      </c>
      <c r="AP729" s="321">
        <f t="shared" si="54"/>
        <v>6551665.1693666996</v>
      </c>
      <c r="AQ729" s="321">
        <f t="shared" si="54"/>
        <v>12183455.010899404</v>
      </c>
      <c r="AR729" s="321">
        <f t="shared" si="54"/>
        <v>3018384.3379483675</v>
      </c>
      <c r="AS729" s="321">
        <f t="shared" si="54"/>
        <v>3014116.9557256224</v>
      </c>
      <c r="AT729" s="321">
        <f t="shared" si="54"/>
        <v>11663477.138925299</v>
      </c>
      <c r="AU729" s="321">
        <f t="shared" si="54"/>
        <v>18145140.325733315</v>
      </c>
      <c r="AV729" s="321">
        <f t="shared" si="54"/>
        <v>1738038.9288102894</v>
      </c>
      <c r="AW729" s="321">
        <f t="shared" si="54"/>
        <v>1735046.6316984652</v>
      </c>
      <c r="AX729" s="321">
        <f t="shared" si="54"/>
        <v>2492478.6388286962</v>
      </c>
      <c r="AY729" s="321">
        <f t="shared" si="54"/>
        <v>14464059.010586835</v>
      </c>
      <c r="AZ729" s="321">
        <f t="shared" si="54"/>
        <v>8130339.5231750039</v>
      </c>
      <c r="BA729" s="321">
        <f t="shared" si="54"/>
        <v>5621286.675347222</v>
      </c>
      <c r="BB729" s="321">
        <f t="shared" ref="BB729:BG729" si="55">+BB727+BB728</f>
        <v>175313.74565972222</v>
      </c>
      <c r="BC729" s="321">
        <f t="shared" si="55"/>
        <v>175313.74565972222</v>
      </c>
      <c r="BD729" s="321">
        <f t="shared" si="55"/>
        <v>175313.74565972222</v>
      </c>
      <c r="BE729" s="321">
        <f t="shared" si="55"/>
        <v>175313.74565972222</v>
      </c>
      <c r="BF729" s="321">
        <f t="shared" si="55"/>
        <v>175313.74565972222</v>
      </c>
      <c r="BG729" s="321">
        <f t="shared" si="55"/>
        <v>175313.74565972222</v>
      </c>
      <c r="BH729" s="321">
        <f>+BH727+BH728</f>
        <v>175313.74565972222</v>
      </c>
      <c r="BI729" s="321">
        <f>+BI727+BI728</f>
        <v>175313.74565972222</v>
      </c>
      <c r="BJ729" s="321">
        <f>+BJ727+BJ728</f>
        <v>175313.74565972222</v>
      </c>
      <c r="BK729" s="321">
        <f>+BK727+BK728</f>
        <v>4715675.340277778</v>
      </c>
    </row>
    <row r="730" spans="1:63">
      <c r="A730" s="167"/>
      <c r="B730" s="210" t="s">
        <v>28</v>
      </c>
      <c r="C730" s="224"/>
      <c r="D730" s="224"/>
      <c r="E730" s="224"/>
      <c r="F730" s="224"/>
      <c r="G730" s="224"/>
      <c r="H730" s="224"/>
      <c r="I730" s="224"/>
      <c r="J730" s="224"/>
      <c r="K730" s="224"/>
      <c r="L730" s="224"/>
      <c r="M730" s="224"/>
      <c r="N730" s="224"/>
      <c r="O730" s="224"/>
      <c r="P730" s="224"/>
      <c r="Q730" s="224"/>
      <c r="R730" s="224"/>
      <c r="S730" s="224"/>
      <c r="T730" s="224"/>
      <c r="U730" s="224"/>
      <c r="V730" s="224"/>
      <c r="W730" s="224">
        <f>'Perfil - interna'!W730+'Perfil - externa'!W728</f>
        <v>64720570.155670434</v>
      </c>
      <c r="X730" s="224">
        <f>'Perfil - interna'!X730+'Perfil - externa'!X728</f>
        <v>31462008.427785065</v>
      </c>
      <c r="Y730" s="224">
        <f>'Perfil - interna'!Y730+'Perfil - externa'!Y728</f>
        <v>37901357.74444744</v>
      </c>
      <c r="Z730" s="224">
        <f>'Perfil - interna'!Z730+'Perfil - externa'!Z728</f>
        <v>49865807.150794432</v>
      </c>
      <c r="AA730" s="224">
        <f>'Perfil - interna'!AA730+'Perfil - externa'!AA728</f>
        <v>48553805.851305485</v>
      </c>
      <c r="AB730" s="224">
        <f>'Perfil - interna'!AB730+'Perfil - externa'!AB728</f>
        <v>45675852.211593062</v>
      </c>
      <c r="AC730" s="224">
        <f>'Perfil - interna'!AC730+'Perfil - externa'!AC728</f>
        <v>50706277.082647741</v>
      </c>
      <c r="AD730" s="224">
        <f>'Perfil - interna'!AD730+'Perfil - externa'!AD728</f>
        <v>39004919.921016626</v>
      </c>
      <c r="AE730" s="224">
        <f>'Perfil - interna'!AE730+'Perfil - externa'!AE728</f>
        <v>17108967.372115076</v>
      </c>
      <c r="AF730" s="224">
        <f>'Perfil - interna'!AF730+'Perfil - externa'!AF728</f>
        <v>32055963.49711588</v>
      </c>
      <c r="AG730" s="224">
        <f>'Perfil - interna'!AG730+'Perfil - externa'!AG728</f>
        <v>17523026.127225589</v>
      </c>
      <c r="AH730" s="224">
        <f>'Perfil - interna'!AH730+'Perfil - externa'!AH728</f>
        <v>29883529.55205344</v>
      </c>
      <c r="AI730" s="224">
        <f>'Perfil - interna'!AI730+'Perfil - externa'!AI728</f>
        <v>18374808.168057069</v>
      </c>
      <c r="AJ730" s="224">
        <f>'Perfil - interna'!AJ730+'Perfil - externa'!AJ728</f>
        <v>31421133.017630331</v>
      </c>
      <c r="AK730" s="224">
        <f>'Perfil - interna'!AK730+'Perfil - externa'!AK728</f>
        <v>20919497.963302545</v>
      </c>
      <c r="AL730" s="224">
        <f>'Perfil - interna'!AL730+'Perfil - externa'!AL728</f>
        <v>12160459.945430633</v>
      </c>
      <c r="AM730" s="224">
        <f>'Perfil - interna'!AM730+'Perfil - externa'!AM728</f>
        <v>19442596.033002824</v>
      </c>
      <c r="AN730" s="224">
        <f>'Perfil - interna'!AN730+'Perfil - externa'!AN728</f>
        <v>1425405.6701385747</v>
      </c>
      <c r="AO730" s="224">
        <f>'Perfil - interna'!AO730+'Perfil - externa'!AO728</f>
        <v>2535931.6033639554</v>
      </c>
      <c r="AP730" s="224">
        <f>'Perfil - interna'!AP730+'Perfil - externa'!AP728</f>
        <v>3087668.7584708245</v>
      </c>
      <c r="AQ730" s="224">
        <f>'Perfil - interna'!AQ730+'Perfil - externa'!AQ728</f>
        <v>9078206.9977111928</v>
      </c>
      <c r="AR730" s="224">
        <f>'Perfil - interna'!AR730+'Perfil - externa'!AR728</f>
        <v>107631.9977111928</v>
      </c>
      <c r="AS730" s="224">
        <f>'Perfil - interna'!AS730+'Perfil - externa'!AS728</f>
        <v>106979.5960193958</v>
      </c>
      <c r="AT730" s="224">
        <f>'Perfil - interna'!AT730+'Perfil - externa'!AT728</f>
        <v>9071674.2004934605</v>
      </c>
      <c r="AU730" s="224">
        <f>'Perfil - interna'!AU730+'Perfil - externa'!AU728</f>
        <v>16243285.241033999</v>
      </c>
      <c r="AV730" s="224">
        <f>'Perfil - interna'!AV730+'Perfil - externa'!AV728</f>
        <v>96250.241033999991</v>
      </c>
      <c r="AW730" s="224">
        <f>'Perfil - interna'!AW730+'Perfil - externa'!AW728</f>
        <v>96250.241033999991</v>
      </c>
      <c r="AX730" s="224">
        <f>'Perfil - interna'!AX730+'Perfil - externa'!AX728</f>
        <v>96250.241033999991</v>
      </c>
      <c r="AY730" s="224">
        <f>'Perfil - interna'!AY730+'Perfil - externa'!AY728</f>
        <v>13479789.171179701</v>
      </c>
      <c r="AZ730" s="224">
        <f>'Perfil - interna'!AZ730+'Perfil - externa'!AZ728</f>
        <v>8221052.8046340002</v>
      </c>
      <c r="BA730" s="224">
        <f>'Perfil - interna'!BA730+'Perfil - externa'!BA728</f>
        <v>5382345</v>
      </c>
      <c r="BB730" s="224">
        <f>'Perfil - interna'!BB730+'Perfil - externa'!BB728</f>
        <v>0</v>
      </c>
      <c r="BC730" s="224">
        <f>'Perfil - interna'!BC730+'Perfil - externa'!BC728</f>
        <v>0</v>
      </c>
      <c r="BD730" s="224">
        <f>'Perfil - interna'!BD730+'Perfil - externa'!BD728</f>
        <v>0</v>
      </c>
      <c r="BE730" s="224">
        <f>'Perfil - interna'!BE730+'Perfil - externa'!BE728</f>
        <v>0</v>
      </c>
      <c r="BF730" s="224">
        <f>'Perfil - interna'!BF730+'Perfil - externa'!BF728</f>
        <v>0</v>
      </c>
      <c r="BG730" s="224">
        <f>'Perfil - interna'!BG730+'Perfil - externa'!BG728</f>
        <v>0</v>
      </c>
      <c r="BH730" s="224">
        <f>'Perfil - interna'!BH730+'Perfil - externa'!BH728</f>
        <v>0</v>
      </c>
      <c r="BI730" s="224">
        <f>'Perfil - interna'!BI730+'Perfil - externa'!BI728</f>
        <v>0</v>
      </c>
      <c r="BJ730" s="224">
        <f>'Perfil - interna'!BJ730+'Perfil - externa'!BJ728</f>
        <v>0</v>
      </c>
      <c r="BK730" s="224">
        <f>'Perfil - interna'!BK730+'Perfil - externa'!BK728</f>
        <v>4664699</v>
      </c>
    </row>
    <row r="731" spans="1:63">
      <c r="A731" s="168">
        <v>44255</v>
      </c>
      <c r="B731" s="213" t="s">
        <v>385</v>
      </c>
      <c r="C731" s="224"/>
      <c r="D731" s="224"/>
      <c r="E731" s="224"/>
      <c r="F731" s="224"/>
      <c r="G731" s="224"/>
      <c r="H731" s="224"/>
      <c r="I731" s="224"/>
      <c r="J731" s="224"/>
      <c r="K731" s="224"/>
      <c r="L731" s="224"/>
      <c r="M731" s="224"/>
      <c r="N731" s="224"/>
      <c r="O731" s="224"/>
      <c r="P731" s="224"/>
      <c r="Q731" s="224"/>
      <c r="R731" s="224"/>
      <c r="S731" s="224"/>
      <c r="T731" s="224"/>
      <c r="U731" s="224"/>
      <c r="V731" s="224"/>
      <c r="W731" s="224">
        <f>'Perfil - interna'!W731+'Perfil - externa'!W729</f>
        <v>26472409.030259132</v>
      </c>
      <c r="X731" s="224">
        <f>'Perfil - interna'!X731+'Perfil - externa'!X729</f>
        <v>29212345.609735258</v>
      </c>
      <c r="Y731" s="224">
        <f>'Perfil - interna'!Y731+'Perfil - externa'!Y729</f>
        <v>27277287.169539396</v>
      </c>
      <c r="Z731" s="224">
        <f>'Perfil - interna'!Z731+'Perfil - externa'!Z729</f>
        <v>25449202.256264675</v>
      </c>
      <c r="AA731" s="224">
        <f>'Perfil - interna'!AA731+'Perfil - externa'!AA729</f>
        <v>22483846.870960224</v>
      </c>
      <c r="AB731" s="224">
        <f>'Perfil - interna'!AB731+'Perfil - externa'!AB729</f>
        <v>20506357.49455918</v>
      </c>
      <c r="AC731" s="224">
        <f>'Perfil - interna'!AC731+'Perfil - externa'!AC729</f>
        <v>17831777.722835749</v>
      </c>
      <c r="AD731" s="224">
        <f>'Perfil - interna'!AD731+'Perfil - externa'!AD729</f>
        <v>15711794.517580014</v>
      </c>
      <c r="AE731" s="224">
        <f>'Perfil - interna'!AE731+'Perfil - externa'!AE729</f>
        <v>13547512.513628636</v>
      </c>
      <c r="AF731" s="224">
        <f>'Perfil - interna'!AF731+'Perfil - externa'!AF729</f>
        <v>13116222.586063579</v>
      </c>
      <c r="AG731" s="224">
        <f>'Perfil - interna'!AG731+'Perfil - externa'!AG729</f>
        <v>11229907.645423379</v>
      </c>
      <c r="AH731" s="224">
        <f>'Perfil - interna'!AH731+'Perfil - externa'!AH729</f>
        <v>10974465.064797534</v>
      </c>
      <c r="AI731" s="224">
        <f>'Perfil - interna'!AI731+'Perfil - externa'!AI729</f>
        <v>9136895.7508637831</v>
      </c>
      <c r="AJ731" s="224">
        <f>'Perfil - interna'!AJ731+'Perfil - externa'!AJ729</f>
        <v>8534810.8837441616</v>
      </c>
      <c r="AK731" s="224">
        <f>'Perfil - interna'!AK731+'Perfil - externa'!AK729</f>
        <v>6519913.7177273594</v>
      </c>
      <c r="AL731" s="224">
        <f>'Perfil - interna'!AL731+'Perfil - externa'!AL729</f>
        <v>5350513.1302794889</v>
      </c>
      <c r="AM731" s="224">
        <f>'Perfil - interna'!AM731+'Perfil - externa'!AM729</f>
        <v>4966525.0057353312</v>
      </c>
      <c r="AN731" s="224">
        <f>'Perfil - interna'!AN731+'Perfil - externa'!AN729</f>
        <v>3830941.5004123435</v>
      </c>
      <c r="AO731" s="224">
        <f>'Perfil - interna'!AO731+'Perfil - externa'!AO729</f>
        <v>3802645.6890444243</v>
      </c>
      <c r="AP731" s="224">
        <f>'Perfil - interna'!AP731+'Perfil - externa'!AP729</f>
        <v>3705079.9072251893</v>
      </c>
      <c r="AQ731" s="224">
        <f>'Perfil - interna'!AQ731+'Perfil - externa'!AQ729</f>
        <v>3378687.8400631854</v>
      </c>
      <c r="AR731" s="224">
        <f>'Perfil - interna'!AR731+'Perfil - externa'!AR729</f>
        <v>3100253.3126768074</v>
      </c>
      <c r="AS731" s="224">
        <f>'Perfil - interna'!AS731+'Perfil - externa'!AS729</f>
        <v>3096542.3291675909</v>
      </c>
      <c r="AT731" s="224">
        <f>'Perfil - interna'!AT731+'Perfil - externa'!AT729</f>
        <v>2842616.4494156381</v>
      </c>
      <c r="AU731" s="224">
        <f>'Perfil - interna'!AU731+'Perfil - externa'!AU729</f>
        <v>2181048.5202162112</v>
      </c>
      <c r="AV731" s="224">
        <f>'Perfil - interna'!AV731+'Perfil - externa'!AV729</f>
        <v>1772281.7170105875</v>
      </c>
      <c r="AW731" s="224">
        <f>'Perfil - interna'!AW731+'Perfil - externa'!AW729</f>
        <v>1770750.7186106839</v>
      </c>
      <c r="AX731" s="224">
        <f>'Perfil - interna'!AX731+'Perfil - externa'!AX729</f>
        <v>1771282.4519094657</v>
      </c>
      <c r="AY731" s="224">
        <f>'Perfil - interna'!AY731+'Perfil - externa'!AY729</f>
        <v>1596027.7986108758</v>
      </c>
      <c r="AZ731" s="224">
        <f>'Perfil - interna'!AZ731+'Perfil - externa'!AZ729</f>
        <v>1000488.2361640988</v>
      </c>
      <c r="BA731" s="224">
        <f>'Perfil - interna'!BA731+'Perfil - externa'!BA729</f>
        <v>294895.19399305555</v>
      </c>
      <c r="BB731" s="224">
        <f>'Perfil - interna'!BB731+'Perfil - externa'!BB729</f>
        <v>183769.70435416666</v>
      </c>
      <c r="BC731" s="224">
        <f>'Perfil - interna'!BC731+'Perfil - externa'!BC729</f>
        <v>183267.60133680556</v>
      </c>
      <c r="BD731" s="224">
        <f>'Perfil - interna'!BD731+'Perfil - externa'!BD729</f>
        <v>183267.60133680556</v>
      </c>
      <c r="BE731" s="224">
        <f>'Perfil - interna'!BE731+'Perfil - externa'!BE729</f>
        <v>183267.60133680556</v>
      </c>
      <c r="BF731" s="224">
        <f>'Perfil - interna'!BF731+'Perfil - externa'!BF729</f>
        <v>183769.70435416666</v>
      </c>
      <c r="BG731" s="224">
        <f>'Perfil - interna'!BG731+'Perfil - externa'!BG729</f>
        <v>183267.60133680556</v>
      </c>
      <c r="BH731" s="224">
        <f>'Perfil - interna'!BH731+'Perfil - externa'!BH729</f>
        <v>183267.60133680556</v>
      </c>
      <c r="BI731" s="224">
        <f>'Perfil - interna'!BI731+'Perfil - externa'!BI729</f>
        <v>183267.60133680556</v>
      </c>
      <c r="BJ731" s="224">
        <f>'Perfil - interna'!BJ731+'Perfil - externa'!BJ729</f>
        <v>183769.70435416666</v>
      </c>
      <c r="BK731" s="224">
        <f>'Perfil - interna'!BK731+'Perfil - externa'!BK729</f>
        <v>92386.955194444439</v>
      </c>
    </row>
    <row r="732" spans="1:63">
      <c r="A732" s="171"/>
      <c r="B732" s="307" t="s">
        <v>29</v>
      </c>
      <c r="C732" s="321"/>
      <c r="D732" s="321"/>
      <c r="E732" s="321"/>
      <c r="F732" s="321"/>
      <c r="G732" s="321"/>
      <c r="H732" s="321"/>
      <c r="I732" s="321"/>
      <c r="J732" s="321"/>
      <c r="K732" s="321"/>
      <c r="L732" s="321"/>
      <c r="M732" s="321"/>
      <c r="N732" s="321"/>
      <c r="O732" s="321"/>
      <c r="P732" s="321"/>
      <c r="Q732" s="321"/>
      <c r="R732" s="321"/>
      <c r="S732" s="321"/>
      <c r="T732" s="321"/>
      <c r="U732" s="321"/>
      <c r="V732" s="321"/>
      <c r="W732" s="321">
        <f t="shared" ref="W732:BG732" si="56">+W730+W731</f>
        <v>91192979.185929567</v>
      </c>
      <c r="X732" s="321">
        <f t="shared" si="56"/>
        <v>60674354.037520319</v>
      </c>
      <c r="Y732" s="321">
        <f t="shared" si="56"/>
        <v>65178644.913986832</v>
      </c>
      <c r="Z732" s="321">
        <f t="shared" si="56"/>
        <v>75315009.407059103</v>
      </c>
      <c r="AA732" s="321">
        <f t="shared" si="56"/>
        <v>71037652.722265705</v>
      </c>
      <c r="AB732" s="321">
        <f t="shared" si="56"/>
        <v>66182209.706152245</v>
      </c>
      <c r="AC732" s="321">
        <f t="shared" si="56"/>
        <v>68538054.80548349</v>
      </c>
      <c r="AD732" s="321">
        <f t="shared" si="56"/>
        <v>54716714.438596636</v>
      </c>
      <c r="AE732" s="321">
        <f t="shared" si="56"/>
        <v>30656479.885743711</v>
      </c>
      <c r="AF732" s="321">
        <f t="shared" si="56"/>
        <v>45172186.083179459</v>
      </c>
      <c r="AG732" s="321">
        <f t="shared" si="56"/>
        <v>28752933.772648968</v>
      </c>
      <c r="AH732" s="321">
        <f t="shared" si="56"/>
        <v>40857994.616850972</v>
      </c>
      <c r="AI732" s="321">
        <f t="shared" si="56"/>
        <v>27511703.918920852</v>
      </c>
      <c r="AJ732" s="321">
        <f t="shared" si="56"/>
        <v>39955943.901374489</v>
      </c>
      <c r="AK732" s="321">
        <f t="shared" si="56"/>
        <v>27439411.681029905</v>
      </c>
      <c r="AL732" s="321">
        <f t="shared" si="56"/>
        <v>17510973.075710122</v>
      </c>
      <c r="AM732" s="321">
        <f t="shared" si="56"/>
        <v>24409121.038738154</v>
      </c>
      <c r="AN732" s="321">
        <f t="shared" si="56"/>
        <v>5256347.1705509182</v>
      </c>
      <c r="AO732" s="321">
        <f t="shared" si="56"/>
        <v>6338577.2924083797</v>
      </c>
      <c r="AP732" s="321">
        <f t="shared" si="56"/>
        <v>6792748.6656960137</v>
      </c>
      <c r="AQ732" s="321">
        <f t="shared" si="56"/>
        <v>12456894.837774377</v>
      </c>
      <c r="AR732" s="321">
        <f t="shared" si="56"/>
        <v>3207885.3103880002</v>
      </c>
      <c r="AS732" s="321">
        <f t="shared" si="56"/>
        <v>3203521.9251869866</v>
      </c>
      <c r="AT732" s="321">
        <f t="shared" si="56"/>
        <v>11914290.649909098</v>
      </c>
      <c r="AU732" s="321">
        <f t="shared" si="56"/>
        <v>18424333.761250209</v>
      </c>
      <c r="AV732" s="321">
        <f t="shared" si="56"/>
        <v>1868531.9580445874</v>
      </c>
      <c r="AW732" s="321">
        <f t="shared" si="56"/>
        <v>1867000.9596446839</v>
      </c>
      <c r="AX732" s="321">
        <f t="shared" si="56"/>
        <v>1867532.6929434657</v>
      </c>
      <c r="AY732" s="321">
        <f t="shared" si="56"/>
        <v>15075816.969790576</v>
      </c>
      <c r="AZ732" s="321">
        <f t="shared" si="56"/>
        <v>9221541.0407980997</v>
      </c>
      <c r="BA732" s="321">
        <f t="shared" si="56"/>
        <v>5677240.1939930553</v>
      </c>
      <c r="BB732" s="321">
        <f t="shared" si="56"/>
        <v>183769.70435416666</v>
      </c>
      <c r="BC732" s="321">
        <f t="shared" si="56"/>
        <v>183267.60133680556</v>
      </c>
      <c r="BD732" s="321">
        <f t="shared" si="56"/>
        <v>183267.60133680556</v>
      </c>
      <c r="BE732" s="321">
        <f t="shared" si="56"/>
        <v>183267.60133680556</v>
      </c>
      <c r="BF732" s="321">
        <f t="shared" si="56"/>
        <v>183769.70435416666</v>
      </c>
      <c r="BG732" s="321">
        <f t="shared" si="56"/>
        <v>183267.60133680556</v>
      </c>
      <c r="BH732" s="321">
        <f>+BH730+BH731</f>
        <v>183267.60133680556</v>
      </c>
      <c r="BI732" s="321">
        <f>+BI730+BI731</f>
        <v>183267.60133680556</v>
      </c>
      <c r="BJ732" s="321">
        <f>+BJ730+BJ731</f>
        <v>183769.70435416666</v>
      </c>
      <c r="BK732" s="321">
        <f>+BK730+BK731</f>
        <v>4757085.9551944444</v>
      </c>
    </row>
    <row r="733" spans="1:63">
      <c r="A733" s="167"/>
      <c r="B733" s="210" t="s">
        <v>28</v>
      </c>
      <c r="C733" s="224"/>
      <c r="D733" s="224"/>
      <c r="E733" s="224"/>
      <c r="F733" s="224"/>
      <c r="G733" s="224"/>
      <c r="H733" s="224"/>
      <c r="I733" s="224"/>
      <c r="J733" s="224"/>
      <c r="K733" s="224"/>
      <c r="L733" s="224"/>
      <c r="M733" s="224"/>
      <c r="N733" s="224"/>
      <c r="O733" s="224"/>
      <c r="P733" s="224"/>
      <c r="Q733" s="224"/>
      <c r="R733" s="224"/>
      <c r="S733" s="224"/>
      <c r="T733" s="224"/>
      <c r="U733" s="224"/>
      <c r="V733" s="224"/>
      <c r="W733" s="224">
        <f>'Perfil - interna'!W733+'Perfil - externa'!W731</f>
        <v>55462708.135286152</v>
      </c>
      <c r="X733" s="224">
        <f>'Perfil - interna'!X733+'Perfil - externa'!X731</f>
        <v>27298223.896625098</v>
      </c>
      <c r="Y733" s="224">
        <f>'Perfil - interna'!Y733+'Perfil - externa'!Y731</f>
        <v>38359036.414260834</v>
      </c>
      <c r="Z733" s="224">
        <f>'Perfil - interna'!Z733+'Perfil - externa'!Z731</f>
        <v>50648792.163616449</v>
      </c>
      <c r="AA733" s="224">
        <f>'Perfil - interna'!AA733+'Perfil - externa'!AA731</f>
        <v>49294848.836973175</v>
      </c>
      <c r="AB733" s="224">
        <f>'Perfil - interna'!AB733+'Perfil - externa'!AB731</f>
        <v>46189951.656215489</v>
      </c>
      <c r="AC733" s="224">
        <f>'Perfil - interna'!AC733+'Perfil - externa'!AC731</f>
        <v>52814770.270259842</v>
      </c>
      <c r="AD733" s="224">
        <f>'Perfil - interna'!AD733+'Perfil - externa'!AD731</f>
        <v>39568829.560787924</v>
      </c>
      <c r="AE733" s="224">
        <f>'Perfil - interna'!AE733+'Perfil - externa'!AE731</f>
        <v>18556325.315793239</v>
      </c>
      <c r="AF733" s="224">
        <f>'Perfil - interna'!AF733+'Perfil - externa'!AF731</f>
        <v>35126538.789705917</v>
      </c>
      <c r="AG733" s="224">
        <f>'Perfil - interna'!AG733+'Perfil - externa'!AG731</f>
        <v>16970311.608106449</v>
      </c>
      <c r="AH733" s="224">
        <f>'Perfil - interna'!AH733+'Perfil - externa'!AH731</f>
        <v>30946565.811821379</v>
      </c>
      <c r="AI733" s="224">
        <f>'Perfil - interna'!AI733+'Perfil - externa'!AI731</f>
        <v>19130694.198225826</v>
      </c>
      <c r="AJ733" s="224">
        <f>'Perfil - interna'!AJ733+'Perfil - externa'!AJ731</f>
        <v>32452952.662270166</v>
      </c>
      <c r="AK733" s="224">
        <f>'Perfil - interna'!AK733+'Perfil - externa'!AK731</f>
        <v>21441943.174103685</v>
      </c>
      <c r="AL733" s="224">
        <f>'Perfil - interna'!AL733+'Perfil - externa'!AL731</f>
        <v>12725175.622712631</v>
      </c>
      <c r="AM733" s="224">
        <f>'Perfil - interna'!AM733+'Perfil - externa'!AM731</f>
        <v>20526099.655459724</v>
      </c>
      <c r="AN733" s="224">
        <f>'Perfil - interna'!AN733+'Perfil - externa'!AN731</f>
        <v>1474453.8822684695</v>
      </c>
      <c r="AO733" s="224">
        <f>'Perfil - interna'!AO733+'Perfil - externa'!AO731</f>
        <v>2630994.9805618506</v>
      </c>
      <c r="AP733" s="224">
        <f>'Perfil - interna'!AP733+'Perfil - externa'!AP731</f>
        <v>3205593.6245424231</v>
      </c>
      <c r="AQ733" s="224">
        <f>'Perfil - interna'!AQ733+'Perfil - externa'!AQ731</f>
        <v>9448348.8023932613</v>
      </c>
      <c r="AR733" s="224">
        <f>'Perfil - interna'!AR733+'Perfil - externa'!AR731</f>
        <v>106073.8023932646</v>
      </c>
      <c r="AS733" s="224">
        <f>'Perfil - interna'!AS733+'Perfil - externa'!AS731</f>
        <v>105394.36813010614</v>
      </c>
      <c r="AT733" s="224">
        <f>'Perfil - interna'!AT733+'Perfil - externa'!AT731</f>
        <v>9441545.3156460579</v>
      </c>
      <c r="AU733" s="224">
        <f>'Perfil - interna'!AU733+'Perfil - externa'!AU731</f>
        <v>16910315.437267683</v>
      </c>
      <c r="AV733" s="224">
        <f>'Perfil - interna'!AV733+'Perfil - externa'!AV731</f>
        <v>94220.43726768218</v>
      </c>
      <c r="AW733" s="224">
        <f>'Perfil - interna'!AW733+'Perfil - externa'!AW731</f>
        <v>94220.43726768218</v>
      </c>
      <c r="AX733" s="224">
        <f>'Perfil - interna'!AX733+'Perfil - externa'!AX731</f>
        <v>94220.43726768218</v>
      </c>
      <c r="AY733" s="224">
        <f>'Perfil - interna'!AY733+'Perfil - externa'!AY731</f>
        <v>14990848.381164482</v>
      </c>
      <c r="AZ733" s="224">
        <f>'Perfil - interna'!AZ733+'Perfil - externa'!AZ731</f>
        <v>8920975.0551947579</v>
      </c>
      <c r="BA733" s="224">
        <f>'Perfil - interna'!BA733+'Perfil - externa'!BA731</f>
        <v>5605365</v>
      </c>
      <c r="BB733" s="224">
        <f>'Perfil - interna'!BB733+'Perfil - externa'!BB731</f>
        <v>0</v>
      </c>
      <c r="BC733" s="224">
        <f>'Perfil - interna'!BC733+'Perfil - externa'!BC731</f>
        <v>0</v>
      </c>
      <c r="BD733" s="224">
        <f>'Perfil - interna'!BD733+'Perfil - externa'!BD731</f>
        <v>0</v>
      </c>
      <c r="BE733" s="224">
        <f>'Perfil - interna'!BE733+'Perfil - externa'!BE731</f>
        <v>0</v>
      </c>
      <c r="BF733" s="224">
        <f>'Perfil - interna'!BF733+'Perfil - externa'!BF731</f>
        <v>0</v>
      </c>
      <c r="BG733" s="224">
        <f>'Perfil - interna'!BG733+'Perfil - externa'!BG731</f>
        <v>0</v>
      </c>
      <c r="BH733" s="224">
        <f>'Perfil - interna'!BH733+'Perfil - externa'!BH731</f>
        <v>0</v>
      </c>
      <c r="BI733" s="224">
        <f>'Perfil - interna'!BI733+'Perfil - externa'!BI731</f>
        <v>0</v>
      </c>
      <c r="BJ733" s="224">
        <f>'Perfil - interna'!BJ733+'Perfil - externa'!BJ731</f>
        <v>0</v>
      </c>
      <c r="BK733" s="224">
        <f>'Perfil - interna'!BK733+'Perfil - externa'!BK731</f>
        <v>4857983</v>
      </c>
    </row>
    <row r="734" spans="1:63">
      <c r="A734" s="168">
        <v>44286</v>
      </c>
      <c r="B734" s="213" t="s">
        <v>385</v>
      </c>
      <c r="C734" s="224"/>
      <c r="D734" s="224"/>
      <c r="E734" s="224"/>
      <c r="F734" s="224"/>
      <c r="G734" s="224"/>
      <c r="H734" s="224"/>
      <c r="I734" s="224"/>
      <c r="J734" s="224"/>
      <c r="K734" s="224"/>
      <c r="L734" s="224"/>
      <c r="M734" s="224"/>
      <c r="N734" s="224"/>
      <c r="O734" s="224"/>
      <c r="P734" s="224"/>
      <c r="Q734" s="224"/>
      <c r="R734" s="224"/>
      <c r="S734" s="224"/>
      <c r="T734" s="224"/>
      <c r="U734" s="224"/>
      <c r="V734" s="224"/>
      <c r="W734" s="224">
        <f>'Perfil - interna'!W734+'Perfil - externa'!W732</f>
        <v>24662088.192634299</v>
      </c>
      <c r="X734" s="224">
        <f>'Perfil - interna'!X734+'Perfil - externa'!X732</f>
        <v>29692946.166999508</v>
      </c>
      <c r="Y734" s="224">
        <f>'Perfil - interna'!Y734+'Perfil - externa'!Y732</f>
        <v>28058264.77080144</v>
      </c>
      <c r="Z734" s="224">
        <f>'Perfil - interna'!Z734+'Perfil - externa'!Z732</f>
        <v>26220461.839676976</v>
      </c>
      <c r="AA734" s="224">
        <f>'Perfil - interna'!AA734+'Perfil - externa'!AA732</f>
        <v>23248487.438080974</v>
      </c>
      <c r="AB734" s="224">
        <f>'Perfil - interna'!AB734+'Perfil - externa'!AB732</f>
        <v>21267729.324728541</v>
      </c>
      <c r="AC734" s="224">
        <f>'Perfil - interna'!AC734+'Perfil - externa'!AC732</f>
        <v>18597528.447422206</v>
      </c>
      <c r="AD734" s="224">
        <f>'Perfil - interna'!AD734+'Perfil - externa'!AD732</f>
        <v>16391843.479570489</v>
      </c>
      <c r="AE734" s="224">
        <f>'Perfil - interna'!AE734+'Perfil - externa'!AE732</f>
        <v>14201682.682703011</v>
      </c>
      <c r="AF734" s="224">
        <f>'Perfil - interna'!AF734+'Perfil - externa'!AF732</f>
        <v>13732292.994854685</v>
      </c>
      <c r="AG734" s="224">
        <f>'Perfil - interna'!AG734+'Perfil - externa'!AG732</f>
        <v>11756647.262558151</v>
      </c>
      <c r="AH734" s="224">
        <f>'Perfil - interna'!AH734+'Perfil - externa'!AH732</f>
        <v>11482796.319033232</v>
      </c>
      <c r="AI734" s="224">
        <f>'Perfil - interna'!AI734+'Perfil - externa'!AI732</f>
        <v>9580747.6456750911</v>
      </c>
      <c r="AJ734" s="224">
        <f>'Perfil - interna'!AJ734+'Perfil - externa'!AJ732</f>
        <v>8957205.3190335035</v>
      </c>
      <c r="AK734" s="224">
        <f>'Perfil - interna'!AK734+'Perfil - externa'!AK732</f>
        <v>6879349.4294965956</v>
      </c>
      <c r="AL734" s="224">
        <f>'Perfil - interna'!AL734+'Perfil - externa'!AL732</f>
        <v>5681931.3365988405</v>
      </c>
      <c r="AM734" s="224">
        <f>'Perfil - interna'!AM734+'Perfil - externa'!AM732</f>
        <v>5262743.4658734826</v>
      </c>
      <c r="AN734" s="224">
        <f>'Perfil - interna'!AN734+'Perfil - externa'!AN732</f>
        <v>4068410.3449826948</v>
      </c>
      <c r="AO734" s="224">
        <f>'Perfil - interna'!AO734+'Perfil - externa'!AO732</f>
        <v>4040332.0949597727</v>
      </c>
      <c r="AP734" s="224">
        <f>'Perfil - interna'!AP734+'Perfil - externa'!AP732</f>
        <v>3939655.4852451766</v>
      </c>
      <c r="AQ734" s="224">
        <f>'Perfil - interna'!AQ734+'Perfil - externa'!AQ732</f>
        <v>3599562.1192292077</v>
      </c>
      <c r="AR734" s="224">
        <f>'Perfil - interna'!AR734+'Perfil - externa'!AR732</f>
        <v>3309767.6773405829</v>
      </c>
      <c r="AS734" s="224">
        <f>'Perfil - interna'!AS734+'Perfil - externa'!AS732</f>
        <v>3306080.039222572</v>
      </c>
      <c r="AT734" s="224">
        <f>'Perfil - interna'!AT734+'Perfil - externa'!AT732</f>
        <v>3041808.3009227058</v>
      </c>
      <c r="AU734" s="224">
        <f>'Perfil - interna'!AU734+'Perfil - externa'!AU732</f>
        <v>2353008.2891551433</v>
      </c>
      <c r="AV734" s="224">
        <f>'Perfil - interna'!AV734+'Perfil - externa'!AV732</f>
        <v>1929187.8214334855</v>
      </c>
      <c r="AW734" s="224">
        <f>'Perfil - interna'!AW734+'Perfil - externa'!AW732</f>
        <v>1926152.5785230272</v>
      </c>
      <c r="AX734" s="224">
        <f>'Perfil - interna'!AX734+'Perfil - externa'!AX732</f>
        <v>2682743.0823846725</v>
      </c>
      <c r="AY734" s="224">
        <f>'Perfil - interna'!AY734+'Perfil - externa'!AY732</f>
        <v>1744289.8469350303</v>
      </c>
      <c r="AZ734" s="224">
        <f>'Perfil - interna'!AZ734+'Perfil - externa'!AZ732</f>
        <v>1068229.4213378364</v>
      </c>
      <c r="BA734" s="224">
        <f>'Perfil - interna'!BA734+'Perfil - externa'!BA732</f>
        <v>307114.31524305552</v>
      </c>
      <c r="BB734" s="224">
        <f>'Perfil - interna'!BB734+'Perfil - externa'!BB732</f>
        <v>191384.28860416665</v>
      </c>
      <c r="BC734" s="224">
        <f>'Perfil - interna'!BC734+'Perfil - externa'!BC732</f>
        <v>190861.38071180554</v>
      </c>
      <c r="BD734" s="224">
        <f>'Perfil - interna'!BD734+'Perfil - externa'!BD732</f>
        <v>190861.38071180554</v>
      </c>
      <c r="BE734" s="224">
        <f>'Perfil - interna'!BE734+'Perfil - externa'!BE732</f>
        <v>190861.38071180554</v>
      </c>
      <c r="BF734" s="224">
        <f>'Perfil - interna'!BF734+'Perfil - externa'!BF732</f>
        <v>191384.28860416665</v>
      </c>
      <c r="BG734" s="224">
        <f>'Perfil - interna'!BG734+'Perfil - externa'!BG732</f>
        <v>190861.38071180554</v>
      </c>
      <c r="BH734" s="224">
        <f>'Perfil - interna'!BH734+'Perfil - externa'!BH732</f>
        <v>190861.38071180554</v>
      </c>
      <c r="BI734" s="224">
        <f>'Perfil - interna'!BI734+'Perfil - externa'!BI732</f>
        <v>190861.38071180554</v>
      </c>
      <c r="BJ734" s="224">
        <f>'Perfil - interna'!BJ734+'Perfil - externa'!BJ732</f>
        <v>191384.28860416665</v>
      </c>
      <c r="BK734" s="224">
        <f>'Perfil - interna'!BK734+'Perfil - externa'!BK732</f>
        <v>96215.052194444434</v>
      </c>
    </row>
    <row r="735" spans="1:63">
      <c r="A735" s="171"/>
      <c r="B735" s="307" t="s">
        <v>29</v>
      </c>
      <c r="C735" s="321"/>
      <c r="D735" s="321"/>
      <c r="E735" s="321"/>
      <c r="F735" s="321"/>
      <c r="G735" s="321"/>
      <c r="H735" s="321"/>
      <c r="I735" s="321"/>
      <c r="J735" s="321"/>
      <c r="K735" s="321"/>
      <c r="L735" s="321"/>
      <c r="M735" s="321"/>
      <c r="N735" s="321"/>
      <c r="O735" s="321"/>
      <c r="P735" s="321"/>
      <c r="Q735" s="321"/>
      <c r="R735" s="321"/>
      <c r="S735" s="321"/>
      <c r="T735" s="321"/>
      <c r="U735" s="321"/>
      <c r="V735" s="321"/>
      <c r="W735" s="321">
        <f t="shared" ref="W735:BG735" si="57">+W733+W734</f>
        <v>80124796.327920452</v>
      </c>
      <c r="X735" s="321">
        <f>+X733+X734</f>
        <v>56991170.063624606</v>
      </c>
      <c r="Y735" s="321">
        <f t="shared" si="57"/>
        <v>66417301.185062274</v>
      </c>
      <c r="Z735" s="321">
        <f t="shared" si="57"/>
        <v>76869254.003293425</v>
      </c>
      <c r="AA735" s="321">
        <f t="shared" si="57"/>
        <v>72543336.275054157</v>
      </c>
      <c r="AB735" s="321">
        <f t="shared" si="57"/>
        <v>67457680.980944037</v>
      </c>
      <c r="AC735" s="321">
        <f t="shared" si="57"/>
        <v>71412298.717682049</v>
      </c>
      <c r="AD735" s="321">
        <f t="shared" si="57"/>
        <v>55960673.040358409</v>
      </c>
      <c r="AE735" s="321">
        <f t="shared" si="57"/>
        <v>32758007.998496249</v>
      </c>
      <c r="AF735" s="321">
        <f t="shared" si="57"/>
        <v>48858831.784560606</v>
      </c>
      <c r="AG735" s="321">
        <f t="shared" si="57"/>
        <v>28726958.8706646</v>
      </c>
      <c r="AH735" s="321">
        <f t="shared" si="57"/>
        <v>42429362.130854607</v>
      </c>
      <c r="AI735" s="321">
        <f t="shared" si="57"/>
        <v>28711441.843900919</v>
      </c>
      <c r="AJ735" s="321">
        <f t="shared" si="57"/>
        <v>41410157.98130367</v>
      </c>
      <c r="AK735" s="321">
        <f t="shared" si="57"/>
        <v>28321292.603600278</v>
      </c>
      <c r="AL735" s="321">
        <f t="shared" si="57"/>
        <v>18407106.95931147</v>
      </c>
      <c r="AM735" s="321">
        <f t="shared" si="57"/>
        <v>25788843.121333208</v>
      </c>
      <c r="AN735" s="321">
        <f t="shared" si="57"/>
        <v>5542864.2272511646</v>
      </c>
      <c r="AO735" s="321">
        <f t="shared" si="57"/>
        <v>6671327.0755216237</v>
      </c>
      <c r="AP735" s="321">
        <f t="shared" si="57"/>
        <v>7145249.1097876001</v>
      </c>
      <c r="AQ735" s="321">
        <f t="shared" si="57"/>
        <v>13047910.92162247</v>
      </c>
      <c r="AR735" s="321">
        <f t="shared" si="57"/>
        <v>3415841.4797338475</v>
      </c>
      <c r="AS735" s="321">
        <f t="shared" si="57"/>
        <v>3411474.407352678</v>
      </c>
      <c r="AT735" s="321">
        <f t="shared" si="57"/>
        <v>12483353.616568763</v>
      </c>
      <c r="AU735" s="321">
        <f t="shared" si="57"/>
        <v>19263323.726422828</v>
      </c>
      <c r="AV735" s="321">
        <f t="shared" si="57"/>
        <v>2023408.2587011678</v>
      </c>
      <c r="AW735" s="321">
        <f t="shared" si="57"/>
        <v>2020373.0157907095</v>
      </c>
      <c r="AX735" s="321">
        <f t="shared" si="57"/>
        <v>2776963.5196523545</v>
      </c>
      <c r="AY735" s="321">
        <f t="shared" si="57"/>
        <v>16735138.228099512</v>
      </c>
      <c r="AZ735" s="321">
        <f t="shared" si="57"/>
        <v>9989204.4765325934</v>
      </c>
      <c r="BA735" s="321">
        <f t="shared" si="57"/>
        <v>5912479.3152430551</v>
      </c>
      <c r="BB735" s="321">
        <f t="shared" si="57"/>
        <v>191384.28860416665</v>
      </c>
      <c r="BC735" s="321">
        <f t="shared" si="57"/>
        <v>190861.38071180554</v>
      </c>
      <c r="BD735" s="321">
        <f t="shared" si="57"/>
        <v>190861.38071180554</v>
      </c>
      <c r="BE735" s="321">
        <f t="shared" si="57"/>
        <v>190861.38071180554</v>
      </c>
      <c r="BF735" s="321">
        <f t="shared" si="57"/>
        <v>191384.28860416665</v>
      </c>
      <c r="BG735" s="321">
        <f t="shared" si="57"/>
        <v>190861.38071180554</v>
      </c>
      <c r="BH735" s="321">
        <f>+BH733+BH734</f>
        <v>190861.38071180554</v>
      </c>
      <c r="BI735" s="321">
        <f>+BI733+BI734</f>
        <v>190861.38071180554</v>
      </c>
      <c r="BJ735" s="321">
        <f>+BJ733+BJ734</f>
        <v>191384.28860416665</v>
      </c>
      <c r="BK735" s="321">
        <f>+BK733+BK734</f>
        <v>4954198.0521944445</v>
      </c>
    </row>
    <row r="736" spans="1:63">
      <c r="A736" s="167"/>
      <c r="B736" s="210" t="s">
        <v>28</v>
      </c>
      <c r="C736" s="224"/>
      <c r="D736" s="224"/>
      <c r="E736" s="224"/>
      <c r="F736" s="224"/>
      <c r="G736" s="224"/>
      <c r="H736" s="224"/>
      <c r="I736" s="224"/>
      <c r="J736" s="224"/>
      <c r="K736" s="224"/>
      <c r="L736" s="224"/>
      <c r="M736" s="224"/>
      <c r="N736" s="224"/>
      <c r="O736" s="224"/>
      <c r="P736" s="224"/>
      <c r="Q736" s="224"/>
      <c r="R736" s="224"/>
      <c r="S736" s="224"/>
      <c r="T736" s="224"/>
      <c r="U736" s="224"/>
      <c r="V736" s="224"/>
      <c r="W736" s="224">
        <f>'Perfil - interna'!W736+'Perfil - externa'!W734</f>
        <v>52069683.653976843</v>
      </c>
      <c r="X736" s="224">
        <f>'Perfil - interna'!X736+'Perfil - externa'!X734</f>
        <v>29800729.617340125</v>
      </c>
      <c r="Y736" s="224">
        <f>'Perfil - interna'!Y736+'Perfil - externa'!Y734</f>
        <v>38502800.976043887</v>
      </c>
      <c r="Z736" s="224">
        <f>'Perfil - interna'!Z736+'Perfil - externa'!Z734</f>
        <v>50672028.564146444</v>
      </c>
      <c r="AA736" s="224">
        <f>'Perfil - interna'!AA736+'Perfil - externa'!AA734</f>
        <v>49405222.915452257</v>
      </c>
      <c r="AB736" s="224">
        <f>'Perfil - interna'!AB736+'Perfil - externa'!AB734</f>
        <v>46428843.112704769</v>
      </c>
      <c r="AC736" s="224">
        <f>'Perfil - interna'!AC736+'Perfil - externa'!AC734</f>
        <v>54394805.936224252</v>
      </c>
      <c r="AD736" s="224">
        <f>'Perfil - interna'!AD736+'Perfil - externa'!AD734</f>
        <v>39552975.891180694</v>
      </c>
      <c r="AE736" s="224">
        <f>'Perfil - interna'!AE736+'Perfil - externa'!AE734</f>
        <v>18737707.108304553</v>
      </c>
      <c r="AF736" s="224">
        <f>'Perfil - interna'!AF736+'Perfil - externa'!AF734</f>
        <v>35071840.763356715</v>
      </c>
      <c r="AG736" s="224">
        <f>'Perfil - interna'!AG736+'Perfil - externa'!AG734</f>
        <v>16884008.291110139</v>
      </c>
      <c r="AH736" s="224">
        <f>'Perfil - interna'!AH736+'Perfil - externa'!AH734</f>
        <v>38353400.188500397</v>
      </c>
      <c r="AI736" s="224">
        <f>'Perfil - interna'!AI736+'Perfil - externa'!AI734</f>
        <v>19169717.260622483</v>
      </c>
      <c r="AJ736" s="224">
        <f>'Perfil - interna'!AJ736+'Perfil - externa'!AJ734</f>
        <v>32436862.838277858</v>
      </c>
      <c r="AK736" s="224">
        <f>'Perfil - interna'!AK736+'Perfil - externa'!AK734</f>
        <v>21666613.680115107</v>
      </c>
      <c r="AL736" s="224">
        <f>'Perfil - interna'!AL736+'Perfil - externa'!AL734</f>
        <v>13928289.387953255</v>
      </c>
      <c r="AM736" s="224">
        <f>'Perfil - interna'!AM736+'Perfil - externa'!AM734</f>
        <v>21004749.436726332</v>
      </c>
      <c r="AN736" s="224">
        <f>'Perfil - interna'!AN736+'Perfil - externa'!AN734</f>
        <v>1473060.3979686843</v>
      </c>
      <c r="AO736" s="224">
        <f>'Perfil - interna'!AO736+'Perfil - externa'!AO734</f>
        <v>2622167.5154648274</v>
      </c>
      <c r="AP736" s="224">
        <f>'Perfil - interna'!AP736+'Perfil - externa'!AP734</f>
        <v>3193072.7712106248</v>
      </c>
      <c r="AQ736" s="224">
        <f>'Perfil - interna'!AQ736+'Perfil - externa'!AQ734</f>
        <v>9392474.5194688924</v>
      </c>
      <c r="AR736" s="224">
        <f>'Perfil - interna'!AR736+'Perfil - externa'!AR734</f>
        <v>3823139.5194688942</v>
      </c>
      <c r="AS736" s="224">
        <f>'Perfil - interna'!AS736+'Perfil - externa'!AS734</f>
        <v>109574.45245327496</v>
      </c>
      <c r="AT736" s="224">
        <f>'Perfil - interna'!AT736+'Perfil - externa'!AT734</f>
        <v>9385714.7639733572</v>
      </c>
      <c r="AU736" s="224">
        <f>'Perfil - interna'!AU736+'Perfil - externa'!AU734</f>
        <v>16806477.34505444</v>
      </c>
      <c r="AV736" s="224">
        <f>'Perfil - interna'!AV736+'Perfil - externa'!AV734</f>
        <v>98472.345054438687</v>
      </c>
      <c r="AW736" s="224">
        <f>'Perfil - interna'!AW736+'Perfil - externa'!AW734</f>
        <v>98472.345054438687</v>
      </c>
      <c r="AX736" s="224">
        <f>'Perfil - interna'!AX736+'Perfil - externa'!AX734</f>
        <v>98472.345054438687</v>
      </c>
      <c r="AY736" s="224">
        <f>'Perfil - interna'!AY736+'Perfil - externa'!AY734</f>
        <v>15718570.369146138</v>
      </c>
      <c r="AZ736" s="224">
        <f>'Perfil - interna'!AZ736+'Perfil - externa'!AZ734</f>
        <v>10203957.479187196</v>
      </c>
      <c r="BA736" s="224">
        <f>'Perfil - interna'!BA736+'Perfil - externa'!BA734</f>
        <v>5569335</v>
      </c>
      <c r="BB736" s="224">
        <f>'Perfil - interna'!BB736+'Perfil - externa'!BB734</f>
        <v>0</v>
      </c>
      <c r="BC736" s="224">
        <f>'Perfil - interna'!BC736+'Perfil - externa'!BC734</f>
        <v>0</v>
      </c>
      <c r="BD736" s="224">
        <f>'Perfil - interna'!BD736+'Perfil - externa'!BD734</f>
        <v>0</v>
      </c>
      <c r="BE736" s="224">
        <f>'Perfil - interna'!BE736+'Perfil - externa'!BE734</f>
        <v>0</v>
      </c>
      <c r="BF736" s="224">
        <f>'Perfil - interna'!BF736+'Perfil - externa'!BF734</f>
        <v>0</v>
      </c>
      <c r="BG736" s="224">
        <f>'Perfil - interna'!BG736+'Perfil - externa'!BG734</f>
        <v>0</v>
      </c>
      <c r="BH736" s="224">
        <f>'Perfil - interna'!BH736+'Perfil - externa'!BH734</f>
        <v>0</v>
      </c>
      <c r="BI736" s="224">
        <f>'Perfil - interna'!BI736+'Perfil - externa'!BI734</f>
        <v>0</v>
      </c>
      <c r="BJ736" s="224">
        <f>'Perfil - interna'!BJ736+'Perfil - externa'!BJ734</f>
        <v>0</v>
      </c>
      <c r="BK736" s="224">
        <f>'Perfil - interna'!BK736+'Perfil - externa'!BK734</f>
        <v>4826757</v>
      </c>
    </row>
    <row r="737" spans="1:63">
      <c r="A737" s="168">
        <v>44316</v>
      </c>
      <c r="B737" s="213" t="s">
        <v>385</v>
      </c>
      <c r="C737" s="224"/>
      <c r="D737" s="224"/>
      <c r="E737" s="224"/>
      <c r="F737" s="224"/>
      <c r="G737" s="224"/>
      <c r="H737" s="224"/>
      <c r="I737" s="224"/>
      <c r="J737" s="224"/>
      <c r="K737" s="224"/>
      <c r="L737" s="224"/>
      <c r="M737" s="224"/>
      <c r="N737" s="224"/>
      <c r="O737" s="224"/>
      <c r="P737" s="224"/>
      <c r="Q737" s="224"/>
      <c r="R737" s="224"/>
      <c r="S737" s="224"/>
      <c r="T737" s="224"/>
      <c r="U737" s="224"/>
      <c r="V737" s="224"/>
      <c r="W737" s="224">
        <f>'Perfil - interna'!W737+'Perfil - externa'!W735</f>
        <v>21599443.194019772</v>
      </c>
      <c r="X737" s="224">
        <f>'Perfil - interna'!X737+'Perfil - externa'!X735</f>
        <v>30412161.481653795</v>
      </c>
      <c r="Y737" s="224">
        <f>'Perfil - interna'!Y737+'Perfil - externa'!Y735</f>
        <v>28738127.269011095</v>
      </c>
      <c r="Z737" s="224">
        <f>'Perfil - interna'!Z737+'Perfil - externa'!Z735</f>
        <v>26860418.860789411</v>
      </c>
      <c r="AA737" s="224">
        <f>'Perfil - interna'!AA737+'Perfil - externa'!AA735</f>
        <v>23887208.641374242</v>
      </c>
      <c r="AB737" s="224">
        <f>'Perfil - interna'!AB737+'Perfil - externa'!AB735</f>
        <v>21897406.115442548</v>
      </c>
      <c r="AC737" s="224">
        <f>'Perfil - interna'!AC737+'Perfil - externa'!AC735</f>
        <v>19207528.094370723</v>
      </c>
      <c r="AD737" s="224">
        <f>'Perfil - interna'!AD737+'Perfil - externa'!AD735</f>
        <v>16921840.371995337</v>
      </c>
      <c r="AE737" s="224">
        <f>'Perfil - interna'!AE737+'Perfil - externa'!AE735</f>
        <v>14746535.629321868</v>
      </c>
      <c r="AF737" s="224">
        <f>'Perfil - interna'!AF737+'Perfil - externa'!AF735</f>
        <v>14279206.555250388</v>
      </c>
      <c r="AG737" s="224">
        <f>'Perfil - interna'!AG737+'Perfil - externa'!AG735</f>
        <v>12316376.09347751</v>
      </c>
      <c r="AH737" s="224">
        <f>'Perfil - interna'!AH737+'Perfil - externa'!AH735</f>
        <v>11958868.450729229</v>
      </c>
      <c r="AI737" s="224">
        <f>'Perfil - interna'!AI737+'Perfil - externa'!AI735</f>
        <v>9968026.7318244725</v>
      </c>
      <c r="AJ737" s="224">
        <f>'Perfil - interna'!AJ737+'Perfil - externa'!AJ735</f>
        <v>9361750.1010378413</v>
      </c>
      <c r="AK737" s="224">
        <f>'Perfil - interna'!AK737+'Perfil - externa'!AK735</f>
        <v>7312439.0374268601</v>
      </c>
      <c r="AL737" s="224">
        <f>'Perfil - interna'!AL737+'Perfil - externa'!AL735</f>
        <v>6079654.8374341894</v>
      </c>
      <c r="AM737" s="224">
        <f>'Perfil - interna'!AM737+'Perfil - externa'!AM735</f>
        <v>5615456.9714212529</v>
      </c>
      <c r="AN737" s="224">
        <f>'Perfil - interna'!AN737+'Perfil - externa'!AN735</f>
        <v>4362509.4267866118</v>
      </c>
      <c r="AO737" s="224">
        <f>'Perfil - interna'!AO737+'Perfil - externa'!AO735</f>
        <v>4344063.4141540509</v>
      </c>
      <c r="AP737" s="224">
        <f>'Perfil - interna'!AP737+'Perfil - externa'!AP735</f>
        <v>4254140.5252141841</v>
      </c>
      <c r="AQ737" s="224">
        <f>'Perfil - interna'!AQ737+'Perfil - externa'!AQ735</f>
        <v>3917833.4637993928</v>
      </c>
      <c r="AR737" s="224">
        <f>'Perfil - interna'!AR737+'Perfil - externa'!AR735</f>
        <v>3554729.0583916632</v>
      </c>
      <c r="AS737" s="224">
        <f>'Perfil - interna'!AS737+'Perfil - externa'!AS735</f>
        <v>3474616.1471416485</v>
      </c>
      <c r="AT737" s="224">
        <f>'Perfil - interna'!AT737+'Perfil - externa'!AT735</f>
        <v>3213875.4705652576</v>
      </c>
      <c r="AU737" s="224">
        <f>'Perfil - interna'!AU737+'Perfil - externa'!AU735</f>
        <v>2531331.8210514979</v>
      </c>
      <c r="AV737" s="224">
        <f>'Perfil - interna'!AV737+'Perfil - externa'!AV735</f>
        <v>2112065.9335974492</v>
      </c>
      <c r="AW737" s="224">
        <f>'Perfil - interna'!AW737+'Perfil - externa'!AW735</f>
        <v>2110500.1711434005</v>
      </c>
      <c r="AX737" s="224">
        <f>'Perfil - interna'!AX737+'Perfil - externa'!AX735</f>
        <v>2111068.6705513764</v>
      </c>
      <c r="AY737" s="224">
        <f>'Perfil - interna'!AY737+'Perfil - externa'!AY735</f>
        <v>1929743.9886353044</v>
      </c>
      <c r="AZ737" s="224">
        <f>'Perfil - interna'!AZ737+'Perfil - externa'!AZ735</f>
        <v>1158344.7067270707</v>
      </c>
      <c r="BA737" s="224">
        <f>'Perfil - interna'!BA737+'Perfil - externa'!BA735</f>
        <v>305140.25489583332</v>
      </c>
      <c r="BB737" s="224">
        <f>'Perfil - interna'!BB737+'Perfil - externa'!BB735</f>
        <v>190154.11431249999</v>
      </c>
      <c r="BC737" s="224">
        <f>'Perfil - interna'!BC737+'Perfil - externa'!BC735</f>
        <v>189634.56755208332</v>
      </c>
      <c r="BD737" s="224">
        <f>'Perfil - interna'!BD737+'Perfil - externa'!BD735</f>
        <v>189634.56755208332</v>
      </c>
      <c r="BE737" s="224">
        <f>'Perfil - interna'!BE737+'Perfil - externa'!BE735</f>
        <v>189634.56755208332</v>
      </c>
      <c r="BF737" s="224">
        <f>'Perfil - interna'!BF737+'Perfil - externa'!BF735</f>
        <v>190154.11431249999</v>
      </c>
      <c r="BG737" s="224">
        <f>'Perfil - interna'!BG737+'Perfil - externa'!BG735</f>
        <v>189634.56755208332</v>
      </c>
      <c r="BH737" s="224">
        <f>'Perfil - interna'!BH737+'Perfil - externa'!BH735</f>
        <v>189634.56755208332</v>
      </c>
      <c r="BI737" s="224">
        <f>'Perfil - interna'!BI737+'Perfil - externa'!BI735</f>
        <v>189634.56755208332</v>
      </c>
      <c r="BJ737" s="224">
        <f>'Perfil - interna'!BJ737+'Perfil - externa'!BJ735</f>
        <v>190154.11431249999</v>
      </c>
      <c r="BK737" s="224">
        <f>'Perfil - interna'!BK737+'Perfil - externa'!BK735</f>
        <v>95596.60391666666</v>
      </c>
    </row>
    <row r="738" spans="1:63">
      <c r="A738" s="171"/>
      <c r="B738" s="307" t="s">
        <v>29</v>
      </c>
      <c r="C738" s="321"/>
      <c r="D738" s="321"/>
      <c r="E738" s="321"/>
      <c r="F738" s="321"/>
      <c r="G738" s="321"/>
      <c r="H738" s="321"/>
      <c r="I738" s="321"/>
      <c r="J738" s="321"/>
      <c r="K738" s="321"/>
      <c r="L738" s="321"/>
      <c r="M738" s="321"/>
      <c r="N738" s="321"/>
      <c r="O738" s="321"/>
      <c r="P738" s="321"/>
      <c r="Q738" s="321"/>
      <c r="R738" s="321"/>
      <c r="S738" s="321"/>
      <c r="T738" s="321"/>
      <c r="U738" s="321"/>
      <c r="V738" s="321"/>
      <c r="W738" s="321">
        <f>+W736+W737</f>
        <v>73669126.847996622</v>
      </c>
      <c r="X738" s="321">
        <f>+X736+X737</f>
        <v>60212891.09899392</v>
      </c>
      <c r="Y738" s="321">
        <f t="shared" ref="Y738:BG738" si="58">+Y736+Y737</f>
        <v>67240928.24505499</v>
      </c>
      <c r="Z738" s="321">
        <f t="shared" si="58"/>
        <v>77532447.424935848</v>
      </c>
      <c r="AA738" s="321">
        <f t="shared" si="58"/>
        <v>73292431.556826502</v>
      </c>
      <c r="AB738" s="321">
        <f t="shared" si="58"/>
        <v>68326249.228147313</v>
      </c>
      <c r="AC738" s="321">
        <f t="shared" si="58"/>
        <v>73602334.030594975</v>
      </c>
      <c r="AD738" s="321">
        <f t="shared" si="58"/>
        <v>56474816.263176031</v>
      </c>
      <c r="AE738" s="321">
        <f t="shared" si="58"/>
        <v>33484242.737626418</v>
      </c>
      <c r="AF738" s="321">
        <f t="shared" si="58"/>
        <v>49351047.318607107</v>
      </c>
      <c r="AG738" s="321">
        <f t="shared" si="58"/>
        <v>29200384.384587649</v>
      </c>
      <c r="AH738" s="321">
        <f t="shared" si="58"/>
        <v>50312268.639229625</v>
      </c>
      <c r="AI738" s="321">
        <f t="shared" si="58"/>
        <v>29137743.992446955</v>
      </c>
      <c r="AJ738" s="321">
        <f t="shared" si="58"/>
        <v>41798612.939315699</v>
      </c>
      <c r="AK738" s="321">
        <f t="shared" si="58"/>
        <v>28979052.717541967</v>
      </c>
      <c r="AL738" s="321">
        <f t="shared" si="58"/>
        <v>20007944.225387447</v>
      </c>
      <c r="AM738" s="321">
        <f t="shared" si="58"/>
        <v>26620206.408147585</v>
      </c>
      <c r="AN738" s="321">
        <f t="shared" si="58"/>
        <v>5835569.8247552961</v>
      </c>
      <c r="AO738" s="321">
        <f t="shared" si="58"/>
        <v>6966230.9296188783</v>
      </c>
      <c r="AP738" s="321">
        <f t="shared" si="58"/>
        <v>7447213.2964248089</v>
      </c>
      <c r="AQ738" s="321">
        <f t="shared" si="58"/>
        <v>13310307.983268285</v>
      </c>
      <c r="AR738" s="321">
        <f t="shared" si="58"/>
        <v>7377868.5778605575</v>
      </c>
      <c r="AS738" s="321">
        <f t="shared" si="58"/>
        <v>3584190.5995949232</v>
      </c>
      <c r="AT738" s="321">
        <f t="shared" si="58"/>
        <v>12599590.234538615</v>
      </c>
      <c r="AU738" s="321">
        <f t="shared" si="58"/>
        <v>19337809.166105937</v>
      </c>
      <c r="AV738" s="321">
        <f t="shared" si="58"/>
        <v>2210538.278651888</v>
      </c>
      <c r="AW738" s="321">
        <f t="shared" si="58"/>
        <v>2208972.5161978393</v>
      </c>
      <c r="AX738" s="321">
        <f t="shared" si="58"/>
        <v>2209541.0156058152</v>
      </c>
      <c r="AY738" s="321">
        <f t="shared" si="58"/>
        <v>17648314.357781444</v>
      </c>
      <c r="AZ738" s="321">
        <f t="shared" si="58"/>
        <v>11362302.185914267</v>
      </c>
      <c r="BA738" s="321">
        <f t="shared" si="58"/>
        <v>5874475.2548958333</v>
      </c>
      <c r="BB738" s="321">
        <f t="shared" si="58"/>
        <v>190154.11431249999</v>
      </c>
      <c r="BC738" s="321">
        <f t="shared" si="58"/>
        <v>189634.56755208332</v>
      </c>
      <c r="BD738" s="321">
        <f t="shared" si="58"/>
        <v>189634.56755208332</v>
      </c>
      <c r="BE738" s="321">
        <f t="shared" si="58"/>
        <v>189634.56755208332</v>
      </c>
      <c r="BF738" s="321">
        <f t="shared" si="58"/>
        <v>190154.11431249999</v>
      </c>
      <c r="BG738" s="321">
        <f t="shared" si="58"/>
        <v>189634.56755208332</v>
      </c>
      <c r="BH738" s="321">
        <f>+BH736+BH737</f>
        <v>189634.56755208332</v>
      </c>
      <c r="BI738" s="321">
        <f>+BI736+BI737</f>
        <v>189634.56755208332</v>
      </c>
      <c r="BJ738" s="321">
        <f>+BJ736+BJ737</f>
        <v>190154.11431249999</v>
      </c>
      <c r="BK738" s="321">
        <f>+BK736+BK737</f>
        <v>4922353.6039166665</v>
      </c>
    </row>
    <row r="739" spans="1:63">
      <c r="A739" s="167"/>
      <c r="B739" s="210" t="s">
        <v>28</v>
      </c>
      <c r="C739" s="224"/>
      <c r="D739" s="224"/>
      <c r="E739" s="224"/>
      <c r="F739" s="224"/>
      <c r="G739" s="224"/>
      <c r="H739" s="224"/>
      <c r="I739" s="224"/>
      <c r="J739" s="224"/>
      <c r="K739" s="224"/>
      <c r="L739" s="224"/>
      <c r="M739" s="224"/>
      <c r="N739" s="224"/>
      <c r="O739" s="224"/>
      <c r="P739" s="224"/>
      <c r="Q739" s="224"/>
      <c r="R739" s="224"/>
      <c r="S739" s="224"/>
      <c r="T739" s="224"/>
      <c r="U739" s="224"/>
      <c r="V739" s="224"/>
      <c r="W739" s="224">
        <f>'Perfil - interna'!W739+'Perfil - externa'!W737</f>
        <v>51493241.237379797</v>
      </c>
      <c r="X739" s="224">
        <f>'Perfil - interna'!X739+'Perfil - externa'!X737</f>
        <v>30854296.923883475</v>
      </c>
      <c r="Y739" s="224">
        <f>'Perfil - interna'!Y739+'Perfil - externa'!Y737</f>
        <v>38643038.105723992</v>
      </c>
      <c r="Z739" s="224">
        <f>'Perfil - interna'!Z739+'Perfil - externa'!Z737</f>
        <v>50780224.646758839</v>
      </c>
      <c r="AA739" s="224">
        <f>'Perfil - interna'!AA739+'Perfil - externa'!AA737</f>
        <v>49570963.615388468</v>
      </c>
      <c r="AB739" s="224">
        <f>'Perfil - interna'!AB739+'Perfil - externa'!AB737</f>
        <v>46482489.98605527</v>
      </c>
      <c r="AC739" s="224">
        <f>'Perfil - interna'!AC739+'Perfil - externa'!AC737</f>
        <v>55638726.134385139</v>
      </c>
      <c r="AD739" s="224">
        <f>'Perfil - interna'!AD739+'Perfil - externa'!AD737</f>
        <v>39565768.995606586</v>
      </c>
      <c r="AE739" s="224">
        <f>'Perfil - interna'!AE739+'Perfil - externa'!AE737</f>
        <v>19379897.184744217</v>
      </c>
      <c r="AF739" s="224">
        <f>'Perfil - interna'!AF739+'Perfil - externa'!AF737</f>
        <v>35097953.576354839</v>
      </c>
      <c r="AG739" s="224">
        <f>'Perfil - interna'!AG739+'Perfil - externa'!AG737</f>
        <v>16900742.08046598</v>
      </c>
      <c r="AH739" s="224">
        <f>'Perfil - interna'!AH739+'Perfil - externa'!AH737</f>
        <v>38366752.877422929</v>
      </c>
      <c r="AI739" s="224">
        <f>'Perfil - interna'!AI739+'Perfil - externa'!AI737</f>
        <v>19265961.958185602</v>
      </c>
      <c r="AJ739" s="224">
        <f>'Perfil - interna'!AJ739+'Perfil - externa'!AJ737</f>
        <v>32454185.443370096</v>
      </c>
      <c r="AK739" s="224">
        <f>'Perfil - interna'!AK739+'Perfil - externa'!AK737</f>
        <v>21785226.060110696</v>
      </c>
      <c r="AL739" s="224">
        <f>'Perfil - interna'!AL739+'Perfil - externa'!AL737</f>
        <v>15148928.205789212</v>
      </c>
      <c r="AM739" s="224">
        <f>'Perfil - interna'!AM739+'Perfil - externa'!AM737</f>
        <v>21535843.906139746</v>
      </c>
      <c r="AN739" s="224">
        <f>'Perfil - interna'!AN739+'Perfil - externa'!AN737</f>
        <v>1476391.848812012</v>
      </c>
      <c r="AO739" s="224">
        <f>'Perfil - interna'!AO739+'Perfil - externa'!AO737</f>
        <v>2626238.6504923929</v>
      </c>
      <c r="AP739" s="224">
        <f>'Perfil - interna'!AP739+'Perfil - externa'!AP737</f>
        <v>3196125.823790662</v>
      </c>
      <c r="AQ739" s="224">
        <f>'Perfil - interna'!AQ739+'Perfil - externa'!AQ737</f>
        <v>9399119.9669001475</v>
      </c>
      <c r="AR739" s="224">
        <f>'Perfil - interna'!AR739+'Perfil - externa'!AR737</f>
        <v>3826199.9669001494</v>
      </c>
      <c r="AS739" s="224">
        <f>'Perfil - interna'!AS739+'Perfil - externa'!AS737</f>
        <v>110244.46534158102</v>
      </c>
      <c r="AT739" s="224">
        <f>'Perfil - interna'!AT739+'Perfil - externa'!AT737</f>
        <v>9392355.8601268642</v>
      </c>
      <c r="AU739" s="224">
        <f>'Perfil - interna'!AU739+'Perfil - externa'!AU737</f>
        <v>16817895.211478215</v>
      </c>
      <c r="AV739" s="224">
        <f>'Perfil - interna'!AV739+'Perfil - externa'!AV737</f>
        <v>99135.211478216253</v>
      </c>
      <c r="AW739" s="224">
        <f>'Perfil - interna'!AW739+'Perfil - externa'!AW737</f>
        <v>99135.211478216253</v>
      </c>
      <c r="AX739" s="224">
        <f>'Perfil - interna'!AX739+'Perfil - externa'!AX737</f>
        <v>99135.211478216253</v>
      </c>
      <c r="AY739" s="224">
        <f>'Perfil - interna'!AY739+'Perfil - externa'!AY737</f>
        <v>16649424.712713417</v>
      </c>
      <c r="AZ739" s="224">
        <f>'Perfil - interna'!AZ739+'Perfil - externa'!AZ737</f>
        <v>11337019.479703637</v>
      </c>
      <c r="BA739" s="224">
        <f>'Perfil - interna'!BA739+'Perfil - externa'!BA737</f>
        <v>5572920</v>
      </c>
      <c r="BB739" s="224">
        <f>'Perfil - interna'!BB739+'Perfil - externa'!BB737</f>
        <v>0</v>
      </c>
      <c r="BC739" s="224">
        <f>'Perfil - interna'!BC739+'Perfil - externa'!BC737</f>
        <v>0</v>
      </c>
      <c r="BD739" s="224">
        <f>'Perfil - interna'!BD739+'Perfil - externa'!BD737</f>
        <v>0</v>
      </c>
      <c r="BE739" s="224">
        <f>'Perfil - interna'!BE739+'Perfil - externa'!BE737</f>
        <v>0</v>
      </c>
      <c r="BF739" s="224">
        <f>'Perfil - interna'!BF739+'Perfil - externa'!BF737</f>
        <v>0</v>
      </c>
      <c r="BG739" s="224">
        <f>'Perfil - interna'!BG739+'Perfil - externa'!BG737</f>
        <v>0</v>
      </c>
      <c r="BH739" s="224">
        <f>'Perfil - interna'!BH739+'Perfil - externa'!BH737</f>
        <v>0</v>
      </c>
      <c r="BI739" s="224">
        <f>'Perfil - interna'!BI739+'Perfil - externa'!BI737</f>
        <v>0</v>
      </c>
      <c r="BJ739" s="224">
        <f>'Perfil - interna'!BJ739+'Perfil - externa'!BJ737</f>
        <v>0</v>
      </c>
      <c r="BK739" s="224">
        <f>'Perfil - interna'!BK739+'Perfil - externa'!BK737</f>
        <v>4829864</v>
      </c>
    </row>
    <row r="740" spans="1:63">
      <c r="A740" s="168">
        <v>44347</v>
      </c>
      <c r="B740" s="213" t="s">
        <v>385</v>
      </c>
      <c r="C740" s="224"/>
      <c r="D740" s="224"/>
      <c r="E740" s="224"/>
      <c r="F740" s="224"/>
      <c r="G740" s="224"/>
      <c r="H740" s="224"/>
      <c r="I740" s="224"/>
      <c r="J740" s="224"/>
      <c r="K740" s="224"/>
      <c r="L740" s="224"/>
      <c r="M740" s="224"/>
      <c r="N740" s="224"/>
      <c r="O740" s="224"/>
      <c r="P740" s="224"/>
      <c r="Q740" s="224"/>
      <c r="R740" s="224"/>
      <c r="S740" s="224"/>
      <c r="T740" s="224"/>
      <c r="U740" s="224"/>
      <c r="V740" s="224"/>
      <c r="W740" s="224">
        <f>'Perfil - interna'!W740+'Perfil - externa'!W738</f>
        <v>19150650.887320936</v>
      </c>
      <c r="X740" s="224">
        <f>'Perfil - interna'!X740+'Perfil - externa'!X738</f>
        <v>30707328.969836857</v>
      </c>
      <c r="Y740" s="224">
        <f>'Perfil - interna'!Y740+'Perfil - externa'!Y738</f>
        <v>29075956.610894524</v>
      </c>
      <c r="Z740" s="224">
        <f>'Perfil - interna'!Z740+'Perfil - externa'!Z738</f>
        <v>27232856.972646192</v>
      </c>
      <c r="AA740" s="224">
        <f>'Perfil - interna'!AA740+'Perfil - externa'!AA738</f>
        <v>24257189.856041633</v>
      </c>
      <c r="AB740" s="224">
        <f>'Perfil - interna'!AB740+'Perfil - externa'!AB738</f>
        <v>22262665.533274658</v>
      </c>
      <c r="AC740" s="224">
        <f>'Perfil - interna'!AC740+'Perfil - externa'!AC738</f>
        <v>19569607.878589697</v>
      </c>
      <c r="AD740" s="224">
        <f>'Perfil - interna'!AD740+'Perfil - externa'!AD738</f>
        <v>17218275.803616699</v>
      </c>
      <c r="AE740" s="224">
        <f>'Perfil - interna'!AE740+'Perfil - externa'!AE738</f>
        <v>15039631.90146656</v>
      </c>
      <c r="AF740" s="224">
        <f>'Perfil - interna'!AF740+'Perfil - externa'!AF738</f>
        <v>14552237.891963568</v>
      </c>
      <c r="AG740" s="224">
        <f>'Perfil - interna'!AG740+'Perfil - externa'!AG738</f>
        <v>12586976.348529803</v>
      </c>
      <c r="AH740" s="224">
        <f>'Perfil - interna'!AH740+'Perfil - externa'!AH738</f>
        <v>12226536.049892237</v>
      </c>
      <c r="AI740" s="224">
        <f>'Perfil - interna'!AI740+'Perfil - externa'!AI738</f>
        <v>10232805.581992952</v>
      </c>
      <c r="AJ740" s="224">
        <f>'Perfil - interna'!AJ740+'Perfil - externa'!AJ738</f>
        <v>9623416.5335506834</v>
      </c>
      <c r="AK740" s="224">
        <f>'Perfil - interna'!AK740+'Perfil - externa'!AK738</f>
        <v>7572533.8672553245</v>
      </c>
      <c r="AL740" s="224">
        <f>'Perfil - interna'!AL740+'Perfil - externa'!AL738</f>
        <v>6339346.2027813438</v>
      </c>
      <c r="AM740" s="224">
        <f>'Perfil - interna'!AM740+'Perfil - externa'!AM738</f>
        <v>5800801.4545269441</v>
      </c>
      <c r="AN740" s="224">
        <f>'Perfil - interna'!AN740+'Perfil - externa'!AN738</f>
        <v>4519097.776372483</v>
      </c>
      <c r="AO740" s="224">
        <f>'Perfil - interna'!AO740+'Perfil - externa'!AO738</f>
        <v>4499782.5600053174</v>
      </c>
      <c r="AP740" s="224">
        <f>'Perfil - interna'!AP740+'Perfil - externa'!AP738</f>
        <v>4409396.2104396671</v>
      </c>
      <c r="AQ740" s="224">
        <f>'Perfil - interna'!AQ740+'Perfil - externa'!AQ738</f>
        <v>4070938.6448181393</v>
      </c>
      <c r="AR740" s="224">
        <f>'Perfil - interna'!AR740+'Perfil - externa'!AR738</f>
        <v>3705671.8502492979</v>
      </c>
      <c r="AS740" s="224">
        <f>'Perfil - interna'!AS740+'Perfil - externa'!AS738</f>
        <v>3623578.6940949075</v>
      </c>
      <c r="AT740" s="224">
        <f>'Perfil - interna'!AT740+'Perfil - externa'!AT738</f>
        <v>3360741.6081355182</v>
      </c>
      <c r="AU740" s="224">
        <f>'Perfil - interna'!AU740+'Perfil - externa'!AU738</f>
        <v>2675826.9501296515</v>
      </c>
      <c r="AV740" s="224">
        <f>'Perfil - interna'!AV740+'Perfil - externa'!AV738</f>
        <v>2254358.8313711188</v>
      </c>
      <c r="AW740" s="224">
        <f>'Perfil - interna'!AW740+'Perfil - externa'!AW738</f>
        <v>2251242.5624237861</v>
      </c>
      <c r="AX740" s="224">
        <f>'Perfil - interna'!AX740+'Perfil - externa'!AX738</f>
        <v>3007738.3460140144</v>
      </c>
      <c r="AY740" s="224">
        <f>'Perfil - interna'!AY740+'Perfil - externa'!AY738</f>
        <v>2070252.5579620423</v>
      </c>
      <c r="AZ740" s="224">
        <f>'Perfil - interna'!AZ740+'Perfil - externa'!AZ738</f>
        <v>1240737.445989032</v>
      </c>
      <c r="BA740" s="224">
        <f>'Perfil - interna'!BA740+'Perfil - externa'!BA738</f>
        <v>305336.6747222222</v>
      </c>
      <c r="BB740" s="224">
        <f>'Perfil - interna'!BB740+'Perfil - externa'!BB738</f>
        <v>190276.51716666666</v>
      </c>
      <c r="BC740" s="224">
        <f>'Perfil - interna'!BC740+'Perfil - externa'!BC738</f>
        <v>189756.63597222223</v>
      </c>
      <c r="BD740" s="224">
        <f>'Perfil - interna'!BD740+'Perfil - externa'!BD738</f>
        <v>189756.63597222223</v>
      </c>
      <c r="BE740" s="224">
        <f>'Perfil - interna'!BE740+'Perfil - externa'!BE738</f>
        <v>189756.63597222223</v>
      </c>
      <c r="BF740" s="224">
        <f>'Perfil - interna'!BF740+'Perfil - externa'!BF738</f>
        <v>190276.51716666666</v>
      </c>
      <c r="BG740" s="224">
        <f>'Perfil - interna'!BG740+'Perfil - externa'!BG738</f>
        <v>189756.63597222223</v>
      </c>
      <c r="BH740" s="224">
        <f>'Perfil - interna'!BH740+'Perfil - externa'!BH738</f>
        <v>189756.63597222223</v>
      </c>
      <c r="BI740" s="224">
        <f>'Perfil - interna'!BI740+'Perfil - externa'!BI738</f>
        <v>189756.63597222223</v>
      </c>
      <c r="BJ740" s="224">
        <f>'Perfil - interna'!BJ740+'Perfil - externa'!BJ738</f>
        <v>190276.51716666666</v>
      </c>
      <c r="BK740" s="224">
        <f>'Perfil - interna'!BK740+'Perfil - externa'!BK738</f>
        <v>95658.139777777775</v>
      </c>
    </row>
    <row r="741" spans="1:63">
      <c r="A741" s="171"/>
      <c r="B741" s="307" t="s">
        <v>29</v>
      </c>
      <c r="C741" s="321"/>
      <c r="D741" s="321"/>
      <c r="E741" s="321"/>
      <c r="F741" s="321"/>
      <c r="G741" s="321"/>
      <c r="H741" s="321"/>
      <c r="I741" s="321"/>
      <c r="J741" s="321"/>
      <c r="K741" s="321"/>
      <c r="L741" s="321"/>
      <c r="M741" s="321"/>
      <c r="N741" s="321"/>
      <c r="O741" s="321"/>
      <c r="P741" s="321"/>
      <c r="Q741" s="321"/>
      <c r="R741" s="321"/>
      <c r="S741" s="321"/>
      <c r="T741" s="321"/>
      <c r="U741" s="321"/>
      <c r="V741" s="321"/>
      <c r="W741" s="321">
        <f>+W739+W740</f>
        <v>70643892.124700725</v>
      </c>
      <c r="X741" s="321">
        <f>+X739+X740</f>
        <v>61561625.893720329</v>
      </c>
      <c r="Y741" s="321">
        <f t="shared" ref="Y741:BG741" si="59">+Y739+Y740</f>
        <v>67718994.716618508</v>
      </c>
      <c r="Z741" s="321">
        <f t="shared" si="59"/>
        <v>78013081.619405031</v>
      </c>
      <c r="AA741" s="321">
        <f t="shared" si="59"/>
        <v>73828153.471430093</v>
      </c>
      <c r="AB741" s="321">
        <f t="shared" si="59"/>
        <v>68745155.519329935</v>
      </c>
      <c r="AC741" s="321">
        <f t="shared" si="59"/>
        <v>75208334.012974828</v>
      </c>
      <c r="AD741" s="321">
        <f t="shared" si="59"/>
        <v>56784044.799223289</v>
      </c>
      <c r="AE741" s="321">
        <f t="shared" si="59"/>
        <v>34419529.086210772</v>
      </c>
      <c r="AF741" s="321">
        <f t="shared" si="59"/>
        <v>49650191.468318403</v>
      </c>
      <c r="AG741" s="321">
        <f t="shared" si="59"/>
        <v>29487718.428995781</v>
      </c>
      <c r="AH741" s="321">
        <f t="shared" si="59"/>
        <v>50593288.927315168</v>
      </c>
      <c r="AI741" s="321">
        <f t="shared" si="59"/>
        <v>29498767.540178552</v>
      </c>
      <c r="AJ741" s="321">
        <f t="shared" si="59"/>
        <v>42077601.976920784</v>
      </c>
      <c r="AK741" s="321">
        <f t="shared" si="59"/>
        <v>29357759.927366018</v>
      </c>
      <c r="AL741" s="321">
        <f t="shared" si="59"/>
        <v>21488274.408570558</v>
      </c>
      <c r="AM741" s="321">
        <f t="shared" si="59"/>
        <v>27336645.360666692</v>
      </c>
      <c r="AN741" s="321">
        <f t="shared" si="59"/>
        <v>5995489.625184495</v>
      </c>
      <c r="AO741" s="321">
        <f t="shared" si="59"/>
        <v>7126021.2104977109</v>
      </c>
      <c r="AP741" s="321">
        <f t="shared" si="59"/>
        <v>7605522.0342303291</v>
      </c>
      <c r="AQ741" s="321">
        <f t="shared" si="59"/>
        <v>13470058.611718286</v>
      </c>
      <c r="AR741" s="321">
        <f t="shared" si="59"/>
        <v>7531871.8171494473</v>
      </c>
      <c r="AS741" s="321">
        <f t="shared" si="59"/>
        <v>3733823.1594364885</v>
      </c>
      <c r="AT741" s="321">
        <f t="shared" si="59"/>
        <v>12753097.468262382</v>
      </c>
      <c r="AU741" s="321">
        <f t="shared" si="59"/>
        <v>19493722.161607865</v>
      </c>
      <c r="AV741" s="321">
        <f t="shared" si="59"/>
        <v>2353494.0428493349</v>
      </c>
      <c r="AW741" s="321">
        <f t="shared" si="59"/>
        <v>2350377.7739020023</v>
      </c>
      <c r="AX741" s="321">
        <f t="shared" si="59"/>
        <v>3106873.5574922306</v>
      </c>
      <c r="AY741" s="321">
        <f t="shared" si="59"/>
        <v>18719677.270675458</v>
      </c>
      <c r="AZ741" s="321">
        <f t="shared" si="59"/>
        <v>12577756.925692668</v>
      </c>
      <c r="BA741" s="321">
        <f t="shared" si="59"/>
        <v>5878256.6747222226</v>
      </c>
      <c r="BB741" s="321">
        <f t="shared" si="59"/>
        <v>190276.51716666666</v>
      </c>
      <c r="BC741" s="321">
        <f t="shared" si="59"/>
        <v>189756.63597222223</v>
      </c>
      <c r="BD741" s="321">
        <f t="shared" si="59"/>
        <v>189756.63597222223</v>
      </c>
      <c r="BE741" s="321">
        <f t="shared" si="59"/>
        <v>189756.63597222223</v>
      </c>
      <c r="BF741" s="321">
        <f t="shared" si="59"/>
        <v>190276.51716666666</v>
      </c>
      <c r="BG741" s="321">
        <f t="shared" si="59"/>
        <v>189756.63597222223</v>
      </c>
      <c r="BH741" s="321">
        <f>+BH739+BH740</f>
        <v>189756.63597222223</v>
      </c>
      <c r="BI741" s="321">
        <f>+BI739+BI740</f>
        <v>189756.63597222223</v>
      </c>
      <c r="BJ741" s="321">
        <f>+BJ739+BJ740</f>
        <v>190276.51716666666</v>
      </c>
      <c r="BK741" s="321">
        <f>+BK739+BK740</f>
        <v>4925522.1397777777</v>
      </c>
    </row>
    <row r="742" spans="1:63">
      <c r="A742" s="167"/>
      <c r="B742" s="210" t="s">
        <v>28</v>
      </c>
      <c r="C742" s="224"/>
      <c r="D742" s="224"/>
      <c r="E742" s="224"/>
      <c r="F742" s="224"/>
      <c r="G742" s="224"/>
      <c r="H742" s="224"/>
      <c r="I742" s="224"/>
      <c r="J742" s="224"/>
      <c r="K742" s="224"/>
      <c r="L742" s="224"/>
      <c r="M742" s="224"/>
      <c r="N742" s="224"/>
      <c r="O742" s="224"/>
      <c r="P742" s="224"/>
      <c r="Q742" s="224"/>
      <c r="R742" s="224"/>
      <c r="S742" s="224"/>
      <c r="T742" s="224"/>
      <c r="U742" s="224"/>
      <c r="V742" s="224"/>
      <c r="W742" s="224">
        <f>'Perfil - interna'!W742+'Perfil - externa'!W740</f>
        <v>47264950.707474366</v>
      </c>
      <c r="X742" s="224">
        <f>'Perfil - interna'!X742+'Perfil - externa'!X740</f>
        <v>32228677.035815749</v>
      </c>
      <c r="Y742" s="224">
        <f>'Perfil - interna'!Y742+'Perfil - externa'!Y740</f>
        <v>38958042.217945591</v>
      </c>
      <c r="Z742" s="224">
        <f>'Perfil - interna'!Z742+'Perfil - externa'!Z740</f>
        <v>50949921.013558015</v>
      </c>
      <c r="AA742" s="224">
        <f>'Perfil - interna'!AA742+'Perfil - externa'!AA740</f>
        <v>49868104.332175523</v>
      </c>
      <c r="AB742" s="224">
        <f>'Perfil - interna'!AB742+'Perfil - externa'!AB740</f>
        <v>46653817.689196572</v>
      </c>
      <c r="AC742" s="224">
        <f>'Perfil - interna'!AC742+'Perfil - externa'!AC740</f>
        <v>56782543.947590031</v>
      </c>
      <c r="AD742" s="224">
        <f>'Perfil - interna'!AD742+'Perfil - externa'!AD740</f>
        <v>39814536.815601744</v>
      </c>
      <c r="AE742" s="224">
        <f>'Perfil - interna'!AE742+'Perfil - externa'!AE740</f>
        <v>20150174.55775021</v>
      </c>
      <c r="AF742" s="224">
        <f>'Perfil - interna'!AF742+'Perfil - externa'!AF740</f>
        <v>35394642.214401871</v>
      </c>
      <c r="AG742" s="224">
        <f>'Perfil - interna'!AG742+'Perfil - externa'!AG740</f>
        <v>17976951.445805244</v>
      </c>
      <c r="AH742" s="224">
        <f>'Perfil - interna'!AH742+'Perfil - externa'!AH740</f>
        <v>38675941.542305291</v>
      </c>
      <c r="AI742" s="224">
        <f>'Perfil - interna'!AI742+'Perfil - externa'!AI740</f>
        <v>19601484.38096296</v>
      </c>
      <c r="AJ742" s="224">
        <f>'Perfil - interna'!AJ742+'Perfil - externa'!AJ740</f>
        <v>32676080.192161743</v>
      </c>
      <c r="AK742" s="224">
        <f>'Perfil - interna'!AK742+'Perfil - externa'!AK740</f>
        <v>22046602.414750062</v>
      </c>
      <c r="AL742" s="224">
        <f>'Perfil - interna'!AL742+'Perfil - externa'!AL740</f>
        <v>16598304.175719433</v>
      </c>
      <c r="AM742" s="224">
        <f>'Perfil - interna'!AM742+'Perfil - externa'!AM740</f>
        <v>22464343.2826178</v>
      </c>
      <c r="AN742" s="224">
        <f>'Perfil - interna'!AN742+'Perfil - externa'!AN740</f>
        <v>1658795.7695316358</v>
      </c>
      <c r="AO742" s="224">
        <f>'Perfil - interna'!AO742+'Perfil - externa'!AO740</f>
        <v>2821452.4157248265</v>
      </c>
      <c r="AP742" s="224">
        <f>'Perfil - interna'!AP742+'Perfil - externa'!AP740</f>
        <v>3397688.4052907294</v>
      </c>
      <c r="AQ742" s="224">
        <f>'Perfil - interna'!AQ742+'Perfil - externa'!AQ740</f>
        <v>9586324.3707437254</v>
      </c>
      <c r="AR742" s="224">
        <f>'Perfil - interna'!AR742+'Perfil - externa'!AR740</f>
        <v>3865940.5071073622</v>
      </c>
      <c r="AS742" s="224">
        <f>'Perfil - interna'!AS742+'Perfil - externa'!AS740</f>
        <v>108587.48013765164</v>
      </c>
      <c r="AT742" s="224">
        <f>'Perfil - interna'!AT742+'Perfil - externa'!AT740</f>
        <v>9494106.0449424665</v>
      </c>
      <c r="AU742" s="224">
        <f>'Perfil - interna'!AU742+'Perfil - externa'!AU740</f>
        <v>17002369.463861383</v>
      </c>
      <c r="AV742" s="224">
        <f>'Perfil - interna'!AV742+'Perfil - externa'!AV740</f>
        <v>97354.463861385375</v>
      </c>
      <c r="AW742" s="224">
        <f>'Perfil - interna'!AW742+'Perfil - externa'!AW740</f>
        <v>97354.463861385375</v>
      </c>
      <c r="AX742" s="224">
        <f>'Perfil - interna'!AX742+'Perfil - externa'!AX740</f>
        <v>97354.463861385375</v>
      </c>
      <c r="AY742" s="224">
        <f>'Perfil - interna'!AY742+'Perfil - externa'!AY740</f>
        <v>17453564.985909387</v>
      </c>
      <c r="AZ742" s="224">
        <f>'Perfil - interna'!AZ742+'Perfil - externa'!AZ740</f>
        <v>12006362.667543218</v>
      </c>
      <c r="BA742" s="224">
        <f>'Perfil - interna'!BA742+'Perfil - externa'!BA740</f>
        <v>5635005</v>
      </c>
      <c r="BB742" s="224">
        <f>'Perfil - interna'!BB742+'Perfil - externa'!BB740</f>
        <v>0</v>
      </c>
      <c r="BC742" s="224">
        <f>'Perfil - interna'!BC742+'Perfil - externa'!BC740</f>
        <v>0</v>
      </c>
      <c r="BD742" s="224">
        <f>'Perfil - interna'!BD742+'Perfil - externa'!BD740</f>
        <v>0</v>
      </c>
      <c r="BE742" s="224">
        <f>'Perfil - interna'!BE742+'Perfil - externa'!BE740</f>
        <v>0</v>
      </c>
      <c r="BF742" s="224">
        <f>'Perfil - interna'!BF742+'Perfil - externa'!BF740</f>
        <v>0</v>
      </c>
      <c r="BG742" s="224">
        <f>'Perfil - interna'!BG742+'Perfil - externa'!BG740</f>
        <v>0</v>
      </c>
      <c r="BH742" s="224">
        <f>'Perfil - interna'!BH742+'Perfil - externa'!BH740</f>
        <v>0</v>
      </c>
      <c r="BI742" s="224">
        <f>'Perfil - interna'!BI742+'Perfil - externa'!BI740</f>
        <v>0</v>
      </c>
      <c r="BJ742" s="224">
        <f>'Perfil - interna'!BJ742+'Perfil - externa'!BJ740</f>
        <v>0</v>
      </c>
      <c r="BK742" s="224">
        <f>'Perfil - interna'!BK742+'Perfil - externa'!BK740</f>
        <v>4883671</v>
      </c>
    </row>
    <row r="743" spans="1:63">
      <c r="A743" s="168">
        <v>44377</v>
      </c>
      <c r="B743" s="213" t="s">
        <v>385</v>
      </c>
      <c r="C743" s="224"/>
      <c r="D743" s="224"/>
      <c r="E743" s="224"/>
      <c r="F743" s="224"/>
      <c r="G743" s="224"/>
      <c r="H743" s="224"/>
      <c r="I743" s="224"/>
      <c r="J743" s="224"/>
      <c r="K743" s="224"/>
      <c r="L743" s="224"/>
      <c r="M743" s="224"/>
      <c r="N743" s="224"/>
      <c r="O743" s="224"/>
      <c r="P743" s="224"/>
      <c r="Q743" s="224"/>
      <c r="R743" s="224"/>
      <c r="S743" s="224"/>
      <c r="T743" s="224"/>
      <c r="U743" s="224"/>
      <c r="V743" s="224"/>
      <c r="W743" s="224">
        <f>'Perfil - interna'!W743+'Perfil - externa'!W741</f>
        <v>16371775.224932194</v>
      </c>
      <c r="X743" s="224">
        <f>'Perfil - interna'!X743+'Perfil - externa'!X741</f>
        <v>31092076.448918086</v>
      </c>
      <c r="Y743" s="224">
        <f>'Perfil - interna'!Y743+'Perfil - externa'!Y741</f>
        <v>29469312.459182955</v>
      </c>
      <c r="Z743" s="224">
        <f>'Perfil - interna'!Z743+'Perfil - externa'!Z741</f>
        <v>27632086.235111877</v>
      </c>
      <c r="AA743" s="224">
        <f>'Perfil - interna'!AA743+'Perfil - externa'!AA741</f>
        <v>24660671.507137824</v>
      </c>
      <c r="AB743" s="224">
        <f>'Perfil - interna'!AB743+'Perfil - externa'!AB741</f>
        <v>22668098.955089387</v>
      </c>
      <c r="AC743" s="224">
        <f>'Perfil - interna'!AC743+'Perfil - externa'!AC741</f>
        <v>19987715.653660946</v>
      </c>
      <c r="AD743" s="224">
        <f>'Perfil - interna'!AD743+'Perfil - externa'!AD741</f>
        <v>17597439.254454605</v>
      </c>
      <c r="AE743" s="224">
        <f>'Perfil - interna'!AE743+'Perfil - externa'!AE741</f>
        <v>15402044.852844773</v>
      </c>
      <c r="AF743" s="224">
        <f>'Perfil - interna'!AF743+'Perfil - externa'!AF741</f>
        <v>14899099.278204152</v>
      </c>
      <c r="AG743" s="224">
        <f>'Perfil - interna'!AG743+'Perfil - externa'!AG741</f>
        <v>12929813.881643845</v>
      </c>
      <c r="AH743" s="224">
        <f>'Perfil - interna'!AH743+'Perfil - externa'!AH741</f>
        <v>12507652.379530132</v>
      </c>
      <c r="AI743" s="224">
        <f>'Perfil - interna'!AI743+'Perfil - externa'!AI741</f>
        <v>10509383.739099585</v>
      </c>
      <c r="AJ743" s="224">
        <f>'Perfil - interna'!AJ743+'Perfil - externa'!AJ741</f>
        <v>9897200.2822910734</v>
      </c>
      <c r="AK743" s="224">
        <f>'Perfil - interna'!AK743+'Perfil - externa'!AK741</f>
        <v>7844207.6097656963</v>
      </c>
      <c r="AL743" s="224">
        <f>'Perfil - interna'!AL743+'Perfil - externa'!AL741</f>
        <v>6608388.8673585802</v>
      </c>
      <c r="AM743" s="224">
        <f>'Perfil - interna'!AM743+'Perfil - externa'!AM741</f>
        <v>5980290.5317824744</v>
      </c>
      <c r="AN743" s="224">
        <f>'Perfil - interna'!AN743+'Perfil - externa'!AN741</f>
        <v>4655781.0088301077</v>
      </c>
      <c r="AO743" s="224">
        <f>'Perfil - interna'!AO743+'Perfil - externa'!AO741</f>
        <v>4633168.8078383626</v>
      </c>
      <c r="AP743" s="224">
        <f>'Perfil - interna'!AP743+'Perfil - externa'!AP741</f>
        <v>4538604.924018004</v>
      </c>
      <c r="AQ743" s="224">
        <f>'Perfil - interna'!AQ743+'Perfil - externa'!AQ741</f>
        <v>4192018.25622351</v>
      </c>
      <c r="AR743" s="224">
        <f>'Perfil - interna'!AR743+'Perfil - externa'!AR741</f>
        <v>3821638.4873025091</v>
      </c>
      <c r="AS743" s="224">
        <f>'Perfil - interna'!AS743+'Perfil - externa'!AS741</f>
        <v>3738700.7107934402</v>
      </c>
      <c r="AT743" s="224">
        <f>'Perfil - interna'!AT743+'Perfil - externa'!AT741</f>
        <v>3473004.3471052572</v>
      </c>
      <c r="AU743" s="224">
        <f>'Perfil - interna'!AU743+'Perfil - externa'!AU741</f>
        <v>2780529.0765805389</v>
      </c>
      <c r="AV743" s="224">
        <f>'Perfil - interna'!AV743+'Perfil - externa'!AV741</f>
        <v>2354434.4073310904</v>
      </c>
      <c r="AW743" s="224">
        <f>'Perfil - interna'!AW743+'Perfil - externa'!AW741</f>
        <v>2351347.962892842</v>
      </c>
      <c r="AX743" s="224">
        <f>'Perfil - interna'!AX743+'Perfil - externa'!AX741</f>
        <v>3107896.8731522844</v>
      </c>
      <c r="AY743" s="224">
        <f>'Perfil - interna'!AY743+'Perfil - externa'!AY741</f>
        <v>2168437.5098492648</v>
      </c>
      <c r="AZ743" s="224">
        <f>'Perfil - interna'!AZ743+'Perfil - externa'!AZ741</f>
        <v>1294044.4795438652</v>
      </c>
      <c r="BA743" s="224">
        <f>'Perfil - interna'!BA743+'Perfil - externa'!BA741</f>
        <v>308738.2716319444</v>
      </c>
      <c r="BB743" s="224">
        <f>'Perfil - interna'!BB743+'Perfil - externa'!BB741</f>
        <v>192396.28877083331</v>
      </c>
      <c r="BC743" s="224">
        <f>'Perfil - interna'!BC743+'Perfil - externa'!BC741</f>
        <v>191870.61585069445</v>
      </c>
      <c r="BD743" s="224">
        <f>'Perfil - interna'!BD743+'Perfil - externa'!BD741</f>
        <v>191870.61585069445</v>
      </c>
      <c r="BE743" s="224">
        <f>'Perfil - interna'!BE743+'Perfil - externa'!BE741</f>
        <v>191870.61585069445</v>
      </c>
      <c r="BF743" s="224">
        <f>'Perfil - interna'!BF743+'Perfil - externa'!BF741</f>
        <v>192396.28877083331</v>
      </c>
      <c r="BG743" s="224">
        <f>'Perfil - interna'!BG743+'Perfil - externa'!BG741</f>
        <v>191870.61585069445</v>
      </c>
      <c r="BH743" s="224">
        <f>'Perfil - interna'!BH743+'Perfil - externa'!BH741</f>
        <v>191870.61585069445</v>
      </c>
      <c r="BI743" s="224">
        <f>'Perfil - interna'!BI743+'Perfil - externa'!BI741</f>
        <v>191870.61585069445</v>
      </c>
      <c r="BJ743" s="224">
        <f>'Perfil - interna'!BJ743+'Perfil - externa'!BJ741</f>
        <v>192396.28877083331</v>
      </c>
      <c r="BK743" s="224">
        <f>'Perfil - interna'!BK743+'Perfil - externa'!BK741</f>
        <v>96723.817305555553</v>
      </c>
    </row>
    <row r="744" spans="1:63">
      <c r="A744" s="171"/>
      <c r="B744" s="307" t="s">
        <v>29</v>
      </c>
      <c r="C744" s="321"/>
      <c r="D744" s="321"/>
      <c r="E744" s="321"/>
      <c r="F744" s="321"/>
      <c r="G744" s="321"/>
      <c r="H744" s="321"/>
      <c r="I744" s="321"/>
      <c r="J744" s="321"/>
      <c r="K744" s="321"/>
      <c r="L744" s="321"/>
      <c r="M744" s="321"/>
      <c r="N744" s="321"/>
      <c r="O744" s="321"/>
      <c r="P744" s="321"/>
      <c r="Q744" s="321"/>
      <c r="R744" s="321"/>
      <c r="S744" s="321"/>
      <c r="T744" s="321"/>
      <c r="U744" s="321"/>
      <c r="V744" s="321"/>
      <c r="W744" s="321">
        <f>+W742+W743</f>
        <v>63636725.93240656</v>
      </c>
      <c r="X744" s="321">
        <f>+X742+X743</f>
        <v>63320753.484733835</v>
      </c>
      <c r="Y744" s="321">
        <f t="shared" ref="Y744:BG744" si="60">+Y742+Y743</f>
        <v>68427354.677128553</v>
      </c>
      <c r="Z744" s="321">
        <f t="shared" si="60"/>
        <v>78582007.248669893</v>
      </c>
      <c r="AA744" s="321">
        <f t="shared" si="60"/>
        <v>74528775.839313343</v>
      </c>
      <c r="AB744" s="321">
        <f t="shared" si="60"/>
        <v>69321916.644285962</v>
      </c>
      <c r="AC744" s="321">
        <f t="shared" si="60"/>
        <v>76770259.601250976</v>
      </c>
      <c r="AD744" s="321">
        <f t="shared" si="60"/>
        <v>57411976.070056349</v>
      </c>
      <c r="AE744" s="321">
        <f t="shared" si="60"/>
        <v>35552219.410594985</v>
      </c>
      <c r="AF744" s="321">
        <f t="shared" si="60"/>
        <v>50293741.492606021</v>
      </c>
      <c r="AG744" s="321">
        <f t="shared" si="60"/>
        <v>30906765.327449091</v>
      </c>
      <c r="AH744" s="321">
        <f t="shared" si="60"/>
        <v>51183593.921835423</v>
      </c>
      <c r="AI744" s="321">
        <f t="shared" si="60"/>
        <v>30110868.120062545</v>
      </c>
      <c r="AJ744" s="321">
        <f t="shared" si="60"/>
        <v>42573280.474452816</v>
      </c>
      <c r="AK744" s="321">
        <f t="shared" si="60"/>
        <v>29890810.024515759</v>
      </c>
      <c r="AL744" s="321">
        <f t="shared" si="60"/>
        <v>23206693.043078013</v>
      </c>
      <c r="AM744" s="321">
        <f t="shared" si="60"/>
        <v>28444633.814400274</v>
      </c>
      <c r="AN744" s="321">
        <f t="shared" si="60"/>
        <v>6314576.7783617433</v>
      </c>
      <c r="AO744" s="321">
        <f t="shared" si="60"/>
        <v>7454621.2235631887</v>
      </c>
      <c r="AP744" s="321">
        <f t="shared" si="60"/>
        <v>7936293.3293087333</v>
      </c>
      <c r="AQ744" s="321">
        <f t="shared" si="60"/>
        <v>13778342.626967236</v>
      </c>
      <c r="AR744" s="321">
        <f t="shared" si="60"/>
        <v>7687578.9944098713</v>
      </c>
      <c r="AS744" s="321">
        <f t="shared" si="60"/>
        <v>3847288.190931092</v>
      </c>
      <c r="AT744" s="321">
        <f t="shared" si="60"/>
        <v>12967110.392047724</v>
      </c>
      <c r="AU744" s="321">
        <f t="shared" si="60"/>
        <v>19782898.540441923</v>
      </c>
      <c r="AV744" s="321">
        <f t="shared" si="60"/>
        <v>2451788.8711924758</v>
      </c>
      <c r="AW744" s="321">
        <f t="shared" si="60"/>
        <v>2448702.4267542274</v>
      </c>
      <c r="AX744" s="321">
        <f t="shared" si="60"/>
        <v>3205251.3370136698</v>
      </c>
      <c r="AY744" s="321">
        <f t="shared" si="60"/>
        <v>19622002.495758653</v>
      </c>
      <c r="AZ744" s="321">
        <f t="shared" si="60"/>
        <v>13300407.147087082</v>
      </c>
      <c r="BA744" s="321">
        <f t="shared" si="60"/>
        <v>5943743.271631944</v>
      </c>
      <c r="BB744" s="321">
        <f t="shared" si="60"/>
        <v>192396.28877083331</v>
      </c>
      <c r="BC744" s="321">
        <f t="shared" si="60"/>
        <v>191870.61585069445</v>
      </c>
      <c r="BD744" s="321">
        <f t="shared" si="60"/>
        <v>191870.61585069445</v>
      </c>
      <c r="BE744" s="321">
        <f t="shared" si="60"/>
        <v>191870.61585069445</v>
      </c>
      <c r="BF744" s="321">
        <f t="shared" si="60"/>
        <v>192396.28877083331</v>
      </c>
      <c r="BG744" s="321">
        <f t="shared" si="60"/>
        <v>191870.61585069445</v>
      </c>
      <c r="BH744" s="321">
        <f>+BH742+BH743</f>
        <v>191870.61585069445</v>
      </c>
      <c r="BI744" s="321">
        <f>+BI742+BI743</f>
        <v>191870.61585069445</v>
      </c>
      <c r="BJ744" s="321">
        <f>+BJ742+BJ743</f>
        <v>192396.28877083331</v>
      </c>
      <c r="BK744" s="321">
        <f>+BK742+BK743</f>
        <v>4980394.8173055556</v>
      </c>
    </row>
    <row r="745" spans="1:63">
      <c r="A745" s="278"/>
      <c r="B745" s="210" t="s">
        <v>28</v>
      </c>
      <c r="C745" s="224"/>
      <c r="D745" s="224"/>
      <c r="E745" s="224"/>
      <c r="F745" s="224"/>
      <c r="G745" s="224"/>
      <c r="H745" s="224"/>
      <c r="I745" s="224"/>
      <c r="J745" s="224"/>
      <c r="K745" s="224"/>
      <c r="L745" s="224"/>
      <c r="M745" s="224"/>
      <c r="N745" s="224"/>
      <c r="O745" s="224"/>
      <c r="P745" s="224"/>
      <c r="Q745" s="224"/>
      <c r="R745" s="224"/>
      <c r="S745" s="224"/>
      <c r="T745" s="224"/>
      <c r="U745" s="224"/>
      <c r="V745" s="224"/>
      <c r="W745" s="224">
        <f>'Perfil - interna'!W745+'Perfil - externa'!W743</f>
        <v>48547725.453754306</v>
      </c>
      <c r="X745" s="224">
        <f>'Perfil - interna'!X745+'Perfil - externa'!X743</f>
        <v>33618333.994615361</v>
      </c>
      <c r="Y745" s="224">
        <f>'Perfil - interna'!Y745+'Perfil - externa'!Y743</f>
        <v>39262534.993104786</v>
      </c>
      <c r="Z745" s="224">
        <f>'Perfil - interna'!Z745+'Perfil - externa'!Z743</f>
        <v>51432634.645449929</v>
      </c>
      <c r="AA745" s="224">
        <f>'Perfil - interna'!AA745+'Perfil - externa'!AA743</f>
        <v>50339766.674171075</v>
      </c>
      <c r="AB745" s="224">
        <f>'Perfil - interna'!AB745+'Perfil - externa'!AB743</f>
        <v>47126024.662268326</v>
      </c>
      <c r="AC745" s="224">
        <f>'Perfil - interna'!AC745+'Perfil - externa'!AC743</f>
        <v>57212476.462466091</v>
      </c>
      <c r="AD745" s="224">
        <f>'Perfil - interna'!AD745+'Perfil - externa'!AD743</f>
        <v>40045512.940541476</v>
      </c>
      <c r="AE745" s="224">
        <f>'Perfil - interna'!AE745+'Perfil - externa'!AE743</f>
        <v>21170020.261304397</v>
      </c>
      <c r="AF745" s="224">
        <f>'Perfil - interna'!AF745+'Perfil - externa'!AF743</f>
        <v>35671129.672974028</v>
      </c>
      <c r="AG745" s="224">
        <f>'Perfil - interna'!AG745+'Perfil - externa'!AG743</f>
        <v>21278174.937296644</v>
      </c>
      <c r="AH745" s="224">
        <f>'Perfil - interna'!AH745+'Perfil - externa'!AH743</f>
        <v>38968849.29305353</v>
      </c>
      <c r="AI745" s="224">
        <f>'Perfil - interna'!AI745+'Perfil - externa'!AI743</f>
        <v>19820056.964102391</v>
      </c>
      <c r="AJ745" s="224">
        <f>'Perfil - interna'!AJ745+'Perfil - externa'!AJ743</f>
        <v>32808687.498318035</v>
      </c>
      <c r="AK745" s="224">
        <f>'Perfil - interna'!AK745+'Perfil - externa'!AK743</f>
        <v>22282482.403246246</v>
      </c>
      <c r="AL745" s="224">
        <f>'Perfil - interna'!AL745+'Perfil - externa'!AL743</f>
        <v>17208957.893343389</v>
      </c>
      <c r="AM745" s="224">
        <f>'Perfil - interna'!AM745+'Perfil - externa'!AM743</f>
        <v>23493046.93060058</v>
      </c>
      <c r="AN745" s="224">
        <f>'Perfil - interna'!AN745+'Perfil - externa'!AN743</f>
        <v>1696427.0792537043</v>
      </c>
      <c r="AO745" s="224">
        <f>'Perfil - interna'!AO745+'Perfil - externa'!AO743</f>
        <v>2883929.6862463234</v>
      </c>
      <c r="AP745" s="224">
        <f>'Perfil - interna'!AP745+'Perfil - externa'!AP743</f>
        <v>3472479.8330957652</v>
      </c>
      <c r="AQ745" s="224">
        <f>'Perfil - interna'!AQ745+'Perfil - externa'!AQ743</f>
        <v>9792551.0958790462</v>
      </c>
      <c r="AR745" s="224">
        <f>'Perfil - interna'!AR745+'Perfil - externa'!AR743</f>
        <v>3949783.825740519</v>
      </c>
      <c r="AS745" s="224">
        <f>'Perfil - interna'!AS745+'Perfil - externa'!AS743</f>
        <v>112136.20249135724</v>
      </c>
      <c r="AT745" s="224">
        <f>'Perfil - interna'!AT745+'Perfil - externa'!AT743</f>
        <v>9698223.2043381594</v>
      </c>
      <c r="AU745" s="224">
        <f>'Perfil - interna'!AU745+'Perfil - externa'!AU743</f>
        <v>17366938.136770591</v>
      </c>
      <c r="AV745" s="224">
        <f>'Perfil - interna'!AV745+'Perfil - externa'!AV743</f>
        <v>100663.13677059393</v>
      </c>
      <c r="AW745" s="224">
        <f>'Perfil - interna'!AW745+'Perfil - externa'!AW743</f>
        <v>100663.13677059393</v>
      </c>
      <c r="AX745" s="224">
        <f>'Perfil - interna'!AX745+'Perfil - externa'!AX743</f>
        <v>100663.13677059393</v>
      </c>
      <c r="AY745" s="224">
        <f>'Perfil - interna'!AY745+'Perfil - externa'!AY743</f>
        <v>17838690.794448894</v>
      </c>
      <c r="AZ745" s="224">
        <f>'Perfil - interna'!AZ745+'Perfil - externa'!AZ743</f>
        <v>12437843.217556773</v>
      </c>
      <c r="BA745" s="224">
        <f>'Perfil - interna'!BA745+'Perfil - externa'!BA743</f>
        <v>5755425</v>
      </c>
      <c r="BB745" s="224">
        <f>'Perfil - interna'!BB745+'Perfil - externa'!BB743</f>
        <v>0</v>
      </c>
      <c r="BC745" s="224">
        <f>'Perfil - interna'!BC745+'Perfil - externa'!BC743</f>
        <v>0</v>
      </c>
      <c r="BD745" s="224">
        <f>'Perfil - interna'!BD745+'Perfil - externa'!BD743</f>
        <v>0</v>
      </c>
      <c r="BE745" s="224">
        <f>'Perfil - interna'!BE745+'Perfil - externa'!BE743</f>
        <v>0</v>
      </c>
      <c r="BF745" s="224">
        <f>'Perfil - interna'!BF745+'Perfil - externa'!BF743</f>
        <v>0</v>
      </c>
      <c r="BG745" s="224">
        <f>'Perfil - interna'!BG745+'Perfil - externa'!BG743</f>
        <v>0</v>
      </c>
      <c r="BH745" s="224">
        <f>'Perfil - interna'!BH745+'Perfil - externa'!BH743</f>
        <v>0</v>
      </c>
      <c r="BI745" s="224">
        <f>'Perfil - interna'!BI745+'Perfil - externa'!BI743</f>
        <v>0</v>
      </c>
      <c r="BJ745" s="224">
        <f>'Perfil - interna'!BJ745+'Perfil - externa'!BJ743</f>
        <v>0</v>
      </c>
      <c r="BK745" s="224">
        <f>'Perfil - interna'!BK745+'Perfil - externa'!BK743</f>
        <v>4988035</v>
      </c>
    </row>
    <row r="746" spans="1:63">
      <c r="A746" s="168">
        <v>44408</v>
      </c>
      <c r="B746" s="213" t="s">
        <v>385</v>
      </c>
      <c r="C746" s="224"/>
      <c r="D746" s="224"/>
      <c r="E746" s="224"/>
      <c r="F746" s="224"/>
      <c r="G746" s="224"/>
      <c r="H746" s="224"/>
      <c r="I746" s="224"/>
      <c r="J746" s="224"/>
      <c r="K746" s="224"/>
      <c r="L746" s="224"/>
      <c r="M746" s="224"/>
      <c r="N746" s="224"/>
      <c r="O746" s="224"/>
      <c r="P746" s="224"/>
      <c r="Q746" s="224"/>
      <c r="R746" s="224"/>
      <c r="S746" s="224"/>
      <c r="T746" s="224"/>
      <c r="U746" s="224"/>
      <c r="V746" s="224"/>
      <c r="W746" s="224">
        <f>'Perfil - interna'!W746+'Perfil - externa'!W744</f>
        <v>12487311.605691593</v>
      </c>
      <c r="X746" s="224">
        <f>'Perfil - interna'!X746+'Perfil - externa'!X744</f>
        <v>31592657.246278681</v>
      </c>
      <c r="Y746" s="224">
        <f>'Perfil - interna'!Y746+'Perfil - externa'!Y744</f>
        <v>29966454.237935029</v>
      </c>
      <c r="Z746" s="224">
        <f>'Perfil - interna'!Z746+'Perfil - externa'!Z744</f>
        <v>28114033.223105785</v>
      </c>
      <c r="AA746" s="224">
        <f>'Perfil - interna'!AA746+'Perfil - externa'!AA744</f>
        <v>25136192.730256487</v>
      </c>
      <c r="AB746" s="224">
        <f>'Perfil - interna'!AB746+'Perfil - externa'!AB744</f>
        <v>23133505.321567558</v>
      </c>
      <c r="AC746" s="224">
        <f>'Perfil - interna'!AC746+'Perfil - externa'!AC744</f>
        <v>20434930.533077382</v>
      </c>
      <c r="AD746" s="224">
        <f>'Perfil - interna'!AD746+'Perfil - externa'!AD744</f>
        <v>18041366.686586697</v>
      </c>
      <c r="AE746" s="224">
        <f>'Perfil - interna'!AE746+'Perfil - externa'!AE744</f>
        <v>15842482.512080763</v>
      </c>
      <c r="AF746" s="224">
        <f>'Perfil - interna'!AF746+'Perfil - externa'!AF744</f>
        <v>15313145.309980072</v>
      </c>
      <c r="AG746" s="224">
        <f>'Perfil - interna'!AG746+'Perfil - externa'!AG744</f>
        <v>13339033.124950331</v>
      </c>
      <c r="AH746" s="224">
        <f>'Perfil - interna'!AH746+'Perfil - externa'!AH744</f>
        <v>12705243.57048052</v>
      </c>
      <c r="AI746" s="224">
        <f>'Perfil - interna'!AI746+'Perfil - externa'!AI744</f>
        <v>10701998.888347695</v>
      </c>
      <c r="AJ746" s="224">
        <f>'Perfil - interna'!AJ746+'Perfil - externa'!AJ744</f>
        <v>10088495.802875897</v>
      </c>
      <c r="AK746" s="224">
        <f>'Perfil - interna'!AK746+'Perfil - externa'!AK744</f>
        <v>8033934.2206490217</v>
      </c>
      <c r="AL746" s="224">
        <f>'Perfil - interna'!AL746+'Perfil - externa'!AL744</f>
        <v>6798784.8107447252</v>
      </c>
      <c r="AM746" s="224">
        <f>'Perfil - interna'!AM746+'Perfil - externa'!AM744</f>
        <v>6145695.7907868465</v>
      </c>
      <c r="AN746" s="224">
        <f>'Perfil - interna'!AN746+'Perfil - externa'!AN744</f>
        <v>4764387.57798866</v>
      </c>
      <c r="AO746" s="224">
        <f>'Perfil - interna'!AO746+'Perfil - externa'!AO744</f>
        <v>4741538.7719386229</v>
      </c>
      <c r="AP746" s="224">
        <f>'Perfil - interna'!AP746+'Perfil - externa'!AP744</f>
        <v>4645179.5849314909</v>
      </c>
      <c r="AQ746" s="224">
        <f>'Perfil - interna'!AQ746+'Perfil - externa'!AQ744</f>
        <v>4291464.1528118877</v>
      </c>
      <c r="AR746" s="224">
        <f>'Perfil - interna'!AR746+'Perfil - externa'!AR744</f>
        <v>3913258.2225398649</v>
      </c>
      <c r="AS746" s="224">
        <f>'Perfil - interna'!AS746+'Perfil - externa'!AS744</f>
        <v>3828569.4973965408</v>
      </c>
      <c r="AT746" s="224">
        <f>'Perfil - interna'!AT746+'Perfil - externa'!AT744</f>
        <v>3557216.8454002431</v>
      </c>
      <c r="AU746" s="224">
        <f>'Perfil - interna'!AU746+'Perfil - externa'!AU744</f>
        <v>2849963.9303007154</v>
      </c>
      <c r="AV746" s="224">
        <f>'Perfil - interna'!AV746+'Perfil - externa'!AV744</f>
        <v>2414784.5327830156</v>
      </c>
      <c r="AW746" s="224">
        <f>'Perfil - interna'!AW746+'Perfil - externa'!AW744</f>
        <v>2411644.8600765155</v>
      </c>
      <c r="AX746" s="224">
        <f>'Perfil - interna'!AX746+'Perfil - externa'!AX744</f>
        <v>3168186.8277544053</v>
      </c>
      <c r="AY746" s="224">
        <f>'Perfil - interna'!AY746+'Perfil - externa'!AY744</f>
        <v>2224787.3552964353</v>
      </c>
      <c r="AZ746" s="224">
        <f>'Perfil - interna'!AZ746+'Perfil - externa'!AZ744</f>
        <v>1334330.2665736449</v>
      </c>
      <c r="BA746" s="224">
        <f>'Perfil - interna'!BA746+'Perfil - externa'!BA744</f>
        <v>315336.00538194441</v>
      </c>
      <c r="BB746" s="224">
        <f>'Perfil - interna'!BB746+'Perfil - externa'!BB744</f>
        <v>196507.79552083332</v>
      </c>
      <c r="BC746" s="224">
        <f>'Perfil - interna'!BC746+'Perfil - externa'!BC744</f>
        <v>195970.88897569443</v>
      </c>
      <c r="BD746" s="224">
        <f>'Perfil - interna'!BD746+'Perfil - externa'!BD744</f>
        <v>195970.88897569443</v>
      </c>
      <c r="BE746" s="224">
        <f>'Perfil - interna'!BE746+'Perfil - externa'!BE744</f>
        <v>195970.88897569443</v>
      </c>
      <c r="BF746" s="224">
        <f>'Perfil - interna'!BF746+'Perfil - externa'!BF744</f>
        <v>196507.79552083332</v>
      </c>
      <c r="BG746" s="224">
        <f>'Perfil - interna'!BG746+'Perfil - externa'!BG744</f>
        <v>195970.88897569443</v>
      </c>
      <c r="BH746" s="224">
        <f>'Perfil - interna'!BH746+'Perfil - externa'!BH744</f>
        <v>195970.88897569443</v>
      </c>
      <c r="BI746" s="224">
        <f>'Perfil - interna'!BI746+'Perfil - externa'!BI744</f>
        <v>195970.88897569443</v>
      </c>
      <c r="BJ746" s="224">
        <f>'Perfil - interna'!BJ746+'Perfil - externa'!BJ744</f>
        <v>196507.79552083332</v>
      </c>
      <c r="BK746" s="224">
        <f>'Perfil - interna'!BK746+'Perfil - externa'!BK744</f>
        <v>98790.804305555546</v>
      </c>
    </row>
    <row r="747" spans="1:63">
      <c r="A747" s="279"/>
      <c r="B747" s="307" t="s">
        <v>29</v>
      </c>
      <c r="C747" s="321"/>
      <c r="D747" s="321"/>
      <c r="E747" s="321"/>
      <c r="F747" s="321"/>
      <c r="G747" s="321"/>
      <c r="H747" s="321"/>
      <c r="I747" s="321"/>
      <c r="J747" s="321"/>
      <c r="K747" s="321"/>
      <c r="L747" s="321"/>
      <c r="M747" s="321"/>
      <c r="N747" s="321"/>
      <c r="O747" s="321"/>
      <c r="P747" s="321"/>
      <c r="Q747" s="321"/>
      <c r="R747" s="321"/>
      <c r="S747" s="321"/>
      <c r="T747" s="321"/>
      <c r="U747" s="321"/>
      <c r="V747" s="321"/>
      <c r="W747" s="321">
        <f>+W745+W746</f>
        <v>61035037.059445903</v>
      </c>
      <c r="X747" s="321">
        <f>+X745+X746</f>
        <v>65210991.240894042</v>
      </c>
      <c r="Y747" s="321">
        <f t="shared" ref="Y747:BG747" si="61">+Y745+Y746</f>
        <v>69228989.231039822</v>
      </c>
      <c r="Z747" s="321">
        <f t="shared" si="61"/>
        <v>79546667.86855571</v>
      </c>
      <c r="AA747" s="321">
        <f t="shared" si="61"/>
        <v>75475959.404427558</v>
      </c>
      <c r="AB747" s="321">
        <f t="shared" si="61"/>
        <v>70259529.983835876</v>
      </c>
      <c r="AC747" s="321">
        <f t="shared" si="61"/>
        <v>77647406.99554348</v>
      </c>
      <c r="AD747" s="321">
        <f t="shared" si="61"/>
        <v>58086879.627128169</v>
      </c>
      <c r="AE747" s="321">
        <f t="shared" si="61"/>
        <v>37012502.77338516</v>
      </c>
      <c r="AF747" s="321">
        <f t="shared" si="61"/>
        <v>50984274.9829541</v>
      </c>
      <c r="AG747" s="321">
        <f t="shared" si="61"/>
        <v>34617208.062246978</v>
      </c>
      <c r="AH747" s="321">
        <f t="shared" si="61"/>
        <v>51674092.863534048</v>
      </c>
      <c r="AI747" s="321">
        <f t="shared" si="61"/>
        <v>30522055.852450088</v>
      </c>
      <c r="AJ747" s="321">
        <f t="shared" si="61"/>
        <v>42897183.30119393</v>
      </c>
      <c r="AK747" s="321">
        <f t="shared" si="61"/>
        <v>30316416.623895269</v>
      </c>
      <c r="AL747" s="321">
        <f t="shared" si="61"/>
        <v>24007742.704088114</v>
      </c>
      <c r="AM747" s="321">
        <f t="shared" si="61"/>
        <v>29638742.721387427</v>
      </c>
      <c r="AN747" s="321">
        <f t="shared" si="61"/>
        <v>6460814.6572423643</v>
      </c>
      <c r="AO747" s="321">
        <f t="shared" si="61"/>
        <v>7625468.4581849463</v>
      </c>
      <c r="AP747" s="321">
        <f t="shared" si="61"/>
        <v>8117659.4180272557</v>
      </c>
      <c r="AQ747" s="321">
        <f t="shared" si="61"/>
        <v>14084015.248690933</v>
      </c>
      <c r="AR747" s="321">
        <f t="shared" si="61"/>
        <v>7863042.0482803844</v>
      </c>
      <c r="AS747" s="321">
        <f t="shared" si="61"/>
        <v>3940705.6998878983</v>
      </c>
      <c r="AT747" s="321">
        <f t="shared" si="61"/>
        <v>13255440.049738403</v>
      </c>
      <c r="AU747" s="321">
        <f t="shared" si="61"/>
        <v>20216902.067071307</v>
      </c>
      <c r="AV747" s="321">
        <f t="shared" si="61"/>
        <v>2515447.6695536096</v>
      </c>
      <c r="AW747" s="321">
        <f t="shared" si="61"/>
        <v>2512307.9968471094</v>
      </c>
      <c r="AX747" s="321">
        <f t="shared" si="61"/>
        <v>3268849.9645249993</v>
      </c>
      <c r="AY747" s="321">
        <f t="shared" si="61"/>
        <v>20063478.14974533</v>
      </c>
      <c r="AZ747" s="321">
        <f t="shared" si="61"/>
        <v>13772173.484130418</v>
      </c>
      <c r="BA747" s="321">
        <f t="shared" si="61"/>
        <v>6070761.0053819446</v>
      </c>
      <c r="BB747" s="321">
        <f t="shared" si="61"/>
        <v>196507.79552083332</v>
      </c>
      <c r="BC747" s="321">
        <f t="shared" si="61"/>
        <v>195970.88897569443</v>
      </c>
      <c r="BD747" s="321">
        <f t="shared" si="61"/>
        <v>195970.88897569443</v>
      </c>
      <c r="BE747" s="321">
        <f t="shared" si="61"/>
        <v>195970.88897569443</v>
      </c>
      <c r="BF747" s="321">
        <f t="shared" si="61"/>
        <v>196507.79552083332</v>
      </c>
      <c r="BG747" s="321">
        <f t="shared" si="61"/>
        <v>195970.88897569443</v>
      </c>
      <c r="BH747" s="321">
        <f>+BH745+BH746</f>
        <v>195970.88897569443</v>
      </c>
      <c r="BI747" s="321">
        <f>+BI745+BI746</f>
        <v>195970.88897569443</v>
      </c>
      <c r="BJ747" s="321">
        <f>+BJ745+BJ746</f>
        <v>196507.79552083332</v>
      </c>
      <c r="BK747" s="321">
        <f>+BK745+BK746</f>
        <v>5086825.8043055553</v>
      </c>
    </row>
    <row r="748" spans="1:63">
      <c r="A748" s="278"/>
      <c r="B748" s="210" t="s">
        <v>28</v>
      </c>
      <c r="C748" s="224"/>
      <c r="D748" s="224"/>
      <c r="E748" s="224"/>
      <c r="F748" s="224"/>
      <c r="G748" s="224"/>
      <c r="H748" s="224"/>
      <c r="I748" s="224"/>
      <c r="J748" s="224"/>
      <c r="K748" s="224"/>
      <c r="L748" s="224"/>
      <c r="M748" s="224"/>
      <c r="N748" s="224"/>
      <c r="O748" s="224"/>
      <c r="P748" s="224"/>
      <c r="Q748" s="224"/>
      <c r="R748" s="224"/>
      <c r="S748" s="224"/>
      <c r="T748" s="224"/>
      <c r="U748" s="224"/>
      <c r="V748" s="224"/>
      <c r="W748" s="224">
        <f>'Perfil - interna'!W748+'Perfil - externa'!W746</f>
        <v>29375089.541829061</v>
      </c>
      <c r="X748" s="224">
        <f>'Perfil - interna'!X748+'Perfil - externa'!X746</f>
        <v>46304506.427687414</v>
      </c>
      <c r="Y748" s="224">
        <f>'Perfil - interna'!Y748+'Perfil - externa'!Y746</f>
        <v>39189422.712128811</v>
      </c>
      <c r="Z748" s="224">
        <f>'Perfil - interna'!Z748+'Perfil - externa'!Z746</f>
        <v>51239326.01058764</v>
      </c>
      <c r="AA748" s="224">
        <f>'Perfil - interna'!AA748+'Perfil - externa'!AA746</f>
        <v>50138541.429498374</v>
      </c>
      <c r="AB748" s="224">
        <f>'Perfil - interna'!AB748+'Perfil - externa'!AB746</f>
        <v>46810852.017215006</v>
      </c>
      <c r="AC748" s="224">
        <f>'Perfil - interna'!AC748+'Perfil - externa'!AC746</f>
        <v>57064337.229548603</v>
      </c>
      <c r="AD748" s="224">
        <f>'Perfil - interna'!AD748+'Perfil - externa'!AD746</f>
        <v>39956970.789324656</v>
      </c>
      <c r="AE748" s="224">
        <f>'Perfil - interna'!AE748+'Perfil - externa'!AE746</f>
        <v>21033954.657776181</v>
      </c>
      <c r="AF748" s="224">
        <f>'Perfil - interna'!AF748+'Perfil - externa'!AF746</f>
        <v>35557619.864520147</v>
      </c>
      <c r="AG748" s="224">
        <f>'Perfil - interna'!AG748+'Perfil - externa'!AG746</f>
        <v>21129793.865116186</v>
      </c>
      <c r="AH748" s="224">
        <f>'Perfil - interna'!AH748+'Perfil - externa'!AH746</f>
        <v>38852280.03175053</v>
      </c>
      <c r="AI748" s="224">
        <f>'Perfil - interna'!AI748+'Perfil - externa'!AI746</f>
        <v>19754480.097458869</v>
      </c>
      <c r="AJ748" s="224">
        <f>'Perfil - interna'!AJ748+'Perfil - externa'!AJ746</f>
        <v>32761277.49136509</v>
      </c>
      <c r="AK748" s="224">
        <f>'Perfil - interna'!AK748+'Perfil - externa'!AK746</f>
        <v>22160495.679601401</v>
      </c>
      <c r="AL748" s="224">
        <f>'Perfil - interna'!AL748+'Perfil - externa'!AL746</f>
        <v>16989607.121943802</v>
      </c>
      <c r="AM748" s="224">
        <f>'Perfil - interna'!AM748+'Perfil - externa'!AM746</f>
        <v>23411089.678937919</v>
      </c>
      <c r="AN748" s="224">
        <f>'Perfil - interna'!AN748+'Perfil - externa'!AN746</f>
        <v>1679158.477971202</v>
      </c>
      <c r="AO748" s="224">
        <f>'Perfil - interna'!AO748+'Perfil - externa'!AO746</f>
        <v>2857351.5869462979</v>
      </c>
      <c r="AP748" s="224">
        <f>'Perfil - interna'!AP748+'Perfil - externa'!AP746</f>
        <v>3441287.7595669292</v>
      </c>
      <c r="AQ748" s="224">
        <f>'Perfil - interna'!AQ748+'Perfil - externa'!AQ746</f>
        <v>9713396.6745612845</v>
      </c>
      <c r="AR748" s="224">
        <f>'Perfil - interna'!AR748+'Perfil - externa'!AR746</f>
        <v>3916434.1293959175</v>
      </c>
      <c r="AS748" s="224">
        <f>'Perfil - interna'!AS748+'Perfil - externa'!AS746</f>
        <v>108871.97520612158</v>
      </c>
      <c r="AT748" s="224">
        <f>'Perfil - interna'!AT748+'Perfil - externa'!AT746</f>
        <v>9619808.2721921504</v>
      </c>
      <c r="AU748" s="224">
        <f>'Perfil - interna'!AU748+'Perfil - externa'!AU746</f>
        <v>17228403.853273232</v>
      </c>
      <c r="AV748" s="224">
        <f>'Perfil - interna'!AV748+'Perfil - externa'!AV746</f>
        <v>97488.853273231623</v>
      </c>
      <c r="AW748" s="224">
        <f>'Perfil - interna'!AW748+'Perfil - externa'!AW746</f>
        <v>97488.853273231623</v>
      </c>
      <c r="AX748" s="224">
        <f>'Perfil - interna'!AX748+'Perfil - externa'!AX746</f>
        <v>97488.853273231623</v>
      </c>
      <c r="AY748" s="224">
        <f>'Perfil - interna'!AY748+'Perfil - externa'!AY746</f>
        <v>17779975.936234631</v>
      </c>
      <c r="AZ748" s="224">
        <f>'Perfil - interna'!AZ748+'Perfil - externa'!AZ746</f>
        <v>12435883.468295993</v>
      </c>
      <c r="BA748" s="224">
        <f>'Perfil - interna'!BA748+'Perfil - externa'!BA746</f>
        <v>5710305</v>
      </c>
      <c r="BB748" s="224">
        <f>'Perfil - interna'!BB748+'Perfil - externa'!BB746</f>
        <v>0</v>
      </c>
      <c r="BC748" s="224">
        <f>'Perfil - interna'!BC748+'Perfil - externa'!BC746</f>
        <v>0</v>
      </c>
      <c r="BD748" s="224">
        <f>'Perfil - interna'!BD748+'Perfil - externa'!BD746</f>
        <v>0</v>
      </c>
      <c r="BE748" s="224">
        <f>'Perfil - interna'!BE748+'Perfil - externa'!BE746</f>
        <v>0</v>
      </c>
      <c r="BF748" s="224">
        <f>'Perfil - interna'!BF748+'Perfil - externa'!BF746</f>
        <v>0</v>
      </c>
      <c r="BG748" s="224">
        <f>'Perfil - interna'!BG748+'Perfil - externa'!BG746</f>
        <v>0</v>
      </c>
      <c r="BH748" s="224">
        <f>'Perfil - interna'!BH748+'Perfil - externa'!BH746</f>
        <v>0</v>
      </c>
      <c r="BI748" s="224">
        <f>'Perfil - interna'!BI748+'Perfil - externa'!BI746</f>
        <v>0</v>
      </c>
      <c r="BJ748" s="224">
        <f>'Perfil - interna'!BJ748+'Perfil - externa'!BJ746</f>
        <v>0</v>
      </c>
      <c r="BK748" s="224">
        <f>'Perfil - interna'!BK748+'Perfil - externa'!BK746</f>
        <v>4948931</v>
      </c>
    </row>
    <row r="749" spans="1:63">
      <c r="A749" s="168">
        <v>44439</v>
      </c>
      <c r="B749" s="213" t="s">
        <v>385</v>
      </c>
      <c r="C749" s="224"/>
      <c r="D749" s="224"/>
      <c r="E749" s="224"/>
      <c r="F749" s="224"/>
      <c r="G749" s="224"/>
      <c r="H749" s="224"/>
      <c r="I749" s="224"/>
      <c r="J749" s="224"/>
      <c r="K749" s="224"/>
      <c r="L749" s="224"/>
      <c r="M749" s="224"/>
      <c r="N749" s="224"/>
      <c r="O749" s="224"/>
      <c r="P749" s="224"/>
      <c r="Q749" s="224"/>
      <c r="R749" s="224"/>
      <c r="S749" s="224"/>
      <c r="T749" s="224"/>
      <c r="U749" s="224"/>
      <c r="V749" s="224"/>
      <c r="W749" s="224">
        <f>'Perfil - interna'!W749+'Perfil - externa'!W747</f>
        <v>9570309.3990569953</v>
      </c>
      <c r="X749" s="224">
        <f>'Perfil - interna'!X749+'Perfil - externa'!X747</f>
        <v>31511369.478886276</v>
      </c>
      <c r="Y749" s="224">
        <f>'Perfil - interna'!Y749+'Perfil - externa'!Y747</f>
        <v>29887284.349730216</v>
      </c>
      <c r="Z749" s="224">
        <f>'Perfil - interna'!Z749+'Perfil - externa'!Z747</f>
        <v>28044094.676053345</v>
      </c>
      <c r="AA749" s="224">
        <f>'Perfil - interna'!AA749+'Perfil - externa'!AA747</f>
        <v>25068245.18467541</v>
      </c>
      <c r="AB749" s="224">
        <f>'Perfil - interna'!AB749+'Perfil - externa'!AB747</f>
        <v>23068825.043151975</v>
      </c>
      <c r="AC749" s="224">
        <f>'Perfil - interna'!AC749+'Perfil - externa'!AC747</f>
        <v>20382821.53090252</v>
      </c>
      <c r="AD749" s="224">
        <f>'Perfil - interna'!AD749+'Perfil - externa'!AD747</f>
        <v>17994202.199144121</v>
      </c>
      <c r="AE749" s="224">
        <f>'Perfil - interna'!AE749+'Perfil - externa'!AE747</f>
        <v>15794942.470336601</v>
      </c>
      <c r="AF749" s="224">
        <f>'Perfil - interna'!AF749+'Perfil - externa'!AF747</f>
        <v>15268956.866692411</v>
      </c>
      <c r="AG749" s="224">
        <f>'Perfil - interna'!AG749+'Perfil - externa'!AG747</f>
        <v>13298147.297274955</v>
      </c>
      <c r="AH749" s="224">
        <f>'Perfil - interna'!AH749+'Perfil - externa'!AH747</f>
        <v>12666485.773190819</v>
      </c>
      <c r="AI749" s="224">
        <f>'Perfil - interna'!AI749+'Perfil - externa'!AI747</f>
        <v>10665598.540134171</v>
      </c>
      <c r="AJ749" s="224">
        <f>'Perfil - interna'!AJ749+'Perfil - externa'!AJ747</f>
        <v>10053099.232571971</v>
      </c>
      <c r="AK749" s="224">
        <f>'Perfil - interna'!AK749+'Perfil - externa'!AK747</f>
        <v>7999906.1634012368</v>
      </c>
      <c r="AL749" s="224">
        <f>'Perfil - interna'!AL749+'Perfil - externa'!AL747</f>
        <v>6766092.9407585468</v>
      </c>
      <c r="AM749" s="224">
        <f>'Perfil - interna'!AM749+'Perfil - externa'!AM747</f>
        <v>6116398.9241623823</v>
      </c>
      <c r="AN749" s="224">
        <f>'Perfil - interna'!AN749+'Perfil - externa'!AN747</f>
        <v>4739388.5345872287</v>
      </c>
      <c r="AO749" s="224">
        <f>'Perfil - interna'!AO749+'Perfil - externa'!AO747</f>
        <v>4716734.41436172</v>
      </c>
      <c r="AP749" s="224">
        <f>'Perfil - interna'!AP749+'Perfil - externa'!AP747</f>
        <v>4621174.5783252567</v>
      </c>
      <c r="AQ749" s="224">
        <f>'Perfil - interna'!AQ749+'Perfil - externa'!AQ747</f>
        <v>4270146.6193243982</v>
      </c>
      <c r="AR749" s="224">
        <f>'Perfil - interna'!AR749+'Perfil - externa'!AR747</f>
        <v>3894910.9783498589</v>
      </c>
      <c r="AS749" s="224">
        <f>'Perfil - interna'!AS749+'Perfil - externa'!AS747</f>
        <v>3810910.1691576317</v>
      </c>
      <c r="AT749" s="224">
        <f>'Perfil - interna'!AT749+'Perfil - externa'!AT747</f>
        <v>3541708.1814599354</v>
      </c>
      <c r="AU749" s="224">
        <f>'Perfil - interna'!AU749+'Perfil - externa'!AU747</f>
        <v>2840024.6321138795</v>
      </c>
      <c r="AV749" s="224">
        <f>'Perfil - interna'!AV749+'Perfil - externa'!AV747</f>
        <v>2408280.9537937669</v>
      </c>
      <c r="AW749" s="224">
        <f>'Perfil - interna'!AW749+'Perfil - externa'!AW747</f>
        <v>2405193.0002848543</v>
      </c>
      <c r="AX749" s="224">
        <f>'Perfil - interna'!AX749+'Perfil - externa'!AX747</f>
        <v>3161769.1168903601</v>
      </c>
      <c r="AY749" s="224">
        <f>'Perfil - interna'!AY749+'Perfil - externa'!AY747</f>
        <v>2219877.9610999511</v>
      </c>
      <c r="AZ749" s="224">
        <f>'Perfil - interna'!AZ749+'Perfil - externa'!AZ747</f>
        <v>1330891.1220473908</v>
      </c>
      <c r="BA749" s="224">
        <f>'Perfil - interna'!BA749+'Perfil - externa'!BA747</f>
        <v>312863.90982638887</v>
      </c>
      <c r="BB749" s="224">
        <f>'Perfil - interna'!BB749+'Perfil - externa'!BB747</f>
        <v>194967.26085416664</v>
      </c>
      <c r="BC749" s="224">
        <f>'Perfil - interna'!BC749+'Perfil - externa'!BC747</f>
        <v>194434.56342013887</v>
      </c>
      <c r="BD749" s="224">
        <f>'Perfil - interna'!BD749+'Perfil - externa'!BD747</f>
        <v>194434.56342013887</v>
      </c>
      <c r="BE749" s="224">
        <f>'Perfil - interna'!BE749+'Perfil - externa'!BE747</f>
        <v>194434.56342013887</v>
      </c>
      <c r="BF749" s="224">
        <f>'Perfil - interna'!BF749+'Perfil - externa'!BF747</f>
        <v>194967.26085416664</v>
      </c>
      <c r="BG749" s="224">
        <f>'Perfil - interna'!BG749+'Perfil - externa'!BG747</f>
        <v>194434.56342013887</v>
      </c>
      <c r="BH749" s="224">
        <f>'Perfil - interna'!BH749+'Perfil - externa'!BH747</f>
        <v>194434.56342013887</v>
      </c>
      <c r="BI749" s="224">
        <f>'Perfil - interna'!BI749+'Perfil - externa'!BI747</f>
        <v>194434.56342013887</v>
      </c>
      <c r="BJ749" s="224">
        <f>'Perfil - interna'!BJ749+'Perfil - externa'!BJ747</f>
        <v>194967.26085416664</v>
      </c>
      <c r="BK749" s="224">
        <f>'Perfil - interna'!BK749+'Perfil - externa'!BK747</f>
        <v>98016.327861111102</v>
      </c>
    </row>
    <row r="750" spans="1:63">
      <c r="A750" s="279"/>
      <c r="B750" s="307" t="s">
        <v>29</v>
      </c>
      <c r="C750" s="321"/>
      <c r="D750" s="321"/>
      <c r="E750" s="321"/>
      <c r="F750" s="321"/>
      <c r="G750" s="321"/>
      <c r="H750" s="321"/>
      <c r="I750" s="321"/>
      <c r="J750" s="321"/>
      <c r="K750" s="321"/>
      <c r="L750" s="321"/>
      <c r="M750" s="321"/>
      <c r="N750" s="321"/>
      <c r="O750" s="321"/>
      <c r="P750" s="321"/>
      <c r="Q750" s="321"/>
      <c r="R750" s="321"/>
      <c r="S750" s="321"/>
      <c r="T750" s="321"/>
      <c r="U750" s="321"/>
      <c r="V750" s="321"/>
      <c r="W750" s="321">
        <f>+W748+W749</f>
        <v>38945398.940886058</v>
      </c>
      <c r="X750" s="321">
        <f>+X748+X749</f>
        <v>77815875.906573683</v>
      </c>
      <c r="Y750" s="321">
        <f t="shared" ref="Y750:BG750" si="62">+Y748+Y749</f>
        <v>69076707.061859027</v>
      </c>
      <c r="Z750" s="321">
        <f t="shared" si="62"/>
        <v>79283420.686640978</v>
      </c>
      <c r="AA750" s="321">
        <f t="shared" si="62"/>
        <v>75206786.614173785</v>
      </c>
      <c r="AB750" s="321">
        <f t="shared" si="62"/>
        <v>69879677.060366988</v>
      </c>
      <c r="AC750" s="321">
        <f t="shared" si="62"/>
        <v>77447158.760451123</v>
      </c>
      <c r="AD750" s="321">
        <f t="shared" si="62"/>
        <v>57951172.988468781</v>
      </c>
      <c r="AE750" s="321">
        <f t="shared" si="62"/>
        <v>36828897.128112778</v>
      </c>
      <c r="AF750" s="321">
        <f t="shared" si="62"/>
        <v>50826576.731212556</v>
      </c>
      <c r="AG750" s="321">
        <f t="shared" si="62"/>
        <v>34427941.162391141</v>
      </c>
      <c r="AH750" s="321">
        <f t="shared" si="62"/>
        <v>51518765.804941349</v>
      </c>
      <c r="AI750" s="321">
        <f t="shared" si="62"/>
        <v>30420078.637593038</v>
      </c>
      <c r="AJ750" s="321">
        <f t="shared" si="62"/>
        <v>42814376.723937064</v>
      </c>
      <c r="AK750" s="321">
        <f t="shared" si="62"/>
        <v>30160401.84300264</v>
      </c>
      <c r="AL750" s="321">
        <f t="shared" si="62"/>
        <v>23755700.06270235</v>
      </c>
      <c r="AM750" s="321">
        <f t="shared" si="62"/>
        <v>29527488.6031003</v>
      </c>
      <c r="AN750" s="321">
        <f t="shared" si="62"/>
        <v>6418547.0125584304</v>
      </c>
      <c r="AO750" s="321">
        <f t="shared" si="62"/>
        <v>7574086.0013080183</v>
      </c>
      <c r="AP750" s="321">
        <f t="shared" si="62"/>
        <v>8062462.3378921859</v>
      </c>
      <c r="AQ750" s="321">
        <f t="shared" si="62"/>
        <v>13983543.293885682</v>
      </c>
      <c r="AR750" s="321">
        <f t="shared" si="62"/>
        <v>7811345.107745776</v>
      </c>
      <c r="AS750" s="321">
        <f t="shared" si="62"/>
        <v>3919782.1443637535</v>
      </c>
      <c r="AT750" s="321">
        <f t="shared" si="62"/>
        <v>13161516.453652086</v>
      </c>
      <c r="AU750" s="321">
        <f t="shared" si="62"/>
        <v>20068428.485387109</v>
      </c>
      <c r="AV750" s="321">
        <f t="shared" si="62"/>
        <v>2505769.8070669984</v>
      </c>
      <c r="AW750" s="321">
        <f t="shared" si="62"/>
        <v>2502681.8535580859</v>
      </c>
      <c r="AX750" s="321">
        <f t="shared" si="62"/>
        <v>3259257.9701635917</v>
      </c>
      <c r="AY750" s="321">
        <f t="shared" si="62"/>
        <v>19999853.897334583</v>
      </c>
      <c r="AZ750" s="321">
        <f t="shared" si="62"/>
        <v>13766774.590343384</v>
      </c>
      <c r="BA750" s="321">
        <f t="shared" si="62"/>
        <v>6023168.9098263886</v>
      </c>
      <c r="BB750" s="321">
        <f t="shared" si="62"/>
        <v>194967.26085416664</v>
      </c>
      <c r="BC750" s="321">
        <f t="shared" si="62"/>
        <v>194434.56342013887</v>
      </c>
      <c r="BD750" s="321">
        <f t="shared" si="62"/>
        <v>194434.56342013887</v>
      </c>
      <c r="BE750" s="321">
        <f t="shared" si="62"/>
        <v>194434.56342013887</v>
      </c>
      <c r="BF750" s="321">
        <f t="shared" si="62"/>
        <v>194967.26085416664</v>
      </c>
      <c r="BG750" s="321">
        <f t="shared" si="62"/>
        <v>194434.56342013887</v>
      </c>
      <c r="BH750" s="321">
        <f>+BH748+BH749</f>
        <v>194434.56342013887</v>
      </c>
      <c r="BI750" s="321">
        <f>+BI748+BI749</f>
        <v>194434.56342013887</v>
      </c>
      <c r="BJ750" s="321">
        <f>+BJ748+BJ749</f>
        <v>194967.26085416664</v>
      </c>
      <c r="BK750" s="321">
        <f>+BK748+BK749</f>
        <v>5046947.3278611107</v>
      </c>
    </row>
    <row r="751" spans="1:63">
      <c r="A751" s="278"/>
      <c r="B751" s="210" t="s">
        <v>28</v>
      </c>
      <c r="C751" s="224"/>
      <c r="D751" s="224"/>
      <c r="E751" s="224"/>
      <c r="F751" s="224"/>
      <c r="G751" s="224"/>
      <c r="H751" s="224"/>
      <c r="I751" s="224"/>
      <c r="J751" s="224"/>
      <c r="K751" s="224"/>
      <c r="L751" s="224"/>
      <c r="M751" s="224"/>
      <c r="N751" s="224"/>
      <c r="O751" s="224"/>
      <c r="P751" s="224"/>
      <c r="Q751" s="224"/>
      <c r="R751" s="224"/>
      <c r="S751" s="224"/>
      <c r="T751" s="224"/>
      <c r="U751" s="224"/>
      <c r="V751" s="224"/>
      <c r="W751" s="224">
        <f>'Perfil - interna'!W751+'Perfil - externa'!W749</f>
        <v>4207098.1713047978</v>
      </c>
      <c r="X751" s="224">
        <f>'Perfil - interna'!X751+'Perfil - externa'!X749</f>
        <v>62975374.816279553</v>
      </c>
      <c r="Y751" s="224">
        <f>'Perfil - interna'!Y751+'Perfil - externa'!Y749</f>
        <v>38978147.072104573</v>
      </c>
      <c r="Z751" s="224">
        <f>'Perfil - interna'!Z751+'Perfil - externa'!Z749</f>
        <v>51369541.506164283</v>
      </c>
      <c r="AA751" s="224">
        <f>'Perfil - interna'!AA751+'Perfil - externa'!AA749</f>
        <v>50270988.226851583</v>
      </c>
      <c r="AB751" s="224">
        <f>'Perfil - interna'!AB751+'Perfil - externa'!AB749</f>
        <v>46943851.538876399</v>
      </c>
      <c r="AC751" s="224">
        <f>'Perfil - interna'!AC751+'Perfil - externa'!AC749</f>
        <v>57284196.619060554</v>
      </c>
      <c r="AD751" s="224">
        <f>'Perfil - interna'!AD751+'Perfil - externa'!AD749</f>
        <v>40125805.680305094</v>
      </c>
      <c r="AE751" s="224">
        <f>'Perfil - interna'!AE751+'Perfil - externa'!AE749</f>
        <v>22859935.832819466</v>
      </c>
      <c r="AF751" s="224">
        <f>'Perfil - interna'!AF751+'Perfil - externa'!AF749</f>
        <v>36209928.671627246</v>
      </c>
      <c r="AG751" s="224">
        <f>'Perfil - interna'!AG751+'Perfil - externa'!AG749</f>
        <v>29647597.078786261</v>
      </c>
      <c r="AH751" s="224">
        <f>'Perfil - interna'!AH751+'Perfil - externa'!AH749</f>
        <v>41570533.641220361</v>
      </c>
      <c r="AI751" s="224">
        <f>'Perfil - interna'!AI751+'Perfil - externa'!AI749</f>
        <v>19975670.31439729</v>
      </c>
      <c r="AJ751" s="224">
        <f>'Perfil - interna'!AJ751+'Perfil - externa'!AJ749</f>
        <v>32794214.605809178</v>
      </c>
      <c r="AK751" s="224">
        <f>'Perfil - interna'!AK751+'Perfil - externa'!AK749</f>
        <v>23320294.728061873</v>
      </c>
      <c r="AL751" s="224">
        <f>'Perfil - interna'!AL751+'Perfil - externa'!AL749</f>
        <v>18719516.61687509</v>
      </c>
      <c r="AM751" s="224">
        <f>'Perfil - interna'!AM751+'Perfil - externa'!AM749</f>
        <v>25571555.835480571</v>
      </c>
      <c r="AN751" s="224">
        <f>'Perfil - interna'!AN751+'Perfil - externa'!AN749</f>
        <v>1689569.6654342664</v>
      </c>
      <c r="AO751" s="224">
        <f>'Perfil - interna'!AO751+'Perfil - externa'!AO749</f>
        <v>2876369.7271975051</v>
      </c>
      <c r="AP751" s="224">
        <f>'Perfil - interna'!AP751+'Perfil - externa'!AP749</f>
        <v>3463750.0983283757</v>
      </c>
      <c r="AQ751" s="224">
        <f>'Perfil - interna'!AQ751+'Perfil - externa'!AQ749</f>
        <v>9782745.9182499275</v>
      </c>
      <c r="AR751" s="224">
        <f>'Perfil - interna'!AR751+'Perfil - externa'!AR749</f>
        <v>3943435.3211728712</v>
      </c>
      <c r="AS751" s="224">
        <f>'Perfil - interna'!AS751+'Perfil - externa'!AS749</f>
        <v>108058.11064860165</v>
      </c>
      <c r="AT751" s="224">
        <f>'Perfil - interna'!AT751+'Perfil - externa'!AT749</f>
        <v>9688473.8325740639</v>
      </c>
      <c r="AU751" s="224">
        <f>'Perfil - interna'!AU751+'Perfil - externa'!AU749</f>
        <v>17352651.832574062</v>
      </c>
      <c r="AV751" s="224">
        <f>'Perfil - interna'!AV751+'Perfil - externa'!AV749</f>
        <v>96591.832574064174</v>
      </c>
      <c r="AW751" s="224">
        <f>'Perfil - interna'!AW751+'Perfil - externa'!AW749</f>
        <v>96591.832574064174</v>
      </c>
      <c r="AX751" s="224">
        <f>'Perfil - interna'!AX751+'Perfil - externa'!AX749</f>
        <v>96591.832574064174</v>
      </c>
      <c r="AY751" s="224">
        <f>'Perfil - interna'!AY751+'Perfil - externa'!AY749</f>
        <v>18373470.587507464</v>
      </c>
      <c r="AZ751" s="224">
        <f>'Perfil - interna'!AZ751+'Perfil - externa'!AZ749</f>
        <v>14286876.118527003</v>
      </c>
      <c r="BA751" s="224">
        <f>'Perfil - interna'!BA751+'Perfil - externa'!BA749</f>
        <v>5752020</v>
      </c>
      <c r="BB751" s="224">
        <f>'Perfil - interna'!BB751+'Perfil - externa'!BB749</f>
        <v>0</v>
      </c>
      <c r="BC751" s="224">
        <f>'Perfil - interna'!BC751+'Perfil - externa'!BC749</f>
        <v>0</v>
      </c>
      <c r="BD751" s="224">
        <f>'Perfil - interna'!BD751+'Perfil - externa'!BD749</f>
        <v>0</v>
      </c>
      <c r="BE751" s="224">
        <f>'Perfil - interna'!BE751+'Perfil - externa'!BE749</f>
        <v>0</v>
      </c>
      <c r="BF751" s="224">
        <f>'Perfil - interna'!BF751+'Perfil - externa'!BF749</f>
        <v>0</v>
      </c>
      <c r="BG751" s="224">
        <f>'Perfil - interna'!BG751+'Perfil - externa'!BG749</f>
        <v>0</v>
      </c>
      <c r="BH751" s="224">
        <f>'Perfil - interna'!BH751+'Perfil - externa'!BH749</f>
        <v>0</v>
      </c>
      <c r="BI751" s="224">
        <f>'Perfil - interna'!BI751+'Perfil - externa'!BI749</f>
        <v>0</v>
      </c>
      <c r="BJ751" s="224">
        <f>'Perfil - interna'!BJ751+'Perfil - externa'!BJ749</f>
        <v>0</v>
      </c>
      <c r="BK751" s="224">
        <f>'Perfil - interna'!BK751+'Perfil - externa'!BK749</f>
        <v>4985084</v>
      </c>
    </row>
    <row r="752" spans="1:63">
      <c r="A752" s="168">
        <v>44469</v>
      </c>
      <c r="B752" s="213" t="s">
        <v>385</v>
      </c>
      <c r="C752" s="224"/>
      <c r="D752" s="224"/>
      <c r="E752" s="224"/>
      <c r="F752" s="224"/>
      <c r="G752" s="224"/>
      <c r="H752" s="224"/>
      <c r="I752" s="224"/>
      <c r="J752" s="224"/>
      <c r="K752" s="224"/>
      <c r="L752" s="224"/>
      <c r="M752" s="224"/>
      <c r="N752" s="224"/>
      <c r="O752" s="224"/>
      <c r="P752" s="224"/>
      <c r="Q752" s="224"/>
      <c r="R752" s="224"/>
      <c r="S752" s="224"/>
      <c r="T752" s="224"/>
      <c r="U752" s="224"/>
      <c r="V752" s="224"/>
      <c r="W752" s="224">
        <f>'Perfil - interna'!W752+'Perfil - externa'!W750</f>
        <v>7505924.6336947829</v>
      </c>
      <c r="X752" s="224">
        <f>'Perfil - interna'!X752+'Perfil - externa'!X750</f>
        <v>32305063.60032456</v>
      </c>
      <c r="Y752" s="224">
        <f>'Perfil - interna'!Y752+'Perfil - externa'!Y750</f>
        <v>31167822.467613216</v>
      </c>
      <c r="Z752" s="224">
        <f>'Perfil - interna'!Z752+'Perfil - externa'!Z750</f>
        <v>29389144.780778609</v>
      </c>
      <c r="AA752" s="224">
        <f>'Perfil - interna'!AA752+'Perfil - externa'!AA750</f>
        <v>26411139.234814391</v>
      </c>
      <c r="AB752" s="224">
        <f>'Perfil - interna'!AB752+'Perfil - externa'!AB750</f>
        <v>24413973.701742314</v>
      </c>
      <c r="AC752" s="224">
        <f>'Perfil - interna'!AC752+'Perfil - externa'!AC750</f>
        <v>21735749.501198027</v>
      </c>
      <c r="AD752" s="224">
        <f>'Perfil - interna'!AD752+'Perfil - externa'!AD750</f>
        <v>19350281.563521221</v>
      </c>
      <c r="AE752" s="224">
        <f>'Perfil - interna'!AE752+'Perfil - externa'!AE750</f>
        <v>17142716.296690419</v>
      </c>
      <c r="AF752" s="224">
        <f>'Perfil - interna'!AF752+'Perfil - externa'!AF750</f>
        <v>16569121.531945411</v>
      </c>
      <c r="AG752" s="224">
        <f>'Perfil - interna'!AG752+'Perfil - externa'!AG750</f>
        <v>14561971.998125307</v>
      </c>
      <c r="AH752" s="224">
        <f>'Perfil - interna'!AH752+'Perfil - externa'!AH750</f>
        <v>13339344.334438447</v>
      </c>
      <c r="AI752" s="224">
        <f>'Perfil - interna'!AI752+'Perfil - externa'!AI750</f>
        <v>11154835.792805998</v>
      </c>
      <c r="AJ752" s="224">
        <f>'Perfil - interna'!AJ752+'Perfil - externa'!AJ750</f>
        <v>10538861.263209477</v>
      </c>
      <c r="AK752" s="224">
        <f>'Perfil - interna'!AK752+'Perfil - externa'!AK750</f>
        <v>8485821.5873881504</v>
      </c>
      <c r="AL752" s="224">
        <f>'Perfil - interna'!AL752+'Perfil - externa'!AL750</f>
        <v>7192135.9918841822</v>
      </c>
      <c r="AM752" s="224">
        <f>'Perfil - interna'!AM752+'Perfil - externa'!AM750</f>
        <v>6436875.1422435716</v>
      </c>
      <c r="AN752" s="224">
        <f>'Perfil - interna'!AN752+'Perfil - externa'!AN750</f>
        <v>4930893.5371209653</v>
      </c>
      <c r="AO752" s="224">
        <f>'Perfil - interna'!AO752+'Perfil - externa'!AO750</f>
        <v>4908690.5178525187</v>
      </c>
      <c r="AP752" s="224">
        <f>'Perfil - interna'!AP752+'Perfil - externa'!AP750</f>
        <v>4813060.6901065595</v>
      </c>
      <c r="AQ752" s="224">
        <f>'Perfil - interna'!AQ752+'Perfil - externa'!AQ750</f>
        <v>4459263.4768539798</v>
      </c>
      <c r="AR752" s="224">
        <f>'Perfil - interna'!AR752+'Perfil - externa'!AR750</f>
        <v>4081251.6309157857</v>
      </c>
      <c r="AS752" s="224">
        <f>'Perfil - interna'!AS752+'Perfil - externa'!AS750</f>
        <v>3996677.064048782</v>
      </c>
      <c r="AT752" s="224">
        <f>'Perfil - interna'!AT752+'Perfil - externa'!AT750</f>
        <v>3725548.0677880957</v>
      </c>
      <c r="AU752" s="224">
        <f>'Perfil - interna'!AU752+'Perfil - externa'!AU750</f>
        <v>3018779.5242531244</v>
      </c>
      <c r="AV752" s="224">
        <f>'Perfil - interna'!AV752+'Perfil - externa'!AV750</f>
        <v>2583922.3413314526</v>
      </c>
      <c r="AW752" s="224">
        <f>'Perfil - interna'!AW752+'Perfil - externa'!AW750</f>
        <v>2580849.5082209809</v>
      </c>
      <c r="AX752" s="224">
        <f>'Perfil - interna'!AX752+'Perfil - externa'!AX750</f>
        <v>3297412.3102742224</v>
      </c>
      <c r="AY752" s="224">
        <f>'Perfil - interna'!AY752+'Perfil - externa'!AY750</f>
        <v>2394234.2794329575</v>
      </c>
      <c r="AZ752" s="224">
        <f>'Perfil - interna'!AZ752+'Perfil - externa'!AZ750</f>
        <v>1468287.7138529324</v>
      </c>
      <c r="BA752" s="224">
        <f>'Perfil - interna'!BA752+'Perfil - externa'!BA750</f>
        <v>315149.44763888884</v>
      </c>
      <c r="BB752" s="224">
        <f>'Perfil - interna'!BB752+'Perfil - externa'!BB750</f>
        <v>196391.53841666665</v>
      </c>
      <c r="BC752" s="224">
        <f>'Perfil - interna'!BC752+'Perfil - externa'!BC750</f>
        <v>195854.94951388889</v>
      </c>
      <c r="BD752" s="224">
        <f>'Perfil - interna'!BD752+'Perfil - externa'!BD750</f>
        <v>195854.94951388889</v>
      </c>
      <c r="BE752" s="224">
        <f>'Perfil - interna'!BE752+'Perfil - externa'!BE750</f>
        <v>195854.94951388889</v>
      </c>
      <c r="BF752" s="224">
        <f>'Perfil - interna'!BF752+'Perfil - externa'!BF750</f>
        <v>196391.53841666665</v>
      </c>
      <c r="BG752" s="224">
        <f>'Perfil - interna'!BG752+'Perfil - externa'!BG750</f>
        <v>195854.94951388889</v>
      </c>
      <c r="BH752" s="224">
        <f>'Perfil - interna'!BH752+'Perfil - externa'!BH750</f>
        <v>195854.94951388889</v>
      </c>
      <c r="BI752" s="224">
        <f>'Perfil - interna'!BI752+'Perfil - externa'!BI750</f>
        <v>195854.94951388889</v>
      </c>
      <c r="BJ752" s="224">
        <f>'Perfil - interna'!BJ752+'Perfil - externa'!BJ750</f>
        <v>196391.53841666665</v>
      </c>
      <c r="BK752" s="224">
        <f>'Perfil - interna'!BK752+'Perfil - externa'!BK750</f>
        <v>98732.358111111098</v>
      </c>
    </row>
    <row r="753" spans="1:63">
      <c r="A753" s="279"/>
      <c r="B753" s="307" t="s">
        <v>29</v>
      </c>
      <c r="C753" s="321"/>
      <c r="D753" s="321"/>
      <c r="E753" s="321"/>
      <c r="F753" s="321"/>
      <c r="G753" s="321"/>
      <c r="H753" s="321"/>
      <c r="I753" s="321"/>
      <c r="J753" s="321"/>
      <c r="K753" s="321"/>
      <c r="L753" s="321"/>
      <c r="M753" s="321"/>
      <c r="N753" s="321"/>
      <c r="O753" s="321"/>
      <c r="P753" s="321"/>
      <c r="Q753" s="321"/>
      <c r="R753" s="321"/>
      <c r="S753" s="321"/>
      <c r="T753" s="321"/>
      <c r="U753" s="321"/>
      <c r="V753" s="321"/>
      <c r="W753" s="321">
        <f>+W751+W752</f>
        <v>11713022.804999581</v>
      </c>
      <c r="X753" s="321">
        <f>+X751+X752</f>
        <v>95280438.416604117</v>
      </c>
      <c r="Y753" s="321">
        <f t="shared" ref="Y753:BG753" si="63">+Y751+Y752</f>
        <v>70145969.539717793</v>
      </c>
      <c r="Z753" s="321">
        <f t="shared" si="63"/>
        <v>80758686.286942899</v>
      </c>
      <c r="AA753" s="321">
        <f t="shared" si="63"/>
        <v>76682127.461665973</v>
      </c>
      <c r="AB753" s="321">
        <f t="shared" si="63"/>
        <v>71357825.240618706</v>
      </c>
      <c r="AC753" s="321">
        <f t="shared" si="63"/>
        <v>79019946.120258585</v>
      </c>
      <c r="AD753" s="321">
        <f t="shared" si="63"/>
        <v>59476087.243826315</v>
      </c>
      <c r="AE753" s="321">
        <f t="shared" si="63"/>
        <v>40002652.129509881</v>
      </c>
      <c r="AF753" s="321">
        <f t="shared" si="63"/>
        <v>52779050.203572661</v>
      </c>
      <c r="AG753" s="321">
        <f t="shared" si="63"/>
        <v>44209569.076911569</v>
      </c>
      <c r="AH753" s="321">
        <f t="shared" si="63"/>
        <v>54909877.975658804</v>
      </c>
      <c r="AI753" s="321">
        <f t="shared" si="63"/>
        <v>31130506.10720329</v>
      </c>
      <c r="AJ753" s="321">
        <f t="shared" si="63"/>
        <v>43333075.869018659</v>
      </c>
      <c r="AK753" s="321">
        <f t="shared" si="63"/>
        <v>31806116.315450024</v>
      </c>
      <c r="AL753" s="321">
        <f t="shared" si="63"/>
        <v>25911652.608759273</v>
      </c>
      <c r="AM753" s="321">
        <f t="shared" si="63"/>
        <v>32008430.977724142</v>
      </c>
      <c r="AN753" s="321">
        <f t="shared" si="63"/>
        <v>6620463.2025552318</v>
      </c>
      <c r="AO753" s="321">
        <f t="shared" si="63"/>
        <v>7785060.2450500242</v>
      </c>
      <c r="AP753" s="321">
        <f t="shared" si="63"/>
        <v>8276810.7884349357</v>
      </c>
      <c r="AQ753" s="321">
        <f t="shared" si="63"/>
        <v>14242009.395103907</v>
      </c>
      <c r="AR753" s="321">
        <f t="shared" si="63"/>
        <v>8024686.9520886568</v>
      </c>
      <c r="AS753" s="321">
        <f t="shared" si="63"/>
        <v>4104735.1746973838</v>
      </c>
      <c r="AT753" s="321">
        <f t="shared" si="63"/>
        <v>13414021.90036216</v>
      </c>
      <c r="AU753" s="321">
        <f t="shared" si="63"/>
        <v>20371431.356827185</v>
      </c>
      <c r="AV753" s="321">
        <f t="shared" si="63"/>
        <v>2680514.173905517</v>
      </c>
      <c r="AW753" s="321">
        <f t="shared" si="63"/>
        <v>2677441.3407950453</v>
      </c>
      <c r="AX753" s="321">
        <f t="shared" si="63"/>
        <v>3394004.1428482868</v>
      </c>
      <c r="AY753" s="321">
        <f t="shared" si="63"/>
        <v>20767704.86694042</v>
      </c>
      <c r="AZ753" s="321">
        <f t="shared" si="63"/>
        <v>15755163.832379935</v>
      </c>
      <c r="BA753" s="321">
        <f t="shared" si="63"/>
        <v>6067169.4476388888</v>
      </c>
      <c r="BB753" s="321">
        <f t="shared" si="63"/>
        <v>196391.53841666665</v>
      </c>
      <c r="BC753" s="321">
        <f t="shared" si="63"/>
        <v>195854.94951388889</v>
      </c>
      <c r="BD753" s="321">
        <f t="shared" si="63"/>
        <v>195854.94951388889</v>
      </c>
      <c r="BE753" s="321">
        <f t="shared" si="63"/>
        <v>195854.94951388889</v>
      </c>
      <c r="BF753" s="321">
        <f t="shared" si="63"/>
        <v>196391.53841666665</v>
      </c>
      <c r="BG753" s="321">
        <f t="shared" si="63"/>
        <v>195854.94951388889</v>
      </c>
      <c r="BH753" s="321">
        <f>+BH751+BH752</f>
        <v>195854.94951388889</v>
      </c>
      <c r="BI753" s="321">
        <f>+BI751+BI752</f>
        <v>195854.94951388889</v>
      </c>
      <c r="BJ753" s="321">
        <f>+BJ751+BJ752</f>
        <v>196391.53841666665</v>
      </c>
      <c r="BK753" s="321">
        <f>+BK751+BK752</f>
        <v>5083816.3581111114</v>
      </c>
    </row>
    <row r="754" spans="1:63">
      <c r="A754" s="278"/>
      <c r="B754" s="210" t="s">
        <v>28</v>
      </c>
      <c r="C754" s="224"/>
      <c r="D754" s="224"/>
      <c r="E754" s="224"/>
      <c r="F754" s="224"/>
      <c r="G754" s="224"/>
      <c r="H754" s="224"/>
      <c r="I754" s="224"/>
      <c r="J754" s="224"/>
      <c r="K754" s="224"/>
      <c r="L754" s="224"/>
      <c r="M754" s="224"/>
      <c r="N754" s="224"/>
      <c r="O754" s="224"/>
      <c r="P754" s="224"/>
      <c r="Q754" s="224"/>
      <c r="R754" s="224"/>
      <c r="S754" s="224"/>
      <c r="T754" s="224"/>
      <c r="U754" s="224"/>
      <c r="V754" s="224"/>
      <c r="W754" s="224">
        <f>'Perfil - interna'!W754+'Perfil - externa'!W752</f>
        <v>6438192.7754157763</v>
      </c>
      <c r="X754" s="224">
        <f>'Perfil - interna'!X754+'Perfil - externa'!X752</f>
        <v>59930723.733794138</v>
      </c>
      <c r="Y754" s="224">
        <f>'Perfil - interna'!Y754+'Perfil - externa'!Y752</f>
        <v>38809258.33059942</v>
      </c>
      <c r="Z754" s="224">
        <f>'Perfil - interna'!Z754+'Perfil - externa'!Z752</f>
        <v>50921125.019969687</v>
      </c>
      <c r="AA754" s="224">
        <f>'Perfil - interna'!AA754+'Perfil - externa'!AA752</f>
        <v>49929525.132280193</v>
      </c>
      <c r="AB754" s="224">
        <f>'Perfil - interna'!AB754+'Perfil - externa'!AB752</f>
        <v>46619000.404028505</v>
      </c>
      <c r="AC754" s="224">
        <f>'Perfil - interna'!AC754+'Perfil - externa'!AC752</f>
        <v>56959928.895265117</v>
      </c>
      <c r="AD754" s="224">
        <f>'Perfil - interna'!AD754+'Perfil - externa'!AD752</f>
        <v>39964675.48913417</v>
      </c>
      <c r="AE754" s="224">
        <f>'Perfil - interna'!AE754+'Perfil - externa'!AE752</f>
        <v>22579484.687228795</v>
      </c>
      <c r="AF754" s="224">
        <f>'Perfil - interna'!AF754+'Perfil - externa'!AF752</f>
        <v>35975690.380592778</v>
      </c>
      <c r="AG754" s="224">
        <f>'Perfil - interna'!AG754+'Perfil - externa'!AG752</f>
        <v>29330766.154767789</v>
      </c>
      <c r="AH754" s="224">
        <f>'Perfil - interna'!AH754+'Perfil - externa'!AH752</f>
        <v>41323427.666650154</v>
      </c>
      <c r="AI754" s="224">
        <f>'Perfil - interna'!AI754+'Perfil - externa'!AI752</f>
        <v>19844334.040610295</v>
      </c>
      <c r="AJ754" s="224">
        <f>'Perfil - interna'!AJ754+'Perfil - externa'!AJ752</f>
        <v>32699626.411333397</v>
      </c>
      <c r="AK754" s="224">
        <f>'Perfil - interna'!AK754+'Perfil - externa'!AK752</f>
        <v>23222062.354416363</v>
      </c>
      <c r="AL754" s="224">
        <f>'Perfil - interna'!AL754+'Perfil - externa'!AL752</f>
        <v>18568083.215842593</v>
      </c>
      <c r="AM754" s="224">
        <f>'Perfil - interna'!AM754+'Perfil - externa'!AM752</f>
        <v>25402936.690599922</v>
      </c>
      <c r="AN754" s="224">
        <f>'Perfil - interna'!AN754+'Perfil - externa'!AN752</f>
        <v>1659353.1447192442</v>
      </c>
      <c r="AO754" s="224">
        <f>'Perfil - interna'!AO754+'Perfil - externa'!AO752</f>
        <v>2824928.2937816256</v>
      </c>
      <c r="AP754" s="224">
        <f>'Perfil - interna'!AP754+'Perfil - externa'!AP752</f>
        <v>3401803.865072052</v>
      </c>
      <c r="AQ754" s="224">
        <f>'Perfil - interna'!AQ754+'Perfil - externa'!AQ752</f>
        <v>9607789.8032485247</v>
      </c>
      <c r="AR754" s="224">
        <f>'Perfil - interna'!AR754+'Perfil - externa'!AR752</f>
        <v>3872910.3244779618</v>
      </c>
      <c r="AS754" s="224">
        <f>'Perfil - interna'!AS754+'Perfil - externa'!AS752</f>
        <v>106125.58297268578</v>
      </c>
      <c r="AT754" s="224">
        <f>'Perfil - interna'!AT754+'Perfil - externa'!AT752</f>
        <v>9515203.6938824579</v>
      </c>
      <c r="AU754" s="224">
        <f>'Perfil - interna'!AU754+'Perfil - externa'!AU752</f>
        <v>17042314.369558133</v>
      </c>
      <c r="AV754" s="224">
        <f>'Perfil - interna'!AV754+'Perfil - externa'!AV752</f>
        <v>94864.369558133432</v>
      </c>
      <c r="AW754" s="224">
        <f>'Perfil - interna'!AW754+'Perfil - externa'!AW752</f>
        <v>94864.369558133432</v>
      </c>
      <c r="AX754" s="224">
        <f>'Perfil - interna'!AX754+'Perfil - externa'!AX752</f>
        <v>94864.369558133432</v>
      </c>
      <c r="AY754" s="224">
        <f>'Perfil - interna'!AY754+'Perfil - externa'!AY752</f>
        <v>18249218.441598531</v>
      </c>
      <c r="AZ754" s="224">
        <f>'Perfil - interna'!AZ754+'Perfil - externa'!AZ752</f>
        <v>14285790.264022695</v>
      </c>
      <c r="BA754" s="224">
        <f>'Perfil - interna'!BA754+'Perfil - externa'!BA752</f>
        <v>5649150</v>
      </c>
      <c r="BB754" s="224">
        <f>'Perfil - interna'!BB754+'Perfil - externa'!BB752</f>
        <v>0</v>
      </c>
      <c r="BC754" s="224">
        <f>'Perfil - interna'!BC754+'Perfil - externa'!BC752</f>
        <v>0</v>
      </c>
      <c r="BD754" s="224">
        <f>'Perfil - interna'!BD754+'Perfil - externa'!BD752</f>
        <v>0</v>
      </c>
      <c r="BE754" s="224">
        <f>'Perfil - interna'!BE754+'Perfil - externa'!BE752</f>
        <v>0</v>
      </c>
      <c r="BF754" s="224">
        <f>'Perfil - interna'!BF754+'Perfil - externa'!BF752</f>
        <v>0</v>
      </c>
      <c r="BG754" s="224">
        <f>'Perfil - interna'!BG754+'Perfil - externa'!BG752</f>
        <v>0</v>
      </c>
      <c r="BH754" s="224">
        <f>'Perfil - interna'!BH754+'Perfil - externa'!BH752</f>
        <v>0</v>
      </c>
      <c r="BI754" s="224">
        <f>'Perfil - interna'!BI754+'Perfil - externa'!BI752</f>
        <v>0</v>
      </c>
      <c r="BJ754" s="224">
        <f>'Perfil - interna'!BJ754+'Perfil - externa'!BJ752</f>
        <v>0</v>
      </c>
      <c r="BK754" s="224">
        <f>'Perfil - interna'!BK754+'Perfil - externa'!BK752</f>
        <v>4895930</v>
      </c>
    </row>
    <row r="755" spans="1:63">
      <c r="A755" s="168">
        <v>44500</v>
      </c>
      <c r="B755" s="213" t="s">
        <v>385</v>
      </c>
      <c r="C755" s="224"/>
      <c r="D755" s="224"/>
      <c r="E755" s="224"/>
      <c r="F755" s="224"/>
      <c r="G755" s="224"/>
      <c r="H755" s="224"/>
      <c r="I755" s="224"/>
      <c r="J755" s="224"/>
      <c r="K755" s="224"/>
      <c r="L755" s="224"/>
      <c r="M755" s="224"/>
      <c r="N755" s="224"/>
      <c r="O755" s="224"/>
      <c r="P755" s="224"/>
      <c r="Q755" s="224"/>
      <c r="R755" s="224"/>
      <c r="S755" s="224"/>
      <c r="T755" s="224"/>
      <c r="U755" s="224"/>
      <c r="V755" s="224"/>
      <c r="W755" s="224">
        <f>'Perfil - interna'!W755+'Perfil - externa'!W753</f>
        <v>4443270.6282830341</v>
      </c>
      <c r="X755" s="224">
        <f>'Perfil - interna'!X755+'Perfil - externa'!X753</f>
        <v>32142236.79162354</v>
      </c>
      <c r="Y755" s="224">
        <f>'Perfil - interna'!Y755+'Perfil - externa'!Y753</f>
        <v>31007741.57125435</v>
      </c>
      <c r="Z755" s="224">
        <f>'Perfil - interna'!Z755+'Perfil - externa'!Z753</f>
        <v>29237804.223171912</v>
      </c>
      <c r="AA755" s="224">
        <f>'Perfil - interna'!AA755+'Perfil - externa'!AA753</f>
        <v>26268868.867480669</v>
      </c>
      <c r="AB755" s="224">
        <f>'Perfil - interna'!AB755+'Perfil - externa'!AB753</f>
        <v>24279028.965633444</v>
      </c>
      <c r="AC755" s="224">
        <f>'Perfil - interna'!AC755+'Perfil - externa'!AC753</f>
        <v>21611895.786649324</v>
      </c>
      <c r="AD755" s="224">
        <f>'Perfil - interna'!AD755+'Perfil - externa'!AD753</f>
        <v>19236569.942894634</v>
      </c>
      <c r="AE755" s="224">
        <f>'Perfil - interna'!AE755+'Perfil - externa'!AE753</f>
        <v>17036595.040991809</v>
      </c>
      <c r="AF755" s="224">
        <f>'Perfil - interna'!AF755+'Perfil - externa'!AF753</f>
        <v>16471073.593943769</v>
      </c>
      <c r="AG755" s="224">
        <f>'Perfil - interna'!AG755+'Perfil - externa'!AG753</f>
        <v>14471314.671254966</v>
      </c>
      <c r="AH755" s="224">
        <f>'Perfil - interna'!AH755+'Perfil - externa'!AH753</f>
        <v>13257145.730164373</v>
      </c>
      <c r="AI755" s="224">
        <f>'Perfil - interna'!AI755+'Perfil - externa'!AI753</f>
        <v>11078539.768871699</v>
      </c>
      <c r="AJ755" s="224">
        <f>'Perfil - interna'!AJ755+'Perfil - externa'!AJ753</f>
        <v>10465356.143470217</v>
      </c>
      <c r="AK755" s="224">
        <f>'Perfil - interna'!AK755+'Perfil - externa'!AK753</f>
        <v>8414780.1581346542</v>
      </c>
      <c r="AL755" s="224">
        <f>'Perfil - interna'!AL755+'Perfil - externa'!AL753</f>
        <v>7122338.2208571788</v>
      </c>
      <c r="AM755" s="224">
        <f>'Perfil - interna'!AM755+'Perfil - externa'!AM753</f>
        <v>6369937.3420874625</v>
      </c>
      <c r="AN755" s="224">
        <f>'Perfil - interna'!AN755+'Perfil - externa'!AN753</f>
        <v>4874009.8095172551</v>
      </c>
      <c r="AO755" s="224">
        <f>'Perfil - interna'!AO755+'Perfil - externa'!AO753</f>
        <v>4852536.5720651504</v>
      </c>
      <c r="AP755" s="224">
        <f>'Perfil - interna'!AP755+'Perfil - externa'!AP753</f>
        <v>4758967.8207358215</v>
      </c>
      <c r="AQ755" s="224">
        <f>'Perfil - interna'!AQ755+'Perfil - externa'!AQ753</f>
        <v>4411463.5883056037</v>
      </c>
      <c r="AR755" s="224">
        <f>'Perfil - interna'!AR755+'Perfil - externa'!AR753</f>
        <v>4040177.7813613983</v>
      </c>
      <c r="AS755" s="224">
        <f>'Perfil - interna'!AS755+'Perfil - externa'!AS753</f>
        <v>3957081.3765863469</v>
      </c>
      <c r="AT755" s="224">
        <f>'Perfil - interna'!AT755+'Perfil - externa'!AT753</f>
        <v>3690766.9101895839</v>
      </c>
      <c r="AU755" s="224">
        <f>'Perfil - interna'!AU755+'Perfil - externa'!AU753</f>
        <v>2996603.9404001823</v>
      </c>
      <c r="AV755" s="224">
        <f>'Perfil - interna'!AV755+'Perfil - externa'!AV753</f>
        <v>2569489.4271197314</v>
      </c>
      <c r="AW755" s="224">
        <f>'Perfil - interna'!AW755+'Perfil - externa'!AW753</f>
        <v>2566444.0136504811</v>
      </c>
      <c r="AX755" s="224">
        <f>'Perfil - interna'!AX755+'Perfil - externa'!AX753</f>
        <v>3282994.7620043047</v>
      </c>
      <c r="AY755" s="224">
        <f>'Perfil - interna'!AY755+'Perfil - externa'!AY753</f>
        <v>2383164.4913449008</v>
      </c>
      <c r="AZ755" s="224">
        <f>'Perfil - interna'!AZ755+'Perfil - externa'!AZ753</f>
        <v>1460474.2868940129</v>
      </c>
      <c r="BA755" s="224">
        <f>'Perfil - interna'!BA755+'Perfil - externa'!BA753</f>
        <v>309513.26701388886</v>
      </c>
      <c r="BB755" s="224">
        <f>'Perfil - interna'!BB755+'Perfil - externa'!BB753</f>
        <v>192879.24229166665</v>
      </c>
      <c r="BC755" s="224">
        <f>'Perfil - interna'!BC755+'Perfil - externa'!BC753</f>
        <v>192352.2498263889</v>
      </c>
      <c r="BD755" s="224">
        <f>'Perfil - interna'!BD755+'Perfil - externa'!BD753</f>
        <v>192352.2498263889</v>
      </c>
      <c r="BE755" s="224">
        <f>'Perfil - interna'!BE755+'Perfil - externa'!BE753</f>
        <v>192352.2498263889</v>
      </c>
      <c r="BF755" s="224">
        <f>'Perfil - interna'!BF755+'Perfil - externa'!BF753</f>
        <v>192879.24229166665</v>
      </c>
      <c r="BG755" s="224">
        <f>'Perfil - interna'!BG755+'Perfil - externa'!BG753</f>
        <v>192352.2498263889</v>
      </c>
      <c r="BH755" s="224">
        <f>'Perfil - interna'!BH755+'Perfil - externa'!BH753</f>
        <v>192352.2498263889</v>
      </c>
      <c r="BI755" s="224">
        <f>'Perfil - interna'!BI755+'Perfil - externa'!BI753</f>
        <v>192352.2498263889</v>
      </c>
      <c r="BJ755" s="224">
        <f>'Perfil - interna'!BJ755+'Perfil - externa'!BJ753</f>
        <v>192879.24229166665</v>
      </c>
      <c r="BK755" s="224">
        <f>'Perfil - interna'!BK755+'Perfil - externa'!BK753</f>
        <v>96966.613611111097</v>
      </c>
    </row>
    <row r="756" spans="1:63">
      <c r="A756" s="279"/>
      <c r="B756" s="307" t="s">
        <v>29</v>
      </c>
      <c r="C756" s="321"/>
      <c r="D756" s="321"/>
      <c r="E756" s="321"/>
      <c r="F756" s="321"/>
      <c r="G756" s="321"/>
      <c r="H756" s="321"/>
      <c r="I756" s="321"/>
      <c r="J756" s="321"/>
      <c r="K756" s="321"/>
      <c r="L756" s="321"/>
      <c r="M756" s="321"/>
      <c r="N756" s="321"/>
      <c r="O756" s="321"/>
      <c r="P756" s="321"/>
      <c r="Q756" s="321"/>
      <c r="R756" s="321"/>
      <c r="S756" s="321"/>
      <c r="T756" s="321"/>
      <c r="U756" s="321"/>
      <c r="V756" s="321"/>
      <c r="W756" s="321">
        <f>+W754+W755</f>
        <v>10881463.403698809</v>
      </c>
      <c r="X756" s="321">
        <f>+X754+X755</f>
        <v>92072960.525417686</v>
      </c>
      <c r="Y756" s="321">
        <f t="shared" ref="Y756:BG756" si="64">+Y754+Y755</f>
        <v>69816999.90185377</v>
      </c>
      <c r="Z756" s="321">
        <f t="shared" si="64"/>
        <v>80158929.243141592</v>
      </c>
      <c r="AA756" s="321">
        <f t="shared" si="64"/>
        <v>76198393.999760866</v>
      </c>
      <c r="AB756" s="321">
        <f t="shared" si="64"/>
        <v>70898029.369661957</v>
      </c>
      <c r="AC756" s="321">
        <f t="shared" si="64"/>
        <v>78571824.681914449</v>
      </c>
      <c r="AD756" s="321">
        <f t="shared" si="64"/>
        <v>59201245.4320288</v>
      </c>
      <c r="AE756" s="321">
        <f t="shared" si="64"/>
        <v>39616079.728220604</v>
      </c>
      <c r="AF756" s="321">
        <f t="shared" si="64"/>
        <v>52446763.974536546</v>
      </c>
      <c r="AG756" s="321">
        <f t="shared" si="64"/>
        <v>43802080.826022759</v>
      </c>
      <c r="AH756" s="321">
        <f t="shared" si="64"/>
        <v>54580573.396814525</v>
      </c>
      <c r="AI756" s="321">
        <f t="shared" si="64"/>
        <v>30922873.809481993</v>
      </c>
      <c r="AJ756" s="321">
        <f t="shared" si="64"/>
        <v>43164982.55480361</v>
      </c>
      <c r="AK756" s="321">
        <f t="shared" si="64"/>
        <v>31636842.512551017</v>
      </c>
      <c r="AL756" s="321">
        <f t="shared" si="64"/>
        <v>25690421.43669977</v>
      </c>
      <c r="AM756" s="321">
        <f t="shared" si="64"/>
        <v>31772874.032687385</v>
      </c>
      <c r="AN756" s="321">
        <f t="shared" si="64"/>
        <v>6533362.954236499</v>
      </c>
      <c r="AO756" s="321">
        <f t="shared" si="64"/>
        <v>7677464.8658467755</v>
      </c>
      <c r="AP756" s="321">
        <f t="shared" si="64"/>
        <v>8160771.6858078735</v>
      </c>
      <c r="AQ756" s="321">
        <f t="shared" si="64"/>
        <v>14019253.391554128</v>
      </c>
      <c r="AR756" s="321">
        <f t="shared" si="64"/>
        <v>7913088.1058393605</v>
      </c>
      <c r="AS756" s="321">
        <f t="shared" si="64"/>
        <v>4063206.9595590327</v>
      </c>
      <c r="AT756" s="321">
        <f t="shared" si="64"/>
        <v>13205970.604072042</v>
      </c>
      <c r="AU756" s="321">
        <f t="shared" si="64"/>
        <v>20038918.309958316</v>
      </c>
      <c r="AV756" s="321">
        <f t="shared" si="64"/>
        <v>2664353.7966778651</v>
      </c>
      <c r="AW756" s="321">
        <f t="shared" si="64"/>
        <v>2661308.3832086148</v>
      </c>
      <c r="AX756" s="321">
        <f t="shared" si="64"/>
        <v>3377859.1315624383</v>
      </c>
      <c r="AY756" s="321">
        <f t="shared" si="64"/>
        <v>20632382.932943434</v>
      </c>
      <c r="AZ756" s="321">
        <f t="shared" si="64"/>
        <v>15746264.550916707</v>
      </c>
      <c r="BA756" s="321">
        <f t="shared" si="64"/>
        <v>5958663.2670138888</v>
      </c>
      <c r="BB756" s="321">
        <f t="shared" si="64"/>
        <v>192879.24229166665</v>
      </c>
      <c r="BC756" s="321">
        <f t="shared" si="64"/>
        <v>192352.2498263889</v>
      </c>
      <c r="BD756" s="321">
        <f t="shared" si="64"/>
        <v>192352.2498263889</v>
      </c>
      <c r="BE756" s="321">
        <f t="shared" si="64"/>
        <v>192352.2498263889</v>
      </c>
      <c r="BF756" s="321">
        <f t="shared" si="64"/>
        <v>192879.24229166665</v>
      </c>
      <c r="BG756" s="321">
        <f t="shared" si="64"/>
        <v>192352.2498263889</v>
      </c>
      <c r="BH756" s="321">
        <f>+BH754+BH755</f>
        <v>192352.2498263889</v>
      </c>
      <c r="BI756" s="321">
        <f>+BI754+BI755</f>
        <v>192352.2498263889</v>
      </c>
      <c r="BJ756" s="321">
        <f>+BJ754+BJ755</f>
        <v>192879.24229166665</v>
      </c>
      <c r="BK756" s="321">
        <f>+BK754+BK755</f>
        <v>4992896.6136111114</v>
      </c>
    </row>
    <row r="757" spans="1:63">
      <c r="A757" s="278"/>
      <c r="B757" s="210" t="s">
        <v>28</v>
      </c>
      <c r="C757" s="224"/>
      <c r="D757" s="224"/>
      <c r="E757" s="224"/>
      <c r="F757" s="224"/>
      <c r="G757" s="224"/>
      <c r="H757" s="224"/>
      <c r="I757" s="224"/>
      <c r="J757" s="224"/>
      <c r="K757" s="224"/>
      <c r="L757" s="224"/>
      <c r="M757" s="224"/>
      <c r="N757" s="224"/>
      <c r="O757" s="224"/>
      <c r="P757" s="224"/>
      <c r="Q757" s="224"/>
      <c r="R757" s="224"/>
      <c r="S757" s="224"/>
      <c r="T757" s="224"/>
      <c r="U757" s="224"/>
      <c r="V757" s="224"/>
      <c r="W757" s="224">
        <f>'Perfil - interna'!W757+'Perfil - externa'!W755</f>
        <v>3742816.2234512661</v>
      </c>
      <c r="X757" s="224">
        <f>'Perfil - interna'!X757+'Perfil - externa'!X755</f>
        <v>57160990.649529465</v>
      </c>
      <c r="Y757" s="224">
        <f>'Perfil - interna'!Y757+'Perfil - externa'!Y755</f>
        <v>39525491.412428349</v>
      </c>
      <c r="Z757" s="224">
        <f>'Perfil - interna'!Z757+'Perfil - externa'!Z755</f>
        <v>52341762.991015807</v>
      </c>
      <c r="AA757" s="224">
        <f>'Perfil - interna'!AA757+'Perfil - externa'!AA755</f>
        <v>51012134.065456353</v>
      </c>
      <c r="AB757" s="224">
        <f>'Perfil - interna'!AB757+'Perfil - externa'!AB755</f>
        <v>47766379.689472795</v>
      </c>
      <c r="AC757" s="224">
        <f>'Perfil - interna'!AC757+'Perfil - externa'!AC755</f>
        <v>58514098.356554359</v>
      </c>
      <c r="AD757" s="224">
        <f>'Perfil - interna'!AD757+'Perfil - externa'!AD755</f>
        <v>41056496.006975479</v>
      </c>
      <c r="AE757" s="224">
        <f>'Perfil - interna'!AE757+'Perfil - externa'!AE755</f>
        <v>25276468.576092713</v>
      </c>
      <c r="AF757" s="224">
        <f>'Perfil - interna'!AF757+'Perfil - externa'!AF755</f>
        <v>37731316.021658562</v>
      </c>
      <c r="AG757" s="224">
        <f>'Perfil - interna'!AG757+'Perfil - externa'!AG755</f>
        <v>34433350.993098781</v>
      </c>
      <c r="AH757" s="224">
        <f>'Perfil - interna'!AH757+'Perfil - externa'!AH755</f>
        <v>42923283.342887461</v>
      </c>
      <c r="AI757" s="224">
        <f>'Perfil - interna'!AI757+'Perfil - externa'!AI755</f>
        <v>21002151.573022723</v>
      </c>
      <c r="AJ757" s="224">
        <f>'Perfil - interna'!AJ757+'Perfil - externa'!AJ755</f>
        <v>33292517.672368921</v>
      </c>
      <c r="AK757" s="224">
        <f>'Perfil - interna'!AK757+'Perfil - externa'!AK755</f>
        <v>24613091.883427829</v>
      </c>
      <c r="AL757" s="224">
        <f>'Perfil - interna'!AL757+'Perfil - externa'!AL755</f>
        <v>20853445.822032057</v>
      </c>
      <c r="AM757" s="224">
        <f>'Perfil - interna'!AM757+'Perfil - externa'!AM755</f>
        <v>28237888.591440357</v>
      </c>
      <c r="AN757" s="224">
        <f>'Perfil - interna'!AN757+'Perfil - externa'!AN755</f>
        <v>1989876.6626722987</v>
      </c>
      <c r="AO757" s="224">
        <f>'Perfil - interna'!AO757+'Perfil - externa'!AO755</f>
        <v>3231240.0389464898</v>
      </c>
      <c r="AP757" s="224">
        <f>'Perfil - interna'!AP757+'Perfil - externa'!AP755</f>
        <v>3829850.0413866369</v>
      </c>
      <c r="AQ757" s="224">
        <f>'Perfil - interna'!AQ757+'Perfil - externa'!AQ755</f>
        <v>10352674.656190449</v>
      </c>
      <c r="AR757" s="224">
        <f>'Perfil - interna'!AR757+'Perfil - externa'!AR755</f>
        <v>4123231.8626848217</v>
      </c>
      <c r="AS757" s="224">
        <f>'Perfil - interna'!AS757+'Perfil - externa'!AS755</f>
        <v>111522.59779967545</v>
      </c>
      <c r="AT757" s="224">
        <f>'Perfil - interna'!AT757+'Perfil - externa'!AT755</f>
        <v>10132052.433533203</v>
      </c>
      <c r="AU757" s="224">
        <f>'Perfil - interna'!AU757+'Perfil - externa'!AU755</f>
        <v>18148592.190289959</v>
      </c>
      <c r="AV757" s="224">
        <f>'Perfil - interna'!AV757+'Perfil - externa'!AV755</f>
        <v>99182.190289960461</v>
      </c>
      <c r="AW757" s="224">
        <f>'Perfil - interna'!AW757+'Perfil - externa'!AW755</f>
        <v>99182.190289960461</v>
      </c>
      <c r="AX757" s="224">
        <f>'Perfil - interna'!AX757+'Perfil - externa'!AX755</f>
        <v>99182.190289960461</v>
      </c>
      <c r="AY757" s="224">
        <f>'Perfil - interna'!AY757+'Perfil - externa'!AY755</f>
        <v>23368276.656555463</v>
      </c>
      <c r="AZ757" s="224">
        <f>'Perfil - interna'!AZ757+'Perfil - externa'!AZ755</f>
        <v>15177767.197987705</v>
      </c>
      <c r="BA757" s="224">
        <f>'Perfil - interna'!BA757+'Perfil - externa'!BA755</f>
        <v>6016470</v>
      </c>
      <c r="BB757" s="224">
        <f>'Perfil - interna'!BB757+'Perfil - externa'!BB755</f>
        <v>0</v>
      </c>
      <c r="BC757" s="224">
        <f>'Perfil - interna'!BC757+'Perfil - externa'!BC755</f>
        <v>0</v>
      </c>
      <c r="BD757" s="224">
        <f>'Perfil - interna'!BD757+'Perfil - externa'!BD755</f>
        <v>0</v>
      </c>
      <c r="BE757" s="224">
        <f>'Perfil - interna'!BE757+'Perfil - externa'!BE755</f>
        <v>0</v>
      </c>
      <c r="BF757" s="224">
        <f>'Perfil - interna'!BF757+'Perfil - externa'!BF755</f>
        <v>0</v>
      </c>
      <c r="BG757" s="224">
        <f>'Perfil - interna'!BG757+'Perfil - externa'!BG755</f>
        <v>0</v>
      </c>
      <c r="BH757" s="224">
        <f>'Perfil - interna'!BH757+'Perfil - externa'!BH755</f>
        <v>0</v>
      </c>
      <c r="BI757" s="224">
        <f>'Perfil - interna'!BI757+'Perfil - externa'!BI755</f>
        <v>0</v>
      </c>
      <c r="BJ757" s="224">
        <f>'Perfil - interna'!BJ757+'Perfil - externa'!BJ755</f>
        <v>0</v>
      </c>
      <c r="BK757" s="224">
        <f>'Perfil - interna'!BK757+'Perfil - externa'!BK755</f>
        <v>5214274</v>
      </c>
    </row>
    <row r="758" spans="1:63">
      <c r="A758" s="168">
        <v>44530</v>
      </c>
      <c r="B758" s="213" t="s">
        <v>385</v>
      </c>
      <c r="C758" s="224"/>
      <c r="D758" s="224"/>
      <c r="E758" s="224"/>
      <c r="F758" s="224"/>
      <c r="G758" s="224"/>
      <c r="H758" s="224"/>
      <c r="I758" s="224"/>
      <c r="J758" s="224"/>
      <c r="K758" s="224"/>
      <c r="L758" s="224"/>
      <c r="M758" s="224"/>
      <c r="N758" s="224"/>
      <c r="O758" s="224"/>
      <c r="P758" s="224"/>
      <c r="Q758" s="224"/>
      <c r="R758" s="224"/>
      <c r="S758" s="224"/>
      <c r="T758" s="224"/>
      <c r="U758" s="224"/>
      <c r="V758" s="224"/>
      <c r="W758" s="224">
        <f>'Perfil - interna'!W758+'Perfil - externa'!W756</f>
        <v>724106.12226300826</v>
      </c>
      <c r="X758" s="224">
        <f>'Perfil - interna'!X758+'Perfil - externa'!X756</f>
        <v>33228755.980477415</v>
      </c>
      <c r="Y758" s="224">
        <f>'Perfil - interna'!Y758+'Perfil - externa'!Y756</f>
        <v>32573044.098405987</v>
      </c>
      <c r="Z758" s="224">
        <f>'Perfil - interna'!Z758+'Perfil - externa'!Z756</f>
        <v>30834192.419055164</v>
      </c>
      <c r="AA758" s="224">
        <f>'Perfil - interna'!AA758+'Perfil - externa'!AA756</f>
        <v>27826593.376530178</v>
      </c>
      <c r="AB758" s="224">
        <f>'Perfil - interna'!AB758+'Perfil - externa'!AB756</f>
        <v>25814374.480969679</v>
      </c>
      <c r="AC758" s="224">
        <f>'Perfil - interna'!AC758+'Perfil - externa'!AC756</f>
        <v>23095808.250536874</v>
      </c>
      <c r="AD758" s="224">
        <f>'Perfil - interna'!AD758+'Perfil - externa'!AD756</f>
        <v>20673939.987147208</v>
      </c>
      <c r="AE758" s="224">
        <f>'Perfil - interna'!AE758+'Perfil - externa'!AE756</f>
        <v>18441893.286060173</v>
      </c>
      <c r="AF758" s="224">
        <f>'Perfil - interna'!AF758+'Perfil - externa'!AF756</f>
        <v>17799358.111094244</v>
      </c>
      <c r="AG758" s="224">
        <f>'Perfil - interna'!AG758+'Perfil - externa'!AG756</f>
        <v>15734519.461410809</v>
      </c>
      <c r="AH758" s="224">
        <f>'Perfil - interna'!AH758+'Perfil - externa'!AH756</f>
        <v>14244777.592872337</v>
      </c>
      <c r="AI758" s="224">
        <f>'Perfil - interna'!AI758+'Perfil - externa'!AI756</f>
        <v>12020440.905151237</v>
      </c>
      <c r="AJ758" s="224">
        <f>'Perfil - interna'!AJ758+'Perfil - externa'!AJ756</f>
        <v>11378840.530101802</v>
      </c>
      <c r="AK758" s="224">
        <f>'Perfil - interna'!AK758+'Perfil - externa'!AK756</f>
        <v>9320998.3116287626</v>
      </c>
      <c r="AL758" s="224">
        <f>'Perfil - interna'!AL758+'Perfil - externa'!AL756</f>
        <v>7949430.482111644</v>
      </c>
      <c r="AM758" s="224">
        <f>'Perfil - interna'!AM758+'Perfil - externa'!AM756</f>
        <v>7086034.0712311156</v>
      </c>
      <c r="AN758" s="224">
        <f>'Perfil - interna'!AN758+'Perfil - externa'!AN756</f>
        <v>5418614.861303376</v>
      </c>
      <c r="AO758" s="224">
        <f>'Perfil - interna'!AO758+'Perfil - externa'!AO756</f>
        <v>5390334.5747352373</v>
      </c>
      <c r="AP758" s="224">
        <f>'Perfil - interna'!AP758+'Perfil - externa'!AP756</f>
        <v>5285543.7949535353</v>
      </c>
      <c r="AQ758" s="224">
        <f>'Perfil - interna'!AQ758+'Perfil - externa'!AQ756</f>
        <v>4911167.4618138121</v>
      </c>
      <c r="AR758" s="224">
        <f>'Perfil - interna'!AR758+'Perfil - externa'!AR756</f>
        <v>4513658.1507067885</v>
      </c>
      <c r="AS758" s="224">
        <f>'Perfil - interna'!AS758+'Perfil - externa'!AS756</f>
        <v>4425304.7938298089</v>
      </c>
      <c r="AT758" s="224">
        <f>'Perfil - interna'!AT758+'Perfil - externa'!AT756</f>
        <v>4142401.194640466</v>
      </c>
      <c r="AU758" s="224">
        <f>'Perfil - interna'!AU758+'Perfil - externa'!AU756</f>
        <v>3402678.8273283271</v>
      </c>
      <c r="AV758" s="224">
        <f>'Perfil - interna'!AV758+'Perfil - externa'!AV756</f>
        <v>2947947.8000910743</v>
      </c>
      <c r="AW758" s="224">
        <f>'Perfil - interna'!AW758+'Perfil - externa'!AW756</f>
        <v>2944834.8726650216</v>
      </c>
      <c r="AX758" s="224">
        <f>'Perfil - interna'!AX758+'Perfil - externa'!AX756</f>
        <v>3662037.7043218343</v>
      </c>
      <c r="AY758" s="224">
        <f>'Perfil - interna'!AY758+'Perfil - externa'!AY756</f>
        <v>2643102.3281347263</v>
      </c>
      <c r="AZ758" s="224">
        <f>'Perfil - interna'!AZ758+'Perfil - externa'!AZ756</f>
        <v>1552834.178053977</v>
      </c>
      <c r="BA758" s="224">
        <f>'Perfil - interna'!BA758+'Perfil - externa'!BA756</f>
        <v>329638.49173611111</v>
      </c>
      <c r="BB758" s="224">
        <f>'Perfil - interna'!BB758+'Perfil - externa'!BB756</f>
        <v>205420.66945833332</v>
      </c>
      <c r="BC758" s="224">
        <f>'Perfil - interna'!BC758+'Perfil - externa'!BC756</f>
        <v>204859.41079861112</v>
      </c>
      <c r="BD758" s="224">
        <f>'Perfil - interna'!BD758+'Perfil - externa'!BD756</f>
        <v>204859.41079861112</v>
      </c>
      <c r="BE758" s="224">
        <f>'Perfil - interna'!BE758+'Perfil - externa'!BE756</f>
        <v>204859.41079861112</v>
      </c>
      <c r="BF758" s="224">
        <f>'Perfil - interna'!BF758+'Perfil - externa'!BF756</f>
        <v>205420.66945833332</v>
      </c>
      <c r="BG758" s="224">
        <f>'Perfil - interna'!BG758+'Perfil - externa'!BG756</f>
        <v>204859.41079861112</v>
      </c>
      <c r="BH758" s="224">
        <f>'Perfil - interna'!BH758+'Perfil - externa'!BH756</f>
        <v>204859.41079861112</v>
      </c>
      <c r="BI758" s="224">
        <f>'Perfil - interna'!BI758+'Perfil - externa'!BI756</f>
        <v>204859.41079861112</v>
      </c>
      <c r="BJ758" s="224">
        <f>'Perfil - interna'!BJ758+'Perfil - externa'!BJ756</f>
        <v>205420.66945833332</v>
      </c>
      <c r="BK758" s="224">
        <f>'Perfil - interna'!BK758+'Perfil - externa'!BK756</f>
        <v>103271.59338888888</v>
      </c>
    </row>
    <row r="759" spans="1:63">
      <c r="A759" s="279"/>
      <c r="B759" s="307" t="s">
        <v>29</v>
      </c>
      <c r="C759" s="321"/>
      <c r="D759" s="321"/>
      <c r="E759" s="321"/>
      <c r="F759" s="321"/>
      <c r="G759" s="321"/>
      <c r="H759" s="321"/>
      <c r="I759" s="321"/>
      <c r="J759" s="321"/>
      <c r="K759" s="321"/>
      <c r="L759" s="321"/>
      <c r="M759" s="321"/>
      <c r="N759" s="321"/>
      <c r="O759" s="321"/>
      <c r="P759" s="321"/>
      <c r="Q759" s="321"/>
      <c r="R759" s="321"/>
      <c r="S759" s="321"/>
      <c r="T759" s="321"/>
      <c r="U759" s="321"/>
      <c r="V759" s="321"/>
      <c r="W759" s="321">
        <f>+W757+W758</f>
        <v>4466922.3457142748</v>
      </c>
      <c r="X759" s="321">
        <f>+X757+X758</f>
        <v>90389746.63000688</v>
      </c>
      <c r="Y759" s="321">
        <f t="shared" ref="Y759:BG759" si="65">+Y757+Y758</f>
        <v>72098535.510834336</v>
      </c>
      <c r="Z759" s="321">
        <f t="shared" si="65"/>
        <v>83175955.410070971</v>
      </c>
      <c r="AA759" s="321">
        <f t="shared" si="65"/>
        <v>78838727.441986531</v>
      </c>
      <c r="AB759" s="321">
        <f t="shared" si="65"/>
        <v>73580754.170442477</v>
      </c>
      <c r="AC759" s="321">
        <f t="shared" si="65"/>
        <v>81609906.607091233</v>
      </c>
      <c r="AD759" s="321">
        <f t="shared" si="65"/>
        <v>61730435.994122684</v>
      </c>
      <c r="AE759" s="321">
        <f t="shared" si="65"/>
        <v>43718361.862152889</v>
      </c>
      <c r="AF759" s="321">
        <f t="shared" si="65"/>
        <v>55530674.132752806</v>
      </c>
      <c r="AG759" s="321">
        <f t="shared" si="65"/>
        <v>50167870.454509586</v>
      </c>
      <c r="AH759" s="321">
        <f t="shared" si="65"/>
        <v>57168060.935759798</v>
      </c>
      <c r="AI759" s="321">
        <f t="shared" si="65"/>
        <v>33022592.47817396</v>
      </c>
      <c r="AJ759" s="321">
        <f t="shared" si="65"/>
        <v>44671358.20247072</v>
      </c>
      <c r="AK759" s="321">
        <f t="shared" si="65"/>
        <v>33934090.195056587</v>
      </c>
      <c r="AL759" s="321">
        <f t="shared" si="65"/>
        <v>28802876.304143701</v>
      </c>
      <c r="AM759" s="321">
        <f t="shared" si="65"/>
        <v>35323922.662671477</v>
      </c>
      <c r="AN759" s="321">
        <f t="shared" si="65"/>
        <v>7408491.523975675</v>
      </c>
      <c r="AO759" s="321">
        <f t="shared" si="65"/>
        <v>8621574.6136817262</v>
      </c>
      <c r="AP759" s="321">
        <f t="shared" si="65"/>
        <v>9115393.8363401722</v>
      </c>
      <c r="AQ759" s="321">
        <f t="shared" si="65"/>
        <v>15263842.118004262</v>
      </c>
      <c r="AR759" s="321">
        <f t="shared" si="65"/>
        <v>8636890.0133916102</v>
      </c>
      <c r="AS759" s="321">
        <f t="shared" si="65"/>
        <v>4536827.3916294845</v>
      </c>
      <c r="AT759" s="321">
        <f t="shared" si="65"/>
        <v>14274453.628173668</v>
      </c>
      <c r="AU759" s="321">
        <f t="shared" si="65"/>
        <v>21551271.017618287</v>
      </c>
      <c r="AV759" s="321">
        <f t="shared" si="65"/>
        <v>3047129.9903810346</v>
      </c>
      <c r="AW759" s="321">
        <f t="shared" si="65"/>
        <v>3044017.0629549818</v>
      </c>
      <c r="AX759" s="321">
        <f t="shared" si="65"/>
        <v>3761219.8946117945</v>
      </c>
      <c r="AY759" s="321">
        <f t="shared" si="65"/>
        <v>26011378.984690189</v>
      </c>
      <c r="AZ759" s="321">
        <f t="shared" si="65"/>
        <v>16730601.376041682</v>
      </c>
      <c r="BA759" s="321">
        <f t="shared" si="65"/>
        <v>6346108.4917361112</v>
      </c>
      <c r="BB759" s="321">
        <f t="shared" si="65"/>
        <v>205420.66945833332</v>
      </c>
      <c r="BC759" s="321">
        <f t="shared" si="65"/>
        <v>204859.41079861112</v>
      </c>
      <c r="BD759" s="321">
        <f t="shared" si="65"/>
        <v>204859.41079861112</v>
      </c>
      <c r="BE759" s="321">
        <f t="shared" si="65"/>
        <v>204859.41079861112</v>
      </c>
      <c r="BF759" s="321">
        <f t="shared" si="65"/>
        <v>205420.66945833332</v>
      </c>
      <c r="BG759" s="321">
        <f t="shared" si="65"/>
        <v>204859.41079861112</v>
      </c>
      <c r="BH759" s="321">
        <f>+BH757+BH758</f>
        <v>204859.41079861112</v>
      </c>
      <c r="BI759" s="321">
        <f>+BI757+BI758</f>
        <v>204859.41079861112</v>
      </c>
      <c r="BJ759" s="321">
        <f>+BJ757+BJ758</f>
        <v>205420.66945833332</v>
      </c>
      <c r="BK759" s="321">
        <f>+BK757+BK758</f>
        <v>5317545.593388889</v>
      </c>
    </row>
    <row r="760" spans="1:63">
      <c r="A760" s="278"/>
      <c r="B760" s="210" t="s">
        <v>28</v>
      </c>
      <c r="C760" s="224"/>
      <c r="D760" s="224"/>
      <c r="E760" s="224"/>
      <c r="F760" s="224"/>
      <c r="G760" s="224"/>
      <c r="H760" s="224"/>
      <c r="I760" s="224"/>
      <c r="J760" s="224"/>
      <c r="K760" s="224"/>
      <c r="L760" s="224"/>
      <c r="M760" s="224"/>
      <c r="N760" s="224"/>
      <c r="O760" s="224"/>
      <c r="P760" s="224"/>
      <c r="Q760" s="224"/>
      <c r="R760" s="224"/>
      <c r="S760" s="224"/>
      <c r="T760" s="224"/>
      <c r="U760" s="224"/>
      <c r="V760" s="224"/>
      <c r="W760" s="224"/>
      <c r="X760" s="224">
        <f>'Perfil - interna'!X760+'Perfil - externa'!X758</f>
        <v>57714351.79717695</v>
      </c>
      <c r="Y760" s="224">
        <f>'Perfil - interna'!Y760+'Perfil - externa'!Y758</f>
        <v>39547868.406053707</v>
      </c>
      <c r="Z760" s="224">
        <f>'Perfil - interna'!Z760+'Perfil - externa'!Z758</f>
        <v>50694118.44974649</v>
      </c>
      <c r="AA760" s="224">
        <f>'Perfil - interna'!AA760+'Perfil - externa'!AA758</f>
        <v>51430430.903551653</v>
      </c>
      <c r="AB760" s="224">
        <f>'Perfil - interna'!AB760+'Perfil - externa'!AB758</f>
        <v>48022454.199667007</v>
      </c>
      <c r="AC760" s="224">
        <f>'Perfil - interna'!AC760+'Perfil - externa'!AC758</f>
        <v>58647417.114964798</v>
      </c>
      <c r="AD760" s="224">
        <f>'Perfil - interna'!AD760+'Perfil - externa'!AD758</f>
        <v>41548108.081411734</v>
      </c>
      <c r="AE760" s="224">
        <f>'Perfil - interna'!AE760+'Perfil - externa'!AE758</f>
        <v>25613138.756284319</v>
      </c>
      <c r="AF760" s="224">
        <f>'Perfil - interna'!AF760+'Perfil - externa'!AF758</f>
        <v>36616650.568716571</v>
      </c>
      <c r="AG760" s="224">
        <f>'Perfil - interna'!AG760+'Perfil - externa'!AG758</f>
        <v>36726399.146047458</v>
      </c>
      <c r="AH760" s="224">
        <f>'Perfil - interna'!AH760+'Perfil - externa'!AH758</f>
        <v>43252788.638588808</v>
      </c>
      <c r="AI760" s="224">
        <f>'Perfil - interna'!AI760+'Perfil - externa'!AI758</f>
        <v>21417819.089829564</v>
      </c>
      <c r="AJ760" s="224">
        <f>'Perfil - interna'!AJ760+'Perfil - externa'!AJ758</f>
        <v>33695051.114975341</v>
      </c>
      <c r="AK760" s="224">
        <f>'Perfil - interna'!AK760+'Perfil - externa'!AK758</f>
        <v>26218886.084529988</v>
      </c>
      <c r="AL760" s="224">
        <f>'Perfil - interna'!AL760+'Perfil - externa'!AL758</f>
        <v>21561902.939085644</v>
      </c>
      <c r="AM760" s="224">
        <f>'Perfil - interna'!AM760+'Perfil - externa'!AM758</f>
        <v>28601790.448165867</v>
      </c>
      <c r="AN760" s="224">
        <f>'Perfil - interna'!AN760+'Perfil - externa'!AN758</f>
        <v>2340080.8237033295</v>
      </c>
      <c r="AO760" s="224">
        <f>'Perfil - interna'!AO760+'Perfil - externa'!AO758</f>
        <v>3572155.0541795194</v>
      </c>
      <c r="AP760" s="224">
        <f>'Perfil - interna'!AP760+'Perfil - externa'!AP758</f>
        <v>4162996.1395395654</v>
      </c>
      <c r="AQ760" s="224">
        <f>'Perfil - interna'!AQ760+'Perfil - externa'!AQ758</f>
        <v>10421028.447268676</v>
      </c>
      <c r="AR760" s="224">
        <f>'Perfil - interna'!AR760+'Perfil - externa'!AR758</f>
        <v>4117161.1221639127</v>
      </c>
      <c r="AS760" s="224">
        <f>'Perfil - interna'!AS760+'Perfil - externa'!AS758</f>
        <v>135277.27906568025</v>
      </c>
      <c r="AT760" s="224">
        <f>'Perfil - interna'!AT760+'Perfil - externa'!AT758</f>
        <v>10081227.580982339</v>
      </c>
      <c r="AU760" s="224">
        <f>'Perfil - interna'!AU760+'Perfil - externa'!AU758</f>
        <v>18038086.652621318</v>
      </c>
      <c r="AV760" s="224">
        <f>'Perfil - interna'!AV760+'Perfil - externa'!AV758</f>
        <v>122866.65262131885</v>
      </c>
      <c r="AW760" s="224">
        <f>'Perfil - interna'!AW760+'Perfil - externa'!AW758</f>
        <v>101346.86883753509</v>
      </c>
      <c r="AX760" s="224">
        <f>'Perfil - interna'!AX760+'Perfil - externa'!AX758</f>
        <v>101346.86883753509</v>
      </c>
      <c r="AY760" s="224">
        <f>'Perfil - interna'!AY760+'Perfil - externa'!AY758</f>
        <v>23318577.805349037</v>
      </c>
      <c r="AZ760" s="224">
        <f>'Perfil - interna'!AZ760+'Perfil - externa'!AZ758</f>
        <v>15350210.181988617</v>
      </c>
      <c r="BA760" s="224">
        <f>'Perfil - interna'!BA760+'Perfil - externa'!BA758</f>
        <v>5971740</v>
      </c>
      <c r="BB760" s="224">
        <f>'Perfil - interna'!BB760+'Perfil - externa'!BB758</f>
        <v>0</v>
      </c>
      <c r="BC760" s="224">
        <f>'Perfil - interna'!BC760+'Perfil - externa'!BC758</f>
        <v>0</v>
      </c>
      <c r="BD760" s="224">
        <f>'Perfil - interna'!BD760+'Perfil - externa'!BD758</f>
        <v>0</v>
      </c>
      <c r="BE760" s="224">
        <f>'Perfil - interna'!BE760+'Perfil - externa'!BE758</f>
        <v>0</v>
      </c>
      <c r="BF760" s="224">
        <f>'Perfil - interna'!BF760+'Perfil - externa'!BF758</f>
        <v>0</v>
      </c>
      <c r="BG760" s="224">
        <f>'Perfil - interna'!BG760+'Perfil - externa'!BG758</f>
        <v>0</v>
      </c>
      <c r="BH760" s="224">
        <f>'Perfil - interna'!BH760+'Perfil - externa'!BH758</f>
        <v>0</v>
      </c>
      <c r="BI760" s="224">
        <f>'Perfil - interna'!BI760+'Perfil - externa'!BI758</f>
        <v>0</v>
      </c>
      <c r="BJ760" s="224">
        <f>'Perfil - interna'!BJ760+'Perfil - externa'!BJ758</f>
        <v>0</v>
      </c>
      <c r="BK760" s="224">
        <f>'Perfil - interna'!BK760+'Perfil - externa'!BK758</f>
        <v>5175508</v>
      </c>
    </row>
    <row r="761" spans="1:63">
      <c r="A761" s="168">
        <v>44561</v>
      </c>
      <c r="B761" s="213" t="s">
        <v>385</v>
      </c>
      <c r="C761" s="224"/>
      <c r="D761" s="224"/>
      <c r="E761" s="224"/>
      <c r="F761" s="224"/>
      <c r="G761" s="224"/>
      <c r="H761" s="224"/>
      <c r="I761" s="224"/>
      <c r="J761" s="224"/>
      <c r="K761" s="224"/>
      <c r="L761" s="224"/>
      <c r="M761" s="224"/>
      <c r="N761" s="224"/>
      <c r="O761" s="224"/>
      <c r="P761" s="224"/>
      <c r="Q761" s="224"/>
      <c r="R761" s="224"/>
      <c r="S761" s="224"/>
      <c r="T761" s="224"/>
      <c r="U761" s="224"/>
      <c r="V761" s="224"/>
      <c r="W761" s="224"/>
      <c r="X761" s="224">
        <f>'Perfil - interna'!X761+'Perfil - externa'!X759</f>
        <v>33248377.610449977</v>
      </c>
      <c r="Y761" s="224">
        <f>'Perfil - interna'!Y761+'Perfil - externa'!Y759</f>
        <v>32656596.157682464</v>
      </c>
      <c r="Z761" s="224">
        <f>'Perfil - interna'!Z761+'Perfil - externa'!Z759</f>
        <v>30863684.263860926</v>
      </c>
      <c r="AA761" s="224">
        <f>'Perfil - interna'!AA761+'Perfil - externa'!AA759</f>
        <v>28054883.987872742</v>
      </c>
      <c r="AB761" s="224">
        <f>'Perfil - interna'!AB761+'Perfil - externa'!AB759</f>
        <v>26041885.574108928</v>
      </c>
      <c r="AC761" s="224">
        <f>'Perfil - interna'!AC761+'Perfil - externa'!AC759</f>
        <v>23330422.361059997</v>
      </c>
      <c r="AD761" s="224">
        <f>'Perfil - interna'!AD761+'Perfil - externa'!AD759</f>
        <v>20916789.41917523</v>
      </c>
      <c r="AE761" s="224">
        <f>'Perfil - interna'!AE761+'Perfil - externa'!AE759</f>
        <v>18663341.354420435</v>
      </c>
      <c r="AF761" s="224">
        <f>'Perfil - interna'!AF761+'Perfil - externa'!AF759</f>
        <v>18011258.645766094</v>
      </c>
      <c r="AG761" s="224">
        <f>'Perfil - interna'!AG761+'Perfil - externa'!AG759</f>
        <v>15942305.137282796</v>
      </c>
      <c r="AH761" s="224">
        <f>'Perfil - interna'!AH761+'Perfil - externa'!AH759</f>
        <v>14413975.577343225</v>
      </c>
      <c r="AI761" s="224">
        <f>'Perfil - interna'!AI761+'Perfil - externa'!AI759</f>
        <v>12183449.786326826</v>
      </c>
      <c r="AJ761" s="224">
        <f>'Perfil - interna'!AJ761+'Perfil - externa'!AJ759</f>
        <v>11535055.416882068</v>
      </c>
      <c r="AK761" s="224">
        <f>'Perfil - interna'!AK761+'Perfil - externa'!AK759</f>
        <v>9467581.6854420584</v>
      </c>
      <c r="AL761" s="224">
        <f>'Perfil - interna'!AL761+'Perfil - externa'!AL759</f>
        <v>8006725.1995666567</v>
      </c>
      <c r="AM761" s="224">
        <f>'Perfil - interna'!AM761+'Perfil - externa'!AM759</f>
        <v>7118117.5543261915</v>
      </c>
      <c r="AN761" s="224">
        <f>'Perfil - interna'!AN761+'Perfil - externa'!AN759</f>
        <v>5442758.5223710258</v>
      </c>
      <c r="AO761" s="224">
        <f>'Perfil - interna'!AO761+'Perfil - externa'!AO759</f>
        <v>5404822.8782227095</v>
      </c>
      <c r="AP761" s="224">
        <f>'Perfil - interna'!AP761+'Perfil - externa'!AP759</f>
        <v>5290002.4430691302</v>
      </c>
      <c r="AQ761" s="224">
        <f>'Perfil - interna'!AQ761+'Perfil - externa'!AQ759</f>
        <v>4909149.1427346487</v>
      </c>
      <c r="AR761" s="224">
        <f>'Perfil - interna'!AR761+'Perfil - externa'!AR759</f>
        <v>4511521.5267080786</v>
      </c>
      <c r="AS761" s="224">
        <f>'Perfil - interna'!AS761+'Perfil - externa'!AS759</f>
        <v>4423219.9086704403</v>
      </c>
      <c r="AT761" s="224">
        <f>'Perfil - interna'!AT761+'Perfil - externa'!AT759</f>
        <v>4141819.7662026146</v>
      </c>
      <c r="AU761" s="224">
        <f>'Perfil - interna'!AU761+'Perfil - externa'!AU759</f>
        <v>3406990.5025154762</v>
      </c>
      <c r="AV761" s="224">
        <f>'Perfil - interna'!AV761+'Perfil - externa'!AV759</f>
        <v>2955040.2610462015</v>
      </c>
      <c r="AW761" s="224">
        <f>'Perfil - interna'!AW761+'Perfil - externa'!AW759</f>
        <v>2951106.1236939114</v>
      </c>
      <c r="AX761" s="224">
        <f>'Perfil - interna'!AX761+'Perfil - externa'!AX759</f>
        <v>2950820.2544485307</v>
      </c>
      <c r="AY761" s="224">
        <f>'Perfil - interna'!AY761+'Perfil - externa'!AY759</f>
        <v>3365969.5920431642</v>
      </c>
      <c r="AZ761" s="224">
        <f>'Perfil - interna'!AZ761+'Perfil - externa'!AZ759</f>
        <v>1561857.8947135275</v>
      </c>
      <c r="BA761" s="224">
        <f>'Perfil - interna'!BA761+'Perfil - externa'!BA759</f>
        <v>327187.76402777777</v>
      </c>
      <c r="BB761" s="224">
        <f>'Perfil - interna'!BB761+'Perfil - externa'!BB759</f>
        <v>203893.45058333332</v>
      </c>
      <c r="BC761" s="224">
        <f>'Perfil - interna'!BC761+'Perfil - externa'!BC759</f>
        <v>203336.36465277776</v>
      </c>
      <c r="BD761" s="224">
        <f>'Perfil - interna'!BD761+'Perfil - externa'!BD759</f>
        <v>203336.36465277776</v>
      </c>
      <c r="BE761" s="224">
        <f>'Perfil - interna'!BE761+'Perfil - externa'!BE759</f>
        <v>203336.36465277776</v>
      </c>
      <c r="BF761" s="224">
        <f>'Perfil - interna'!BF761+'Perfil - externa'!BF759</f>
        <v>203893.45058333332</v>
      </c>
      <c r="BG761" s="224">
        <f>'Perfil - interna'!BG761+'Perfil - externa'!BG759</f>
        <v>203336.36465277776</v>
      </c>
      <c r="BH761" s="224">
        <f>'Perfil - interna'!BH761+'Perfil - externa'!BH759</f>
        <v>203336.36465277776</v>
      </c>
      <c r="BI761" s="224">
        <f>'Perfil - interna'!BI761+'Perfil - externa'!BI759</f>
        <v>203336.36465277776</v>
      </c>
      <c r="BJ761" s="224">
        <f>'Perfil - interna'!BJ761+'Perfil - externa'!BJ759</f>
        <v>203893.45058333332</v>
      </c>
      <c r="BK761" s="224">
        <f>'Perfil - interna'!BK761+'Perfil - externa'!BK759</f>
        <v>102503.81122222221</v>
      </c>
    </row>
    <row r="762" spans="1:63">
      <c r="A762" s="279"/>
      <c r="B762" s="307" t="s">
        <v>29</v>
      </c>
      <c r="C762" s="321"/>
      <c r="D762" s="321"/>
      <c r="E762" s="321"/>
      <c r="F762" s="321"/>
      <c r="G762" s="321"/>
      <c r="H762" s="321"/>
      <c r="I762" s="321"/>
      <c r="J762" s="321"/>
      <c r="K762" s="321"/>
      <c r="L762" s="321"/>
      <c r="M762" s="321"/>
      <c r="N762" s="321"/>
      <c r="O762" s="321"/>
      <c r="P762" s="321"/>
      <c r="Q762" s="321"/>
      <c r="R762" s="321"/>
      <c r="S762" s="321"/>
      <c r="T762" s="321"/>
      <c r="U762" s="321"/>
      <c r="V762" s="321"/>
      <c r="W762" s="321"/>
      <c r="X762" s="321">
        <f>+X760+X761</f>
        <v>90962729.407626927</v>
      </c>
      <c r="Y762" s="321">
        <f t="shared" ref="Y762:BG762" si="66">+Y760+Y761</f>
        <v>72204464.563736171</v>
      </c>
      <c r="Z762" s="321">
        <f t="shared" si="66"/>
        <v>81557802.713607416</v>
      </c>
      <c r="AA762" s="321">
        <f t="shared" si="66"/>
        <v>79485314.891424388</v>
      </c>
      <c r="AB762" s="321">
        <f t="shared" si="66"/>
        <v>74064339.773775935</v>
      </c>
      <c r="AC762" s="321">
        <f t="shared" si="66"/>
        <v>81977839.476024792</v>
      </c>
      <c r="AD762" s="321">
        <f t="shared" si="66"/>
        <v>62464897.500586964</v>
      </c>
      <c r="AE762" s="321">
        <f t="shared" si="66"/>
        <v>44276480.11070475</v>
      </c>
      <c r="AF762" s="321">
        <f t="shared" si="66"/>
        <v>54627909.214482665</v>
      </c>
      <c r="AG762" s="321">
        <f t="shared" si="66"/>
        <v>52668704.283330254</v>
      </c>
      <c r="AH762" s="321">
        <f t="shared" si="66"/>
        <v>57666764.215932034</v>
      </c>
      <c r="AI762" s="321">
        <f t="shared" si="66"/>
        <v>33601268.87615639</v>
      </c>
      <c r="AJ762" s="321">
        <f t="shared" si="66"/>
        <v>45230106.531857409</v>
      </c>
      <c r="AK762" s="321">
        <f t="shared" si="66"/>
        <v>35686467.769972049</v>
      </c>
      <c r="AL762" s="321">
        <f t="shared" si="66"/>
        <v>29568628.138652302</v>
      </c>
      <c r="AM762" s="321">
        <f t="shared" si="66"/>
        <v>35719908.002492055</v>
      </c>
      <c r="AN762" s="321">
        <f t="shared" si="66"/>
        <v>7782839.3460743558</v>
      </c>
      <c r="AO762" s="321">
        <f t="shared" si="66"/>
        <v>8976977.9324022289</v>
      </c>
      <c r="AP762" s="321">
        <f t="shared" si="66"/>
        <v>9452998.5826086961</v>
      </c>
      <c r="AQ762" s="321">
        <f t="shared" si="66"/>
        <v>15330177.590003325</v>
      </c>
      <c r="AR762" s="321">
        <f t="shared" si="66"/>
        <v>8628682.6488719918</v>
      </c>
      <c r="AS762" s="321">
        <f t="shared" si="66"/>
        <v>4558497.187736121</v>
      </c>
      <c r="AT762" s="321">
        <f t="shared" si="66"/>
        <v>14223047.347184952</v>
      </c>
      <c r="AU762" s="321">
        <f t="shared" si="66"/>
        <v>21445077.155136794</v>
      </c>
      <c r="AV762" s="321">
        <f t="shared" si="66"/>
        <v>3077906.9136675205</v>
      </c>
      <c r="AW762" s="321">
        <f t="shared" si="66"/>
        <v>3052452.9925314463</v>
      </c>
      <c r="AX762" s="321">
        <f t="shared" si="66"/>
        <v>3052167.1232860656</v>
      </c>
      <c r="AY762" s="321">
        <f t="shared" si="66"/>
        <v>26684547.397392202</v>
      </c>
      <c r="AZ762" s="321">
        <f t="shared" si="66"/>
        <v>16912068.076702144</v>
      </c>
      <c r="BA762" s="321">
        <f t="shared" si="66"/>
        <v>6298927.7640277781</v>
      </c>
      <c r="BB762" s="321">
        <f t="shared" si="66"/>
        <v>203893.45058333332</v>
      </c>
      <c r="BC762" s="321">
        <f t="shared" si="66"/>
        <v>203336.36465277776</v>
      </c>
      <c r="BD762" s="321">
        <f t="shared" si="66"/>
        <v>203336.36465277776</v>
      </c>
      <c r="BE762" s="321">
        <f t="shared" si="66"/>
        <v>203336.36465277776</v>
      </c>
      <c r="BF762" s="321">
        <f t="shared" si="66"/>
        <v>203893.45058333332</v>
      </c>
      <c r="BG762" s="321">
        <f t="shared" si="66"/>
        <v>203336.36465277776</v>
      </c>
      <c r="BH762" s="321">
        <f>+BH760+BH761</f>
        <v>203336.36465277776</v>
      </c>
      <c r="BI762" s="321">
        <f>+BI760+BI761</f>
        <v>203336.36465277776</v>
      </c>
      <c r="BJ762" s="321">
        <f>+BJ760+BJ761</f>
        <v>203893.45058333332</v>
      </c>
      <c r="BK762" s="321">
        <f>+BK760+BK761</f>
        <v>5278011.8112222226</v>
      </c>
    </row>
    <row r="763" spans="1:63">
      <c r="A763" s="278"/>
      <c r="B763" s="210" t="s">
        <v>28</v>
      </c>
      <c r="C763" s="224"/>
      <c r="D763" s="224"/>
      <c r="E763" s="224"/>
      <c r="F763" s="224"/>
      <c r="G763" s="224"/>
      <c r="H763" s="224"/>
      <c r="I763" s="224"/>
      <c r="J763" s="224"/>
      <c r="K763" s="224"/>
      <c r="L763" s="224"/>
      <c r="M763" s="224"/>
      <c r="N763" s="224"/>
      <c r="O763" s="224"/>
      <c r="P763" s="224"/>
      <c r="Q763" s="224"/>
      <c r="R763" s="224"/>
      <c r="S763" s="224"/>
      <c r="T763" s="224"/>
      <c r="U763" s="224"/>
      <c r="V763" s="224"/>
      <c r="W763" s="224"/>
      <c r="X763" s="224">
        <f>'Perfil - interna'!X763+'Perfil - externa'!X761</f>
        <v>36432363.465580389</v>
      </c>
      <c r="Y763" s="224">
        <f>'Perfil - interna'!Y763+'Perfil - externa'!Y761</f>
        <v>65762138.668880865</v>
      </c>
      <c r="Z763" s="224">
        <f>'Perfil - interna'!Z763+'Perfil - externa'!Z761</f>
        <v>50650609.25138928</v>
      </c>
      <c r="AA763" s="224">
        <f>'Perfil - interna'!AA763+'Perfil - externa'!AA761</f>
        <v>50979486.893229902</v>
      </c>
      <c r="AB763" s="224">
        <f>'Perfil - interna'!AB763+'Perfil - externa'!AB761</f>
        <v>48141109.999808267</v>
      </c>
      <c r="AC763" s="224">
        <f>'Perfil - interna'!AC763+'Perfil - externa'!AC761</f>
        <v>58591360.943387404</v>
      </c>
      <c r="AD763" s="224">
        <f>'Perfil - interna'!AD763+'Perfil - externa'!AD761</f>
        <v>41505004.96312914</v>
      </c>
      <c r="AE763" s="224">
        <f>'Perfil - interna'!AE763+'Perfil - externa'!AE761</f>
        <v>25789887.486177363</v>
      </c>
      <c r="AF763" s="224">
        <f>'Perfil - interna'!AF763+'Perfil - externa'!AF761</f>
        <v>38063397.506252632</v>
      </c>
      <c r="AG763" s="224">
        <f>'Perfil - interna'!AG763+'Perfil - externa'!AG761</f>
        <v>35357357.073270291</v>
      </c>
      <c r="AH763" s="224">
        <f>'Perfil - interna'!AH763+'Perfil - externa'!AH761</f>
        <v>43235791.757933199</v>
      </c>
      <c r="AI763" s="224">
        <f>'Perfil - interna'!AI763+'Perfil - externa'!AI761</f>
        <v>21390528.622620247</v>
      </c>
      <c r="AJ763" s="224">
        <f>'Perfil - interna'!AJ763+'Perfil - externa'!AJ761</f>
        <v>33677134.097240098</v>
      </c>
      <c r="AK763" s="224">
        <f>'Perfil - interna'!AK763+'Perfil - externa'!AK761</f>
        <v>26054537.411277112</v>
      </c>
      <c r="AL763" s="224">
        <f>'Perfil - interna'!AL763+'Perfil - externa'!AL761</f>
        <v>21289000.865179852</v>
      </c>
      <c r="AM763" s="224">
        <f>'Perfil - interna'!AM763+'Perfil - externa'!AM761</f>
        <v>29056571.61948004</v>
      </c>
      <c r="AN763" s="224">
        <f>'Perfil - interna'!AN763+'Perfil - externa'!AN761</f>
        <v>2333740.8338159593</v>
      </c>
      <c r="AO763" s="224">
        <f>'Perfil - interna'!AO763+'Perfil - externa'!AO761</f>
        <v>3566260.7100064349</v>
      </c>
      <c r="AP763" s="224">
        <f>'Perfil - interna'!AP763+'Perfil - externa'!AP761</f>
        <v>4157315.5047283052</v>
      </c>
      <c r="AQ763" s="224">
        <f>'Perfil - interna'!AQ763+'Perfil - externa'!AQ761</f>
        <v>10420479.596163852</v>
      </c>
      <c r="AR763" s="224">
        <f>'Perfil - interna'!AR763+'Perfil - externa'!AR761</f>
        <v>6099599.8394019501</v>
      </c>
      <c r="AS763" s="224">
        <f>'Perfil - interna'!AS763+'Perfil - externa'!AS761</f>
        <v>131008.03448704467</v>
      </c>
      <c r="AT763" s="224">
        <f>'Perfil - interna'!AT763+'Perfil - externa'!AT761</f>
        <v>10080555.822672719</v>
      </c>
      <c r="AU763" s="224">
        <f>'Perfil - interna'!AU763+'Perfil - externa'!AU761</f>
        <v>18040292.919074118</v>
      </c>
      <c r="AV763" s="224">
        <f>'Perfil - interna'!AV763+'Perfil - externa'!AV761</f>
        <v>118592.91907412143</v>
      </c>
      <c r="AW763" s="224">
        <f>'Perfil - interna'!AW763+'Perfil - externa'!AW761</f>
        <v>97065.351506553852</v>
      </c>
      <c r="AX763" s="224">
        <f>'Perfil - interna'!AX763+'Perfil - externa'!AX761</f>
        <v>97065.351506553852</v>
      </c>
      <c r="AY763" s="224">
        <f>'Perfil - interna'!AY763+'Perfil - externa'!AY761</f>
        <v>23674311.344298553</v>
      </c>
      <c r="AZ763" s="224">
        <f>'Perfil - interna'!AZ763+'Perfil - externa'!AZ761</f>
        <v>15394582.413932893</v>
      </c>
      <c r="BA763" s="224">
        <f>'Perfil - interna'!BA763+'Perfil - externa'!BA761</f>
        <v>5973900</v>
      </c>
      <c r="BB763" s="224">
        <f>'Perfil - interna'!BB763+'Perfil - externa'!BB761</f>
        <v>0</v>
      </c>
      <c r="BC763" s="224">
        <f>'Perfil - interna'!BC763+'Perfil - externa'!BC761</f>
        <v>0</v>
      </c>
      <c r="BD763" s="224">
        <f>'Perfil - interna'!BD763+'Perfil - externa'!BD761</f>
        <v>0</v>
      </c>
      <c r="BE763" s="224">
        <f>'Perfil - interna'!BE763+'Perfil - externa'!BE761</f>
        <v>0</v>
      </c>
      <c r="BF763" s="224">
        <f>'Perfil - interna'!BF763+'Perfil - externa'!BF761</f>
        <v>0</v>
      </c>
      <c r="BG763" s="224">
        <f>'Perfil - interna'!BG763+'Perfil - externa'!BG761</f>
        <v>0</v>
      </c>
      <c r="BH763" s="224">
        <f>'Perfil - interna'!BH763+'Perfil - externa'!BH761</f>
        <v>0</v>
      </c>
      <c r="BI763" s="224">
        <f>'Perfil - interna'!BI763+'Perfil - externa'!BI761</f>
        <v>0</v>
      </c>
      <c r="BJ763" s="224">
        <f>'Perfil - interna'!BJ763+'Perfil - externa'!BJ761</f>
        <v>0</v>
      </c>
      <c r="BK763" s="224">
        <f>'Perfil - interna'!BK763+'Perfil - externa'!BK761</f>
        <v>5177380</v>
      </c>
    </row>
    <row r="764" spans="1:63">
      <c r="A764" s="168">
        <v>44592</v>
      </c>
      <c r="B764" s="213" t="s">
        <v>385</v>
      </c>
      <c r="C764" s="224"/>
      <c r="D764" s="224"/>
      <c r="E764" s="224"/>
      <c r="F764" s="224"/>
      <c r="G764" s="224"/>
      <c r="H764" s="224"/>
      <c r="I764" s="224"/>
      <c r="J764" s="224"/>
      <c r="K764" s="224"/>
      <c r="L764" s="224"/>
      <c r="M764" s="224"/>
      <c r="N764" s="224"/>
      <c r="O764" s="224"/>
      <c r="P764" s="224"/>
      <c r="Q764" s="224"/>
      <c r="R764" s="224"/>
      <c r="S764" s="224"/>
      <c r="T764" s="224"/>
      <c r="U764" s="224"/>
      <c r="V764" s="224"/>
      <c r="W764" s="224"/>
      <c r="X764" s="224">
        <f>'Perfil - interna'!X764+'Perfil - externa'!X762</f>
        <v>33374326.19108624</v>
      </c>
      <c r="Y764" s="224">
        <f>'Perfil - interna'!Y764+'Perfil - externa'!Y762</f>
        <v>33923209.765001729</v>
      </c>
      <c r="Z764" s="224">
        <f>'Perfil - interna'!Z764+'Perfil - externa'!Z762</f>
        <v>32088035.283119708</v>
      </c>
      <c r="AA764" s="224">
        <f>'Perfil - interna'!AA764+'Perfil - externa'!AA762</f>
        <v>29156811.53725908</v>
      </c>
      <c r="AB764" s="224">
        <f>'Perfil - interna'!AB764+'Perfil - externa'!AB762</f>
        <v>27086805.034529127</v>
      </c>
      <c r="AC764" s="224">
        <f>'Perfil - interna'!AC764+'Perfil - externa'!AC762</f>
        <v>24355209.342207842</v>
      </c>
      <c r="AD764" s="224">
        <f>'Perfil - interna'!AD764+'Perfil - externa'!AD762</f>
        <v>21890041.901809916</v>
      </c>
      <c r="AE764" s="224">
        <f>'Perfil - interna'!AE764+'Perfil - externa'!AE762</f>
        <v>19600613.581289131</v>
      </c>
      <c r="AF764" s="224">
        <f>'Perfil - interna'!AF764+'Perfil - externa'!AF762</f>
        <v>18884831.357289463</v>
      </c>
      <c r="AG764" s="224">
        <f>'Perfil - interna'!AG764+'Perfil - externa'!AG762</f>
        <v>16764650.26598553</v>
      </c>
      <c r="AH764" s="224">
        <f>'Perfil - interna'!AH764+'Perfil - externa'!AH762</f>
        <v>15173015.346561998</v>
      </c>
      <c r="AI764" s="224">
        <f>'Perfil - interna'!AI764+'Perfil - externa'!AI762</f>
        <v>12901945.075975677</v>
      </c>
      <c r="AJ764" s="224">
        <f>'Perfil - interna'!AJ764+'Perfil - externa'!AJ762</f>
        <v>12235348.064208869</v>
      </c>
      <c r="AK764" s="224">
        <f>'Perfil - interna'!AK764+'Perfil - externa'!AK762</f>
        <v>10157763.747906074</v>
      </c>
      <c r="AL764" s="224">
        <f>'Perfil - interna'!AL764+'Perfil - externa'!AL762</f>
        <v>8693840.4877813775</v>
      </c>
      <c r="AM764" s="224">
        <f>'Perfil - interna'!AM764+'Perfil - externa'!AM762</f>
        <v>7813644.1278539337</v>
      </c>
      <c r="AN764" s="224">
        <f>'Perfil - interna'!AN764+'Perfil - externa'!AN762</f>
        <v>6042576.0912963934</v>
      </c>
      <c r="AO764" s="224">
        <f>'Perfil - interna'!AO764+'Perfil - externa'!AO762</f>
        <v>5997989.5675638374</v>
      </c>
      <c r="AP764" s="224">
        <f>'Perfil - interna'!AP764+'Perfil - externa'!AP762</f>
        <v>5867976.7285911441</v>
      </c>
      <c r="AQ764" s="224">
        <f>'Perfil - interna'!AQ764+'Perfil - externa'!AQ762</f>
        <v>5444120.099921138</v>
      </c>
      <c r="AR764" s="224">
        <f>'Perfil - interna'!AR764+'Perfil - externa'!AR762</f>
        <v>5002338.2987099178</v>
      </c>
      <c r="AS764" s="224">
        <f>'Perfil - interna'!AS764+'Perfil - externa'!AS762</f>
        <v>4721193.0124733662</v>
      </c>
      <c r="AT764" s="224">
        <f>'Perfil - interna'!AT764+'Perfil - externa'!AT762</f>
        <v>4409107.396199231</v>
      </c>
      <c r="AU764" s="224">
        <f>'Perfil - interna'!AU764+'Perfil - externa'!AU762</f>
        <v>3593571.0754428022</v>
      </c>
      <c r="AV764" s="224">
        <f>'Perfil - interna'!AV764+'Perfil - externa'!AV762</f>
        <v>3093804.2729894379</v>
      </c>
      <c r="AW764" s="224">
        <f>'Perfil - interna'!AW764+'Perfil - externa'!AW762</f>
        <v>3091970.1793416417</v>
      </c>
      <c r="AX764" s="224">
        <f>'Perfil - interna'!AX764+'Perfil - externa'!AX762</f>
        <v>3093761.741062379</v>
      </c>
      <c r="AY764" s="224">
        <f>'Perfil - interna'!AY764+'Perfil - externa'!AY762</f>
        <v>2759982.4332343522</v>
      </c>
      <c r="AZ764" s="224">
        <f>'Perfil - interna'!AZ764+'Perfil - externa'!AZ762</f>
        <v>1615581.3517883157</v>
      </c>
      <c r="BA764" s="224">
        <f>'Perfil - interna'!BA764+'Perfil - externa'!BA762</f>
        <v>363570.63312500005</v>
      </c>
      <c r="BB764" s="224">
        <f>'Perfil - interna'!BB764+'Perfil - externa'!BB762</f>
        <v>226566.14662499999</v>
      </c>
      <c r="BC764" s="224">
        <f>'Perfil - interna'!BC764+'Perfil - externa'!BC762</f>
        <v>225947.1134375</v>
      </c>
      <c r="BD764" s="224">
        <f>'Perfil - interna'!BD764+'Perfil - externa'!BD762</f>
        <v>225947.1134375</v>
      </c>
      <c r="BE764" s="224">
        <f>'Perfil - interna'!BE764+'Perfil - externa'!BE762</f>
        <v>225947.1134375</v>
      </c>
      <c r="BF764" s="224">
        <f>'Perfil - interna'!BF764+'Perfil - externa'!BF762</f>
        <v>226566.14662499999</v>
      </c>
      <c r="BG764" s="224">
        <f>'Perfil - interna'!BG764+'Perfil - externa'!BG762</f>
        <v>225947.1134375</v>
      </c>
      <c r="BH764" s="224">
        <f>'Perfil - interna'!BH764+'Perfil - externa'!BH762</f>
        <v>225947.1134375</v>
      </c>
      <c r="BI764" s="224">
        <f>'Perfil - interna'!BI764+'Perfil - externa'!BI762</f>
        <v>225947.1134375</v>
      </c>
      <c r="BJ764" s="224">
        <f>'Perfil - interna'!BJ764+'Perfil - externa'!BJ762</f>
        <v>226566.14662499999</v>
      </c>
      <c r="BK764" s="224">
        <f>'Perfil - interna'!BK764+'Perfil - externa'!BK762</f>
        <v>113902.10649999998</v>
      </c>
    </row>
    <row r="765" spans="1:63">
      <c r="A765" s="279"/>
      <c r="B765" s="307" t="s">
        <v>29</v>
      </c>
      <c r="C765" s="321"/>
      <c r="D765" s="321"/>
      <c r="E765" s="321"/>
      <c r="F765" s="321"/>
      <c r="G765" s="321"/>
      <c r="H765" s="321"/>
      <c r="I765" s="321"/>
      <c r="J765" s="321"/>
      <c r="K765" s="321"/>
      <c r="L765" s="321"/>
      <c r="M765" s="321"/>
      <c r="N765" s="321"/>
      <c r="O765" s="321"/>
      <c r="P765" s="321"/>
      <c r="Q765" s="321"/>
      <c r="R765" s="321"/>
      <c r="S765" s="321"/>
      <c r="T765" s="321"/>
      <c r="U765" s="321"/>
      <c r="V765" s="321"/>
      <c r="W765" s="321"/>
      <c r="X765" s="321">
        <f>+X763+X764</f>
        <v>69806689.656666636</v>
      </c>
      <c r="Y765" s="321">
        <f t="shared" ref="Y765:BG765" si="67">+Y763+Y764</f>
        <v>99685348.433882594</v>
      </c>
      <c r="Z765" s="321">
        <f t="shared" si="67"/>
        <v>82738644.534508988</v>
      </c>
      <c r="AA765" s="321">
        <f t="shared" si="67"/>
        <v>80136298.430488974</v>
      </c>
      <c r="AB765" s="321">
        <f t="shared" si="67"/>
        <v>75227915.034337401</v>
      </c>
      <c r="AC765" s="321">
        <f t="shared" si="67"/>
        <v>82946570.285595238</v>
      </c>
      <c r="AD765" s="321">
        <f t="shared" si="67"/>
        <v>63395046.864939056</v>
      </c>
      <c r="AE765" s="321">
        <f t="shared" si="67"/>
        <v>45390501.067466497</v>
      </c>
      <c r="AF765" s="321">
        <f t="shared" si="67"/>
        <v>56948228.863542095</v>
      </c>
      <c r="AG765" s="321">
        <f t="shared" si="67"/>
        <v>52122007.339255825</v>
      </c>
      <c r="AH765" s="321">
        <f t="shared" si="67"/>
        <v>58408807.104495198</v>
      </c>
      <c r="AI765" s="321">
        <f t="shared" si="67"/>
        <v>34292473.698595926</v>
      </c>
      <c r="AJ765" s="321">
        <f t="shared" si="67"/>
        <v>45912482.16144897</v>
      </c>
      <c r="AK765" s="321">
        <f t="shared" si="67"/>
        <v>36212301.159183189</v>
      </c>
      <c r="AL765" s="321">
        <f t="shared" si="67"/>
        <v>29982841.352961227</v>
      </c>
      <c r="AM765" s="321">
        <f t="shared" si="67"/>
        <v>36870215.747333974</v>
      </c>
      <c r="AN765" s="321">
        <f t="shared" si="67"/>
        <v>8376316.9251123527</v>
      </c>
      <c r="AO765" s="321">
        <f t="shared" si="67"/>
        <v>9564250.2775702719</v>
      </c>
      <c r="AP765" s="321">
        <f t="shared" si="67"/>
        <v>10025292.23331945</v>
      </c>
      <c r="AQ765" s="321">
        <f t="shared" si="67"/>
        <v>15864599.696084991</v>
      </c>
      <c r="AR765" s="321">
        <f t="shared" si="67"/>
        <v>11101938.138111867</v>
      </c>
      <c r="AS765" s="321">
        <f t="shared" si="67"/>
        <v>4852201.0469604107</v>
      </c>
      <c r="AT765" s="321">
        <f t="shared" si="67"/>
        <v>14489663.218871951</v>
      </c>
      <c r="AU765" s="321">
        <f t="shared" si="67"/>
        <v>21633863.99451692</v>
      </c>
      <c r="AV765" s="321">
        <f t="shared" si="67"/>
        <v>3212397.1920635593</v>
      </c>
      <c r="AW765" s="321">
        <f t="shared" si="67"/>
        <v>3189035.5308481958</v>
      </c>
      <c r="AX765" s="321">
        <f t="shared" si="67"/>
        <v>3190827.092568933</v>
      </c>
      <c r="AY765" s="321">
        <f t="shared" si="67"/>
        <v>26434293.777532905</v>
      </c>
      <c r="AZ765" s="321">
        <f t="shared" si="67"/>
        <v>17010163.765721209</v>
      </c>
      <c r="BA765" s="321">
        <f t="shared" si="67"/>
        <v>6337470.6331249997</v>
      </c>
      <c r="BB765" s="321">
        <f t="shared" si="67"/>
        <v>226566.14662499999</v>
      </c>
      <c r="BC765" s="321">
        <f t="shared" si="67"/>
        <v>225947.1134375</v>
      </c>
      <c r="BD765" s="321">
        <f t="shared" si="67"/>
        <v>225947.1134375</v>
      </c>
      <c r="BE765" s="321">
        <f t="shared" si="67"/>
        <v>225947.1134375</v>
      </c>
      <c r="BF765" s="321">
        <f t="shared" si="67"/>
        <v>226566.14662499999</v>
      </c>
      <c r="BG765" s="321">
        <f t="shared" si="67"/>
        <v>225947.1134375</v>
      </c>
      <c r="BH765" s="321">
        <f>+BH763+BH764</f>
        <v>225947.1134375</v>
      </c>
      <c r="BI765" s="321">
        <f>+BI763+BI764</f>
        <v>225947.1134375</v>
      </c>
      <c r="BJ765" s="321">
        <f>+BJ763+BJ764</f>
        <v>226566.14662499999</v>
      </c>
      <c r="BK765" s="321">
        <f>+BK763+BK764</f>
        <v>5291282.1064999998</v>
      </c>
    </row>
    <row r="766" spans="1:63">
      <c r="A766" s="278"/>
      <c r="B766" s="210" t="s">
        <v>28</v>
      </c>
      <c r="C766" s="224"/>
      <c r="D766" s="224"/>
      <c r="E766" s="224"/>
      <c r="F766" s="224"/>
      <c r="G766" s="224"/>
      <c r="H766" s="224"/>
      <c r="I766" s="224"/>
      <c r="J766" s="224"/>
      <c r="K766" s="224"/>
      <c r="L766" s="224"/>
      <c r="M766" s="224"/>
      <c r="N766" s="224"/>
      <c r="O766" s="224"/>
      <c r="P766" s="224"/>
      <c r="Q766" s="224"/>
      <c r="R766" s="224"/>
      <c r="S766" s="224"/>
      <c r="T766" s="224"/>
      <c r="U766" s="224"/>
      <c r="V766" s="224"/>
      <c r="W766" s="224"/>
      <c r="X766" s="224">
        <f>'Perfil - interna'!X766+'Perfil - externa'!X764</f>
        <v>37257556.36977154</v>
      </c>
      <c r="Y766" s="224">
        <f>'Perfil - interna'!Y766+'Perfil - externa'!Y764</f>
        <v>66167999.169599228</v>
      </c>
      <c r="Z766" s="224">
        <f>'Perfil - interna'!Z766+'Perfil - externa'!Z764</f>
        <v>50200630.584512606</v>
      </c>
      <c r="AA766" s="224">
        <f>'Perfil - interna'!AA766+'Perfil - externa'!AA764</f>
        <v>50885496.637245968</v>
      </c>
      <c r="AB766" s="224">
        <f>'Perfil - interna'!AB766+'Perfil - externa'!AB764</f>
        <v>47950616.109791704</v>
      </c>
      <c r="AC766" s="224">
        <f>'Perfil - interna'!AC766+'Perfil - externa'!AC764</f>
        <v>58694495.640080571</v>
      </c>
      <c r="AD766" s="224">
        <f>'Perfil - interna'!AD766+'Perfil - externa'!AD764</f>
        <v>41383204.756733537</v>
      </c>
      <c r="AE766" s="224">
        <f>'Perfil - interna'!AE766+'Perfil - externa'!AE764</f>
        <v>25920896.692079879</v>
      </c>
      <c r="AF766" s="224">
        <f>'Perfil - interna'!AF766+'Perfil - externa'!AF764</f>
        <v>37861237.57059595</v>
      </c>
      <c r="AG766" s="224">
        <f>'Perfil - interna'!AG766+'Perfil - externa'!AG764</f>
        <v>36175003.690917462</v>
      </c>
      <c r="AH766" s="224">
        <f>'Perfil - interna'!AH766+'Perfil - externa'!AH764</f>
        <v>43020984.04741931</v>
      </c>
      <c r="AI766" s="224">
        <f>'Perfil - interna'!AI766+'Perfil - externa'!AI764</f>
        <v>21528814.888909314</v>
      </c>
      <c r="AJ766" s="224">
        <f>'Perfil - interna'!AJ766+'Perfil - externa'!AJ764</f>
        <v>33625446.890627697</v>
      </c>
      <c r="AK766" s="224">
        <f>'Perfil - interna'!AK766+'Perfil - externa'!AK764</f>
        <v>26403426.778763577</v>
      </c>
      <c r="AL766" s="224">
        <f>'Perfil - interna'!AL766+'Perfil - externa'!AL764</f>
        <v>21261814.806754202</v>
      </c>
      <c r="AM766" s="224">
        <f>'Perfil - interna'!AM766+'Perfil - externa'!AM764</f>
        <v>29682185.936065961</v>
      </c>
      <c r="AN766" s="224">
        <f>'Perfil - interna'!AN766+'Perfil - externa'!AN764</f>
        <v>2293734.2364153555</v>
      </c>
      <c r="AO766" s="224">
        <f>'Perfil - interna'!AO766+'Perfil - externa'!AO764</f>
        <v>3503984.2059391649</v>
      </c>
      <c r="AP766" s="224">
        <f>'Perfil - interna'!AP766+'Perfil - externa'!AP764</f>
        <v>4083430.6919410061</v>
      </c>
      <c r="AQ766" s="224">
        <f>'Perfil - interna'!AQ766+'Perfil - externa'!AQ764</f>
        <v>10232525.705379743</v>
      </c>
      <c r="AR766" s="224">
        <f>'Perfil - interna'!AR766+'Perfil - externa'!AR764</f>
        <v>7943345.2409606948</v>
      </c>
      <c r="AS766" s="224">
        <f>'Perfil - interna'!AS766+'Perfil - externa'!AS764</f>
        <v>128672.51960670036</v>
      </c>
      <c r="AT766" s="224">
        <f>'Perfil - interna'!AT766+'Perfil - externa'!AT764</f>
        <v>9898445.9245156609</v>
      </c>
      <c r="AU766" s="224">
        <f>'Perfil - interna'!AU766+'Perfil - externa'!AU764</f>
        <v>17714361.727928299</v>
      </c>
      <c r="AV766" s="224">
        <f>'Perfil - interna'!AV766+'Perfil - externa'!AV764</f>
        <v>116183.58731761143</v>
      </c>
      <c r="AW766" s="224">
        <f>'Perfil - interna'!AW766+'Perfil - externa'!AW764</f>
        <v>95044.99272301684</v>
      </c>
      <c r="AX766" s="224">
        <f>'Perfil - interna'!AX766+'Perfil - externa'!AX764</f>
        <v>95044.99272301684</v>
      </c>
      <c r="AY766" s="224">
        <f>'Perfil - interna'!AY766+'Perfil - externa'!AY764</f>
        <v>24035773.206550114</v>
      </c>
      <c r="AZ766" s="224">
        <f>'Perfil - interna'!AZ766+'Perfil - externa'!AZ764</f>
        <v>16103469.206502531</v>
      </c>
      <c r="BA766" s="224">
        <f>'Perfil - interna'!BA766+'Perfil - externa'!BA764</f>
        <v>5865960</v>
      </c>
      <c r="BB766" s="224">
        <f>'Perfil - interna'!BB766+'Perfil - externa'!BB764</f>
        <v>0</v>
      </c>
      <c r="BC766" s="224">
        <f>'Perfil - interna'!BC766+'Perfil - externa'!BC764</f>
        <v>0</v>
      </c>
      <c r="BD766" s="224">
        <f>'Perfil - interna'!BD766+'Perfil - externa'!BD764</f>
        <v>0</v>
      </c>
      <c r="BE766" s="224">
        <f>'Perfil - interna'!BE766+'Perfil - externa'!BE764</f>
        <v>0</v>
      </c>
      <c r="BF766" s="224">
        <f>'Perfil - interna'!BF766+'Perfil - externa'!BF764</f>
        <v>0</v>
      </c>
      <c r="BG766" s="224">
        <f>'Perfil - interna'!BG766+'Perfil - externa'!BG764</f>
        <v>0</v>
      </c>
      <c r="BH766" s="224">
        <f>'Perfil - interna'!BH766+'Perfil - externa'!BH764</f>
        <v>0</v>
      </c>
      <c r="BI766" s="224">
        <f>'Perfil - interna'!BI766+'Perfil - externa'!BI764</f>
        <v>0</v>
      </c>
      <c r="BJ766" s="224">
        <f>'Perfil - interna'!BJ766+'Perfil - externa'!BJ764</f>
        <v>0</v>
      </c>
      <c r="BK766" s="224">
        <f>'Perfil - interna'!BK766+'Perfil - externa'!BK764</f>
        <v>5083832</v>
      </c>
    </row>
    <row r="767" spans="1:63">
      <c r="A767" s="168">
        <v>44620</v>
      </c>
      <c r="B767" s="213" t="s">
        <v>385</v>
      </c>
      <c r="C767" s="224"/>
      <c r="D767" s="224"/>
      <c r="E767" s="224"/>
      <c r="F767" s="224"/>
      <c r="G767" s="224"/>
      <c r="H767" s="224"/>
      <c r="I767" s="224"/>
      <c r="J767" s="224"/>
      <c r="K767" s="224"/>
      <c r="L767" s="224"/>
      <c r="M767" s="224"/>
      <c r="N767" s="224"/>
      <c r="O767" s="224"/>
      <c r="P767" s="224"/>
      <c r="Q767" s="224"/>
      <c r="R767" s="224"/>
      <c r="S767" s="224"/>
      <c r="T767" s="224"/>
      <c r="U767" s="224"/>
      <c r="V767" s="224"/>
      <c r="W767" s="224"/>
      <c r="X767" s="224">
        <f>'Perfil - interna'!X767+'Perfil - externa'!X765</f>
        <v>29836739.33767629</v>
      </c>
      <c r="Y767" s="224">
        <f>'Perfil - interna'!Y767+'Perfil - externa'!Y765</f>
        <v>33276525.523567047</v>
      </c>
      <c r="Z767" s="224">
        <f>'Perfil - interna'!Z767+'Perfil - externa'!Z765</f>
        <v>31470037.993698828</v>
      </c>
      <c r="AA767" s="224">
        <f>'Perfil - interna'!AA767+'Perfil - externa'!AA765</f>
        <v>28597273.049216997</v>
      </c>
      <c r="AB767" s="224">
        <f>'Perfil - interna'!AB767+'Perfil - externa'!AB765</f>
        <v>26555255.884579569</v>
      </c>
      <c r="AC767" s="224">
        <f>'Perfil - interna'!AC767+'Perfil - externa'!AC765</f>
        <v>23855423.618014809</v>
      </c>
      <c r="AD767" s="224">
        <f>'Perfil - interna'!AD767+'Perfil - externa'!AD765</f>
        <v>21432108.983428441</v>
      </c>
      <c r="AE767" s="224">
        <f>'Perfil - interna'!AE767+'Perfil - externa'!AE765</f>
        <v>19199839.290237408</v>
      </c>
      <c r="AF767" s="224">
        <f>'Perfil - interna'!AF767+'Perfil - externa'!AF765</f>
        <v>18531124.052424289</v>
      </c>
      <c r="AG767" s="224">
        <f>'Perfil - interna'!AG767+'Perfil - externa'!AG765</f>
        <v>16465218.623458963</v>
      </c>
      <c r="AH767" s="224">
        <f>'Perfil - interna'!AH767+'Perfil - externa'!AH765</f>
        <v>14858167.692557819</v>
      </c>
      <c r="AI767" s="224">
        <f>'Perfil - interna'!AI767+'Perfil - externa'!AI765</f>
        <v>12629537.834556974</v>
      </c>
      <c r="AJ767" s="224">
        <f>'Perfil - interna'!AJ767+'Perfil - externa'!AJ765</f>
        <v>11981491.689888548</v>
      </c>
      <c r="AK767" s="224">
        <f>'Perfil - interna'!AK767+'Perfil - externa'!AK765</f>
        <v>9919435.7274327762</v>
      </c>
      <c r="AL767" s="224">
        <f>'Perfil - interna'!AL767+'Perfil - externa'!AL765</f>
        <v>8450651.2673687432</v>
      </c>
      <c r="AM767" s="224">
        <f>'Perfil - interna'!AM767+'Perfil - externa'!AM765</f>
        <v>7571790.5508213742</v>
      </c>
      <c r="AN767" s="224">
        <f>'Perfil - interna'!AN767+'Perfil - externa'!AN765</f>
        <v>5842261.7354499772</v>
      </c>
      <c r="AO767" s="224">
        <f>'Perfil - interna'!AO767+'Perfil - externa'!AO765</f>
        <v>5805684.8905813433</v>
      </c>
      <c r="AP767" s="224">
        <f>'Perfil - interna'!AP767+'Perfil - externa'!AP765</f>
        <v>5693788.8917886056</v>
      </c>
      <c r="AQ767" s="224">
        <f>'Perfil - interna'!AQ767+'Perfil - externa'!AQ765</f>
        <v>5318536.1712715887</v>
      </c>
      <c r="AR767" s="224">
        <f>'Perfil - interna'!AR767+'Perfil - externa'!AR765</f>
        <v>4927540.3943341915</v>
      </c>
      <c r="AS767" s="224">
        <f>'Perfil - interna'!AS767+'Perfil - externa'!AS765</f>
        <v>4479774.5513140149</v>
      </c>
      <c r="AT767" s="224">
        <f>'Perfil - interna'!AT767+'Perfil - externa'!AT765</f>
        <v>4203386.9266469032</v>
      </c>
      <c r="AU767" s="224">
        <f>'Perfil - interna'!AU767+'Perfil - externa'!AU765</f>
        <v>3481988.7148551233</v>
      </c>
      <c r="AV767" s="224">
        <f>'Perfil - interna'!AV767+'Perfil - externa'!AV765</f>
        <v>3039901.7377776415</v>
      </c>
      <c r="AW767" s="224">
        <f>'Perfil - interna'!AW767+'Perfil - externa'!AW765</f>
        <v>3037999.7575002941</v>
      </c>
      <c r="AX767" s="224">
        <f>'Perfil - interna'!AX767+'Perfil - externa'!AX765</f>
        <v>3039304.823665238</v>
      </c>
      <c r="AY767" s="224">
        <f>'Perfil - interna'!AY767+'Perfil - externa'!AY765</f>
        <v>2743965.1839805916</v>
      </c>
      <c r="AZ767" s="224">
        <f>'Perfil - interna'!AZ767+'Perfil - externa'!AZ765</f>
        <v>1608694.456103357</v>
      </c>
      <c r="BA767" s="224">
        <f>'Perfil - interna'!BA767+'Perfil - externa'!BA765</f>
        <v>321392.14638888882</v>
      </c>
      <c r="BB767" s="224">
        <f>'Perfil - interna'!BB767+'Perfil - externa'!BB765</f>
        <v>200281.79816666665</v>
      </c>
      <c r="BC767" s="224">
        <f>'Perfil - interna'!BC767+'Perfil - externa'!BC765</f>
        <v>199734.58013888888</v>
      </c>
      <c r="BD767" s="224">
        <f>'Perfil - interna'!BD767+'Perfil - externa'!BD765</f>
        <v>199734.58013888888</v>
      </c>
      <c r="BE767" s="224">
        <f>'Perfil - interna'!BE767+'Perfil - externa'!BE765</f>
        <v>199734.58013888888</v>
      </c>
      <c r="BF767" s="224">
        <f>'Perfil - interna'!BF767+'Perfil - externa'!BF765</f>
        <v>200281.79816666665</v>
      </c>
      <c r="BG767" s="224">
        <f>'Perfil - interna'!BG767+'Perfil - externa'!BG765</f>
        <v>199734.58013888888</v>
      </c>
      <c r="BH767" s="224">
        <f>'Perfil - interna'!BH767+'Perfil - externa'!BH765</f>
        <v>199734.58013888888</v>
      </c>
      <c r="BI767" s="224">
        <f>'Perfil - interna'!BI767+'Perfil - externa'!BI765</f>
        <v>199734.58013888888</v>
      </c>
      <c r="BJ767" s="224">
        <f>'Perfil - interna'!BJ767+'Perfil - externa'!BJ765</f>
        <v>200281.79816666665</v>
      </c>
      <c r="BK767" s="224">
        <f>'Perfil - interna'!BK767+'Perfil - externa'!BK765</f>
        <v>100688.1171111111</v>
      </c>
    </row>
    <row r="768" spans="1:63">
      <c r="A768" s="279"/>
      <c r="B768" s="307" t="s">
        <v>29</v>
      </c>
      <c r="C768" s="321"/>
      <c r="D768" s="321"/>
      <c r="E768" s="321"/>
      <c r="F768" s="321"/>
      <c r="G768" s="321"/>
      <c r="H768" s="321"/>
      <c r="I768" s="321"/>
      <c r="J768" s="321"/>
      <c r="K768" s="321"/>
      <c r="L768" s="321"/>
      <c r="M768" s="321"/>
      <c r="N768" s="321"/>
      <c r="O768" s="321"/>
      <c r="P768" s="321"/>
      <c r="Q768" s="321"/>
      <c r="R768" s="321"/>
      <c r="S768" s="321"/>
      <c r="T768" s="321"/>
      <c r="U768" s="321"/>
      <c r="V768" s="321"/>
      <c r="W768" s="321"/>
      <c r="X768" s="321">
        <f>+X766+X767</f>
        <v>67094295.707447827</v>
      </c>
      <c r="Y768" s="321">
        <f t="shared" ref="Y768:BG768" si="68">+Y766+Y767</f>
        <v>99444524.693166271</v>
      </c>
      <c r="Z768" s="321">
        <f t="shared" si="68"/>
        <v>81670668.578211427</v>
      </c>
      <c r="AA768" s="321">
        <f t="shared" si="68"/>
        <v>79482769.686462969</v>
      </c>
      <c r="AB768" s="321">
        <f t="shared" si="68"/>
        <v>74505871.994371265</v>
      </c>
      <c r="AC768" s="321">
        <f t="shared" si="68"/>
        <v>82549919.258095384</v>
      </c>
      <c r="AD768" s="321">
        <f t="shared" si="68"/>
        <v>62815313.740161978</v>
      </c>
      <c r="AE768" s="321">
        <f t="shared" si="68"/>
        <v>45120735.982317284</v>
      </c>
      <c r="AF768" s="321">
        <f t="shared" si="68"/>
        <v>56392361.623020239</v>
      </c>
      <c r="AG768" s="321">
        <f t="shared" si="68"/>
        <v>52640222.314376429</v>
      </c>
      <c r="AH768" s="321">
        <f t="shared" si="68"/>
        <v>57879151.739977129</v>
      </c>
      <c r="AI768" s="321">
        <f t="shared" si="68"/>
        <v>34158352.723466292</v>
      </c>
      <c r="AJ768" s="321">
        <f t="shared" si="68"/>
        <v>45606938.580516249</v>
      </c>
      <c r="AK768" s="321">
        <f t="shared" si="68"/>
        <v>36322862.50619635</v>
      </c>
      <c r="AL768" s="321">
        <f t="shared" si="68"/>
        <v>29712466.074122943</v>
      </c>
      <c r="AM768" s="321">
        <f t="shared" si="68"/>
        <v>37253976.486887336</v>
      </c>
      <c r="AN768" s="321">
        <f t="shared" si="68"/>
        <v>8135995.9718653327</v>
      </c>
      <c r="AO768" s="321">
        <f t="shared" si="68"/>
        <v>9309669.0965205077</v>
      </c>
      <c r="AP768" s="321">
        <f t="shared" si="68"/>
        <v>9777219.5837296117</v>
      </c>
      <c r="AQ768" s="321">
        <f t="shared" si="68"/>
        <v>15551061.876651332</v>
      </c>
      <c r="AR768" s="321">
        <f t="shared" si="68"/>
        <v>12870885.635294886</v>
      </c>
      <c r="AS768" s="321">
        <f t="shared" si="68"/>
        <v>4608447.0709207151</v>
      </c>
      <c r="AT768" s="321">
        <f t="shared" si="68"/>
        <v>14101832.851162564</v>
      </c>
      <c r="AU768" s="321">
        <f t="shared" si="68"/>
        <v>21196350.442783423</v>
      </c>
      <c r="AV768" s="321">
        <f t="shared" si="68"/>
        <v>3156085.3250952531</v>
      </c>
      <c r="AW768" s="321">
        <f t="shared" si="68"/>
        <v>3133044.7502233111</v>
      </c>
      <c r="AX768" s="321">
        <f t="shared" si="68"/>
        <v>3134349.816388255</v>
      </c>
      <c r="AY768" s="321">
        <f t="shared" si="68"/>
        <v>26779738.390530705</v>
      </c>
      <c r="AZ768" s="321">
        <f t="shared" si="68"/>
        <v>17712163.662605889</v>
      </c>
      <c r="BA768" s="321">
        <f t="shared" si="68"/>
        <v>6187352.1463888884</v>
      </c>
      <c r="BB768" s="321">
        <f t="shared" si="68"/>
        <v>200281.79816666665</v>
      </c>
      <c r="BC768" s="321">
        <f t="shared" si="68"/>
        <v>199734.58013888888</v>
      </c>
      <c r="BD768" s="321">
        <f t="shared" si="68"/>
        <v>199734.58013888888</v>
      </c>
      <c r="BE768" s="321">
        <f t="shared" si="68"/>
        <v>199734.58013888888</v>
      </c>
      <c r="BF768" s="321">
        <f t="shared" si="68"/>
        <v>200281.79816666665</v>
      </c>
      <c r="BG768" s="321">
        <f t="shared" si="68"/>
        <v>199734.58013888888</v>
      </c>
      <c r="BH768" s="321">
        <f>+BH766+BH767</f>
        <v>199734.58013888888</v>
      </c>
      <c r="BI768" s="321">
        <f>+BI766+BI767</f>
        <v>199734.58013888888</v>
      </c>
      <c r="BJ768" s="321">
        <f>+BJ766+BJ767</f>
        <v>200281.79816666665</v>
      </c>
      <c r="BK768" s="321">
        <f>+BK766+BK767</f>
        <v>5184520.1171111111</v>
      </c>
    </row>
    <row r="769" spans="1:63">
      <c r="A769" s="278"/>
      <c r="B769" s="210" t="s">
        <v>28</v>
      </c>
      <c r="C769" s="224"/>
      <c r="D769" s="224"/>
      <c r="E769" s="224"/>
      <c r="F769" s="224"/>
      <c r="G769" s="224"/>
      <c r="H769" s="224"/>
      <c r="I769" s="224"/>
      <c r="J769" s="224"/>
      <c r="K769" s="224"/>
      <c r="L769" s="224"/>
      <c r="M769" s="224"/>
      <c r="N769" s="224"/>
      <c r="O769" s="224"/>
      <c r="P769" s="224"/>
      <c r="Q769" s="224"/>
      <c r="R769" s="224"/>
      <c r="S769" s="224"/>
      <c r="T769" s="224"/>
      <c r="U769" s="224"/>
      <c r="V769" s="224"/>
      <c r="W769" s="224"/>
      <c r="X769" s="224">
        <f>'Perfil - interna'!X769+'Perfil - externa'!X767</f>
        <v>31714668.543460228</v>
      </c>
      <c r="Y769" s="224">
        <f>'Perfil - interna'!Y769+'Perfil - externa'!Y767</f>
        <v>67147163.215466484</v>
      </c>
      <c r="Z769" s="224">
        <f>'Perfil - interna'!Z769+'Perfil - externa'!Z767</f>
        <v>49027265.025204539</v>
      </c>
      <c r="AA769" s="224">
        <f>'Perfil - interna'!AA769+'Perfil - externa'!AA767</f>
        <v>50154874.644059807</v>
      </c>
      <c r="AB769" s="224">
        <f>'Perfil - interna'!AB769+'Perfil - externa'!AB767</f>
        <v>47106506.958933875</v>
      </c>
      <c r="AC769" s="224">
        <f>'Perfil - interna'!AC769+'Perfil - externa'!AC767</f>
        <v>58327497.289826781</v>
      </c>
      <c r="AD769" s="224">
        <f>'Perfil - interna'!AD769+'Perfil - externa'!AD767</f>
        <v>40963147.462128654</v>
      </c>
      <c r="AE769" s="224">
        <f>'Perfil - interna'!AE769+'Perfil - externa'!AE767</f>
        <v>25756662.295748822</v>
      </c>
      <c r="AF769" s="224">
        <f>'Perfil - interna'!AF769+'Perfil - externa'!AF767</f>
        <v>37272082.180575565</v>
      </c>
      <c r="AG769" s="224">
        <f>'Perfil - interna'!AG769+'Perfil - externa'!AG767</f>
        <v>36921939.499667726</v>
      </c>
      <c r="AH769" s="224">
        <f>'Perfil - interna'!AH769+'Perfil - externa'!AH767</f>
        <v>42401166.610986523</v>
      </c>
      <c r="AI769" s="224">
        <f>'Perfil - interna'!AI769+'Perfil - externa'!AI767</f>
        <v>21401718.241794959</v>
      </c>
      <c r="AJ769" s="224">
        <f>'Perfil - interna'!AJ769+'Perfil - externa'!AJ767</f>
        <v>33368485.833151177</v>
      </c>
      <c r="AK769" s="224">
        <f>'Perfil - interna'!AK769+'Perfil - externa'!AK767</f>
        <v>26971116.194615111</v>
      </c>
      <c r="AL769" s="224">
        <f>'Perfil - interna'!AL769+'Perfil - externa'!AL767</f>
        <v>20811400.878103532</v>
      </c>
      <c r="AM769" s="224">
        <f>'Perfil - interna'!AM769+'Perfil - externa'!AM767</f>
        <v>30288886.973208055</v>
      </c>
      <c r="AN769" s="224">
        <f>'Perfil - interna'!AN769+'Perfil - externa'!AN767</f>
        <v>2198933.9193237256</v>
      </c>
      <c r="AO769" s="224">
        <f>'Perfil - interna'!AO769+'Perfil - externa'!AO767</f>
        <v>3358897.1026570587</v>
      </c>
      <c r="AP769" s="224">
        <f>'Perfil - interna'!AP769+'Perfil - externa'!AP767</f>
        <v>3913888.65628199</v>
      </c>
      <c r="AQ769" s="224">
        <f>'Perfil - interna'!AQ769+'Perfil - externa'!AQ767</f>
        <v>9823506.2556597907</v>
      </c>
      <c r="AR769" s="224">
        <f>'Perfil - interna'!AR769+'Perfil - externa'!AR767</f>
        <v>10599737.658346141</v>
      </c>
      <c r="AS769" s="224">
        <f>'Perfil - interna'!AS769+'Perfil - externa'!AS767</f>
        <v>123796.38045812777</v>
      </c>
      <c r="AT769" s="224">
        <f>'Perfil - interna'!AT769+'Perfil - externa'!AT767</f>
        <v>9487628.4354694616</v>
      </c>
      <c r="AU769" s="224">
        <f>'Perfil - interna'!AU769+'Perfil - externa'!AU767</f>
        <v>16978787.125239186</v>
      </c>
      <c r="AV769" s="224">
        <f>'Perfil - interna'!AV769+'Perfil - externa'!AV767</f>
        <v>111826.37259257412</v>
      </c>
      <c r="AW769" s="224">
        <f>'Perfil - interna'!AW769+'Perfil - externa'!AW767</f>
        <v>91566.10232230385</v>
      </c>
      <c r="AX769" s="224">
        <f>'Perfil - interna'!AX769+'Perfil - externa'!AX767</f>
        <v>91566.10232230385</v>
      </c>
      <c r="AY769" s="224">
        <f>'Perfil - interna'!AY769+'Perfil - externa'!AY767</f>
        <v>24186227.026617505</v>
      </c>
      <c r="AZ769" s="224">
        <f>'Perfil - interna'!AZ769+'Perfil - externa'!AZ767</f>
        <v>16590237.599759145</v>
      </c>
      <c r="BA769" s="224">
        <f>'Perfil - interna'!BA769+'Perfil - externa'!BA767</f>
        <v>5622225</v>
      </c>
      <c r="BB769" s="224">
        <f>'Perfil - interna'!BB769+'Perfil - externa'!BB767</f>
        <v>0</v>
      </c>
      <c r="BC769" s="224">
        <f>'Perfil - interna'!BC769+'Perfil - externa'!BC767</f>
        <v>0</v>
      </c>
      <c r="BD769" s="224">
        <f>'Perfil - interna'!BD769+'Perfil - externa'!BD767</f>
        <v>0</v>
      </c>
      <c r="BE769" s="224">
        <f>'Perfil - interna'!BE769+'Perfil - externa'!BE767</f>
        <v>0</v>
      </c>
      <c r="BF769" s="224">
        <f>'Perfil - interna'!BF769+'Perfil - externa'!BF767</f>
        <v>0</v>
      </c>
      <c r="BG769" s="224">
        <f>'Perfil - interna'!BG769+'Perfil - externa'!BG767</f>
        <v>0</v>
      </c>
      <c r="BH769" s="224">
        <f>'Perfil - interna'!BH769+'Perfil - externa'!BH767</f>
        <v>0</v>
      </c>
      <c r="BI769" s="224">
        <f>'Perfil - interna'!BI769+'Perfil - externa'!BI767</f>
        <v>0</v>
      </c>
      <c r="BJ769" s="224">
        <f>'Perfil - interna'!BJ769+'Perfil - externa'!BJ767</f>
        <v>0</v>
      </c>
      <c r="BK769" s="224">
        <f>'Perfil - interna'!BK769+'Perfil - externa'!BK767</f>
        <v>4872595</v>
      </c>
    </row>
    <row r="770" spans="1:63">
      <c r="A770" s="168">
        <v>44651</v>
      </c>
      <c r="B770" s="213" t="s">
        <v>385</v>
      </c>
      <c r="C770" s="224"/>
      <c r="D770" s="224"/>
      <c r="E770" s="224"/>
      <c r="F770" s="224"/>
      <c r="G770" s="224"/>
      <c r="H770" s="224"/>
      <c r="I770" s="224"/>
      <c r="J770" s="224"/>
      <c r="K770" s="224"/>
      <c r="L770" s="224"/>
      <c r="M770" s="224"/>
      <c r="N770" s="224"/>
      <c r="O770" s="224"/>
      <c r="P770" s="224"/>
      <c r="Q770" s="224"/>
      <c r="R770" s="224"/>
      <c r="S770" s="224"/>
      <c r="T770" s="224"/>
      <c r="U770" s="224"/>
      <c r="V770" s="224"/>
      <c r="W770" s="224"/>
      <c r="X770" s="224">
        <f>'Perfil - interna'!X770+'Perfil - externa'!X768</f>
        <v>26821908.546639152</v>
      </c>
      <c r="Y770" s="224">
        <f>'Perfil - interna'!Y770+'Perfil - externa'!Y768</f>
        <v>33862971.613380954</v>
      </c>
      <c r="Z770" s="224">
        <f>'Perfil - interna'!Z770+'Perfil - externa'!Z768</f>
        <v>32070336.869631223</v>
      </c>
      <c r="AA770" s="224">
        <f>'Perfil - interna'!AA770+'Perfil - externa'!AA768</f>
        <v>29194158.452223893</v>
      </c>
      <c r="AB770" s="224">
        <f>'Perfil - interna'!AB770+'Perfil - externa'!AB768</f>
        <v>27092158.806179836</v>
      </c>
      <c r="AC770" s="224">
        <f>'Perfil - interna'!AC770+'Perfil - externa'!AC768</f>
        <v>24368776.964260079</v>
      </c>
      <c r="AD770" s="224">
        <f>'Perfil - interna'!AD770+'Perfil - externa'!AD768</f>
        <v>21865813.401969425</v>
      </c>
      <c r="AE770" s="224">
        <f>'Perfil - interna'!AE770+'Perfil - externa'!AE768</f>
        <v>19658386.134063415</v>
      </c>
      <c r="AF770" s="224">
        <f>'Perfil - interna'!AF770+'Perfil - externa'!AF768</f>
        <v>19000518.411605299</v>
      </c>
      <c r="AG770" s="224">
        <f>'Perfil - interna'!AG770+'Perfil - externa'!AG768</f>
        <v>16935847.096083198</v>
      </c>
      <c r="AH770" s="224">
        <f>'Perfil - interna'!AH770+'Perfil - externa'!AH768</f>
        <v>15239941.26111966</v>
      </c>
      <c r="AI770" s="224">
        <f>'Perfil - interna'!AI770+'Perfil - externa'!AI768</f>
        <v>13025965.289626479</v>
      </c>
      <c r="AJ770" s="224">
        <f>'Perfil - interna'!AJ770+'Perfil - externa'!AJ768</f>
        <v>12355256.76880501</v>
      </c>
      <c r="AK770" s="224">
        <f>'Perfil - interna'!AK770+'Perfil - externa'!AK768</f>
        <v>10296191.723763939</v>
      </c>
      <c r="AL770" s="224">
        <f>'Perfil - interna'!AL770+'Perfil - externa'!AL768</f>
        <v>8732089.0169062875</v>
      </c>
      <c r="AM770" s="224">
        <f>'Perfil - interna'!AM770+'Perfil - externa'!AM768</f>
        <v>7862573.3178092167</v>
      </c>
      <c r="AN770" s="224">
        <f>'Perfil - interna'!AN770+'Perfil - externa'!AN768</f>
        <v>6067897.4907716271</v>
      </c>
      <c r="AO770" s="224">
        <f>'Perfil - interna'!AO770+'Perfil - externa'!AO768</f>
        <v>6027512.6801728792</v>
      </c>
      <c r="AP770" s="224">
        <f>'Perfil - interna'!AP770+'Perfil - externa'!AP768</f>
        <v>5915728.960271487</v>
      </c>
      <c r="AQ770" s="224">
        <f>'Perfil - interna'!AQ770+'Perfil - externa'!AQ768</f>
        <v>5552858.0554648684</v>
      </c>
      <c r="AR770" s="224">
        <f>'Perfil - interna'!AR770+'Perfil - externa'!AR768</f>
        <v>5176839.8508204482</v>
      </c>
      <c r="AS770" s="224">
        <f>'Perfil - interna'!AS770+'Perfil - externa'!AS768</f>
        <v>4471384.2648047861</v>
      </c>
      <c r="AT770" s="224">
        <f>'Perfil - interna'!AT770+'Perfil - externa'!AT768</f>
        <v>4206389.6445215382</v>
      </c>
      <c r="AU770" s="224">
        <f>'Perfil - interna'!AU770+'Perfil - externa'!AU768</f>
        <v>3514893.0822947705</v>
      </c>
      <c r="AV770" s="224">
        <f>'Perfil - interna'!AV770+'Perfil - externa'!AV768</f>
        <v>3091162.6200672081</v>
      </c>
      <c r="AW770" s="224">
        <f>'Perfil - interna'!AW770+'Perfil - externa'!AW768</f>
        <v>3089331.9438117612</v>
      </c>
      <c r="AX770" s="224">
        <f>'Perfil - interna'!AX770+'Perfil - externa'!AX768</f>
        <v>3090575.1141527668</v>
      </c>
      <c r="AY770" s="224">
        <f>'Perfil - interna'!AY770+'Perfil - externa'!AY768</f>
        <v>2807499.2761236075</v>
      </c>
      <c r="AZ770" s="224">
        <f>'Perfil - interna'!AZ770+'Perfil - externa'!AZ768</f>
        <v>1625634.6904162953</v>
      </c>
      <c r="BA770" s="224">
        <f>'Perfil - interna'!BA770+'Perfil - externa'!BA768</f>
        <v>308038.06371527776</v>
      </c>
      <c r="BB770" s="224">
        <f>'Perfil - interna'!BB770+'Perfil - externa'!BB768</f>
        <v>191959.94052083333</v>
      </c>
      <c r="BC770" s="224">
        <f>'Perfil - interna'!BC770+'Perfil - externa'!BC768</f>
        <v>191435.45980902779</v>
      </c>
      <c r="BD770" s="224">
        <f>'Perfil - interna'!BD770+'Perfil - externa'!BD768</f>
        <v>191435.45980902779</v>
      </c>
      <c r="BE770" s="224">
        <f>'Perfil - interna'!BE770+'Perfil - externa'!BE768</f>
        <v>191435.45980902779</v>
      </c>
      <c r="BF770" s="224">
        <f>'Perfil - interna'!BF770+'Perfil - externa'!BF768</f>
        <v>191959.94052083333</v>
      </c>
      <c r="BG770" s="224">
        <f>'Perfil - interna'!BG770+'Perfil - externa'!BG768</f>
        <v>191435.45980902779</v>
      </c>
      <c r="BH770" s="224">
        <f>'Perfil - interna'!BH770+'Perfil - externa'!BH768</f>
        <v>191435.45980902779</v>
      </c>
      <c r="BI770" s="224">
        <f>'Perfil - interna'!BI770+'Perfil - externa'!BI768</f>
        <v>191435.45980902779</v>
      </c>
      <c r="BJ770" s="224">
        <f>'Perfil - interna'!BJ770+'Perfil - externa'!BJ768</f>
        <v>191959.94052083333</v>
      </c>
      <c r="BK770" s="224">
        <f>'Perfil - interna'!BK770+'Perfil - externa'!BK768</f>
        <v>96504.450972222214</v>
      </c>
    </row>
    <row r="771" spans="1:63">
      <c r="A771" s="279"/>
      <c r="B771" s="307" t="s">
        <v>29</v>
      </c>
      <c r="C771" s="321"/>
      <c r="D771" s="321"/>
      <c r="E771" s="321"/>
      <c r="F771" s="321"/>
      <c r="G771" s="321"/>
      <c r="H771" s="321"/>
      <c r="I771" s="321"/>
      <c r="J771" s="321"/>
      <c r="K771" s="321"/>
      <c r="L771" s="321"/>
      <c r="M771" s="321"/>
      <c r="N771" s="321"/>
      <c r="O771" s="321"/>
      <c r="P771" s="321"/>
      <c r="Q771" s="321"/>
      <c r="R771" s="321"/>
      <c r="S771" s="321"/>
      <c r="T771" s="321"/>
      <c r="U771" s="321"/>
      <c r="V771" s="321"/>
      <c r="W771" s="321"/>
      <c r="X771" s="321">
        <f>+X769+X770</f>
        <v>58536577.090099379</v>
      </c>
      <c r="Y771" s="321">
        <f t="shared" ref="Y771:BG771" si="69">+Y769+Y770</f>
        <v>101010134.82884744</v>
      </c>
      <c r="Z771" s="321">
        <f t="shared" si="69"/>
        <v>81097601.89483577</v>
      </c>
      <c r="AA771" s="321">
        <f t="shared" si="69"/>
        <v>79349033.096283704</v>
      </c>
      <c r="AB771" s="321">
        <f t="shared" si="69"/>
        <v>74198665.765113711</v>
      </c>
      <c r="AC771" s="321">
        <f t="shared" si="69"/>
        <v>82696274.254086852</v>
      </c>
      <c r="AD771" s="321">
        <f t="shared" si="69"/>
        <v>62828960.86409808</v>
      </c>
      <c r="AE771" s="321">
        <f t="shared" si="69"/>
        <v>45415048.429812238</v>
      </c>
      <c r="AF771" s="321">
        <f t="shared" si="69"/>
        <v>56272600.592180863</v>
      </c>
      <c r="AG771" s="321">
        <f t="shared" si="69"/>
        <v>53857786.595750928</v>
      </c>
      <c r="AH771" s="321">
        <f t="shared" si="69"/>
        <v>57641107.87210618</v>
      </c>
      <c r="AI771" s="321">
        <f t="shared" si="69"/>
        <v>34427683.531421438</v>
      </c>
      <c r="AJ771" s="321">
        <f t="shared" si="69"/>
        <v>45723742.601956189</v>
      </c>
      <c r="AK771" s="321">
        <f t="shared" si="69"/>
        <v>37267307.918379053</v>
      </c>
      <c r="AL771" s="321">
        <f t="shared" si="69"/>
        <v>29543489.895009819</v>
      </c>
      <c r="AM771" s="321">
        <f t="shared" si="69"/>
        <v>38151460.291017272</v>
      </c>
      <c r="AN771" s="321">
        <f t="shared" si="69"/>
        <v>8266831.4100953527</v>
      </c>
      <c r="AO771" s="321">
        <f t="shared" si="69"/>
        <v>9386409.7828299385</v>
      </c>
      <c r="AP771" s="321">
        <f t="shared" si="69"/>
        <v>9829617.6165534779</v>
      </c>
      <c r="AQ771" s="321">
        <f t="shared" si="69"/>
        <v>15376364.31112466</v>
      </c>
      <c r="AR771" s="321">
        <f t="shared" si="69"/>
        <v>15776577.509166589</v>
      </c>
      <c r="AS771" s="321">
        <f t="shared" si="69"/>
        <v>4595180.6452629138</v>
      </c>
      <c r="AT771" s="321">
        <f t="shared" si="69"/>
        <v>13694018.079991</v>
      </c>
      <c r="AU771" s="321">
        <f t="shared" si="69"/>
        <v>20493680.207533956</v>
      </c>
      <c r="AV771" s="321">
        <f t="shared" si="69"/>
        <v>3202988.9926597821</v>
      </c>
      <c r="AW771" s="321">
        <f t="shared" si="69"/>
        <v>3180898.0461340649</v>
      </c>
      <c r="AX771" s="321">
        <f t="shared" si="69"/>
        <v>3182141.2164750705</v>
      </c>
      <c r="AY771" s="321">
        <f t="shared" si="69"/>
        <v>26993726.30274111</v>
      </c>
      <c r="AZ771" s="321">
        <f t="shared" si="69"/>
        <v>18215872.290175442</v>
      </c>
      <c r="BA771" s="321">
        <f t="shared" si="69"/>
        <v>5930263.0637152782</v>
      </c>
      <c r="BB771" s="321">
        <f t="shared" si="69"/>
        <v>191959.94052083333</v>
      </c>
      <c r="BC771" s="321">
        <f t="shared" si="69"/>
        <v>191435.45980902779</v>
      </c>
      <c r="BD771" s="321">
        <f t="shared" si="69"/>
        <v>191435.45980902779</v>
      </c>
      <c r="BE771" s="321">
        <f t="shared" si="69"/>
        <v>191435.45980902779</v>
      </c>
      <c r="BF771" s="321">
        <f t="shared" si="69"/>
        <v>191959.94052083333</v>
      </c>
      <c r="BG771" s="321">
        <f t="shared" si="69"/>
        <v>191435.45980902779</v>
      </c>
      <c r="BH771" s="321">
        <f>+BH769+BH770</f>
        <v>191435.45980902779</v>
      </c>
      <c r="BI771" s="321">
        <f>+BI769+BI770</f>
        <v>191435.45980902779</v>
      </c>
      <c r="BJ771" s="321">
        <f>+BJ769+BJ770</f>
        <v>191959.94052083333</v>
      </c>
      <c r="BK771" s="321">
        <f>+BK769+BK770</f>
        <v>4969099.4509722218</v>
      </c>
    </row>
    <row r="772" spans="1:63">
      <c r="A772" s="278"/>
      <c r="B772" s="210" t="s">
        <v>28</v>
      </c>
      <c r="C772" s="224"/>
      <c r="D772" s="224"/>
      <c r="E772" s="224"/>
      <c r="F772" s="224"/>
      <c r="G772" s="224"/>
      <c r="H772" s="224"/>
      <c r="I772" s="224"/>
      <c r="J772" s="224"/>
      <c r="K772" s="224"/>
      <c r="L772" s="224"/>
      <c r="M772" s="224"/>
      <c r="N772" s="224"/>
      <c r="O772" s="224"/>
      <c r="P772" s="224"/>
      <c r="Q772" s="224"/>
      <c r="R772" s="224"/>
      <c r="S772" s="224"/>
      <c r="T772" s="224"/>
      <c r="U772" s="224"/>
      <c r="V772" s="224"/>
      <c r="W772" s="224"/>
      <c r="X772" s="224">
        <f>'Perfil - interna'!X772+'Perfil - externa'!X770</f>
        <v>31548551.67068173</v>
      </c>
      <c r="Y772" s="224">
        <f>'Perfil - interna'!Y772+'Perfil - externa'!Y770</f>
        <v>67219854.371524334</v>
      </c>
      <c r="Z772" s="224">
        <f>'Perfil - interna'!Z772+'Perfil - externa'!Z770</f>
        <v>50104479.742921166</v>
      </c>
      <c r="AA772" s="224">
        <f>'Perfil - interna'!AA772+'Perfil - externa'!AA770</f>
        <v>51038451.84492895</v>
      </c>
      <c r="AB772" s="224">
        <f>'Perfil - interna'!AB772+'Perfil - externa'!AB770</f>
        <v>47778841.221858919</v>
      </c>
      <c r="AC772" s="224">
        <f>'Perfil - interna'!AC772+'Perfil - externa'!AC770</f>
        <v>59461138.027505577</v>
      </c>
      <c r="AD772" s="224">
        <f>'Perfil - interna'!AD772+'Perfil - externa'!AD770</f>
        <v>41456535.090088397</v>
      </c>
      <c r="AE772" s="224">
        <f>'Perfil - interna'!AE772+'Perfil - externa'!AE770</f>
        <v>27024938.077901296</v>
      </c>
      <c r="AF772" s="224">
        <f>'Perfil - interna'!AF772+'Perfil - externa'!AF770</f>
        <v>38010946.578218214</v>
      </c>
      <c r="AG772" s="224">
        <f>'Perfil - interna'!AG772+'Perfil - externa'!AG770</f>
        <v>38845224.667965241</v>
      </c>
      <c r="AH772" s="224">
        <f>'Perfil - interna'!AH772+'Perfil - externa'!AH770</f>
        <v>43193036.620275244</v>
      </c>
      <c r="AI772" s="224">
        <f>'Perfil - interna'!AI772+'Perfil - externa'!AI770</f>
        <v>22009077.886184514</v>
      </c>
      <c r="AJ772" s="224">
        <f>'Perfil - interna'!AJ772+'Perfil - externa'!AJ770</f>
        <v>33709091.039559945</v>
      </c>
      <c r="AK772" s="224">
        <f>'Perfil - interna'!AK772+'Perfil - externa'!AK770</f>
        <v>28202083.608635906</v>
      </c>
      <c r="AL772" s="224">
        <f>'Perfil - interna'!AL772+'Perfil - externa'!AL770</f>
        <v>21008479.751776479</v>
      </c>
      <c r="AM772" s="224">
        <f>'Perfil - interna'!AM772+'Perfil - externa'!AM770</f>
        <v>32108707.376453187</v>
      </c>
      <c r="AN772" s="224">
        <f>'Perfil - interna'!AN772+'Perfil - externa'!AN770</f>
        <v>2315358.2720198832</v>
      </c>
      <c r="AO772" s="224">
        <f>'Perfil - interna'!AO772+'Perfil - externa'!AO770</f>
        <v>3542824.402019883</v>
      </c>
      <c r="AP772" s="224">
        <f>'Perfil - interna'!AP772+'Perfil - externa'!AP770</f>
        <v>4132140.8766424586</v>
      </c>
      <c r="AQ772" s="224">
        <f>'Perfil - interna'!AQ772+'Perfil - externa'!AQ770</f>
        <v>10391343.226723662</v>
      </c>
      <c r="AR772" s="224">
        <f>'Perfil - interna'!AR772+'Perfil - externa'!AR770</f>
        <v>12638617.10367373</v>
      </c>
      <c r="AS772" s="224">
        <f>'Perfil - interna'!AS772+'Perfil - externa'!AS770</f>
        <v>126879.56783230293</v>
      </c>
      <c r="AT772" s="224">
        <f>'Perfil - interna'!AT772+'Perfil - externa'!AT770</f>
        <v>10035080.88088176</v>
      </c>
      <c r="AU772" s="224">
        <f>'Perfil - interna'!AU772+'Perfil - externa'!AU770</f>
        <v>17962078.215525977</v>
      </c>
      <c r="AV772" s="224">
        <f>'Perfil - interna'!AV772+'Perfil - externa'!AV770</f>
        <v>113560.83377773731</v>
      </c>
      <c r="AW772" s="224">
        <f>'Perfil - interna'!AW772+'Perfil - externa'!AW770</f>
        <v>92121.536480440016</v>
      </c>
      <c r="AX772" s="224">
        <f>'Perfil - interna'!AX772+'Perfil - externa'!AX770</f>
        <v>92121.536480440016</v>
      </c>
      <c r="AY772" s="224">
        <f>'Perfil - interna'!AY772+'Perfil - externa'!AY770</f>
        <v>25354290.646389738</v>
      </c>
      <c r="AZ772" s="224">
        <f>'Perfil - interna'!AZ772+'Perfil - externa'!AZ770</f>
        <v>16693269.995028</v>
      </c>
      <c r="BA772" s="224">
        <f>'Perfil - interna'!BA772+'Perfil - externa'!BA770</f>
        <v>5949405</v>
      </c>
      <c r="BB772" s="224">
        <f>'Perfil - interna'!BB772+'Perfil - externa'!BB770</f>
        <v>0</v>
      </c>
      <c r="BC772" s="224">
        <f>'Perfil - interna'!BC772+'Perfil - externa'!BC770</f>
        <v>0</v>
      </c>
      <c r="BD772" s="224">
        <f>'Perfil - interna'!BD772+'Perfil - externa'!BD770</f>
        <v>0</v>
      </c>
      <c r="BE772" s="224">
        <f>'Perfil - interna'!BE772+'Perfil - externa'!BE770</f>
        <v>0</v>
      </c>
      <c r="BF772" s="224">
        <f>'Perfil - interna'!BF772+'Perfil - externa'!BF770</f>
        <v>0</v>
      </c>
      <c r="BG772" s="224">
        <f>'Perfil - interna'!BG772+'Perfil - externa'!BG770</f>
        <v>0</v>
      </c>
      <c r="BH772" s="224">
        <f>'Perfil - interna'!BH772+'Perfil - externa'!BH770</f>
        <v>0</v>
      </c>
      <c r="BI772" s="224">
        <f>'Perfil - interna'!BI772+'Perfil - externa'!BI770</f>
        <v>0</v>
      </c>
      <c r="BJ772" s="224">
        <f>'Perfil - interna'!BJ772+'Perfil - externa'!BJ770</f>
        <v>0</v>
      </c>
      <c r="BK772" s="224">
        <f>'Perfil - interna'!BK772+'Perfil - externa'!BK770</f>
        <v>5156151</v>
      </c>
    </row>
    <row r="773" spans="1:63">
      <c r="A773" s="168">
        <v>44681</v>
      </c>
      <c r="B773" s="213" t="s">
        <v>385</v>
      </c>
      <c r="C773" s="224"/>
      <c r="D773" s="224"/>
      <c r="E773" s="224"/>
      <c r="F773" s="224"/>
      <c r="G773" s="224"/>
      <c r="H773" s="224"/>
      <c r="I773" s="224"/>
      <c r="J773" s="224"/>
      <c r="K773" s="224"/>
      <c r="L773" s="224"/>
      <c r="M773" s="224"/>
      <c r="N773" s="224"/>
      <c r="O773" s="224"/>
      <c r="P773" s="224"/>
      <c r="Q773" s="224"/>
      <c r="R773" s="224"/>
      <c r="S773" s="224"/>
      <c r="T773" s="224"/>
      <c r="U773" s="224"/>
      <c r="V773" s="224"/>
      <c r="W773" s="224"/>
      <c r="X773" s="224">
        <f>'Perfil - interna'!X773+'Perfil - externa'!X771</f>
        <v>22678278.306508079</v>
      </c>
      <c r="Y773" s="224">
        <f>'Perfil - interna'!Y773+'Perfil - externa'!Y771</f>
        <v>34375846.296221197</v>
      </c>
      <c r="Z773" s="224">
        <f>'Perfil - interna'!Z773+'Perfil - externa'!Z771</f>
        <v>33067230.285449971</v>
      </c>
      <c r="AA773" s="224">
        <f>'Perfil - interna'!AA773+'Perfil - externa'!AA771</f>
        <v>30004511.917492554</v>
      </c>
      <c r="AB773" s="224">
        <f>'Perfil - interna'!AB773+'Perfil - externa'!AB771</f>
        <v>27962052.171067826</v>
      </c>
      <c r="AC773" s="224">
        <f>'Perfil - interna'!AC773+'Perfil - externa'!AC771</f>
        <v>25043063.503236562</v>
      </c>
      <c r="AD773" s="224">
        <f>'Perfil - interna'!AD773+'Perfil - externa'!AD771</f>
        <v>22764945.900098719</v>
      </c>
      <c r="AE773" s="224">
        <f>'Perfil - interna'!AE773+'Perfil - externa'!AE771</f>
        <v>20427355.209607802</v>
      </c>
      <c r="AF773" s="224">
        <f>'Perfil - interna'!AF773+'Perfil - externa'!AF771</f>
        <v>19811471.463826556</v>
      </c>
      <c r="AG773" s="224">
        <f>'Perfil - interna'!AG773+'Perfil - externa'!AG771</f>
        <v>17721016.428229611</v>
      </c>
      <c r="AH773" s="224">
        <f>'Perfil - interna'!AH773+'Perfil - externa'!AH771</f>
        <v>15924674.90006933</v>
      </c>
      <c r="AI773" s="224">
        <f>'Perfil - interna'!AI773+'Perfil - externa'!AI771</f>
        <v>13545873.61316283</v>
      </c>
      <c r="AJ773" s="224">
        <f>'Perfil - interna'!AJ773+'Perfil - externa'!AJ771</f>
        <v>12996656.189519364</v>
      </c>
      <c r="AK773" s="224">
        <f>'Perfil - interna'!AK773+'Perfil - externa'!AK771</f>
        <v>10699813.141178338</v>
      </c>
      <c r="AL773" s="224">
        <f>'Perfil - interna'!AL773+'Perfil - externa'!AL771</f>
        <v>9289270.8104294837</v>
      </c>
      <c r="AM773" s="224">
        <f>'Perfil - interna'!AM773+'Perfil - externa'!AM771</f>
        <v>8182459.3110560905</v>
      </c>
      <c r="AN773" s="224">
        <f>'Perfil - interna'!AN773+'Perfil - externa'!AN771</f>
        <v>6497249.0832671961</v>
      </c>
      <c r="AO773" s="224">
        <f>'Perfil - interna'!AO773+'Perfil - externa'!AO771</f>
        <v>6445972.3630436044</v>
      </c>
      <c r="AP773" s="224">
        <f>'Perfil - interna'!AP773+'Perfil - externa'!AP771</f>
        <v>6319141.5477026738</v>
      </c>
      <c r="AQ773" s="224">
        <f>'Perfil - interna'!AQ773+'Perfil - externa'!AQ771</f>
        <v>5926709.4613076011</v>
      </c>
      <c r="AR773" s="224">
        <f>'Perfil - interna'!AR773+'Perfil - externa'!AR771</f>
        <v>5521242.184057856</v>
      </c>
      <c r="AS773" s="224">
        <f>'Perfil - interna'!AS773+'Perfil - externa'!AS771</f>
        <v>4640933.1479594409</v>
      </c>
      <c r="AT773" s="224">
        <f>'Perfil - interna'!AT773+'Perfil - externa'!AT771</f>
        <v>4360646.4902201928</v>
      </c>
      <c r="AU773" s="224">
        <f>'Perfil - interna'!AU773+'Perfil - externa'!AU771</f>
        <v>3629096.8896691706</v>
      </c>
      <c r="AV773" s="224">
        <f>'Perfil - interna'!AV773+'Perfil - externa'!AV771</f>
        <v>3180787.1328877406</v>
      </c>
      <c r="AW773" s="224">
        <f>'Perfil - interna'!AW773+'Perfil - externa'!AW771</f>
        <v>3178925.2217763253</v>
      </c>
      <c r="AX773" s="224">
        <f>'Perfil - interna'!AX773+'Perfil - externa'!AX771</f>
        <v>3180305.0874314867</v>
      </c>
      <c r="AY773" s="224">
        <f>'Perfil - interna'!AY773+'Perfil - externa'!AY771</f>
        <v>2737305.1898331461</v>
      </c>
      <c r="AZ773" s="224">
        <f>'Perfil - interna'!AZ773+'Perfil - externa'!AZ771</f>
        <v>1657904.6295549935</v>
      </c>
      <c r="BA773" s="224">
        <f>'Perfil - interna'!BA773+'Perfil - externa'!BA771</f>
        <v>325964.04385416664</v>
      </c>
      <c r="BB773" s="224">
        <f>'Perfil - interna'!BB773+'Perfil - externa'!BB771</f>
        <v>203130.86543749998</v>
      </c>
      <c r="BC773" s="224">
        <f>'Perfil - interna'!BC773+'Perfil - externa'!BC771</f>
        <v>202575.86307291666</v>
      </c>
      <c r="BD773" s="224">
        <f>'Perfil - interna'!BD773+'Perfil - externa'!BD771</f>
        <v>202575.86307291666</v>
      </c>
      <c r="BE773" s="224">
        <f>'Perfil - interna'!BE773+'Perfil - externa'!BE771</f>
        <v>202575.86307291666</v>
      </c>
      <c r="BF773" s="224">
        <f>'Perfil - interna'!BF773+'Perfil - externa'!BF771</f>
        <v>203130.86543749998</v>
      </c>
      <c r="BG773" s="224">
        <f>'Perfil - interna'!BG773+'Perfil - externa'!BG771</f>
        <v>202575.86307291666</v>
      </c>
      <c r="BH773" s="224">
        <f>'Perfil - interna'!BH773+'Perfil - externa'!BH771</f>
        <v>202575.86307291666</v>
      </c>
      <c r="BI773" s="224">
        <f>'Perfil - interna'!BI773+'Perfil - externa'!BI771</f>
        <v>202575.86307291666</v>
      </c>
      <c r="BJ773" s="224">
        <f>'Perfil - interna'!BJ773+'Perfil - externa'!BJ771</f>
        <v>203130.86543749998</v>
      </c>
      <c r="BK773" s="224">
        <f>'Perfil - interna'!BK773+'Perfil - externa'!BK771</f>
        <v>102120.43508333333</v>
      </c>
    </row>
    <row r="774" spans="1:63">
      <c r="A774" s="279"/>
      <c r="B774" s="307" t="s">
        <v>29</v>
      </c>
      <c r="C774" s="321"/>
      <c r="D774" s="321"/>
      <c r="E774" s="321"/>
      <c r="F774" s="321"/>
      <c r="G774" s="321"/>
      <c r="H774" s="321"/>
      <c r="I774" s="321"/>
      <c r="J774" s="321"/>
      <c r="K774" s="321"/>
      <c r="L774" s="321"/>
      <c r="M774" s="321"/>
      <c r="N774" s="321"/>
      <c r="O774" s="321"/>
      <c r="P774" s="321"/>
      <c r="Q774" s="321"/>
      <c r="R774" s="321"/>
      <c r="S774" s="321"/>
      <c r="T774" s="321"/>
      <c r="U774" s="321"/>
      <c r="V774" s="321"/>
      <c r="W774" s="321"/>
      <c r="X774" s="321">
        <f>+X772+X773</f>
        <v>54226829.977189809</v>
      </c>
      <c r="Y774" s="321">
        <f t="shared" ref="Y774:BG774" si="70">+Y772+Y773</f>
        <v>101595700.66774553</v>
      </c>
      <c r="Z774" s="321">
        <f t="shared" si="70"/>
        <v>83171710.02837114</v>
      </c>
      <c r="AA774" s="321">
        <f t="shared" si="70"/>
        <v>81042963.762421504</v>
      </c>
      <c r="AB774" s="321">
        <f t="shared" si="70"/>
        <v>75740893.392926753</v>
      </c>
      <c r="AC774" s="321">
        <f t="shared" si="70"/>
        <v>84504201.530742139</v>
      </c>
      <c r="AD774" s="321">
        <f t="shared" si="70"/>
        <v>64221480.990187116</v>
      </c>
      <c r="AE774" s="321">
        <f t="shared" si="70"/>
        <v>47452293.287509099</v>
      </c>
      <c r="AF774" s="321">
        <f t="shared" si="70"/>
        <v>57822418.042044774</v>
      </c>
      <c r="AG774" s="321">
        <f t="shared" si="70"/>
        <v>56566241.096194848</v>
      </c>
      <c r="AH774" s="321">
        <f t="shared" si="70"/>
        <v>59117711.52034457</v>
      </c>
      <c r="AI774" s="321">
        <f t="shared" si="70"/>
        <v>35554951.499347344</v>
      </c>
      <c r="AJ774" s="321">
        <f t="shared" si="70"/>
        <v>46705747.229079306</v>
      </c>
      <c r="AK774" s="321">
        <f t="shared" si="70"/>
        <v>38901896.749814242</v>
      </c>
      <c r="AL774" s="321">
        <f t="shared" si="70"/>
        <v>30297750.562205963</v>
      </c>
      <c r="AM774" s="321">
        <f t="shared" si="70"/>
        <v>40291166.687509276</v>
      </c>
      <c r="AN774" s="321">
        <f t="shared" si="70"/>
        <v>8812607.3552870788</v>
      </c>
      <c r="AO774" s="321">
        <f t="shared" si="70"/>
        <v>9988796.765063487</v>
      </c>
      <c r="AP774" s="321">
        <f t="shared" si="70"/>
        <v>10451282.424345132</v>
      </c>
      <c r="AQ774" s="321">
        <f t="shared" si="70"/>
        <v>16318052.688031264</v>
      </c>
      <c r="AR774" s="321">
        <f t="shared" si="70"/>
        <v>18159859.287731588</v>
      </c>
      <c r="AS774" s="321">
        <f t="shared" si="70"/>
        <v>4767812.7157917442</v>
      </c>
      <c r="AT774" s="321">
        <f t="shared" si="70"/>
        <v>14395727.371101953</v>
      </c>
      <c r="AU774" s="321">
        <f t="shared" si="70"/>
        <v>21591175.10519515</v>
      </c>
      <c r="AV774" s="321">
        <f t="shared" si="70"/>
        <v>3294347.966665478</v>
      </c>
      <c r="AW774" s="321">
        <f t="shared" si="70"/>
        <v>3271046.7582567651</v>
      </c>
      <c r="AX774" s="321">
        <f t="shared" si="70"/>
        <v>3272426.6239119265</v>
      </c>
      <c r="AY774" s="321">
        <f t="shared" si="70"/>
        <v>28091595.836222883</v>
      </c>
      <c r="AZ774" s="321">
        <f t="shared" si="70"/>
        <v>18351174.624582995</v>
      </c>
      <c r="BA774" s="321">
        <f t="shared" si="70"/>
        <v>6275369.0438541668</v>
      </c>
      <c r="BB774" s="321">
        <f t="shared" si="70"/>
        <v>203130.86543749998</v>
      </c>
      <c r="BC774" s="321">
        <f t="shared" si="70"/>
        <v>202575.86307291666</v>
      </c>
      <c r="BD774" s="321">
        <f t="shared" si="70"/>
        <v>202575.86307291666</v>
      </c>
      <c r="BE774" s="321">
        <f t="shared" si="70"/>
        <v>202575.86307291666</v>
      </c>
      <c r="BF774" s="321">
        <f t="shared" si="70"/>
        <v>203130.86543749998</v>
      </c>
      <c r="BG774" s="321">
        <f t="shared" si="70"/>
        <v>202575.86307291666</v>
      </c>
      <c r="BH774" s="321">
        <f>+BH772+BH773</f>
        <v>202575.86307291666</v>
      </c>
      <c r="BI774" s="321">
        <f>+BI772+BI773</f>
        <v>202575.86307291666</v>
      </c>
      <c r="BJ774" s="321">
        <f>+BJ772+BJ773</f>
        <v>203130.86543749998</v>
      </c>
      <c r="BK774" s="321">
        <f>+BK772+BK773</f>
        <v>5258271.4350833334</v>
      </c>
    </row>
    <row r="775" spans="1:63">
      <c r="A775" s="278"/>
      <c r="B775" s="210" t="s">
        <v>28</v>
      </c>
      <c r="C775" s="224"/>
      <c r="D775" s="224"/>
      <c r="E775" s="224"/>
      <c r="F775" s="224"/>
      <c r="G775" s="224"/>
      <c r="H775" s="224"/>
      <c r="I775" s="224"/>
      <c r="J775" s="224"/>
      <c r="K775" s="224"/>
      <c r="L775" s="224"/>
      <c r="M775" s="224"/>
      <c r="N775" s="224"/>
      <c r="O775" s="224"/>
      <c r="P775" s="224"/>
      <c r="Q775" s="224"/>
      <c r="R775" s="224"/>
      <c r="S775" s="224"/>
      <c r="T775" s="224"/>
      <c r="U775" s="224"/>
      <c r="V775" s="224"/>
      <c r="W775" s="224"/>
      <c r="X775" s="224">
        <f>'Perfil - interna'!X775+'Perfil - externa'!X773</f>
        <v>22878587.972104944</v>
      </c>
      <c r="Y775" s="224">
        <f>'Perfil - interna'!Y775+'Perfil - externa'!Y773</f>
        <v>71081180.109432712</v>
      </c>
      <c r="Z775" s="224">
        <f>'Perfil - interna'!Z775+'Perfil - externa'!Z773</f>
        <v>49810741.215702407</v>
      </c>
      <c r="AA775" s="224">
        <f>'Perfil - interna'!AA775+'Perfil - externa'!AA773</f>
        <v>54415223.125403509</v>
      </c>
      <c r="AB775" s="224">
        <f>'Perfil - interna'!AB775+'Perfil - externa'!AB773</f>
        <v>48272278.561675802</v>
      </c>
      <c r="AC775" s="224">
        <f>'Perfil - interna'!AC775+'Perfil - externa'!AC773</f>
        <v>59648220.392362013</v>
      </c>
      <c r="AD775" s="224">
        <f>'Perfil - interna'!AD775+'Perfil - externa'!AD773</f>
        <v>41517792.434884101</v>
      </c>
      <c r="AE775" s="224">
        <f>'Perfil - interna'!AE775+'Perfil - externa'!AE773</f>
        <v>27547509.250817344</v>
      </c>
      <c r="AF775" s="224">
        <f>'Perfil - interna'!AF775+'Perfil - externa'!AF773</f>
        <v>38013415.608572789</v>
      </c>
      <c r="AG775" s="224">
        <f>'Perfil - interna'!AG775+'Perfil - externa'!AG773</f>
        <v>40131157.120311238</v>
      </c>
      <c r="AH775" s="224">
        <f>'Perfil - interna'!AH775+'Perfil - externa'!AH773</f>
        <v>43178909.239883989</v>
      </c>
      <c r="AI775" s="224">
        <f>'Perfil - interna'!AI775+'Perfil - externa'!AI773</f>
        <v>22241381.407432601</v>
      </c>
      <c r="AJ775" s="224">
        <f>'Perfil - interna'!AJ775+'Perfil - externa'!AJ773</f>
        <v>33816638.053092316</v>
      </c>
      <c r="AK775" s="224">
        <f>'Perfil - interna'!AK775+'Perfil - externa'!AK773</f>
        <v>30381802.029966313</v>
      </c>
      <c r="AL775" s="224">
        <f>'Perfil - interna'!AL775+'Perfil - externa'!AL773</f>
        <v>21162266.28548006</v>
      </c>
      <c r="AM775" s="224">
        <f>'Perfil - interna'!AM775+'Perfil - externa'!AM773</f>
        <v>32701443.422158491</v>
      </c>
      <c r="AN775" s="224">
        <f>'Perfil - interna'!AN775+'Perfil - externa'!AN773</f>
        <v>2469417.0931443647</v>
      </c>
      <c r="AO775" s="224">
        <f>'Perfil - interna'!AO775+'Perfil - externa'!AO773</f>
        <v>3680193.1721919831</v>
      </c>
      <c r="AP775" s="224">
        <f>'Perfil - interna'!AP775+'Perfil - externa'!AP773</f>
        <v>4256753.8298900351</v>
      </c>
      <c r="AQ775" s="224">
        <f>'Perfil - interna'!AQ775+'Perfil - externa'!AQ773</f>
        <v>10429264.99532254</v>
      </c>
      <c r="AR775" s="224">
        <f>'Perfil - interna'!AR775+'Perfil - externa'!AR773</f>
        <v>14244694.200390417</v>
      </c>
      <c r="AS775" s="224">
        <f>'Perfil - interna'!AS775+'Perfil - externa'!AS773</f>
        <v>126553.01794699096</v>
      </c>
      <c r="AT775" s="224">
        <f>'Perfil - interna'!AT775+'Perfil - externa'!AT773</f>
        <v>9900030.95189902</v>
      </c>
      <c r="AU775" s="224">
        <f>'Perfil - interna'!AU775+'Perfil - externa'!AU773</f>
        <v>17719243.651040021</v>
      </c>
      <c r="AV775" s="224">
        <f>'Perfil - interna'!AV775+'Perfil - externa'!AV773</f>
        <v>113415.38082419314</v>
      </c>
      <c r="AW775" s="224">
        <f>'Perfil - interna'!AW775+'Perfil - externa'!AW773</f>
        <v>92267.597040409368</v>
      </c>
      <c r="AX775" s="224">
        <f>'Perfil - interna'!AX775+'Perfil - externa'!AX773</f>
        <v>92267.597040409368</v>
      </c>
      <c r="AY775" s="224">
        <f>'Perfil - interna'!AY775+'Perfil - externa'!AY773</f>
        <v>25604737.617618211</v>
      </c>
      <c r="AZ775" s="224">
        <f>'Perfil - interna'!AZ775+'Perfil - externa'!AZ773</f>
        <v>16922208.772285957</v>
      </c>
      <c r="BA775" s="224">
        <f>'Perfil - interna'!BA775+'Perfil - externa'!BA773</f>
        <v>5868510</v>
      </c>
      <c r="BB775" s="224">
        <f>'Perfil - interna'!BB775+'Perfil - externa'!BB773</f>
        <v>0</v>
      </c>
      <c r="BC775" s="224">
        <f>'Perfil - interna'!BC775+'Perfil - externa'!BC773</f>
        <v>0</v>
      </c>
      <c r="BD775" s="224">
        <f>'Perfil - interna'!BD775+'Perfil - externa'!BD773</f>
        <v>0</v>
      </c>
      <c r="BE775" s="224">
        <f>'Perfil - interna'!BE775+'Perfil - externa'!BE773</f>
        <v>0</v>
      </c>
      <c r="BF775" s="224">
        <f>'Perfil - interna'!BF775+'Perfil - externa'!BF773</f>
        <v>0</v>
      </c>
      <c r="BG775" s="224">
        <f>'Perfil - interna'!BG775+'Perfil - externa'!BG773</f>
        <v>0</v>
      </c>
      <c r="BH775" s="224">
        <f>'Perfil - interna'!BH775+'Perfil - externa'!BH773</f>
        <v>0</v>
      </c>
      <c r="BI775" s="224">
        <f>'Perfil - interna'!BI775+'Perfil - externa'!BI773</f>
        <v>0</v>
      </c>
      <c r="BJ775" s="224">
        <f>'Perfil - interna'!BJ775+'Perfil - externa'!BJ773</f>
        <v>0</v>
      </c>
      <c r="BK775" s="224">
        <f>'Perfil - interna'!BK775+'Perfil - externa'!BK773</f>
        <v>5086042</v>
      </c>
    </row>
    <row r="776" spans="1:63">
      <c r="A776" s="168">
        <v>44712</v>
      </c>
      <c r="B776" s="213" t="s">
        <v>385</v>
      </c>
      <c r="C776" s="224"/>
      <c r="D776" s="224"/>
      <c r="E776" s="224"/>
      <c r="F776" s="224"/>
      <c r="G776" s="224"/>
      <c r="H776" s="224"/>
      <c r="I776" s="224"/>
      <c r="J776" s="224"/>
      <c r="K776" s="224"/>
      <c r="L776" s="224"/>
      <c r="M776" s="224"/>
      <c r="N776" s="224"/>
      <c r="O776" s="224"/>
      <c r="P776" s="224"/>
      <c r="Q776" s="224"/>
      <c r="R776" s="224"/>
      <c r="S776" s="224"/>
      <c r="T776" s="224"/>
      <c r="U776" s="224"/>
      <c r="V776" s="224"/>
      <c r="W776" s="224"/>
      <c r="X776" s="224">
        <f>'Perfil - interna'!X776+'Perfil - externa'!X774</f>
        <v>20944067.014900271</v>
      </c>
      <c r="Y776" s="224">
        <f>'Perfil - interna'!Y776+'Perfil - externa'!Y774</f>
        <v>34972908.500157245</v>
      </c>
      <c r="Z776" s="224">
        <f>'Perfil - interna'!Z776+'Perfil - externa'!Z774</f>
        <v>33705408.517230421</v>
      </c>
      <c r="AA776" s="224">
        <f>'Perfil - interna'!AA776+'Perfil - externa'!AA774</f>
        <v>30777743.625584297</v>
      </c>
      <c r="AB776" s="224">
        <f>'Perfil - interna'!AB776+'Perfil - externa'!AB774</f>
        <v>28473806.39933905</v>
      </c>
      <c r="AC776" s="224">
        <f>'Perfil - interna'!AC776+'Perfil - externa'!AC774</f>
        <v>25736982.262932584</v>
      </c>
      <c r="AD776" s="224">
        <f>'Perfil - interna'!AD776+'Perfil - externa'!AD774</f>
        <v>23238549.53569812</v>
      </c>
      <c r="AE776" s="224">
        <f>'Perfil - interna'!AE776+'Perfil - externa'!AE774</f>
        <v>21011739.357970465</v>
      </c>
      <c r="AF776" s="224">
        <f>'Perfil - interna'!AF776+'Perfil - externa'!AF774</f>
        <v>20284033.128402345</v>
      </c>
      <c r="AG776" s="224">
        <f>'Perfil - interna'!AG776+'Perfil - externa'!AG774</f>
        <v>18204475.691110767</v>
      </c>
      <c r="AH776" s="224">
        <f>'Perfil - interna'!AH776+'Perfil - externa'!AH774</f>
        <v>16325379.493139545</v>
      </c>
      <c r="AI776" s="224">
        <f>'Perfil - interna'!AI776+'Perfil - externa'!AI774</f>
        <v>14093913.879499182</v>
      </c>
      <c r="AJ776" s="224">
        <f>'Perfil - interna'!AJ776+'Perfil - externa'!AJ774</f>
        <v>13397941.628568674</v>
      </c>
      <c r="AK776" s="224">
        <f>'Perfil - interna'!AK776+'Perfil - externa'!AK774</f>
        <v>11333902.655641645</v>
      </c>
      <c r="AL776" s="224">
        <f>'Perfil - interna'!AL776+'Perfil - externa'!AL774</f>
        <v>9514322.7139894329</v>
      </c>
      <c r="AM776" s="224">
        <f>'Perfil - interna'!AM776+'Perfil - externa'!AM774</f>
        <v>8631928.0498267096</v>
      </c>
      <c r="AN776" s="224">
        <f>'Perfil - interna'!AN776+'Perfil - externa'!AN774</f>
        <v>6668898.3097872827</v>
      </c>
      <c r="AO776" s="224">
        <f>'Perfil - interna'!AO776+'Perfil - externa'!AO774</f>
        <v>6618380.7117151991</v>
      </c>
      <c r="AP776" s="224">
        <f>'Perfil - interna'!AP776+'Perfil - externa'!AP774</f>
        <v>6493389.6194748729</v>
      </c>
      <c r="AQ776" s="224">
        <f>'Perfil - interna'!AQ776+'Perfil - externa'!AQ774</f>
        <v>6104579.399406489</v>
      </c>
      <c r="AR776" s="224">
        <f>'Perfil - interna'!AR776+'Perfil - externa'!AR774</f>
        <v>5702911.230033529</v>
      </c>
      <c r="AS776" s="224">
        <f>'Perfil - interna'!AS776+'Perfil - externa'!AS774</f>
        <v>4676780.1112853056</v>
      </c>
      <c r="AT776" s="224">
        <f>'Perfil - interna'!AT776+'Perfil - externa'!AT774</f>
        <v>4398590.460756395</v>
      </c>
      <c r="AU776" s="224">
        <f>'Perfil - interna'!AU776+'Perfil - externa'!AU774</f>
        <v>3675625.4810366253</v>
      </c>
      <c r="AV776" s="224">
        <f>'Perfil - interna'!AV776+'Perfil - externa'!AV774</f>
        <v>3233334.65924642</v>
      </c>
      <c r="AW776" s="224">
        <f>'Perfil - interna'!AW776+'Perfil - externa'!AW774</f>
        <v>3231498.0648346343</v>
      </c>
      <c r="AX776" s="224">
        <f>'Perfil - interna'!AX776+'Perfil - externa'!AX774</f>
        <v>3232859.1682384154</v>
      </c>
      <c r="AY776" s="224">
        <f>'Perfil - interna'!AY776+'Perfil - externa'!AY774</f>
        <v>2937468.0964743309</v>
      </c>
      <c r="AZ776" s="224">
        <f>'Perfil - interna'!AZ776+'Perfil - externa'!AZ774</f>
        <v>1668353.7763905653</v>
      </c>
      <c r="BA776" s="224">
        <f>'Perfil - interna'!BA776+'Perfil - externa'!BA774</f>
        <v>321531.85923611111</v>
      </c>
      <c r="BB776" s="224">
        <f>'Perfil - interna'!BB776+'Perfil - externa'!BB774</f>
        <v>200368.86295833334</v>
      </c>
      <c r="BC776" s="224">
        <f>'Perfil - interna'!BC776+'Perfil - externa'!BC774</f>
        <v>199821.40704861112</v>
      </c>
      <c r="BD776" s="224">
        <f>'Perfil - interna'!BD776+'Perfil - externa'!BD774</f>
        <v>199821.40704861112</v>
      </c>
      <c r="BE776" s="224">
        <f>'Perfil - interna'!BE776+'Perfil - externa'!BE774</f>
        <v>199821.40704861112</v>
      </c>
      <c r="BF776" s="224">
        <f>'Perfil - interna'!BF776+'Perfil - externa'!BF774</f>
        <v>200368.86295833334</v>
      </c>
      <c r="BG776" s="224">
        <f>'Perfil - interna'!BG776+'Perfil - externa'!BG774</f>
        <v>199821.40704861112</v>
      </c>
      <c r="BH776" s="224">
        <f>'Perfil - interna'!BH776+'Perfil - externa'!BH774</f>
        <v>199821.40704861112</v>
      </c>
      <c r="BI776" s="224">
        <f>'Perfil - interna'!BI776+'Perfil - externa'!BI774</f>
        <v>199821.40704861112</v>
      </c>
      <c r="BJ776" s="224">
        <f>'Perfil - interna'!BJ776+'Perfil - externa'!BJ774</f>
        <v>200368.86295833334</v>
      </c>
      <c r="BK776" s="224">
        <f>'Perfil - interna'!BK776+'Perfil - externa'!BK774</f>
        <v>100731.88738888888</v>
      </c>
    </row>
    <row r="777" spans="1:63">
      <c r="A777" s="279"/>
      <c r="B777" s="307" t="s">
        <v>29</v>
      </c>
      <c r="C777" s="321"/>
      <c r="D777" s="321"/>
      <c r="E777" s="321"/>
      <c r="F777" s="321"/>
      <c r="G777" s="321"/>
      <c r="H777" s="321"/>
      <c r="I777" s="321"/>
      <c r="J777" s="321"/>
      <c r="K777" s="321"/>
      <c r="L777" s="321"/>
      <c r="M777" s="321"/>
      <c r="N777" s="321"/>
      <c r="O777" s="321"/>
      <c r="P777" s="321"/>
      <c r="Q777" s="321"/>
      <c r="R777" s="321"/>
      <c r="S777" s="321"/>
      <c r="T777" s="321"/>
      <c r="U777" s="321"/>
      <c r="V777" s="321"/>
      <c r="W777" s="321"/>
      <c r="X777" s="321">
        <f>+X775+X776</f>
        <v>43822654.987005219</v>
      </c>
      <c r="Y777" s="321">
        <f t="shared" ref="Y777:BG777" si="71">+Y775+Y776</f>
        <v>106054088.60958996</v>
      </c>
      <c r="Z777" s="321">
        <f t="shared" si="71"/>
        <v>83516149.732932836</v>
      </c>
      <c r="AA777" s="321">
        <f t="shared" si="71"/>
        <v>85192966.750987798</v>
      </c>
      <c r="AB777" s="321">
        <f t="shared" si="71"/>
        <v>76746084.961014852</v>
      </c>
      <c r="AC777" s="321">
        <f t="shared" si="71"/>
        <v>85385202.655294597</v>
      </c>
      <c r="AD777" s="321">
        <f t="shared" si="71"/>
        <v>64756341.970582217</v>
      </c>
      <c r="AE777" s="321">
        <f t="shared" si="71"/>
        <v>48559248.608787805</v>
      </c>
      <c r="AF777" s="321">
        <f t="shared" si="71"/>
        <v>58297448.736975133</v>
      </c>
      <c r="AG777" s="321">
        <f t="shared" si="71"/>
        <v>58335632.811422005</v>
      </c>
      <c r="AH777" s="321">
        <f t="shared" si="71"/>
        <v>59504288.733023532</v>
      </c>
      <c r="AI777" s="321">
        <f t="shared" si="71"/>
        <v>36335295.286931783</v>
      </c>
      <c r="AJ777" s="321">
        <f t="shared" si="71"/>
        <v>47214579.681660987</v>
      </c>
      <c r="AK777" s="321">
        <f t="shared" si="71"/>
        <v>41715704.685607955</v>
      </c>
      <c r="AL777" s="321">
        <f t="shared" si="71"/>
        <v>30676588.999469493</v>
      </c>
      <c r="AM777" s="321">
        <f t="shared" si="71"/>
        <v>41333371.471985199</v>
      </c>
      <c r="AN777" s="321">
        <f t="shared" si="71"/>
        <v>9138315.4029316474</v>
      </c>
      <c r="AO777" s="321">
        <f t="shared" si="71"/>
        <v>10298573.883907182</v>
      </c>
      <c r="AP777" s="321">
        <f t="shared" si="71"/>
        <v>10750143.449364908</v>
      </c>
      <c r="AQ777" s="321">
        <f t="shared" si="71"/>
        <v>16533844.394729029</v>
      </c>
      <c r="AR777" s="321">
        <f t="shared" si="71"/>
        <v>19947605.430423945</v>
      </c>
      <c r="AS777" s="321">
        <f t="shared" si="71"/>
        <v>4803333.1292322967</v>
      </c>
      <c r="AT777" s="321">
        <f t="shared" si="71"/>
        <v>14298621.412655415</v>
      </c>
      <c r="AU777" s="321">
        <f t="shared" si="71"/>
        <v>21394869.132076647</v>
      </c>
      <c r="AV777" s="321">
        <f t="shared" si="71"/>
        <v>3346750.0400706134</v>
      </c>
      <c r="AW777" s="321">
        <f t="shared" si="71"/>
        <v>3323765.6618750435</v>
      </c>
      <c r="AX777" s="321">
        <f t="shared" si="71"/>
        <v>3325126.7652788246</v>
      </c>
      <c r="AY777" s="321">
        <f t="shared" si="71"/>
        <v>28542205.714092541</v>
      </c>
      <c r="AZ777" s="321">
        <f t="shared" si="71"/>
        <v>18590562.548676521</v>
      </c>
      <c r="BA777" s="321">
        <f t="shared" si="71"/>
        <v>6190041.8592361109</v>
      </c>
      <c r="BB777" s="321">
        <f t="shared" si="71"/>
        <v>200368.86295833334</v>
      </c>
      <c r="BC777" s="321">
        <f t="shared" si="71"/>
        <v>199821.40704861112</v>
      </c>
      <c r="BD777" s="321">
        <f t="shared" si="71"/>
        <v>199821.40704861112</v>
      </c>
      <c r="BE777" s="321">
        <f t="shared" si="71"/>
        <v>199821.40704861112</v>
      </c>
      <c r="BF777" s="321">
        <f t="shared" si="71"/>
        <v>200368.86295833334</v>
      </c>
      <c r="BG777" s="321">
        <f t="shared" si="71"/>
        <v>199821.40704861112</v>
      </c>
      <c r="BH777" s="321">
        <f>+BH775+BH776</f>
        <v>199821.40704861112</v>
      </c>
      <c r="BI777" s="321">
        <f>+BI775+BI776</f>
        <v>199821.40704861112</v>
      </c>
      <c r="BJ777" s="321">
        <f>+BJ775+BJ776</f>
        <v>200368.86295833334</v>
      </c>
      <c r="BK777" s="321">
        <f>+BK775+BK776</f>
        <v>5186773.8873888887</v>
      </c>
    </row>
    <row r="778" spans="1:63">
      <c r="A778" s="278"/>
      <c r="B778" s="210" t="s">
        <v>28</v>
      </c>
      <c r="C778" s="224"/>
      <c r="D778" s="224"/>
      <c r="E778" s="224"/>
      <c r="F778" s="224"/>
      <c r="G778" s="224"/>
      <c r="H778" s="224"/>
      <c r="I778" s="224"/>
      <c r="J778" s="224"/>
      <c r="K778" s="224"/>
      <c r="L778" s="224"/>
      <c r="M778" s="224"/>
      <c r="N778" s="224"/>
      <c r="O778" s="224"/>
      <c r="P778" s="224"/>
      <c r="Q778" s="224"/>
      <c r="R778" s="224"/>
      <c r="S778" s="224"/>
      <c r="T778" s="224"/>
      <c r="U778" s="224"/>
      <c r="V778" s="224"/>
      <c r="W778" s="224"/>
      <c r="X778" s="224">
        <f>'Perfil - interna'!X778+'Perfil - externa'!X776</f>
        <v>9194534.0231304411</v>
      </c>
      <c r="Y778" s="224">
        <f>'Perfil - interna'!Y778+'Perfil - externa'!Y776</f>
        <v>69916923.589818209</v>
      </c>
      <c r="Z778" s="224">
        <f>'Perfil - interna'!Z778+'Perfil - externa'!Z776</f>
        <v>50999712.327314861</v>
      </c>
      <c r="AA778" s="224">
        <f>'Perfil - interna'!AA778+'Perfil - externa'!AA776</f>
        <v>56495909.771923468</v>
      </c>
      <c r="AB778" s="224">
        <f>'Perfil - interna'!AB778+'Perfil - externa'!AB776</f>
        <v>49286521.296343267</v>
      </c>
      <c r="AC778" s="224">
        <f>'Perfil - interna'!AC778+'Perfil - externa'!AC776</f>
        <v>60770878.462256014</v>
      </c>
      <c r="AD778" s="224">
        <f>'Perfil - interna'!AD778+'Perfil - externa'!AD776</f>
        <v>42233320.660609439</v>
      </c>
      <c r="AE778" s="224">
        <f>'Perfil - interna'!AE778+'Perfil - externa'!AE776</f>
        <v>29057269.744446229</v>
      </c>
      <c r="AF778" s="224">
        <f>'Perfil - interna'!AF778+'Perfil - externa'!AF776</f>
        <v>38975135.072201282</v>
      </c>
      <c r="AG778" s="224">
        <f>'Perfil - interna'!AG778+'Perfil - externa'!AG776</f>
        <v>44263369.817489326</v>
      </c>
      <c r="AH778" s="224">
        <f>'Perfil - interna'!AH778+'Perfil - externa'!AH776</f>
        <v>44175633.586424761</v>
      </c>
      <c r="AI778" s="224">
        <f>'Perfil - interna'!AI778+'Perfil - externa'!AI776</f>
        <v>23024153.924539596</v>
      </c>
      <c r="AJ778" s="224">
        <f>'Perfil - interna'!AJ778+'Perfil - externa'!AJ776</f>
        <v>34243787.322823912</v>
      </c>
      <c r="AK778" s="224">
        <f>'Perfil - interna'!AK778+'Perfil - externa'!AK776</f>
        <v>31393223.842381649</v>
      </c>
      <c r="AL778" s="224">
        <f>'Perfil - interna'!AL778+'Perfil - externa'!AL776</f>
        <v>21518091.3036713</v>
      </c>
      <c r="AM778" s="224">
        <f>'Perfil - interna'!AM778+'Perfil - externa'!AM776</f>
        <v>34453025.967441246</v>
      </c>
      <c r="AN778" s="224">
        <f>'Perfil - interna'!AN778+'Perfil - externa'!AN776</f>
        <v>2597352.780776232</v>
      </c>
      <c r="AO778" s="224">
        <f>'Perfil - interna'!AO778+'Perfil - externa'!AO776</f>
        <v>3874706.4726809938</v>
      </c>
      <c r="AP778" s="224">
        <f>'Perfil - interna'!AP778+'Perfil - externa'!AP776</f>
        <v>4484973.3057783451</v>
      </c>
      <c r="AQ778" s="224">
        <f>'Perfil - interna'!AQ778+'Perfil - externa'!AQ776</f>
        <v>11000569.892649792</v>
      </c>
      <c r="AR778" s="224">
        <f>'Perfil - interna'!AR778+'Perfil - externa'!AR776</f>
        <v>16638993.663311979</v>
      </c>
      <c r="AS778" s="224">
        <f>'Perfil - interna'!AS778+'Perfil - externa'!AS776</f>
        <v>131337.00254865945</v>
      </c>
      <c r="AT778" s="224">
        <f>'Perfil - interna'!AT778+'Perfil - externa'!AT776</f>
        <v>10442234.564634005</v>
      </c>
      <c r="AU778" s="224">
        <f>'Perfil - interna'!AU778+'Perfil - externa'!AU776</f>
        <v>18691406.63028359</v>
      </c>
      <c r="AV778" s="224">
        <f>'Perfil - interna'!AV778+'Perfil - externa'!AV776</f>
        <v>117476.95891870034</v>
      </c>
      <c r="AW778" s="224">
        <f>'Perfil - interna'!AW778+'Perfil - externa'!AW776</f>
        <v>95166.310270051676</v>
      </c>
      <c r="AX778" s="224">
        <f>'Perfil - interna'!AX778+'Perfil - externa'!AX776</f>
        <v>95166.310270051676</v>
      </c>
      <c r="AY778" s="224">
        <f>'Perfil - interna'!AY778+'Perfil - externa'!AY776</f>
        <v>26742043.105347849</v>
      </c>
      <c r="AZ778" s="224">
        <f>'Perfil - interna'!AZ778+'Perfil - externa'!AZ776</f>
        <v>17397759.031890895</v>
      </c>
      <c r="BA778" s="224">
        <f>'Perfil - interna'!BA778+'Perfil - externa'!BA776</f>
        <v>6191205</v>
      </c>
      <c r="BB778" s="224">
        <f>'Perfil - interna'!BB778+'Perfil - externa'!BB776</f>
        <v>0</v>
      </c>
      <c r="BC778" s="224">
        <f>'Perfil - interna'!BC778+'Perfil - externa'!BC776</f>
        <v>0</v>
      </c>
      <c r="BD778" s="224">
        <f>'Perfil - interna'!BD778+'Perfil - externa'!BD776</f>
        <v>0</v>
      </c>
      <c r="BE778" s="224">
        <f>'Perfil - interna'!BE778+'Perfil - externa'!BE776</f>
        <v>0</v>
      </c>
      <c r="BF778" s="224">
        <f>'Perfil - interna'!BF778+'Perfil - externa'!BF776</f>
        <v>0</v>
      </c>
      <c r="BG778" s="224">
        <f>'Perfil - interna'!BG778+'Perfil - externa'!BG776</f>
        <v>0</v>
      </c>
      <c r="BH778" s="224">
        <f>'Perfil - interna'!BH778+'Perfil - externa'!BH776</f>
        <v>0</v>
      </c>
      <c r="BI778" s="224">
        <f>'Perfil - interna'!BI778+'Perfil - externa'!BI776</f>
        <v>0</v>
      </c>
      <c r="BJ778" s="224">
        <f>'Perfil - interna'!BJ778+'Perfil - externa'!BJ776</f>
        <v>0</v>
      </c>
      <c r="BK778" s="224">
        <f>'Perfil - interna'!BK778+'Perfil - externa'!BK776</f>
        <v>5365711</v>
      </c>
    </row>
    <row r="779" spans="1:63">
      <c r="A779" s="168">
        <v>44742</v>
      </c>
      <c r="B779" s="213" t="s">
        <v>385</v>
      </c>
      <c r="C779" s="224"/>
      <c r="D779" s="224"/>
      <c r="E779" s="224"/>
      <c r="F779" s="224"/>
      <c r="G779" s="224"/>
      <c r="H779" s="224"/>
      <c r="I779" s="224"/>
      <c r="J779" s="224"/>
      <c r="K779" s="224"/>
      <c r="L779" s="224"/>
      <c r="M779" s="224"/>
      <c r="N779" s="224"/>
      <c r="O779" s="224"/>
      <c r="P779" s="224"/>
      <c r="Q779" s="224"/>
      <c r="R779" s="224"/>
      <c r="S779" s="224"/>
      <c r="T779" s="224"/>
      <c r="U779" s="224"/>
      <c r="V779" s="224"/>
      <c r="W779" s="224"/>
      <c r="X779" s="224">
        <f>'Perfil - interna'!X779+'Perfil - externa'!X777</f>
        <v>17966251.12625191</v>
      </c>
      <c r="Y779" s="224">
        <f>'Perfil - interna'!Y779+'Perfil - externa'!Y777</f>
        <v>37206223.312681124</v>
      </c>
      <c r="Z779" s="224">
        <f>'Perfil - interna'!Z779+'Perfil - externa'!Z777</f>
        <v>35072082.327444553</v>
      </c>
      <c r="AA779" s="224">
        <f>'Perfil - interna'!AA779+'Perfil - externa'!AA777</f>
        <v>31889348.993012145</v>
      </c>
      <c r="AB779" s="224">
        <f>'Perfil - interna'!AB779+'Perfil - externa'!AB777</f>
        <v>29588894.668477941</v>
      </c>
      <c r="AC779" s="224">
        <f>'Perfil - interna'!AC779+'Perfil - externa'!AC777</f>
        <v>26776366.152998123</v>
      </c>
      <c r="AD779" s="224">
        <f>'Perfil - interna'!AD779+'Perfil - externa'!AD777</f>
        <v>24242397.610728633</v>
      </c>
      <c r="AE779" s="224">
        <f>'Perfil - interna'!AE779+'Perfil - externa'!AE777</f>
        <v>21977550.675477576</v>
      </c>
      <c r="AF779" s="224">
        <f>'Perfil - interna'!AF779+'Perfil - externa'!AF777</f>
        <v>21230776.459908485</v>
      </c>
      <c r="AG779" s="224">
        <f>'Perfil - interna'!AG779+'Perfil - externa'!AG777</f>
        <v>19113350.670174949</v>
      </c>
      <c r="AH779" s="224">
        <f>'Perfil - interna'!AH779+'Perfil - externa'!AH777</f>
        <v>16995710.433157109</v>
      </c>
      <c r="AI779" s="224">
        <f>'Perfil - interna'!AI779+'Perfil - externa'!AI777</f>
        <v>14747501.898584843</v>
      </c>
      <c r="AJ779" s="224">
        <f>'Perfil - interna'!AJ779+'Perfil - externa'!AJ777</f>
        <v>14034458.49428663</v>
      </c>
      <c r="AK779" s="224">
        <f>'Perfil - interna'!AK779+'Perfil - externa'!AK777</f>
        <v>11955502.318105727</v>
      </c>
      <c r="AL779" s="224">
        <f>'Perfil - interna'!AL779+'Perfil - externa'!AL777</f>
        <v>10089924.619931359</v>
      </c>
      <c r="AM779" s="224">
        <f>'Perfil - interna'!AM779+'Perfil - externa'!AM777</f>
        <v>9198376.1759332679</v>
      </c>
      <c r="AN779" s="224">
        <f>'Perfil - interna'!AN779+'Perfil - externa'!AN777</f>
        <v>7145457.8212824352</v>
      </c>
      <c r="AO779" s="224">
        <f>'Perfil - interna'!AO779+'Perfil - externa'!AO777</f>
        <v>7085052.5173373539</v>
      </c>
      <c r="AP779" s="224">
        <f>'Perfil - interna'!AP779+'Perfil - externa'!AP777</f>
        <v>6946354.8241933323</v>
      </c>
      <c r="AQ779" s="224">
        <f>'Perfil - interna'!AQ779+'Perfil - externa'!AQ777</f>
        <v>6530344.4654225316</v>
      </c>
      <c r="AR779" s="224">
        <f>'Perfil - interna'!AR779+'Perfil - externa'!AR777</f>
        <v>6103665.5699872561</v>
      </c>
      <c r="AS779" s="224">
        <f>'Perfil - interna'!AS779+'Perfil - externa'!AS777</f>
        <v>4872027.5197709501</v>
      </c>
      <c r="AT779" s="224">
        <f>'Perfil - interna'!AT779+'Perfil - externa'!AT777</f>
        <v>4578771.1620199811</v>
      </c>
      <c r="AU779" s="224">
        <f>'Perfil - interna'!AU779+'Perfil - externa'!AU777</f>
        <v>3816244.9057009388</v>
      </c>
      <c r="AV779" s="224">
        <f>'Perfil - interna'!AV779+'Perfil - externa'!AV777</f>
        <v>3349677.8740980085</v>
      </c>
      <c r="AW779" s="224">
        <f>'Perfil - interna'!AW779+'Perfil - externa'!AW777</f>
        <v>3347775.5225236118</v>
      </c>
      <c r="AX779" s="224">
        <f>'Perfil - interna'!AX779+'Perfil - externa'!AX777</f>
        <v>3349246.7023403561</v>
      </c>
      <c r="AY779" s="224">
        <f>'Perfil - interna'!AY779+'Perfil - externa'!AY777</f>
        <v>3037648.0312647675</v>
      </c>
      <c r="AZ779" s="224">
        <f>'Perfil - interna'!AZ779+'Perfil - externa'!AZ777</f>
        <v>1727193.8041108099</v>
      </c>
      <c r="BA779" s="224">
        <f>'Perfil - interna'!BA779+'Perfil - externa'!BA777</f>
        <v>339212.10913194442</v>
      </c>
      <c r="BB779" s="224">
        <f>'Perfil - interna'!BB779+'Perfil - externa'!BB777</f>
        <v>211386.65627083334</v>
      </c>
      <c r="BC779" s="224">
        <f>'Perfil - interna'!BC779+'Perfil - externa'!BC777</f>
        <v>210809.09710069446</v>
      </c>
      <c r="BD779" s="224">
        <f>'Perfil - interna'!BD779+'Perfil - externa'!BD777</f>
        <v>210809.09710069446</v>
      </c>
      <c r="BE779" s="224">
        <f>'Perfil - interna'!BE779+'Perfil - externa'!BE777</f>
        <v>210809.09710069446</v>
      </c>
      <c r="BF779" s="224">
        <f>'Perfil - interna'!BF779+'Perfil - externa'!BF777</f>
        <v>211386.65627083334</v>
      </c>
      <c r="BG779" s="224">
        <f>'Perfil - interna'!BG779+'Perfil - externa'!BG777</f>
        <v>210809.09710069446</v>
      </c>
      <c r="BH779" s="224">
        <f>'Perfil - interna'!BH779+'Perfil - externa'!BH777</f>
        <v>210809.09710069446</v>
      </c>
      <c r="BI779" s="224">
        <f>'Perfil - interna'!BI779+'Perfil - externa'!BI777</f>
        <v>210809.09710069446</v>
      </c>
      <c r="BJ779" s="224">
        <f>'Perfil - interna'!BJ779+'Perfil - externa'!BJ777</f>
        <v>211386.65627083334</v>
      </c>
      <c r="BK779" s="224">
        <f>'Perfil - interna'!BK779+'Perfil - externa'!BK777</f>
        <v>106270.88730555556</v>
      </c>
    </row>
    <row r="780" spans="1:63">
      <c r="A780" s="279"/>
      <c r="B780" s="307" t="s">
        <v>29</v>
      </c>
      <c r="C780" s="321"/>
      <c r="D780" s="321"/>
      <c r="E780" s="321"/>
      <c r="F780" s="321"/>
      <c r="G780" s="321"/>
      <c r="H780" s="321"/>
      <c r="I780" s="321"/>
      <c r="J780" s="321"/>
      <c r="K780" s="321"/>
      <c r="L780" s="321"/>
      <c r="M780" s="321"/>
      <c r="N780" s="321"/>
      <c r="O780" s="321"/>
      <c r="P780" s="321"/>
      <c r="Q780" s="321"/>
      <c r="R780" s="321"/>
      <c r="S780" s="321"/>
      <c r="T780" s="321"/>
      <c r="U780" s="321"/>
      <c r="V780" s="321"/>
      <c r="W780" s="321"/>
      <c r="X780" s="321">
        <f>+X778+X779</f>
        <v>27160785.149382353</v>
      </c>
      <c r="Y780" s="321">
        <f t="shared" ref="Y780:BG780" si="72">+Y778+Y779</f>
        <v>107123146.90249933</v>
      </c>
      <c r="Z780" s="321">
        <f t="shared" si="72"/>
        <v>86071794.654759407</v>
      </c>
      <c r="AA780" s="321">
        <f t="shared" si="72"/>
        <v>88385258.764935613</v>
      </c>
      <c r="AB780" s="321">
        <f t="shared" si="72"/>
        <v>78875415.964821205</v>
      </c>
      <c r="AC780" s="321">
        <f t="shared" si="72"/>
        <v>87547244.615254134</v>
      </c>
      <c r="AD780" s="321">
        <f t="shared" si="72"/>
        <v>66475718.271338075</v>
      </c>
      <c r="AE780" s="321">
        <f t="shared" si="72"/>
        <v>51034820.419923805</v>
      </c>
      <c r="AF780" s="321">
        <f t="shared" si="72"/>
        <v>60205911.532109767</v>
      </c>
      <c r="AG780" s="321">
        <f t="shared" si="72"/>
        <v>63376720.487664275</v>
      </c>
      <c r="AH780" s="321">
        <f t="shared" si="72"/>
        <v>61171344.019581869</v>
      </c>
      <c r="AI780" s="321">
        <f t="shared" si="72"/>
        <v>37771655.823124439</v>
      </c>
      <c r="AJ780" s="321">
        <f t="shared" si="72"/>
        <v>48278245.817110538</v>
      </c>
      <c r="AK780" s="321">
        <f t="shared" si="72"/>
        <v>43348726.160487376</v>
      </c>
      <c r="AL780" s="321">
        <f t="shared" si="72"/>
        <v>31608015.923602659</v>
      </c>
      <c r="AM780" s="321">
        <f t="shared" si="72"/>
        <v>43651402.143374518</v>
      </c>
      <c r="AN780" s="321">
        <f t="shared" si="72"/>
        <v>9742810.6020586677</v>
      </c>
      <c r="AO780" s="321">
        <f t="shared" si="72"/>
        <v>10959758.990018347</v>
      </c>
      <c r="AP780" s="321">
        <f t="shared" si="72"/>
        <v>11431328.129971677</v>
      </c>
      <c r="AQ780" s="321">
        <f t="shared" si="72"/>
        <v>17530914.358072326</v>
      </c>
      <c r="AR780" s="321">
        <f t="shared" si="72"/>
        <v>22742659.233299233</v>
      </c>
      <c r="AS780" s="321">
        <f t="shared" si="72"/>
        <v>5003364.5223196093</v>
      </c>
      <c r="AT780" s="321">
        <f t="shared" si="72"/>
        <v>15021005.726653986</v>
      </c>
      <c r="AU780" s="321">
        <f t="shared" si="72"/>
        <v>22507651.535984531</v>
      </c>
      <c r="AV780" s="321">
        <f t="shared" si="72"/>
        <v>3467154.833016709</v>
      </c>
      <c r="AW780" s="321">
        <f t="shared" si="72"/>
        <v>3442941.8327936633</v>
      </c>
      <c r="AX780" s="321">
        <f t="shared" si="72"/>
        <v>3444413.0126104075</v>
      </c>
      <c r="AY780" s="321">
        <f t="shared" si="72"/>
        <v>29779691.136612616</v>
      </c>
      <c r="AZ780" s="321">
        <f t="shared" si="72"/>
        <v>19124952.836001705</v>
      </c>
      <c r="BA780" s="321">
        <f t="shared" si="72"/>
        <v>6530417.1091319444</v>
      </c>
      <c r="BB780" s="321">
        <f t="shared" si="72"/>
        <v>211386.65627083334</v>
      </c>
      <c r="BC780" s="321">
        <f t="shared" si="72"/>
        <v>210809.09710069446</v>
      </c>
      <c r="BD780" s="321">
        <f t="shared" si="72"/>
        <v>210809.09710069446</v>
      </c>
      <c r="BE780" s="321">
        <f t="shared" si="72"/>
        <v>210809.09710069446</v>
      </c>
      <c r="BF780" s="321">
        <f t="shared" si="72"/>
        <v>211386.65627083334</v>
      </c>
      <c r="BG780" s="321">
        <f t="shared" si="72"/>
        <v>210809.09710069446</v>
      </c>
      <c r="BH780" s="321">
        <f>+BH778+BH779</f>
        <v>210809.09710069446</v>
      </c>
      <c r="BI780" s="321">
        <f>+BI778+BI779</f>
        <v>210809.09710069446</v>
      </c>
      <c r="BJ780" s="321">
        <f>+BJ778+BJ779</f>
        <v>211386.65627083334</v>
      </c>
      <c r="BK780" s="321">
        <f>+BK778+BK779</f>
        <v>5471981.8873055559</v>
      </c>
    </row>
    <row r="781" spans="1:63">
      <c r="A781" s="278"/>
      <c r="B781" s="210" t="s">
        <v>28</v>
      </c>
      <c r="C781" s="224"/>
      <c r="D781" s="224"/>
      <c r="E781" s="224"/>
      <c r="F781" s="224"/>
      <c r="G781" s="224"/>
      <c r="H781" s="224"/>
      <c r="I781" s="224"/>
      <c r="J781" s="224"/>
      <c r="K781" s="224"/>
      <c r="L781" s="224"/>
      <c r="M781" s="224"/>
      <c r="N781" s="224"/>
      <c r="O781" s="224"/>
      <c r="P781" s="224"/>
      <c r="Q781" s="224"/>
      <c r="R781" s="224"/>
      <c r="S781" s="224"/>
      <c r="T781" s="224"/>
      <c r="U781" s="224"/>
      <c r="V781" s="224"/>
      <c r="W781" s="224"/>
      <c r="X781" s="224">
        <f>'Perfil - interna'!X781+'Perfil - externa'!X779</f>
        <v>9246402.5074573681</v>
      </c>
      <c r="Y781" s="224">
        <f>'Perfil - interna'!Y781+'Perfil - externa'!Y779</f>
        <v>73293559.524939433</v>
      </c>
      <c r="Z781" s="224">
        <f>'Perfil - interna'!Z781+'Perfil - externa'!Z779</f>
        <v>52039145.727398962</v>
      </c>
      <c r="AA781" s="224">
        <f>'Perfil - interna'!AA781+'Perfil - externa'!AA779</f>
        <v>57378256.42706047</v>
      </c>
      <c r="AB781" s="224">
        <f>'Perfil - interna'!AB781+'Perfil - externa'!AB779</f>
        <v>49894771.971216738</v>
      </c>
      <c r="AC781" s="224">
        <f>'Perfil - interna'!AC781+'Perfil - externa'!AC779</f>
        <v>61629146.049115941</v>
      </c>
      <c r="AD781" s="224">
        <f>'Perfil - interna'!AD781+'Perfil - externa'!AD779</f>
        <v>42754299.104978219</v>
      </c>
      <c r="AE781" s="224">
        <f>'Perfil - interna'!AE781+'Perfil - externa'!AE779</f>
        <v>30737857.637144007</v>
      </c>
      <c r="AF781" s="224">
        <f>'Perfil - interna'!AF781+'Perfil - externa'!AF779</f>
        <v>39787793.764171861</v>
      </c>
      <c r="AG781" s="224">
        <f>'Perfil - interna'!AG781+'Perfil - externa'!AG779</f>
        <v>48303468.803539962</v>
      </c>
      <c r="AH781" s="224">
        <f>'Perfil - interna'!AH781+'Perfil - externa'!AH779</f>
        <v>45026717.686241083</v>
      </c>
      <c r="AI781" s="224">
        <f>'Perfil - interna'!AI781+'Perfil - externa'!AI779</f>
        <v>23714339.251480959</v>
      </c>
      <c r="AJ781" s="224">
        <f>'Perfil - interna'!AJ781+'Perfil - externa'!AJ779</f>
        <v>34709620.359788619</v>
      </c>
      <c r="AK781" s="224">
        <f>'Perfil - interna'!AK781+'Perfil - externa'!AK779</f>
        <v>32387431.427133974</v>
      </c>
      <c r="AL781" s="224">
        <f>'Perfil - interna'!AL781+'Perfil - externa'!AL779</f>
        <v>21744555.006847646</v>
      </c>
      <c r="AM781" s="224">
        <f>'Perfil - interna'!AM781+'Perfil - externa'!AM779</f>
        <v>36017972.283473678</v>
      </c>
      <c r="AN781" s="224">
        <f>'Perfil - interna'!AN781+'Perfil - externa'!AN779</f>
        <v>2699838.5315429056</v>
      </c>
      <c r="AO781" s="224">
        <f>'Perfil - interna'!AO781+'Perfil - externa'!AO779</f>
        <v>4030678.9934476675</v>
      </c>
      <c r="AP781" s="224">
        <f>'Perfil - interna'!AP781+'Perfil - externa'!AP779</f>
        <v>4667611.3555375217</v>
      </c>
      <c r="AQ781" s="224">
        <f>'Perfil - interna'!AQ781+'Perfil - externa'!AQ779</f>
        <v>11459345.705765771</v>
      </c>
      <c r="AR781" s="224">
        <f>'Perfil - interna'!AR781+'Perfil - externa'!AR779</f>
        <v>19054530.053500727</v>
      </c>
      <c r="AS781" s="224">
        <f>'Perfil - interna'!AS781+'Perfil - externa'!AS779</f>
        <v>134984.24528225316</v>
      </c>
      <c r="AT781" s="224">
        <f>'Perfil - interna'!AT781+'Perfil - externa'!AT779</f>
        <v>10877631.141864326</v>
      </c>
      <c r="AU781" s="224">
        <f>'Perfil - interna'!AU781+'Perfil - externa'!AU779</f>
        <v>19472221.686171837</v>
      </c>
      <c r="AV781" s="224">
        <f>'Perfil - interna'!AV781+'Perfil - externa'!AV779</f>
        <v>119800.36976065743</v>
      </c>
      <c r="AW781" s="224">
        <f>'Perfil - interna'!AW781+'Perfil - externa'!AW779</f>
        <v>96555.504895792561</v>
      </c>
      <c r="AX781" s="224">
        <f>'Perfil - interna'!AX781+'Perfil - externa'!AX779</f>
        <v>96555.504895792561</v>
      </c>
      <c r="AY781" s="224">
        <f>'Perfil - interna'!AY781+'Perfil - externa'!AY779</f>
        <v>27862616.765153393</v>
      </c>
      <c r="AZ781" s="224">
        <f>'Perfil - interna'!AZ781+'Perfil - externa'!AZ779</f>
        <v>17874668.765603505</v>
      </c>
      <c r="BA781" s="224">
        <f>'Perfil - interna'!BA781+'Perfil - externa'!BA779</f>
        <v>6450450</v>
      </c>
      <c r="BB781" s="224">
        <f>'Perfil - interna'!BB781+'Perfil - externa'!BB779</f>
        <v>0</v>
      </c>
      <c r="BC781" s="224">
        <f>'Perfil - interna'!BC781+'Perfil - externa'!BC779</f>
        <v>0</v>
      </c>
      <c r="BD781" s="224">
        <f>'Perfil - interna'!BD781+'Perfil - externa'!BD779</f>
        <v>0</v>
      </c>
      <c r="BE781" s="224">
        <f>'Perfil - interna'!BE781+'Perfil - externa'!BE779</f>
        <v>0</v>
      </c>
      <c r="BF781" s="224">
        <f>'Perfil - interna'!BF781+'Perfil - externa'!BF779</f>
        <v>0</v>
      </c>
      <c r="BG781" s="224">
        <f>'Perfil - interna'!BG781+'Perfil - externa'!BG779</f>
        <v>0</v>
      </c>
      <c r="BH781" s="224">
        <f>'Perfil - interna'!BH781+'Perfil - externa'!BH779</f>
        <v>0</v>
      </c>
      <c r="BI781" s="224">
        <f>'Perfil - interna'!BI781+'Perfil - externa'!BI779</f>
        <v>0</v>
      </c>
      <c r="BJ781" s="224">
        <f>'Perfil - interna'!BJ781+'Perfil - externa'!BJ779</f>
        <v>0</v>
      </c>
      <c r="BK781" s="224">
        <f>'Perfil - interna'!BK781+'Perfil - externa'!BK779</f>
        <v>5590390</v>
      </c>
    </row>
    <row r="782" spans="1:63">
      <c r="A782" s="168">
        <v>44773</v>
      </c>
      <c r="B782" s="213" t="s">
        <v>385</v>
      </c>
      <c r="C782" s="224"/>
      <c r="D782" s="224"/>
      <c r="E782" s="224"/>
      <c r="F782" s="224"/>
      <c r="G782" s="224"/>
      <c r="H782" s="224"/>
      <c r="I782" s="224"/>
      <c r="J782" s="224"/>
      <c r="K782" s="224"/>
      <c r="L782" s="224"/>
      <c r="M782" s="224"/>
      <c r="N782" s="224"/>
      <c r="O782" s="224"/>
      <c r="P782" s="224"/>
      <c r="Q782" s="224"/>
      <c r="R782" s="224"/>
      <c r="S782" s="224"/>
      <c r="T782" s="224"/>
      <c r="U782" s="224"/>
      <c r="V782" s="224"/>
      <c r="W782" s="224"/>
      <c r="X782" s="224">
        <f>'Perfil - interna'!X782+'Perfil - externa'!X780</f>
        <v>13941477.228310715</v>
      </c>
      <c r="Y782" s="224">
        <f>'Perfil - interna'!Y782+'Perfil - externa'!Y780</f>
        <v>38697657.829531334</v>
      </c>
      <c r="Z782" s="224">
        <f>'Perfil - interna'!Z782+'Perfil - externa'!Z780</f>
        <v>36300644.089651093</v>
      </c>
      <c r="AA782" s="224">
        <f>'Perfil - interna'!AA782+'Perfil - externa'!AA780</f>
        <v>32883481.340934366</v>
      </c>
      <c r="AB782" s="224">
        <f>'Perfil - interna'!AB782+'Perfil - externa'!AB780</f>
        <v>30471970.719991662</v>
      </c>
      <c r="AC782" s="224">
        <f>'Perfil - interna'!AC782+'Perfil - externa'!AC780</f>
        <v>27633427.979581341</v>
      </c>
      <c r="AD782" s="224">
        <f>'Perfil - interna'!AD782+'Perfil - externa'!AD780</f>
        <v>25072245.048584647</v>
      </c>
      <c r="AE782" s="224">
        <f>'Perfil - interna'!AE782+'Perfil - externa'!AE780</f>
        <v>22788596.421096053</v>
      </c>
      <c r="AF782" s="224">
        <f>'Perfil - interna'!AF782+'Perfil - externa'!AF780</f>
        <v>22032536.517393019</v>
      </c>
      <c r="AG782" s="224">
        <f>'Perfil - interna'!AG782+'Perfil - externa'!AG780</f>
        <v>19894548.176067445</v>
      </c>
      <c r="AH782" s="224">
        <f>'Perfil - interna'!AH782+'Perfil - externa'!AH780</f>
        <v>17543130.680889614</v>
      </c>
      <c r="AI782" s="224">
        <f>'Perfil - interna'!AI782+'Perfil - externa'!AI780</f>
        <v>15272626.173614338</v>
      </c>
      <c r="AJ782" s="224">
        <f>'Perfil - interna'!AJ782+'Perfil - externa'!AJ780</f>
        <v>14543709.451594587</v>
      </c>
      <c r="AK782" s="224">
        <f>'Perfil - interna'!AK782+'Perfil - externa'!AK780</f>
        <v>12455726.03575635</v>
      </c>
      <c r="AL782" s="224">
        <f>'Perfil - interna'!AL782+'Perfil - externa'!AL780</f>
        <v>10566209.473593473</v>
      </c>
      <c r="AM782" s="224">
        <f>'Perfil - interna'!AM782+'Perfil - externa'!AM780</f>
        <v>9679701.0954048373</v>
      </c>
      <c r="AN782" s="224">
        <f>'Perfil - interna'!AN782+'Perfil - externa'!AN780</f>
        <v>7549692.2998908972</v>
      </c>
      <c r="AO782" s="224">
        <f>'Perfil - interna'!AO782+'Perfil - externa'!AO780</f>
        <v>7494132.8576055318</v>
      </c>
      <c r="AP782" s="224">
        <f>'Perfil - interna'!AP782+'Perfil - externa'!AP780</f>
        <v>7357428.3883565851</v>
      </c>
      <c r="AQ782" s="224">
        <f>'Perfil - interna'!AQ782+'Perfil - externa'!AQ780</f>
        <v>6931357.7791966032</v>
      </c>
      <c r="AR782" s="224">
        <f>'Perfil - interna'!AR782+'Perfil - externa'!AR780</f>
        <v>6492011.1428411677</v>
      </c>
      <c r="AS782" s="224">
        <f>'Perfil - interna'!AS782+'Perfil - externa'!AS780</f>
        <v>5050506.9351200759</v>
      </c>
      <c r="AT782" s="224">
        <f>'Perfil - interna'!AT782+'Perfil - externa'!AT780</f>
        <v>4745138.9227669165</v>
      </c>
      <c r="AU782" s="224">
        <f>'Perfil - interna'!AU782+'Perfil - externa'!AU780</f>
        <v>3950816.2791008279</v>
      </c>
      <c r="AV782" s="224">
        <f>'Perfil - interna'!AV782+'Perfil - externa'!AV780</f>
        <v>3464739.3454684974</v>
      </c>
      <c r="AW782" s="224">
        <f>'Perfil - interna'!AW782+'Perfil - externa'!AW780</f>
        <v>3462799.3870968232</v>
      </c>
      <c r="AX782" s="224">
        <f>'Perfil - interna'!AX782+'Perfil - externa'!AX780</f>
        <v>3464374.2203629622</v>
      </c>
      <c r="AY782" s="224">
        <f>'Perfil - interna'!AY782+'Perfil - externa'!AY780</f>
        <v>3139769.9948370839</v>
      </c>
      <c r="AZ782" s="224">
        <f>'Perfil - interna'!AZ782+'Perfil - externa'!AZ780</f>
        <v>1781379.2274586675</v>
      </c>
      <c r="BA782" s="224">
        <f>'Perfil - interna'!BA782+'Perfil - externa'!BA780</f>
        <v>353415.97465277778</v>
      </c>
      <c r="BB782" s="224">
        <f>'Perfil - interna'!BB782+'Perfil - externa'!BB780</f>
        <v>220238.07270833332</v>
      </c>
      <c r="BC782" s="224">
        <f>'Perfil - interna'!BC782+'Perfil - externa'!BC780</f>
        <v>219636.32934027779</v>
      </c>
      <c r="BD782" s="224">
        <f>'Perfil - interna'!BD782+'Perfil - externa'!BD780</f>
        <v>219636.32934027779</v>
      </c>
      <c r="BE782" s="224">
        <f>'Perfil - interna'!BE782+'Perfil - externa'!BE780</f>
        <v>219636.32934027779</v>
      </c>
      <c r="BF782" s="224">
        <f>'Perfil - interna'!BF782+'Perfil - externa'!BF780</f>
        <v>220238.07270833332</v>
      </c>
      <c r="BG782" s="224">
        <f>'Perfil - interna'!BG782+'Perfil - externa'!BG780</f>
        <v>219636.32934027779</v>
      </c>
      <c r="BH782" s="224">
        <f>'Perfil - interna'!BH782+'Perfil - externa'!BH780</f>
        <v>219636.32934027779</v>
      </c>
      <c r="BI782" s="224">
        <f>'Perfil - interna'!BI782+'Perfil - externa'!BI780</f>
        <v>219636.32934027779</v>
      </c>
      <c r="BJ782" s="224">
        <f>'Perfil - interna'!BJ782+'Perfil - externa'!BJ780</f>
        <v>220238.07270833332</v>
      </c>
      <c r="BK782" s="224">
        <f>'Perfil - interna'!BK782+'Perfil - externa'!BK780</f>
        <v>110720.77972222221</v>
      </c>
    </row>
    <row r="783" spans="1:63">
      <c r="A783" s="279"/>
      <c r="B783" s="307" t="s">
        <v>29</v>
      </c>
      <c r="C783" s="321"/>
      <c r="D783" s="321"/>
      <c r="E783" s="321"/>
      <c r="F783" s="321"/>
      <c r="G783" s="321"/>
      <c r="H783" s="321"/>
      <c r="I783" s="321"/>
      <c r="J783" s="321"/>
      <c r="K783" s="321"/>
      <c r="L783" s="321"/>
      <c r="M783" s="321"/>
      <c r="N783" s="321"/>
      <c r="O783" s="321"/>
      <c r="P783" s="321"/>
      <c r="Q783" s="321"/>
      <c r="R783" s="321"/>
      <c r="S783" s="321"/>
      <c r="T783" s="321"/>
      <c r="U783" s="321"/>
      <c r="V783" s="321"/>
      <c r="W783" s="321"/>
      <c r="X783" s="321">
        <f>+X781+X782</f>
        <v>23187879.735768083</v>
      </c>
      <c r="Y783" s="321">
        <f t="shared" ref="Y783:BG783" si="73">+Y781+Y782</f>
        <v>111991217.35447076</v>
      </c>
      <c r="Z783" s="321">
        <f t="shared" si="73"/>
        <v>88339789.817050055</v>
      </c>
      <c r="AA783" s="321">
        <f t="shared" si="73"/>
        <v>90261737.767994836</v>
      </c>
      <c r="AB783" s="321">
        <f t="shared" si="73"/>
        <v>80366742.691208392</v>
      </c>
      <c r="AC783" s="321">
        <f t="shared" si="73"/>
        <v>89262574.028697282</v>
      </c>
      <c r="AD783" s="321">
        <f t="shared" si="73"/>
        <v>67826544.153562874</v>
      </c>
      <c r="AE783" s="321">
        <f t="shared" si="73"/>
        <v>53526454.058240056</v>
      </c>
      <c r="AF783" s="321">
        <f t="shared" si="73"/>
        <v>61820330.281564876</v>
      </c>
      <c r="AG783" s="321">
        <f t="shared" si="73"/>
        <v>68198016.979607403</v>
      </c>
      <c r="AH783" s="321">
        <f t="shared" si="73"/>
        <v>62569848.367130697</v>
      </c>
      <c r="AI783" s="321">
        <f t="shared" si="73"/>
        <v>38986965.425095297</v>
      </c>
      <c r="AJ783" s="321">
        <f t="shared" si="73"/>
        <v>49253329.811383203</v>
      </c>
      <c r="AK783" s="321">
        <f t="shared" si="73"/>
        <v>44843157.462890327</v>
      </c>
      <c r="AL783" s="321">
        <f t="shared" si="73"/>
        <v>32310764.48044112</v>
      </c>
      <c r="AM783" s="321">
        <f t="shared" si="73"/>
        <v>45697673.378878519</v>
      </c>
      <c r="AN783" s="321">
        <f t="shared" si="73"/>
        <v>10249530.831433803</v>
      </c>
      <c r="AO783" s="321">
        <f t="shared" si="73"/>
        <v>11524811.851053199</v>
      </c>
      <c r="AP783" s="321">
        <f t="shared" si="73"/>
        <v>12025039.743894108</v>
      </c>
      <c r="AQ783" s="321">
        <f t="shared" si="73"/>
        <v>18390703.484962374</v>
      </c>
      <c r="AR783" s="321">
        <f t="shared" si="73"/>
        <v>25546541.196341895</v>
      </c>
      <c r="AS783" s="321">
        <f t="shared" si="73"/>
        <v>5185491.1804023292</v>
      </c>
      <c r="AT783" s="321">
        <f t="shared" si="73"/>
        <v>15622770.064631242</v>
      </c>
      <c r="AU783" s="321">
        <f t="shared" si="73"/>
        <v>23423037.965272665</v>
      </c>
      <c r="AV783" s="321">
        <f t="shared" si="73"/>
        <v>3584539.7152291546</v>
      </c>
      <c r="AW783" s="321">
        <f t="shared" si="73"/>
        <v>3559354.8919926155</v>
      </c>
      <c r="AX783" s="321">
        <f t="shared" si="73"/>
        <v>3560929.7252587546</v>
      </c>
      <c r="AY783" s="321">
        <f t="shared" si="73"/>
        <v>31002386.759990476</v>
      </c>
      <c r="AZ783" s="321">
        <f t="shared" si="73"/>
        <v>19656047.993062172</v>
      </c>
      <c r="BA783" s="321">
        <f t="shared" si="73"/>
        <v>6803865.9746527774</v>
      </c>
      <c r="BB783" s="321">
        <f t="shared" si="73"/>
        <v>220238.07270833332</v>
      </c>
      <c r="BC783" s="321">
        <f t="shared" si="73"/>
        <v>219636.32934027779</v>
      </c>
      <c r="BD783" s="321">
        <f t="shared" si="73"/>
        <v>219636.32934027779</v>
      </c>
      <c r="BE783" s="321">
        <f t="shared" si="73"/>
        <v>219636.32934027779</v>
      </c>
      <c r="BF783" s="321">
        <f t="shared" si="73"/>
        <v>220238.07270833332</v>
      </c>
      <c r="BG783" s="321">
        <f t="shared" si="73"/>
        <v>219636.32934027779</v>
      </c>
      <c r="BH783" s="321">
        <f>+BH781+BH782</f>
        <v>219636.32934027779</v>
      </c>
      <c r="BI783" s="321">
        <f>+BI781+BI782</f>
        <v>219636.32934027779</v>
      </c>
      <c r="BJ783" s="321">
        <f>+BJ781+BJ782</f>
        <v>220238.07270833332</v>
      </c>
      <c r="BK783" s="321">
        <f>+BK781+BK782</f>
        <v>5701110.7797222221</v>
      </c>
    </row>
    <row r="784" spans="1:63">
      <c r="A784" s="278"/>
      <c r="B784" s="210" t="s">
        <v>28</v>
      </c>
      <c r="C784" s="224"/>
      <c r="D784" s="224"/>
      <c r="E784" s="224"/>
      <c r="F784" s="224"/>
      <c r="G784" s="224"/>
      <c r="H784" s="224"/>
      <c r="I784" s="224"/>
      <c r="J784" s="224"/>
      <c r="K784" s="224"/>
      <c r="L784" s="224"/>
      <c r="M784" s="224"/>
      <c r="N784" s="224"/>
      <c r="O784" s="224"/>
      <c r="P784" s="224"/>
      <c r="Q784" s="224"/>
      <c r="R784" s="224"/>
      <c r="S784" s="224"/>
      <c r="T784" s="224"/>
      <c r="U784" s="224"/>
      <c r="V784" s="224"/>
      <c r="W784" s="224"/>
      <c r="X784" s="224">
        <f>'Perfil - interna'!X784+'Perfil - externa'!X782</f>
        <v>8317932.7387596713</v>
      </c>
      <c r="Y784" s="224">
        <f>'Perfil - interna'!Y784+'Perfil - externa'!Y782</f>
        <v>74946665.098862022</v>
      </c>
      <c r="Z784" s="224">
        <f>'Perfil - interna'!Z784+'Perfil - externa'!Z782</f>
        <v>51840472.304658264</v>
      </c>
      <c r="AA784" s="224">
        <f>'Perfil - interna'!AA784+'Perfil - externa'!AA782</f>
        <v>57287192.637162186</v>
      </c>
      <c r="AB784" s="224">
        <f>'Perfil - interna'!AB784+'Perfil - externa'!AB782</f>
        <v>49785747.522029936</v>
      </c>
      <c r="AC784" s="224">
        <f>'Perfil - interna'!AC784+'Perfil - externa'!AC782</f>
        <v>61700027.278631181</v>
      </c>
      <c r="AD784" s="224">
        <f>'Perfil - interna'!AD784+'Perfil - externa'!AD782</f>
        <v>42815527.88632904</v>
      </c>
      <c r="AE784" s="224">
        <f>'Perfil - interna'!AE784+'Perfil - externa'!AE782</f>
        <v>31514213.845934048</v>
      </c>
      <c r="AF784" s="224">
        <f>'Perfil - interna'!AF784+'Perfil - externa'!AF782</f>
        <v>39935917.000768527</v>
      </c>
      <c r="AG784" s="224">
        <f>'Perfil - interna'!AG784+'Perfil - externa'!AG782</f>
        <v>50633636.464109965</v>
      </c>
      <c r="AH784" s="224">
        <f>'Perfil - interna'!AH784+'Perfil - externa'!AH782</f>
        <v>45178180.20740816</v>
      </c>
      <c r="AI784" s="224">
        <f>'Perfil - interna'!AI784+'Perfil - externa'!AI782</f>
        <v>23960976.43420206</v>
      </c>
      <c r="AJ784" s="224">
        <f>'Perfil - interna'!AJ784+'Perfil - externa'!AJ782</f>
        <v>34868858.10321974</v>
      </c>
      <c r="AK784" s="224">
        <f>'Perfil - interna'!AK784+'Perfil - externa'!AK782</f>
        <v>32675197.103652962</v>
      </c>
      <c r="AL784" s="224">
        <f>'Perfil - interna'!AL784+'Perfil - externa'!AL782</f>
        <v>21825777.400747359</v>
      </c>
      <c r="AM784" s="224">
        <f>'Perfil - interna'!AM784+'Perfil - externa'!AM782</f>
        <v>36762082.368481107</v>
      </c>
      <c r="AN784" s="224">
        <f>'Perfil - interna'!AN784+'Perfil - externa'!AN782</f>
        <v>2861802.5258102678</v>
      </c>
      <c r="AO784" s="224">
        <f>'Perfil - interna'!AO784+'Perfil - externa'!AO782</f>
        <v>4192642.9877150292</v>
      </c>
      <c r="AP784" s="224">
        <f>'Perfil - interna'!AP784+'Perfil - externa'!AP782</f>
        <v>4830434.5684696604</v>
      </c>
      <c r="AQ784" s="224">
        <f>'Perfil - interna'!AQ784+'Perfil - externa'!AQ782</f>
        <v>11541194.677759608</v>
      </c>
      <c r="AR784" s="224">
        <f>'Perfil - interna'!AR784+'Perfil - externa'!AR782</f>
        <v>20583010.039571486</v>
      </c>
      <c r="AS784" s="224">
        <f>'Perfil - interna'!AS784+'Perfil - externa'!AS782</f>
        <v>134006.13135301246</v>
      </c>
      <c r="AT784" s="224">
        <f>'Perfil - interna'!AT784+'Perfil - externa'!AT782</f>
        <v>10876491.247447317</v>
      </c>
      <c r="AU784" s="224">
        <f>'Perfil - interna'!AU784+'Perfil - externa'!AU782</f>
        <v>19470920.011267059</v>
      </c>
      <c r="AV784" s="224">
        <f>'Perfil - interna'!AV784+'Perfil - externa'!AV782</f>
        <v>118498.69499922243</v>
      </c>
      <c r="AW784" s="224">
        <f>'Perfil - interna'!AW784+'Perfil - externa'!AW782</f>
        <v>95253.830134357588</v>
      </c>
      <c r="AX784" s="224">
        <f>'Perfil - interna'!AX784+'Perfil - externa'!AX782</f>
        <v>95253.830134357588</v>
      </c>
      <c r="AY784" s="224">
        <f>'Perfil - interna'!AY784+'Perfil - externa'!AY782</f>
        <v>28468647.191976462</v>
      </c>
      <c r="AZ784" s="224">
        <f>'Perfil - interna'!AZ784+'Perfil - externa'!AZ782</f>
        <v>18275015.704498697</v>
      </c>
      <c r="BA784" s="224">
        <f>'Perfil - interna'!BA784+'Perfil - externa'!BA782</f>
        <v>6450450</v>
      </c>
      <c r="BB784" s="224">
        <f>'Perfil - interna'!BB784+'Perfil - externa'!BB782</f>
        <v>0</v>
      </c>
      <c r="BC784" s="224">
        <f>'Perfil - interna'!BC784+'Perfil - externa'!BC782</f>
        <v>0</v>
      </c>
      <c r="BD784" s="224">
        <f>'Perfil - interna'!BD784+'Perfil - externa'!BD782</f>
        <v>0</v>
      </c>
      <c r="BE784" s="224">
        <f>'Perfil - interna'!BE784+'Perfil - externa'!BE782</f>
        <v>0</v>
      </c>
      <c r="BF784" s="224">
        <f>'Perfil - interna'!BF784+'Perfil - externa'!BF782</f>
        <v>0</v>
      </c>
      <c r="BG784" s="224">
        <f>'Perfil - interna'!BG784+'Perfil - externa'!BG782</f>
        <v>0</v>
      </c>
      <c r="BH784" s="224">
        <f>'Perfil - interna'!BH784+'Perfil - externa'!BH782</f>
        <v>0</v>
      </c>
      <c r="BI784" s="224">
        <f>'Perfil - interna'!BI784+'Perfil - externa'!BI782</f>
        <v>0</v>
      </c>
      <c r="BJ784" s="224">
        <f>'Perfil - interna'!BJ784+'Perfil - externa'!BJ782</f>
        <v>0</v>
      </c>
      <c r="BK784" s="224">
        <f>'Perfil - interna'!BK784+'Perfil - externa'!BK782</f>
        <v>5590390</v>
      </c>
    </row>
    <row r="785" spans="1:63">
      <c r="A785" s="168">
        <v>44804</v>
      </c>
      <c r="B785" s="213" t="s">
        <v>385</v>
      </c>
      <c r="C785" s="224"/>
      <c r="D785" s="224"/>
      <c r="E785" s="224"/>
      <c r="F785" s="224"/>
      <c r="G785" s="224"/>
      <c r="H785" s="224"/>
      <c r="I785" s="224"/>
      <c r="J785" s="224"/>
      <c r="K785" s="224"/>
      <c r="L785" s="224"/>
      <c r="M785" s="224"/>
      <c r="N785" s="224"/>
      <c r="O785" s="224"/>
      <c r="P785" s="224"/>
      <c r="Q785" s="224"/>
      <c r="R785" s="224"/>
      <c r="S785" s="224"/>
      <c r="T785" s="224"/>
      <c r="U785" s="224"/>
      <c r="V785" s="224"/>
      <c r="W785" s="224"/>
      <c r="X785" s="224">
        <f>'Perfil - interna'!X785+'Perfil - externa'!X783</f>
        <v>10830576.057076132</v>
      </c>
      <c r="Y785" s="224">
        <f>'Perfil - interna'!Y785+'Perfil - externa'!Y783</f>
        <v>38817317.29706315</v>
      </c>
      <c r="Z785" s="224">
        <f>'Perfil - interna'!Z785+'Perfil - externa'!Z783</f>
        <v>36545606.527345866</v>
      </c>
      <c r="AA785" s="224">
        <f>'Perfil - interna'!AA785+'Perfil - externa'!AA783</f>
        <v>33362690.13174814</v>
      </c>
      <c r="AB785" s="224">
        <f>'Perfil - interna'!AB785+'Perfil - externa'!AB783</f>
        <v>30990619.510130078</v>
      </c>
      <c r="AC785" s="224">
        <f>'Perfil - interna'!AC785+'Perfil - externa'!AC783</f>
        <v>28162366.286291365</v>
      </c>
      <c r="AD785" s="224">
        <f>'Perfil - interna'!AD785+'Perfil - externa'!AD783</f>
        <v>25598634.986014277</v>
      </c>
      <c r="AE785" s="224">
        <f>'Perfil - interna'!AE785+'Perfil - externa'!AE783</f>
        <v>23298575.157754622</v>
      </c>
      <c r="AF785" s="224">
        <f>'Perfil - interna'!AF785+'Perfil - externa'!AF783</f>
        <v>22493411.391275056</v>
      </c>
      <c r="AG785" s="224">
        <f>'Perfil - interna'!AG785+'Perfil - externa'!AG783</f>
        <v>20343188.952359147</v>
      </c>
      <c r="AH785" s="224">
        <f>'Perfil - interna'!AH785+'Perfil - externa'!AH783</f>
        <v>17827489.394705188</v>
      </c>
      <c r="AI785" s="224">
        <f>'Perfil - interna'!AI785+'Perfil - externa'!AI783</f>
        <v>15547520.616493225</v>
      </c>
      <c r="AJ785" s="224">
        <f>'Perfil - interna'!AJ785+'Perfil - externa'!AJ783</f>
        <v>14810179.82900824</v>
      </c>
      <c r="AK785" s="224">
        <f>'Perfil - interna'!AK785+'Perfil - externa'!AK783</f>
        <v>12713627.137025714</v>
      </c>
      <c r="AL785" s="224">
        <f>'Perfil - interna'!AL785+'Perfil - externa'!AL783</f>
        <v>10818442.544315249</v>
      </c>
      <c r="AM785" s="224">
        <f>'Perfil - interna'!AM785+'Perfil - externa'!AM783</f>
        <v>9928467.6187477931</v>
      </c>
      <c r="AN785" s="224">
        <f>'Perfil - interna'!AN785+'Perfil - externa'!AN783</f>
        <v>7769727.7118352912</v>
      </c>
      <c r="AO785" s="224">
        <f>'Perfil - interna'!AO785+'Perfil - externa'!AO783</f>
        <v>7709377.6839718278</v>
      </c>
      <c r="AP785" s="224">
        <f>'Perfil - interna'!AP785+'Perfil - externa'!AP783</f>
        <v>7568000.1066802219</v>
      </c>
      <c r="AQ785" s="224">
        <f>'Perfil - interna'!AQ785+'Perfil - externa'!AQ783</f>
        <v>7136186.5255519673</v>
      </c>
      <c r="AR785" s="224">
        <f>'Perfil - interna'!AR785+'Perfil - externa'!AR783</f>
        <v>6695542.5468489844</v>
      </c>
      <c r="AS785" s="224">
        <f>'Perfil - interna'!AS785+'Perfil - externa'!AS783</f>
        <v>5112558.921633929</v>
      </c>
      <c r="AT785" s="224">
        <f>'Perfil - interna'!AT785+'Perfil - externa'!AT783</f>
        <v>4807193.4501459263</v>
      </c>
      <c r="AU785" s="224">
        <f>'Perfil - interna'!AU785+'Perfil - externa'!AU783</f>
        <v>4012885.6133778472</v>
      </c>
      <c r="AV785" s="224">
        <f>'Perfil - interna'!AV785+'Perfil - externa'!AV783</f>
        <v>3526827.4456747873</v>
      </c>
      <c r="AW785" s="224">
        <f>'Perfil - interna'!AW785+'Perfil - externa'!AW783</f>
        <v>3524908.5744342515</v>
      </c>
      <c r="AX785" s="224">
        <f>'Perfil - interna'!AX785+'Perfil - externa'!AX783</f>
        <v>3526504.4948315285</v>
      </c>
      <c r="AY785" s="224">
        <f>'Perfil - interna'!AY785+'Perfil - externa'!AY783</f>
        <v>3201921.3564367862</v>
      </c>
      <c r="AZ785" s="224">
        <f>'Perfil - interna'!AZ785+'Perfil - externa'!AZ783</f>
        <v>1810455.8400637181</v>
      </c>
      <c r="BA785" s="224">
        <f>'Perfil - interna'!BA785+'Perfil - externa'!BA783</f>
        <v>353415.97465277778</v>
      </c>
      <c r="BB785" s="224">
        <f>'Perfil - interna'!BB785+'Perfil - externa'!BB783</f>
        <v>220238.07270833332</v>
      </c>
      <c r="BC785" s="224">
        <f>'Perfil - interna'!BC785+'Perfil - externa'!BC783</f>
        <v>219636.32934027779</v>
      </c>
      <c r="BD785" s="224">
        <f>'Perfil - interna'!BD785+'Perfil - externa'!BD783</f>
        <v>219636.32934027779</v>
      </c>
      <c r="BE785" s="224">
        <f>'Perfil - interna'!BE785+'Perfil - externa'!BE783</f>
        <v>219636.32934027779</v>
      </c>
      <c r="BF785" s="224">
        <f>'Perfil - interna'!BF785+'Perfil - externa'!BF783</f>
        <v>220238.07270833332</v>
      </c>
      <c r="BG785" s="224">
        <f>'Perfil - interna'!BG785+'Perfil - externa'!BG783</f>
        <v>219636.32934027779</v>
      </c>
      <c r="BH785" s="224">
        <f>'Perfil - interna'!BH785+'Perfil - externa'!BH783</f>
        <v>219636.32934027779</v>
      </c>
      <c r="BI785" s="224">
        <f>'Perfil - interna'!BI785+'Perfil - externa'!BI783</f>
        <v>219636.32934027779</v>
      </c>
      <c r="BJ785" s="224">
        <f>'Perfil - interna'!BJ785+'Perfil - externa'!BJ783</f>
        <v>220238.07270833332</v>
      </c>
      <c r="BK785" s="224">
        <f>'Perfil - interna'!BK785+'Perfil - externa'!BK783</f>
        <v>110720.77972222221</v>
      </c>
    </row>
    <row r="786" spans="1:63">
      <c r="A786" s="279"/>
      <c r="B786" s="307" t="s">
        <v>29</v>
      </c>
      <c r="C786" s="321"/>
      <c r="D786" s="321"/>
      <c r="E786" s="321"/>
      <c r="F786" s="321"/>
      <c r="G786" s="321"/>
      <c r="H786" s="321"/>
      <c r="I786" s="321"/>
      <c r="J786" s="321"/>
      <c r="K786" s="321"/>
      <c r="L786" s="321"/>
      <c r="M786" s="321"/>
      <c r="N786" s="321"/>
      <c r="O786" s="321"/>
      <c r="P786" s="321"/>
      <c r="Q786" s="321"/>
      <c r="R786" s="321"/>
      <c r="S786" s="321"/>
      <c r="T786" s="321"/>
      <c r="U786" s="321"/>
      <c r="V786" s="321"/>
      <c r="W786" s="321"/>
      <c r="X786" s="321">
        <f>+X784+X785</f>
        <v>19148508.795835804</v>
      </c>
      <c r="Y786" s="321">
        <f t="shared" ref="Y786:BG786" si="74">+Y784+Y785</f>
        <v>113763982.39592516</v>
      </c>
      <c r="Z786" s="321">
        <f t="shared" si="74"/>
        <v>88386078.83200413</v>
      </c>
      <c r="AA786" s="321">
        <f t="shared" si="74"/>
        <v>90649882.768910319</v>
      </c>
      <c r="AB786" s="321">
        <f t="shared" si="74"/>
        <v>80776367.032160014</v>
      </c>
      <c r="AC786" s="321">
        <f t="shared" si="74"/>
        <v>89862393.564922541</v>
      </c>
      <c r="AD786" s="321">
        <f t="shared" si="74"/>
        <v>68414162.872343317</v>
      </c>
      <c r="AE786" s="321">
        <f t="shared" si="74"/>
        <v>54812789.003688671</v>
      </c>
      <c r="AF786" s="321">
        <f t="shared" si="74"/>
        <v>62429328.392043583</v>
      </c>
      <c r="AG786" s="321">
        <f t="shared" si="74"/>
        <v>70976825.416469112</v>
      </c>
      <c r="AH786" s="321">
        <f t="shared" si="74"/>
        <v>63005669.602113351</v>
      </c>
      <c r="AI786" s="321">
        <f t="shared" si="74"/>
        <v>39508497.050695285</v>
      </c>
      <c r="AJ786" s="321">
        <f t="shared" si="74"/>
        <v>49679037.932227984</v>
      </c>
      <c r="AK786" s="321">
        <f t="shared" si="74"/>
        <v>45388824.240678675</v>
      </c>
      <c r="AL786" s="321">
        <f t="shared" si="74"/>
        <v>32644219.945062608</v>
      </c>
      <c r="AM786" s="321">
        <f t="shared" si="74"/>
        <v>46690549.9872289</v>
      </c>
      <c r="AN786" s="321">
        <f t="shared" si="74"/>
        <v>10631530.237645559</v>
      </c>
      <c r="AO786" s="321">
        <f t="shared" si="74"/>
        <v>11902020.671686858</v>
      </c>
      <c r="AP786" s="321">
        <f t="shared" si="74"/>
        <v>12398434.675149882</v>
      </c>
      <c r="AQ786" s="321">
        <f t="shared" si="74"/>
        <v>18677381.203311577</v>
      </c>
      <c r="AR786" s="321">
        <f t="shared" si="74"/>
        <v>27278552.586420469</v>
      </c>
      <c r="AS786" s="321">
        <f t="shared" si="74"/>
        <v>5246565.0529869413</v>
      </c>
      <c r="AT786" s="321">
        <f t="shared" si="74"/>
        <v>15683684.697593244</v>
      </c>
      <c r="AU786" s="321">
        <f t="shared" si="74"/>
        <v>23483805.624644905</v>
      </c>
      <c r="AV786" s="321">
        <f t="shared" si="74"/>
        <v>3645326.1406740099</v>
      </c>
      <c r="AW786" s="321">
        <f t="shared" si="74"/>
        <v>3620162.4045686093</v>
      </c>
      <c r="AX786" s="321">
        <f t="shared" si="74"/>
        <v>3621758.3249658863</v>
      </c>
      <c r="AY786" s="321">
        <f t="shared" si="74"/>
        <v>31670568.548413247</v>
      </c>
      <c r="AZ786" s="321">
        <f t="shared" si="74"/>
        <v>20085471.544562414</v>
      </c>
      <c r="BA786" s="321">
        <f t="shared" si="74"/>
        <v>6803865.9746527774</v>
      </c>
      <c r="BB786" s="321">
        <f t="shared" si="74"/>
        <v>220238.07270833332</v>
      </c>
      <c r="BC786" s="321">
        <f t="shared" si="74"/>
        <v>219636.32934027779</v>
      </c>
      <c r="BD786" s="321">
        <f t="shared" si="74"/>
        <v>219636.32934027779</v>
      </c>
      <c r="BE786" s="321">
        <f t="shared" si="74"/>
        <v>219636.32934027779</v>
      </c>
      <c r="BF786" s="321">
        <f t="shared" si="74"/>
        <v>220238.07270833332</v>
      </c>
      <c r="BG786" s="321">
        <f t="shared" si="74"/>
        <v>219636.32934027779</v>
      </c>
      <c r="BH786" s="321">
        <f>+BH784+BH785</f>
        <v>219636.32934027779</v>
      </c>
      <c r="BI786" s="321">
        <f>+BI784+BI785</f>
        <v>219636.32934027779</v>
      </c>
      <c r="BJ786" s="321">
        <f>+BJ784+BJ785</f>
        <v>220238.07270833332</v>
      </c>
      <c r="BK786" s="321">
        <f>+BK784+BK785</f>
        <v>5701110.7797222221</v>
      </c>
    </row>
    <row r="787" spans="1:63">
      <c r="A787" s="278"/>
      <c r="B787" s="210" t="s">
        <v>28</v>
      </c>
      <c r="C787" s="224"/>
      <c r="D787" s="224"/>
      <c r="E787" s="224"/>
      <c r="F787" s="224"/>
      <c r="G787" s="224"/>
      <c r="H787" s="224"/>
      <c r="I787" s="224"/>
      <c r="J787" s="224"/>
      <c r="K787" s="224"/>
      <c r="L787" s="224"/>
      <c r="M787" s="224"/>
      <c r="N787" s="224"/>
      <c r="O787" s="224"/>
      <c r="P787" s="224"/>
      <c r="Q787" s="224"/>
      <c r="R787" s="224"/>
      <c r="S787" s="224"/>
      <c r="T787" s="224"/>
      <c r="U787" s="224"/>
      <c r="V787" s="224"/>
      <c r="W787" s="224"/>
      <c r="X787" s="224">
        <f>'Perfil - interna'!X787+'Perfil - externa'!X785</f>
        <v>4717242.7185122874</v>
      </c>
      <c r="Y787" s="224">
        <f>'Perfil - interna'!Y787+'Perfil - externa'!Y785</f>
        <v>76476529.390963405</v>
      </c>
      <c r="Z787" s="224">
        <f>'Perfil - interna'!Z787+'Perfil - externa'!Z785</f>
        <v>53098356.978194498</v>
      </c>
      <c r="AA787" s="224">
        <f>'Perfil - interna'!AA787+'Perfil - externa'!AA785</f>
        <v>58372988.104401782</v>
      </c>
      <c r="AB787" s="224">
        <f>'Perfil - interna'!AB787+'Perfil - externa'!AB785</f>
        <v>50753294.218386084</v>
      </c>
      <c r="AC787" s="224">
        <f>'Perfil - interna'!AC787+'Perfil - externa'!AC785</f>
        <v>62982810.49219352</v>
      </c>
      <c r="AD787" s="224">
        <f>'Perfil - interna'!AD787+'Perfil - externa'!AD785</f>
        <v>43478725.979284942</v>
      </c>
      <c r="AE787" s="224">
        <f>'Perfil - interna'!AE787+'Perfil - externa'!AE785</f>
        <v>33396835.135300025</v>
      </c>
      <c r="AF787" s="224">
        <f>'Perfil - interna'!AF787+'Perfil - externa'!AF785</f>
        <v>40864278.442593522</v>
      </c>
      <c r="AG787" s="224">
        <f>'Perfil - interna'!AG787+'Perfil - externa'!AG785</f>
        <v>54346759.171589211</v>
      </c>
      <c r="AH787" s="224">
        <f>'Perfil - interna'!AH787+'Perfil - externa'!AH785</f>
        <v>46156711.824244812</v>
      </c>
      <c r="AI787" s="224">
        <f>'Perfil - interna'!AI787+'Perfil - externa'!AI785</f>
        <v>24684701.899607986</v>
      </c>
      <c r="AJ787" s="224">
        <f>'Perfil - interna'!AJ787+'Perfil - externa'!AJ785</f>
        <v>35347435.012653634</v>
      </c>
      <c r="AK787" s="224">
        <f>'Perfil - interna'!AK787+'Perfil - externa'!AK785</f>
        <v>34826858.348926947</v>
      </c>
      <c r="AL787" s="224">
        <f>'Perfil - interna'!AL787+'Perfil - externa'!AL785</f>
        <v>22267161.779899135</v>
      </c>
      <c r="AM787" s="224">
        <f>'Perfil - interna'!AM787+'Perfil - externa'!AM785</f>
        <v>38277562.776858285</v>
      </c>
      <c r="AN787" s="224">
        <f>'Perfil - interna'!AN787+'Perfil - externa'!AN785</f>
        <v>3011243.9648654507</v>
      </c>
      <c r="AO787" s="224">
        <f>'Perfil - interna'!AO787+'Perfil - externa'!AO785</f>
        <v>4413811.723436879</v>
      </c>
      <c r="AP787" s="224">
        <f>'Perfil - interna'!AP787+'Perfil - externa'!AP785</f>
        <v>5086178.1170497639</v>
      </c>
      <c r="AQ787" s="224">
        <f>'Perfil - interna'!AQ787+'Perfil - externa'!AQ785</f>
        <v>12161356.861026395</v>
      </c>
      <c r="AR787" s="224">
        <f>'Perfil - interna'!AR787+'Perfil - externa'!AR785</f>
        <v>22349667.800600097</v>
      </c>
      <c r="AS787" s="224">
        <f>'Perfil - interna'!AS787+'Perfil - externa'!AS785</f>
        <v>138942.09662463097</v>
      </c>
      <c r="AT787" s="224">
        <f>'Perfil - interna'!AT787+'Perfil - externa'!AT785</f>
        <v>11460345.573308896</v>
      </c>
      <c r="AU787" s="224">
        <f>'Perfil - interna'!AU787+'Perfil - externa'!AU785</f>
        <v>20517920.537458461</v>
      </c>
      <c r="AV787" s="224">
        <f>'Perfil - interna'!AV787+'Perfil - externa'!AV785</f>
        <v>122476.48127215871</v>
      </c>
      <c r="AW787" s="224">
        <f>'Perfil - interna'!AW787+'Perfil - externa'!AW785</f>
        <v>97978.805596483042</v>
      </c>
      <c r="AX787" s="224">
        <f>'Perfil - interna'!AX787+'Perfil - externa'!AX785</f>
        <v>97978.805596483042</v>
      </c>
      <c r="AY787" s="224">
        <f>'Perfil - interna'!AY787+'Perfil - externa'!AY785</f>
        <v>29615461.797597282</v>
      </c>
      <c r="AZ787" s="224">
        <f>'Perfil - interna'!AZ787+'Perfil - externa'!AZ785</f>
        <v>19313880.677815717</v>
      </c>
      <c r="BA787" s="224">
        <f>'Perfil - interna'!BA787+'Perfil - externa'!BA785</f>
        <v>6798105</v>
      </c>
      <c r="BB787" s="224">
        <f>'Perfil - interna'!BB787+'Perfil - externa'!BB785</f>
        <v>0</v>
      </c>
      <c r="BC787" s="224">
        <f>'Perfil - interna'!BC787+'Perfil - externa'!BC785</f>
        <v>0</v>
      </c>
      <c r="BD787" s="224">
        <f>'Perfil - interna'!BD787+'Perfil - externa'!BD785</f>
        <v>0</v>
      </c>
      <c r="BE787" s="224">
        <f>'Perfil - interna'!BE787+'Perfil - externa'!BE785</f>
        <v>0</v>
      </c>
      <c r="BF787" s="224">
        <f>'Perfil - interna'!BF787+'Perfil - externa'!BF785</f>
        <v>0</v>
      </c>
      <c r="BG787" s="224">
        <f>'Perfil - interna'!BG787+'Perfil - externa'!BG785</f>
        <v>0</v>
      </c>
      <c r="BH787" s="224">
        <f>'Perfil - interna'!BH787+'Perfil - externa'!BH785</f>
        <v>0</v>
      </c>
      <c r="BI787" s="224">
        <f>'Perfil - interna'!BI787+'Perfil - externa'!BI785</f>
        <v>0</v>
      </c>
      <c r="BJ787" s="224">
        <f>'Perfil - interna'!BJ787+'Perfil - externa'!BJ785</f>
        <v>0</v>
      </c>
      <c r="BK787" s="224">
        <f>'Perfil - interna'!BK787+'Perfil - externa'!BK785</f>
        <v>5891691</v>
      </c>
    </row>
    <row r="788" spans="1:63">
      <c r="A788" s="168">
        <v>44834</v>
      </c>
      <c r="B788" s="213" t="s">
        <v>385</v>
      </c>
      <c r="C788" s="224"/>
      <c r="D788" s="224"/>
      <c r="E788" s="224"/>
      <c r="F788" s="224"/>
      <c r="G788" s="224"/>
      <c r="H788" s="224"/>
      <c r="I788" s="224"/>
      <c r="J788" s="224"/>
      <c r="K788" s="224"/>
      <c r="L788" s="224"/>
      <c r="M788" s="224"/>
      <c r="N788" s="224"/>
      <c r="O788" s="224"/>
      <c r="P788" s="224"/>
      <c r="Q788" s="224"/>
      <c r="R788" s="224"/>
      <c r="S788" s="224"/>
      <c r="T788" s="224"/>
      <c r="U788" s="224"/>
      <c r="V788" s="224"/>
      <c r="W788" s="224"/>
      <c r="X788" s="224">
        <f>'Perfil - interna'!X788+'Perfil - externa'!X786</f>
        <v>8683646.7291438282</v>
      </c>
      <c r="Y788" s="224">
        <f>'Perfil - interna'!Y788+'Perfil - externa'!Y786</f>
        <v>40513044.928839311</v>
      </c>
      <c r="Z788" s="224">
        <f>'Perfil - interna'!Z788+'Perfil - externa'!Z786</f>
        <v>38282777.038854048</v>
      </c>
      <c r="AA788" s="224">
        <f>'Perfil - interna'!AA788+'Perfil - externa'!AA786</f>
        <v>34811596.432002842</v>
      </c>
      <c r="AB788" s="224">
        <f>'Perfil - interna'!AB788+'Perfil - externa'!AB786</f>
        <v>32224036.905841857</v>
      </c>
      <c r="AC788" s="224">
        <f>'Perfil - interna'!AC788+'Perfil - externa'!AC786</f>
        <v>29356361.949312784</v>
      </c>
      <c r="AD788" s="224">
        <f>'Perfil - interna'!AD788+'Perfil - externa'!AD786</f>
        <v>26754969.568701401</v>
      </c>
      <c r="AE788" s="224">
        <f>'Perfil - interna'!AE788+'Perfil - externa'!AE786</f>
        <v>24409049.52344355</v>
      </c>
      <c r="AF788" s="224">
        <f>'Perfil - interna'!AF788+'Perfil - externa'!AF786</f>
        <v>23536610.738524403</v>
      </c>
      <c r="AG788" s="224">
        <f>'Perfil - interna'!AG788+'Perfil - externa'!AG786</f>
        <v>21343199.052653186</v>
      </c>
      <c r="AH788" s="224">
        <f>'Perfil - interna'!AH788+'Perfil - externa'!AH786</f>
        <v>18607323.294574972</v>
      </c>
      <c r="AI788" s="224">
        <f>'Perfil - interna'!AI788+'Perfil - externa'!AI786</f>
        <v>16292587.308750011</v>
      </c>
      <c r="AJ788" s="224">
        <f>'Perfil - interna'!AJ788+'Perfil - externa'!AJ786</f>
        <v>15532154.81049121</v>
      </c>
      <c r="AK788" s="224">
        <f>'Perfil - interna'!AK788+'Perfil - externa'!AK786</f>
        <v>13413952.919047469</v>
      </c>
      <c r="AL788" s="224">
        <f>'Perfil - interna'!AL788+'Perfil - externa'!AL786</f>
        <v>11390708.445485998</v>
      </c>
      <c r="AM788" s="224">
        <f>'Perfil - interna'!AM788+'Perfil - externa'!AM786</f>
        <v>10483078.744385256</v>
      </c>
      <c r="AN788" s="224">
        <f>'Perfil - interna'!AN788+'Perfil - externa'!AN786</f>
        <v>8245493.8512775805</v>
      </c>
      <c r="AO788" s="224">
        <f>'Perfil - interna'!AO788+'Perfil - externa'!AO786</f>
        <v>8173166.2729560845</v>
      </c>
      <c r="AP788" s="224">
        <f>'Perfil - interna'!AP788+'Perfil - externa'!AP786</f>
        <v>8015462.265790984</v>
      </c>
      <c r="AQ788" s="224">
        <f>'Perfil - interna'!AQ788+'Perfil - externa'!AQ786</f>
        <v>7553457.914252108</v>
      </c>
      <c r="AR788" s="224">
        <f>'Perfil - interna'!AR788+'Perfil - externa'!AR786</f>
        <v>7085711.035073502</v>
      </c>
      <c r="AS788" s="224">
        <f>'Perfil - interna'!AS788+'Perfil - externa'!AS786</f>
        <v>5356252.446086973</v>
      </c>
      <c r="AT788" s="224">
        <f>'Perfil - interna'!AT788+'Perfil - externa'!AT786</f>
        <v>5034644.0905950461</v>
      </c>
      <c r="AU788" s="224">
        <f>'Perfil - interna'!AU788+'Perfil - externa'!AU786</f>
        <v>4197713.705326342</v>
      </c>
      <c r="AV788" s="224">
        <f>'Perfil - interna'!AV788+'Perfil - externa'!AV786</f>
        <v>3685504.23103507</v>
      </c>
      <c r="AW788" s="224">
        <f>'Perfil - interna'!AW788+'Perfil - externa'!AW786</f>
        <v>3683520.9631845104</v>
      </c>
      <c r="AX788" s="224">
        <f>'Perfil - interna'!AX788+'Perfil - externa'!AX786</f>
        <v>3685241.9210247127</v>
      </c>
      <c r="AY788" s="224">
        <f>'Perfil - interna'!AY788+'Perfil - externa'!AY786</f>
        <v>3343203.9953034092</v>
      </c>
      <c r="AZ788" s="224">
        <f>'Perfil - interna'!AZ788+'Perfil - externa'!AZ786</f>
        <v>1912036.3319165083</v>
      </c>
      <c r="BA788" s="224">
        <f>'Perfil - interna'!BA788+'Perfil - externa'!BA786</f>
        <v>372463.76677083329</v>
      </c>
      <c r="BB788" s="224">
        <f>'Perfil - interna'!BB788+'Perfil - externa'!BB786</f>
        <v>232108.07668749997</v>
      </c>
      <c r="BC788" s="224">
        <f>'Perfil - interna'!BC788+'Perfil - externa'!BC786</f>
        <v>231473.90161458333</v>
      </c>
      <c r="BD788" s="224">
        <f>'Perfil - interna'!BD788+'Perfil - externa'!BD786</f>
        <v>231473.90161458333</v>
      </c>
      <c r="BE788" s="224">
        <f>'Perfil - interna'!BE788+'Perfil - externa'!BE786</f>
        <v>231473.90161458333</v>
      </c>
      <c r="BF788" s="224">
        <f>'Perfil - interna'!BF788+'Perfil - externa'!BF786</f>
        <v>232108.07668749997</v>
      </c>
      <c r="BG788" s="224">
        <f>'Perfil - interna'!BG788+'Perfil - externa'!BG786</f>
        <v>231473.90161458333</v>
      </c>
      <c r="BH788" s="224">
        <f>'Perfil - interna'!BH788+'Perfil - externa'!BH786</f>
        <v>231473.90161458333</v>
      </c>
      <c r="BI788" s="224">
        <f>'Perfil - interna'!BI788+'Perfil - externa'!BI786</f>
        <v>231473.90161458333</v>
      </c>
      <c r="BJ788" s="224">
        <f>'Perfil - interna'!BJ788+'Perfil - externa'!BJ786</f>
        <v>232108.07668749997</v>
      </c>
      <c r="BK788" s="224">
        <f>'Perfil - interna'!BK788+'Perfil - externa'!BK786</f>
        <v>116688.21341666665</v>
      </c>
    </row>
    <row r="789" spans="1:63">
      <c r="A789" s="279"/>
      <c r="B789" s="307" t="s">
        <v>29</v>
      </c>
      <c r="C789" s="321"/>
      <c r="D789" s="321"/>
      <c r="E789" s="321"/>
      <c r="F789" s="321"/>
      <c r="G789" s="321"/>
      <c r="H789" s="321"/>
      <c r="I789" s="321"/>
      <c r="J789" s="321"/>
      <c r="K789" s="321"/>
      <c r="L789" s="321"/>
      <c r="M789" s="321"/>
      <c r="N789" s="321"/>
      <c r="O789" s="321"/>
      <c r="P789" s="321"/>
      <c r="Q789" s="321"/>
      <c r="R789" s="321"/>
      <c r="S789" s="321"/>
      <c r="T789" s="321"/>
      <c r="U789" s="321"/>
      <c r="V789" s="321"/>
      <c r="W789" s="321"/>
      <c r="X789" s="321">
        <f>+X787+X788</f>
        <v>13400889.447656116</v>
      </c>
      <c r="Y789" s="321">
        <f t="shared" ref="Y789:BG789" si="75">+Y787+Y788</f>
        <v>116989574.31980272</v>
      </c>
      <c r="Z789" s="321">
        <f t="shared" si="75"/>
        <v>91381134.017048538</v>
      </c>
      <c r="AA789" s="321">
        <f t="shared" si="75"/>
        <v>93184584.536404625</v>
      </c>
      <c r="AB789" s="321">
        <f t="shared" si="75"/>
        <v>82977331.124227941</v>
      </c>
      <c r="AC789" s="321">
        <f t="shared" si="75"/>
        <v>92339172.441506296</v>
      </c>
      <c r="AD789" s="321">
        <f t="shared" si="75"/>
        <v>70233695.547986344</v>
      </c>
      <c r="AE789" s="321">
        <f t="shared" si="75"/>
        <v>57805884.658743575</v>
      </c>
      <c r="AF789" s="321">
        <f t="shared" si="75"/>
        <v>64400889.181117922</v>
      </c>
      <c r="AG789" s="321">
        <f t="shared" si="75"/>
        <v>75689958.224242389</v>
      </c>
      <c r="AH789" s="321">
        <f t="shared" si="75"/>
        <v>64764035.118819788</v>
      </c>
      <c r="AI789" s="321">
        <f t="shared" si="75"/>
        <v>40977289.208357997</v>
      </c>
      <c r="AJ789" s="321">
        <f t="shared" si="75"/>
        <v>50879589.823144846</v>
      </c>
      <c r="AK789" s="321">
        <f t="shared" si="75"/>
        <v>48240811.267974414</v>
      </c>
      <c r="AL789" s="321">
        <f t="shared" si="75"/>
        <v>33657870.225385129</v>
      </c>
      <c r="AM789" s="321">
        <f t="shared" si="75"/>
        <v>48760641.521243542</v>
      </c>
      <c r="AN789" s="321">
        <f t="shared" si="75"/>
        <v>11256737.816143032</v>
      </c>
      <c r="AO789" s="321">
        <f t="shared" si="75"/>
        <v>12586977.996392963</v>
      </c>
      <c r="AP789" s="321">
        <f t="shared" si="75"/>
        <v>13101640.382840749</v>
      </c>
      <c r="AQ789" s="321">
        <f t="shared" si="75"/>
        <v>19714814.775278501</v>
      </c>
      <c r="AR789" s="321">
        <f t="shared" si="75"/>
        <v>29435378.8356736</v>
      </c>
      <c r="AS789" s="321">
        <f t="shared" si="75"/>
        <v>5495194.5427116044</v>
      </c>
      <c r="AT789" s="321">
        <f t="shared" si="75"/>
        <v>16494989.663903942</v>
      </c>
      <c r="AU789" s="321">
        <f t="shared" si="75"/>
        <v>24715634.242784802</v>
      </c>
      <c r="AV789" s="321">
        <f t="shared" si="75"/>
        <v>3807980.7123072287</v>
      </c>
      <c r="AW789" s="321">
        <f t="shared" si="75"/>
        <v>3781499.7687809933</v>
      </c>
      <c r="AX789" s="321">
        <f t="shared" si="75"/>
        <v>3783220.7266211957</v>
      </c>
      <c r="AY789" s="321">
        <f t="shared" si="75"/>
        <v>32958665.792900689</v>
      </c>
      <c r="AZ789" s="321">
        <f t="shared" si="75"/>
        <v>21225917.009732224</v>
      </c>
      <c r="BA789" s="321">
        <f t="shared" si="75"/>
        <v>7170568.7667708332</v>
      </c>
      <c r="BB789" s="321">
        <f t="shared" si="75"/>
        <v>232108.07668749997</v>
      </c>
      <c r="BC789" s="321">
        <f t="shared" si="75"/>
        <v>231473.90161458333</v>
      </c>
      <c r="BD789" s="321">
        <f t="shared" si="75"/>
        <v>231473.90161458333</v>
      </c>
      <c r="BE789" s="321">
        <f t="shared" si="75"/>
        <v>231473.90161458333</v>
      </c>
      <c r="BF789" s="321">
        <f t="shared" si="75"/>
        <v>232108.07668749997</v>
      </c>
      <c r="BG789" s="321">
        <f t="shared" si="75"/>
        <v>231473.90161458333</v>
      </c>
      <c r="BH789" s="321">
        <f>+BH787+BH788</f>
        <v>231473.90161458333</v>
      </c>
      <c r="BI789" s="321">
        <f>+BI787+BI788</f>
        <v>231473.90161458333</v>
      </c>
      <c r="BJ789" s="321">
        <f>+BJ787+BJ788</f>
        <v>232108.07668749997</v>
      </c>
      <c r="BK789" s="321">
        <f>+BK787+BK788</f>
        <v>6008379.2134166667</v>
      </c>
    </row>
    <row r="790" spans="1:63">
      <c r="A790" s="278"/>
      <c r="B790" s="210" t="s">
        <v>28</v>
      </c>
      <c r="C790" s="224"/>
      <c r="D790" s="224"/>
      <c r="E790" s="224"/>
      <c r="F790" s="224"/>
      <c r="G790" s="224"/>
      <c r="H790" s="224"/>
      <c r="I790" s="224"/>
      <c r="J790" s="224"/>
      <c r="K790" s="224"/>
      <c r="L790" s="224"/>
      <c r="M790" s="224"/>
      <c r="N790" s="224"/>
      <c r="O790" s="224"/>
      <c r="P790" s="224"/>
      <c r="Q790" s="224"/>
      <c r="R790" s="224"/>
      <c r="S790" s="224"/>
      <c r="T790" s="224"/>
      <c r="U790" s="224"/>
      <c r="V790" s="224"/>
      <c r="W790" s="224"/>
      <c r="X790" s="224">
        <f>'Perfil - interna'!X790+'Perfil - externa'!X788</f>
        <v>4446368.5521653229</v>
      </c>
      <c r="Y790" s="224">
        <f>'Perfil - interna'!Y790+'Perfil - externa'!Y788</f>
        <v>80336503.75814411</v>
      </c>
      <c r="Z790" s="224">
        <f>'Perfil - interna'!Z790+'Perfil - externa'!Z788</f>
        <v>54927823.313739508</v>
      </c>
      <c r="AA790" s="224">
        <f>'Perfil - interna'!AA790+'Perfil - externa'!AA788</f>
        <v>59929350.572572276</v>
      </c>
      <c r="AB790" s="224">
        <f>'Perfil - interna'!AB790+'Perfil - externa'!AB788</f>
        <v>52115681.473505482</v>
      </c>
      <c r="AC790" s="224">
        <f>'Perfil - interna'!AC790+'Perfil - externa'!AC788</f>
        <v>64438643.937737405</v>
      </c>
      <c r="AD790" s="224">
        <f>'Perfil - interna'!AD790+'Perfil - externa'!AD788</f>
        <v>44245843.053305984</v>
      </c>
      <c r="AE790" s="224">
        <f>'Perfil - interna'!AE790+'Perfil - externa'!AE788</f>
        <v>35020141.024687961</v>
      </c>
      <c r="AF790" s="224">
        <f>'Perfil - interna'!AF790+'Perfil - externa'!AF788</f>
        <v>41949434.279040664</v>
      </c>
      <c r="AG790" s="224">
        <f>'Perfil - interna'!AG790+'Perfil - externa'!AG788</f>
        <v>56446188.168999411</v>
      </c>
      <c r="AH790" s="224">
        <f>'Perfil - interna'!AH790+'Perfil - externa'!AH788</f>
        <v>47293668.618634343</v>
      </c>
      <c r="AI790" s="224">
        <f>'Perfil - interna'!AI790+'Perfil - externa'!AI788</f>
        <v>25489358.827119764</v>
      </c>
      <c r="AJ790" s="224">
        <f>'Perfil - interna'!AJ790+'Perfil - externa'!AJ788</f>
        <v>35843346.94485496</v>
      </c>
      <c r="AK790" s="224">
        <f>'Perfil - interna'!AK790+'Perfil - externa'!AK788</f>
        <v>35937365.214550816</v>
      </c>
      <c r="AL790" s="224">
        <f>'Perfil - interna'!AL790+'Perfil - externa'!AL788</f>
        <v>22962263.339161679</v>
      </c>
      <c r="AM790" s="224">
        <f>'Perfil - interna'!AM790+'Perfil - externa'!AM788</f>
        <v>39565178.089372143</v>
      </c>
      <c r="AN790" s="224">
        <f>'Perfil - interna'!AN790+'Perfil - externa'!AN788</f>
        <v>3199362.0182241248</v>
      </c>
      <c r="AO790" s="224">
        <f>'Perfil - interna'!AO790+'Perfil - externa'!AO788</f>
        <v>4690857.7601288874</v>
      </c>
      <c r="AP790" s="224">
        <f>'Perfil - interna'!AP790+'Perfil - externa'!AP788</f>
        <v>5408255.1338909436</v>
      </c>
      <c r="AQ790" s="224">
        <f>'Perfil - interna'!AQ790+'Perfil - externa'!AQ788</f>
        <v>12933887.066987814</v>
      </c>
      <c r="AR790" s="224">
        <f>'Perfil - interna'!AR790+'Perfil - externa'!AR788</f>
        <v>23400608.170381688</v>
      </c>
      <c r="AS790" s="224">
        <f>'Perfil - interna'!AS790+'Perfil - externa'!AS788</f>
        <v>149206.74125256843</v>
      </c>
      <c r="AT790" s="224">
        <f>'Perfil - interna'!AT790+'Perfil - externa'!AT788</f>
        <v>12188107.776249811</v>
      </c>
      <c r="AU790" s="224">
        <f>'Perfil - interna'!AU790+'Perfil - externa'!AU788</f>
        <v>21819645.198178809</v>
      </c>
      <c r="AV790" s="224">
        <f>'Perfil - interna'!AV790+'Perfil - externa'!AV788</f>
        <v>131054.55565444048</v>
      </c>
      <c r="AW790" s="224">
        <f>'Perfil - interna'!AW790+'Perfil - externa'!AW788</f>
        <v>105003.63673552158</v>
      </c>
      <c r="AX790" s="224">
        <f>'Perfil - interna'!AX790+'Perfil - externa'!AX788</f>
        <v>105003.63673552158</v>
      </c>
      <c r="AY790" s="224">
        <f>'Perfil - interna'!AY790+'Perfil - externa'!AY788</f>
        <v>30815576.281543523</v>
      </c>
      <c r="AZ790" s="224">
        <f>'Perfil - interna'!AZ790+'Perfil - externa'!AZ788</f>
        <v>19505437.006821763</v>
      </c>
      <c r="BA790" s="224">
        <f>'Perfil - interna'!BA790+'Perfil - externa'!BA788</f>
        <v>7229130</v>
      </c>
      <c r="BB790" s="224">
        <f>'Perfil - interna'!BB790+'Perfil - externa'!BB788</f>
        <v>0</v>
      </c>
      <c r="BC790" s="224">
        <f>'Perfil - interna'!BC790+'Perfil - externa'!BC788</f>
        <v>0</v>
      </c>
      <c r="BD790" s="224">
        <f>'Perfil - interna'!BD790+'Perfil - externa'!BD788</f>
        <v>0</v>
      </c>
      <c r="BE790" s="224">
        <f>'Perfil - interna'!BE790+'Perfil - externa'!BE788</f>
        <v>0</v>
      </c>
      <c r="BF790" s="224">
        <f>'Perfil - interna'!BF790+'Perfil - externa'!BF788</f>
        <v>0</v>
      </c>
      <c r="BG790" s="224">
        <f>'Perfil - interna'!BG790+'Perfil - externa'!BG788</f>
        <v>0</v>
      </c>
      <c r="BH790" s="224">
        <f>'Perfil - interna'!BH790+'Perfil - externa'!BH788</f>
        <v>0</v>
      </c>
      <c r="BI790" s="224">
        <f>'Perfil - interna'!BI790+'Perfil - externa'!BI788</f>
        <v>0</v>
      </c>
      <c r="BJ790" s="224">
        <f>'Perfil - interna'!BJ790+'Perfil - externa'!BJ788</f>
        <v>0</v>
      </c>
      <c r="BK790" s="224">
        <f>'Perfil - interna'!BK790+'Perfil - externa'!BK788</f>
        <v>6265246</v>
      </c>
    </row>
    <row r="791" spans="1:63">
      <c r="A791" s="168">
        <v>44865</v>
      </c>
      <c r="B791" s="213" t="s">
        <v>385</v>
      </c>
      <c r="C791" s="224"/>
      <c r="D791" s="224"/>
      <c r="E791" s="224"/>
      <c r="F791" s="224"/>
      <c r="G791" s="224"/>
      <c r="H791" s="224"/>
      <c r="I791" s="224"/>
      <c r="J791" s="224"/>
      <c r="K791" s="224"/>
      <c r="L791" s="224"/>
      <c r="M791" s="224"/>
      <c r="N791" s="224"/>
      <c r="O791" s="224"/>
      <c r="P791" s="224"/>
      <c r="Q791" s="224"/>
      <c r="R791" s="224"/>
      <c r="S791" s="224"/>
      <c r="T791" s="224"/>
      <c r="U791" s="224"/>
      <c r="V791" s="224"/>
      <c r="W791" s="224"/>
      <c r="X791" s="224">
        <f>'Perfil - interna'!X791+'Perfil - externa'!X789</f>
        <v>4327475.1968173282</v>
      </c>
      <c r="Y791" s="224">
        <f>'Perfil - interna'!Y791+'Perfil - externa'!Y789</f>
        <v>41729237.628775232</v>
      </c>
      <c r="Z791" s="224">
        <f>'Perfil - interna'!Z791+'Perfil - externa'!Z789</f>
        <v>39435144.193738855</v>
      </c>
      <c r="AA791" s="224">
        <f>'Perfil - interna'!AA791+'Perfil - externa'!AA789</f>
        <v>35713324.026792787</v>
      </c>
      <c r="AB791" s="224">
        <f>'Perfil - interna'!AB791+'Perfil - externa'!AB789</f>
        <v>33040011.12325497</v>
      </c>
      <c r="AC791" s="224">
        <f>'Perfil - interna'!AC791+'Perfil - externa'!AC789</f>
        <v>30115671.685018912</v>
      </c>
      <c r="AD791" s="224">
        <f>'Perfil - interna'!AD791+'Perfil - externa'!AD789</f>
        <v>27481190.677926466</v>
      </c>
      <c r="AE791" s="224">
        <f>'Perfil - interna'!AE791+'Perfil - externa'!AE789</f>
        <v>25095100.732707314</v>
      </c>
      <c r="AF791" s="224">
        <f>'Perfil - interna'!AF791+'Perfil - externa'!AF789</f>
        <v>24193067.311694823</v>
      </c>
      <c r="AG791" s="224">
        <f>'Perfil - interna'!AG791+'Perfil - externa'!AG789</f>
        <v>21963948.498788305</v>
      </c>
      <c r="AH791" s="224">
        <f>'Perfil - interna'!AH791+'Perfil - externa'!AH789</f>
        <v>19141042.36319004</v>
      </c>
      <c r="AI791" s="224">
        <f>'Perfil - interna'!AI791+'Perfil - externa'!AI789</f>
        <v>16797876.437889241</v>
      </c>
      <c r="AJ791" s="224">
        <f>'Perfil - interna'!AJ791+'Perfil - externa'!AJ789</f>
        <v>16019967.633312758</v>
      </c>
      <c r="AK791" s="224">
        <f>'Perfil - interna'!AK791+'Perfil - externa'!AK789</f>
        <v>13888386.450662985</v>
      </c>
      <c r="AL791" s="224">
        <f>'Perfil - interna'!AL791+'Perfil - externa'!AL789</f>
        <v>11832649.625775835</v>
      </c>
      <c r="AM791" s="224">
        <f>'Perfil - interna'!AM791+'Perfil - externa'!AM789</f>
        <v>10909541.996427067</v>
      </c>
      <c r="AN791" s="224">
        <f>'Perfil - interna'!AN791+'Perfil - externa'!AN789</f>
        <v>8609953.3860244751</v>
      </c>
      <c r="AO791" s="224">
        <f>'Perfil - interna'!AO791+'Perfil - externa'!AO789</f>
        <v>8530624.2663628943</v>
      </c>
      <c r="AP791" s="224">
        <f>'Perfil - interna'!AP791+'Perfil - externa'!AP789</f>
        <v>8360398.4937995132</v>
      </c>
      <c r="AQ791" s="224">
        <f>'Perfil - interna'!AQ791+'Perfil - externa'!AQ789</f>
        <v>7901447.5731424429</v>
      </c>
      <c r="AR791" s="224">
        <f>'Perfil - interna'!AR791+'Perfil - externa'!AR789</f>
        <v>7438109.2817636747</v>
      </c>
      <c r="AS791" s="224">
        <f>'Perfil - interna'!AS791+'Perfil - externa'!AS789</f>
        <v>5668514.5545255654</v>
      </c>
      <c r="AT791" s="224">
        <f>'Perfil - interna'!AT791+'Perfil - externa'!AT789</f>
        <v>5363146.7059566453</v>
      </c>
      <c r="AU791" s="224">
        <f>'Perfil - interna'!AU791+'Perfil - externa'!AU789</f>
        <v>4510860.2077660719</v>
      </c>
      <c r="AV791" s="224">
        <f>'Perfil - interna'!AV791+'Perfil - externa'!AV789</f>
        <v>4004847.3722445746</v>
      </c>
      <c r="AW791" s="224">
        <f>'Perfil - interna'!AW791+'Perfil - externa'!AW789</f>
        <v>4042563.1879933793</v>
      </c>
      <c r="AX791" s="224">
        <f>'Perfil - interna'!AX791+'Perfil - externa'!AX789</f>
        <v>4085413.2308750884</v>
      </c>
      <c r="AY791" s="224">
        <f>'Perfil - interna'!AY791+'Perfil - externa'!AY789</f>
        <v>3763939.7996028611</v>
      </c>
      <c r="AZ791" s="224">
        <f>'Perfil - interna'!AZ791+'Perfil - externa'!AZ789</f>
        <v>1958340.7842354649</v>
      </c>
      <c r="BA791" s="224">
        <f>'Perfil - interna'!BA791+'Perfil - externa'!BA789</f>
        <v>396079.34715277777</v>
      </c>
      <c r="BB791" s="224">
        <f>'Perfil - interna'!BB791+'Perfil - externa'!BB789</f>
        <v>246824.58720833331</v>
      </c>
      <c r="BC791" s="224">
        <f>'Perfil - interna'!BC791+'Perfil - externa'!BC789</f>
        <v>246150.20309027779</v>
      </c>
      <c r="BD791" s="224">
        <f>'Perfil - interna'!BD791+'Perfil - externa'!BD789</f>
        <v>246150.20309027779</v>
      </c>
      <c r="BE791" s="224">
        <f>'Perfil - interna'!BE791+'Perfil - externa'!BE789</f>
        <v>246150.20309027779</v>
      </c>
      <c r="BF791" s="224">
        <f>'Perfil - interna'!BF791+'Perfil - externa'!BF789</f>
        <v>246824.58720833331</v>
      </c>
      <c r="BG791" s="224">
        <f>'Perfil - interna'!BG791+'Perfil - externa'!BG789</f>
        <v>246150.20309027779</v>
      </c>
      <c r="BH791" s="224">
        <f>'Perfil - interna'!BH791+'Perfil - externa'!BH789</f>
        <v>246150.20309027779</v>
      </c>
      <c r="BI791" s="224">
        <f>'Perfil - interna'!BI791+'Perfil - externa'!BI789</f>
        <v>246150.20309027779</v>
      </c>
      <c r="BJ791" s="224">
        <f>'Perfil - interna'!BJ791+'Perfil - externa'!BJ789</f>
        <v>246824.58720833331</v>
      </c>
      <c r="BK791" s="224">
        <f>'Perfil - interna'!BK791+'Perfil - externa'!BK789</f>
        <v>124086.67772222222</v>
      </c>
    </row>
    <row r="792" spans="1:63">
      <c r="A792" s="279"/>
      <c r="B792" s="307" t="s">
        <v>29</v>
      </c>
      <c r="C792" s="321"/>
      <c r="D792" s="321"/>
      <c r="E792" s="321"/>
      <c r="F792" s="321"/>
      <c r="G792" s="321"/>
      <c r="H792" s="321"/>
      <c r="I792" s="321"/>
      <c r="J792" s="321"/>
      <c r="K792" s="321"/>
      <c r="L792" s="321"/>
      <c r="M792" s="321"/>
      <c r="N792" s="321"/>
      <c r="O792" s="321"/>
      <c r="P792" s="321"/>
      <c r="Q792" s="321"/>
      <c r="R792" s="321"/>
      <c r="S792" s="321"/>
      <c r="T792" s="321"/>
      <c r="U792" s="321"/>
      <c r="V792" s="321"/>
      <c r="W792" s="321"/>
      <c r="X792" s="321">
        <f>+X790+X791</f>
        <v>8773843.7489826512</v>
      </c>
      <c r="Y792" s="321">
        <f t="shared" ref="Y792:BG792" si="76">+Y790+Y791</f>
        <v>122065741.38691935</v>
      </c>
      <c r="Z792" s="321">
        <f t="shared" si="76"/>
        <v>94362967.507478356</v>
      </c>
      <c r="AA792" s="321">
        <f t="shared" si="76"/>
        <v>95642674.599365056</v>
      </c>
      <c r="AB792" s="321">
        <f t="shared" si="76"/>
        <v>85155692.596760452</v>
      </c>
      <c r="AC792" s="321">
        <f t="shared" si="76"/>
        <v>94554315.622756317</v>
      </c>
      <c r="AD792" s="321">
        <f t="shared" si="76"/>
        <v>71727033.731232449</v>
      </c>
      <c r="AE792" s="321">
        <f t="shared" si="76"/>
        <v>60115241.757395275</v>
      </c>
      <c r="AF792" s="321">
        <f t="shared" si="76"/>
        <v>66142501.590735488</v>
      </c>
      <c r="AG792" s="321">
        <f t="shared" si="76"/>
        <v>78410136.667787716</v>
      </c>
      <c r="AH792" s="321">
        <f t="shared" si="76"/>
        <v>66434710.981824383</v>
      </c>
      <c r="AI792" s="321">
        <f t="shared" si="76"/>
        <v>42287235.265009001</v>
      </c>
      <c r="AJ792" s="321">
        <f t="shared" si="76"/>
        <v>51863314.578167722</v>
      </c>
      <c r="AK792" s="321">
        <f t="shared" si="76"/>
        <v>49825751.665213801</v>
      </c>
      <c r="AL792" s="321">
        <f t="shared" si="76"/>
        <v>34794912.964937516</v>
      </c>
      <c r="AM792" s="321">
        <f t="shared" si="76"/>
        <v>50474720.08579921</v>
      </c>
      <c r="AN792" s="321">
        <f t="shared" si="76"/>
        <v>11809315.404248599</v>
      </c>
      <c r="AO792" s="321">
        <f t="shared" si="76"/>
        <v>13221482.026491782</v>
      </c>
      <c r="AP792" s="321">
        <f t="shared" si="76"/>
        <v>13768653.627690457</v>
      </c>
      <c r="AQ792" s="321">
        <f t="shared" si="76"/>
        <v>20835334.640130259</v>
      </c>
      <c r="AR792" s="321">
        <f t="shared" si="76"/>
        <v>30838717.45214536</v>
      </c>
      <c r="AS792" s="321">
        <f t="shared" si="76"/>
        <v>5817721.2957781339</v>
      </c>
      <c r="AT792" s="321">
        <f t="shared" si="76"/>
        <v>17551254.482206456</v>
      </c>
      <c r="AU792" s="321">
        <f t="shared" si="76"/>
        <v>26330505.40594488</v>
      </c>
      <c r="AV792" s="321">
        <f t="shared" si="76"/>
        <v>4135901.9278990151</v>
      </c>
      <c r="AW792" s="321">
        <f t="shared" si="76"/>
        <v>4147566.824728901</v>
      </c>
      <c r="AX792" s="321">
        <f t="shared" si="76"/>
        <v>4190416.8676106101</v>
      </c>
      <c r="AY792" s="321">
        <f t="shared" si="76"/>
        <v>34579516.081146382</v>
      </c>
      <c r="AZ792" s="321">
        <f t="shared" si="76"/>
        <v>21463777.791057229</v>
      </c>
      <c r="BA792" s="321">
        <f t="shared" si="76"/>
        <v>7625209.3471527779</v>
      </c>
      <c r="BB792" s="321">
        <f t="shared" si="76"/>
        <v>246824.58720833331</v>
      </c>
      <c r="BC792" s="321">
        <f t="shared" si="76"/>
        <v>246150.20309027779</v>
      </c>
      <c r="BD792" s="321">
        <f t="shared" si="76"/>
        <v>246150.20309027779</v>
      </c>
      <c r="BE792" s="321">
        <f t="shared" si="76"/>
        <v>246150.20309027779</v>
      </c>
      <c r="BF792" s="321">
        <f t="shared" si="76"/>
        <v>246824.58720833331</v>
      </c>
      <c r="BG792" s="321">
        <f t="shared" si="76"/>
        <v>246150.20309027779</v>
      </c>
      <c r="BH792" s="321">
        <f>+BH790+BH791</f>
        <v>246150.20309027779</v>
      </c>
      <c r="BI792" s="321">
        <f>+BI790+BI791</f>
        <v>246150.20309027779</v>
      </c>
      <c r="BJ792" s="321">
        <f>+BJ790+BJ791</f>
        <v>246824.58720833331</v>
      </c>
      <c r="BK792" s="321">
        <f>+BK790+BK791</f>
        <v>6389332.6777222222</v>
      </c>
    </row>
    <row r="793" spans="1:63">
      <c r="A793" s="278"/>
      <c r="B793" s="210" t="s">
        <v>28</v>
      </c>
      <c r="C793" s="224"/>
      <c r="D793" s="224"/>
      <c r="E793" s="224"/>
      <c r="F793" s="224"/>
      <c r="G793" s="224"/>
      <c r="H793" s="224"/>
      <c r="I793" s="224"/>
      <c r="J793" s="224"/>
      <c r="K793" s="224"/>
      <c r="L793" s="224"/>
      <c r="M793" s="224"/>
      <c r="N793" s="224"/>
      <c r="O793" s="224"/>
      <c r="P793" s="224"/>
      <c r="Q793" s="224"/>
      <c r="R793" s="224"/>
      <c r="S793" s="224"/>
      <c r="T793" s="224"/>
      <c r="U793" s="224"/>
      <c r="V793" s="224"/>
      <c r="W793" s="224"/>
      <c r="X793" s="224">
        <f>'Perfil - interna'!X793+'Perfil - externa'!X791</f>
        <v>3678065.8497842229</v>
      </c>
      <c r="Y793" s="224">
        <f>'Perfil - interna'!Y793+'Perfil - externa'!Y791</f>
        <v>79920520.134841084</v>
      </c>
      <c r="Z793" s="224">
        <f>'Perfil - interna'!Z793+'Perfil - externa'!Z791</f>
        <v>55193616.202885851</v>
      </c>
      <c r="AA793" s="224">
        <f>'Perfil - interna'!AA793+'Perfil - externa'!AA791</f>
        <v>60399379.485963374</v>
      </c>
      <c r="AB793" s="224">
        <f>'Perfil - interna'!AB793+'Perfil - externa'!AB791</f>
        <v>52535930.067140549</v>
      </c>
      <c r="AC793" s="224">
        <f>'Perfil - interna'!AC793+'Perfil - externa'!AC791</f>
        <v>64711655.271175012</v>
      </c>
      <c r="AD793" s="224">
        <f>'Perfil - interna'!AD793+'Perfil - externa'!AD791</f>
        <v>44363262.676662639</v>
      </c>
      <c r="AE793" s="224">
        <f>'Perfil - interna'!AE793+'Perfil - externa'!AE791</f>
        <v>35215996.720756866</v>
      </c>
      <c r="AF793" s="224">
        <f>'Perfil - interna'!AF793+'Perfil - externa'!AF791</f>
        <v>42045625.074908189</v>
      </c>
      <c r="AG793" s="224">
        <f>'Perfil - interna'!AG793+'Perfil - externa'!AG791</f>
        <v>56724844.538050875</v>
      </c>
      <c r="AH793" s="224">
        <f>'Perfil - interna'!AH793+'Perfil - externa'!AH791</f>
        <v>47369878.021663457</v>
      </c>
      <c r="AI793" s="224">
        <f>'Perfil - interna'!AI793+'Perfil - externa'!AI791</f>
        <v>25693268.073279187</v>
      </c>
      <c r="AJ793" s="224">
        <f>'Perfil - interna'!AJ793+'Perfil - externa'!AJ791</f>
        <v>35941816.763746522</v>
      </c>
      <c r="AK793" s="224">
        <f>'Perfil - interna'!AK793+'Perfil - externa'!AK791</f>
        <v>37005885.5083488</v>
      </c>
      <c r="AL793" s="224">
        <f>'Perfil - interna'!AL793+'Perfil - externa'!AL791</f>
        <v>23355393.122017272</v>
      </c>
      <c r="AM793" s="224">
        <f>'Perfil - interna'!AM793+'Perfil - externa'!AM791</f>
        <v>39927557.387393475</v>
      </c>
      <c r="AN793" s="224">
        <f>'Perfil - interna'!AN793+'Perfil - externa'!AN791</f>
        <v>3291724.3867378347</v>
      </c>
      <c r="AO793" s="224">
        <f>'Perfil - interna'!AO793+'Perfil - externa'!AO791</f>
        <v>4780153.2195949778</v>
      </c>
      <c r="AP793" s="224">
        <f>'Perfil - interna'!AP793+'Perfil - externa'!AP791</f>
        <v>5555310.8047207696</v>
      </c>
      <c r="AQ793" s="224">
        <f>'Perfil - interna'!AQ793+'Perfil - externa'!AQ791</f>
        <v>12999744.780598886</v>
      </c>
      <c r="AR793" s="224">
        <f>'Perfil - interna'!AR793+'Perfil - externa'!AR791</f>
        <v>23586168.47613284</v>
      </c>
      <c r="AS793" s="224">
        <f>'Perfil - interna'!AS793+'Perfil - externa'!AS791</f>
        <v>153907.49681151062</v>
      </c>
      <c r="AT793" s="224">
        <f>'Perfil - interna'!AT793+'Perfil - externa'!AT791</f>
        <v>12168053.372628435</v>
      </c>
      <c r="AU793" s="224">
        <f>'Perfil - interna'!AU793+'Perfil - externa'!AU791</f>
        <v>21779785.810586058</v>
      </c>
      <c r="AV793" s="224">
        <f>'Perfil - interna'!AV793+'Perfil - externa'!AV791</f>
        <v>135792.63689972617</v>
      </c>
      <c r="AW793" s="224">
        <f>'Perfil - interna'!AW793+'Perfil - externa'!AW791</f>
        <v>109795.28554837484</v>
      </c>
      <c r="AX793" s="224">
        <f>'Perfil - interna'!AX793+'Perfil - externa'!AX791</f>
        <v>109795.28554837484</v>
      </c>
      <c r="AY793" s="224">
        <f>'Perfil - interna'!AY793+'Perfil - externa'!AY791</f>
        <v>31003584.639552973</v>
      </c>
      <c r="AZ793" s="224">
        <f>'Perfil - interna'!AZ793+'Perfil - externa'!AZ791</f>
        <v>19532374.791302692</v>
      </c>
      <c r="BA793" s="224">
        <f>'Perfil - interna'!BA793+'Perfil - externa'!BA791</f>
        <v>7214265</v>
      </c>
      <c r="BB793" s="224">
        <f>'Perfil - interna'!BB793+'Perfil - externa'!BB791</f>
        <v>0</v>
      </c>
      <c r="BC793" s="224">
        <f>'Perfil - interna'!BC793+'Perfil - externa'!BC791</f>
        <v>0</v>
      </c>
      <c r="BD793" s="224">
        <f>'Perfil - interna'!BD793+'Perfil - externa'!BD791</f>
        <v>0</v>
      </c>
      <c r="BE793" s="224">
        <f>'Perfil - interna'!BE793+'Perfil - externa'!BE791</f>
        <v>0</v>
      </c>
      <c r="BF793" s="224">
        <f>'Perfil - interna'!BF793+'Perfil - externa'!BF791</f>
        <v>0</v>
      </c>
      <c r="BG793" s="224">
        <f>'Perfil - interna'!BG793+'Perfil - externa'!BG791</f>
        <v>0</v>
      </c>
      <c r="BH793" s="224">
        <f>'Perfil - interna'!BH793+'Perfil - externa'!BH791</f>
        <v>0</v>
      </c>
      <c r="BI793" s="224">
        <f>'Perfil - interna'!BI793+'Perfil - externa'!BI791</f>
        <v>0</v>
      </c>
      <c r="BJ793" s="224">
        <f>'Perfil - interna'!BJ793+'Perfil - externa'!BJ791</f>
        <v>0</v>
      </c>
      <c r="BK793" s="224">
        <f>'Perfil - interna'!BK793+'Perfil - externa'!BK791</f>
        <v>6252363</v>
      </c>
    </row>
    <row r="794" spans="1:63">
      <c r="A794" s="168">
        <v>44895</v>
      </c>
      <c r="B794" s="213" t="s">
        <v>385</v>
      </c>
      <c r="C794" s="224"/>
      <c r="D794" s="224"/>
      <c r="E794" s="224"/>
      <c r="F794" s="224"/>
      <c r="G794" s="224"/>
      <c r="H794" s="224"/>
      <c r="I794" s="224"/>
      <c r="J794" s="224"/>
      <c r="K794" s="224"/>
      <c r="L794" s="224"/>
      <c r="M794" s="224"/>
      <c r="N794" s="224"/>
      <c r="O794" s="224"/>
      <c r="P794" s="224"/>
      <c r="Q794" s="224"/>
      <c r="R794" s="224"/>
      <c r="S794" s="224"/>
      <c r="T794" s="224"/>
      <c r="U794" s="224"/>
      <c r="V794" s="224"/>
      <c r="W794" s="224"/>
      <c r="X794" s="224">
        <f>'Perfil - interna'!X794+'Perfil - externa'!X792</f>
        <v>904084.15785721189</v>
      </c>
      <c r="Y794" s="224">
        <f>'Perfil - interna'!Y794+'Perfil - externa'!Y792</f>
        <v>41994666.270448402</v>
      </c>
      <c r="Z794" s="224">
        <f>'Perfil - interna'!Z794+'Perfil - externa'!Z792</f>
        <v>39769977.685218528</v>
      </c>
      <c r="AA794" s="224">
        <f>'Perfil - interna'!AA794+'Perfil - externa'!AA792</f>
        <v>35874378.988515444</v>
      </c>
      <c r="AB794" s="224">
        <f>'Perfil - interna'!AB794+'Perfil - externa'!AB792</f>
        <v>33153531.375790566</v>
      </c>
      <c r="AC794" s="224">
        <f>'Perfil - interna'!AC794+'Perfil - externa'!AC792</f>
        <v>30215556.329384878</v>
      </c>
      <c r="AD794" s="224">
        <f>'Perfil - interna'!AD794+'Perfil - externa'!AD792</f>
        <v>27582830.077873122</v>
      </c>
      <c r="AE794" s="224">
        <f>'Perfil - interna'!AE794+'Perfil - externa'!AE792</f>
        <v>25188400.991971981</v>
      </c>
      <c r="AF794" s="224">
        <f>'Perfil - interna'!AF794+'Perfil - externa'!AF792</f>
        <v>24312507.666576408</v>
      </c>
      <c r="AG794" s="224">
        <f>'Perfil - interna'!AG794+'Perfil - externa'!AG792</f>
        <v>22093939.340257511</v>
      </c>
      <c r="AH794" s="224">
        <f>'Perfil - interna'!AH794+'Perfil - externa'!AH792</f>
        <v>19259894.169192683</v>
      </c>
      <c r="AI794" s="224">
        <f>'Perfil - interna'!AI794+'Perfil - externa'!AI792</f>
        <v>16920668.954130102</v>
      </c>
      <c r="AJ794" s="224">
        <f>'Perfil - interna'!AJ794+'Perfil - externa'!AJ792</f>
        <v>16141679.53278821</v>
      </c>
      <c r="AK794" s="224">
        <f>'Perfil - interna'!AK794+'Perfil - externa'!AK792</f>
        <v>14000003.692490254</v>
      </c>
      <c r="AL794" s="224">
        <f>'Perfil - interna'!AL794+'Perfil - externa'!AL792</f>
        <v>11891131.340885431</v>
      </c>
      <c r="AM794" s="224">
        <f>'Perfil - interna'!AM794+'Perfil - externa'!AM792</f>
        <v>10955765.520186555</v>
      </c>
      <c r="AN794" s="224">
        <f>'Perfil - interna'!AN794+'Perfil - externa'!AN792</f>
        <v>8646371.9716204964</v>
      </c>
      <c r="AO794" s="224">
        <f>'Perfil - interna'!AO794+'Perfil - externa'!AO792</f>
        <v>8559665.6006531343</v>
      </c>
      <c r="AP794" s="224">
        <f>'Perfil - interna'!AP794+'Perfil - externa'!AP792</f>
        <v>8380187.4433647972</v>
      </c>
      <c r="AQ794" s="224">
        <f>'Perfil - interna'!AQ794+'Perfil - externa'!AQ792</f>
        <v>7912945.4394495618</v>
      </c>
      <c r="AR794" s="224">
        <f>'Perfil - interna'!AR794+'Perfil - externa'!AR792</f>
        <v>7446731.9394659735</v>
      </c>
      <c r="AS794" s="224">
        <f>'Perfil - interna'!AS794+'Perfil - externa'!AS792</f>
        <v>5662936.2599924598</v>
      </c>
      <c r="AT794" s="224">
        <f>'Perfil - interna'!AT794+'Perfil - externa'!AT792</f>
        <v>5361948.4028711347</v>
      </c>
      <c r="AU794" s="224">
        <f>'Perfil - interna'!AU794+'Perfil - externa'!AU792</f>
        <v>4514445.5373497698</v>
      </c>
      <c r="AV794" s="224">
        <f>'Perfil - interna'!AV794+'Perfil - externa'!AV792</f>
        <v>4009807.79480907</v>
      </c>
      <c r="AW794" s="224">
        <f>'Perfil - interna'!AW794+'Perfil - externa'!AW792</f>
        <v>4047611.0381371537</v>
      </c>
      <c r="AX794" s="224">
        <f>'Perfil - interna'!AX794+'Perfil - externa'!AX792</f>
        <v>4090545.3343853066</v>
      </c>
      <c r="AY794" s="224">
        <f>'Perfil - interna'!AY794+'Perfil - externa'!AY792</f>
        <v>3769912.9063425194</v>
      </c>
      <c r="AZ794" s="224">
        <f>'Perfil - interna'!AZ794+'Perfil - externa'!AZ792</f>
        <v>1958976.7960428656</v>
      </c>
      <c r="BA794" s="224">
        <f>'Perfil - interna'!BA794+'Perfil - externa'!BA792</f>
        <v>395264.9034375</v>
      </c>
      <c r="BB794" s="224">
        <f>'Perfil - interna'!BB794+'Perfil - externa'!BB792</f>
        <v>246317.05068749998</v>
      </c>
      <c r="BC794" s="224">
        <f>'Perfil - interna'!BC794+'Perfil - externa'!BC792</f>
        <v>245644.05328125</v>
      </c>
      <c r="BD794" s="224">
        <f>'Perfil - interna'!BD794+'Perfil - externa'!BD792</f>
        <v>245644.05328125</v>
      </c>
      <c r="BE794" s="224">
        <f>'Perfil - interna'!BE794+'Perfil - externa'!BE792</f>
        <v>245644.05328125</v>
      </c>
      <c r="BF794" s="224">
        <f>'Perfil - interna'!BF794+'Perfil - externa'!BF792</f>
        <v>246317.05068749998</v>
      </c>
      <c r="BG794" s="224">
        <f>'Perfil - interna'!BG794+'Perfil - externa'!BG792</f>
        <v>245644.05328125</v>
      </c>
      <c r="BH794" s="224">
        <f>'Perfil - interna'!BH794+'Perfil - externa'!BH792</f>
        <v>245644.05328125</v>
      </c>
      <c r="BI794" s="224">
        <f>'Perfil - interna'!BI794+'Perfil - externa'!BI792</f>
        <v>245644.05328125</v>
      </c>
      <c r="BJ794" s="224">
        <f>'Perfil - interna'!BJ794+'Perfil - externa'!BJ792</f>
        <v>246317.05068749998</v>
      </c>
      <c r="BK794" s="224">
        <f>'Perfil - interna'!BK794+'Perfil - externa'!BK792</f>
        <v>123831.52274999999</v>
      </c>
    </row>
    <row r="795" spans="1:63">
      <c r="A795" s="279"/>
      <c r="B795" s="307" t="s">
        <v>29</v>
      </c>
      <c r="C795" s="321"/>
      <c r="D795" s="321"/>
      <c r="E795" s="321"/>
      <c r="F795" s="321"/>
      <c r="G795" s="321"/>
      <c r="H795" s="321"/>
      <c r="I795" s="321"/>
      <c r="J795" s="321"/>
      <c r="K795" s="321"/>
      <c r="L795" s="321"/>
      <c r="M795" s="321"/>
      <c r="N795" s="321"/>
      <c r="O795" s="321"/>
      <c r="P795" s="321"/>
      <c r="Q795" s="321"/>
      <c r="R795" s="321"/>
      <c r="S795" s="321"/>
      <c r="T795" s="321"/>
      <c r="U795" s="321"/>
      <c r="V795" s="321"/>
      <c r="W795" s="321"/>
      <c r="X795" s="321">
        <f>+X793+X794</f>
        <v>4582150.0076414347</v>
      </c>
      <c r="Y795" s="321">
        <f t="shared" ref="Y795:BG795" si="77">+Y793+Y794</f>
        <v>121915186.40528949</v>
      </c>
      <c r="Z795" s="321">
        <f t="shared" si="77"/>
        <v>94963593.888104379</v>
      </c>
      <c r="AA795" s="321">
        <f t="shared" si="77"/>
        <v>96273758.474478811</v>
      </c>
      <c r="AB795" s="321">
        <f t="shared" si="77"/>
        <v>85689461.442931116</v>
      </c>
      <c r="AC795" s="321">
        <f t="shared" si="77"/>
        <v>94927211.60055989</v>
      </c>
      <c r="AD795" s="321">
        <f t="shared" si="77"/>
        <v>71946092.754535764</v>
      </c>
      <c r="AE795" s="321">
        <f t="shared" si="77"/>
        <v>60404397.712728843</v>
      </c>
      <c r="AF795" s="321">
        <f t="shared" si="77"/>
        <v>66358132.741484597</v>
      </c>
      <c r="AG795" s="321">
        <f t="shared" si="77"/>
        <v>78818783.878308386</v>
      </c>
      <c r="AH795" s="321">
        <f t="shared" si="77"/>
        <v>66629772.190856144</v>
      </c>
      <c r="AI795" s="321">
        <f t="shared" si="77"/>
        <v>42613937.027409285</v>
      </c>
      <c r="AJ795" s="321">
        <f t="shared" si="77"/>
        <v>52083496.296534732</v>
      </c>
      <c r="AK795" s="321">
        <f t="shared" si="77"/>
        <v>51005889.200839058</v>
      </c>
      <c r="AL795" s="321">
        <f t="shared" si="77"/>
        <v>35246524.462902702</v>
      </c>
      <c r="AM795" s="321">
        <f t="shared" si="77"/>
        <v>50883322.907580033</v>
      </c>
      <c r="AN795" s="321">
        <f t="shared" si="77"/>
        <v>11938096.358358331</v>
      </c>
      <c r="AO795" s="321">
        <f t="shared" si="77"/>
        <v>13339818.820248112</v>
      </c>
      <c r="AP795" s="321">
        <f t="shared" si="77"/>
        <v>13935498.248085566</v>
      </c>
      <c r="AQ795" s="321">
        <f t="shared" si="77"/>
        <v>20912690.22004845</v>
      </c>
      <c r="AR795" s="321">
        <f t="shared" si="77"/>
        <v>31032900.415598813</v>
      </c>
      <c r="AS795" s="321">
        <f t="shared" si="77"/>
        <v>5816843.7568039708</v>
      </c>
      <c r="AT795" s="321">
        <f t="shared" si="77"/>
        <v>17530001.775499571</v>
      </c>
      <c r="AU795" s="321">
        <f t="shared" si="77"/>
        <v>26294231.347935826</v>
      </c>
      <c r="AV795" s="321">
        <f t="shared" si="77"/>
        <v>4145600.4317087959</v>
      </c>
      <c r="AW795" s="321">
        <f t="shared" si="77"/>
        <v>4157406.3236855287</v>
      </c>
      <c r="AX795" s="321">
        <f t="shared" si="77"/>
        <v>4200340.6199336816</v>
      </c>
      <c r="AY795" s="321">
        <f t="shared" si="77"/>
        <v>34773497.545895495</v>
      </c>
      <c r="AZ795" s="321">
        <f t="shared" si="77"/>
        <v>21491351.587345559</v>
      </c>
      <c r="BA795" s="321">
        <f t="shared" si="77"/>
        <v>7609529.9034374999</v>
      </c>
      <c r="BB795" s="321">
        <f t="shared" si="77"/>
        <v>246317.05068749998</v>
      </c>
      <c r="BC795" s="321">
        <f t="shared" si="77"/>
        <v>245644.05328125</v>
      </c>
      <c r="BD795" s="321">
        <f t="shared" si="77"/>
        <v>245644.05328125</v>
      </c>
      <c r="BE795" s="321">
        <f t="shared" si="77"/>
        <v>245644.05328125</v>
      </c>
      <c r="BF795" s="321">
        <f t="shared" si="77"/>
        <v>246317.05068749998</v>
      </c>
      <c r="BG795" s="321">
        <f t="shared" si="77"/>
        <v>245644.05328125</v>
      </c>
      <c r="BH795" s="321">
        <f>+BH793+BH794</f>
        <v>245644.05328125</v>
      </c>
      <c r="BI795" s="321">
        <f>+BI793+BI794</f>
        <v>245644.05328125</v>
      </c>
      <c r="BJ795" s="321">
        <f>+BJ793+BJ794</f>
        <v>246317.05068749998</v>
      </c>
      <c r="BK795" s="321">
        <f>+BK793+BK794</f>
        <v>6376194.5227499995</v>
      </c>
    </row>
    <row r="796" spans="1:63">
      <c r="A796" s="278"/>
      <c r="B796" s="210" t="s">
        <v>28</v>
      </c>
      <c r="C796" s="224"/>
      <c r="D796" s="224"/>
      <c r="E796" s="224"/>
      <c r="F796" s="224"/>
      <c r="G796" s="224"/>
      <c r="H796" s="224"/>
      <c r="I796" s="224"/>
      <c r="J796" s="224"/>
      <c r="K796" s="224"/>
      <c r="L796" s="224"/>
      <c r="M796" s="224"/>
      <c r="N796" s="224"/>
      <c r="O796" s="224"/>
      <c r="P796" s="224"/>
      <c r="Q796" s="224"/>
      <c r="R796" s="224"/>
      <c r="S796" s="224"/>
      <c r="T796" s="224"/>
      <c r="U796" s="224"/>
      <c r="V796" s="224"/>
      <c r="W796" s="224"/>
      <c r="X796" s="224"/>
      <c r="Y796" s="224">
        <f>'Perfil - interna'!Y796+'Perfil - externa'!Y794</f>
        <v>87197315.939567402</v>
      </c>
      <c r="Z796" s="224">
        <f>'Perfil - interna'!Z796+'Perfil - externa'!Z794</f>
        <v>52485882.733529389</v>
      </c>
      <c r="AA796" s="224">
        <f>'Perfil - interna'!AA796+'Perfil - externa'!AA794</f>
        <v>60787483.152278095</v>
      </c>
      <c r="AB796" s="224">
        <f>'Perfil - interna'!AB796+'Perfil - externa'!AB794</f>
        <v>53931646.322528481</v>
      </c>
      <c r="AC796" s="224">
        <f>'Perfil - interna'!AC796+'Perfil - externa'!AC794</f>
        <v>65283339.305931054</v>
      </c>
      <c r="AD796" s="224">
        <f>'Perfil - interna'!AD796+'Perfil - externa'!AD794</f>
        <v>44773931.014807314</v>
      </c>
      <c r="AE796" s="224">
        <f>'Perfil - interna'!AE796+'Perfil - externa'!AE794</f>
        <v>35726228.437440246</v>
      </c>
      <c r="AF796" s="224">
        <f>'Perfil - interna'!AF796+'Perfil - externa'!AF794</f>
        <v>42483254.492678493</v>
      </c>
      <c r="AG796" s="224">
        <f>'Perfil - interna'!AG796+'Perfil - externa'!AG794</f>
        <v>57307800.935254559</v>
      </c>
      <c r="AH796" s="224">
        <f>'Perfil - interna'!AH796+'Perfil - externa'!AH794</f>
        <v>47768075.426066302</v>
      </c>
      <c r="AI796" s="224">
        <f>'Perfil - interna'!AI796+'Perfil - externa'!AI794</f>
        <v>34018350.354816124</v>
      </c>
      <c r="AJ796" s="224">
        <f>'Perfil - interna'!AJ796+'Perfil - externa'!AJ794</f>
        <v>36335948.319478817</v>
      </c>
      <c r="AK796" s="224">
        <f>'Perfil - interna'!AK796+'Perfil - externa'!AK794</f>
        <v>39717053.04894352</v>
      </c>
      <c r="AL796" s="224">
        <f>'Perfil - interna'!AL796+'Perfil - externa'!AL794</f>
        <v>23935975.531701587</v>
      </c>
      <c r="AM796" s="224">
        <f>'Perfil - interna'!AM796+'Perfil - externa'!AM794</f>
        <v>40523725.974703237</v>
      </c>
      <c r="AN796" s="224">
        <f>'Perfil - interna'!AN796+'Perfil - externa'!AN794</f>
        <v>3599831.8673754218</v>
      </c>
      <c r="AO796" s="224">
        <f>'Perfil - interna'!AO796+'Perfil - externa'!AO794</f>
        <v>5088474.238803993</v>
      </c>
      <c r="AP796" s="224">
        <f>'Perfil - interna'!AP796+'Perfil - externa'!AP794</f>
        <v>5858665.4858496189</v>
      </c>
      <c r="AQ796" s="224">
        <f>'Perfil - interna'!AQ796+'Perfil - externa'!AQ794</f>
        <v>13302166.099268284</v>
      </c>
      <c r="AR796" s="224">
        <f>'Perfil - interna'!AR796+'Perfil - externa'!AR794</f>
        <v>23912892.410467014</v>
      </c>
      <c r="AS796" s="224">
        <f>'Perfil - interna'!AS796+'Perfil - externa'!AS794</f>
        <v>162862.40096458612</v>
      </c>
      <c r="AT796" s="224">
        <f>'Perfil - interna'!AT796+'Perfil - externa'!AT794</f>
        <v>12177804.358494196</v>
      </c>
      <c r="AU796" s="224">
        <f>'Perfil - interna'!AU796+'Perfil - externa'!AU794</f>
        <v>21789988.214098491</v>
      </c>
      <c r="AV796" s="224">
        <f>'Perfil - interna'!AV796+'Perfil - externa'!AV794</f>
        <v>142352.96764422065</v>
      </c>
      <c r="AW796" s="224">
        <f>'Perfil - interna'!AW796+'Perfil - externa'!AW794</f>
        <v>116351.88656313959</v>
      </c>
      <c r="AX796" s="224">
        <f>'Perfil - interna'!AX796+'Perfil - externa'!AX794</f>
        <v>116351.88656313959</v>
      </c>
      <c r="AY796" s="224">
        <f>'Perfil - interna'!AY796+'Perfil - externa'!AY794</f>
        <v>31166323.519913144</v>
      </c>
      <c r="AZ796" s="224">
        <f>'Perfil - interna'!AZ796+'Perfil - externa'!AZ794</f>
        <v>19566039.339589935</v>
      </c>
      <c r="BA796" s="224">
        <f>'Perfil - interna'!BA796+'Perfil - externa'!BA794</f>
        <v>7215300</v>
      </c>
      <c r="BB796" s="224">
        <f>'Perfil - interna'!BB796+'Perfil - externa'!BB794</f>
        <v>0</v>
      </c>
      <c r="BC796" s="224">
        <f>'Perfil - interna'!BC796+'Perfil - externa'!BC794</f>
        <v>0</v>
      </c>
      <c r="BD796" s="224">
        <f>'Perfil - interna'!BD796+'Perfil - externa'!BD794</f>
        <v>0</v>
      </c>
      <c r="BE796" s="224">
        <f>'Perfil - interna'!BE796+'Perfil - externa'!BE794</f>
        <v>0</v>
      </c>
      <c r="BF796" s="224">
        <f>'Perfil - interna'!BF796+'Perfil - externa'!BF794</f>
        <v>0</v>
      </c>
      <c r="BG796" s="224">
        <f>'Perfil - interna'!BG796+'Perfil - externa'!BG794</f>
        <v>0</v>
      </c>
      <c r="BH796" s="224">
        <f>'Perfil - interna'!BH796+'Perfil - externa'!BH794</f>
        <v>0</v>
      </c>
      <c r="BI796" s="224">
        <f>'Perfil - interna'!BI796+'Perfil - externa'!BI794</f>
        <v>0</v>
      </c>
      <c r="BJ796" s="224">
        <f>'Perfil - interna'!BJ796+'Perfil - externa'!BJ794</f>
        <v>0</v>
      </c>
      <c r="BK796" s="224">
        <f>'Perfil - interna'!BK796+'Perfil - externa'!BK794</f>
        <v>6253260</v>
      </c>
    </row>
    <row r="797" spans="1:63">
      <c r="A797" s="168">
        <v>44926</v>
      </c>
      <c r="B797" s="213" t="s">
        <v>385</v>
      </c>
      <c r="C797" s="224"/>
      <c r="D797" s="224"/>
      <c r="E797" s="224"/>
      <c r="F797" s="224"/>
      <c r="G797" s="224"/>
      <c r="H797" s="224"/>
      <c r="I797" s="224"/>
      <c r="J797" s="224"/>
      <c r="K797" s="224"/>
      <c r="L797" s="224"/>
      <c r="M797" s="224"/>
      <c r="N797" s="224"/>
      <c r="O797" s="224"/>
      <c r="P797" s="224"/>
      <c r="Q797" s="224"/>
      <c r="R797" s="224"/>
      <c r="S797" s="224"/>
      <c r="T797" s="224"/>
      <c r="U797" s="224"/>
      <c r="V797" s="224"/>
      <c r="W797" s="224"/>
      <c r="X797" s="224"/>
      <c r="Y797" s="224">
        <f>'Perfil - interna'!Y797+'Perfil - externa'!Y795</f>
        <v>42936735.333127394</v>
      </c>
      <c r="Z797" s="224">
        <f>'Perfil - interna'!Z797+'Perfil - externa'!Z795</f>
        <v>41187476.954022333</v>
      </c>
      <c r="AA797" s="224">
        <f>'Perfil - interna'!AA797+'Perfil - externa'!AA795</f>
        <v>37429854.592626691</v>
      </c>
      <c r="AB797" s="224">
        <f>'Perfil - interna'!AB797+'Perfil - externa'!AB795</f>
        <v>34605815.535036877</v>
      </c>
      <c r="AC797" s="224">
        <f>'Perfil - interna'!AC797+'Perfil - externa'!AC795</f>
        <v>31591657.701411508</v>
      </c>
      <c r="AD797" s="224">
        <f>'Perfil - interna'!AD797+'Perfil - externa'!AD795</f>
        <v>28920930.022033181</v>
      </c>
      <c r="AE797" s="224">
        <f>'Perfil - interna'!AE797+'Perfil - externa'!AE795</f>
        <v>26508055.242505923</v>
      </c>
      <c r="AF797" s="224">
        <f>'Perfil - interna'!AF797+'Perfil - externa'!AF795</f>
        <v>25577307.384873904</v>
      </c>
      <c r="AG797" s="224">
        <f>'Perfil - interna'!AG797+'Perfil - externa'!AG795</f>
        <v>23339357.836607173</v>
      </c>
      <c r="AH797" s="224">
        <f>'Perfil - interna'!AH797+'Perfil - externa'!AH795</f>
        <v>20477042.208673175</v>
      </c>
      <c r="AI797" s="224">
        <f>'Perfil - interna'!AI797+'Perfil - externa'!AI795</f>
        <v>17793493.152302857</v>
      </c>
      <c r="AJ797" s="224">
        <f>'Perfil - interna'!AJ797+'Perfil - externa'!AJ795</f>
        <v>16657981.495645653</v>
      </c>
      <c r="AK797" s="224">
        <f>'Perfil - interna'!AK797+'Perfil - externa'!AK795</f>
        <v>14494252.975285642</v>
      </c>
      <c r="AL797" s="224">
        <f>'Perfil - interna'!AL797+'Perfil - externa'!AL795</f>
        <v>12141795.650608502</v>
      </c>
      <c r="AM797" s="224">
        <f>'Perfil - interna'!AM797+'Perfil - externa'!AM795</f>
        <v>11178951.152487097</v>
      </c>
      <c r="AN797" s="224">
        <f>'Perfil - interna'!AN797+'Perfil - externa'!AN795</f>
        <v>8788878.3510972969</v>
      </c>
      <c r="AO797" s="224">
        <f>'Perfil - interna'!AO797+'Perfil - externa'!AO795</f>
        <v>8681259.880441647</v>
      </c>
      <c r="AP797" s="224">
        <f>'Perfil - interna'!AP797+'Perfil - externa'!AP795</f>
        <v>8480903.7027256452</v>
      </c>
      <c r="AQ797" s="224">
        <f>'Perfil - interna'!AQ797+'Perfil - externa'!AQ795</f>
        <v>7993280.8440349158</v>
      </c>
      <c r="AR797" s="224">
        <f>'Perfil - interna'!AR797+'Perfil - externa'!AR795</f>
        <v>7509710.2475110274</v>
      </c>
      <c r="AS797" s="224">
        <f>'Perfil - interna'!AS797+'Perfil - externa'!AS795</f>
        <v>5712698.4649295155</v>
      </c>
      <c r="AT797" s="224">
        <f>'Perfil - interna'!AT797+'Perfil - externa'!AT795</f>
        <v>5412612.005082041</v>
      </c>
      <c r="AU797" s="224">
        <f>'Perfil - interna'!AU797+'Perfil - externa'!AU795</f>
        <v>4566054.8280609427</v>
      </c>
      <c r="AV797" s="224">
        <f>'Perfil - interna'!AV797+'Perfil - externa'!AV795</f>
        <v>4062491.7711749356</v>
      </c>
      <c r="AW797" s="224">
        <f>'Perfil - interna'!AW797+'Perfil - externa'!AW795</f>
        <v>4101511.586404332</v>
      </c>
      <c r="AX797" s="224">
        <f>'Perfil - interna'!AX797+'Perfil - externa'!AX795</f>
        <v>4145708.2621551529</v>
      </c>
      <c r="AY797" s="224">
        <f>'Perfil - interna'!AY797+'Perfil - externa'!AY795</f>
        <v>3826329.8069620803</v>
      </c>
      <c r="AZ797" s="224">
        <f>'Perfil - interna'!AZ797+'Perfil - externa'!AZ795</f>
        <v>1961375.9227114753</v>
      </c>
      <c r="BA797" s="224">
        <f>'Perfil - interna'!BA797+'Perfil - externa'!BA795</f>
        <v>395321.6104166666</v>
      </c>
      <c r="BB797" s="224">
        <f>'Perfil - interna'!BB797+'Perfil - externa'!BB795</f>
        <v>246352.38874999998</v>
      </c>
      <c r="BC797" s="224">
        <f>'Perfil - interna'!BC797+'Perfil - externa'!BC795</f>
        <v>245679.29479166667</v>
      </c>
      <c r="BD797" s="224">
        <f>'Perfil - interna'!BD797+'Perfil - externa'!BD795</f>
        <v>245679.29479166667</v>
      </c>
      <c r="BE797" s="224">
        <f>'Perfil - interna'!BE797+'Perfil - externa'!BE795</f>
        <v>245679.29479166667</v>
      </c>
      <c r="BF797" s="224">
        <f>'Perfil - interna'!BF797+'Perfil - externa'!BF795</f>
        <v>246352.38874999998</v>
      </c>
      <c r="BG797" s="224">
        <f>'Perfil - interna'!BG797+'Perfil - externa'!BG795</f>
        <v>245679.29479166667</v>
      </c>
      <c r="BH797" s="224">
        <f>'Perfil - interna'!BH797+'Perfil - externa'!BH795</f>
        <v>245679.29479166667</v>
      </c>
      <c r="BI797" s="224">
        <f>'Perfil - interna'!BI797+'Perfil - externa'!BI795</f>
        <v>245679.29479166667</v>
      </c>
      <c r="BJ797" s="224">
        <f>'Perfil - interna'!BJ797+'Perfil - externa'!BJ795</f>
        <v>246352.38874999998</v>
      </c>
      <c r="BK797" s="224">
        <f>'Perfil - interna'!BK797+'Perfil - externa'!BK795</f>
        <v>123849.28833333332</v>
      </c>
    </row>
    <row r="798" spans="1:63">
      <c r="A798" s="279"/>
      <c r="B798" s="307" t="s">
        <v>29</v>
      </c>
      <c r="C798" s="321"/>
      <c r="D798" s="321"/>
      <c r="E798" s="321"/>
      <c r="F798" s="321"/>
      <c r="G798" s="321"/>
      <c r="H798" s="321"/>
      <c r="I798" s="321"/>
      <c r="J798" s="321"/>
      <c r="K798" s="321"/>
      <c r="L798" s="321"/>
      <c r="M798" s="321"/>
      <c r="N798" s="321"/>
      <c r="O798" s="321"/>
      <c r="P798" s="321"/>
      <c r="Q798" s="321"/>
      <c r="R798" s="321"/>
      <c r="S798" s="321"/>
      <c r="T798" s="321"/>
      <c r="U798" s="321"/>
      <c r="V798" s="321"/>
      <c r="W798" s="321"/>
      <c r="X798" s="321"/>
      <c r="Y798" s="321">
        <f t="shared" ref="Y798:BG798" si="78">+Y796+Y797</f>
        <v>130134051.2726948</v>
      </c>
      <c r="Z798" s="321">
        <f t="shared" si="78"/>
        <v>93673359.687551722</v>
      </c>
      <c r="AA798" s="321">
        <f t="shared" si="78"/>
        <v>98217337.744904786</v>
      </c>
      <c r="AB798" s="321">
        <f t="shared" si="78"/>
        <v>88537461.857565358</v>
      </c>
      <c r="AC798" s="321">
        <f t="shared" si="78"/>
        <v>96874997.007342562</v>
      </c>
      <c r="AD798" s="321">
        <f t="shared" si="78"/>
        <v>73694861.036840498</v>
      </c>
      <c r="AE798" s="321">
        <f t="shared" si="78"/>
        <v>62234283.679946169</v>
      </c>
      <c r="AF798" s="321">
        <f t="shared" si="78"/>
        <v>68060561.87755239</v>
      </c>
      <c r="AG798" s="321">
        <f t="shared" si="78"/>
        <v>80647158.771861732</v>
      </c>
      <c r="AH798" s="321">
        <f t="shared" si="78"/>
        <v>68245117.634739473</v>
      </c>
      <c r="AI798" s="321">
        <f t="shared" si="78"/>
        <v>51811843.507118985</v>
      </c>
      <c r="AJ798" s="321">
        <f t="shared" si="78"/>
        <v>52993929.815124467</v>
      </c>
      <c r="AK798" s="321">
        <f t="shared" si="78"/>
        <v>54211306.024229161</v>
      </c>
      <c r="AL798" s="321">
        <f t="shared" si="78"/>
        <v>36077771.182310089</v>
      </c>
      <c r="AM798" s="321">
        <f t="shared" si="78"/>
        <v>51702677.127190337</v>
      </c>
      <c r="AN798" s="321">
        <f t="shared" si="78"/>
        <v>12388710.218472719</v>
      </c>
      <c r="AO798" s="321">
        <f t="shared" si="78"/>
        <v>13769734.119245641</v>
      </c>
      <c r="AP798" s="321">
        <f t="shared" si="78"/>
        <v>14339569.188575264</v>
      </c>
      <c r="AQ798" s="321">
        <f t="shared" si="78"/>
        <v>21295446.943303198</v>
      </c>
      <c r="AR798" s="321">
        <f t="shared" si="78"/>
        <v>31422602.657978043</v>
      </c>
      <c r="AS798" s="321">
        <f t="shared" si="78"/>
        <v>5875560.8658941016</v>
      </c>
      <c r="AT798" s="321">
        <f t="shared" si="78"/>
        <v>17590416.363576237</v>
      </c>
      <c r="AU798" s="321">
        <f t="shared" si="78"/>
        <v>26356043.042159434</v>
      </c>
      <c r="AV798" s="321">
        <f t="shared" si="78"/>
        <v>4204844.7388191558</v>
      </c>
      <c r="AW798" s="321">
        <f t="shared" si="78"/>
        <v>4217863.4729674719</v>
      </c>
      <c r="AX798" s="321">
        <f t="shared" si="78"/>
        <v>4262060.1487182928</v>
      </c>
      <c r="AY798" s="321">
        <f t="shared" si="78"/>
        <v>34992653.326875225</v>
      </c>
      <c r="AZ798" s="321">
        <f t="shared" si="78"/>
        <v>21527415.262301411</v>
      </c>
      <c r="BA798" s="321">
        <f t="shared" si="78"/>
        <v>7610621.6104166666</v>
      </c>
      <c r="BB798" s="321">
        <f t="shared" si="78"/>
        <v>246352.38874999998</v>
      </c>
      <c r="BC798" s="321">
        <f t="shared" si="78"/>
        <v>245679.29479166667</v>
      </c>
      <c r="BD798" s="321">
        <f t="shared" si="78"/>
        <v>245679.29479166667</v>
      </c>
      <c r="BE798" s="321">
        <f t="shared" si="78"/>
        <v>245679.29479166667</v>
      </c>
      <c r="BF798" s="321">
        <f t="shared" si="78"/>
        <v>246352.38874999998</v>
      </c>
      <c r="BG798" s="321">
        <f t="shared" si="78"/>
        <v>245679.29479166667</v>
      </c>
      <c r="BH798" s="321">
        <f>+BH796+BH797</f>
        <v>245679.29479166667</v>
      </c>
      <c r="BI798" s="321">
        <f>+BI796+BI797</f>
        <v>245679.29479166667</v>
      </c>
      <c r="BJ798" s="321">
        <f>+BJ796+BJ797</f>
        <v>246352.38874999998</v>
      </c>
      <c r="BK798" s="321">
        <f>+BK796+BK797</f>
        <v>6377109.2883333331</v>
      </c>
    </row>
    <row r="799" spans="1:63">
      <c r="A799" s="278"/>
      <c r="B799" s="210" t="s">
        <v>28</v>
      </c>
      <c r="C799" s="224"/>
      <c r="D799" s="224"/>
      <c r="E799" s="224"/>
      <c r="F799" s="224"/>
      <c r="G799" s="224"/>
      <c r="H799" s="224"/>
      <c r="I799" s="224"/>
      <c r="J799" s="224"/>
      <c r="K799" s="224"/>
      <c r="L799" s="224"/>
      <c r="M799" s="224"/>
      <c r="N799" s="224"/>
      <c r="O799" s="224"/>
      <c r="P799" s="224"/>
      <c r="Q799" s="224"/>
      <c r="R799" s="224"/>
      <c r="S799" s="224"/>
      <c r="T799" s="224"/>
      <c r="U799" s="224"/>
      <c r="V799" s="224"/>
      <c r="W799" s="224"/>
      <c r="X799" s="224"/>
      <c r="Y799" s="224">
        <f>'Perfil - interna'!Y799+'Perfil - externa'!Y797</f>
        <v>69258923.100109443</v>
      </c>
      <c r="Z799" s="224">
        <f>'Perfil - interna'!Z799+'Perfil - externa'!Z797</f>
        <v>70114578.978722796</v>
      </c>
      <c r="AA799" s="224">
        <f>'Perfil - interna'!AA799+'Perfil - externa'!AA797</f>
        <v>60276467.196946606</v>
      </c>
      <c r="AB799" s="224">
        <f>'Perfil - interna'!AB799+'Perfil - externa'!AB797</f>
        <v>53230371.823668689</v>
      </c>
      <c r="AC799" s="224">
        <f>'Perfil - interna'!AC799+'Perfil - externa'!AC797</f>
        <v>64738767.030753277</v>
      </c>
      <c r="AD799" s="224">
        <f>'Perfil - interna'!AD799+'Perfil - externa'!AD797</f>
        <v>44306439.207698025</v>
      </c>
      <c r="AE799" s="224">
        <f>'Perfil - interna'!AE799+'Perfil - externa'!AE797</f>
        <v>35398706.201361924</v>
      </c>
      <c r="AF799" s="224">
        <f>'Perfil - interna'!AF799+'Perfil - externa'!AF797</f>
        <v>41811344.794314176</v>
      </c>
      <c r="AG799" s="224">
        <f>'Perfil - interna'!AG799+'Perfil - externa'!AG797</f>
        <v>56428978.694763407</v>
      </c>
      <c r="AH799" s="224">
        <f>'Perfil - interna'!AH799+'Perfil - externa'!AH797</f>
        <v>47059904.872518137</v>
      </c>
      <c r="AI799" s="224">
        <f>'Perfil - interna'!AI799+'Perfil - externa'!AI797</f>
        <v>35837900.674093045</v>
      </c>
      <c r="AJ799" s="224">
        <f>'Perfil - interna'!AJ799+'Perfil - externa'!AJ797</f>
        <v>36023651.036567755</v>
      </c>
      <c r="AK799" s="224">
        <f>'Perfil - interna'!AK799+'Perfil - externa'!AK797</f>
        <v>39776062.215556905</v>
      </c>
      <c r="AL799" s="224">
        <f>'Perfil - interna'!AL799+'Perfil - externa'!AL797</f>
        <v>23621360.059633106</v>
      </c>
      <c r="AM799" s="224">
        <f>'Perfil - interna'!AM799+'Perfil - externa'!AM797</f>
        <v>41051991.588256203</v>
      </c>
      <c r="AN799" s="224">
        <f>'Perfil - interna'!AN799+'Perfil - externa'!AN797</f>
        <v>3472679.3575434536</v>
      </c>
      <c r="AO799" s="224">
        <f>'Perfil - interna'!AO799+'Perfil - externa'!AO797</f>
        <v>4906234.9670672631</v>
      </c>
      <c r="AP799" s="224">
        <f>'Perfil - interna'!AP799+'Perfil - externa'!AP797</f>
        <v>5646339.2334651574</v>
      </c>
      <c r="AQ799" s="224">
        <f>'Perfil - interna'!AQ799+'Perfil - externa'!AQ797</f>
        <v>12811768.674021401</v>
      </c>
      <c r="AR799" s="224">
        <f>'Perfil - interna'!AR799+'Perfil - externa'!AR797</f>
        <v>23876617.912858609</v>
      </c>
      <c r="AS799" s="224">
        <f>'Perfil - interna'!AS799+'Perfil - externa'!AS797</f>
        <v>158680.94559381242</v>
      </c>
      <c r="AT799" s="224">
        <f>'Perfil - interna'!AT799+'Perfil - externa'!AT797</f>
        <v>11729013.600300198</v>
      </c>
      <c r="AU799" s="224">
        <f>'Perfil - interna'!AU799+'Perfil - externa'!AU797</f>
        <v>20985501.491849456</v>
      </c>
      <c r="AV799" s="224">
        <f>'Perfil - interna'!AV799+'Perfil - externa'!AV797</f>
        <v>138930.45766678298</v>
      </c>
      <c r="AW799" s="224">
        <f>'Perfil - interna'!AW799+'Perfil - externa'!AW797</f>
        <v>113891.53874786406</v>
      </c>
      <c r="AX799" s="224">
        <f>'Perfil - interna'!AX799+'Perfil - externa'!AX797</f>
        <v>113891.53874786406</v>
      </c>
      <c r="AY799" s="224">
        <f>'Perfil - interna'!AY799+'Perfil - externa'!AY797</f>
        <v>31382140.792947188</v>
      </c>
      <c r="AZ799" s="224">
        <f>'Perfil - interna'!AZ799+'Perfil - externa'!AZ797</f>
        <v>19723804.592555769</v>
      </c>
      <c r="BA799" s="224">
        <f>'Perfil - interna'!BA799+'Perfil - externa'!BA797</f>
        <v>6948300</v>
      </c>
      <c r="BB799" s="224">
        <f>'Perfil - interna'!BB799+'Perfil - externa'!BB797</f>
        <v>0</v>
      </c>
      <c r="BC799" s="224">
        <f>'Perfil - interna'!BC799+'Perfil - externa'!BC797</f>
        <v>0</v>
      </c>
      <c r="BD799" s="224">
        <f>'Perfil - interna'!BD799+'Perfil - externa'!BD797</f>
        <v>0</v>
      </c>
      <c r="BE799" s="224">
        <f>'Perfil - interna'!BE799+'Perfil - externa'!BE797</f>
        <v>0</v>
      </c>
      <c r="BF799" s="224">
        <f>'Perfil - interna'!BF799+'Perfil - externa'!BF797</f>
        <v>0</v>
      </c>
      <c r="BG799" s="224">
        <f>'Perfil - interna'!BG799+'Perfil - externa'!BG797</f>
        <v>0</v>
      </c>
      <c r="BH799" s="224">
        <f>'Perfil - interna'!BH799+'Perfil - externa'!BH797</f>
        <v>0</v>
      </c>
      <c r="BI799" s="224">
        <f>'Perfil - interna'!BI799+'Perfil - externa'!BI797</f>
        <v>0</v>
      </c>
      <c r="BJ799" s="224">
        <f>'Perfil - interna'!BJ799+'Perfil - externa'!BJ797</f>
        <v>0</v>
      </c>
      <c r="BK799" s="224">
        <f>'Perfil - interna'!BK799+'Perfil - externa'!BK797</f>
        <v>6021860</v>
      </c>
    </row>
    <row r="800" spans="1:63">
      <c r="A800" s="168">
        <v>44957</v>
      </c>
      <c r="B800" s="213" t="s">
        <v>385</v>
      </c>
      <c r="C800" s="224"/>
      <c r="D800" s="224"/>
      <c r="E800" s="224"/>
      <c r="F800" s="224"/>
      <c r="G800" s="224"/>
      <c r="H800" s="224"/>
      <c r="I800" s="224"/>
      <c r="J800" s="224"/>
      <c r="K800" s="224"/>
      <c r="L800" s="224"/>
      <c r="M800" s="224"/>
      <c r="N800" s="224"/>
      <c r="O800" s="224"/>
      <c r="P800" s="224"/>
      <c r="Q800" s="224"/>
      <c r="R800" s="224"/>
      <c r="S800" s="224"/>
      <c r="T800" s="224"/>
      <c r="U800" s="224"/>
      <c r="V800" s="224"/>
      <c r="W800" s="224"/>
      <c r="X800" s="224"/>
      <c r="Y800" s="224">
        <f>'Perfil - interna'!Y800+'Perfil - externa'!Y798</f>
        <v>41225286.360368133</v>
      </c>
      <c r="Z800" s="224">
        <f>'Perfil - interna'!Z800+'Perfil - externa'!Z798</f>
        <v>41173505.453485601</v>
      </c>
      <c r="AA800" s="224">
        <f>'Perfil - interna'!AA800+'Perfil - externa'!AA798</f>
        <v>37384893.827335745</v>
      </c>
      <c r="AB800" s="224">
        <f>'Perfil - interna'!AB800+'Perfil - externa'!AB798</f>
        <v>34510727.960264243</v>
      </c>
      <c r="AC800" s="224">
        <f>'Perfil - interna'!AC800+'Perfil - externa'!AC798</f>
        <v>31546852.967468325</v>
      </c>
      <c r="AD800" s="224">
        <f>'Perfil - interna'!AD800+'Perfil - externa'!AD798</f>
        <v>28901912.627221256</v>
      </c>
      <c r="AE800" s="224">
        <f>'Perfil - interna'!AE800+'Perfil - externa'!AE798</f>
        <v>26521846.545261815</v>
      </c>
      <c r="AF800" s="224">
        <f>'Perfil - interna'!AF800+'Perfil - externa'!AF798</f>
        <v>25608804.959018949</v>
      </c>
      <c r="AG800" s="224">
        <f>'Perfil - interna'!AG800+'Perfil - externa'!AG798</f>
        <v>23412985.235630549</v>
      </c>
      <c r="AH800" s="224">
        <f>'Perfil - interna'!AH800+'Perfil - externa'!AH798</f>
        <v>20584325.911466002</v>
      </c>
      <c r="AI800" s="224">
        <f>'Perfil - interna'!AI800+'Perfil - externa'!AI798</f>
        <v>17937291.651898831</v>
      </c>
      <c r="AJ800" s="224">
        <f>'Perfil - interna'!AJ800+'Perfil - externa'!AJ798</f>
        <v>16518741.256090501</v>
      </c>
      <c r="AK800" s="224">
        <f>'Perfil - interna'!AK800+'Perfil - externa'!AK798</f>
        <v>14370543.540473159</v>
      </c>
      <c r="AL800" s="224">
        <f>'Perfil - interna'!AL800+'Perfil - externa'!AL798</f>
        <v>12029100.444296608</v>
      </c>
      <c r="AM800" s="224">
        <f>'Perfil - interna'!AM800+'Perfil - externa'!AM798</f>
        <v>11078851.054352129</v>
      </c>
      <c r="AN800" s="224">
        <f>'Perfil - interna'!AN800+'Perfil - externa'!AN798</f>
        <v>8675758.22962947</v>
      </c>
      <c r="AO800" s="224">
        <f>'Perfil - interna'!AO800+'Perfil - externa'!AO798</f>
        <v>8575836.4761367347</v>
      </c>
      <c r="AP800" s="224">
        <f>'Perfil - interna'!AP800+'Perfil - externa'!AP798</f>
        <v>8386210.4302974492</v>
      </c>
      <c r="AQ800" s="224">
        <f>'Perfil - interna'!AQ800+'Perfil - externa'!AQ798</f>
        <v>7919886.677889606</v>
      </c>
      <c r="AR800" s="224">
        <f>'Perfil - interna'!AR800+'Perfil - externa'!AR798</f>
        <v>7456795.1661531404</v>
      </c>
      <c r="AS800" s="224">
        <f>'Perfil - interna'!AS800+'Perfil - externa'!AS798</f>
        <v>5650412.7344792224</v>
      </c>
      <c r="AT800" s="224">
        <f>'Perfil - interna'!AT800+'Perfil - externa'!AT798</f>
        <v>5363963.1130143143</v>
      </c>
      <c r="AU800" s="224">
        <f>'Perfil - interna'!AU800+'Perfil - externa'!AU798</f>
        <v>4551338.0674899928</v>
      </c>
      <c r="AV800" s="224">
        <f>'Perfil - interna'!AV800+'Perfil - externa'!AV798</f>
        <v>4069091.3331336128</v>
      </c>
      <c r="AW800" s="224">
        <f>'Perfil - interna'!AW800+'Perfil - externa'!AW798</f>
        <v>4109425.898627284</v>
      </c>
      <c r="AX800" s="224">
        <f>'Perfil - interna'!AX800+'Perfil - externa'!AX798</f>
        <v>4154829.4132202407</v>
      </c>
      <c r="AY800" s="224">
        <f>'Perfil - interna'!AY800+'Perfil - externa'!AY798</f>
        <v>3850197.9512626273</v>
      </c>
      <c r="AZ800" s="224">
        <f>'Perfil - interna'!AZ800+'Perfil - externa'!AZ798</f>
        <v>1952653.3968628305</v>
      </c>
      <c r="BA800" s="224">
        <f>'Perfil - interna'!BA800+'Perfil - externa'!BA798</f>
        <v>380692.85347222217</v>
      </c>
      <c r="BB800" s="224">
        <f>'Perfil - interna'!BB800+'Perfil - externa'!BB798</f>
        <v>237236.19291666665</v>
      </c>
      <c r="BC800" s="224">
        <f>'Perfil - interna'!BC800+'Perfil - externa'!BC798</f>
        <v>236588.00659722221</v>
      </c>
      <c r="BD800" s="224">
        <f>'Perfil - interna'!BD800+'Perfil - externa'!BD798</f>
        <v>236588.00659722221</v>
      </c>
      <c r="BE800" s="224">
        <f>'Perfil - interna'!BE800+'Perfil - externa'!BE798</f>
        <v>236588.00659722221</v>
      </c>
      <c r="BF800" s="224">
        <f>'Perfil - interna'!BF800+'Perfil - externa'!BF798</f>
        <v>237236.19291666665</v>
      </c>
      <c r="BG800" s="224">
        <f>'Perfil - interna'!BG800+'Perfil - externa'!BG798</f>
        <v>236588.00659722221</v>
      </c>
      <c r="BH800" s="224">
        <f>'Perfil - interna'!BH800+'Perfil - externa'!BH798</f>
        <v>236588.00659722221</v>
      </c>
      <c r="BI800" s="224">
        <f>'Perfil - interna'!BI800+'Perfil - externa'!BI798</f>
        <v>236588.00659722221</v>
      </c>
      <c r="BJ800" s="224">
        <f>'Perfil - interna'!BJ800+'Perfil - externa'!BJ798</f>
        <v>237236.19291666665</v>
      </c>
      <c r="BK800" s="224">
        <f>'Perfil - interna'!BK800+'Perfil - externa'!BK798</f>
        <v>119266.28277777776</v>
      </c>
    </row>
    <row r="801" spans="1:63">
      <c r="A801" s="279"/>
      <c r="B801" s="307" t="s">
        <v>29</v>
      </c>
      <c r="C801" s="321"/>
      <c r="D801" s="321"/>
      <c r="E801" s="321"/>
      <c r="F801" s="321"/>
      <c r="G801" s="321"/>
      <c r="H801" s="321"/>
      <c r="I801" s="321"/>
      <c r="J801" s="321"/>
      <c r="K801" s="321"/>
      <c r="L801" s="321"/>
      <c r="M801" s="321"/>
      <c r="N801" s="321"/>
      <c r="O801" s="321"/>
      <c r="P801" s="321"/>
      <c r="Q801" s="321"/>
      <c r="R801" s="321"/>
      <c r="S801" s="321"/>
      <c r="T801" s="321"/>
      <c r="U801" s="321"/>
      <c r="V801" s="321"/>
      <c r="W801" s="321"/>
      <c r="X801" s="321"/>
      <c r="Y801" s="321">
        <f t="shared" ref="Y801:BG801" si="79">+Y799+Y800</f>
        <v>110484209.46047758</v>
      </c>
      <c r="Z801" s="321">
        <f t="shared" si="79"/>
        <v>111288084.43220839</v>
      </c>
      <c r="AA801" s="321">
        <f t="shared" si="79"/>
        <v>97661361.024282351</v>
      </c>
      <c r="AB801" s="321">
        <f t="shared" si="79"/>
        <v>87741099.783932924</v>
      </c>
      <c r="AC801" s="321">
        <f t="shared" si="79"/>
        <v>96285619.998221606</v>
      </c>
      <c r="AD801" s="321">
        <f t="shared" si="79"/>
        <v>73208351.834919274</v>
      </c>
      <c r="AE801" s="321">
        <f t="shared" si="79"/>
        <v>61920552.74662374</v>
      </c>
      <c r="AF801" s="321">
        <f t="shared" si="79"/>
        <v>67420149.753333122</v>
      </c>
      <c r="AG801" s="321">
        <f t="shared" si="79"/>
        <v>79841963.930393964</v>
      </c>
      <c r="AH801" s="321">
        <f t="shared" si="79"/>
        <v>67644230.78398414</v>
      </c>
      <c r="AI801" s="321">
        <f t="shared" si="79"/>
        <v>53775192.325991876</v>
      </c>
      <c r="AJ801" s="321">
        <f t="shared" si="79"/>
        <v>52542392.292658255</v>
      </c>
      <c r="AK801" s="321">
        <f t="shared" si="79"/>
        <v>54146605.756030068</v>
      </c>
      <c r="AL801" s="321">
        <f t="shared" si="79"/>
        <v>35650460.503929712</v>
      </c>
      <c r="AM801" s="321">
        <f t="shared" si="79"/>
        <v>52130842.64260833</v>
      </c>
      <c r="AN801" s="321">
        <f t="shared" si="79"/>
        <v>12148437.587172924</v>
      </c>
      <c r="AO801" s="321">
        <f t="shared" si="79"/>
        <v>13482071.443203997</v>
      </c>
      <c r="AP801" s="321">
        <f t="shared" si="79"/>
        <v>14032549.663762607</v>
      </c>
      <c r="AQ801" s="321">
        <f t="shared" si="79"/>
        <v>20731655.351911008</v>
      </c>
      <c r="AR801" s="321">
        <f t="shared" si="79"/>
        <v>31333413.079011749</v>
      </c>
      <c r="AS801" s="321">
        <f t="shared" si="79"/>
        <v>5809093.6800730349</v>
      </c>
      <c r="AT801" s="321">
        <f t="shared" si="79"/>
        <v>17092976.713314511</v>
      </c>
      <c r="AU801" s="321">
        <f t="shared" si="79"/>
        <v>25536839.559339449</v>
      </c>
      <c r="AV801" s="321">
        <f t="shared" si="79"/>
        <v>4208021.7908003954</v>
      </c>
      <c r="AW801" s="321">
        <f t="shared" si="79"/>
        <v>4223317.4373751478</v>
      </c>
      <c r="AX801" s="321">
        <f t="shared" si="79"/>
        <v>4268720.9519681046</v>
      </c>
      <c r="AY801" s="321">
        <f t="shared" si="79"/>
        <v>35232338.744209819</v>
      </c>
      <c r="AZ801" s="321">
        <f t="shared" si="79"/>
        <v>21676457.9894186</v>
      </c>
      <c r="BA801" s="321">
        <f t="shared" si="79"/>
        <v>7328992.8534722226</v>
      </c>
      <c r="BB801" s="321">
        <f t="shared" si="79"/>
        <v>237236.19291666665</v>
      </c>
      <c r="BC801" s="321">
        <f t="shared" si="79"/>
        <v>236588.00659722221</v>
      </c>
      <c r="BD801" s="321">
        <f t="shared" si="79"/>
        <v>236588.00659722221</v>
      </c>
      <c r="BE801" s="321">
        <f t="shared" si="79"/>
        <v>236588.00659722221</v>
      </c>
      <c r="BF801" s="321">
        <f t="shared" si="79"/>
        <v>237236.19291666665</v>
      </c>
      <c r="BG801" s="321">
        <f t="shared" si="79"/>
        <v>236588.00659722221</v>
      </c>
      <c r="BH801" s="321">
        <f>+BH799+BH800</f>
        <v>236588.00659722221</v>
      </c>
      <c r="BI801" s="321">
        <f>+BI799+BI800</f>
        <v>236588.00659722221</v>
      </c>
      <c r="BJ801" s="321">
        <f>+BJ799+BJ800</f>
        <v>237236.19291666665</v>
      </c>
      <c r="BK801" s="321">
        <f>+BK799+BK800</f>
        <v>6141126.2827777779</v>
      </c>
    </row>
    <row r="802" spans="1:63">
      <c r="A802" s="278"/>
      <c r="B802" s="210" t="s">
        <v>28</v>
      </c>
      <c r="C802" s="224"/>
      <c r="D802" s="224"/>
      <c r="E802" s="224"/>
      <c r="F802" s="224"/>
      <c r="G802" s="224"/>
      <c r="H802" s="224"/>
      <c r="I802" s="224"/>
      <c r="J802" s="224"/>
      <c r="K802" s="224"/>
      <c r="L802" s="224"/>
      <c r="M802" s="224"/>
      <c r="N802" s="224"/>
      <c r="O802" s="224"/>
      <c r="P802" s="224"/>
      <c r="Q802" s="224"/>
      <c r="R802" s="224"/>
      <c r="S802" s="224"/>
      <c r="T802" s="224"/>
      <c r="U802" s="224"/>
      <c r="V802" s="224"/>
      <c r="W802" s="224"/>
      <c r="X802" s="224"/>
      <c r="Y802" s="224">
        <f>'Perfil - interna'!Y802+'Perfil - externa'!Y800</f>
        <v>57673804.008430272</v>
      </c>
      <c r="Z802" s="224">
        <f>'Perfil - interna'!Z802+'Perfil - externa'!Z800</f>
        <v>68442278.373854801</v>
      </c>
      <c r="AA802" s="224">
        <f>'Perfil - interna'!AA802+'Perfil - externa'!AA800</f>
        <v>61173701.915120453</v>
      </c>
      <c r="AB802" s="224">
        <f>'Perfil - interna'!AB802+'Perfil - externa'!AB800</f>
        <v>53841418.006140582</v>
      </c>
      <c r="AC802" s="224">
        <f>'Perfil - interna'!AC802+'Perfil - externa'!AC800</f>
        <v>65794697.659390785</v>
      </c>
      <c r="AD802" s="224">
        <f>'Perfil - interna'!AD802+'Perfil - externa'!AD800</f>
        <v>44755005.193571478</v>
      </c>
      <c r="AE802" s="224">
        <f>'Perfil - interna'!AE802+'Perfil - externa'!AE800</f>
        <v>36659651.588437632</v>
      </c>
      <c r="AF802" s="224">
        <f>'Perfil - interna'!AF802+'Perfil - externa'!AF800</f>
        <v>42582647.064544216</v>
      </c>
      <c r="AG802" s="224">
        <f>'Perfil - interna'!AG802+'Perfil - externa'!AG800</f>
        <v>57414535.471827343</v>
      </c>
      <c r="AH802" s="224">
        <f>'Perfil - interna'!AH802+'Perfil - externa'!AH800</f>
        <v>47869802.97167778</v>
      </c>
      <c r="AI802" s="224">
        <f>'Perfil - interna'!AI802+'Perfil - externa'!AI800</f>
        <v>38667119.911000818</v>
      </c>
      <c r="AJ802" s="224">
        <f>'Perfil - interna'!AJ802+'Perfil - externa'!AJ800</f>
        <v>47022271.368732452</v>
      </c>
      <c r="AK802" s="224">
        <f>'Perfil - interna'!AK802+'Perfil - externa'!AK800</f>
        <v>40558332.649715215</v>
      </c>
      <c r="AL802" s="224">
        <f>'Perfil - interna'!AL802+'Perfil - externa'!AL800</f>
        <v>23983701.174589835</v>
      </c>
      <c r="AM802" s="224">
        <f>'Perfil - interna'!AM802+'Perfil - externa'!AM800</f>
        <v>42570778.28581401</v>
      </c>
      <c r="AN802" s="224">
        <f>'Perfil - interna'!AN802+'Perfil - externa'!AN800</f>
        <v>3715484.6040266189</v>
      </c>
      <c r="AO802" s="224">
        <f>'Perfil - interna'!AO802+'Perfil - externa'!AO800</f>
        <v>5146491.1655626856</v>
      </c>
      <c r="AP802" s="224">
        <f>'Perfil - interna'!AP802+'Perfil - externa'!AP800</f>
        <v>5858421.3258773414</v>
      </c>
      <c r="AQ802" s="224">
        <f>'Perfil - interna'!AQ802+'Perfil - externa'!AQ800</f>
        <v>13299860.507303201</v>
      </c>
      <c r="AR802" s="224">
        <f>'Perfil - interna'!AR802+'Perfil - externa'!AR800</f>
        <v>25103244.947524883</v>
      </c>
      <c r="AS802" s="224">
        <f>'Perfil - interna'!AS802+'Perfil - externa'!AS800</f>
        <v>165732.12905060145</v>
      </c>
      <c r="AT802" s="224">
        <f>'Perfil - interna'!AT802+'Perfil - externa'!AT800</f>
        <v>12174946.943395305</v>
      </c>
      <c r="AU802" s="224">
        <f>'Perfil - interna'!AU802+'Perfil - externa'!AU800</f>
        <v>21783014.317617849</v>
      </c>
      <c r="AV802" s="224">
        <f>'Perfil - interna'!AV802+'Perfil - externa'!AV800</f>
        <v>144649.81429435546</v>
      </c>
      <c r="AW802" s="224">
        <f>'Perfil - interna'!AW802+'Perfil - externa'!AW800</f>
        <v>118659.86834840951</v>
      </c>
      <c r="AX802" s="224">
        <f>'Perfil - interna'!AX802+'Perfil - externa'!AX800</f>
        <v>118659.86834840951</v>
      </c>
      <c r="AY802" s="224">
        <f>'Perfil - interna'!AY802+'Perfil - externa'!AY800</f>
        <v>32841756.618503422</v>
      </c>
      <c r="AZ802" s="224">
        <f>'Perfil - interna'!AZ802+'Perfil - externa'!AZ800</f>
        <v>20459563.398585584</v>
      </c>
      <c r="BA802" s="224">
        <f>'Perfil - interna'!BA802+'Perfil - externa'!BA800</f>
        <v>7212210.0000000009</v>
      </c>
      <c r="BB802" s="224">
        <f>'Perfil - interna'!BB802+'Perfil - externa'!BB800</f>
        <v>0</v>
      </c>
      <c r="BC802" s="224">
        <f>'Perfil - interna'!BC802+'Perfil - externa'!BC800</f>
        <v>0</v>
      </c>
      <c r="BD802" s="224">
        <f>'Perfil - interna'!BD802+'Perfil - externa'!BD800</f>
        <v>0</v>
      </c>
      <c r="BE802" s="224">
        <f>'Perfil - interna'!BE802+'Perfil - externa'!BE800</f>
        <v>0</v>
      </c>
      <c r="BF802" s="224">
        <f>'Perfil - interna'!BF802+'Perfil - externa'!BF800</f>
        <v>0</v>
      </c>
      <c r="BG802" s="224">
        <f>'Perfil - interna'!BG802+'Perfil - externa'!BG800</f>
        <v>0</v>
      </c>
      <c r="BH802" s="224">
        <f>'Perfil - interna'!BH802+'Perfil - externa'!BH800</f>
        <v>0</v>
      </c>
      <c r="BI802" s="224">
        <f>'Perfil - interna'!BI802+'Perfil - externa'!BI800</f>
        <v>0</v>
      </c>
      <c r="BJ802" s="224">
        <f>'Perfil - interna'!BJ802+'Perfil - externa'!BJ800</f>
        <v>0</v>
      </c>
      <c r="BK802" s="224">
        <f>'Perfil - interna'!BK802+'Perfil - externa'!BK800</f>
        <v>6250582</v>
      </c>
    </row>
    <row r="803" spans="1:63">
      <c r="A803" s="168">
        <v>44985</v>
      </c>
      <c r="B803" s="213" t="s">
        <v>385</v>
      </c>
      <c r="C803" s="224"/>
      <c r="D803" s="224"/>
      <c r="E803" s="224"/>
      <c r="F803" s="224"/>
      <c r="G803" s="224"/>
      <c r="H803" s="224"/>
      <c r="I803" s="224"/>
      <c r="J803" s="224"/>
      <c r="K803" s="224"/>
      <c r="L803" s="224"/>
      <c r="M803" s="224"/>
      <c r="N803" s="224"/>
      <c r="O803" s="224"/>
      <c r="P803" s="224"/>
      <c r="Q803" s="224"/>
      <c r="R803" s="224"/>
      <c r="S803" s="224"/>
      <c r="T803" s="224"/>
      <c r="U803" s="224"/>
      <c r="V803" s="224"/>
      <c r="W803" s="224"/>
      <c r="X803" s="224"/>
      <c r="Y803" s="224">
        <f>'Perfil - interna'!Y803+'Perfil - externa'!Y801</f>
        <v>40948636.98982805</v>
      </c>
      <c r="Z803" s="224">
        <f>'Perfil - interna'!Z803+'Perfil - externa'!Z801</f>
        <v>43133993.343143962</v>
      </c>
      <c r="AA803" s="224">
        <f>'Perfil - interna'!AA803+'Perfil - externa'!AA801</f>
        <v>39410120.065839976</v>
      </c>
      <c r="AB803" s="224">
        <f>'Perfil - interna'!AB803+'Perfil - externa'!AB801</f>
        <v>36419008.126316607</v>
      </c>
      <c r="AC803" s="224">
        <f>'Perfil - interna'!AC803+'Perfil - externa'!AC801</f>
        <v>33400767.314890139</v>
      </c>
      <c r="AD803" s="224">
        <f>'Perfil - interna'!AD803+'Perfil - externa'!AD801</f>
        <v>30700873.475642748</v>
      </c>
      <c r="AE803" s="224">
        <f>'Perfil - interna'!AE803+'Perfil - externa'!AE801</f>
        <v>28258018.150607623</v>
      </c>
      <c r="AF803" s="224">
        <f>'Perfil - interna'!AF803+'Perfil - externa'!AF801</f>
        <v>27298943.941580262</v>
      </c>
      <c r="AG803" s="224">
        <f>'Perfil - interna'!AG803+'Perfil - externa'!AG801</f>
        <v>25084287.684914693</v>
      </c>
      <c r="AH803" s="224">
        <f>'Perfil - interna'!AH803+'Perfil - externa'!AH801</f>
        <v>22214461.902914669</v>
      </c>
      <c r="AI803" s="224">
        <f>'Perfil - interna'!AI803+'Perfil - externa'!AI801</f>
        <v>19523475.219717875</v>
      </c>
      <c r="AJ803" s="224">
        <f>'Perfil - interna'!AJ803+'Perfil - externa'!AJ801</f>
        <v>17435832.351530552</v>
      </c>
      <c r="AK803" s="224">
        <f>'Perfil - interna'!AK803+'Perfil - externa'!AK801</f>
        <v>14858846.87785311</v>
      </c>
      <c r="AL803" s="224">
        <f>'Perfil - interna'!AL803+'Perfil - externa'!AL801</f>
        <v>12498564.394980801</v>
      </c>
      <c r="AM803" s="224">
        <f>'Perfil - interna'!AM803+'Perfil - externa'!AM801</f>
        <v>11530993.926842662</v>
      </c>
      <c r="AN803" s="224">
        <f>'Perfil - interna'!AN803+'Perfil - externa'!AN801</f>
        <v>9059549.7955769245</v>
      </c>
      <c r="AO803" s="224">
        <f>'Perfil - interna'!AO803+'Perfil - externa'!AO801</f>
        <v>8945847.8461186625</v>
      </c>
      <c r="AP803" s="224">
        <f>'Perfil - interna'!AP803+'Perfil - externa'!AP801</f>
        <v>8742317.8519061245</v>
      </c>
      <c r="AQ803" s="224">
        <f>'Perfil - interna'!AQ803+'Perfil - externa'!AQ801</f>
        <v>8253772.5700680306</v>
      </c>
      <c r="AR803" s="224">
        <f>'Perfil - interna'!AR803+'Perfil - externa'!AR801</f>
        <v>7770429.8693576083</v>
      </c>
      <c r="AS803" s="224">
        <f>'Perfil - interna'!AS803+'Perfil - externa'!AS801</f>
        <v>5865010.0232823305</v>
      </c>
      <c r="AT803" s="224">
        <f>'Perfil - interna'!AT803+'Perfil - externa'!AT801</f>
        <v>5567458.4849740891</v>
      </c>
      <c r="AU803" s="224">
        <f>'Perfil - interna'!AU803+'Perfil - externa'!AU801</f>
        <v>4723775.8868968859</v>
      </c>
      <c r="AV803" s="224">
        <f>'Perfil - interna'!AV803+'Perfil - externa'!AV801</f>
        <v>4223026.9565728549</v>
      </c>
      <c r="AW803" s="224">
        <f>'Perfil - interna'!AW803+'Perfil - externa'!AW801</f>
        <v>4264711.3760896856</v>
      </c>
      <c r="AX803" s="224">
        <f>'Perfil - interna'!AX803+'Perfil - externa'!AX801</f>
        <v>4311657.9298028173</v>
      </c>
      <c r="AY803" s="224">
        <f>'Perfil - interna'!AY803+'Perfil - externa'!AY801</f>
        <v>3995272.3997992952</v>
      </c>
      <c r="AZ803" s="224">
        <f>'Perfil - interna'!AZ803+'Perfil - externa'!AZ801</f>
        <v>2025963.3245333745</v>
      </c>
      <c r="BA803" s="224">
        <f>'Perfil - interna'!BA803+'Perfil - externa'!BA801</f>
        <v>395152.31131944444</v>
      </c>
      <c r="BB803" s="224">
        <f>'Perfil - interna'!BB803+'Perfil - externa'!BB801</f>
        <v>246246.88670833333</v>
      </c>
      <c r="BC803" s="224">
        <f>'Perfil - interna'!BC803+'Perfil - externa'!BC801</f>
        <v>245574.08100694447</v>
      </c>
      <c r="BD803" s="224">
        <f>'Perfil - interna'!BD803+'Perfil - externa'!BD801</f>
        <v>245574.08100694447</v>
      </c>
      <c r="BE803" s="224">
        <f>'Perfil - interna'!BE803+'Perfil - externa'!BE801</f>
        <v>245574.08100694447</v>
      </c>
      <c r="BF803" s="224">
        <f>'Perfil - interna'!BF803+'Perfil - externa'!BF801</f>
        <v>246246.88670833333</v>
      </c>
      <c r="BG803" s="224">
        <f>'Perfil - interna'!BG803+'Perfil - externa'!BG801</f>
        <v>245574.08100694447</v>
      </c>
      <c r="BH803" s="224">
        <f>'Perfil - interna'!BH803+'Perfil - externa'!BH801</f>
        <v>245574.08100694447</v>
      </c>
      <c r="BI803" s="224">
        <f>'Perfil - interna'!BI803+'Perfil - externa'!BI801</f>
        <v>245574.08100694447</v>
      </c>
      <c r="BJ803" s="224">
        <f>'Perfil - interna'!BJ803+'Perfil - externa'!BJ801</f>
        <v>246246.88670833333</v>
      </c>
      <c r="BK803" s="224">
        <f>'Perfil - interna'!BK803+'Perfil - externa'!BK801</f>
        <v>123796.24905555556</v>
      </c>
    </row>
    <row r="804" spans="1:63">
      <c r="A804" s="279"/>
      <c r="B804" s="307" t="s">
        <v>29</v>
      </c>
      <c r="C804" s="321"/>
      <c r="D804" s="321"/>
      <c r="E804" s="321"/>
      <c r="F804" s="321"/>
      <c r="G804" s="321"/>
      <c r="H804" s="321"/>
      <c r="I804" s="321"/>
      <c r="J804" s="321"/>
      <c r="K804" s="321"/>
      <c r="L804" s="321"/>
      <c r="M804" s="321"/>
      <c r="N804" s="321"/>
      <c r="O804" s="321"/>
      <c r="P804" s="321"/>
      <c r="Q804" s="321"/>
      <c r="R804" s="321"/>
      <c r="S804" s="321"/>
      <c r="T804" s="321"/>
      <c r="U804" s="321"/>
      <c r="V804" s="321"/>
      <c r="W804" s="321"/>
      <c r="X804" s="321"/>
      <c r="Y804" s="321">
        <f t="shared" ref="Y804:BG804" si="80">+Y802+Y803</f>
        <v>98622440.998258322</v>
      </c>
      <c r="Z804" s="321">
        <f t="shared" si="80"/>
        <v>111576271.71699876</v>
      </c>
      <c r="AA804" s="321">
        <f t="shared" si="80"/>
        <v>100583821.98096043</v>
      </c>
      <c r="AB804" s="321">
        <f t="shared" si="80"/>
        <v>90260426.132457197</v>
      </c>
      <c r="AC804" s="321">
        <f t="shared" si="80"/>
        <v>99195464.974280924</v>
      </c>
      <c r="AD804" s="321">
        <f t="shared" si="80"/>
        <v>75455878.669214219</v>
      </c>
      <c r="AE804" s="321">
        <f t="shared" si="80"/>
        <v>64917669.739045255</v>
      </c>
      <c r="AF804" s="321">
        <f t="shared" si="80"/>
        <v>69881591.006124482</v>
      </c>
      <c r="AG804" s="321">
        <f t="shared" si="80"/>
        <v>82498823.156742036</v>
      </c>
      <c r="AH804" s="321">
        <f t="shared" si="80"/>
        <v>70084264.874592453</v>
      </c>
      <c r="AI804" s="321">
        <f t="shared" si="80"/>
        <v>58190595.130718693</v>
      </c>
      <c r="AJ804" s="321">
        <f t="shared" si="80"/>
        <v>64458103.720263004</v>
      </c>
      <c r="AK804" s="321">
        <f t="shared" si="80"/>
        <v>55417179.527568325</v>
      </c>
      <c r="AL804" s="321">
        <f t="shared" si="80"/>
        <v>36482265.569570638</v>
      </c>
      <c r="AM804" s="321">
        <f t="shared" si="80"/>
        <v>54101772.212656669</v>
      </c>
      <c r="AN804" s="321">
        <f t="shared" si="80"/>
        <v>12775034.399603544</v>
      </c>
      <c r="AO804" s="321">
        <f t="shared" si="80"/>
        <v>14092339.011681348</v>
      </c>
      <c r="AP804" s="321">
        <f t="shared" si="80"/>
        <v>14600739.177783467</v>
      </c>
      <c r="AQ804" s="321">
        <f t="shared" si="80"/>
        <v>21553633.077371232</v>
      </c>
      <c r="AR804" s="321">
        <f t="shared" si="80"/>
        <v>32873674.816882491</v>
      </c>
      <c r="AS804" s="321">
        <f t="shared" si="80"/>
        <v>6030742.1523329318</v>
      </c>
      <c r="AT804" s="321">
        <f t="shared" si="80"/>
        <v>17742405.428369395</v>
      </c>
      <c r="AU804" s="321">
        <f t="shared" si="80"/>
        <v>26506790.204514734</v>
      </c>
      <c r="AV804" s="321">
        <f t="shared" si="80"/>
        <v>4367676.7708672099</v>
      </c>
      <c r="AW804" s="321">
        <f t="shared" si="80"/>
        <v>4383371.244438095</v>
      </c>
      <c r="AX804" s="321">
        <f t="shared" si="80"/>
        <v>4430317.7981512267</v>
      </c>
      <c r="AY804" s="321">
        <f t="shared" si="80"/>
        <v>36837029.018302716</v>
      </c>
      <c r="AZ804" s="321">
        <f t="shared" si="80"/>
        <v>22485526.723118957</v>
      </c>
      <c r="BA804" s="321">
        <f t="shared" si="80"/>
        <v>7607362.3113194453</v>
      </c>
      <c r="BB804" s="321">
        <f t="shared" si="80"/>
        <v>246246.88670833333</v>
      </c>
      <c r="BC804" s="321">
        <f t="shared" si="80"/>
        <v>245574.08100694447</v>
      </c>
      <c r="BD804" s="321">
        <f t="shared" si="80"/>
        <v>245574.08100694447</v>
      </c>
      <c r="BE804" s="321">
        <f t="shared" si="80"/>
        <v>245574.08100694447</v>
      </c>
      <c r="BF804" s="321">
        <f t="shared" si="80"/>
        <v>246246.88670833333</v>
      </c>
      <c r="BG804" s="321">
        <f t="shared" si="80"/>
        <v>245574.08100694447</v>
      </c>
      <c r="BH804" s="321">
        <f>+BH802+BH803</f>
        <v>245574.08100694447</v>
      </c>
      <c r="BI804" s="321">
        <f>+BI802+BI803</f>
        <v>245574.08100694447</v>
      </c>
      <c r="BJ804" s="321">
        <f>+BJ802+BJ803</f>
        <v>246246.88670833333</v>
      </c>
      <c r="BK804" s="321">
        <f>+BK802+BK803</f>
        <v>6374378.2490555551</v>
      </c>
    </row>
    <row r="805" spans="1:63">
      <c r="A805" s="278"/>
      <c r="B805" s="210" t="s">
        <v>28</v>
      </c>
      <c r="C805" s="224"/>
      <c r="D805" s="224"/>
      <c r="E805" s="224"/>
      <c r="F805" s="224"/>
      <c r="G805" s="224"/>
      <c r="H805" s="224"/>
      <c r="I805" s="224"/>
      <c r="J805" s="224"/>
      <c r="K805" s="224"/>
      <c r="L805" s="224"/>
      <c r="M805" s="224"/>
      <c r="N805" s="224"/>
      <c r="O805" s="224"/>
      <c r="P805" s="224"/>
      <c r="Q805" s="224"/>
      <c r="R805" s="224"/>
      <c r="S805" s="224"/>
      <c r="T805" s="224"/>
      <c r="U805" s="224"/>
      <c r="V805" s="224"/>
      <c r="W805" s="224"/>
      <c r="X805" s="224"/>
      <c r="Y805" s="224">
        <f>'Perfil - interna'!Y805+'Perfil - externa'!Y803</f>
        <v>53954281.0049835</v>
      </c>
      <c r="Z805" s="224">
        <f>'Perfil - interna'!Z805+'Perfil - externa'!Z803</f>
        <v>67087285.633586854</v>
      </c>
      <c r="AA805" s="224">
        <f>'Perfil - interna'!AA805+'Perfil - externa'!AA803</f>
        <v>60790743.922381237</v>
      </c>
      <c r="AB805" s="224">
        <f>'Perfil - interna'!AB805+'Perfil - externa'!AB803</f>
        <v>53184621.937579118</v>
      </c>
      <c r="AC805" s="224">
        <f>'Perfil - interna'!AC805+'Perfil - externa'!AC803</f>
        <v>65427096.891893879</v>
      </c>
      <c r="AD805" s="224">
        <f>'Perfil - interna'!AD805+'Perfil - externa'!AD803</f>
        <v>44464401.945593365</v>
      </c>
      <c r="AE805" s="224">
        <f>'Perfil - interna'!AE805+'Perfil - externa'!AE803</f>
        <v>36757520.631222494</v>
      </c>
      <c r="AF805" s="224">
        <f>'Perfil - interna'!AF805+'Perfil - externa'!AF803</f>
        <v>41903739.081194639</v>
      </c>
      <c r="AG805" s="224">
        <f>'Perfil - interna'!AG805+'Perfil - externa'!AG803</f>
        <v>56514564.679412059</v>
      </c>
      <c r="AH805" s="224">
        <f>'Perfil - interna'!AH805+'Perfil - externa'!AH803</f>
        <v>47151103.136172652</v>
      </c>
      <c r="AI805" s="224">
        <f>'Perfil - interna'!AI805+'Perfil - externa'!AI803</f>
        <v>42312777.434868947</v>
      </c>
      <c r="AJ805" s="224">
        <f>'Perfil - interna'!AJ805+'Perfil - externa'!AJ803</f>
        <v>46307071.36150042</v>
      </c>
      <c r="AK805" s="224">
        <f>'Perfil - interna'!AK805+'Perfil - externa'!AK803</f>
        <v>40892474.233424649</v>
      </c>
      <c r="AL805" s="224">
        <f>'Perfil - interna'!AL805+'Perfil - externa'!AL803</f>
        <v>23707607.72448992</v>
      </c>
      <c r="AM805" s="224">
        <f>'Perfil - interna'!AM805+'Perfil - externa'!AM803</f>
        <v>43178108.973395839</v>
      </c>
      <c r="AN805" s="224">
        <f>'Perfil - interna'!AN805+'Perfil - externa'!AN803</f>
        <v>3582837.5140708624</v>
      </c>
      <c r="AO805" s="224">
        <f>'Perfil - interna'!AO805+'Perfil - externa'!AO803</f>
        <v>4960013.2477223352</v>
      </c>
      <c r="AP805" s="224">
        <f>'Perfil - interna'!AP805+'Perfil - externa'!AP803</f>
        <v>5643738.2088755453</v>
      </c>
      <c r="AQ805" s="224">
        <f>'Perfil - interna'!AQ805+'Perfil - externa'!AQ803</f>
        <v>12802119.470219886</v>
      </c>
      <c r="AR805" s="224">
        <f>'Perfil - interna'!AR805+'Perfil - externa'!AR803</f>
        <v>26383265.481315773</v>
      </c>
      <c r="AS805" s="224">
        <f>'Perfil - interna'!AS805+'Perfil - externa'!AS803</f>
        <v>162063.60228823245</v>
      </c>
      <c r="AT805" s="224">
        <f>'Perfil - interna'!AT805+'Perfil - externa'!AT803</f>
        <v>11719522.294001209</v>
      </c>
      <c r="AU805" s="224">
        <f>'Perfil - interna'!AU805+'Perfil - externa'!AU803</f>
        <v>20966158.606321301</v>
      </c>
      <c r="AV805" s="224">
        <f>'Perfil - interna'!AV805+'Perfil - externa'!AV803</f>
        <v>141774.35060210555</v>
      </c>
      <c r="AW805" s="224">
        <f>'Perfil - interna'!AW805+'Perfil - externa'!AW803</f>
        <v>116762.08033183528</v>
      </c>
      <c r="AX805" s="224">
        <f>'Perfil - interna'!AX805+'Perfil - externa'!AX803</f>
        <v>116762.08033183528</v>
      </c>
      <c r="AY805" s="224">
        <f>'Perfil - interna'!AY805+'Perfil - externa'!AY803</f>
        <v>33519953.857138995</v>
      </c>
      <c r="AZ805" s="224">
        <f>'Perfil - interna'!AZ805+'Perfil - externa'!AZ803</f>
        <v>21485478.567440774</v>
      </c>
      <c r="BA805" s="224">
        <f>'Perfil - interna'!BA805+'Perfil - externa'!BA803</f>
        <v>6940905.0000000009</v>
      </c>
      <c r="BB805" s="224">
        <f>'Perfil - interna'!BB805+'Perfil - externa'!BB803</f>
        <v>0</v>
      </c>
      <c r="BC805" s="224">
        <f>'Perfil - interna'!BC805+'Perfil - externa'!BC803</f>
        <v>0</v>
      </c>
      <c r="BD805" s="224">
        <f>'Perfil - interna'!BD805+'Perfil - externa'!BD803</f>
        <v>0</v>
      </c>
      <c r="BE805" s="224">
        <f>'Perfil - interna'!BE805+'Perfil - externa'!BE803</f>
        <v>0</v>
      </c>
      <c r="BF805" s="224">
        <f>'Perfil - interna'!BF805+'Perfil - externa'!BF803</f>
        <v>0</v>
      </c>
      <c r="BG805" s="224">
        <f>'Perfil - interna'!BG805+'Perfil - externa'!BG803</f>
        <v>0</v>
      </c>
      <c r="BH805" s="224">
        <f>'Perfil - interna'!BH805+'Perfil - externa'!BH803</f>
        <v>0</v>
      </c>
      <c r="BI805" s="224">
        <f>'Perfil - interna'!BI805+'Perfil - externa'!BI803</f>
        <v>0</v>
      </c>
      <c r="BJ805" s="224">
        <f>'Perfil - interna'!BJ805+'Perfil - externa'!BJ803</f>
        <v>0</v>
      </c>
      <c r="BK805" s="224">
        <f>'Perfil - interna'!BK805+'Perfil - externa'!BK803</f>
        <v>6015451.0000000009</v>
      </c>
    </row>
    <row r="806" spans="1:63">
      <c r="A806" s="168">
        <v>45016</v>
      </c>
      <c r="B806" s="213" t="s">
        <v>385</v>
      </c>
      <c r="C806" s="224"/>
      <c r="D806" s="224"/>
      <c r="E806" s="224"/>
      <c r="F806" s="224"/>
      <c r="G806" s="224"/>
      <c r="H806" s="224"/>
      <c r="I806" s="224"/>
      <c r="J806" s="224"/>
      <c r="K806" s="224"/>
      <c r="L806" s="224"/>
      <c r="M806" s="224"/>
      <c r="N806" s="224"/>
      <c r="O806" s="224"/>
      <c r="P806" s="224"/>
      <c r="Q806" s="224"/>
      <c r="R806" s="224"/>
      <c r="S806" s="224"/>
      <c r="T806" s="224"/>
      <c r="U806" s="224"/>
      <c r="V806" s="224"/>
      <c r="W806" s="224"/>
      <c r="X806" s="224"/>
      <c r="Y806" s="224">
        <f>'Perfil - interna'!Y806+'Perfil - externa'!Y804</f>
        <v>34190310.83925914</v>
      </c>
      <c r="Z806" s="224">
        <f>'Perfil - interna'!Z806+'Perfil - externa'!Z804</f>
        <v>43231749.731913604</v>
      </c>
      <c r="AA806" s="224">
        <f>'Perfil - interna'!AA806+'Perfil - externa'!AA804</f>
        <v>39687312.501258001</v>
      </c>
      <c r="AB806" s="224">
        <f>'Perfil - interna'!AB806+'Perfil - externa'!AB804</f>
        <v>36713294.031935088</v>
      </c>
      <c r="AC806" s="224">
        <f>'Perfil - interna'!AC806+'Perfil - externa'!AC804</f>
        <v>33794607.637506142</v>
      </c>
      <c r="AD806" s="224">
        <f>'Perfil - interna'!AD806+'Perfil - externa'!AD804</f>
        <v>31140131.344894074</v>
      </c>
      <c r="AE806" s="224">
        <f>'Perfil - interna'!AE806+'Perfil - externa'!AE804</f>
        <v>28737936.401008323</v>
      </c>
      <c r="AF806" s="224">
        <f>'Perfil - interna'!AF806+'Perfil - externa'!AF804</f>
        <v>27776854.599035792</v>
      </c>
      <c r="AG806" s="224">
        <f>'Perfil - interna'!AG806+'Perfil - externa'!AG804</f>
        <v>25587012.412112646</v>
      </c>
      <c r="AH806" s="224">
        <f>'Perfil - interna'!AH806+'Perfil - externa'!AH804</f>
        <v>22750424.05865645</v>
      </c>
      <c r="AI806" s="224">
        <f>'Perfil - interna'!AI806+'Perfil - externa'!AI804</f>
        <v>20090919.819591001</v>
      </c>
      <c r="AJ806" s="224">
        <f>'Perfil - interna'!AJ806+'Perfil - externa'!AJ804</f>
        <v>17501112.772565242</v>
      </c>
      <c r="AK806" s="224">
        <f>'Perfil - interna'!AK806+'Perfil - externa'!AK804</f>
        <v>14950750.356786195</v>
      </c>
      <c r="AL806" s="224">
        <f>'Perfil - interna'!AL806+'Perfil - externa'!AL804</f>
        <v>12597256.203757145</v>
      </c>
      <c r="AM806" s="224">
        <f>'Perfil - interna'!AM806+'Perfil - externa'!AM804</f>
        <v>11638247.665642997</v>
      </c>
      <c r="AN806" s="224">
        <f>'Perfil - interna'!AN806+'Perfil - externa'!AN804</f>
        <v>9160260.0561664216</v>
      </c>
      <c r="AO806" s="224">
        <f>'Perfil - interna'!AO806+'Perfil - externa'!AO804</f>
        <v>9050133.1923236772</v>
      </c>
      <c r="AP806" s="224">
        <f>'Perfil - interna'!AP806+'Perfil - externa'!AP804</f>
        <v>8854474.7487645391</v>
      </c>
      <c r="AQ806" s="224">
        <f>'Perfil - interna'!AQ806+'Perfil - externa'!AQ804</f>
        <v>8384610.9515094571</v>
      </c>
      <c r="AR806" s="224">
        <f>'Perfil - interna'!AR806+'Perfil - externa'!AR804</f>
        <v>7920419.8379780743</v>
      </c>
      <c r="AS806" s="224">
        <f>'Perfil - interna'!AS806+'Perfil - externa'!AS804</f>
        <v>5883524.5473954342</v>
      </c>
      <c r="AT806" s="224">
        <f>'Perfil - interna'!AT806+'Perfil - externa'!AT804</f>
        <v>5600363.9555196986</v>
      </c>
      <c r="AU806" s="224">
        <f>'Perfil - interna'!AU806+'Perfil - externa'!AU804</f>
        <v>4791720.1175415916</v>
      </c>
      <c r="AV806" s="224">
        <f>'Perfil - interna'!AV806+'Perfil - externa'!AV804</f>
        <v>4313209.8610418318</v>
      </c>
      <c r="AW806" s="224">
        <f>'Perfil - interna'!AW806+'Perfil - externa'!AW804</f>
        <v>4356828.2418739218</v>
      </c>
      <c r="AX806" s="224">
        <f>'Perfil - interna'!AX806+'Perfil - externa'!AX804</f>
        <v>4405617.7500916673</v>
      </c>
      <c r="AY806" s="224">
        <f>'Perfil - interna'!AY806+'Perfil - externa'!AY804</f>
        <v>4104852.7179377372</v>
      </c>
      <c r="AZ806" s="224">
        <f>'Perfil - interna'!AZ806+'Perfil - externa'!AZ804</f>
        <v>2079827.8117621632</v>
      </c>
      <c r="BA806" s="224">
        <f>'Perfil - interna'!BA806+'Perfil - externa'!BA804</f>
        <v>380287.68621527776</v>
      </c>
      <c r="BB806" s="224">
        <f>'Perfil - interna'!BB806+'Perfil - externa'!BB804</f>
        <v>236983.70502083335</v>
      </c>
      <c r="BC806" s="224">
        <f>'Perfil - interna'!BC806+'Perfil - externa'!BC804</f>
        <v>236336.20855902781</v>
      </c>
      <c r="BD806" s="224">
        <f>'Perfil - interna'!BD806+'Perfil - externa'!BD804</f>
        <v>236336.20855902781</v>
      </c>
      <c r="BE806" s="224">
        <f>'Perfil - interna'!BE806+'Perfil - externa'!BE804</f>
        <v>236336.20855902781</v>
      </c>
      <c r="BF806" s="224">
        <f>'Perfil - interna'!BF806+'Perfil - externa'!BF804</f>
        <v>236983.70502083335</v>
      </c>
      <c r="BG806" s="224">
        <f>'Perfil - interna'!BG806+'Perfil - externa'!BG804</f>
        <v>236336.20855902781</v>
      </c>
      <c r="BH806" s="224">
        <f>'Perfil - interna'!BH806+'Perfil - externa'!BH804</f>
        <v>236336.20855902781</v>
      </c>
      <c r="BI806" s="224">
        <f>'Perfil - interna'!BI806+'Perfil - externa'!BI804</f>
        <v>236336.20855902781</v>
      </c>
      <c r="BJ806" s="224">
        <f>'Perfil - interna'!BJ806+'Perfil - externa'!BJ804</f>
        <v>236983.70502083335</v>
      </c>
      <c r="BK806" s="224">
        <f>'Perfil - interna'!BK806+'Perfil - externa'!BK804</f>
        <v>119139.34897222223</v>
      </c>
    </row>
    <row r="807" spans="1:63">
      <c r="A807" s="279"/>
      <c r="B807" s="307" t="s">
        <v>29</v>
      </c>
      <c r="C807" s="321"/>
      <c r="D807" s="321"/>
      <c r="E807" s="321"/>
      <c r="F807" s="321"/>
      <c r="G807" s="321"/>
      <c r="H807" s="321"/>
      <c r="I807" s="321"/>
      <c r="J807" s="321"/>
      <c r="K807" s="321"/>
      <c r="L807" s="321"/>
      <c r="M807" s="321"/>
      <c r="N807" s="321"/>
      <c r="O807" s="321"/>
      <c r="P807" s="321"/>
      <c r="Q807" s="321"/>
      <c r="R807" s="321"/>
      <c r="S807" s="321"/>
      <c r="T807" s="321"/>
      <c r="U807" s="321"/>
      <c r="V807" s="321"/>
      <c r="W807" s="321"/>
      <c r="X807" s="321"/>
      <c r="Y807" s="321">
        <f t="shared" ref="Y807:BG807" si="81">+Y805+Y806</f>
        <v>88144591.844242632</v>
      </c>
      <c r="Z807" s="321">
        <f t="shared" si="81"/>
        <v>110319035.36550045</v>
      </c>
      <c r="AA807" s="321">
        <f t="shared" si="81"/>
        <v>100478056.42363924</v>
      </c>
      <c r="AB807" s="321">
        <f t="shared" si="81"/>
        <v>89897915.969514206</v>
      </c>
      <c r="AC807" s="321">
        <f t="shared" si="81"/>
        <v>99221704.529400021</v>
      </c>
      <c r="AD807" s="321">
        <f t="shared" si="81"/>
        <v>75604533.290487438</v>
      </c>
      <c r="AE807" s="321">
        <f t="shared" si="81"/>
        <v>65495457.032230817</v>
      </c>
      <c r="AF807" s="321">
        <f t="shared" si="81"/>
        <v>69680593.680230439</v>
      </c>
      <c r="AG807" s="321">
        <f t="shared" si="81"/>
        <v>82101577.091524705</v>
      </c>
      <c r="AH807" s="321">
        <f t="shared" si="81"/>
        <v>69901527.194829106</v>
      </c>
      <c r="AI807" s="321">
        <f t="shared" si="81"/>
        <v>62403697.254459947</v>
      </c>
      <c r="AJ807" s="321">
        <f t="shared" si="81"/>
        <v>63808184.134065658</v>
      </c>
      <c r="AK807" s="321">
        <f t="shared" si="81"/>
        <v>55843224.59021084</v>
      </c>
      <c r="AL807" s="321">
        <f t="shared" si="81"/>
        <v>36304863.928247064</v>
      </c>
      <c r="AM807" s="321">
        <f t="shared" si="81"/>
        <v>54816356.639038838</v>
      </c>
      <c r="AN807" s="321">
        <f t="shared" si="81"/>
        <v>12743097.570237285</v>
      </c>
      <c r="AO807" s="321">
        <f t="shared" si="81"/>
        <v>14010146.440046012</v>
      </c>
      <c r="AP807" s="321">
        <f t="shared" si="81"/>
        <v>14498212.957640085</v>
      </c>
      <c r="AQ807" s="321">
        <f t="shared" si="81"/>
        <v>21186730.421729341</v>
      </c>
      <c r="AR807" s="321">
        <f t="shared" si="81"/>
        <v>34303685.319293849</v>
      </c>
      <c r="AS807" s="321">
        <f t="shared" si="81"/>
        <v>6045588.1496836664</v>
      </c>
      <c r="AT807" s="321">
        <f t="shared" si="81"/>
        <v>17319886.249520905</v>
      </c>
      <c r="AU807" s="321">
        <f t="shared" si="81"/>
        <v>25757878.723862894</v>
      </c>
      <c r="AV807" s="321">
        <f t="shared" si="81"/>
        <v>4454984.211643937</v>
      </c>
      <c r="AW807" s="321">
        <f t="shared" si="81"/>
        <v>4473590.3222057568</v>
      </c>
      <c r="AX807" s="321">
        <f t="shared" si="81"/>
        <v>4522379.8304235023</v>
      </c>
      <c r="AY807" s="321">
        <f t="shared" si="81"/>
        <v>37624806.575076729</v>
      </c>
      <c r="AZ807" s="321">
        <f t="shared" si="81"/>
        <v>23565306.379202936</v>
      </c>
      <c r="BA807" s="321">
        <f t="shared" si="81"/>
        <v>7321192.6862152787</v>
      </c>
      <c r="BB807" s="321">
        <f t="shared" si="81"/>
        <v>236983.70502083335</v>
      </c>
      <c r="BC807" s="321">
        <f t="shared" si="81"/>
        <v>236336.20855902781</v>
      </c>
      <c r="BD807" s="321">
        <f t="shared" si="81"/>
        <v>236336.20855902781</v>
      </c>
      <c r="BE807" s="321">
        <f t="shared" si="81"/>
        <v>236336.20855902781</v>
      </c>
      <c r="BF807" s="321">
        <f t="shared" si="81"/>
        <v>236983.70502083335</v>
      </c>
      <c r="BG807" s="321">
        <f t="shared" si="81"/>
        <v>236336.20855902781</v>
      </c>
      <c r="BH807" s="321">
        <f>+BH805+BH806</f>
        <v>236336.20855902781</v>
      </c>
      <c r="BI807" s="321">
        <f>+BI805+BI806</f>
        <v>236336.20855902781</v>
      </c>
      <c r="BJ807" s="321">
        <f>+BJ805+BJ806</f>
        <v>236983.70502083335</v>
      </c>
      <c r="BK807" s="321">
        <f>+BK805+BK806</f>
        <v>6134590.3489722228</v>
      </c>
    </row>
    <row r="808" spans="1:63">
      <c r="A808" s="278"/>
      <c r="B808" s="210" t="s">
        <v>28</v>
      </c>
      <c r="C808" s="224"/>
      <c r="D808" s="224"/>
      <c r="E808" s="224"/>
      <c r="F808" s="224"/>
      <c r="G808" s="224"/>
      <c r="H808" s="224"/>
      <c r="I808" s="224"/>
      <c r="J808" s="224"/>
      <c r="K808" s="224"/>
      <c r="L808" s="224"/>
      <c r="M808" s="224"/>
      <c r="N808" s="224"/>
      <c r="O808" s="224"/>
      <c r="P808" s="224"/>
      <c r="Q808" s="224"/>
      <c r="R808" s="224"/>
      <c r="S808" s="224"/>
      <c r="T808" s="224"/>
      <c r="U808" s="224"/>
      <c r="V808" s="224"/>
      <c r="W808" s="224"/>
      <c r="X808" s="224"/>
      <c r="Y808" s="224">
        <f>'Perfil - interna'!Y808+'Perfil - externa'!Y806</f>
        <v>45887750.317832544</v>
      </c>
      <c r="Z808" s="224">
        <f>'Perfil - interna'!Z808+'Perfil - externa'!Z806</f>
        <v>75683642.889339179</v>
      </c>
      <c r="AA808" s="224">
        <f>'Perfil - interna'!AA808+'Perfil - externa'!AA806</f>
        <v>61263127.05432187</v>
      </c>
      <c r="AB808" s="224">
        <f>'Perfil - interna'!AB808+'Perfil - externa'!AB806</f>
        <v>53485927.10453891</v>
      </c>
      <c r="AC808" s="224">
        <f>'Perfil - interna'!AC808+'Perfil - externa'!AC806</f>
        <v>65927213.478087366</v>
      </c>
      <c r="AD808" s="224">
        <f>'Perfil - interna'!AD808+'Perfil - externa'!AD806</f>
        <v>45093840.261979714</v>
      </c>
      <c r="AE808" s="224">
        <f>'Perfil - interna'!AE808+'Perfil - externa'!AE806</f>
        <v>37344741.609536298</v>
      </c>
      <c r="AF808" s="224">
        <f>'Perfil - interna'!AF808+'Perfil - externa'!AF806</f>
        <v>42378209.334589764</v>
      </c>
      <c r="AG808" s="224">
        <f>'Perfil - interna'!AG808+'Perfil - externa'!AG806</f>
        <v>56738707.970037207</v>
      </c>
      <c r="AH808" s="224">
        <f>'Perfil - interna'!AH808+'Perfil - externa'!AH806</f>
        <v>47329078.524808176</v>
      </c>
      <c r="AI808" s="224">
        <f>'Perfil - interna'!AI808+'Perfil - externa'!AI806</f>
        <v>46238772.400810063</v>
      </c>
      <c r="AJ808" s="224">
        <f>'Perfil - interna'!AJ808+'Perfil - externa'!AJ806</f>
        <v>46483044.667618908</v>
      </c>
      <c r="AK808" s="224">
        <f>'Perfil - interna'!AK808+'Perfil - externa'!AK806</f>
        <v>41446780.281757243</v>
      </c>
      <c r="AL808" s="224">
        <f>'Perfil - interna'!AL808+'Perfil - externa'!AL806</f>
        <v>23902839.335848935</v>
      </c>
      <c r="AM808" s="224">
        <f>'Perfil - interna'!AM808+'Perfil - externa'!AM806</f>
        <v>43918050.022651494</v>
      </c>
      <c r="AN808" s="224">
        <f>'Perfil - interna'!AN808+'Perfil - externa'!AN806</f>
        <v>3616791.2087746835</v>
      </c>
      <c r="AO808" s="224">
        <f>'Perfil - interna'!AO808+'Perfil - externa'!AO806</f>
        <v>5006386.6938919835</v>
      </c>
      <c r="AP808" s="224">
        <f>'Perfil - interna'!AP808+'Perfil - externa'!AP806</f>
        <v>5696619.1076963078</v>
      </c>
      <c r="AQ808" s="224">
        <f>'Perfil - interna'!AQ808+'Perfil - externa'!AQ806</f>
        <v>12918969.864829365</v>
      </c>
      <c r="AR808" s="224">
        <f>'Perfil - interna'!AR808+'Perfil - externa'!AR806</f>
        <v>27838457.180090781</v>
      </c>
      <c r="AS808" s="224">
        <f>'Perfil - interna'!AS808+'Perfil - externa'!AS806</f>
        <v>164922.47892477515</v>
      </c>
      <c r="AT808" s="224">
        <f>'Perfil - interna'!AT808+'Perfil - externa'!AT806</f>
        <v>11826609.528006854</v>
      </c>
      <c r="AU808" s="224">
        <f>'Perfil - interna'!AU808+'Perfil - externa'!AU806</f>
        <v>21156634.562686596</v>
      </c>
      <c r="AV808" s="224">
        <f>'Perfil - interna'!AV808+'Perfil - externa'!AV806</f>
        <v>144450.25315788217</v>
      </c>
      <c r="AW808" s="224">
        <f>'Perfil - interna'!AW808+'Perfil - externa'!AW806</f>
        <v>119212.41532004433</v>
      </c>
      <c r="AX808" s="224">
        <f>'Perfil - interna'!AX808+'Perfil - externa'!AX806</f>
        <v>119212.41532004433</v>
      </c>
      <c r="AY808" s="224">
        <f>'Perfil - interna'!AY808+'Perfil - externa'!AY806</f>
        <v>34124283.421905078</v>
      </c>
      <c r="AZ808" s="224">
        <f>'Perfil - interna'!AZ808+'Perfil - externa'!AZ806</f>
        <v>22174499.909152437</v>
      </c>
      <c r="BA808" s="224">
        <f>'Perfil - interna'!BA808+'Perfil - externa'!BA806</f>
        <v>7003500</v>
      </c>
      <c r="BB808" s="224">
        <f>'Perfil - interna'!BB808+'Perfil - externa'!BB806</f>
        <v>0</v>
      </c>
      <c r="BC808" s="224">
        <f>'Perfil - interna'!BC808+'Perfil - externa'!BC806</f>
        <v>0</v>
      </c>
      <c r="BD808" s="224">
        <f>'Perfil - interna'!BD808+'Perfil - externa'!BD806</f>
        <v>0</v>
      </c>
      <c r="BE808" s="224">
        <f>'Perfil - interna'!BE808+'Perfil - externa'!BE806</f>
        <v>0</v>
      </c>
      <c r="BF808" s="224">
        <f>'Perfil - interna'!BF808+'Perfil - externa'!BF806</f>
        <v>0</v>
      </c>
      <c r="BG808" s="224">
        <f>'Perfil - interna'!BG808+'Perfil - externa'!BG806</f>
        <v>0</v>
      </c>
      <c r="BH808" s="224">
        <f>'Perfil - interna'!BH808+'Perfil - externa'!BH806</f>
        <v>0</v>
      </c>
      <c r="BI808" s="224">
        <f>'Perfil - interna'!BI808+'Perfil - externa'!BI806</f>
        <v>0</v>
      </c>
      <c r="BJ808" s="224">
        <f>'Perfil - interna'!BJ808+'Perfil - externa'!BJ806</f>
        <v>0</v>
      </c>
      <c r="BK808" s="224">
        <f>'Perfil - interna'!BK808+'Perfil - externa'!BK806</f>
        <v>6069700</v>
      </c>
    </row>
    <row r="809" spans="1:63">
      <c r="A809" s="168">
        <v>45046</v>
      </c>
      <c r="B809" s="213" t="s">
        <v>385</v>
      </c>
      <c r="C809" s="224"/>
      <c r="D809" s="224"/>
      <c r="E809" s="224"/>
      <c r="F809" s="224"/>
      <c r="G809" s="224"/>
      <c r="H809" s="224"/>
      <c r="I809" s="224"/>
      <c r="J809" s="224"/>
      <c r="K809" s="224"/>
      <c r="L809" s="224"/>
      <c r="M809" s="224"/>
      <c r="N809" s="224"/>
      <c r="O809" s="224"/>
      <c r="P809" s="224"/>
      <c r="Q809" s="224"/>
      <c r="R809" s="224"/>
      <c r="S809" s="224"/>
      <c r="T809" s="224"/>
      <c r="U809" s="224"/>
      <c r="V809" s="224"/>
      <c r="W809" s="224"/>
      <c r="X809" s="224"/>
      <c r="Y809" s="224">
        <f>'Perfil - interna'!Y809+'Perfil - externa'!Y807</f>
        <v>29045734.309619702</v>
      </c>
      <c r="Z809" s="224">
        <f>'Perfil - interna'!Z809+'Perfil - externa'!Z807</f>
        <v>44272731.172215238</v>
      </c>
      <c r="AA809" s="224">
        <f>'Perfil - interna'!AA809+'Perfil - externa'!AA807</f>
        <v>40970085.205135234</v>
      </c>
      <c r="AB809" s="224">
        <f>'Perfil - interna'!AB809+'Perfil - externa'!AB807</f>
        <v>37874135.859121233</v>
      </c>
      <c r="AC809" s="224">
        <f>'Perfil - interna'!AC809+'Perfil - externa'!AC807</f>
        <v>34982653.757293485</v>
      </c>
      <c r="AD809" s="224">
        <f>'Perfil - interna'!AD809+'Perfil - externa'!AD807</f>
        <v>32279803.733358677</v>
      </c>
      <c r="AE809" s="224">
        <f>'Perfil - interna'!AE809+'Perfil - externa'!AE807</f>
        <v>29859831.528601892</v>
      </c>
      <c r="AF809" s="224">
        <f>'Perfil - interna'!AF809+'Perfil - externa'!AF807</f>
        <v>28865730.631295238</v>
      </c>
      <c r="AG809" s="224">
        <f>'Perfil - interna'!AG809+'Perfil - externa'!AG807</f>
        <v>26660247.097100422</v>
      </c>
      <c r="AH809" s="224">
        <f>'Perfil - interna'!AH809+'Perfil - externa'!AH807</f>
        <v>23829153.513467625</v>
      </c>
      <c r="AI809" s="224">
        <f>'Perfil - interna'!AI809+'Perfil - externa'!AI807</f>
        <v>21172196.753724959</v>
      </c>
      <c r="AJ809" s="224">
        <f>'Perfil - interna'!AJ809+'Perfil - externa'!AJ807</f>
        <v>18073906.345016085</v>
      </c>
      <c r="AK809" s="224">
        <f>'Perfil - interna'!AK809+'Perfil - externa'!AK807</f>
        <v>15527508.659103449</v>
      </c>
      <c r="AL809" s="224">
        <f>'Perfil - interna'!AL809+'Perfil - externa'!AL807</f>
        <v>13034894.242637193</v>
      </c>
      <c r="AM809" s="224">
        <f>'Perfil - interna'!AM809+'Perfil - externa'!AM807</f>
        <v>12078459.853915613</v>
      </c>
      <c r="AN809" s="224">
        <f>'Perfil - interna'!AN809+'Perfil - externa'!AN807</f>
        <v>9471148.7390448451</v>
      </c>
      <c r="AO809" s="224">
        <f>'Perfil - interna'!AO809+'Perfil - externa'!AO807</f>
        <v>9362762.5791329741</v>
      </c>
      <c r="AP809" s="224">
        <f>'Perfil - interna'!AP809+'Perfil - externa'!AP807</f>
        <v>9168305.0365369413</v>
      </c>
      <c r="AQ809" s="224">
        <f>'Perfil - interna'!AQ809+'Perfil - externa'!AQ807</f>
        <v>8697082.7523676157</v>
      </c>
      <c r="AR809" s="224">
        <f>'Perfil - interna'!AR809+'Perfil - externa'!AR807</f>
        <v>8231419.4116588365</v>
      </c>
      <c r="AS809" s="224">
        <f>'Perfil - interna'!AS809+'Perfil - externa'!AS807</f>
        <v>6066429.8450872535</v>
      </c>
      <c r="AT809" s="224">
        <f>'Perfil - interna'!AT809+'Perfil - externa'!AT807</f>
        <v>5783512.0247478988</v>
      </c>
      <c r="AU809" s="224">
        <f>'Perfil - interna'!AU809+'Perfil - externa'!AU807</f>
        <v>4970455.3274810119</v>
      </c>
      <c r="AV809" s="224">
        <f>'Perfil - interna'!AV809+'Perfil - externa'!AV807</f>
        <v>4490595.6118883546</v>
      </c>
      <c r="AW809" s="224">
        <f>'Perfil - interna'!AW809+'Perfil - externa'!AW807</f>
        <v>4537661.8340034392</v>
      </c>
      <c r="AX809" s="224">
        <f>'Perfil - interna'!AX809+'Perfil - externa'!AX807</f>
        <v>4590038.1074130228</v>
      </c>
      <c r="AY809" s="224">
        <f>'Perfil - interna'!AY809+'Perfil - externa'!AY807</f>
        <v>4289802.5276919547</v>
      </c>
      <c r="AZ809" s="224">
        <f>'Perfil - interna'!AZ809+'Perfil - externa'!AZ807</f>
        <v>2134435.3356730286</v>
      </c>
      <c r="BA809" s="224">
        <f>'Perfil - interna'!BA809+'Perfil - externa'!BA807</f>
        <v>383717.22569444444</v>
      </c>
      <c r="BB809" s="224">
        <f>'Perfil - interna'!BB809+'Perfil - externa'!BB807</f>
        <v>239120.88958333331</v>
      </c>
      <c r="BC809" s="224">
        <f>'Perfil - interna'!BC809+'Perfil - externa'!BC807</f>
        <v>238467.55381944444</v>
      </c>
      <c r="BD809" s="224">
        <f>'Perfil - interna'!BD809+'Perfil - externa'!BD807</f>
        <v>238467.55381944444</v>
      </c>
      <c r="BE809" s="224">
        <f>'Perfil - interna'!BE809+'Perfil - externa'!BE807</f>
        <v>238467.55381944444</v>
      </c>
      <c r="BF809" s="224">
        <f>'Perfil - interna'!BF809+'Perfil - externa'!BF807</f>
        <v>239120.88958333331</v>
      </c>
      <c r="BG809" s="224">
        <f>'Perfil - interna'!BG809+'Perfil - externa'!BG807</f>
        <v>238467.55381944444</v>
      </c>
      <c r="BH809" s="224">
        <f>'Perfil - interna'!BH809+'Perfil - externa'!BH807</f>
        <v>238467.55381944444</v>
      </c>
      <c r="BI809" s="224">
        <f>'Perfil - interna'!BI809+'Perfil - externa'!BI807</f>
        <v>238467.55381944444</v>
      </c>
      <c r="BJ809" s="224">
        <f>'Perfil - interna'!BJ809+'Perfil - externa'!BJ807</f>
        <v>239120.88958333331</v>
      </c>
      <c r="BK809" s="224">
        <f>'Perfil - interna'!BK809+'Perfil - externa'!BK807</f>
        <v>120213.78055555554</v>
      </c>
    </row>
    <row r="810" spans="1:63">
      <c r="A810" s="279"/>
      <c r="B810" s="307" t="s">
        <v>29</v>
      </c>
      <c r="C810" s="321"/>
      <c r="D810" s="321"/>
      <c r="E810" s="321"/>
      <c r="F810" s="321"/>
      <c r="G810" s="321"/>
      <c r="H810" s="321"/>
      <c r="I810" s="321"/>
      <c r="J810" s="321"/>
      <c r="K810" s="321"/>
      <c r="L810" s="321"/>
      <c r="M810" s="321"/>
      <c r="N810" s="321"/>
      <c r="O810" s="321"/>
      <c r="P810" s="321"/>
      <c r="Q810" s="321"/>
      <c r="R810" s="321"/>
      <c r="S810" s="321"/>
      <c r="T810" s="321"/>
      <c r="U810" s="321"/>
      <c r="V810" s="321"/>
      <c r="W810" s="321"/>
      <c r="X810" s="321"/>
      <c r="Y810" s="321">
        <f t="shared" ref="Y810:BG810" si="82">+Y808+Y809</f>
        <v>74933484.627452254</v>
      </c>
      <c r="Z810" s="321">
        <f t="shared" si="82"/>
        <v>119956374.06155442</v>
      </c>
      <c r="AA810" s="321">
        <f t="shared" si="82"/>
        <v>102233212.25945711</v>
      </c>
      <c r="AB810" s="321">
        <f t="shared" si="82"/>
        <v>91360062.963660151</v>
      </c>
      <c r="AC810" s="321">
        <f t="shared" si="82"/>
        <v>100909867.23538086</v>
      </c>
      <c r="AD810" s="321">
        <f t="shared" si="82"/>
        <v>77373643.995338395</v>
      </c>
      <c r="AE810" s="321">
        <f t="shared" si="82"/>
        <v>67204573.13813819</v>
      </c>
      <c r="AF810" s="321">
        <f t="shared" si="82"/>
        <v>71243939.965884998</v>
      </c>
      <c r="AG810" s="321">
        <f t="shared" si="82"/>
        <v>83398955.067137629</v>
      </c>
      <c r="AH810" s="321">
        <f t="shared" si="82"/>
        <v>71158232.038275808</v>
      </c>
      <c r="AI810" s="321">
        <f t="shared" si="82"/>
        <v>67410969.154535025</v>
      </c>
      <c r="AJ810" s="321">
        <f t="shared" si="82"/>
        <v>64556951.012634993</v>
      </c>
      <c r="AK810" s="321">
        <f t="shared" si="82"/>
        <v>56974288.940860689</v>
      </c>
      <c r="AL810" s="321">
        <f t="shared" si="82"/>
        <v>36937733.57848613</v>
      </c>
      <c r="AM810" s="321">
        <f t="shared" si="82"/>
        <v>55996509.87656711</v>
      </c>
      <c r="AN810" s="321">
        <f t="shared" si="82"/>
        <v>13087939.947819529</v>
      </c>
      <c r="AO810" s="321">
        <f t="shared" si="82"/>
        <v>14369149.273024958</v>
      </c>
      <c r="AP810" s="321">
        <f t="shared" si="82"/>
        <v>14864924.144233249</v>
      </c>
      <c r="AQ810" s="321">
        <f t="shared" si="82"/>
        <v>21616052.617196981</v>
      </c>
      <c r="AR810" s="321">
        <f t="shared" si="82"/>
        <v>36069876.591749616</v>
      </c>
      <c r="AS810" s="321">
        <f t="shared" si="82"/>
        <v>6231352.324012029</v>
      </c>
      <c r="AT810" s="321">
        <f t="shared" si="82"/>
        <v>17610121.552754752</v>
      </c>
      <c r="AU810" s="321">
        <f t="shared" si="82"/>
        <v>26127089.890167609</v>
      </c>
      <c r="AV810" s="321">
        <f t="shared" si="82"/>
        <v>4635045.8650462367</v>
      </c>
      <c r="AW810" s="321">
        <f t="shared" si="82"/>
        <v>4656874.2493234836</v>
      </c>
      <c r="AX810" s="321">
        <f t="shared" si="82"/>
        <v>4709250.5227330672</v>
      </c>
      <c r="AY810" s="321">
        <f t="shared" si="82"/>
        <v>38414085.949597031</v>
      </c>
      <c r="AZ810" s="321">
        <f t="shared" si="82"/>
        <v>24308935.244825467</v>
      </c>
      <c r="BA810" s="321">
        <f t="shared" si="82"/>
        <v>7387217.225694444</v>
      </c>
      <c r="BB810" s="321">
        <f t="shared" si="82"/>
        <v>239120.88958333331</v>
      </c>
      <c r="BC810" s="321">
        <f t="shared" si="82"/>
        <v>238467.55381944444</v>
      </c>
      <c r="BD810" s="321">
        <f t="shared" si="82"/>
        <v>238467.55381944444</v>
      </c>
      <c r="BE810" s="321">
        <f t="shared" si="82"/>
        <v>238467.55381944444</v>
      </c>
      <c r="BF810" s="321">
        <f t="shared" si="82"/>
        <v>239120.88958333331</v>
      </c>
      <c r="BG810" s="321">
        <f t="shared" si="82"/>
        <v>238467.55381944444</v>
      </c>
      <c r="BH810" s="321">
        <f>+BH808+BH809</f>
        <v>238467.55381944444</v>
      </c>
      <c r="BI810" s="321">
        <f>+BI808+BI809</f>
        <v>238467.55381944444</v>
      </c>
      <c r="BJ810" s="321">
        <f>+BJ808+BJ809</f>
        <v>239120.88958333331</v>
      </c>
      <c r="BK810" s="321">
        <f>+BK808+BK809</f>
        <v>6189913.7805555556</v>
      </c>
    </row>
    <row r="811" spans="1:63">
      <c r="A811" s="278"/>
      <c r="B811" s="210" t="s">
        <v>28</v>
      </c>
      <c r="C811" s="224"/>
      <c r="D811" s="224"/>
      <c r="E811" s="224"/>
      <c r="F811" s="224"/>
      <c r="G811" s="224"/>
      <c r="H811" s="224"/>
      <c r="I811" s="224"/>
      <c r="J811" s="224"/>
      <c r="K811" s="224"/>
      <c r="L811" s="224"/>
      <c r="M811" s="224"/>
      <c r="N811" s="224"/>
      <c r="O811" s="224"/>
      <c r="P811" s="224"/>
      <c r="Q811" s="224"/>
      <c r="R811" s="224"/>
      <c r="S811" s="224"/>
      <c r="T811" s="224"/>
      <c r="U811" s="224"/>
      <c r="V811" s="224"/>
      <c r="W811" s="224"/>
      <c r="X811" s="224"/>
      <c r="Y811" s="224">
        <f>'Perfil - interna'!Y811+'Perfil - externa'!Y809</f>
        <v>34289469.522209235</v>
      </c>
      <c r="Z811" s="224">
        <f>'Perfil - interna'!Z811+'Perfil - externa'!Z809</f>
        <v>84088247.740193307</v>
      </c>
      <c r="AA811" s="224">
        <f>'Perfil - interna'!AA811+'Perfil - externa'!AA809</f>
        <v>59969449.931254357</v>
      </c>
      <c r="AB811" s="224">
        <f>'Perfil - interna'!AB811+'Perfil - externa'!AB809</f>
        <v>52029909.599725425</v>
      </c>
      <c r="AC811" s="224">
        <f>'Perfil - interna'!AC811+'Perfil - externa'!AC809</f>
        <v>64950999.859193891</v>
      </c>
      <c r="AD811" s="224">
        <f>'Perfil - interna'!AD811+'Perfil - externa'!AD809</f>
        <v>44461686.83898288</v>
      </c>
      <c r="AE811" s="224">
        <f>'Perfil - interna'!AE811+'Perfil - externa'!AE809</f>
        <v>36744846.265464433</v>
      </c>
      <c r="AF811" s="224">
        <f>'Perfil - interna'!AF811+'Perfil - externa'!AF809</f>
        <v>41347956.796295717</v>
      </c>
      <c r="AG811" s="224">
        <f>'Perfil - interna'!AG811+'Perfil - externa'!AG809</f>
        <v>55384695.106396452</v>
      </c>
      <c r="AH811" s="224">
        <f>'Perfil - interna'!AH811+'Perfil - externa'!AH809</f>
        <v>46250575.537143357</v>
      </c>
      <c r="AI811" s="224">
        <f>'Perfil - interna'!AI811+'Perfil - externa'!AI809</f>
        <v>47725916.496982053</v>
      </c>
      <c r="AJ811" s="224">
        <f>'Perfil - interna'!AJ811+'Perfil - externa'!AJ809</f>
        <v>45416656.324772395</v>
      </c>
      <c r="AK811" s="224">
        <f>'Perfil - interna'!AK811+'Perfil - externa'!AK809</f>
        <v>41164041.115446106</v>
      </c>
      <c r="AL811" s="224">
        <f>'Perfil - interna'!AL811+'Perfil - externa'!AL809</f>
        <v>23065530.28256271</v>
      </c>
      <c r="AM811" s="224">
        <f>'Perfil - interna'!AM811+'Perfil - externa'!AM809</f>
        <v>43996607.369860634</v>
      </c>
      <c r="AN811" s="224">
        <f>'Perfil - interna'!AN811+'Perfil - externa'!AN809</f>
        <v>3415275.9307040698</v>
      </c>
      <c r="AO811" s="224">
        <f>'Perfil - interna'!AO811+'Perfil - externa'!AO809</f>
        <v>4727437.1818618737</v>
      </c>
      <c r="AP811" s="224">
        <f>'Perfil - interna'!AP811+'Perfil - externa'!AP809</f>
        <v>5376639.9110030411</v>
      </c>
      <c r="AQ811" s="224">
        <f>'Perfil - interna'!AQ811+'Perfil - externa'!AQ809</f>
        <v>12195990.404416719</v>
      </c>
      <c r="AR811" s="224">
        <f>'Perfil - interna'!AR811+'Perfil - externa'!AR809</f>
        <v>28905733.358676359</v>
      </c>
      <c r="AS811" s="224">
        <f>'Perfil - interna'!AS811+'Perfil - externa'!AS809</f>
        <v>152992.26147984577</v>
      </c>
      <c r="AT811" s="224">
        <f>'Perfil - interna'!AT811+'Perfil - externa'!AT809</f>
        <v>11164389.743493188</v>
      </c>
      <c r="AU811" s="224">
        <f>'Perfil - interna'!AU811+'Perfil - externa'!AU809</f>
        <v>19974141.961039856</v>
      </c>
      <c r="AV811" s="224">
        <f>'Perfil - interna'!AV811+'Perfil - externa'!AV809</f>
        <v>133626.57097694193</v>
      </c>
      <c r="AW811" s="224">
        <f>'Perfil - interna'!AW811+'Perfil - externa'!AW809</f>
        <v>109796.0304364014</v>
      </c>
      <c r="AX811" s="224">
        <f>'Perfil - interna'!AX811+'Perfil - externa'!AX809</f>
        <v>109796.0304364014</v>
      </c>
      <c r="AY811" s="224">
        <f>'Perfil - interna'!AY811+'Perfil - externa'!AY809</f>
        <v>33973516.264312133</v>
      </c>
      <c r="AZ811" s="224">
        <f>'Perfil - interna'!AZ811+'Perfil - externa'!AZ809</f>
        <v>22842652.606634885</v>
      </c>
      <c r="BA811" s="224">
        <f>'Perfil - interna'!BA811+'Perfil - externa'!BA809</f>
        <v>6612974.9999999991</v>
      </c>
      <c r="BB811" s="224">
        <f>'Perfil - interna'!BB811+'Perfil - externa'!BB809</f>
        <v>0</v>
      </c>
      <c r="BC811" s="224">
        <f>'Perfil - interna'!BC811+'Perfil - externa'!BC809</f>
        <v>0</v>
      </c>
      <c r="BD811" s="224">
        <f>'Perfil - interna'!BD811+'Perfil - externa'!BD809</f>
        <v>0</v>
      </c>
      <c r="BE811" s="224">
        <f>'Perfil - interna'!BE811+'Perfil - externa'!BE809</f>
        <v>0</v>
      </c>
      <c r="BF811" s="224">
        <f>'Perfil - interna'!BF811+'Perfil - externa'!BF809</f>
        <v>0</v>
      </c>
      <c r="BG811" s="224">
        <f>'Perfil - interna'!BG811+'Perfil - externa'!BG809</f>
        <v>0</v>
      </c>
      <c r="BH811" s="224">
        <f>'Perfil - interna'!BH811+'Perfil - externa'!BH809</f>
        <v>0</v>
      </c>
      <c r="BI811" s="224">
        <f>'Perfil - interna'!BI811+'Perfil - externa'!BI809</f>
        <v>0</v>
      </c>
      <c r="BJ811" s="224">
        <f>'Perfil - interna'!BJ811+'Perfil - externa'!BJ809</f>
        <v>0</v>
      </c>
      <c r="BK811" s="224">
        <f>'Perfil - interna'!BK811+'Perfil - externa'!BK809</f>
        <v>5731244.9999999991</v>
      </c>
    </row>
    <row r="812" spans="1:63">
      <c r="A812" s="168">
        <v>45077</v>
      </c>
      <c r="B812" s="213" t="s">
        <v>385</v>
      </c>
      <c r="C812" s="224"/>
      <c r="D812" s="224"/>
      <c r="E812" s="224"/>
      <c r="F812" s="224"/>
      <c r="G812" s="224"/>
      <c r="H812" s="224"/>
      <c r="I812" s="224"/>
      <c r="J812" s="224"/>
      <c r="K812" s="224"/>
      <c r="L812" s="224"/>
      <c r="M812" s="224"/>
      <c r="N812" s="224"/>
      <c r="O812" s="224"/>
      <c r="P812" s="224"/>
      <c r="Q812" s="224"/>
      <c r="R812" s="224"/>
      <c r="S812" s="224"/>
      <c r="T812" s="224"/>
      <c r="U812" s="224"/>
      <c r="V812" s="224"/>
      <c r="W812" s="224"/>
      <c r="X812" s="224"/>
      <c r="Y812" s="224">
        <f>'Perfil - interna'!Y812+'Perfil - externa'!Y810</f>
        <v>24825457.466450244</v>
      </c>
      <c r="Z812" s="224">
        <f>'Perfil - interna'!Z812+'Perfil - externa'!Z810</f>
        <v>43980543.375409201</v>
      </c>
      <c r="AA812" s="224">
        <f>'Perfil - interna'!AA812+'Perfil - externa'!AA810</f>
        <v>40864690.228334852</v>
      </c>
      <c r="AB812" s="224">
        <f>'Perfil - interna'!AB812+'Perfil - externa'!AB810</f>
        <v>37799783.481727809</v>
      </c>
      <c r="AC812" s="224">
        <f>'Perfil - interna'!AC812+'Perfil - externa'!AC810</f>
        <v>34965499.282999404</v>
      </c>
      <c r="AD812" s="224">
        <f>'Perfil - interna'!AD812+'Perfil - externa'!AD810</f>
        <v>32291014.167350411</v>
      </c>
      <c r="AE812" s="224">
        <f>'Perfil - interna'!AE812+'Perfil - externa'!AE810</f>
        <v>29896520.710648715</v>
      </c>
      <c r="AF812" s="224">
        <f>'Perfil - interna'!AF812+'Perfil - externa'!AF810</f>
        <v>28917978.933358431</v>
      </c>
      <c r="AG812" s="224">
        <f>'Perfil - interna'!AG812+'Perfil - externa'!AG810</f>
        <v>26747031.291888237</v>
      </c>
      <c r="AH812" s="224">
        <f>'Perfil - interna'!AH812+'Perfil - externa'!AH810</f>
        <v>23949937.876045801</v>
      </c>
      <c r="AI812" s="224">
        <f>'Perfil - interna'!AI812+'Perfil - externa'!AI810</f>
        <v>21335587.134705577</v>
      </c>
      <c r="AJ812" s="224">
        <f>'Perfil - interna'!AJ812+'Perfil - externa'!AJ810</f>
        <v>17970308.49266069</v>
      </c>
      <c r="AK812" s="224">
        <f>'Perfil - interna'!AK812+'Perfil - externa'!AK810</f>
        <v>15459249.984588673</v>
      </c>
      <c r="AL812" s="224">
        <f>'Perfil - interna'!AL812+'Perfil - externa'!AL810</f>
        <v>12975487.791172937</v>
      </c>
      <c r="AM812" s="224">
        <f>'Perfil - interna'!AM812+'Perfil - externa'!AM810</f>
        <v>12035620.764401101</v>
      </c>
      <c r="AN812" s="224">
        <f>'Perfil - interna'!AN812+'Perfil - externa'!AN810</f>
        <v>9436054.5714602675</v>
      </c>
      <c r="AO812" s="224">
        <f>'Perfil - interna'!AO812+'Perfil - externa'!AO810</f>
        <v>9332361.9936629236</v>
      </c>
      <c r="AP812" s="224">
        <f>'Perfil - interna'!AP812+'Perfil - externa'!AP810</f>
        <v>9147382.7006676104</v>
      </c>
      <c r="AQ812" s="224">
        <f>'Perfil - interna'!AQ812+'Perfil - externa'!AQ810</f>
        <v>8701821.3660915643</v>
      </c>
      <c r="AR812" s="224">
        <f>'Perfil - interna'!AR812+'Perfil - externa'!AR810</f>
        <v>8263190.0291751688</v>
      </c>
      <c r="AS812" s="224">
        <f>'Perfil - interna'!AS812+'Perfil - externa'!AS810</f>
        <v>5979001.4776466601</v>
      </c>
      <c r="AT812" s="224">
        <f>'Perfil - interna'!AT812+'Perfil - externa'!AT810</f>
        <v>5715256.5156588173</v>
      </c>
      <c r="AU812" s="224">
        <f>'Perfil - interna'!AU812+'Perfil - externa'!AU810</f>
        <v>4951046.3269441687</v>
      </c>
      <c r="AV812" s="224">
        <f>'Perfil - interna'!AV812+'Perfil - externa'!AV810</f>
        <v>4501561.8502233578</v>
      </c>
      <c r="AW812" s="224">
        <f>'Perfil - interna'!AW812+'Perfil - externa'!AW810</f>
        <v>4549731.1238719299</v>
      </c>
      <c r="AX812" s="224">
        <f>'Perfil - interna'!AX812+'Perfil - externa'!AX810</f>
        <v>4603025.3938804045</v>
      </c>
      <c r="AY812" s="224">
        <f>'Perfil - interna'!AY812+'Perfil - externa'!AY810</f>
        <v>4323484.1059571039</v>
      </c>
      <c r="AZ812" s="224">
        <f>'Perfil - interna'!AZ812+'Perfil - externa'!AZ810</f>
        <v>2153611.650258834</v>
      </c>
      <c r="BA812" s="224">
        <f>'Perfil - interna'!BA812+'Perfil - externa'!BA810</f>
        <v>362320.61406249995</v>
      </c>
      <c r="BB812" s="224">
        <f>'Perfil - interna'!BB812+'Perfil - externa'!BB810</f>
        <v>225787.17281249998</v>
      </c>
      <c r="BC812" s="224">
        <f>'Perfil - interna'!BC812+'Perfil - externa'!BC810</f>
        <v>225170.26796874998</v>
      </c>
      <c r="BD812" s="224">
        <f>'Perfil - interna'!BD812+'Perfil - externa'!BD810</f>
        <v>225170.26796874998</v>
      </c>
      <c r="BE812" s="224">
        <f>'Perfil - interna'!BE812+'Perfil - externa'!BE810</f>
        <v>225170.26796874998</v>
      </c>
      <c r="BF812" s="224">
        <f>'Perfil - interna'!BF812+'Perfil - externa'!BF810</f>
        <v>225787.17281249998</v>
      </c>
      <c r="BG812" s="224">
        <f>'Perfil - interna'!BG812+'Perfil - externa'!BG810</f>
        <v>225170.26796874998</v>
      </c>
      <c r="BH812" s="224">
        <f>'Perfil - interna'!BH812+'Perfil - externa'!BH810</f>
        <v>225170.26796874998</v>
      </c>
      <c r="BI812" s="224">
        <f>'Perfil - interna'!BI812+'Perfil - externa'!BI810</f>
        <v>225170.26796874998</v>
      </c>
      <c r="BJ812" s="224">
        <f>'Perfil - interna'!BJ812+'Perfil - externa'!BJ810</f>
        <v>225787.17281249998</v>
      </c>
      <c r="BK812" s="224">
        <f>'Perfil - interna'!BK812+'Perfil - externa'!BK810</f>
        <v>113510.49124999998</v>
      </c>
    </row>
    <row r="813" spans="1:63">
      <c r="A813" s="279"/>
      <c r="B813" s="307" t="s">
        <v>29</v>
      </c>
      <c r="C813" s="321"/>
      <c r="D813" s="321"/>
      <c r="E813" s="321"/>
      <c r="F813" s="321"/>
      <c r="G813" s="321"/>
      <c r="H813" s="321"/>
      <c r="I813" s="321"/>
      <c r="J813" s="321"/>
      <c r="K813" s="321"/>
      <c r="L813" s="321"/>
      <c r="M813" s="321"/>
      <c r="N813" s="321"/>
      <c r="O813" s="321"/>
      <c r="P813" s="321"/>
      <c r="Q813" s="321"/>
      <c r="R813" s="321"/>
      <c r="S813" s="321"/>
      <c r="T813" s="321"/>
      <c r="U813" s="321"/>
      <c r="V813" s="321"/>
      <c r="W813" s="321"/>
      <c r="X813" s="321"/>
      <c r="Y813" s="321">
        <f t="shared" ref="Y813:BG813" si="83">+Y811+Y812</f>
        <v>59114926.988659479</v>
      </c>
      <c r="Z813" s="321">
        <f t="shared" si="83"/>
        <v>128068791.11560251</v>
      </c>
      <c r="AA813" s="321">
        <f t="shared" si="83"/>
        <v>100834140.1595892</v>
      </c>
      <c r="AB813" s="321">
        <f t="shared" si="83"/>
        <v>89829693.081453234</v>
      </c>
      <c r="AC813" s="321">
        <f t="shared" si="83"/>
        <v>99916499.142193288</v>
      </c>
      <c r="AD813" s="321">
        <f t="shared" si="83"/>
        <v>76752701.006333292</v>
      </c>
      <c r="AE813" s="321">
        <f t="shared" si="83"/>
        <v>66641366.976113148</v>
      </c>
      <c r="AF813" s="321">
        <f t="shared" si="83"/>
        <v>70265935.729654148</v>
      </c>
      <c r="AG813" s="321">
        <f t="shared" si="83"/>
        <v>82131726.398284689</v>
      </c>
      <c r="AH813" s="321">
        <f t="shared" si="83"/>
        <v>70200513.413189158</v>
      </c>
      <c r="AI813" s="321">
        <f t="shared" si="83"/>
        <v>69061503.631687626</v>
      </c>
      <c r="AJ813" s="321">
        <f t="shared" si="83"/>
        <v>63386964.817433089</v>
      </c>
      <c r="AK813" s="321">
        <f t="shared" si="83"/>
        <v>56623291.100034781</v>
      </c>
      <c r="AL813" s="321">
        <f t="shared" si="83"/>
        <v>36041018.073735647</v>
      </c>
      <c r="AM813" s="321">
        <f t="shared" si="83"/>
        <v>56032228.134261735</v>
      </c>
      <c r="AN813" s="321">
        <f t="shared" si="83"/>
        <v>12851330.502164338</v>
      </c>
      <c r="AO813" s="321">
        <f t="shared" si="83"/>
        <v>14059799.175524797</v>
      </c>
      <c r="AP813" s="321">
        <f t="shared" si="83"/>
        <v>14524022.611670651</v>
      </c>
      <c r="AQ813" s="321">
        <f t="shared" si="83"/>
        <v>20897811.770508282</v>
      </c>
      <c r="AR813" s="321">
        <f t="shared" si="83"/>
        <v>37168923.387851529</v>
      </c>
      <c r="AS813" s="321">
        <f t="shared" si="83"/>
        <v>6131993.7391265063</v>
      </c>
      <c r="AT813" s="321">
        <f t="shared" si="83"/>
        <v>16879646.259152006</v>
      </c>
      <c r="AU813" s="321">
        <f t="shared" si="83"/>
        <v>24925188.287984025</v>
      </c>
      <c r="AV813" s="321">
        <f t="shared" si="83"/>
        <v>4635188.4212002996</v>
      </c>
      <c r="AW813" s="321">
        <f t="shared" si="83"/>
        <v>4659527.1543083312</v>
      </c>
      <c r="AX813" s="321">
        <f t="shared" si="83"/>
        <v>4712821.4243168058</v>
      </c>
      <c r="AY813" s="321">
        <f t="shared" si="83"/>
        <v>38297000.370269239</v>
      </c>
      <c r="AZ813" s="321">
        <f t="shared" si="83"/>
        <v>24996264.25689372</v>
      </c>
      <c r="BA813" s="321">
        <f t="shared" si="83"/>
        <v>6975295.6140624993</v>
      </c>
      <c r="BB813" s="321">
        <f t="shared" si="83"/>
        <v>225787.17281249998</v>
      </c>
      <c r="BC813" s="321">
        <f t="shared" si="83"/>
        <v>225170.26796874998</v>
      </c>
      <c r="BD813" s="321">
        <f t="shared" si="83"/>
        <v>225170.26796874998</v>
      </c>
      <c r="BE813" s="321">
        <f t="shared" si="83"/>
        <v>225170.26796874998</v>
      </c>
      <c r="BF813" s="321">
        <f t="shared" si="83"/>
        <v>225787.17281249998</v>
      </c>
      <c r="BG813" s="321">
        <f t="shared" si="83"/>
        <v>225170.26796874998</v>
      </c>
      <c r="BH813" s="321">
        <f>+BH811+BH812</f>
        <v>225170.26796874998</v>
      </c>
      <c r="BI813" s="321">
        <f>+BI811+BI812</f>
        <v>225170.26796874998</v>
      </c>
      <c r="BJ813" s="321">
        <f>+BJ811+BJ812</f>
        <v>225787.17281249998</v>
      </c>
      <c r="BK813" s="321">
        <f>+BK811+BK812</f>
        <v>5844755.491249999</v>
      </c>
    </row>
    <row r="814" spans="1:63">
      <c r="A814" s="278"/>
      <c r="B814" s="210" t="s">
        <v>28</v>
      </c>
      <c r="C814" s="224"/>
      <c r="D814" s="224"/>
      <c r="E814" s="224"/>
      <c r="F814" s="224"/>
      <c r="G814" s="224"/>
      <c r="H814" s="224"/>
      <c r="I814" s="224"/>
      <c r="J814" s="224"/>
      <c r="K814" s="224"/>
      <c r="L814" s="224"/>
      <c r="M814" s="224"/>
      <c r="N814" s="224"/>
      <c r="O814" s="224"/>
      <c r="P814" s="224"/>
      <c r="Q814" s="224"/>
      <c r="R814" s="224"/>
      <c r="S814" s="224"/>
      <c r="T814" s="224"/>
      <c r="U814" s="224"/>
      <c r="V814" s="224"/>
      <c r="W814" s="224"/>
      <c r="X814" s="224"/>
      <c r="Y814" s="224">
        <f>'Perfil - interna'!Y814+'Perfil - externa'!Y812</f>
        <v>17101500.12519398</v>
      </c>
      <c r="Z814" s="224">
        <f>'Perfil - interna'!Z814+'Perfil - externa'!Z812</f>
        <v>95182574.796676219</v>
      </c>
      <c r="AA814" s="224">
        <f>'Perfil - interna'!AA814+'Perfil - externa'!AA812</f>
        <v>59066016.848067701</v>
      </c>
      <c r="AB814" s="224">
        <f>'Perfil - interna'!AB814+'Perfil - externa'!AB812</f>
        <v>51125032.784176245</v>
      </c>
      <c r="AC814" s="224">
        <f>'Perfil - interna'!AC814+'Perfil - externa'!AC812</f>
        <v>64146100.30510322</v>
      </c>
      <c r="AD814" s="224">
        <f>'Perfil - interna'!AD814+'Perfil - externa'!AD812</f>
        <v>43959039.508665279</v>
      </c>
      <c r="AE814" s="224">
        <f>'Perfil - interna'!AE814+'Perfil - externa'!AE812</f>
        <v>36324807.539935634</v>
      </c>
      <c r="AF814" s="224">
        <f>'Perfil - interna'!AF814+'Perfil - externa'!AF812</f>
        <v>40515499.392343245</v>
      </c>
      <c r="AG814" s="224">
        <f>'Perfil - interna'!AG814+'Perfil - externa'!AG812</f>
        <v>54289143.552718244</v>
      </c>
      <c r="AH814" s="224">
        <f>'Perfil - interna'!AH814+'Perfil - externa'!AH812</f>
        <v>45376191.771651685</v>
      </c>
      <c r="AI814" s="224">
        <f>'Perfil - interna'!AI814+'Perfil - externa'!AI812</f>
        <v>48751855.380239591</v>
      </c>
      <c r="AJ814" s="224">
        <f>'Perfil - interna'!AJ814+'Perfil - externa'!AJ812</f>
        <v>44547706.695095971</v>
      </c>
      <c r="AK814" s="224">
        <f>'Perfil - interna'!AK814+'Perfil - externa'!AK812</f>
        <v>41047107.629471995</v>
      </c>
      <c r="AL814" s="224">
        <f>'Perfil - interna'!AL814+'Perfil - externa'!AL812</f>
        <v>22633459.452779032</v>
      </c>
      <c r="AM814" s="224">
        <f>'Perfil - interna'!AM814+'Perfil - externa'!AM812</f>
        <v>44049443.902861699</v>
      </c>
      <c r="AN814" s="224">
        <f>'Perfil - interna'!AN814+'Perfil - externa'!AN812</f>
        <v>3253384.5384435277</v>
      </c>
      <c r="AO814" s="224">
        <f>'Perfil - interna'!AO814+'Perfil - externa'!AO812</f>
        <v>4500849.229165785</v>
      </c>
      <c r="AP814" s="224">
        <f>'Perfil - interna'!AP814+'Perfil - externa'!AP812</f>
        <v>5116176.0948491096</v>
      </c>
      <c r="AQ814" s="224">
        <f>'Perfil - interna'!AQ814+'Perfil - externa'!AQ812</f>
        <v>11596355.667574352</v>
      </c>
      <c r="AR814" s="224">
        <f>'Perfil - interna'!AR814+'Perfil - externa'!AR812</f>
        <v>30252659.277896635</v>
      </c>
      <c r="AS814" s="224">
        <f>'Perfil - interna'!AS814+'Perfil - externa'!AS812</f>
        <v>147141.67768437124</v>
      </c>
      <c r="AT814" s="224">
        <f>'Perfil - interna'!AT814+'Perfil - externa'!AT812</f>
        <v>10615580.328433659</v>
      </c>
      <c r="AU814" s="224">
        <f>'Perfil - interna'!AU814+'Perfil - externa'!AU812</f>
        <v>18990926.589436915</v>
      </c>
      <c r="AV814" s="224">
        <f>'Perfil - interna'!AV814+'Perfil - externa'!AV812</f>
        <v>128654.6141014043</v>
      </c>
      <c r="AW814" s="224">
        <f>'Perfil - interna'!AW814+'Perfil - externa'!AW812</f>
        <v>105999.04653383674</v>
      </c>
      <c r="AX814" s="224">
        <f>'Perfil - interna'!AX814+'Perfil - externa'!AX812</f>
        <v>105999.04653383674</v>
      </c>
      <c r="AY814" s="224">
        <f>'Perfil - interna'!AY814+'Perfil - externa'!AY812</f>
        <v>34025514.083119057</v>
      </c>
      <c r="AZ814" s="224">
        <f>'Perfil - interna'!AZ814+'Perfil - externa'!AZ812</f>
        <v>23782567.111771788</v>
      </c>
      <c r="BA814" s="224">
        <f>'Perfil - interna'!BA814+'Perfil - externa'!BA812</f>
        <v>6286920</v>
      </c>
      <c r="BB814" s="224">
        <f>'Perfil - interna'!BB814+'Perfil - externa'!BB812</f>
        <v>0</v>
      </c>
      <c r="BC814" s="224">
        <f>'Perfil - interna'!BC814+'Perfil - externa'!BC812</f>
        <v>0</v>
      </c>
      <c r="BD814" s="224">
        <f>'Perfil - interna'!BD814+'Perfil - externa'!BD812</f>
        <v>0</v>
      </c>
      <c r="BE814" s="224">
        <f>'Perfil - interna'!BE814+'Perfil - externa'!BE812</f>
        <v>0</v>
      </c>
      <c r="BF814" s="224">
        <f>'Perfil - interna'!BF814+'Perfil - externa'!BF812</f>
        <v>0</v>
      </c>
      <c r="BG814" s="224">
        <f>'Perfil - interna'!BG814+'Perfil - externa'!BG812</f>
        <v>0</v>
      </c>
      <c r="BH814" s="224">
        <f>'Perfil - interna'!BH814+'Perfil - externa'!BH812</f>
        <v>0</v>
      </c>
      <c r="BI814" s="224">
        <f>'Perfil - interna'!BI814+'Perfil - externa'!BI812</f>
        <v>0</v>
      </c>
      <c r="BJ814" s="224">
        <f>'Perfil - interna'!BJ814+'Perfil - externa'!BJ812</f>
        <v>0</v>
      </c>
      <c r="BK814" s="224">
        <f>'Perfil - interna'!BK814+'Perfil - externa'!BK812</f>
        <v>5448664</v>
      </c>
    </row>
    <row r="815" spans="1:63">
      <c r="A815" s="168">
        <v>45107</v>
      </c>
      <c r="B815" s="213" t="s">
        <v>385</v>
      </c>
      <c r="C815" s="224"/>
      <c r="D815" s="224"/>
      <c r="E815" s="224"/>
      <c r="F815" s="224"/>
      <c r="G815" s="224"/>
      <c r="H815" s="224"/>
      <c r="I815" s="224"/>
      <c r="J815" s="224"/>
      <c r="K815" s="224"/>
      <c r="L815" s="224"/>
      <c r="M815" s="224"/>
      <c r="N815" s="224"/>
      <c r="O815" s="224"/>
      <c r="P815" s="224"/>
      <c r="Q815" s="224"/>
      <c r="R815" s="224"/>
      <c r="S815" s="224"/>
      <c r="T815" s="224"/>
      <c r="U815" s="224"/>
      <c r="V815" s="224"/>
      <c r="W815" s="224"/>
      <c r="X815" s="224"/>
      <c r="Y815" s="224">
        <f>'Perfil - interna'!Y815+'Perfil - externa'!Y813</f>
        <v>20700990.508574992</v>
      </c>
      <c r="Z815" s="224">
        <f>'Perfil - interna'!Z815+'Perfil - externa'!Z813</f>
        <v>42218467.468331844</v>
      </c>
      <c r="AA815" s="224">
        <f>'Perfil - interna'!AA815+'Perfil - externa'!AA813</f>
        <v>40901383.328507014</v>
      </c>
      <c r="AB815" s="224">
        <f>'Perfil - interna'!AB815+'Perfil - externa'!AB813</f>
        <v>38051255.502099454</v>
      </c>
      <c r="AC815" s="224">
        <f>'Perfil - interna'!AC815+'Perfil - externa'!AC813</f>
        <v>35073999.331246778</v>
      </c>
      <c r="AD815" s="224">
        <f>'Perfil - interna'!AD815+'Perfil - externa'!AD813</f>
        <v>32423975.293705888</v>
      </c>
      <c r="AE815" s="224">
        <f>'Perfil - interna'!AE815+'Perfil - externa'!AE813</f>
        <v>30062634.751709666</v>
      </c>
      <c r="AF815" s="224">
        <f>'Perfil - interna'!AF815+'Perfil - externa'!AF813</f>
        <v>29075567.504759312</v>
      </c>
      <c r="AG815" s="224">
        <f>'Perfil - interna'!AG815+'Perfil - externa'!AG813</f>
        <v>26886757.872584637</v>
      </c>
      <c r="AH815" s="224">
        <f>'Perfil - interna'!AH815+'Perfil - externa'!AH813</f>
        <v>24108072.666824587</v>
      </c>
      <c r="AI815" s="224">
        <f>'Perfil - interna'!AI815+'Perfil - externa'!AI813</f>
        <v>21527098.660842452</v>
      </c>
      <c r="AJ815" s="224">
        <f>'Perfil - interna'!AJ815+'Perfil - externa'!AJ813</f>
        <v>17978347.834124748</v>
      </c>
      <c r="AK815" s="224">
        <f>'Perfil - interna'!AK815+'Perfil - externa'!AK813</f>
        <v>15496113.054562533</v>
      </c>
      <c r="AL815" s="224">
        <f>'Perfil - interna'!AL815+'Perfil - externa'!AL813</f>
        <v>13014398.640379783</v>
      </c>
      <c r="AM815" s="224">
        <f>'Perfil - interna'!AM815+'Perfil - externa'!AM813</f>
        <v>12083211.642909348</v>
      </c>
      <c r="AN815" s="224">
        <f>'Perfil - interna'!AN815+'Perfil - externa'!AN813</f>
        <v>9487608.3679335024</v>
      </c>
      <c r="AO815" s="224">
        <f>'Perfil - interna'!AO815+'Perfil - externa'!AO813</f>
        <v>9388203.1562349238</v>
      </c>
      <c r="AP815" s="224">
        <f>'Perfil - interna'!AP815+'Perfil - externa'!AP813</f>
        <v>9210878.1308219209</v>
      </c>
      <c r="AQ815" s="224">
        <f>'Perfil - interna'!AQ815+'Perfil - externa'!AQ813</f>
        <v>8787181.3936309349</v>
      </c>
      <c r="AR815" s="224">
        <f>'Perfil - interna'!AR815+'Perfil - externa'!AR813</f>
        <v>8373297.8185584228</v>
      </c>
      <c r="AS815" s="224">
        <f>'Perfil - interna'!AS815+'Perfil - externa'!AS813</f>
        <v>5948732.9119607676</v>
      </c>
      <c r="AT815" s="224">
        <f>'Perfil - interna'!AT815+'Perfil - externa'!AT813</f>
        <v>5701359.8901043059</v>
      </c>
      <c r="AU815" s="224">
        <f>'Perfil - interna'!AU815+'Perfil - externa'!AU813</f>
        <v>4978310.6314352229</v>
      </c>
      <c r="AV815" s="224">
        <f>'Perfil - interna'!AV815+'Perfil - externa'!AV813</f>
        <v>4554586.9733456858</v>
      </c>
      <c r="AW815" s="224">
        <f>'Perfil - interna'!AW815+'Perfil - externa'!AW813</f>
        <v>4604109.131145793</v>
      </c>
      <c r="AX815" s="224">
        <f>'Perfil - interna'!AX815+'Perfil - externa'!AX813</f>
        <v>4658616.2182692913</v>
      </c>
      <c r="AY815" s="224">
        <f>'Perfil - interna'!AY815+'Perfil - externa'!AY813</f>
        <v>4396814.3197468976</v>
      </c>
      <c r="AZ815" s="224">
        <f>'Perfil - interna'!AZ815+'Perfil - externa'!AZ813</f>
        <v>2197161.1829203009</v>
      </c>
      <c r="BA815" s="224">
        <f>'Perfil - interna'!BA815+'Perfil - externa'!BA813</f>
        <v>344456.27194444439</v>
      </c>
      <c r="BB815" s="224">
        <f>'Perfil - interna'!BB815+'Perfil - externa'!BB813</f>
        <v>214654.65883333332</v>
      </c>
      <c r="BC815" s="224">
        <f>'Perfil - interna'!BC815+'Perfil - externa'!BC813</f>
        <v>214068.17069444444</v>
      </c>
      <c r="BD815" s="224">
        <f>'Perfil - interna'!BD815+'Perfil - externa'!BD813</f>
        <v>214068.17069444444</v>
      </c>
      <c r="BE815" s="224">
        <f>'Perfil - interna'!BE815+'Perfil - externa'!BE813</f>
        <v>214068.17069444444</v>
      </c>
      <c r="BF815" s="224">
        <f>'Perfil - interna'!BF815+'Perfil - externa'!BF813</f>
        <v>214654.65883333332</v>
      </c>
      <c r="BG815" s="224">
        <f>'Perfil - interna'!BG815+'Perfil - externa'!BG813</f>
        <v>214068.17069444444</v>
      </c>
      <c r="BH815" s="224">
        <f>'Perfil - interna'!BH815+'Perfil - externa'!BH813</f>
        <v>214068.17069444444</v>
      </c>
      <c r="BI815" s="224">
        <f>'Perfil - interna'!BI815+'Perfil - externa'!BI813</f>
        <v>214068.17069444444</v>
      </c>
      <c r="BJ815" s="224">
        <f>'Perfil - interna'!BJ815+'Perfil - externa'!BJ813</f>
        <v>214654.65883333332</v>
      </c>
      <c r="BK815" s="224">
        <f>'Perfil - interna'!BK815+'Perfil - externa'!BK813</f>
        <v>107913.81755555554</v>
      </c>
    </row>
    <row r="816" spans="1:63">
      <c r="A816" s="279"/>
      <c r="B816" s="307" t="s">
        <v>29</v>
      </c>
      <c r="C816" s="321"/>
      <c r="D816" s="321"/>
      <c r="E816" s="321"/>
      <c r="F816" s="321"/>
      <c r="G816" s="321"/>
      <c r="H816" s="321"/>
      <c r="I816" s="321"/>
      <c r="J816" s="321"/>
      <c r="K816" s="321"/>
      <c r="L816" s="321"/>
      <c r="M816" s="321"/>
      <c r="N816" s="321"/>
      <c r="O816" s="321"/>
      <c r="P816" s="321"/>
      <c r="Q816" s="321"/>
      <c r="R816" s="321"/>
      <c r="S816" s="321"/>
      <c r="T816" s="321"/>
      <c r="U816" s="321"/>
      <c r="V816" s="321"/>
      <c r="W816" s="321"/>
      <c r="X816" s="321"/>
      <c r="Y816" s="321">
        <f t="shared" ref="Y816:BG816" si="84">+Y814+Y815</f>
        <v>37802490.633768976</v>
      </c>
      <c r="Z816" s="321">
        <f t="shared" si="84"/>
        <v>137401042.26500806</v>
      </c>
      <c r="AA816" s="321">
        <f t="shared" si="84"/>
        <v>99967400.176574707</v>
      </c>
      <c r="AB816" s="321">
        <f t="shared" si="84"/>
        <v>89176288.2862757</v>
      </c>
      <c r="AC816" s="321">
        <f t="shared" si="84"/>
        <v>99220099.636350006</v>
      </c>
      <c r="AD816" s="321">
        <f t="shared" si="84"/>
        <v>76383014.802371174</v>
      </c>
      <c r="AE816" s="321">
        <f t="shared" si="84"/>
        <v>66387442.291645303</v>
      </c>
      <c r="AF816" s="321">
        <f t="shared" si="84"/>
        <v>69591066.897102565</v>
      </c>
      <c r="AG816" s="321">
        <f t="shared" si="84"/>
        <v>81175901.425302878</v>
      </c>
      <c r="AH816" s="321">
        <f t="shared" si="84"/>
        <v>69484264.438476264</v>
      </c>
      <c r="AI816" s="321">
        <f t="shared" si="84"/>
        <v>70278954.041082039</v>
      </c>
      <c r="AJ816" s="321">
        <f t="shared" si="84"/>
        <v>62526054.529220715</v>
      </c>
      <c r="AK816" s="321">
        <f t="shared" si="84"/>
        <v>56543220.684034526</v>
      </c>
      <c r="AL816" s="321">
        <f t="shared" si="84"/>
        <v>35647858.093158811</v>
      </c>
      <c r="AM816" s="321">
        <f t="shared" si="84"/>
        <v>56132655.545771047</v>
      </c>
      <c r="AN816" s="321">
        <f t="shared" si="84"/>
        <v>12740992.906377031</v>
      </c>
      <c r="AO816" s="321">
        <f t="shared" si="84"/>
        <v>13889052.385400709</v>
      </c>
      <c r="AP816" s="321">
        <f t="shared" si="84"/>
        <v>14327054.225671031</v>
      </c>
      <c r="AQ816" s="321">
        <f t="shared" si="84"/>
        <v>20383537.061205287</v>
      </c>
      <c r="AR816" s="321">
        <f t="shared" si="84"/>
        <v>38625957.09645506</v>
      </c>
      <c r="AS816" s="321">
        <f t="shared" si="84"/>
        <v>6095874.5896451389</v>
      </c>
      <c r="AT816" s="321">
        <f t="shared" si="84"/>
        <v>16316940.218537964</v>
      </c>
      <c r="AU816" s="321">
        <f t="shared" si="84"/>
        <v>23969237.220872138</v>
      </c>
      <c r="AV816" s="321">
        <f t="shared" si="84"/>
        <v>4683241.5874470901</v>
      </c>
      <c r="AW816" s="321">
        <f t="shared" si="84"/>
        <v>4710108.17767963</v>
      </c>
      <c r="AX816" s="321">
        <f t="shared" si="84"/>
        <v>4764615.2648031283</v>
      </c>
      <c r="AY816" s="321">
        <f t="shared" si="84"/>
        <v>38422328.402865954</v>
      </c>
      <c r="AZ816" s="321">
        <f t="shared" si="84"/>
        <v>25979728.294692088</v>
      </c>
      <c r="BA816" s="321">
        <f t="shared" si="84"/>
        <v>6631376.2719444446</v>
      </c>
      <c r="BB816" s="321">
        <f t="shared" si="84"/>
        <v>214654.65883333332</v>
      </c>
      <c r="BC816" s="321">
        <f t="shared" si="84"/>
        <v>214068.17069444444</v>
      </c>
      <c r="BD816" s="321">
        <f t="shared" si="84"/>
        <v>214068.17069444444</v>
      </c>
      <c r="BE816" s="321">
        <f t="shared" si="84"/>
        <v>214068.17069444444</v>
      </c>
      <c r="BF816" s="321">
        <f t="shared" si="84"/>
        <v>214654.65883333332</v>
      </c>
      <c r="BG816" s="321">
        <f t="shared" si="84"/>
        <v>214068.17069444444</v>
      </c>
      <c r="BH816" s="321">
        <f>+BH814+BH815</f>
        <v>214068.17069444444</v>
      </c>
      <c r="BI816" s="321">
        <f>+BI814+BI815</f>
        <v>214068.17069444444</v>
      </c>
      <c r="BJ816" s="321">
        <f>+BJ814+BJ815</f>
        <v>214654.65883333332</v>
      </c>
      <c r="BK816" s="321">
        <f>+BK814+BK815</f>
        <v>5556577.8175555551</v>
      </c>
    </row>
    <row r="817" spans="1:63">
      <c r="A817" s="278"/>
      <c r="B817" s="210" t="s">
        <v>28</v>
      </c>
      <c r="C817" s="224"/>
      <c r="D817" s="224"/>
      <c r="E817" s="224"/>
      <c r="F817" s="224"/>
      <c r="G817" s="224"/>
      <c r="H817" s="224"/>
      <c r="I817" s="224"/>
      <c r="J817" s="224"/>
      <c r="K817" s="224"/>
      <c r="L817" s="224"/>
      <c r="M817" s="224"/>
      <c r="N817" s="224"/>
      <c r="O817" s="224"/>
      <c r="P817" s="224"/>
      <c r="Q817" s="224"/>
      <c r="R817" s="224"/>
      <c r="S817" s="224"/>
      <c r="T817" s="224"/>
      <c r="U817" s="224"/>
      <c r="V817" s="224"/>
      <c r="W817" s="224"/>
      <c r="X817" s="224"/>
      <c r="Y817" s="224">
        <f>'Perfil - interna'!Y817+'Perfil - externa'!Y815</f>
        <v>16330171.634641867</v>
      </c>
      <c r="Z817" s="224">
        <f>'Perfil - interna'!Z817+'Perfil - externa'!Z815</f>
        <v>94268852.067936614</v>
      </c>
      <c r="AA817" s="224">
        <f>'Perfil - interna'!AA817+'Perfil - externa'!AA815</f>
        <v>57946663.932687223</v>
      </c>
      <c r="AB817" s="224">
        <f>'Perfil - interna'!AB817+'Perfil - externa'!AB815</f>
        <v>49945295.115946934</v>
      </c>
      <c r="AC817" s="224">
        <f>'Perfil - interna'!AC817+'Perfil - externa'!AC815</f>
        <v>63060661.805375427</v>
      </c>
      <c r="AD817" s="224">
        <f>'Perfil - interna'!AD817+'Perfil - externa'!AD815</f>
        <v>43451658.039848015</v>
      </c>
      <c r="AE817" s="224">
        <f>'Perfil - interna'!AE817+'Perfil - externa'!AE815</f>
        <v>35450097.793716051</v>
      </c>
      <c r="AF817" s="224">
        <f>'Perfil - interna'!AF817+'Perfil - externa'!AF815</f>
        <v>39482544.23121044</v>
      </c>
      <c r="AG817" s="224">
        <f>'Perfil - interna'!AG817+'Perfil - externa'!AG815</f>
        <v>52932501.35623458</v>
      </c>
      <c r="AH817" s="224">
        <f>'Perfil - interna'!AH817+'Perfil - externa'!AH815</f>
        <v>44293705.840879582</v>
      </c>
      <c r="AI817" s="224">
        <f>'Perfil - interna'!AI817+'Perfil - externa'!AI815</f>
        <v>48715163.662369892</v>
      </c>
      <c r="AJ817" s="224">
        <f>'Perfil - interna'!AJ817+'Perfil - externa'!AJ815</f>
        <v>43472326.980816886</v>
      </c>
      <c r="AK817" s="224">
        <f>'Perfil - interna'!AK817+'Perfil - externa'!AK815</f>
        <v>40719410.410729863</v>
      </c>
      <c r="AL817" s="224">
        <f>'Perfil - interna'!AL817+'Perfil - externa'!AL815</f>
        <v>22053131.000071738</v>
      </c>
      <c r="AM817" s="224">
        <f>'Perfil - interna'!AM817+'Perfil - externa'!AM815</f>
        <v>43865203.923685744</v>
      </c>
      <c r="AN817" s="224">
        <f>'Perfil - interna'!AN817+'Perfil - externa'!AN815</f>
        <v>3057195.1259990754</v>
      </c>
      <c r="AO817" s="224">
        <f>'Perfil - interna'!AO817+'Perfil - externa'!AO815</f>
        <v>4224956.5829768647</v>
      </c>
      <c r="AP817" s="224">
        <f>'Perfil - interna'!AP817+'Perfil - externa'!AP815</f>
        <v>4794002.5637080139</v>
      </c>
      <c r="AQ817" s="224">
        <f>'Perfil - interna'!AQ817+'Perfil - externa'!AQ815</f>
        <v>10856868.02088196</v>
      </c>
      <c r="AR817" s="224">
        <f>'Perfil - interna'!AR817+'Perfil - externa'!AR815</f>
        <v>31443822.43029803</v>
      </c>
      <c r="AS817" s="224">
        <f>'Perfil - interna'!AS817+'Perfil - externa'!AS815</f>
        <v>139169.22786563981</v>
      </c>
      <c r="AT817" s="224">
        <f>'Perfil - interna'!AT817+'Perfil - externa'!AT815</f>
        <v>9938756.5524605922</v>
      </c>
      <c r="AU817" s="224">
        <f>'Perfil - interna'!AU817+'Perfil - externa'!AU815</f>
        <v>17778983.714946434</v>
      </c>
      <c r="AV817" s="224">
        <f>'Perfil - interna'!AV817+'Perfil - externa'!AV815</f>
        <v>121732.85413852068</v>
      </c>
      <c r="AW817" s="224">
        <f>'Perfil - interna'!AW817+'Perfil - externa'!AW815</f>
        <v>100524.80008446664</v>
      </c>
      <c r="AX817" s="224">
        <f>'Perfil - interna'!AX817+'Perfil - externa'!AX815</f>
        <v>100524.80008446664</v>
      </c>
      <c r="AY817" s="224">
        <f>'Perfil - interna'!AY817+'Perfil - externa'!AY815</f>
        <v>33786707.423301637</v>
      </c>
      <c r="AZ817" s="224">
        <f>'Perfil - interna'!AZ817+'Perfil - externa'!AZ815</f>
        <v>24360847.046564471</v>
      </c>
      <c r="BA817" s="224">
        <f>'Perfil - interna'!BA817+'Perfil - externa'!BA815</f>
        <v>5885235</v>
      </c>
      <c r="BB817" s="224">
        <f>'Perfil - interna'!BB817+'Perfil - externa'!BB815</f>
        <v>0</v>
      </c>
      <c r="BC817" s="224">
        <f>'Perfil - interna'!BC817+'Perfil - externa'!BC815</f>
        <v>0</v>
      </c>
      <c r="BD817" s="224">
        <f>'Perfil - interna'!BD817+'Perfil - externa'!BD815</f>
        <v>0</v>
      </c>
      <c r="BE817" s="224">
        <f>'Perfil - interna'!BE817+'Perfil - externa'!BE815</f>
        <v>0</v>
      </c>
      <c r="BF817" s="224">
        <f>'Perfil - interna'!BF817+'Perfil - externa'!BF815</f>
        <v>0</v>
      </c>
      <c r="BG817" s="224">
        <f>'Perfil - interna'!BG817+'Perfil - externa'!BG815</f>
        <v>0</v>
      </c>
      <c r="BH817" s="224">
        <f>'Perfil - interna'!BH817+'Perfil - externa'!BH815</f>
        <v>0</v>
      </c>
      <c r="BI817" s="224">
        <f>'Perfil - interna'!BI817+'Perfil - externa'!BI815</f>
        <v>0</v>
      </c>
      <c r="BJ817" s="224">
        <f>'Perfil - interna'!BJ817+'Perfil - externa'!BJ815</f>
        <v>0</v>
      </c>
      <c r="BK817" s="224">
        <f>'Perfil - interna'!BK817+'Perfil - externa'!BK815</f>
        <v>5100537</v>
      </c>
    </row>
    <row r="818" spans="1:63">
      <c r="A818" s="168">
        <v>45138</v>
      </c>
      <c r="B818" s="213" t="s">
        <v>385</v>
      </c>
      <c r="C818" s="224"/>
      <c r="D818" s="224"/>
      <c r="E818" s="224"/>
      <c r="F818" s="224"/>
      <c r="G818" s="224"/>
      <c r="H818" s="224"/>
      <c r="I818" s="224"/>
      <c r="J818" s="224"/>
      <c r="K818" s="224"/>
      <c r="L818" s="224"/>
      <c r="M818" s="224"/>
      <c r="N818" s="224"/>
      <c r="O818" s="224"/>
      <c r="P818" s="224"/>
      <c r="Q818" s="224"/>
      <c r="R818" s="224"/>
      <c r="S818" s="224"/>
      <c r="T818" s="224"/>
      <c r="U818" s="224"/>
      <c r="V818" s="224"/>
      <c r="W818" s="224"/>
      <c r="X818" s="224"/>
      <c r="Y818" s="224">
        <f>'Perfil - interna'!Y818+'Perfil - externa'!Y816</f>
        <v>15219868.514927119</v>
      </c>
      <c r="Z818" s="224">
        <f>'Perfil - interna'!Z818+'Perfil - externa'!Z816</f>
        <v>44084219.409172721</v>
      </c>
      <c r="AA818" s="224">
        <f>'Perfil - interna'!AA818+'Perfil - externa'!AA816</f>
        <v>40543858.857325308</v>
      </c>
      <c r="AB818" s="224">
        <f>'Perfil - interna'!AB818+'Perfil - externa'!AB816</f>
        <v>37739066.150702551</v>
      </c>
      <c r="AC818" s="224">
        <f>'Perfil - interna'!AC818+'Perfil - externa'!AC816</f>
        <v>34848090.844115116</v>
      </c>
      <c r="AD818" s="224">
        <f>'Perfil - interna'!AD818+'Perfil - externa'!AD816</f>
        <v>32238251.756768189</v>
      </c>
      <c r="AE818" s="224">
        <f>'Perfil - interna'!AE818+'Perfil - externa'!AE816</f>
        <v>29892498.004900098</v>
      </c>
      <c r="AF818" s="224">
        <f>'Perfil - interna'!AF818+'Perfil - externa'!AF816</f>
        <v>28938662.930266</v>
      </c>
      <c r="AG818" s="224">
        <f>'Perfil - interna'!AG818+'Perfil - externa'!AG816</f>
        <v>26785301.633935917</v>
      </c>
      <c r="AH818" s="224">
        <f>'Perfil - interna'!AH818+'Perfil - externa'!AH816</f>
        <v>24045569.045544662</v>
      </c>
      <c r="AI818" s="224">
        <f>'Perfil - interna'!AI818+'Perfil - externa'!AI816</f>
        <v>21509063.530013587</v>
      </c>
      <c r="AJ818" s="224">
        <f>'Perfil - interna'!AJ818+'Perfil - externa'!AJ816</f>
        <v>17876545.656263642</v>
      </c>
      <c r="AK818" s="224">
        <f>'Perfil - interna'!AK818+'Perfil - externa'!AK816</f>
        <v>15430498.936448086</v>
      </c>
      <c r="AL818" s="224">
        <f>'Perfil - interna'!AL818+'Perfil - externa'!AL816</f>
        <v>12956808.833684839</v>
      </c>
      <c r="AM818" s="224">
        <f>'Perfil - interna'!AM818+'Perfil - externa'!AM816</f>
        <v>12037459.756951392</v>
      </c>
      <c r="AN818" s="224">
        <f>'Perfil - interna'!AN818+'Perfil - externa'!AN816</f>
        <v>9456156.3529830109</v>
      </c>
      <c r="AO818" s="224">
        <f>'Perfil - interna'!AO818+'Perfil - externa'!AO816</f>
        <v>9359633.0562682208</v>
      </c>
      <c r="AP818" s="224">
        <f>'Perfil - interna'!AP818+'Perfil - externa'!AP816</f>
        <v>9192070.0543557443</v>
      </c>
      <c r="AQ818" s="224">
        <f>'Perfil - interna'!AQ818+'Perfil - externa'!AQ816</f>
        <v>8794677.6817235928</v>
      </c>
      <c r="AR818" s="224">
        <f>'Perfil - interna'!AR818+'Perfil - externa'!AR816</f>
        <v>8408316.9447753709</v>
      </c>
      <c r="AS818" s="224">
        <f>'Perfil - interna'!AS818+'Perfil - externa'!AS816</f>
        <v>5853047.1617759131</v>
      </c>
      <c r="AT818" s="224">
        <f>'Perfil - interna'!AT818+'Perfil - externa'!AT816</f>
        <v>5625384.199770283</v>
      </c>
      <c r="AU818" s="224">
        <f>'Perfil - interna'!AU818+'Perfil - externa'!AU816</f>
        <v>4952563.8398624398</v>
      </c>
      <c r="AV818" s="224">
        <f>'Perfil - interna'!AV818+'Perfil - externa'!AV816</f>
        <v>4560072.1071838327</v>
      </c>
      <c r="AW818" s="224">
        <f>'Perfil - interna'!AW818+'Perfil - externa'!AW816</f>
        <v>4610724.6804625886</v>
      </c>
      <c r="AX818" s="224">
        <f>'Perfil - interna'!AX818+'Perfil - externa'!AX816</f>
        <v>4666173.6283928491</v>
      </c>
      <c r="AY818" s="224">
        <f>'Perfil - interna'!AY818+'Perfil - externa'!AY816</f>
        <v>4425656.9244965762</v>
      </c>
      <c r="AZ818" s="224">
        <f>'Perfil - interna'!AZ818+'Perfil - externa'!AZ816</f>
        <v>2208818.9418232883</v>
      </c>
      <c r="BA818" s="224">
        <f>'Perfil - interna'!BA818+'Perfil - externa'!BA816</f>
        <v>322448.21114583331</v>
      </c>
      <c r="BB818" s="224">
        <f>'Perfil - interna'!BB818+'Perfil - externa'!BB816</f>
        <v>200939.90556249997</v>
      </c>
      <c r="BC818" s="224">
        <f>'Perfil - interna'!BC818+'Perfil - externa'!BC816</f>
        <v>200390.88942708331</v>
      </c>
      <c r="BD818" s="224">
        <f>'Perfil - interna'!BD818+'Perfil - externa'!BD816</f>
        <v>200390.88942708331</v>
      </c>
      <c r="BE818" s="224">
        <f>'Perfil - interna'!BE818+'Perfil - externa'!BE816</f>
        <v>200390.88942708331</v>
      </c>
      <c r="BF818" s="224">
        <f>'Perfil - interna'!BF818+'Perfil - externa'!BF816</f>
        <v>200939.90556249997</v>
      </c>
      <c r="BG818" s="224">
        <f>'Perfil - interna'!BG818+'Perfil - externa'!BG816</f>
        <v>200390.88942708331</v>
      </c>
      <c r="BH818" s="224">
        <f>'Perfil - interna'!BH818+'Perfil - externa'!BH816</f>
        <v>200390.88942708331</v>
      </c>
      <c r="BI818" s="224">
        <f>'Perfil - interna'!BI818+'Perfil - externa'!BI816</f>
        <v>200390.88942708331</v>
      </c>
      <c r="BJ818" s="224">
        <f>'Perfil - interna'!BJ818+'Perfil - externa'!BJ816</f>
        <v>200939.90556249997</v>
      </c>
      <c r="BK818" s="224">
        <f>'Perfil - interna'!BK818+'Perfil - externa'!BK816</f>
        <v>101018.96891666665</v>
      </c>
    </row>
    <row r="819" spans="1:63">
      <c r="A819" s="279"/>
      <c r="B819" s="307" t="s">
        <v>29</v>
      </c>
      <c r="C819" s="321"/>
      <c r="D819" s="321"/>
      <c r="E819" s="321"/>
      <c r="F819" s="321"/>
      <c r="G819" s="321"/>
      <c r="H819" s="321"/>
      <c r="I819" s="321"/>
      <c r="J819" s="321"/>
      <c r="K819" s="321"/>
      <c r="L819" s="321"/>
      <c r="M819" s="321"/>
      <c r="N819" s="321"/>
      <c r="O819" s="321"/>
      <c r="P819" s="321"/>
      <c r="Q819" s="321"/>
      <c r="R819" s="321"/>
      <c r="S819" s="321"/>
      <c r="T819" s="321"/>
      <c r="U819" s="321"/>
      <c r="V819" s="321"/>
      <c r="W819" s="321"/>
      <c r="X819" s="321"/>
      <c r="Y819" s="321">
        <f t="shared" ref="Y819:BG819" si="85">+Y817+Y818</f>
        <v>31550040.149568986</v>
      </c>
      <c r="Z819" s="321">
        <f t="shared" si="85"/>
        <v>138353071.47710934</v>
      </c>
      <c r="AA819" s="321">
        <f t="shared" si="85"/>
        <v>98490522.790012538</v>
      </c>
      <c r="AB819" s="321">
        <f t="shared" si="85"/>
        <v>87684361.266649485</v>
      </c>
      <c r="AC819" s="321">
        <f t="shared" si="85"/>
        <v>97908752.649490535</v>
      </c>
      <c r="AD819" s="321">
        <f t="shared" si="85"/>
        <v>75689909.796616197</v>
      </c>
      <c r="AE819" s="321">
        <f t="shared" si="85"/>
        <v>65342595.798616149</v>
      </c>
      <c r="AF819" s="321">
        <f t="shared" si="85"/>
        <v>68421207.161476433</v>
      </c>
      <c r="AG819" s="321">
        <f t="shared" si="85"/>
        <v>79717802.990170494</v>
      </c>
      <c r="AH819" s="321">
        <f t="shared" si="85"/>
        <v>68339274.886424243</v>
      </c>
      <c r="AI819" s="321">
        <f t="shared" si="85"/>
        <v>70224227.192383483</v>
      </c>
      <c r="AJ819" s="321">
        <f t="shared" si="85"/>
        <v>61348872.637080528</v>
      </c>
      <c r="AK819" s="321">
        <f t="shared" si="85"/>
        <v>56149909.347177953</v>
      </c>
      <c r="AL819" s="321">
        <f t="shared" si="85"/>
        <v>35009939.833756581</v>
      </c>
      <c r="AM819" s="321">
        <f t="shared" si="85"/>
        <v>55902663.680637136</v>
      </c>
      <c r="AN819" s="321">
        <f t="shared" si="85"/>
        <v>12513351.478982087</v>
      </c>
      <c r="AO819" s="321">
        <f t="shared" si="85"/>
        <v>13584589.639245085</v>
      </c>
      <c r="AP819" s="321">
        <f t="shared" si="85"/>
        <v>13986072.618063759</v>
      </c>
      <c r="AQ819" s="321">
        <f t="shared" si="85"/>
        <v>19651545.702605553</v>
      </c>
      <c r="AR819" s="321">
        <f t="shared" si="85"/>
        <v>39852139.375073403</v>
      </c>
      <c r="AS819" s="321">
        <f t="shared" si="85"/>
        <v>5992216.3896415532</v>
      </c>
      <c r="AT819" s="321">
        <f t="shared" si="85"/>
        <v>15564140.752230875</v>
      </c>
      <c r="AU819" s="321">
        <f t="shared" si="85"/>
        <v>22731547.554808874</v>
      </c>
      <c r="AV819" s="321">
        <f t="shared" si="85"/>
        <v>4681804.9613223532</v>
      </c>
      <c r="AW819" s="321">
        <f t="shared" si="85"/>
        <v>4711249.4805470556</v>
      </c>
      <c r="AX819" s="321">
        <f t="shared" si="85"/>
        <v>4766698.4284773162</v>
      </c>
      <c r="AY819" s="321">
        <f t="shared" si="85"/>
        <v>38212364.347798213</v>
      </c>
      <c r="AZ819" s="321">
        <f t="shared" si="85"/>
        <v>26569665.98838776</v>
      </c>
      <c r="BA819" s="321">
        <f t="shared" si="85"/>
        <v>6207683.2111458331</v>
      </c>
      <c r="BB819" s="321">
        <f t="shared" si="85"/>
        <v>200939.90556249997</v>
      </c>
      <c r="BC819" s="321">
        <f t="shared" si="85"/>
        <v>200390.88942708331</v>
      </c>
      <c r="BD819" s="321">
        <f t="shared" si="85"/>
        <v>200390.88942708331</v>
      </c>
      <c r="BE819" s="321">
        <f t="shared" si="85"/>
        <v>200390.88942708331</v>
      </c>
      <c r="BF819" s="321">
        <f t="shared" si="85"/>
        <v>200939.90556249997</v>
      </c>
      <c r="BG819" s="321">
        <f t="shared" si="85"/>
        <v>200390.88942708331</v>
      </c>
      <c r="BH819" s="321">
        <f>+BH817+BH818</f>
        <v>200390.88942708331</v>
      </c>
      <c r="BI819" s="321">
        <f>+BI817+BI818</f>
        <v>200390.88942708331</v>
      </c>
      <c r="BJ819" s="321">
        <f>+BJ817+BJ818</f>
        <v>200939.90556249997</v>
      </c>
      <c r="BK819" s="321">
        <f>+BK817+BK818</f>
        <v>5201555.9689166667</v>
      </c>
    </row>
    <row r="820" spans="1:63">
      <c r="A820" s="278"/>
      <c r="B820" s="210" t="s">
        <v>28</v>
      </c>
      <c r="C820" s="224"/>
      <c r="D820" s="224"/>
      <c r="E820" s="224"/>
      <c r="F820" s="224"/>
      <c r="G820" s="224"/>
      <c r="H820" s="224"/>
      <c r="I820" s="224"/>
      <c r="J820" s="224"/>
      <c r="K820" s="224"/>
      <c r="L820" s="224"/>
      <c r="M820" s="224"/>
      <c r="N820" s="224"/>
      <c r="O820" s="224"/>
      <c r="P820" s="224"/>
      <c r="Q820" s="224"/>
      <c r="R820" s="224"/>
      <c r="S820" s="224"/>
      <c r="T820" s="224"/>
      <c r="U820" s="224"/>
      <c r="V820" s="224"/>
      <c r="W820" s="224"/>
      <c r="X820" s="224"/>
      <c r="Y820" s="224">
        <f>'Perfil - interna'!Y820+'Perfil - externa'!Y818</f>
        <v>15931642.871107934</v>
      </c>
      <c r="Z820" s="224">
        <f>'Perfil - interna'!Z820+'Perfil - externa'!Z818</f>
        <v>94647449.632547989</v>
      </c>
      <c r="AA820" s="224">
        <f>'Perfil - interna'!AA820+'Perfil - externa'!AA818</f>
        <v>58694308.221518509</v>
      </c>
      <c r="AB820" s="224">
        <f>'Perfil - interna'!AB820+'Perfil - externa'!AB818</f>
        <v>50609192.321134776</v>
      </c>
      <c r="AC820" s="224">
        <f>'Perfil - interna'!AC820+'Perfil - externa'!AC818</f>
        <v>63854611.615890503</v>
      </c>
      <c r="AD820" s="224">
        <f>'Perfil - interna'!AD820+'Perfil - externa'!AD818</f>
        <v>44064858.124027655</v>
      </c>
      <c r="AE820" s="224">
        <f>'Perfil - interna'!AE820+'Perfil - externa'!AE818</f>
        <v>36815792.546845019</v>
      </c>
      <c r="AF820" s="224">
        <f>'Perfil - interna'!AF820+'Perfil - externa'!AF818</f>
        <v>40097074.711958386</v>
      </c>
      <c r="AG820" s="224">
        <f>'Perfil - interna'!AG820+'Perfil - externa'!AG818</f>
        <v>53747299.039442137</v>
      </c>
      <c r="AH820" s="224">
        <f>'Perfil - interna'!AH820+'Perfil - externa'!AH818</f>
        <v>44943935.748845533</v>
      </c>
      <c r="AI820" s="224">
        <f>'Perfil - interna'!AI820+'Perfil - externa'!AI818</f>
        <v>51331837.31879846</v>
      </c>
      <c r="AJ820" s="224">
        <f>'Perfil - interna'!AJ820+'Perfil - externa'!AJ818</f>
        <v>44128248.214935452</v>
      </c>
      <c r="AK820" s="224">
        <f>'Perfil - interna'!AK820+'Perfil - externa'!AK818</f>
        <v>41108191.457626596</v>
      </c>
      <c r="AL820" s="224">
        <f>'Perfil - interna'!AL820+'Perfil - externa'!AL818</f>
        <v>22374773.4897625</v>
      </c>
      <c r="AM820" s="224">
        <f>'Perfil - interna'!AM820+'Perfil - externa'!AM818</f>
        <v>45011366.613226339</v>
      </c>
      <c r="AN820" s="224">
        <f>'Perfil - interna'!AN820+'Perfil - externa'!AN818</f>
        <v>3178645.4511448122</v>
      </c>
      <c r="AO820" s="224">
        <f>'Perfil - interna'!AO820+'Perfil - externa'!AO818</f>
        <v>4394575.8888508016</v>
      </c>
      <c r="AP820" s="224">
        <f>'Perfil - interna'!AP820+'Perfil - externa'!AP818</f>
        <v>4988656.1283468604</v>
      </c>
      <c r="AQ820" s="224">
        <f>'Perfil - interna'!AQ820+'Perfil - externa'!AQ818</f>
        <v>11304056.865856223</v>
      </c>
      <c r="AR820" s="224">
        <f>'Perfil - interna'!AR820+'Perfil - externa'!AR818</f>
        <v>33390470.570645642</v>
      </c>
      <c r="AS820" s="224">
        <f>'Perfil - interna'!AS820+'Perfil - externa'!AS818</f>
        <v>144186.00607988104</v>
      </c>
      <c r="AT820" s="224">
        <f>'Perfil - interna'!AT820+'Perfil - externa'!AT818</f>
        <v>10347691.019346913</v>
      </c>
      <c r="AU820" s="224">
        <f>'Perfil - interna'!AU820+'Perfil - externa'!AU818</f>
        <v>18511014.242659289</v>
      </c>
      <c r="AV820" s="224">
        <f>'Perfil - interna'!AV820+'Perfil - externa'!AV818</f>
        <v>125419.61665427871</v>
      </c>
      <c r="AW820" s="224">
        <f>'Perfil - interna'!AW820+'Perfil - externa'!AW818</f>
        <v>103336.75178941386</v>
      </c>
      <c r="AX820" s="224">
        <f>'Perfil - interna'!AX820+'Perfil - externa'!AX818</f>
        <v>103336.75178941386</v>
      </c>
      <c r="AY820" s="224">
        <f>'Perfil - interna'!AY820+'Perfil - externa'!AY818</f>
        <v>34973994.66324234</v>
      </c>
      <c r="AZ820" s="224">
        <f>'Perfil - interna'!AZ820+'Perfil - externa'!AZ818</f>
        <v>24845506.801406492</v>
      </c>
      <c r="BA820" s="224">
        <f>'Perfil - interna'!BA820+'Perfil - externa'!BA818</f>
        <v>6127995</v>
      </c>
      <c r="BB820" s="224">
        <f>'Perfil - interna'!BB820+'Perfil - externa'!BB818</f>
        <v>0</v>
      </c>
      <c r="BC820" s="224">
        <f>'Perfil - interna'!BC820+'Perfil - externa'!BC818</f>
        <v>0</v>
      </c>
      <c r="BD820" s="224">
        <f>'Perfil - interna'!BD820+'Perfil - externa'!BD818</f>
        <v>0</v>
      </c>
      <c r="BE820" s="224">
        <f>'Perfil - interna'!BE820+'Perfil - externa'!BE818</f>
        <v>0</v>
      </c>
      <c r="BF820" s="224">
        <f>'Perfil - interna'!BF820+'Perfil - externa'!BF818</f>
        <v>0</v>
      </c>
      <c r="BG820" s="224">
        <f>'Perfil - interna'!BG820+'Perfil - externa'!BG818</f>
        <v>0</v>
      </c>
      <c r="BH820" s="224">
        <f>'Perfil - interna'!BH820+'Perfil - externa'!BH818</f>
        <v>0</v>
      </c>
      <c r="BI820" s="224">
        <f>'Perfil - interna'!BI820+'Perfil - externa'!BI818</f>
        <v>0</v>
      </c>
      <c r="BJ820" s="224">
        <f>'Perfil - interna'!BJ820+'Perfil - externa'!BJ818</f>
        <v>0</v>
      </c>
      <c r="BK820" s="224">
        <f>'Perfil - interna'!BK820+'Perfil - externa'!BK818</f>
        <v>5310929</v>
      </c>
    </row>
    <row r="821" spans="1:63">
      <c r="A821" s="168">
        <v>45169</v>
      </c>
      <c r="B821" s="213" t="s">
        <v>385</v>
      </c>
      <c r="C821" s="224"/>
      <c r="D821" s="224"/>
      <c r="E821" s="224"/>
      <c r="F821" s="224"/>
      <c r="G821" s="224"/>
      <c r="H821" s="224"/>
      <c r="I821" s="224"/>
      <c r="J821" s="224"/>
      <c r="K821" s="224"/>
      <c r="L821" s="224"/>
      <c r="M821" s="224"/>
      <c r="N821" s="224"/>
      <c r="O821" s="224"/>
      <c r="P821" s="224"/>
      <c r="Q821" s="224"/>
      <c r="R821" s="224"/>
      <c r="S821" s="224"/>
      <c r="T821" s="224"/>
      <c r="U821" s="224"/>
      <c r="V821" s="224"/>
      <c r="W821" s="224"/>
      <c r="X821" s="224"/>
      <c r="Y821" s="224">
        <f>'Perfil - interna'!Y821+'Perfil - externa'!Y819</f>
        <v>13174534.841704039</v>
      </c>
      <c r="Z821" s="224">
        <f>'Perfil - interna'!Z821+'Perfil - externa'!Z819</f>
        <v>44872538.362927429</v>
      </c>
      <c r="AA821" s="224">
        <f>'Perfil - interna'!AA821+'Perfil - externa'!AA819</f>
        <v>41534864.202890791</v>
      </c>
      <c r="AB821" s="224">
        <f>'Perfil - interna'!AB821+'Perfil - externa'!AB819</f>
        <v>38697305.62260218</v>
      </c>
      <c r="AC821" s="224">
        <f>'Perfil - interna'!AC821+'Perfil - externa'!AC819</f>
        <v>35780278.014271945</v>
      </c>
      <c r="AD821" s="224">
        <f>'Perfil - interna'!AD821+'Perfil - externa'!AD819</f>
        <v>33152586.545506518</v>
      </c>
      <c r="AE821" s="224">
        <f>'Perfil - interna'!AE821+'Perfil - externa'!AE819</f>
        <v>30775658.767402202</v>
      </c>
      <c r="AF821" s="224">
        <f>'Perfil - interna'!AF821+'Perfil - externa'!AF819</f>
        <v>29783062.234538164</v>
      </c>
      <c r="AG821" s="224">
        <f>'Perfil - interna'!AG821+'Perfil - externa'!AG819</f>
        <v>27608731.278976191</v>
      </c>
      <c r="AH821" s="224">
        <f>'Perfil - interna'!AH821+'Perfil - externa'!AH819</f>
        <v>24846262.454238772</v>
      </c>
      <c r="AI821" s="224">
        <f>'Perfil - interna'!AI821+'Perfil - externa'!AI819</f>
        <v>22281974.055926159</v>
      </c>
      <c r="AJ821" s="224">
        <f>'Perfil - interna'!AJ821+'Perfil - externa'!AJ819</f>
        <v>18364043.422109362</v>
      </c>
      <c r="AK821" s="224">
        <f>'Perfil - interna'!AK821+'Perfil - externa'!AK819</f>
        <v>15895535.830923613</v>
      </c>
      <c r="AL821" s="224">
        <f>'Perfil - interna'!AL821+'Perfil - externa'!AL819</f>
        <v>13416631.330840006</v>
      </c>
      <c r="AM821" s="224">
        <f>'Perfil - interna'!AM821+'Perfil - externa'!AM819</f>
        <v>12490398.990192721</v>
      </c>
      <c r="AN821" s="224">
        <f>'Perfil - interna'!AN821+'Perfil - externa'!AN819</f>
        <v>9849469.0223618522</v>
      </c>
      <c r="AO821" s="224">
        <f>'Perfil - interna'!AO821+'Perfil - externa'!AO819</f>
        <v>9748710.2906487249</v>
      </c>
      <c r="AP821" s="224">
        <f>'Perfil - interna'!AP821+'Perfil - externa'!AP819</f>
        <v>9573965.0000468493</v>
      </c>
      <c r="AQ821" s="224">
        <f>'Perfil - interna'!AQ821+'Perfil - externa'!AQ819</f>
        <v>9159695.1026336644</v>
      </c>
      <c r="AR821" s="224">
        <f>'Perfil - interna'!AR821+'Perfil - externa'!AR819</f>
        <v>8756817.3890260309</v>
      </c>
      <c r="AS821" s="224">
        <f>'Perfil - interna'!AS821+'Perfil - externa'!AS819</f>
        <v>6035390.2653913796</v>
      </c>
      <c r="AT821" s="224">
        <f>'Perfil - interna'!AT821+'Perfil - externa'!AT819</f>
        <v>5797719.8118069842</v>
      </c>
      <c r="AU821" s="224">
        <f>'Perfil - interna'!AU821+'Perfil - externa'!AU819</f>
        <v>5096510.5198976267</v>
      </c>
      <c r="AV821" s="224">
        <f>'Perfil - interna'!AV821+'Perfil - externa'!AV819</f>
        <v>4687173.4062118493</v>
      </c>
      <c r="AW821" s="224">
        <f>'Perfil - interna'!AW821+'Perfil - externa'!AW819</f>
        <v>4739239.5401379168</v>
      </c>
      <c r="AX821" s="224">
        <f>'Perfil - interna'!AX821+'Perfil - externa'!AX819</f>
        <v>4796278.9715074124</v>
      </c>
      <c r="AY821" s="224">
        <f>'Perfil - interna'!AY821+'Perfil - externa'!AY819</f>
        <v>4545122.916317937</v>
      </c>
      <c r="AZ821" s="224">
        <f>'Perfil - interna'!AZ821+'Perfil - externa'!AZ819</f>
        <v>2262268.7111149868</v>
      </c>
      <c r="BA821" s="224">
        <f>'Perfil - interna'!BA821+'Perfil - externa'!BA819</f>
        <v>335748.87420138885</v>
      </c>
      <c r="BB821" s="224">
        <f>'Perfil - interna'!BB821+'Perfil - externa'!BB819</f>
        <v>209228.47372916664</v>
      </c>
      <c r="BC821" s="224">
        <f>'Perfil - interna'!BC821+'Perfil - externa'!BC819</f>
        <v>208656.81123263889</v>
      </c>
      <c r="BD821" s="224">
        <f>'Perfil - interna'!BD821+'Perfil - externa'!BD819</f>
        <v>208656.81123263889</v>
      </c>
      <c r="BE821" s="224">
        <f>'Perfil - interna'!BE821+'Perfil - externa'!BE819</f>
        <v>208656.81123263889</v>
      </c>
      <c r="BF821" s="224">
        <f>'Perfil - interna'!BF821+'Perfil - externa'!BF819</f>
        <v>209228.47372916664</v>
      </c>
      <c r="BG821" s="224">
        <f>'Perfil - interna'!BG821+'Perfil - externa'!BG819</f>
        <v>208656.81123263889</v>
      </c>
      <c r="BH821" s="224">
        <f>'Perfil - interna'!BH821+'Perfil - externa'!BH819</f>
        <v>208656.81123263889</v>
      </c>
      <c r="BI821" s="224">
        <f>'Perfil - interna'!BI821+'Perfil - externa'!BI819</f>
        <v>208656.81123263889</v>
      </c>
      <c r="BJ821" s="224">
        <f>'Perfil - interna'!BJ821+'Perfil - externa'!BJ819</f>
        <v>209228.47372916664</v>
      </c>
      <c r="BK821" s="224">
        <f>'Perfil - interna'!BK821+'Perfil - externa'!BK819</f>
        <v>105185.89936111111</v>
      </c>
    </row>
    <row r="822" spans="1:63">
      <c r="A822" s="279"/>
      <c r="B822" s="307" t="s">
        <v>29</v>
      </c>
      <c r="C822" s="321"/>
      <c r="D822" s="321"/>
      <c r="E822" s="321"/>
      <c r="F822" s="321"/>
      <c r="G822" s="321"/>
      <c r="H822" s="321"/>
      <c r="I822" s="321"/>
      <c r="J822" s="321"/>
      <c r="K822" s="321"/>
      <c r="L822" s="321"/>
      <c r="M822" s="321"/>
      <c r="N822" s="321"/>
      <c r="O822" s="321"/>
      <c r="P822" s="321"/>
      <c r="Q822" s="321"/>
      <c r="R822" s="321"/>
      <c r="S822" s="321"/>
      <c r="T822" s="321"/>
      <c r="U822" s="321"/>
      <c r="V822" s="321"/>
      <c r="W822" s="321"/>
      <c r="X822" s="321"/>
      <c r="Y822" s="321">
        <f t="shared" ref="Y822:BG822" si="86">+Y820+Y821</f>
        <v>29106177.712811973</v>
      </c>
      <c r="Z822" s="321">
        <f t="shared" si="86"/>
        <v>139519987.99547541</v>
      </c>
      <c r="AA822" s="321">
        <f t="shared" si="86"/>
        <v>100229172.4244093</v>
      </c>
      <c r="AB822" s="321">
        <f t="shared" si="86"/>
        <v>89306497.943736956</v>
      </c>
      <c r="AC822" s="321">
        <f t="shared" si="86"/>
        <v>99634889.630162448</v>
      </c>
      <c r="AD822" s="321">
        <f t="shared" si="86"/>
        <v>77217444.669534177</v>
      </c>
      <c r="AE822" s="321">
        <f t="shared" si="86"/>
        <v>67591451.314247221</v>
      </c>
      <c r="AF822" s="321">
        <f t="shared" si="86"/>
        <v>69880136.946496546</v>
      </c>
      <c r="AG822" s="321">
        <f t="shared" si="86"/>
        <v>81356030.318418324</v>
      </c>
      <c r="AH822" s="321">
        <f t="shared" si="86"/>
        <v>69790198.203084305</v>
      </c>
      <c r="AI822" s="321">
        <f t="shared" si="86"/>
        <v>73613811.374724627</v>
      </c>
      <c r="AJ822" s="321">
        <f t="shared" si="86"/>
        <v>62492291.637044817</v>
      </c>
      <c r="AK822" s="321">
        <f t="shared" si="86"/>
        <v>57003727.288550213</v>
      </c>
      <c r="AL822" s="321">
        <f t="shared" si="86"/>
        <v>35791404.820602506</v>
      </c>
      <c r="AM822" s="321">
        <f t="shared" si="86"/>
        <v>57501765.603419058</v>
      </c>
      <c r="AN822" s="321">
        <f t="shared" si="86"/>
        <v>13028114.473506665</v>
      </c>
      <c r="AO822" s="321">
        <f t="shared" si="86"/>
        <v>14143286.179499526</v>
      </c>
      <c r="AP822" s="321">
        <f t="shared" si="86"/>
        <v>14562621.12839371</v>
      </c>
      <c r="AQ822" s="321">
        <f t="shared" si="86"/>
        <v>20463751.968489885</v>
      </c>
      <c r="AR822" s="321">
        <f t="shared" si="86"/>
        <v>42147287.959671676</v>
      </c>
      <c r="AS822" s="321">
        <f t="shared" si="86"/>
        <v>6179576.271471261</v>
      </c>
      <c r="AT822" s="321">
        <f t="shared" si="86"/>
        <v>16145410.831153898</v>
      </c>
      <c r="AU822" s="321">
        <f t="shared" si="86"/>
        <v>23607524.762556918</v>
      </c>
      <c r="AV822" s="321">
        <f t="shared" si="86"/>
        <v>4812593.022866128</v>
      </c>
      <c r="AW822" s="321">
        <f t="shared" si="86"/>
        <v>4842576.2919273302</v>
      </c>
      <c r="AX822" s="321">
        <f t="shared" si="86"/>
        <v>4899615.7232968267</v>
      </c>
      <c r="AY822" s="321">
        <f t="shared" si="86"/>
        <v>39519117.57956028</v>
      </c>
      <c r="AZ822" s="321">
        <f t="shared" si="86"/>
        <v>27107775.512521479</v>
      </c>
      <c r="BA822" s="321">
        <f t="shared" si="86"/>
        <v>6463743.874201389</v>
      </c>
      <c r="BB822" s="321">
        <f t="shared" si="86"/>
        <v>209228.47372916664</v>
      </c>
      <c r="BC822" s="321">
        <f t="shared" si="86"/>
        <v>208656.81123263889</v>
      </c>
      <c r="BD822" s="321">
        <f t="shared" si="86"/>
        <v>208656.81123263889</v>
      </c>
      <c r="BE822" s="321">
        <f t="shared" si="86"/>
        <v>208656.81123263889</v>
      </c>
      <c r="BF822" s="321">
        <f t="shared" si="86"/>
        <v>209228.47372916664</v>
      </c>
      <c r="BG822" s="321">
        <f t="shared" si="86"/>
        <v>208656.81123263889</v>
      </c>
      <c r="BH822" s="321">
        <f>+BH820+BH821</f>
        <v>208656.81123263889</v>
      </c>
      <c r="BI822" s="321">
        <f>+BI820+BI821</f>
        <v>208656.81123263889</v>
      </c>
      <c r="BJ822" s="321">
        <f>+BJ820+BJ821</f>
        <v>209228.47372916664</v>
      </c>
      <c r="BK822" s="321">
        <f>+BK820+BK821</f>
        <v>5416114.8993611112</v>
      </c>
    </row>
    <row r="823" spans="1:63">
      <c r="A823" s="278"/>
      <c r="B823" s="210" t="s">
        <v>28</v>
      </c>
      <c r="C823" s="224"/>
      <c r="D823" s="224"/>
      <c r="E823" s="224"/>
      <c r="F823" s="224"/>
      <c r="G823" s="224"/>
      <c r="H823" s="224"/>
      <c r="I823" s="224"/>
      <c r="J823" s="224"/>
      <c r="K823" s="224"/>
      <c r="L823" s="224"/>
      <c r="M823" s="224"/>
      <c r="N823" s="224"/>
      <c r="O823" s="224"/>
      <c r="P823" s="224"/>
      <c r="Q823" s="224"/>
      <c r="R823" s="224"/>
      <c r="S823" s="224"/>
      <c r="T823" s="224"/>
      <c r="U823" s="224"/>
      <c r="V823" s="224"/>
      <c r="W823" s="224"/>
      <c r="X823" s="224"/>
      <c r="Y823" s="224">
        <f>'Perfil - interna'!Y823+'Perfil - externa'!Y821</f>
        <v>8981804.1311075687</v>
      </c>
      <c r="Z823" s="224">
        <f>'Perfil - interna'!Z823+'Perfil - externa'!Z821</f>
        <v>91692335.246239141</v>
      </c>
      <c r="AA823" s="224">
        <f>'Perfil - interna'!AA823+'Perfil - externa'!AA821</f>
        <v>57619403.101144783</v>
      </c>
      <c r="AB823" s="224">
        <f>'Perfil - interna'!AB823+'Perfil - externa'!AB821</f>
        <v>49383073.682101093</v>
      </c>
      <c r="AC823" s="224">
        <f>'Perfil - interna'!AC823+'Perfil - externa'!AC821</f>
        <v>63116204.496958807</v>
      </c>
      <c r="AD823" s="224">
        <f>'Perfil - interna'!AD823+'Perfil - externa'!AD821</f>
        <v>44588808.672528476</v>
      </c>
      <c r="AE823" s="224">
        <f>'Perfil - interna'!AE823+'Perfil - externa'!AE821</f>
        <v>36260666.398302421</v>
      </c>
      <c r="AF823" s="224">
        <f>'Perfil - interna'!AF823+'Perfil - externa'!AF821</f>
        <v>39244110.77669549</v>
      </c>
      <c r="AG823" s="224">
        <f>'Perfil - interna'!AG823+'Perfil - externa'!AG821</f>
        <v>52857613.804971114</v>
      </c>
      <c r="AH823" s="224">
        <f>'Perfil - interna'!AH823+'Perfil - externa'!AH821</f>
        <v>44094079.160858594</v>
      </c>
      <c r="AI823" s="224">
        <f>'Perfil - interna'!AI823+'Perfil - externa'!AI821</f>
        <v>52686893.34122254</v>
      </c>
      <c r="AJ823" s="224">
        <f>'Perfil - interna'!AJ823+'Perfil - externa'!AJ821</f>
        <v>43566838.701987922</v>
      </c>
      <c r="AK823" s="224">
        <f>'Perfil - interna'!AK823+'Perfil - externa'!AK821</f>
        <v>41848665.043171108</v>
      </c>
      <c r="AL823" s="224">
        <f>'Perfil - interna'!AL823+'Perfil - externa'!AL821</f>
        <v>25040135.845251732</v>
      </c>
      <c r="AM823" s="224">
        <f>'Perfil - interna'!AM823+'Perfil - externa'!AM821</f>
        <v>44957779.492219992</v>
      </c>
      <c r="AN823" s="224">
        <f>'Perfil - interna'!AN823+'Perfil - externa'!AN821</f>
        <v>8865508.5773215778</v>
      </c>
      <c r="AO823" s="224">
        <f>'Perfil - interna'!AO823+'Perfil - externa'!AO821</f>
        <v>4541794.8079890534</v>
      </c>
      <c r="AP823" s="224">
        <f>'Perfil - interna'!AP823+'Perfil - externa'!AP821</f>
        <v>5130829.4841512982</v>
      </c>
      <c r="AQ823" s="224">
        <f>'Perfil - interna'!AQ823+'Perfil - externa'!AQ821</f>
        <v>11398689.469240848</v>
      </c>
      <c r="AR823" s="224">
        <f>'Perfil - interna'!AR823+'Perfil - externa'!AR821</f>
        <v>34958209.079756558</v>
      </c>
      <c r="AS823" s="224">
        <f>'Perfil - interna'!AS823+'Perfil - externa'!AS821</f>
        <v>233240.5204910372</v>
      </c>
      <c r="AT823" s="224">
        <f>'Perfil - interna'!AT823+'Perfil - externa'!AT821</f>
        <v>10265427.813300237</v>
      </c>
      <c r="AU823" s="224">
        <f>'Perfil - interna'!AU823+'Perfil - externa'!AU821</f>
        <v>18365624.854776889</v>
      </c>
      <c r="AV823" s="224">
        <f>'Perfil - interna'!AV823+'Perfil - externa'!AV821</f>
        <v>122107.66739813131</v>
      </c>
      <c r="AW823" s="224">
        <f>'Perfil - interna'!AW823+'Perfil - externa'!AW821</f>
        <v>100195.45118191511</v>
      </c>
      <c r="AX823" s="224">
        <f>'Perfil - interna'!AX823+'Perfil - externa'!AX821</f>
        <v>100195.45118191511</v>
      </c>
      <c r="AY823" s="224">
        <f>'Perfil - interna'!AY823+'Perfil - externa'!AY821</f>
        <v>35315317.465698242</v>
      </c>
      <c r="AZ823" s="224">
        <f>'Perfil - interna'!AZ823+'Perfil - externa'!AZ821</f>
        <v>25382102.446357276</v>
      </c>
      <c r="BA823" s="224">
        <f>'Perfil - interna'!BA823+'Perfil - externa'!BA821</f>
        <v>6080640</v>
      </c>
      <c r="BB823" s="224">
        <f>'Perfil - interna'!BB823+'Perfil - externa'!BB821</f>
        <v>0</v>
      </c>
      <c r="BC823" s="224">
        <f>'Perfil - interna'!BC823+'Perfil - externa'!BC821</f>
        <v>0</v>
      </c>
      <c r="BD823" s="224">
        <f>'Perfil - interna'!BD823+'Perfil - externa'!BD821</f>
        <v>0</v>
      </c>
      <c r="BE823" s="224">
        <f>'Perfil - interna'!BE823+'Perfil - externa'!BE821</f>
        <v>0</v>
      </c>
      <c r="BF823" s="224">
        <f>'Perfil - interna'!BF823+'Perfil - externa'!BF821</f>
        <v>0</v>
      </c>
      <c r="BG823" s="224">
        <f>'Perfil - interna'!BG823+'Perfil - externa'!BG821</f>
        <v>0</v>
      </c>
      <c r="BH823" s="224">
        <f>'Perfil - interna'!BH823+'Perfil - externa'!BH821</f>
        <v>0</v>
      </c>
      <c r="BI823" s="224">
        <f>'Perfil - interna'!BI823+'Perfil - externa'!BI821</f>
        <v>0</v>
      </c>
      <c r="BJ823" s="224">
        <f>'Perfil - interna'!BJ823+'Perfil - externa'!BJ821</f>
        <v>0</v>
      </c>
      <c r="BK823" s="224">
        <f>'Perfil - interna'!BK823+'Perfil - externa'!BK821</f>
        <v>5269888</v>
      </c>
    </row>
    <row r="824" spans="1:63">
      <c r="A824" s="168">
        <v>45199</v>
      </c>
      <c r="B824" s="213" t="s">
        <v>385</v>
      </c>
      <c r="C824" s="224"/>
      <c r="D824" s="224"/>
      <c r="E824" s="224"/>
      <c r="F824" s="224"/>
      <c r="G824" s="224"/>
      <c r="H824" s="224"/>
      <c r="I824" s="224"/>
      <c r="J824" s="224"/>
      <c r="K824" s="224"/>
      <c r="L824" s="224"/>
      <c r="M824" s="224"/>
      <c r="N824" s="224"/>
      <c r="O824" s="224"/>
      <c r="P824" s="224"/>
      <c r="Q824" s="224"/>
      <c r="R824" s="224"/>
      <c r="S824" s="224"/>
      <c r="T824" s="224"/>
      <c r="U824" s="224"/>
      <c r="V824" s="224"/>
      <c r="W824" s="224"/>
      <c r="X824" s="224"/>
      <c r="Y824" s="224">
        <f>'Perfil - interna'!Y824+'Perfil - externa'!Y822</f>
        <v>9488303.9325579442</v>
      </c>
      <c r="Z824" s="224">
        <f>'Perfil - interna'!Z824+'Perfil - externa'!Z822</f>
        <v>45609117.826794967</v>
      </c>
      <c r="AA824" s="224">
        <f>'Perfil - interna'!AA824+'Perfil - externa'!AA822</f>
        <v>41968784.591546848</v>
      </c>
      <c r="AB824" s="224">
        <f>'Perfil - interna'!AB824+'Perfil - externa'!AB822</f>
        <v>39101964.749241337</v>
      </c>
      <c r="AC824" s="224">
        <f>'Perfil - interna'!AC824+'Perfil - externa'!AC822</f>
        <v>36274464.542670265</v>
      </c>
      <c r="AD824" s="224">
        <f>'Perfil - interna'!AD824+'Perfil - externa'!AD822</f>
        <v>33658941.215673365</v>
      </c>
      <c r="AE824" s="224">
        <f>'Perfil - interna'!AE824+'Perfil - externa'!AE822</f>
        <v>31255514.336288504</v>
      </c>
      <c r="AF824" s="224">
        <f>'Perfil - interna'!AF824+'Perfil - externa'!AF822</f>
        <v>30254778.606024273</v>
      </c>
      <c r="AG824" s="224">
        <f>'Perfil - interna'!AG824+'Perfil - externa'!AG822</f>
        <v>28077502.737505242</v>
      </c>
      <c r="AH824" s="224">
        <f>'Perfil - interna'!AH824+'Perfil - externa'!AH822</f>
        <v>25309150.951968439</v>
      </c>
      <c r="AI824" s="224">
        <f>'Perfil - interna'!AI824+'Perfil - externa'!AI822</f>
        <v>22735719.097264811</v>
      </c>
      <c r="AJ824" s="224">
        <f>'Perfil - interna'!AJ824+'Perfil - externa'!AJ822</f>
        <v>18564717.213096052</v>
      </c>
      <c r="AK824" s="224">
        <f>'Perfil - interna'!AK824+'Perfil - externa'!AK822</f>
        <v>16089437.698982522</v>
      </c>
      <c r="AL824" s="224">
        <f>'Perfil - interna'!AL824+'Perfil - externa'!AL822</f>
        <v>13624644.358500421</v>
      </c>
      <c r="AM824" s="224">
        <f>'Perfil - interna'!AM824+'Perfil - externa'!AM822</f>
        <v>12692339.621974019</v>
      </c>
      <c r="AN824" s="224">
        <f>'Perfil - interna'!AN824+'Perfil - externa'!AN822</f>
        <v>10049630.496949088</v>
      </c>
      <c r="AO824" s="224">
        <f>'Perfil - interna'!AO824+'Perfil - externa'!AO822</f>
        <v>9939734.4585284069</v>
      </c>
      <c r="AP824" s="224">
        <f>'Perfil - interna'!AP824+'Perfil - externa'!AP822</f>
        <v>9757391.2686059587</v>
      </c>
      <c r="AQ824" s="224">
        <f>'Perfil - interna'!AQ824+'Perfil - externa'!AQ822</f>
        <v>9337368.690267656</v>
      </c>
      <c r="AR824" s="224">
        <f>'Perfil - interna'!AR824+'Perfil - externa'!AR822</f>
        <v>8927833.2272311337</v>
      </c>
      <c r="AS824" s="224">
        <f>'Perfil - interna'!AS824+'Perfil - externa'!AS822</f>
        <v>6062654.552976355</v>
      </c>
      <c r="AT824" s="224">
        <f>'Perfil - interna'!AT824+'Perfil - externa'!AT822</f>
        <v>5824063.2893319279</v>
      </c>
      <c r="AU824" s="224">
        <f>'Perfil - interna'!AU824+'Perfil - externa'!AU822</f>
        <v>5128851.7467629397</v>
      </c>
      <c r="AV824" s="224">
        <f>'Perfil - interna'!AV824+'Perfil - externa'!AV822</f>
        <v>4723285.0398634356</v>
      </c>
      <c r="AW824" s="224">
        <f>'Perfil - interna'!AW824+'Perfil - externa'!AW822</f>
        <v>4775573.2390789893</v>
      </c>
      <c r="AX824" s="224">
        <f>'Perfil - interna'!AX824+'Perfil - externa'!AX822</f>
        <v>4832813.9196483092</v>
      </c>
      <c r="AY824" s="224">
        <f>'Perfil - interna'!AY824+'Perfil - externa'!AY822</f>
        <v>4584258.875800482</v>
      </c>
      <c r="AZ824" s="224">
        <f>'Perfil - interna'!AZ824+'Perfil - externa'!AZ822</f>
        <v>2297702.3014251175</v>
      </c>
      <c r="BA824" s="224">
        <f>'Perfil - interna'!BA824+'Perfil - externa'!BA822</f>
        <v>333154.32444444444</v>
      </c>
      <c r="BB824" s="224">
        <f>'Perfil - interna'!BB824+'Perfil - externa'!BB822</f>
        <v>207611.62933333335</v>
      </c>
      <c r="BC824" s="224">
        <f>'Perfil - interna'!BC824+'Perfil - externa'!BC822</f>
        <v>207044.38444444447</v>
      </c>
      <c r="BD824" s="224">
        <f>'Perfil - interna'!BD824+'Perfil - externa'!BD822</f>
        <v>207044.38444444447</v>
      </c>
      <c r="BE824" s="224">
        <f>'Perfil - interna'!BE824+'Perfil - externa'!BE822</f>
        <v>207044.38444444447</v>
      </c>
      <c r="BF824" s="224">
        <f>'Perfil - interna'!BF824+'Perfil - externa'!BF822</f>
        <v>207611.62933333335</v>
      </c>
      <c r="BG824" s="224">
        <f>'Perfil - interna'!BG824+'Perfil - externa'!BG822</f>
        <v>207044.38444444447</v>
      </c>
      <c r="BH824" s="224">
        <f>'Perfil - interna'!BH824+'Perfil - externa'!BH822</f>
        <v>207044.38444444447</v>
      </c>
      <c r="BI824" s="224">
        <f>'Perfil - interna'!BI824+'Perfil - externa'!BI822</f>
        <v>207044.38444444447</v>
      </c>
      <c r="BJ824" s="224">
        <f>'Perfil - interna'!BJ824+'Perfil - externa'!BJ822</f>
        <v>207611.62933333335</v>
      </c>
      <c r="BK824" s="224">
        <f>'Perfil - interna'!BK824+'Perfil - externa'!BK822</f>
        <v>104373.05955555555</v>
      </c>
    </row>
    <row r="825" spans="1:63">
      <c r="A825" s="279"/>
      <c r="B825" s="307" t="s">
        <v>29</v>
      </c>
      <c r="C825" s="321"/>
      <c r="D825" s="321"/>
      <c r="E825" s="321"/>
      <c r="F825" s="321"/>
      <c r="G825" s="321"/>
      <c r="H825" s="321"/>
      <c r="I825" s="321"/>
      <c r="J825" s="321"/>
      <c r="K825" s="321"/>
      <c r="L825" s="321"/>
      <c r="M825" s="321"/>
      <c r="N825" s="321"/>
      <c r="O825" s="321"/>
      <c r="P825" s="321"/>
      <c r="Q825" s="321"/>
      <c r="R825" s="321"/>
      <c r="S825" s="321"/>
      <c r="T825" s="321"/>
      <c r="U825" s="321"/>
      <c r="V825" s="321"/>
      <c r="W825" s="321"/>
      <c r="X825" s="321"/>
      <c r="Y825" s="321">
        <f t="shared" ref="Y825:BG825" si="87">+Y823+Y824</f>
        <v>18470108.063665513</v>
      </c>
      <c r="Z825" s="321">
        <f t="shared" si="87"/>
        <v>137301453.07303411</v>
      </c>
      <c r="AA825" s="321">
        <f t="shared" si="87"/>
        <v>99588187.692691624</v>
      </c>
      <c r="AB825" s="321">
        <f t="shared" si="87"/>
        <v>88485038.431342423</v>
      </c>
      <c r="AC825" s="321">
        <f t="shared" si="87"/>
        <v>99390669.039629072</v>
      </c>
      <c r="AD825" s="321">
        <f t="shared" si="87"/>
        <v>78247749.888201833</v>
      </c>
      <c r="AE825" s="321">
        <f t="shared" si="87"/>
        <v>67516180.734590918</v>
      </c>
      <c r="AF825" s="321">
        <f t="shared" si="87"/>
        <v>69498889.382719755</v>
      </c>
      <c r="AG825" s="321">
        <f t="shared" si="87"/>
        <v>80935116.542476356</v>
      </c>
      <c r="AH825" s="321">
        <f t="shared" si="87"/>
        <v>69403230.112827033</v>
      </c>
      <c r="AI825" s="321">
        <f t="shared" si="87"/>
        <v>75422612.438487351</v>
      </c>
      <c r="AJ825" s="321">
        <f t="shared" si="87"/>
        <v>62131555.915083975</v>
      </c>
      <c r="AK825" s="321">
        <f t="shared" si="87"/>
        <v>57938102.74215363</v>
      </c>
      <c r="AL825" s="321">
        <f t="shared" si="87"/>
        <v>38664780.203752153</v>
      </c>
      <c r="AM825" s="321">
        <f t="shared" si="87"/>
        <v>57650119.114194013</v>
      </c>
      <c r="AN825" s="321">
        <f t="shared" si="87"/>
        <v>18915139.074270666</v>
      </c>
      <c r="AO825" s="321">
        <f t="shared" si="87"/>
        <v>14481529.26651746</v>
      </c>
      <c r="AP825" s="321">
        <f t="shared" si="87"/>
        <v>14888220.752757257</v>
      </c>
      <c r="AQ825" s="321">
        <f t="shared" si="87"/>
        <v>20736058.159508504</v>
      </c>
      <c r="AR825" s="321">
        <f t="shared" si="87"/>
        <v>43886042.306987688</v>
      </c>
      <c r="AS825" s="321">
        <f t="shared" si="87"/>
        <v>6295895.0734673925</v>
      </c>
      <c r="AT825" s="321">
        <f t="shared" si="87"/>
        <v>16089491.102632165</v>
      </c>
      <c r="AU825" s="321">
        <f t="shared" si="87"/>
        <v>23494476.601539828</v>
      </c>
      <c r="AV825" s="321">
        <f t="shared" si="87"/>
        <v>4845392.707261567</v>
      </c>
      <c r="AW825" s="321">
        <f t="shared" si="87"/>
        <v>4875768.6902609039</v>
      </c>
      <c r="AX825" s="321">
        <f t="shared" si="87"/>
        <v>4933009.3708302239</v>
      </c>
      <c r="AY825" s="321">
        <f t="shared" si="87"/>
        <v>39899576.341498725</v>
      </c>
      <c r="AZ825" s="321">
        <f t="shared" si="87"/>
        <v>27679804.747782394</v>
      </c>
      <c r="BA825" s="321">
        <f t="shared" si="87"/>
        <v>6413794.3244444449</v>
      </c>
      <c r="BB825" s="321">
        <f t="shared" si="87"/>
        <v>207611.62933333335</v>
      </c>
      <c r="BC825" s="321">
        <f t="shared" si="87"/>
        <v>207044.38444444447</v>
      </c>
      <c r="BD825" s="321">
        <f t="shared" si="87"/>
        <v>207044.38444444447</v>
      </c>
      <c r="BE825" s="321">
        <f t="shared" si="87"/>
        <v>207044.38444444447</v>
      </c>
      <c r="BF825" s="321">
        <f t="shared" si="87"/>
        <v>207611.62933333335</v>
      </c>
      <c r="BG825" s="321">
        <f t="shared" si="87"/>
        <v>207044.38444444447</v>
      </c>
      <c r="BH825" s="321">
        <f>+BH823+BH824</f>
        <v>207044.38444444447</v>
      </c>
      <c r="BI825" s="321">
        <f>+BI823+BI824</f>
        <v>207044.38444444447</v>
      </c>
      <c r="BJ825" s="321">
        <f>+BJ823+BJ824</f>
        <v>207611.62933333335</v>
      </c>
      <c r="BK825" s="321">
        <f>+BK823+BK824</f>
        <v>5374261.0595555557</v>
      </c>
    </row>
    <row r="826" spans="1:63">
      <c r="A826" s="278"/>
      <c r="B826" s="210" t="s">
        <v>28</v>
      </c>
      <c r="C826" s="224"/>
      <c r="D826" s="224"/>
      <c r="E826" s="224"/>
      <c r="F826" s="224"/>
      <c r="G826" s="224"/>
      <c r="H826" s="224"/>
      <c r="I826" s="224"/>
      <c r="J826" s="224"/>
      <c r="K826" s="224"/>
      <c r="L826" s="224"/>
      <c r="M826" s="224"/>
      <c r="N826" s="224"/>
      <c r="O826" s="224"/>
      <c r="P826" s="224"/>
      <c r="Q826" s="224"/>
      <c r="R826" s="224"/>
      <c r="S826" s="224"/>
      <c r="T826" s="224"/>
      <c r="U826" s="224"/>
      <c r="V826" s="224"/>
      <c r="W826" s="224"/>
      <c r="X826" s="224"/>
      <c r="Y826" s="224">
        <f>'Perfil - interna'!Y826+'Perfil - externa'!Y824</f>
        <v>8051698.3956240155</v>
      </c>
      <c r="Z826" s="224">
        <f>'Perfil - interna'!Z826+'Perfil - externa'!Z824</f>
        <v>98248898.326689065</v>
      </c>
      <c r="AA826" s="224">
        <f>'Perfil - interna'!AA826+'Perfil - externa'!AA824</f>
        <v>57613355.617767252</v>
      </c>
      <c r="AB826" s="224">
        <f>'Perfil - interna'!AB826+'Perfil - externa'!AB824</f>
        <v>49416861.030455753</v>
      </c>
      <c r="AC826" s="224">
        <f>'Perfil - interna'!AC826+'Perfil - externa'!AC824</f>
        <v>63291882.841008186</v>
      </c>
      <c r="AD826" s="224">
        <f>'Perfil - interna'!AD826+'Perfil - externa'!AD824</f>
        <v>44779914.654762954</v>
      </c>
      <c r="AE826" s="224">
        <f>'Perfil - interna'!AE826+'Perfil - externa'!AE824</f>
        <v>36580899.609402299</v>
      </c>
      <c r="AF826" s="224">
        <f>'Perfil - interna'!AF826+'Perfil - externa'!AF824</f>
        <v>39274068.161262035</v>
      </c>
      <c r="AG826" s="224">
        <f>'Perfil - interna'!AG826+'Perfil - externa'!AG824</f>
        <v>52897945.914630488</v>
      </c>
      <c r="AH826" s="224">
        <f>'Perfil - interna'!AH826+'Perfil - externa'!AH824</f>
        <v>44118672.59813153</v>
      </c>
      <c r="AI826" s="224">
        <f>'Perfil - interna'!AI826+'Perfil - externa'!AI824</f>
        <v>53638668.062950179</v>
      </c>
      <c r="AJ826" s="224">
        <f>'Perfil - interna'!AJ826+'Perfil - externa'!AJ824</f>
        <v>43829034.687453747</v>
      </c>
      <c r="AK826" s="224">
        <f>'Perfil - interna'!AK826+'Perfil - externa'!AK824</f>
        <v>42119063.818204835</v>
      </c>
      <c r="AL826" s="224">
        <f>'Perfil - interna'!AL826+'Perfil - externa'!AL824</f>
        <v>25077422.639870323</v>
      </c>
      <c r="AM826" s="224">
        <f>'Perfil - interna'!AM826+'Perfil - externa'!AM824</f>
        <v>45441106.929543771</v>
      </c>
      <c r="AN826" s="224">
        <f>'Perfil - interna'!AN826+'Perfil - externa'!AN824</f>
        <v>8882871.1657639332</v>
      </c>
      <c r="AO826" s="224">
        <f>'Perfil - interna'!AO826+'Perfil - externa'!AO824</f>
        <v>4551616.5809047949</v>
      </c>
      <c r="AP826" s="224">
        <f>'Perfil - interna'!AP826+'Perfil - externa'!AP824</f>
        <v>5140206.6813554168</v>
      </c>
      <c r="AQ826" s="224">
        <f>'Perfil - interna'!AQ826+'Perfil - externa'!AQ824</f>
        <v>11418922.090356801</v>
      </c>
      <c r="AR826" s="224">
        <f>'Perfil - interna'!AR826+'Perfil - externa'!AR824</f>
        <v>35760765.991607867</v>
      </c>
      <c r="AS826" s="224">
        <f>'Perfil - interna'!AS826+'Perfil - externa'!AS824</f>
        <v>233999.9305463628</v>
      </c>
      <c r="AT826" s="224">
        <f>'Perfil - interna'!AT826+'Perfil - externa'!AT824</f>
        <v>10283683.958277876</v>
      </c>
      <c r="AU826" s="224">
        <f>'Perfil - interna'!AU826+'Perfil - externa'!AU824</f>
        <v>18398008.228076689</v>
      </c>
      <c r="AV826" s="224">
        <f>'Perfil - interna'!AV826+'Perfil - externa'!AV824</f>
        <v>122673.25510757454</v>
      </c>
      <c r="AW826" s="224">
        <f>'Perfil - interna'!AW826+'Perfil - externa'!AW824</f>
        <v>100722.82267514213</v>
      </c>
      <c r="AX826" s="224">
        <f>'Perfil - interna'!AX826+'Perfil - externa'!AX824</f>
        <v>100722.82267514213</v>
      </c>
      <c r="AY826" s="224">
        <f>'Perfil - interna'!AY826+'Perfil - externa'!AY824</f>
        <v>35735903.550345451</v>
      </c>
      <c r="AZ826" s="224">
        <f>'Perfil - interna'!AZ826+'Perfil - externa'!AZ824</f>
        <v>25815710.780602705</v>
      </c>
      <c r="BA826" s="224">
        <f>'Perfil - interna'!BA826+'Perfil - externa'!BA824</f>
        <v>6091245</v>
      </c>
      <c r="BB826" s="224">
        <f>'Perfil - interna'!BB826+'Perfil - externa'!BB824</f>
        <v>0</v>
      </c>
      <c r="BC826" s="224">
        <f>'Perfil - interna'!BC826+'Perfil - externa'!BC824</f>
        <v>0</v>
      </c>
      <c r="BD826" s="224">
        <f>'Perfil - interna'!BD826+'Perfil - externa'!BD824</f>
        <v>0</v>
      </c>
      <c r="BE826" s="224">
        <f>'Perfil - interna'!BE826+'Perfil - externa'!BE824</f>
        <v>0</v>
      </c>
      <c r="BF826" s="224">
        <f>'Perfil - interna'!BF826+'Perfil - externa'!BF824</f>
        <v>0</v>
      </c>
      <c r="BG826" s="224">
        <f>'Perfil - interna'!BG826+'Perfil - externa'!BG824</f>
        <v>0</v>
      </c>
      <c r="BH826" s="224">
        <f>'Perfil - interna'!BH826+'Perfil - externa'!BH824</f>
        <v>0</v>
      </c>
      <c r="BI826" s="224">
        <f>'Perfil - interna'!BI826+'Perfil - externa'!BI824</f>
        <v>0</v>
      </c>
      <c r="BJ826" s="224">
        <f>'Perfil - interna'!BJ826+'Perfil - externa'!BJ824</f>
        <v>0</v>
      </c>
      <c r="BK826" s="224">
        <f>'Perfil - interna'!BK826+'Perfil - externa'!BK824</f>
        <v>5279079</v>
      </c>
    </row>
    <row r="827" spans="1:63">
      <c r="A827" s="168">
        <v>45230</v>
      </c>
      <c r="B827" s="213" t="s">
        <v>385</v>
      </c>
      <c r="C827" s="224"/>
      <c r="D827" s="224"/>
      <c r="E827" s="224"/>
      <c r="F827" s="224"/>
      <c r="G827" s="224"/>
      <c r="H827" s="224"/>
      <c r="I827" s="224"/>
      <c r="J827" s="224"/>
      <c r="K827" s="224"/>
      <c r="L827" s="224"/>
      <c r="M827" s="224"/>
      <c r="N827" s="224"/>
      <c r="O827" s="224"/>
      <c r="P827" s="224"/>
      <c r="Q827" s="224"/>
      <c r="R827" s="224"/>
      <c r="S827" s="224"/>
      <c r="T827" s="224"/>
      <c r="U827" s="224"/>
      <c r="V827" s="224"/>
      <c r="W827" s="224"/>
      <c r="X827" s="224"/>
      <c r="Y827" s="224">
        <f>'Perfil - interna'!Y827+'Perfil - externa'!Y825</f>
        <v>8067638.8305444587</v>
      </c>
      <c r="Z827" s="224">
        <f>'Perfil - interna'!Z827+'Perfil - externa'!Z825</f>
        <v>45718817.063391887</v>
      </c>
      <c r="AA827" s="224">
        <f>'Perfil - interna'!AA827+'Perfil - externa'!AA825</f>
        <v>42356434.344499469</v>
      </c>
      <c r="AB827" s="224">
        <f>'Perfil - interna'!AB827+'Perfil - externa'!AB825</f>
        <v>39486171.73022113</v>
      </c>
      <c r="AC827" s="224">
        <f>'Perfil - interna'!AC827+'Perfil - externa'!AC825</f>
        <v>36630407.515357271</v>
      </c>
      <c r="AD827" s="224">
        <f>'Perfil - interna'!AD827+'Perfil - externa'!AD825</f>
        <v>34015090.22219307</v>
      </c>
      <c r="AE827" s="224">
        <f>'Perfil - interna'!AE827+'Perfil - externa'!AE825</f>
        <v>31601521.760430887</v>
      </c>
      <c r="AF827" s="224">
        <f>'Perfil - interna'!AF827+'Perfil - externa'!AF825</f>
        <v>30591824.030386336</v>
      </c>
      <c r="AG827" s="224">
        <f>'Perfil - interna'!AG827+'Perfil - externa'!AG825</f>
        <v>28402368.009842105</v>
      </c>
      <c r="AH827" s="224">
        <f>'Perfil - interna'!AH827+'Perfil - externa'!AH825</f>
        <v>25628239.51302864</v>
      </c>
      <c r="AI827" s="224">
        <f>'Perfil - interna'!AI827+'Perfil - externa'!AI825</f>
        <v>23048506.22323098</v>
      </c>
      <c r="AJ827" s="224">
        <f>'Perfil - interna'!AJ827+'Perfil - externa'!AJ825</f>
        <v>18760826.086623125</v>
      </c>
      <c r="AK827" s="224">
        <f>'Perfil - interna'!AK827+'Perfil - externa'!AK825</f>
        <v>16263129.928378144</v>
      </c>
      <c r="AL827" s="224">
        <f>'Perfil - interna'!AL827+'Perfil - externa'!AL825</f>
        <v>13791831.954326311</v>
      </c>
      <c r="AM827" s="224">
        <f>'Perfil - interna'!AM827+'Perfil - externa'!AM825</f>
        <v>12854984.408609139</v>
      </c>
      <c r="AN827" s="224">
        <f>'Perfil - interna'!AN827+'Perfil - externa'!AN825</f>
        <v>10192425.047427848</v>
      </c>
      <c r="AO827" s="224">
        <f>'Perfil - interna'!AO827+'Perfil - externa'!AO825</f>
        <v>10078057.869518565</v>
      </c>
      <c r="AP827" s="224">
        <f>'Perfil - interna'!AP827+'Perfil - externa'!AP825</f>
        <v>9891612.8523930386</v>
      </c>
      <c r="AQ827" s="224">
        <f>'Perfil - interna'!AQ827+'Perfil - externa'!AQ825</f>
        <v>9467196.569304144</v>
      </c>
      <c r="AR827" s="224">
        <f>'Perfil - interna'!AR827+'Perfil - externa'!AR825</f>
        <v>9054312.3802720886</v>
      </c>
      <c r="AS827" s="224">
        <f>'Perfil - interna'!AS827+'Perfil - externa'!AS825</f>
        <v>6115979.8931588037</v>
      </c>
      <c r="AT827" s="224">
        <f>'Perfil - interna'!AT827+'Perfil - externa'!AT825</f>
        <v>5877392.7652334031</v>
      </c>
      <c r="AU827" s="224">
        <f>'Perfil - interna'!AU827+'Perfil - externa'!AU825</f>
        <v>5181401.6859224867</v>
      </c>
      <c r="AV827" s="224">
        <f>'Perfil - interna'!AV827+'Perfil - externa'!AV825</f>
        <v>4775574.1424981728</v>
      </c>
      <c r="AW827" s="224">
        <f>'Perfil - interna'!AW827+'Perfil - externa'!AW825</f>
        <v>4828413.8262554593</v>
      </c>
      <c r="AX827" s="224">
        <f>'Perfil - interna'!AX827+'Perfil - externa'!AX825</f>
        <v>4886228.8771842225</v>
      </c>
      <c r="AY827" s="224">
        <f>'Perfil - interna'!AY827+'Perfil - externa'!AY825</f>
        <v>4637729.4302623067</v>
      </c>
      <c r="AZ827" s="224">
        <f>'Perfil - interna'!AZ827+'Perfil - externa'!AZ825</f>
        <v>2329928.3541775858</v>
      </c>
      <c r="BA827" s="224">
        <f>'Perfil - interna'!BA827+'Perfil - externa'!BA825</f>
        <v>333735.36552083329</v>
      </c>
      <c r="BB827" s="224">
        <f>'Perfil - interna'!BB827+'Perfil - externa'!BB825</f>
        <v>207973.71643749997</v>
      </c>
      <c r="BC827" s="224">
        <f>'Perfil - interna'!BC827+'Perfil - externa'!BC825</f>
        <v>207405.48223958333</v>
      </c>
      <c r="BD827" s="224">
        <f>'Perfil - interna'!BD827+'Perfil - externa'!BD825</f>
        <v>207405.48223958333</v>
      </c>
      <c r="BE827" s="224">
        <f>'Perfil - interna'!BE827+'Perfil - externa'!BE825</f>
        <v>207405.48223958333</v>
      </c>
      <c r="BF827" s="224">
        <f>'Perfil - interna'!BF827+'Perfil - externa'!BF825</f>
        <v>207973.71643749997</v>
      </c>
      <c r="BG827" s="224">
        <f>'Perfil - interna'!BG827+'Perfil - externa'!BG825</f>
        <v>207405.48223958333</v>
      </c>
      <c r="BH827" s="224">
        <f>'Perfil - interna'!BH827+'Perfil - externa'!BH825</f>
        <v>207405.48223958333</v>
      </c>
      <c r="BI827" s="224">
        <f>'Perfil - interna'!BI827+'Perfil - externa'!BI825</f>
        <v>207405.48223958333</v>
      </c>
      <c r="BJ827" s="224">
        <f>'Perfil - interna'!BJ827+'Perfil - externa'!BJ825</f>
        <v>207973.71643749997</v>
      </c>
      <c r="BK827" s="224">
        <f>'Perfil - interna'!BK827+'Perfil - externa'!BK825</f>
        <v>104555.09241666665</v>
      </c>
    </row>
    <row r="828" spans="1:63">
      <c r="A828" s="279"/>
      <c r="B828" s="307" t="s">
        <v>29</v>
      </c>
      <c r="C828" s="321"/>
      <c r="D828" s="321"/>
      <c r="E828" s="321"/>
      <c r="F828" s="321"/>
      <c r="G828" s="321"/>
      <c r="H828" s="321"/>
      <c r="I828" s="321"/>
      <c r="J828" s="321"/>
      <c r="K828" s="321"/>
      <c r="L828" s="321"/>
      <c r="M828" s="321"/>
      <c r="N828" s="321"/>
      <c r="O828" s="321"/>
      <c r="P828" s="321"/>
      <c r="Q828" s="321"/>
      <c r="R828" s="321"/>
      <c r="S828" s="321"/>
      <c r="T828" s="321"/>
      <c r="U828" s="321"/>
      <c r="V828" s="321"/>
      <c r="W828" s="321"/>
      <c r="X828" s="321"/>
      <c r="Y828" s="321">
        <f t="shared" ref="Y828:BG828" si="88">+Y826+Y827</f>
        <v>16119337.226168474</v>
      </c>
      <c r="Z828" s="321">
        <f t="shared" si="88"/>
        <v>143967715.39008096</v>
      </c>
      <c r="AA828" s="321">
        <f t="shared" si="88"/>
        <v>99969789.962266713</v>
      </c>
      <c r="AB828" s="321">
        <f t="shared" si="88"/>
        <v>88903032.760676891</v>
      </c>
      <c r="AC828" s="321">
        <f t="shared" si="88"/>
        <v>99922290.356365457</v>
      </c>
      <c r="AD828" s="321">
        <f t="shared" si="88"/>
        <v>78795004.876956016</v>
      </c>
      <c r="AE828" s="321">
        <f t="shared" si="88"/>
        <v>68182421.369833186</v>
      </c>
      <c r="AF828" s="321">
        <f t="shared" si="88"/>
        <v>69865892.191648364</v>
      </c>
      <c r="AG828" s="321">
        <f t="shared" si="88"/>
        <v>81300313.9244726</v>
      </c>
      <c r="AH828" s="321">
        <f t="shared" si="88"/>
        <v>69746912.111160174</v>
      </c>
      <c r="AI828" s="321">
        <f t="shared" si="88"/>
        <v>76687174.286181152</v>
      </c>
      <c r="AJ828" s="321">
        <f t="shared" si="88"/>
        <v>62589860.774076872</v>
      </c>
      <c r="AK828" s="321">
        <f t="shared" si="88"/>
        <v>58382193.746582977</v>
      </c>
      <c r="AL828" s="321">
        <f t="shared" si="88"/>
        <v>38869254.594196633</v>
      </c>
      <c r="AM828" s="321">
        <f t="shared" si="88"/>
        <v>58296091.338152908</v>
      </c>
      <c r="AN828" s="321">
        <f t="shared" si="88"/>
        <v>19075296.213191781</v>
      </c>
      <c r="AO828" s="321">
        <f t="shared" si="88"/>
        <v>14629674.45042336</v>
      </c>
      <c r="AP828" s="321">
        <f t="shared" si="88"/>
        <v>15031819.533748455</v>
      </c>
      <c r="AQ828" s="321">
        <f t="shared" si="88"/>
        <v>20886118.659660943</v>
      </c>
      <c r="AR828" s="321">
        <f t="shared" si="88"/>
        <v>44815078.371879958</v>
      </c>
      <c r="AS828" s="321">
        <f t="shared" si="88"/>
        <v>6349979.8237051666</v>
      </c>
      <c r="AT828" s="321">
        <f t="shared" si="88"/>
        <v>16161076.723511279</v>
      </c>
      <c r="AU828" s="321">
        <f t="shared" si="88"/>
        <v>23579409.913999178</v>
      </c>
      <c r="AV828" s="321">
        <f t="shared" si="88"/>
        <v>4898247.397605747</v>
      </c>
      <c r="AW828" s="321">
        <f t="shared" si="88"/>
        <v>4929136.6489306018</v>
      </c>
      <c r="AX828" s="321">
        <f t="shared" si="88"/>
        <v>4986951.6998593649</v>
      </c>
      <c r="AY828" s="321">
        <f t="shared" si="88"/>
        <v>40373632.980607755</v>
      </c>
      <c r="AZ828" s="321">
        <f t="shared" si="88"/>
        <v>28145639.134780291</v>
      </c>
      <c r="BA828" s="321">
        <f t="shared" si="88"/>
        <v>6424980.3655208331</v>
      </c>
      <c r="BB828" s="321">
        <f t="shared" si="88"/>
        <v>207973.71643749997</v>
      </c>
      <c r="BC828" s="321">
        <f t="shared" si="88"/>
        <v>207405.48223958333</v>
      </c>
      <c r="BD828" s="321">
        <f t="shared" si="88"/>
        <v>207405.48223958333</v>
      </c>
      <c r="BE828" s="321">
        <f t="shared" si="88"/>
        <v>207405.48223958333</v>
      </c>
      <c r="BF828" s="321">
        <f t="shared" si="88"/>
        <v>207973.71643749997</v>
      </c>
      <c r="BG828" s="321">
        <f t="shared" si="88"/>
        <v>207405.48223958333</v>
      </c>
      <c r="BH828" s="321">
        <f>+BH826+BH827</f>
        <v>207405.48223958333</v>
      </c>
      <c r="BI828" s="321">
        <f>+BI826+BI827</f>
        <v>207405.48223958333</v>
      </c>
      <c r="BJ828" s="321">
        <f>+BJ826+BJ827</f>
        <v>207973.71643749997</v>
      </c>
      <c r="BK828" s="321">
        <f>+BK826+BK827</f>
        <v>5383634.0924166664</v>
      </c>
    </row>
    <row r="829" spans="1:63">
      <c r="A829" s="278"/>
      <c r="B829" s="210" t="s">
        <v>28</v>
      </c>
      <c r="C829" s="224"/>
      <c r="D829" s="224"/>
      <c r="E829" s="224"/>
      <c r="F829" s="224"/>
      <c r="G829" s="224"/>
      <c r="H829" s="224"/>
      <c r="I829" s="224"/>
      <c r="J829" s="224"/>
      <c r="K829" s="224"/>
      <c r="L829" s="224"/>
      <c r="M829" s="224"/>
      <c r="N829" s="224"/>
      <c r="O829" s="224"/>
      <c r="P829" s="224"/>
      <c r="Q829" s="224"/>
      <c r="R829" s="224"/>
      <c r="S829" s="224"/>
      <c r="T829" s="224"/>
      <c r="U829" s="224"/>
      <c r="V829" s="224"/>
      <c r="W829" s="224"/>
      <c r="X829" s="224"/>
      <c r="Y829" s="224">
        <f>'Perfil - interna'!Y829+'Perfil - externa'!Y827</f>
        <v>8355163.4760644641</v>
      </c>
      <c r="Z829" s="224">
        <f>'Perfil - interna'!Z829+'Perfil - externa'!Z827</f>
        <v>97839804.445651934</v>
      </c>
      <c r="AA829" s="224">
        <f>'Perfil - interna'!AA829+'Perfil - externa'!AA827</f>
        <v>55833253.793548748</v>
      </c>
      <c r="AB829" s="224">
        <f>'Perfil - interna'!AB829+'Perfil - externa'!AB827</f>
        <v>49532142.545622662</v>
      </c>
      <c r="AC829" s="224">
        <f>'Perfil - interna'!AC829+'Perfil - externa'!AC827</f>
        <v>63076789.119668812</v>
      </c>
      <c r="AD829" s="224">
        <f>'Perfil - interna'!AD829+'Perfil - externa'!AD827</f>
        <v>45300227.961796656</v>
      </c>
      <c r="AE829" s="224">
        <f>'Perfil - interna'!AE829+'Perfil - externa'!AE827</f>
        <v>36402738.466443971</v>
      </c>
      <c r="AF829" s="224">
        <f>'Perfil - interna'!AF829+'Perfil - externa'!AF827</f>
        <v>39149707.496260807</v>
      </c>
      <c r="AG829" s="224">
        <f>'Perfil - interna'!AG829+'Perfil - externa'!AG827</f>
        <v>52676001.206640244</v>
      </c>
      <c r="AH829" s="224">
        <f>'Perfil - interna'!AH829+'Perfil - externa'!AH827</f>
        <v>43972782.924532741</v>
      </c>
      <c r="AI829" s="224">
        <f>'Perfil - interna'!AI829+'Perfil - externa'!AI827</f>
        <v>54254008.580869392</v>
      </c>
      <c r="AJ829" s="224">
        <f>'Perfil - interna'!AJ829+'Perfil - externa'!AJ827</f>
        <v>43702345.287847735</v>
      </c>
      <c r="AK829" s="224">
        <f>'Perfil - interna'!AK829+'Perfil - externa'!AK827</f>
        <v>47501640.362856738</v>
      </c>
      <c r="AL829" s="224">
        <f>'Perfil - interna'!AL829+'Perfil - externa'!AL827</f>
        <v>25143744.815346524</v>
      </c>
      <c r="AM829" s="224">
        <f>'Perfil - interna'!AM829+'Perfil - externa'!AM827</f>
        <v>45667668.49115663</v>
      </c>
      <c r="AN829" s="224">
        <f>'Perfil - interna'!AN829+'Perfil - externa'!AN827</f>
        <v>8862304.9169714861</v>
      </c>
      <c r="AO829" s="224">
        <f>'Perfil - interna'!AO829+'Perfil - externa'!AO827</f>
        <v>4616586.9057100844</v>
      </c>
      <c r="AP829" s="224">
        <f>'Perfil - interna'!AP829+'Perfil - externa'!AP827</f>
        <v>5192695.6686094385</v>
      </c>
      <c r="AQ829" s="224">
        <f>'Perfil - interna'!AQ829+'Perfil - externa'!AQ827</f>
        <v>11344984.342195418</v>
      </c>
      <c r="AR829" s="224">
        <f>'Perfil - interna'!AR829+'Perfil - externa'!AR827</f>
        <v>37155425.980273649</v>
      </c>
      <c r="AS829" s="224">
        <f>'Perfil - interna'!AS829+'Perfil - externa'!AS827</f>
        <v>232709.22526953489</v>
      </c>
      <c r="AT829" s="224">
        <f>'Perfil - interna'!AT829+'Perfil - externa'!AT827</f>
        <v>10083600.693715053</v>
      </c>
      <c r="AU829" s="224">
        <f>'Perfil - interna'!AU829+'Perfil - externa'!AU827</f>
        <v>18037749.769411419</v>
      </c>
      <c r="AV829" s="224">
        <f>'Perfil - interna'!AV829+'Perfil - externa'!AV827</f>
        <v>122869.24611883795</v>
      </c>
      <c r="AW829" s="224">
        <f>'Perfil - interna'!AW829+'Perfil - externa'!AW827</f>
        <v>101352.11098370282</v>
      </c>
      <c r="AX829" s="224">
        <f>'Perfil - interna'!AX829+'Perfil - externa'!AX827</f>
        <v>101352.11098370282</v>
      </c>
      <c r="AY829" s="224">
        <f>'Perfil - interna'!AY829+'Perfil - externa'!AY827</f>
        <v>35662616.507638842</v>
      </c>
      <c r="AZ829" s="224">
        <f>'Perfil - interna'!AZ829+'Perfil - externa'!AZ827</f>
        <v>25954998.089044023</v>
      </c>
      <c r="BA829" s="224">
        <f>'Perfil - interna'!BA829+'Perfil - externa'!BA827</f>
        <v>5971005</v>
      </c>
      <c r="BB829" s="224">
        <f>'Perfil - interna'!BB829+'Perfil - externa'!BB827</f>
        <v>0</v>
      </c>
      <c r="BC829" s="224">
        <f>'Perfil - interna'!BC829+'Perfil - externa'!BC827</f>
        <v>4975837.5</v>
      </c>
      <c r="BD829" s="224">
        <f>'Perfil - interna'!BD829+'Perfil - externa'!BD827</f>
        <v>0</v>
      </c>
      <c r="BE829" s="224">
        <f>'Perfil - interna'!BE829+'Perfil - externa'!BE827</f>
        <v>0</v>
      </c>
      <c r="BF829" s="224">
        <f>'Perfil - interna'!BF829+'Perfil - externa'!BF827</f>
        <v>0</v>
      </c>
      <c r="BG829" s="224">
        <f>'Perfil - interna'!BG829+'Perfil - externa'!BG827</f>
        <v>0</v>
      </c>
      <c r="BH829" s="224">
        <f>'Perfil - interna'!BH829+'Perfil - externa'!BH827</f>
        <v>0</v>
      </c>
      <c r="BI829" s="224">
        <f>'Perfil - interna'!BI829+'Perfil - externa'!BI827</f>
        <v>0</v>
      </c>
      <c r="BJ829" s="224">
        <f>'Perfil - interna'!BJ829+'Perfil - externa'!BJ827</f>
        <v>0</v>
      </c>
      <c r="BK829" s="224">
        <f>'Perfil - interna'!BK829+'Perfil - externa'!BK827</f>
        <v>5174871</v>
      </c>
    </row>
    <row r="830" spans="1:63">
      <c r="A830" s="168">
        <v>45260</v>
      </c>
      <c r="B830" s="213" t="s">
        <v>385</v>
      </c>
      <c r="C830" s="224"/>
      <c r="D830" s="224"/>
      <c r="E830" s="224"/>
      <c r="F830" s="224"/>
      <c r="G830" s="224"/>
      <c r="H830" s="224"/>
      <c r="I830" s="224"/>
      <c r="J830" s="224"/>
      <c r="K830" s="224"/>
      <c r="L830" s="224"/>
      <c r="M830" s="224"/>
      <c r="N830" s="224"/>
      <c r="O830" s="224"/>
      <c r="P830" s="224"/>
      <c r="Q830" s="224"/>
      <c r="R830" s="224"/>
      <c r="S830" s="224"/>
      <c r="T830" s="224"/>
      <c r="U830" s="224"/>
      <c r="V830" s="224"/>
      <c r="W830" s="224"/>
      <c r="X830" s="224"/>
      <c r="Y830" s="224">
        <f>'Perfil - interna'!Y830+'Perfil - externa'!Y828</f>
        <v>781885.82708002185</v>
      </c>
      <c r="Z830" s="224">
        <f>'Perfil - interna'!Z830+'Perfil - externa'!Z828</f>
        <v>46582460.416433394</v>
      </c>
      <c r="AA830" s="224">
        <f>'Perfil - interna'!AA830+'Perfil - externa'!AA828</f>
        <v>43305803.894781813</v>
      </c>
      <c r="AB830" s="224">
        <f>'Perfil - interna'!AB830+'Perfil - externa'!AB828</f>
        <v>40534362.867467366</v>
      </c>
      <c r="AC830" s="224">
        <f>'Perfil - interna'!AC830+'Perfil - externa'!AC828</f>
        <v>37671839.812493123</v>
      </c>
      <c r="AD830" s="224">
        <f>'Perfil - interna'!AD830+'Perfil - externa'!AD828</f>
        <v>35074162.604181468</v>
      </c>
      <c r="AE830" s="224">
        <f>'Perfil - interna'!AE830+'Perfil - externa'!AE828</f>
        <v>32626826.618490279</v>
      </c>
      <c r="AF830" s="224">
        <f>'Perfil - interna'!AF830+'Perfil - externa'!AF828</f>
        <v>31624924.476872221</v>
      </c>
      <c r="AG830" s="224">
        <f>'Perfil - interna'!AG830+'Perfil - externa'!AG828</f>
        <v>29443168.077591848</v>
      </c>
      <c r="AH830" s="224">
        <f>'Perfil - interna'!AH830+'Perfil - externa'!AH828</f>
        <v>26679428.897759479</v>
      </c>
      <c r="AI830" s="224">
        <f>'Perfil - interna'!AI830+'Perfil - externa'!AI828</f>
        <v>24105566.567432888</v>
      </c>
      <c r="AJ830" s="224">
        <f>'Perfil - interna'!AJ830+'Perfil - externa'!AJ828</f>
        <v>19739094.645752884</v>
      </c>
      <c r="AK830" s="224">
        <f>'Perfil - interna'!AK830+'Perfil - externa'!AK828</f>
        <v>17244867.978322785</v>
      </c>
      <c r="AL830" s="224">
        <f>'Perfil - interna'!AL830+'Perfil - externa'!AL828</f>
        <v>14350072.195851617</v>
      </c>
      <c r="AM830" s="224">
        <f>'Perfil - interna'!AM830+'Perfil - externa'!AM828</f>
        <v>13405793.85766089</v>
      </c>
      <c r="AN830" s="224">
        <f>'Perfil - interna'!AN830+'Perfil - externa'!AN828</f>
        <v>10739039.545255855</v>
      </c>
      <c r="AO830" s="224">
        <f>'Perfil - interna'!AO830+'Perfil - externa'!AO828</f>
        <v>10618458.120411091</v>
      </c>
      <c r="AP830" s="224">
        <f>'Perfil - interna'!AP830+'Perfil - externa'!AP828</f>
        <v>10428092.664734662</v>
      </c>
      <c r="AQ830" s="224">
        <f>'Perfil - interna'!AQ830+'Perfil - externa'!AQ828</f>
        <v>10001847.420330439</v>
      </c>
      <c r="AR830" s="224">
        <f>'Perfil - interna'!AR830+'Perfil - externa'!AR828</f>
        <v>9588249.2527029291</v>
      </c>
      <c r="AS830" s="224">
        <f>'Perfil - interna'!AS830+'Perfil - externa'!AS828</f>
        <v>6521128.5011872072</v>
      </c>
      <c r="AT830" s="224">
        <f>'Perfil - interna'!AT830+'Perfil - externa'!AT828</f>
        <v>6289491.8648779439</v>
      </c>
      <c r="AU830" s="224">
        <f>'Perfil - interna'!AU830+'Perfil - externa'!AU828</f>
        <v>5607115.245367365</v>
      </c>
      <c r="AV830" s="224">
        <f>'Perfil - interna'!AV830+'Perfil - externa'!AV828</f>
        <v>5210423.2772112936</v>
      </c>
      <c r="AW830" s="224">
        <f>'Perfil - interna'!AW830+'Perfil - externa'!AW828</f>
        <v>5263394.6890103929</v>
      </c>
      <c r="AX830" s="224">
        <f>'Perfil - interna'!AX830+'Perfil - externa'!AX828</f>
        <v>5322489.1750415917</v>
      </c>
      <c r="AY830" s="224">
        <f>'Perfil - interna'!AY830+'Perfil - externa'!AY828</f>
        <v>5078934.5533519797</v>
      </c>
      <c r="AZ830" s="224">
        <f>'Perfil - interna'!AZ830+'Perfil - externa'!AZ828</f>
        <v>2772309.4673396829</v>
      </c>
      <c r="BA830" s="224">
        <f>'Perfil - interna'!BA830+'Perfil - externa'!BA828</f>
        <v>768580.29984374996</v>
      </c>
      <c r="BB830" s="224">
        <f>'Perfil - interna'!BB830+'Perfil - externa'!BB828</f>
        <v>646510.56637499994</v>
      </c>
      <c r="BC830" s="224">
        <f>'Perfil - interna'!BC830+'Perfil - externa'!BC828</f>
        <v>644744.14406249998</v>
      </c>
      <c r="BD830" s="224">
        <f>'Perfil - interna'!BD830+'Perfil - externa'!BD828</f>
        <v>203311.33807291667</v>
      </c>
      <c r="BE830" s="224">
        <f>'Perfil - interna'!BE830+'Perfil - externa'!BE828</f>
        <v>203311.33807291667</v>
      </c>
      <c r="BF830" s="224">
        <f>'Perfil - interna'!BF830+'Perfil - externa'!BF828</f>
        <v>203868.35543749999</v>
      </c>
      <c r="BG830" s="224">
        <f>'Perfil - interna'!BG830+'Perfil - externa'!BG828</f>
        <v>203311.33807291667</v>
      </c>
      <c r="BH830" s="224">
        <f>'Perfil - interna'!BH830+'Perfil - externa'!BH828</f>
        <v>203311.33807291667</v>
      </c>
      <c r="BI830" s="224">
        <f>'Perfil - interna'!BI830+'Perfil - externa'!BI828</f>
        <v>203311.33807291667</v>
      </c>
      <c r="BJ830" s="224">
        <f>'Perfil - interna'!BJ830+'Perfil - externa'!BJ828</f>
        <v>203868.35543749999</v>
      </c>
      <c r="BK830" s="224">
        <f>'Perfil - interna'!BK830+'Perfil - externa'!BK828</f>
        <v>102491.19508333332</v>
      </c>
    </row>
    <row r="831" spans="1:63">
      <c r="A831" s="279"/>
      <c r="B831" s="307" t="s">
        <v>29</v>
      </c>
      <c r="C831" s="321"/>
      <c r="D831" s="321"/>
      <c r="E831" s="321"/>
      <c r="F831" s="321"/>
      <c r="G831" s="321"/>
      <c r="H831" s="321"/>
      <c r="I831" s="321"/>
      <c r="J831" s="321"/>
      <c r="K831" s="321"/>
      <c r="L831" s="321"/>
      <c r="M831" s="321"/>
      <c r="N831" s="321"/>
      <c r="O831" s="321"/>
      <c r="P831" s="321"/>
      <c r="Q831" s="321"/>
      <c r="R831" s="321"/>
      <c r="S831" s="321"/>
      <c r="T831" s="321"/>
      <c r="U831" s="321"/>
      <c r="V831" s="321"/>
      <c r="W831" s="321"/>
      <c r="X831" s="321"/>
      <c r="Y831" s="321">
        <f t="shared" ref="Y831:BG831" si="89">+Y829+Y830</f>
        <v>9137049.3031444866</v>
      </c>
      <c r="Z831" s="321">
        <f t="shared" si="89"/>
        <v>144422264.86208534</v>
      </c>
      <c r="AA831" s="321">
        <f t="shared" si="89"/>
        <v>99139057.688330561</v>
      </c>
      <c r="AB831" s="321">
        <f t="shared" si="89"/>
        <v>90066505.41309002</v>
      </c>
      <c r="AC831" s="321">
        <f t="shared" si="89"/>
        <v>100748628.93216193</v>
      </c>
      <c r="AD831" s="321">
        <f t="shared" si="89"/>
        <v>80374390.565978125</v>
      </c>
      <c r="AE831" s="321">
        <f t="shared" si="89"/>
        <v>69029565.08493425</v>
      </c>
      <c r="AF831" s="321">
        <f t="shared" si="89"/>
        <v>70774631.973133028</v>
      </c>
      <c r="AG831" s="321">
        <f t="shared" si="89"/>
        <v>82119169.284232095</v>
      </c>
      <c r="AH831" s="321">
        <f t="shared" si="89"/>
        <v>70652211.822292224</v>
      </c>
      <c r="AI831" s="321">
        <f t="shared" si="89"/>
        <v>78359575.148302287</v>
      </c>
      <c r="AJ831" s="321">
        <f t="shared" si="89"/>
        <v>63441439.933600619</v>
      </c>
      <c r="AK831" s="321">
        <f t="shared" si="89"/>
        <v>64746508.34117952</v>
      </c>
      <c r="AL831" s="321">
        <f t="shared" si="89"/>
        <v>39493817.011198141</v>
      </c>
      <c r="AM831" s="321">
        <f t="shared" si="89"/>
        <v>59073462.34881752</v>
      </c>
      <c r="AN831" s="321">
        <f t="shared" si="89"/>
        <v>19601344.462227341</v>
      </c>
      <c r="AO831" s="321">
        <f t="shared" si="89"/>
        <v>15235045.026121175</v>
      </c>
      <c r="AP831" s="321">
        <f t="shared" si="89"/>
        <v>15620788.3333441</v>
      </c>
      <c r="AQ831" s="321">
        <f t="shared" si="89"/>
        <v>21346831.762525856</v>
      </c>
      <c r="AR831" s="321">
        <f t="shared" si="89"/>
        <v>46743675.232976578</v>
      </c>
      <c r="AS831" s="321">
        <f t="shared" si="89"/>
        <v>6753837.7264567418</v>
      </c>
      <c r="AT831" s="321">
        <f t="shared" si="89"/>
        <v>16373092.558592997</v>
      </c>
      <c r="AU831" s="321">
        <f t="shared" si="89"/>
        <v>23644865.014778785</v>
      </c>
      <c r="AV831" s="321">
        <f t="shared" si="89"/>
        <v>5333292.5233301315</v>
      </c>
      <c r="AW831" s="321">
        <f t="shared" si="89"/>
        <v>5364746.7999940962</v>
      </c>
      <c r="AX831" s="321">
        <f t="shared" si="89"/>
        <v>5423841.286025295</v>
      </c>
      <c r="AY831" s="321">
        <f t="shared" si="89"/>
        <v>40741551.060990825</v>
      </c>
      <c r="AZ831" s="321">
        <f t="shared" si="89"/>
        <v>28727307.556383707</v>
      </c>
      <c r="BA831" s="321">
        <f t="shared" si="89"/>
        <v>6739585.29984375</v>
      </c>
      <c r="BB831" s="321">
        <f t="shared" si="89"/>
        <v>646510.56637499994</v>
      </c>
      <c r="BC831" s="321">
        <f t="shared" si="89"/>
        <v>5620581.6440625004</v>
      </c>
      <c r="BD831" s="321">
        <f t="shared" si="89"/>
        <v>203311.33807291667</v>
      </c>
      <c r="BE831" s="321">
        <f t="shared" si="89"/>
        <v>203311.33807291667</v>
      </c>
      <c r="BF831" s="321">
        <f t="shared" si="89"/>
        <v>203868.35543749999</v>
      </c>
      <c r="BG831" s="321">
        <f t="shared" si="89"/>
        <v>203311.33807291667</v>
      </c>
      <c r="BH831" s="321">
        <f>+BH829+BH830</f>
        <v>203311.33807291667</v>
      </c>
      <c r="BI831" s="321">
        <f>+BI829+BI830</f>
        <v>203311.33807291667</v>
      </c>
      <c r="BJ831" s="321">
        <f>+BJ829+BJ830</f>
        <v>203868.35543749999</v>
      </c>
      <c r="BK831" s="321">
        <f>+BK829+BK830</f>
        <v>5277362.1950833332</v>
      </c>
    </row>
    <row r="832" spans="1:63">
      <c r="A832" s="278"/>
      <c r="B832" s="210" t="s">
        <v>28</v>
      </c>
      <c r="C832" s="224"/>
      <c r="D832" s="224"/>
      <c r="E832" s="224"/>
      <c r="F832" s="224"/>
      <c r="G832" s="224"/>
      <c r="H832" s="224"/>
      <c r="I832" s="224"/>
      <c r="J832" s="224"/>
      <c r="K832" s="224"/>
      <c r="L832" s="224"/>
      <c r="M832" s="224"/>
      <c r="N832" s="224"/>
      <c r="O832" s="224"/>
      <c r="P832" s="224"/>
      <c r="Q832" s="224"/>
      <c r="R832" s="224"/>
      <c r="S832" s="224"/>
      <c r="T832" s="224"/>
      <c r="U832" s="224"/>
      <c r="V832" s="224"/>
      <c r="W832" s="224"/>
      <c r="X832" s="224"/>
      <c r="Y832" s="224"/>
      <c r="Z832" s="224">
        <f>'Perfil - interna'!Z832+'Perfil - externa'!Z830</f>
        <v>95232246.10384652</v>
      </c>
      <c r="AA832" s="224">
        <f>'Perfil - interna'!AA832+'Perfil - externa'!AA830</f>
        <v>54894885.837432116</v>
      </c>
      <c r="AB832" s="224">
        <f>'Perfil - interna'!AB832+'Perfil - externa'!AB830</f>
        <v>48451734.523354836</v>
      </c>
      <c r="AC832" s="224">
        <f>'Perfil - interna'!AC832+'Perfil - externa'!AC830</f>
        <v>62926691.839942634</v>
      </c>
      <c r="AD832" s="224">
        <f>'Perfil - interna'!AD832+'Perfil - externa'!AD830</f>
        <v>45025822.009496227</v>
      </c>
      <c r="AE832" s="224">
        <f>'Perfil - interna'!AE832+'Perfil - externa'!AE830</f>
        <v>36814382.448747024</v>
      </c>
      <c r="AF832" s="224">
        <f>'Perfil - interna'!AF832+'Perfil - externa'!AF830</f>
        <v>37254608.687357642</v>
      </c>
      <c r="AG832" s="224">
        <f>'Perfil - interna'!AG832+'Perfil - externa'!AG830</f>
        <v>54625101.899068482</v>
      </c>
      <c r="AH832" s="224">
        <f>'Perfil - interna'!AH832+'Perfil - externa'!AH830</f>
        <v>43500205.5804151</v>
      </c>
      <c r="AI832" s="224">
        <f>'Perfil - interna'!AI832+'Perfil - externa'!AI830</f>
        <v>54012226.254624635</v>
      </c>
      <c r="AJ832" s="224">
        <f>'Perfil - interna'!AJ832+'Perfil - externa'!AJ830</f>
        <v>43221204.091679931</v>
      </c>
      <c r="AK832" s="224">
        <f>'Perfil - interna'!AK832+'Perfil - externa'!AK830</f>
        <v>47279296.478906527</v>
      </c>
      <c r="AL832" s="224">
        <f>'Perfil - interna'!AL832+'Perfil - externa'!AL830</f>
        <v>24835325.765663825</v>
      </c>
      <c r="AM832" s="224">
        <f>'Perfil - interna'!AM832+'Perfil - externa'!AM830</f>
        <v>45548934.636976011</v>
      </c>
      <c r="AN832" s="224">
        <f>'Perfil - interna'!AN832+'Perfil - externa'!AN830</f>
        <v>8660399.6549016684</v>
      </c>
      <c r="AO832" s="224">
        <f>'Perfil - interna'!AO832+'Perfil - externa'!AO830</f>
        <v>4583863.1620001206</v>
      </c>
      <c r="AP832" s="224">
        <f>'Perfil - interna'!AP832+'Perfil - externa'!AP830</f>
        <v>5134498.7000374878</v>
      </c>
      <c r="AQ832" s="224">
        <f>'Perfil - interna'!AQ832+'Perfil - externa'!AQ830</f>
        <v>11099822.061176369</v>
      </c>
      <c r="AR832" s="224">
        <f>'Perfil - interna'!AR832+'Perfil - externa'!AR830</f>
        <v>37799269.136456974</v>
      </c>
      <c r="AS832" s="224">
        <f>'Perfil - interna'!AS832+'Perfil - externa'!AS830</f>
        <v>228452.84102732592</v>
      </c>
      <c r="AT832" s="224">
        <f>'Perfil - interna'!AT832+'Perfil - externa'!AT830</f>
        <v>9684965.056577675</v>
      </c>
      <c r="AU832" s="224">
        <f>'Perfil - interna'!AU832+'Perfil - externa'!AU830</f>
        <v>17320315.442032352</v>
      </c>
      <c r="AV832" s="224">
        <f>'Perfil - interna'!AV832+'Perfil - externa'!AV830</f>
        <v>119299.25529735946</v>
      </c>
      <c r="AW832" s="224">
        <f>'Perfil - interna'!AW832+'Perfil - externa'!AW830</f>
        <v>98455.787726191367</v>
      </c>
      <c r="AX832" s="224">
        <f>'Perfil - interna'!AX832+'Perfil - externa'!AX830</f>
        <v>98272.049884753025</v>
      </c>
      <c r="AY832" s="224">
        <f>'Perfil - interna'!AY832+'Perfil - externa'!AY830</f>
        <v>35354358.68888934</v>
      </c>
      <c r="AZ832" s="224">
        <f>'Perfil - interna'!AZ832+'Perfil - externa'!AZ830</f>
        <v>26074362.642448664</v>
      </c>
      <c r="BA832" s="224">
        <f>'Perfil - interna'!BA832+'Perfil - externa'!BA830</f>
        <v>5733075</v>
      </c>
      <c r="BB832" s="224">
        <f>'Perfil - interna'!BB832+'Perfil - externa'!BB830</f>
        <v>0</v>
      </c>
      <c r="BC832" s="224">
        <f>'Perfil - interna'!BC832+'Perfil - externa'!BC830</f>
        <v>4777562.5</v>
      </c>
      <c r="BD832" s="224">
        <f>'Perfil - interna'!BD832+'Perfil - externa'!BD830</f>
        <v>0</v>
      </c>
      <c r="BE832" s="224">
        <f>'Perfil - interna'!BE832+'Perfil - externa'!BE830</f>
        <v>0</v>
      </c>
      <c r="BF832" s="224">
        <f>'Perfil - interna'!BF832+'Perfil - externa'!BF830</f>
        <v>0</v>
      </c>
      <c r="BG832" s="224">
        <f>'Perfil - interna'!BG832+'Perfil - externa'!BG830</f>
        <v>0</v>
      </c>
      <c r="BH832" s="224">
        <f>'Perfil - interna'!BH832+'Perfil - externa'!BH830</f>
        <v>0</v>
      </c>
      <c r="BI832" s="224">
        <f>'Perfil - interna'!BI832+'Perfil - externa'!BI830</f>
        <v>0</v>
      </c>
      <c r="BJ832" s="224">
        <f>'Perfil - interna'!BJ832+'Perfil - externa'!BJ830</f>
        <v>0</v>
      </c>
      <c r="BK832" s="224">
        <f>'Perfil - interna'!BK832+'Perfil - externa'!BK830</f>
        <v>4968665</v>
      </c>
    </row>
    <row r="833" spans="1:63">
      <c r="A833" s="168">
        <v>45291</v>
      </c>
      <c r="B833" s="213" t="s">
        <v>385</v>
      </c>
      <c r="C833" s="224"/>
      <c r="D833" s="224"/>
      <c r="E833" s="224"/>
      <c r="F833" s="224"/>
      <c r="G833" s="224"/>
      <c r="H833" s="224"/>
      <c r="I833" s="224"/>
      <c r="J833" s="224"/>
      <c r="K833" s="224"/>
      <c r="L833" s="224"/>
      <c r="M833" s="224"/>
      <c r="N833" s="224"/>
      <c r="O833" s="224"/>
      <c r="P833" s="224"/>
      <c r="Q833" s="224"/>
      <c r="R833" s="224"/>
      <c r="S833" s="224"/>
      <c r="T833" s="224"/>
      <c r="U833" s="224"/>
      <c r="V833" s="224"/>
      <c r="W833" s="224"/>
      <c r="X833" s="224"/>
      <c r="Y833" s="224"/>
      <c r="Z833" s="224">
        <f>'Perfil - interna'!Z833+'Perfil - externa'!Z831</f>
        <v>15431939.383209337</v>
      </c>
      <c r="AA833" s="224">
        <f>'Perfil - interna'!AA833+'Perfil - externa'!AA831</f>
        <v>43161996.474795558</v>
      </c>
      <c r="AB833" s="224">
        <f>'Perfil - interna'!AB833+'Perfil - externa'!AB831</f>
        <v>40459335.321889609</v>
      </c>
      <c r="AC833" s="224">
        <f>'Perfil - interna'!AC833+'Perfil - externa'!AC831</f>
        <v>37613961.582474083</v>
      </c>
      <c r="AD833" s="224">
        <f>'Perfil - interna'!AD833+'Perfil - externa'!AD831</f>
        <v>35034841.625948489</v>
      </c>
      <c r="AE833" s="224">
        <f>'Perfil - interna'!AE833+'Perfil - externa'!AE831</f>
        <v>32583620.938930742</v>
      </c>
      <c r="AF833" s="224">
        <f>'Perfil - interna'!AF833+'Perfil - externa'!AF831</f>
        <v>31565560.995781086</v>
      </c>
      <c r="AG833" s="224">
        <f>'Perfil - interna'!AG833+'Perfil - externa'!AG831</f>
        <v>29394968.674520452</v>
      </c>
      <c r="AH833" s="224">
        <f>'Perfil - interna'!AH833+'Perfil - externa'!AH831</f>
        <v>26569530.72720664</v>
      </c>
      <c r="AI833" s="224">
        <f>'Perfil - interna'!AI833+'Perfil - externa'!AI831</f>
        <v>24015730.050712578</v>
      </c>
      <c r="AJ833" s="224">
        <f>'Perfil - interna'!AJ833+'Perfil - externa'!AJ831</f>
        <v>19650889.125693947</v>
      </c>
      <c r="AK833" s="224">
        <f>'Perfil - interna'!AK833+'Perfil - externa'!AK831</f>
        <v>17171592.449050356</v>
      </c>
      <c r="AL833" s="224">
        <f>'Perfil - interna'!AL833+'Perfil - externa'!AL831</f>
        <v>14291015.581714679</v>
      </c>
      <c r="AM833" s="224">
        <f>'Perfil - interna'!AM833+'Perfil - externa'!AM831</f>
        <v>13346384.445950598</v>
      </c>
      <c r="AN833" s="224">
        <f>'Perfil - interna'!AN833+'Perfil - externa'!AN831</f>
        <v>10694412.026148599</v>
      </c>
      <c r="AO833" s="224">
        <f>'Perfil - interna'!AO833+'Perfil - externa'!AO831</f>
        <v>10569408.12515402</v>
      </c>
      <c r="AP833" s="224">
        <f>'Perfil - interna'!AP833+'Perfil - externa'!AP831</f>
        <v>10377398.285283215</v>
      </c>
      <c r="AQ833" s="224">
        <f>'Perfil - interna'!AQ833+'Perfil - externa'!AQ831</f>
        <v>9956948.5150406547</v>
      </c>
      <c r="AR833" s="224">
        <f>'Perfil - interna'!AR833+'Perfil - externa'!AR831</f>
        <v>9549409.7874858472</v>
      </c>
      <c r="AS833" s="224">
        <f>'Perfil - interna'!AS833+'Perfil - externa'!AS831</f>
        <v>6416058.0520268595</v>
      </c>
      <c r="AT833" s="224">
        <f>'Perfil - interna'!AT833+'Perfil - externa'!AT831</f>
        <v>6195429.0188677367</v>
      </c>
      <c r="AU833" s="224">
        <f>'Perfil - interna'!AU833+'Perfil - externa'!AU831</f>
        <v>5542313.7258391697</v>
      </c>
      <c r="AV833" s="224">
        <f>'Perfil - interna'!AV833+'Perfil - externa'!AV831</f>
        <v>5163627.9842192847</v>
      </c>
      <c r="AW833" s="224">
        <f>'Perfil - interna'!AW833+'Perfil - externa'!AW831</f>
        <v>5216756.271680519</v>
      </c>
      <c r="AX833" s="224">
        <f>'Perfil - interna'!AX833+'Perfil - externa'!AX831</f>
        <v>5275851.8361506267</v>
      </c>
      <c r="AY833" s="224">
        <f>'Perfil - interna'!AY833+'Perfil - externa'!AY831</f>
        <v>5044435.8895750865</v>
      </c>
      <c r="AZ833" s="224">
        <f>'Perfil - interna'!AZ833+'Perfil - externa'!AZ831</f>
        <v>2745438.3734516436</v>
      </c>
      <c r="BA833" s="224">
        <f>'Perfil - interna'!BA833+'Perfil - externa'!BA831</f>
        <v>737954.24765625002</v>
      </c>
      <c r="BB833" s="224">
        <f>'Perfil - interna'!BB833+'Perfil - externa'!BB831</f>
        <v>620748.69562500005</v>
      </c>
      <c r="BC833" s="224">
        <f>'Perfil - interna'!BC833+'Perfil - externa'!BC831</f>
        <v>619052.66093750007</v>
      </c>
      <c r="BD833" s="224">
        <f>'Perfil - interna'!BD833+'Perfil - externa'!BD831</f>
        <v>195209.87664930557</v>
      </c>
      <c r="BE833" s="224">
        <f>'Perfil - interna'!BE833+'Perfil - externa'!BE831</f>
        <v>195209.87664930557</v>
      </c>
      <c r="BF833" s="224">
        <f>'Perfil - interna'!BF833+'Perfil - externa'!BF831</f>
        <v>195744.69822916665</v>
      </c>
      <c r="BG833" s="224">
        <f>'Perfil - interna'!BG833+'Perfil - externa'!BG831</f>
        <v>195209.87664930557</v>
      </c>
      <c r="BH833" s="224">
        <f>'Perfil - interna'!BH833+'Perfil - externa'!BH831</f>
        <v>195209.87664930557</v>
      </c>
      <c r="BI833" s="224">
        <f>'Perfil - interna'!BI833+'Perfil - externa'!BI831</f>
        <v>195209.87664930557</v>
      </c>
      <c r="BJ833" s="224">
        <f>'Perfil - interna'!BJ833+'Perfil - externa'!BJ831</f>
        <v>195744.69822916665</v>
      </c>
      <c r="BK833" s="224">
        <f>'Perfil - interna'!BK833+'Perfil - externa'!BK831</f>
        <v>98407.170694444445</v>
      </c>
    </row>
    <row r="834" spans="1:63">
      <c r="A834" s="279"/>
      <c r="B834" s="307" t="s">
        <v>29</v>
      </c>
      <c r="C834" s="321"/>
      <c r="D834" s="321"/>
      <c r="E834" s="321"/>
      <c r="F834" s="321"/>
      <c r="G834" s="321"/>
      <c r="H834" s="321"/>
      <c r="I834" s="321"/>
      <c r="J834" s="321"/>
      <c r="K834" s="321"/>
      <c r="L834" s="321"/>
      <c r="M834" s="321"/>
      <c r="N834" s="321"/>
      <c r="O834" s="321"/>
      <c r="P834" s="321"/>
      <c r="Q834" s="321"/>
      <c r="R834" s="321"/>
      <c r="S834" s="321"/>
      <c r="T834" s="321"/>
      <c r="U834" s="321"/>
      <c r="V834" s="321"/>
      <c r="W834" s="321"/>
      <c r="X834" s="321"/>
      <c r="Y834" s="321"/>
      <c r="Z834" s="321">
        <f t="shared" ref="Z834:BG834" si="90">+Z832+Z833</f>
        <v>110664185.48705585</v>
      </c>
      <c r="AA834" s="321">
        <f t="shared" si="90"/>
        <v>98056882.312227666</v>
      </c>
      <c r="AB834" s="321">
        <f t="shared" si="90"/>
        <v>88911069.845244437</v>
      </c>
      <c r="AC834" s="321">
        <f t="shared" si="90"/>
        <v>100540653.42241672</v>
      </c>
      <c r="AD834" s="321">
        <f t="shared" si="90"/>
        <v>80060663.635444716</v>
      </c>
      <c r="AE834" s="321">
        <f t="shared" si="90"/>
        <v>69398003.387677759</v>
      </c>
      <c r="AF834" s="321">
        <f t="shared" si="90"/>
        <v>68820169.683138728</v>
      </c>
      <c r="AG834" s="321">
        <f t="shared" si="90"/>
        <v>84020070.573588938</v>
      </c>
      <c r="AH834" s="321">
        <f t="shared" si="90"/>
        <v>70069736.307621747</v>
      </c>
      <c r="AI834" s="321">
        <f t="shared" si="90"/>
        <v>78027956.30533722</v>
      </c>
      <c r="AJ834" s="321">
        <f t="shared" si="90"/>
        <v>62872093.217373878</v>
      </c>
      <c r="AK834" s="321">
        <f t="shared" si="90"/>
        <v>64450888.927956879</v>
      </c>
      <c r="AL834" s="321">
        <f t="shared" si="90"/>
        <v>39126341.347378507</v>
      </c>
      <c r="AM834" s="321">
        <f t="shared" si="90"/>
        <v>58895319.082926609</v>
      </c>
      <c r="AN834" s="321">
        <f t="shared" si="90"/>
        <v>19354811.681050267</v>
      </c>
      <c r="AO834" s="321">
        <f t="shared" si="90"/>
        <v>15153271.287154142</v>
      </c>
      <c r="AP834" s="321">
        <f t="shared" si="90"/>
        <v>15511896.985320702</v>
      </c>
      <c r="AQ834" s="321">
        <f t="shared" si="90"/>
        <v>21056770.576217026</v>
      </c>
      <c r="AR834" s="321">
        <f t="shared" si="90"/>
        <v>47348678.923942819</v>
      </c>
      <c r="AS834" s="321">
        <f t="shared" si="90"/>
        <v>6644510.8930541854</v>
      </c>
      <c r="AT834" s="321">
        <f t="shared" si="90"/>
        <v>15880394.075445412</v>
      </c>
      <c r="AU834" s="321">
        <f t="shared" si="90"/>
        <v>22862629.16787152</v>
      </c>
      <c r="AV834" s="321">
        <f t="shared" si="90"/>
        <v>5282927.2395166438</v>
      </c>
      <c r="AW834" s="321">
        <f t="shared" si="90"/>
        <v>5315212.0594067108</v>
      </c>
      <c r="AX834" s="321">
        <f t="shared" si="90"/>
        <v>5374123.88603538</v>
      </c>
      <c r="AY834" s="321">
        <f t="shared" si="90"/>
        <v>40398794.578464426</v>
      </c>
      <c r="AZ834" s="321">
        <f t="shared" si="90"/>
        <v>28819801.015900306</v>
      </c>
      <c r="BA834" s="321">
        <f t="shared" si="90"/>
        <v>6471029.2476562504</v>
      </c>
      <c r="BB834" s="321">
        <f t="shared" si="90"/>
        <v>620748.69562500005</v>
      </c>
      <c r="BC834" s="321">
        <f t="shared" si="90"/>
        <v>5396615.1609375002</v>
      </c>
      <c r="BD834" s="321">
        <f t="shared" si="90"/>
        <v>195209.87664930557</v>
      </c>
      <c r="BE834" s="321">
        <f t="shared" si="90"/>
        <v>195209.87664930557</v>
      </c>
      <c r="BF834" s="321">
        <f t="shared" si="90"/>
        <v>195744.69822916665</v>
      </c>
      <c r="BG834" s="321">
        <f t="shared" si="90"/>
        <v>195209.87664930557</v>
      </c>
      <c r="BH834" s="321">
        <f>+BH832+BH833</f>
        <v>195209.87664930557</v>
      </c>
      <c r="BI834" s="321">
        <f>+BI832+BI833</f>
        <v>195209.87664930557</v>
      </c>
      <c r="BJ834" s="321">
        <f>+BJ832+BJ833</f>
        <v>195744.69822916665</v>
      </c>
      <c r="BK834" s="321">
        <f>+BK832+BK833</f>
        <v>5067072.1706944443</v>
      </c>
    </row>
    <row r="835" spans="1:63">
      <c r="A835" s="278"/>
      <c r="B835" s="210" t="s">
        <v>28</v>
      </c>
      <c r="C835" s="224"/>
      <c r="D835" s="224"/>
      <c r="E835" s="224"/>
      <c r="F835" s="224"/>
      <c r="G835" s="224"/>
      <c r="H835" s="224"/>
      <c r="I835" s="224"/>
      <c r="J835" s="224"/>
      <c r="K835" s="224"/>
      <c r="L835" s="224"/>
      <c r="M835" s="224"/>
      <c r="N835" s="224"/>
      <c r="O835" s="224"/>
      <c r="P835" s="224"/>
      <c r="Q835" s="224"/>
      <c r="R835" s="224"/>
      <c r="S835" s="224"/>
      <c r="T835" s="224"/>
      <c r="U835" s="224"/>
      <c r="V835" s="224"/>
      <c r="W835" s="224"/>
      <c r="X835" s="224"/>
      <c r="Y835" s="224"/>
      <c r="Z835" s="224">
        <f>'Perfil - interna'!Z835+'Perfil - externa'!Z833</f>
        <v>94813139.361145288</v>
      </c>
      <c r="AA835" s="224">
        <f>'Perfil - interna'!AA835+'Perfil - externa'!AA833</f>
        <v>55361974.592929691</v>
      </c>
      <c r="AB835" s="224">
        <f>'Perfil - interna'!AB835+'Perfil - externa'!AB833</f>
        <v>48831412.392435156</v>
      </c>
      <c r="AC835" s="224">
        <f>'Perfil - interna'!AC835+'Perfil - externa'!AC833</f>
        <v>63469066.884131134</v>
      </c>
      <c r="AD835" s="224">
        <f>'Perfil - interna'!AD835+'Perfil - externa'!AD833</f>
        <v>45316710.161676422</v>
      </c>
      <c r="AE835" s="224">
        <f>'Perfil - interna'!AE835+'Perfil - externa'!AE833</f>
        <v>37974179.704955973</v>
      </c>
      <c r="AF835" s="224">
        <f>'Perfil - interna'!AF835+'Perfil - externa'!AF833</f>
        <v>37672088.049635984</v>
      </c>
      <c r="AG835" s="224">
        <f>'Perfil - interna'!AG835+'Perfil - externa'!AG833</f>
        <v>55168848.112400815</v>
      </c>
      <c r="AH835" s="224">
        <f>'Perfil - interna'!AH835+'Perfil - externa'!AH833</f>
        <v>43941056.646111041</v>
      </c>
      <c r="AI835" s="224">
        <f>'Perfil - interna'!AI835+'Perfil - externa'!AI833</f>
        <v>55930190.050351515</v>
      </c>
      <c r="AJ835" s="224">
        <f>'Perfil - interna'!AJ835+'Perfil - externa'!AJ833</f>
        <v>43668257.957094438</v>
      </c>
      <c r="AK835" s="224">
        <f>'Perfil - interna'!AK835+'Perfil - externa'!AK833</f>
        <v>47769354.689700454</v>
      </c>
      <c r="AL835" s="224">
        <f>'Perfil - interna'!AL835+'Perfil - externa'!AL833</f>
        <v>25117011.672219072</v>
      </c>
      <c r="AM835" s="224">
        <f>'Perfil - interna'!AM835+'Perfil - externa'!AM833</f>
        <v>46519950.823259249</v>
      </c>
      <c r="AN835" s="224">
        <f>'Perfil - interna'!AN835+'Perfil - externa'!AN833</f>
        <v>8929677.4900676087</v>
      </c>
      <c r="AO835" s="224">
        <f>'Perfil - interna'!AO835+'Perfil - externa'!AO833</f>
        <v>4742696.2469583424</v>
      </c>
      <c r="AP835" s="224">
        <f>'Perfil - interna'!AP835+'Perfil - externa'!AP833</f>
        <v>5309275.7713286374</v>
      </c>
      <c r="AQ835" s="224">
        <f>'Perfil - interna'!AQ835+'Perfil - externa'!AQ833</f>
        <v>11438264.347964332</v>
      </c>
      <c r="AR835" s="224">
        <f>'Perfil - interna'!AR835+'Perfil - externa'!AR833</f>
        <v>38910606.896927983</v>
      </c>
      <c r="AS835" s="224">
        <f>'Perfil - interna'!AS835+'Perfil - externa'!AS833</f>
        <v>252731.39888802767</v>
      </c>
      <c r="AT835" s="224">
        <f>'Perfil - interna'!AT835+'Perfil - externa'!AT833</f>
        <v>9945818.9189268667</v>
      </c>
      <c r="AU835" s="224">
        <f>'Perfil - interna'!AU835+'Perfil - externa'!AU833</f>
        <v>17788032.252907556</v>
      </c>
      <c r="AV835" s="224">
        <f>'Perfil - interna'!AV835+'Perfil - externa'!AV833</f>
        <v>120992.53792557131</v>
      </c>
      <c r="AW835" s="224">
        <f>'Perfil - interna'!AW835+'Perfil - externa'!AW833</f>
        <v>99584.362653825156</v>
      </c>
      <c r="AX835" s="224">
        <f>'Perfil - interna'!AX835+'Perfil - externa'!AX833</f>
        <v>99395.646841538459</v>
      </c>
      <c r="AY835" s="224">
        <f>'Perfil - interna'!AY835+'Perfil - externa'!AY833</f>
        <v>36187146.579514638</v>
      </c>
      <c r="AZ835" s="224">
        <f>'Perfil - interna'!AZ835+'Perfil - externa'!AZ833</f>
        <v>26695183.235803146</v>
      </c>
      <c r="BA835" s="224">
        <f>'Perfil - interna'!BA835+'Perfil - externa'!BA833</f>
        <v>5888400</v>
      </c>
      <c r="BB835" s="224">
        <f>'Perfil - interna'!BB835+'Perfil - externa'!BB833</f>
        <v>0</v>
      </c>
      <c r="BC835" s="224">
        <f>'Perfil - interna'!BC835+'Perfil - externa'!BC833</f>
        <v>4907000</v>
      </c>
      <c r="BD835" s="224">
        <f>'Perfil - interna'!BD835+'Perfil - externa'!BD833</f>
        <v>0</v>
      </c>
      <c r="BE835" s="224">
        <f>'Perfil - interna'!BE835+'Perfil - externa'!BE833</f>
        <v>0</v>
      </c>
      <c r="BF835" s="224">
        <f>'Perfil - interna'!BF835+'Perfil - externa'!BF833</f>
        <v>0</v>
      </c>
      <c r="BG835" s="224">
        <f>'Perfil - interna'!BG835+'Perfil - externa'!BG833</f>
        <v>0</v>
      </c>
      <c r="BH835" s="224">
        <f>'Perfil - interna'!BH835+'Perfil - externa'!BH833</f>
        <v>0</v>
      </c>
      <c r="BI835" s="224">
        <f>'Perfil - interna'!BI835+'Perfil - externa'!BI833</f>
        <v>0</v>
      </c>
      <c r="BJ835" s="224">
        <f>'Perfil - interna'!BJ835+'Perfil - externa'!BJ833</f>
        <v>0</v>
      </c>
      <c r="BK835" s="224">
        <f>'Perfil - interna'!BK835+'Perfil - externa'!BK833</f>
        <v>5103280</v>
      </c>
    </row>
    <row r="836" spans="1:63">
      <c r="A836" s="168">
        <v>45322</v>
      </c>
      <c r="B836" s="213" t="s">
        <v>385</v>
      </c>
      <c r="C836" s="224"/>
      <c r="D836" s="224"/>
      <c r="E836" s="224"/>
      <c r="F836" s="224"/>
      <c r="G836" s="224"/>
      <c r="H836" s="224"/>
      <c r="I836" s="224"/>
      <c r="J836" s="224"/>
      <c r="K836" s="224"/>
      <c r="L836" s="224"/>
      <c r="M836" s="224"/>
      <c r="N836" s="224"/>
      <c r="O836" s="224"/>
      <c r="P836" s="224"/>
      <c r="Q836" s="224"/>
      <c r="R836" s="224"/>
      <c r="S836" s="224"/>
      <c r="T836" s="224"/>
      <c r="U836" s="224"/>
      <c r="V836" s="224"/>
      <c r="W836" s="224"/>
      <c r="X836" s="224"/>
      <c r="Y836" s="224"/>
      <c r="Z836" s="224">
        <f>'Perfil - interna'!Z836+'Perfil - externa'!Z834</f>
        <v>45440447.091110706</v>
      </c>
      <c r="AA836" s="224">
        <f>'Perfil - interna'!AA836+'Perfil - externa'!AA834</f>
        <v>43243036.288713835</v>
      </c>
      <c r="AB836" s="224">
        <f>'Perfil - interna'!AB836+'Perfil - externa'!AB834</f>
        <v>40512497.701453671</v>
      </c>
      <c r="AC836" s="224">
        <f>'Perfil - interna'!AC836+'Perfil - externa'!AC834</f>
        <v>37674572.551094517</v>
      </c>
      <c r="AD836" s="224">
        <f>'Perfil - interna'!AD836+'Perfil - externa'!AD834</f>
        <v>35108299.651420444</v>
      </c>
      <c r="AE836" s="224">
        <f>'Perfil - interna'!AE836+'Perfil - externa'!AE834</f>
        <v>32690654.77737914</v>
      </c>
      <c r="AF836" s="224">
        <f>'Perfil - interna'!AF836+'Perfil - externa'!AF834</f>
        <v>31701946.297747955</v>
      </c>
      <c r="AG836" s="224">
        <f>'Perfil - interna'!AG836+'Perfil - externa'!AG834</f>
        <v>29537305.174482472</v>
      </c>
      <c r="AH836" s="224">
        <f>'Perfil - interna'!AH836+'Perfil - externa'!AH834</f>
        <v>26719817.814876314</v>
      </c>
      <c r="AI836" s="224">
        <f>'Perfil - interna'!AI836+'Perfil - externa'!AI834</f>
        <v>22811821.156153344</v>
      </c>
      <c r="AJ836" s="224">
        <f>'Perfil - interna'!AJ836+'Perfil - externa'!AJ834</f>
        <v>19810560.048053436</v>
      </c>
      <c r="AK836" s="224">
        <f>'Perfil - interna'!AK836+'Perfil - externa'!AK834</f>
        <v>17336332.073387992</v>
      </c>
      <c r="AL836" s="224">
        <f>'Perfil - interna'!AL836+'Perfil - externa'!AL834</f>
        <v>14445936.842613652</v>
      </c>
      <c r="AM836" s="224">
        <f>'Perfil - interna'!AM836+'Perfil - externa'!AM834</f>
        <v>13509714.712647436</v>
      </c>
      <c r="AN836" s="224">
        <f>'Perfil - interna'!AN836+'Perfil - externa'!AN834</f>
        <v>10814440.498806914</v>
      </c>
      <c r="AO836" s="224">
        <f>'Perfil - interna'!AO836+'Perfil - externa'!AO834</f>
        <v>10695413.955258615</v>
      </c>
      <c r="AP836" s="224">
        <f>'Perfil - interna'!AP836+'Perfil - externa'!AP834</f>
        <v>10504770.517719142</v>
      </c>
      <c r="AQ836" s="224">
        <f>'Perfil - interna'!AQ836+'Perfil - externa'!AQ834</f>
        <v>10078365.455329565</v>
      </c>
      <c r="AR836" s="224">
        <f>'Perfil - interna'!AR836+'Perfil - externa'!AR834</f>
        <v>8718426.8999751564</v>
      </c>
      <c r="AS836" s="224">
        <f>'Perfil - interna'!AS836+'Perfil - externa'!AS834</f>
        <v>6528577.0837256648</v>
      </c>
      <c r="AT836" s="224">
        <f>'Perfil - interna'!AT836+'Perfil - externa'!AT834</f>
        <v>6301754.8446645131</v>
      </c>
      <c r="AU836" s="224">
        <f>'Perfil - interna'!AU836+'Perfil - externa'!AU834</f>
        <v>5630672.108147895</v>
      </c>
      <c r="AV836" s="224">
        <f>'Perfil - interna'!AV836+'Perfil - externa'!AV834</f>
        <v>5241442.5233356068</v>
      </c>
      <c r="AW836" s="224">
        <f>'Perfil - interna'!AW836+'Perfil - externa'!AW834</f>
        <v>5295715.2406848185</v>
      </c>
      <c r="AX836" s="224">
        <f>'Perfil - interna'!AX836+'Perfil - externa'!AX834</f>
        <v>5356106.8489817567</v>
      </c>
      <c r="AY836" s="224">
        <f>'Perfil - interna'!AY836+'Perfil - externa'!AY834</f>
        <v>5118106.0733933654</v>
      </c>
      <c r="AZ836" s="224">
        <f>'Perfil - interna'!AZ836+'Perfil - externa'!AZ834</f>
        <v>2148525.3657300649</v>
      </c>
      <c r="BA836" s="224">
        <f>'Perfil - interna'!BA836+'Perfil - externa'!BA834</f>
        <v>757947.48749999993</v>
      </c>
      <c r="BB836" s="224">
        <f>'Perfil - interna'!BB836+'Perfil - externa'!BB834</f>
        <v>637566.51</v>
      </c>
      <c r="BC836" s="224">
        <f>'Perfil - interna'!BC836+'Perfil - externa'!BC834</f>
        <v>635824.52500000002</v>
      </c>
      <c r="BD836" s="224">
        <f>'Perfil - interna'!BD836+'Perfil - externa'!BD834</f>
        <v>200498.65694444443</v>
      </c>
      <c r="BE836" s="224">
        <f>'Perfil - interna'!BE836+'Perfil - externa'!BE834</f>
        <v>200498.65694444443</v>
      </c>
      <c r="BF836" s="224">
        <f>'Perfil - interna'!BF836+'Perfil - externa'!BF834</f>
        <v>201047.96833333332</v>
      </c>
      <c r="BG836" s="224">
        <f>'Perfil - interna'!BG836+'Perfil - externa'!BG834</f>
        <v>200498.65694444443</v>
      </c>
      <c r="BH836" s="224">
        <f>'Perfil - interna'!BH836+'Perfil - externa'!BH834</f>
        <v>200498.65694444443</v>
      </c>
      <c r="BI836" s="224">
        <f>'Perfil - interna'!BI836+'Perfil - externa'!BI834</f>
        <v>200498.65694444443</v>
      </c>
      <c r="BJ836" s="224">
        <f>'Perfil - interna'!BJ836+'Perfil - externa'!BJ834</f>
        <v>201047.96833333332</v>
      </c>
      <c r="BK836" s="224">
        <f>'Perfil - interna'!BK836+'Perfil - externa'!BK834</f>
        <v>101073.29555555554</v>
      </c>
    </row>
    <row r="837" spans="1:63">
      <c r="A837" s="279"/>
      <c r="B837" s="307" t="s">
        <v>29</v>
      </c>
      <c r="C837" s="321"/>
      <c r="D837" s="321"/>
      <c r="E837" s="321"/>
      <c r="F837" s="321"/>
      <c r="G837" s="321"/>
      <c r="H837" s="321"/>
      <c r="I837" s="321"/>
      <c r="J837" s="321"/>
      <c r="K837" s="321"/>
      <c r="L837" s="321"/>
      <c r="M837" s="321"/>
      <c r="N837" s="321"/>
      <c r="O837" s="321"/>
      <c r="P837" s="321"/>
      <c r="Q837" s="321"/>
      <c r="R837" s="321"/>
      <c r="S837" s="321"/>
      <c r="T837" s="321"/>
      <c r="U837" s="321"/>
      <c r="V837" s="321"/>
      <c r="W837" s="321"/>
      <c r="X837" s="321"/>
      <c r="Y837" s="321"/>
      <c r="Z837" s="321">
        <f t="shared" ref="Z837:BG837" si="91">+Z835+Z836</f>
        <v>140253586.45225599</v>
      </c>
      <c r="AA837" s="321">
        <f t="shared" si="91"/>
        <v>98605010.881643534</v>
      </c>
      <c r="AB837" s="321">
        <f t="shared" si="91"/>
        <v>89343910.093888819</v>
      </c>
      <c r="AC837" s="321">
        <f t="shared" si="91"/>
        <v>101143639.43522565</v>
      </c>
      <c r="AD837" s="321">
        <f t="shared" si="91"/>
        <v>80425009.813096866</v>
      </c>
      <c r="AE837" s="321">
        <f t="shared" si="91"/>
        <v>70664834.48233512</v>
      </c>
      <c r="AF837" s="321">
        <f t="shared" si="91"/>
        <v>69374034.347383946</v>
      </c>
      <c r="AG837" s="321">
        <f t="shared" si="91"/>
        <v>84706153.286883295</v>
      </c>
      <c r="AH837" s="321">
        <f t="shared" si="91"/>
        <v>70660874.460987359</v>
      </c>
      <c r="AI837" s="321">
        <f t="shared" si="91"/>
        <v>78742011.206504852</v>
      </c>
      <c r="AJ837" s="321">
        <f t="shared" si="91"/>
        <v>63478818.005147874</v>
      </c>
      <c r="AK837" s="321">
        <f t="shared" si="91"/>
        <v>65105686.76308845</v>
      </c>
      <c r="AL837" s="321">
        <f t="shared" si="91"/>
        <v>39562948.51483272</v>
      </c>
      <c r="AM837" s="321">
        <f t="shared" si="91"/>
        <v>60029665.535906687</v>
      </c>
      <c r="AN837" s="321">
        <f t="shared" si="91"/>
        <v>19744117.988874525</v>
      </c>
      <c r="AO837" s="321">
        <f t="shared" si="91"/>
        <v>15438110.202216957</v>
      </c>
      <c r="AP837" s="321">
        <f t="shared" si="91"/>
        <v>15814046.28904778</v>
      </c>
      <c r="AQ837" s="321">
        <f t="shared" si="91"/>
        <v>21516629.803293899</v>
      </c>
      <c r="AR837" s="321">
        <f t="shared" si="91"/>
        <v>47629033.796903141</v>
      </c>
      <c r="AS837" s="321">
        <f t="shared" si="91"/>
        <v>6781308.4826136921</v>
      </c>
      <c r="AT837" s="321">
        <f t="shared" si="91"/>
        <v>16247573.763591379</v>
      </c>
      <c r="AU837" s="321">
        <f t="shared" si="91"/>
        <v>23418704.361055449</v>
      </c>
      <c r="AV837" s="321">
        <f t="shared" si="91"/>
        <v>5362435.061261178</v>
      </c>
      <c r="AW837" s="321">
        <f t="shared" si="91"/>
        <v>5395299.6033386439</v>
      </c>
      <c r="AX837" s="321">
        <f t="shared" si="91"/>
        <v>5455502.4958232949</v>
      </c>
      <c r="AY837" s="321">
        <f t="shared" si="91"/>
        <v>41305252.652908005</v>
      </c>
      <c r="AZ837" s="321">
        <f t="shared" si="91"/>
        <v>28843708.601533212</v>
      </c>
      <c r="BA837" s="321">
        <f t="shared" si="91"/>
        <v>6646347.4874999998</v>
      </c>
      <c r="BB837" s="321">
        <f t="shared" si="91"/>
        <v>637566.51</v>
      </c>
      <c r="BC837" s="321">
        <f t="shared" si="91"/>
        <v>5542824.5250000004</v>
      </c>
      <c r="BD837" s="321">
        <f t="shared" si="91"/>
        <v>200498.65694444443</v>
      </c>
      <c r="BE837" s="321">
        <f t="shared" si="91"/>
        <v>200498.65694444443</v>
      </c>
      <c r="BF837" s="321">
        <f t="shared" si="91"/>
        <v>201047.96833333332</v>
      </c>
      <c r="BG837" s="321">
        <f t="shared" si="91"/>
        <v>200498.65694444443</v>
      </c>
      <c r="BH837" s="321">
        <f>+BH835+BH836</f>
        <v>200498.65694444443</v>
      </c>
      <c r="BI837" s="321">
        <f>+BI835+BI836</f>
        <v>200498.65694444443</v>
      </c>
      <c r="BJ837" s="321">
        <f>+BJ835+BJ836</f>
        <v>201047.96833333332</v>
      </c>
      <c r="BK837" s="321">
        <f>+BK835+BK836</f>
        <v>5204353.2955555553</v>
      </c>
    </row>
    <row r="838" spans="1:63">
      <c r="A838" s="278"/>
      <c r="B838" s="210" t="s">
        <v>28</v>
      </c>
      <c r="C838" s="224"/>
      <c r="D838" s="224"/>
      <c r="E838" s="224"/>
      <c r="F838" s="224"/>
      <c r="G838" s="224"/>
      <c r="H838" s="224"/>
      <c r="I838" s="224"/>
      <c r="J838" s="224"/>
      <c r="K838" s="224"/>
      <c r="L838" s="224"/>
      <c r="M838" s="224"/>
      <c r="N838" s="224"/>
      <c r="O838" s="224"/>
      <c r="P838" s="224"/>
      <c r="Q838" s="224"/>
      <c r="R838" s="224"/>
      <c r="S838" s="224"/>
      <c r="T838" s="224"/>
      <c r="U838" s="224"/>
      <c r="V838" s="224"/>
      <c r="W838" s="224"/>
      <c r="X838" s="224"/>
      <c r="Y838" s="224"/>
      <c r="Z838" s="224">
        <f>'Perfil - interna'!Z838+'Perfil - externa'!Z836</f>
        <v>103270671.40176572</v>
      </c>
      <c r="AA838" s="224">
        <f>'Perfil - interna'!AA838+'Perfil - externa'!AA836</f>
        <v>54419587.658491239</v>
      </c>
      <c r="AB838" s="224">
        <f>'Perfil - interna'!AB838+'Perfil - externa'!AB836</f>
        <v>48847092.766250536</v>
      </c>
      <c r="AC838" s="224">
        <f>'Perfil - interna'!AC838+'Perfil - externa'!AC836</f>
        <v>63676172.263723627</v>
      </c>
      <c r="AD838" s="224">
        <f>'Perfil - interna'!AD838+'Perfil - externa'!AD836</f>
        <v>45621329.825610012</v>
      </c>
      <c r="AE838" s="224">
        <f>'Perfil - interna'!AE838+'Perfil - externa'!AE836</f>
        <v>38793321.758003838</v>
      </c>
      <c r="AF838" s="224">
        <f>'Perfil - interna'!AF838+'Perfil - externa'!AF836</f>
        <v>37704906.114977576</v>
      </c>
      <c r="AG838" s="224">
        <f>'Perfil - interna'!AG838+'Perfil - externa'!AG836</f>
        <v>55227906.437987685</v>
      </c>
      <c r="AH838" s="224">
        <f>'Perfil - interna'!AH838+'Perfil - externa'!AH836</f>
        <v>43977280.351674378</v>
      </c>
      <c r="AI838" s="224">
        <f>'Perfil - interna'!AI838+'Perfil - externa'!AI836</f>
        <v>57470384.589881383</v>
      </c>
      <c r="AJ838" s="224">
        <f>'Perfil - interna'!AJ838+'Perfil - externa'!AJ836</f>
        <v>43710857.122799717</v>
      </c>
      <c r="AK838" s="224">
        <f>'Perfil - interna'!AK838+'Perfil - externa'!AK836</f>
        <v>48012557.917463511</v>
      </c>
      <c r="AL838" s="224">
        <f>'Perfil - interna'!AL838+'Perfil - externa'!AL836</f>
        <v>25122334.385839313</v>
      </c>
      <c r="AM838" s="224">
        <f>'Perfil - interna'!AM838+'Perfil - externa'!AM836</f>
        <v>47271125.060651928</v>
      </c>
      <c r="AN838" s="224">
        <f>'Perfil - interna'!AN838+'Perfil - externa'!AN836</f>
        <v>8948514.1735152267</v>
      </c>
      <c r="AO838" s="224">
        <f>'Perfil - interna'!AO838+'Perfil - externa'!AO836</f>
        <v>4753042.9236056888</v>
      </c>
      <c r="AP838" s="224">
        <f>'Perfil - interna'!AP838+'Perfil - externa'!AP836</f>
        <v>5320848.0793738002</v>
      </c>
      <c r="AQ838" s="224">
        <f>'Perfil - interna'!AQ838+'Perfil - externa'!AQ836</f>
        <v>11462567.056838783</v>
      </c>
      <c r="AR838" s="224">
        <f>'Perfil - interna'!AR838+'Perfil - externa'!AR836</f>
        <v>40629209.754688621</v>
      </c>
      <c r="AS838" s="224">
        <f>'Perfil - interna'!AS838+'Perfil - externa'!AS836</f>
        <v>253360.2735122283</v>
      </c>
      <c r="AT838" s="224">
        <f>'Perfil - interna'!AT838+'Perfil - externa'!AT836</f>
        <v>9965735.7088382244</v>
      </c>
      <c r="AU838" s="224">
        <f>'Perfil - interna'!AU838+'Perfil - externa'!AU836</f>
        <v>17823761.421325944</v>
      </c>
      <c r="AV838" s="224">
        <f>'Perfil - interna'!AV838+'Perfil - externa'!AV836</f>
        <v>120897.97592536168</v>
      </c>
      <c r="AW838" s="224">
        <f>'Perfil - interna'!AW838+'Perfil - externa'!AW836</f>
        <v>99446.390964609236</v>
      </c>
      <c r="AX838" s="224">
        <f>'Perfil - interna'!AX838+'Perfil - externa'!AX836</f>
        <v>99257.292490343272</v>
      </c>
      <c r="AY838" s="224">
        <f>'Perfil - interna'!AY838+'Perfil - externa'!AY836</f>
        <v>36705723.580148503</v>
      </c>
      <c r="AZ838" s="224">
        <f>'Perfil - interna'!AZ838+'Perfil - externa'!AZ836</f>
        <v>27127768.702933189</v>
      </c>
      <c r="BA838" s="224">
        <f>'Perfil - interna'!BA838+'Perfil - externa'!BA836</f>
        <v>5900340</v>
      </c>
      <c r="BB838" s="224">
        <f>'Perfil - interna'!BB838+'Perfil - externa'!BB836</f>
        <v>0</v>
      </c>
      <c r="BC838" s="224">
        <f>'Perfil - interna'!BC838+'Perfil - externa'!BC836</f>
        <v>4916950</v>
      </c>
      <c r="BD838" s="224">
        <f>'Perfil - interna'!BD838+'Perfil - externa'!BD836</f>
        <v>0</v>
      </c>
      <c r="BE838" s="224">
        <f>'Perfil - interna'!BE838+'Perfil - externa'!BE836</f>
        <v>0</v>
      </c>
      <c r="BF838" s="224">
        <f>'Perfil - interna'!BF838+'Perfil - externa'!BF836</f>
        <v>0</v>
      </c>
      <c r="BG838" s="224">
        <f>'Perfil - interna'!BG838+'Perfil - externa'!BG836</f>
        <v>0</v>
      </c>
      <c r="BH838" s="224">
        <f>'Perfil - interna'!BH838+'Perfil - externa'!BH836</f>
        <v>0</v>
      </c>
      <c r="BI838" s="224">
        <f>'Perfil - interna'!BI838+'Perfil - externa'!BI836</f>
        <v>0</v>
      </c>
      <c r="BJ838" s="224">
        <f>'Perfil - interna'!BJ838+'Perfil - externa'!BJ836</f>
        <v>0</v>
      </c>
      <c r="BK838" s="224">
        <f>'Perfil - interna'!BK838+'Perfil - externa'!BK836</f>
        <v>5113628</v>
      </c>
    </row>
    <row r="839" spans="1:63">
      <c r="A839" s="168">
        <v>45350</v>
      </c>
      <c r="B839" s="213" t="s">
        <v>385</v>
      </c>
      <c r="C839" s="224"/>
      <c r="D839" s="224"/>
      <c r="E839" s="224"/>
      <c r="F839" s="224"/>
      <c r="G839" s="224"/>
      <c r="H839" s="224"/>
      <c r="I839" s="224"/>
      <c r="J839" s="224"/>
      <c r="K839" s="224"/>
      <c r="L839" s="224"/>
      <c r="M839" s="224"/>
      <c r="N839" s="224"/>
      <c r="O839" s="224"/>
      <c r="P839" s="224"/>
      <c r="Q839" s="224"/>
      <c r="R839" s="224"/>
      <c r="S839" s="224"/>
      <c r="T839" s="224"/>
      <c r="U839" s="224"/>
      <c r="V839" s="224"/>
      <c r="W839" s="224"/>
      <c r="X839" s="224"/>
      <c r="Y839" s="224"/>
      <c r="Z839" s="224">
        <f>'Perfil - interna'!Z839+'Perfil - externa'!Z837</f>
        <v>41315552.02871646</v>
      </c>
      <c r="AA839" s="224">
        <f>'Perfil - interna'!AA839+'Perfil - externa'!AA837</f>
        <v>43965314.750933424</v>
      </c>
      <c r="AB839" s="224">
        <f>'Perfil - interna'!AB839+'Perfil - externa'!AB837</f>
        <v>41296555.63372124</v>
      </c>
      <c r="AC839" s="224">
        <f>'Perfil - interna'!AC839+'Perfil - externa'!AC837</f>
        <v>38458663.296375826</v>
      </c>
      <c r="AD839" s="224">
        <f>'Perfil - interna'!AD839+'Perfil - externa'!AD837</f>
        <v>35892581.483209684</v>
      </c>
      <c r="AE839" s="224">
        <f>'Perfil - interna'!AE839+'Perfil - externa'!AE837</f>
        <v>33458505.31271271</v>
      </c>
      <c r="AF839" s="224">
        <f>'Perfil - interna'!AF839+'Perfil - externa'!AF837</f>
        <v>32451976.370152637</v>
      </c>
      <c r="AG839" s="224">
        <f>'Perfil - interna'!AG839+'Perfil - externa'!AG837</f>
        <v>30287274.948792484</v>
      </c>
      <c r="AH839" s="224">
        <f>'Perfil - interna'!AH839+'Perfil - externa'!AH837</f>
        <v>27469670.811576046</v>
      </c>
      <c r="AI839" s="224">
        <f>'Perfil - interna'!AI839+'Perfil - externa'!AI837</f>
        <v>24924502.760709975</v>
      </c>
      <c r="AJ839" s="224">
        <f>'Perfil - interna'!AJ839+'Perfil - externa'!AJ837</f>
        <v>20188979.227122627</v>
      </c>
      <c r="AK839" s="224">
        <f>'Perfil - interna'!AK839+'Perfil - externa'!AK837</f>
        <v>17714773.813310899</v>
      </c>
      <c r="AL839" s="224">
        <f>'Perfil - interna'!AL839+'Perfil - externa'!AL837</f>
        <v>14824441.442678895</v>
      </c>
      <c r="AM839" s="224">
        <f>'Perfil - interna'!AM839+'Perfil - externa'!AM837</f>
        <v>13889016.998710398</v>
      </c>
      <c r="AN839" s="224">
        <f>'Perfil - interna'!AN839+'Perfil - externa'!AN837</f>
        <v>11164594.39641751</v>
      </c>
      <c r="AO839" s="224">
        <f>'Perfil - interna'!AO839+'Perfil - externa'!AO837</f>
        <v>11045819.897482015</v>
      </c>
      <c r="AP839" s="224">
        <f>'Perfil - interna'!AP839+'Perfil - externa'!AP837</f>
        <v>10855298.087766167</v>
      </c>
      <c r="AQ839" s="224">
        <f>'Perfil - interna'!AQ839+'Perfil - externa'!AQ837</f>
        <v>10428551.841651566</v>
      </c>
      <c r="AR839" s="224">
        <f>'Perfil - interna'!AR839+'Perfil - externa'!AR837</f>
        <v>10013521.382336736</v>
      </c>
      <c r="AS839" s="224">
        <f>'Perfil - interna'!AS839+'Perfil - externa'!AS837</f>
        <v>6633388.9964024825</v>
      </c>
      <c r="AT839" s="224">
        <f>'Perfil - interna'!AT839+'Perfil - externa'!AT837</f>
        <v>6406678.8082343154</v>
      </c>
      <c r="AU839" s="224">
        <f>'Perfil - interna'!AU839+'Perfil - externa'!AU837</f>
        <v>5734824.4481661394</v>
      </c>
      <c r="AV839" s="224">
        <f>'Perfil - interna'!AV839+'Perfil - externa'!AV837</f>
        <v>5345412.4320487343</v>
      </c>
      <c r="AW839" s="224">
        <f>'Perfil - interna'!AW839+'Perfil - externa'!AW837</f>
        <v>5400420.21905577</v>
      </c>
      <c r="AX839" s="224">
        <f>'Perfil - interna'!AX839+'Perfil - externa'!AX837</f>
        <v>5461578.0549814161</v>
      </c>
      <c r="AY839" s="224">
        <f>'Perfil - interna'!AY839+'Perfil - externa'!AY837</f>
        <v>5223757.7652761629</v>
      </c>
      <c r="AZ839" s="224">
        <f>'Perfil - interna'!AZ839+'Perfil - externa'!AZ837</f>
        <v>2846832.7772072051</v>
      </c>
      <c r="BA839" s="224">
        <f>'Perfil - interna'!BA839+'Perfil - externa'!BA837</f>
        <v>759484.38937500003</v>
      </c>
      <c r="BB839" s="224">
        <f>'Perfil - interna'!BB839+'Perfil - externa'!BB837</f>
        <v>638859.31349999993</v>
      </c>
      <c r="BC839" s="224">
        <f>'Perfil - interna'!BC839+'Perfil - externa'!BC837</f>
        <v>637113.79625000001</v>
      </c>
      <c r="BD839" s="224">
        <f>'Perfil - interna'!BD839+'Perfil - externa'!BD837</f>
        <v>200905.21118055555</v>
      </c>
      <c r="BE839" s="224">
        <f>'Perfil - interna'!BE839+'Perfil - externa'!BE837</f>
        <v>200905.21118055555</v>
      </c>
      <c r="BF839" s="224">
        <f>'Perfil - interna'!BF839+'Perfil - externa'!BF837</f>
        <v>201455.63641666665</v>
      </c>
      <c r="BG839" s="224">
        <f>'Perfil - interna'!BG839+'Perfil - externa'!BG837</f>
        <v>200905.21118055555</v>
      </c>
      <c r="BH839" s="224">
        <f>'Perfil - interna'!BH839+'Perfil - externa'!BH837</f>
        <v>200905.21118055555</v>
      </c>
      <c r="BI839" s="224">
        <f>'Perfil - interna'!BI839+'Perfil - externa'!BI837</f>
        <v>200905.21118055555</v>
      </c>
      <c r="BJ839" s="224">
        <f>'Perfil - interna'!BJ839+'Perfil - externa'!BJ837</f>
        <v>201455.63641666665</v>
      </c>
      <c r="BK839" s="224">
        <f>'Perfil - interna'!BK839+'Perfil - externa'!BK837</f>
        <v>101278.24344444444</v>
      </c>
    </row>
    <row r="840" spans="1:63">
      <c r="A840" s="279"/>
      <c r="B840" s="307" t="s">
        <v>29</v>
      </c>
      <c r="C840" s="321"/>
      <c r="D840" s="321"/>
      <c r="E840" s="321"/>
      <c r="F840" s="321"/>
      <c r="G840" s="321"/>
      <c r="H840" s="321"/>
      <c r="I840" s="321"/>
      <c r="J840" s="321"/>
      <c r="K840" s="321"/>
      <c r="L840" s="321"/>
      <c r="M840" s="321"/>
      <c r="N840" s="321"/>
      <c r="O840" s="321"/>
      <c r="P840" s="321"/>
      <c r="Q840" s="321"/>
      <c r="R840" s="321"/>
      <c r="S840" s="321"/>
      <c r="T840" s="321"/>
      <c r="U840" s="321"/>
      <c r="V840" s="321"/>
      <c r="W840" s="321"/>
      <c r="X840" s="321"/>
      <c r="Y840" s="321"/>
      <c r="Z840" s="321">
        <f t="shared" ref="Z840:BG840" si="92">+Z838+Z839</f>
        <v>144586223.43048218</v>
      </c>
      <c r="AA840" s="321">
        <f t="shared" si="92"/>
        <v>98384902.409424663</v>
      </c>
      <c r="AB840" s="321">
        <f t="shared" si="92"/>
        <v>90143648.399971783</v>
      </c>
      <c r="AC840" s="321">
        <f t="shared" si="92"/>
        <v>102134835.56009945</v>
      </c>
      <c r="AD840" s="321">
        <f t="shared" si="92"/>
        <v>81513911.308819696</v>
      </c>
      <c r="AE840" s="321">
        <f t="shared" si="92"/>
        <v>72251827.070716545</v>
      </c>
      <c r="AF840" s="321">
        <f t="shared" si="92"/>
        <v>70156882.485130221</v>
      </c>
      <c r="AG840" s="321">
        <f t="shared" si="92"/>
        <v>85515181.386780173</v>
      </c>
      <c r="AH840" s="321">
        <f t="shared" si="92"/>
        <v>71446951.163250417</v>
      </c>
      <c r="AI840" s="321">
        <f t="shared" si="92"/>
        <v>82394887.350591362</v>
      </c>
      <c r="AJ840" s="321">
        <f t="shared" si="92"/>
        <v>63899836.349922344</v>
      </c>
      <c r="AK840" s="321">
        <f t="shared" si="92"/>
        <v>65727331.73077441</v>
      </c>
      <c r="AL840" s="321">
        <f t="shared" si="92"/>
        <v>39946775.828518212</v>
      </c>
      <c r="AM840" s="321">
        <f t="shared" si="92"/>
        <v>61160142.059362322</v>
      </c>
      <c r="AN840" s="321">
        <f t="shared" si="92"/>
        <v>20113108.569932736</v>
      </c>
      <c r="AO840" s="321">
        <f t="shared" si="92"/>
        <v>15798862.821087703</v>
      </c>
      <c r="AP840" s="321">
        <f t="shared" si="92"/>
        <v>16176146.167139966</v>
      </c>
      <c r="AQ840" s="321">
        <f t="shared" si="92"/>
        <v>21891118.898490347</v>
      </c>
      <c r="AR840" s="321">
        <f t="shared" si="92"/>
        <v>50642731.137025356</v>
      </c>
      <c r="AS840" s="321">
        <f t="shared" si="92"/>
        <v>6886749.2699147109</v>
      </c>
      <c r="AT840" s="321">
        <f t="shared" si="92"/>
        <v>16372414.51707254</v>
      </c>
      <c r="AU840" s="321">
        <f t="shared" si="92"/>
        <v>23558585.869492084</v>
      </c>
      <c r="AV840" s="321">
        <f t="shared" si="92"/>
        <v>5466310.407974096</v>
      </c>
      <c r="AW840" s="321">
        <f t="shared" si="92"/>
        <v>5499866.6100203795</v>
      </c>
      <c r="AX840" s="321">
        <f t="shared" si="92"/>
        <v>5560835.3474717597</v>
      </c>
      <c r="AY840" s="321">
        <f t="shared" si="92"/>
        <v>41929481.345424667</v>
      </c>
      <c r="AZ840" s="321">
        <f t="shared" si="92"/>
        <v>29974601.480140395</v>
      </c>
      <c r="BA840" s="321">
        <f t="shared" si="92"/>
        <v>6659824.3893750003</v>
      </c>
      <c r="BB840" s="321">
        <f t="shared" si="92"/>
        <v>638859.31349999993</v>
      </c>
      <c r="BC840" s="321">
        <f t="shared" si="92"/>
        <v>5554063.7962499997</v>
      </c>
      <c r="BD840" s="321">
        <f t="shared" si="92"/>
        <v>200905.21118055555</v>
      </c>
      <c r="BE840" s="321">
        <f t="shared" si="92"/>
        <v>200905.21118055555</v>
      </c>
      <c r="BF840" s="321">
        <f t="shared" si="92"/>
        <v>201455.63641666665</v>
      </c>
      <c r="BG840" s="321">
        <f t="shared" si="92"/>
        <v>200905.21118055555</v>
      </c>
      <c r="BH840" s="321">
        <f>+BH838+BH839</f>
        <v>200905.21118055555</v>
      </c>
      <c r="BI840" s="321">
        <f>+BI838+BI839</f>
        <v>200905.21118055555</v>
      </c>
      <c r="BJ840" s="321">
        <f>+BJ838+BJ839</f>
        <v>201455.63641666665</v>
      </c>
      <c r="BK840" s="321">
        <f>+BK838+BK839</f>
        <v>5214906.2434444446</v>
      </c>
    </row>
    <row r="841" spans="1:63">
      <c r="A841" s="278"/>
      <c r="B841" s="210" t="s">
        <v>28</v>
      </c>
      <c r="C841" s="224"/>
      <c r="D841" s="224"/>
      <c r="E841" s="224"/>
      <c r="F841" s="224"/>
      <c r="G841" s="224"/>
      <c r="H841" s="224"/>
      <c r="I841" s="224"/>
      <c r="J841" s="224"/>
      <c r="K841" s="224"/>
      <c r="L841" s="224"/>
      <c r="M841" s="224"/>
      <c r="N841" s="224"/>
      <c r="O841" s="224"/>
      <c r="P841" s="224"/>
      <c r="Q841" s="224"/>
      <c r="R841" s="224"/>
      <c r="S841" s="224"/>
      <c r="T841" s="224"/>
      <c r="U841" s="224"/>
      <c r="V841" s="224"/>
      <c r="W841" s="224"/>
      <c r="X841" s="224"/>
      <c r="Y841" s="224"/>
      <c r="Z841" s="224">
        <f>'Perfil - interna'!Z841+'Perfil - externa'!Z839</f>
        <v>94792322.224382699</v>
      </c>
      <c r="AA841" s="224">
        <f>'Perfil - interna'!AA841+'Perfil - externa'!AA839</f>
        <v>50818384.575932592</v>
      </c>
      <c r="AB841" s="224">
        <f>'Perfil - interna'!AB841+'Perfil - externa'!AB839</f>
        <v>48440921.644939259</v>
      </c>
      <c r="AC841" s="224">
        <f>'Perfil - interna'!AC841+'Perfil - externa'!AC839</f>
        <v>63799038.748708755</v>
      </c>
      <c r="AD841" s="224">
        <f>'Perfil - interna'!AD841+'Perfil - externa'!AD839</f>
        <v>45742533.771091916</v>
      </c>
      <c r="AE841" s="224">
        <f>'Perfil - interna'!AE841+'Perfil - externa'!AE839</f>
        <v>40535085.08027938</v>
      </c>
      <c r="AF841" s="224">
        <f>'Perfil - interna'!AF841+'Perfil - externa'!AF839</f>
        <v>37620520.148772426</v>
      </c>
      <c r="AG841" s="224">
        <f>'Perfil - interna'!AG841+'Perfil - externa'!AG839</f>
        <v>55038657.022102438</v>
      </c>
      <c r="AH841" s="224">
        <f>'Perfil - interna'!AH841+'Perfil - externa'!AH839</f>
        <v>43880374.116988137</v>
      </c>
      <c r="AI841" s="224">
        <f>'Perfil - interna'!AI841+'Perfil - externa'!AI839</f>
        <v>59676128.239102945</v>
      </c>
      <c r="AJ841" s="224">
        <f>'Perfil - interna'!AJ841+'Perfil - externa'!AJ839</f>
        <v>43484550.051587969</v>
      </c>
      <c r="AK841" s="224">
        <f>'Perfil - interna'!AK841+'Perfil - externa'!AK839</f>
        <v>48057729.79357484</v>
      </c>
      <c r="AL841" s="224">
        <f>'Perfil - interna'!AL841+'Perfil - externa'!AL839</f>
        <v>24817514.051530391</v>
      </c>
      <c r="AM841" s="224">
        <f>'Perfil - interna'!AM841+'Perfil - externa'!AM839</f>
        <v>48400556.827826254</v>
      </c>
      <c r="AN841" s="224">
        <f>'Perfil - interna'!AN841+'Perfil - externa'!AN839</f>
        <v>8742363.9073042367</v>
      </c>
      <c r="AO841" s="224">
        <f>'Perfil - interna'!AO841+'Perfil - externa'!AO839</f>
        <v>4644229.0921425456</v>
      </c>
      <c r="AP841" s="224">
        <f>'Perfil - interna'!AP841+'Perfil - externa'!AP839</f>
        <v>5197982.5995020634</v>
      </c>
      <c r="AQ841" s="224">
        <f>'Perfil - interna'!AQ841+'Perfil - externa'!AQ839</f>
        <v>11196451.475579096</v>
      </c>
      <c r="AR841" s="224">
        <f>'Perfil - interna'!AR841+'Perfil - externa'!AR839</f>
        <v>43243440.714364424</v>
      </c>
      <c r="AS841" s="224">
        <f>'Perfil - interna'!AS841+'Perfil - externa'!AS839</f>
        <v>247302.30191055647</v>
      </c>
      <c r="AT841" s="224">
        <f>'Perfil - interna'!AT841+'Perfil - externa'!AT839</f>
        <v>9734347.150636157</v>
      </c>
      <c r="AU841" s="224">
        <f>'Perfil - interna'!AU841+'Perfil - externa'!AU839</f>
        <v>17410063.853849426</v>
      </c>
      <c r="AV841" s="224">
        <f>'Perfil - interna'!AV841+'Perfil - externa'!AV839</f>
        <v>117913.17704198505</v>
      </c>
      <c r="AW841" s="224">
        <f>'Perfil - interna'!AW841+'Perfil - externa'!AW839</f>
        <v>96959.276530819814</v>
      </c>
      <c r="AX841" s="224">
        <f>'Perfil - interna'!AX841+'Perfil - externa'!AX839</f>
        <v>96774.565208843778</v>
      </c>
      <c r="AY841" s="224">
        <f>'Perfil - interna'!AY841+'Perfil - externa'!AY839</f>
        <v>37466960.090944454</v>
      </c>
      <c r="AZ841" s="224">
        <f>'Perfil - interna'!AZ841+'Perfil - externa'!AZ839</f>
        <v>28621102.591812883</v>
      </c>
      <c r="BA841" s="224">
        <f>'Perfil - interna'!BA841+'Perfil - externa'!BA839</f>
        <v>5763450</v>
      </c>
      <c r="BB841" s="224">
        <f>'Perfil - interna'!BB841+'Perfil - externa'!BB839</f>
        <v>0</v>
      </c>
      <c r="BC841" s="224">
        <f>'Perfil - interna'!BC841+'Perfil - externa'!BC839</f>
        <v>4802875</v>
      </c>
      <c r="BD841" s="224">
        <f>'Perfil - interna'!BD841+'Perfil - externa'!BD839</f>
        <v>0</v>
      </c>
      <c r="BE841" s="224">
        <f>'Perfil - interna'!BE841+'Perfil - externa'!BE839</f>
        <v>0</v>
      </c>
      <c r="BF841" s="224">
        <f>'Perfil - interna'!BF841+'Perfil - externa'!BF839</f>
        <v>0</v>
      </c>
      <c r="BG841" s="224">
        <f>'Perfil - interna'!BG841+'Perfil - externa'!BG839</f>
        <v>0</v>
      </c>
      <c r="BH841" s="224">
        <f>'Perfil - interna'!BH841+'Perfil - externa'!BH839</f>
        <v>0</v>
      </c>
      <c r="BI841" s="224">
        <f>'Perfil - interna'!BI841+'Perfil - externa'!BI839</f>
        <v>0</v>
      </c>
      <c r="BJ841" s="224">
        <f>'Perfil - interna'!BJ841+'Perfil - externa'!BJ839</f>
        <v>0</v>
      </c>
      <c r="BK841" s="224">
        <f>'Perfil - interna'!BK841+'Perfil - externa'!BK839</f>
        <v>4994990</v>
      </c>
    </row>
    <row r="842" spans="1:63">
      <c r="A842" s="168">
        <v>45382</v>
      </c>
      <c r="B842" s="213" t="s">
        <v>385</v>
      </c>
      <c r="C842" s="224"/>
      <c r="D842" s="224"/>
      <c r="E842" s="224"/>
      <c r="F842" s="224"/>
      <c r="G842" s="224"/>
      <c r="H842" s="224"/>
      <c r="I842" s="224"/>
      <c r="J842" s="224"/>
      <c r="K842" s="224"/>
      <c r="L842" s="224"/>
      <c r="M842" s="224"/>
      <c r="N842" s="224"/>
      <c r="O842" s="224"/>
      <c r="P842" s="224"/>
      <c r="Q842" s="224"/>
      <c r="R842" s="224"/>
      <c r="S842" s="224"/>
      <c r="T842" s="224"/>
      <c r="U842" s="224"/>
      <c r="V842" s="224"/>
      <c r="W842" s="224"/>
      <c r="X842" s="224"/>
      <c r="Y842" s="224"/>
      <c r="Z842" s="224">
        <f>'Perfil - interna'!Z842+'Perfil - externa'!Z840</f>
        <v>34963066.673363186</v>
      </c>
      <c r="AA842" s="224">
        <f>'Perfil - interna'!AA842+'Perfil - externa'!AA840</f>
        <v>44646037.054188997</v>
      </c>
      <c r="AB842" s="224">
        <f>'Perfil - interna'!AB842+'Perfil - externa'!AB840</f>
        <v>42174909.849739835</v>
      </c>
      <c r="AC842" s="224">
        <f>'Perfil - interna'!AC842+'Perfil - externa'!AC840</f>
        <v>39305930.448851198</v>
      </c>
      <c r="AD842" s="224">
        <f>'Perfil - interna'!AD842+'Perfil - externa'!AD840</f>
        <v>36734281.769565418</v>
      </c>
      <c r="AE842" s="224">
        <f>'Perfil - interna'!AE842+'Perfil - externa'!AE840</f>
        <v>34252727.838840663</v>
      </c>
      <c r="AF842" s="224">
        <f>'Perfil - interna'!AF842+'Perfil - externa'!AF840</f>
        <v>33147833.368859496</v>
      </c>
      <c r="AG842" s="224">
        <f>'Perfil - interna'!AG842+'Perfil - externa'!AG840</f>
        <v>30967790.885595832</v>
      </c>
      <c r="AH842" s="224">
        <f>'Perfil - interna'!AH842+'Perfil - externa'!AH840</f>
        <v>28143735.974776819</v>
      </c>
      <c r="AI842" s="224">
        <f>'Perfil - interna'!AI842+'Perfil - externa'!AI840</f>
        <v>25586198.227849476</v>
      </c>
      <c r="AJ842" s="224">
        <f>'Perfil - interna'!AJ842+'Perfil - externa'!AJ840</f>
        <v>20559032.560151439</v>
      </c>
      <c r="AK842" s="224">
        <f>'Perfil - interna'!AK842+'Perfil - externa'!AK840</f>
        <v>18081983.227924909</v>
      </c>
      <c r="AL842" s="224">
        <f>'Perfil - interna'!AL842+'Perfil - externa'!AL840</f>
        <v>15198234.348753052</v>
      </c>
      <c r="AM842" s="224">
        <f>'Perfil - interna'!AM842+'Perfil - externa'!AM840</f>
        <v>14261412.274061918</v>
      </c>
      <c r="AN842" s="224">
        <f>'Perfil - interna'!AN842+'Perfil - externa'!AN840</f>
        <v>11488686.793982929</v>
      </c>
      <c r="AO842" s="224">
        <f>'Perfil - interna'!AO842+'Perfil - externa'!AO840</f>
        <v>11366783.291180912</v>
      </c>
      <c r="AP842" s="224">
        <f>'Perfil - interna'!AP842+'Perfil - externa'!AP840</f>
        <v>11177742.229971835</v>
      </c>
      <c r="AQ842" s="224">
        <f>'Perfil - interna'!AQ842+'Perfil - externa'!AQ840</f>
        <v>10759094.02489756</v>
      </c>
      <c r="AR842" s="224">
        <f>'Perfil - interna'!AR842+'Perfil - externa'!AR840</f>
        <v>10353086.599785239</v>
      </c>
      <c r="AS842" s="224">
        <f>'Perfil - interna'!AS842+'Perfil - externa'!AS840</f>
        <v>6724863.0665261094</v>
      </c>
      <c r="AT842" s="224">
        <f>'Perfil - interna'!AT842+'Perfil - externa'!AT840</f>
        <v>6506127.7589071458</v>
      </c>
      <c r="AU842" s="224">
        <f>'Perfil - interna'!AU842+'Perfil - externa'!AU840</f>
        <v>5852690.7346147746</v>
      </c>
      <c r="AV842" s="224">
        <f>'Perfil - interna'!AV842+'Perfil - externa'!AV840</f>
        <v>5475231.5108179636</v>
      </c>
      <c r="AW842" s="224">
        <f>'Perfil - interna'!AW842+'Perfil - externa'!AW840</f>
        <v>5531969.0191949252</v>
      </c>
      <c r="AX842" s="224">
        <f>'Perfil - interna'!AX842+'Perfil - externa'!AX840</f>
        <v>5594803.921512994</v>
      </c>
      <c r="AY842" s="224">
        <f>'Perfil - interna'!AY842+'Perfil - externa'!AY840</f>
        <v>5365689.7722759806</v>
      </c>
      <c r="AZ842" s="224">
        <f>'Perfil - interna'!AZ842+'Perfil - externa'!AZ840</f>
        <v>2934687.0177028971</v>
      </c>
      <c r="BA842" s="224">
        <f>'Perfil - interna'!BA842+'Perfil - externa'!BA840</f>
        <v>741864.07968750002</v>
      </c>
      <c r="BB842" s="224">
        <f>'Perfil - interna'!BB842+'Perfil - externa'!BB840</f>
        <v>624037.54874999996</v>
      </c>
      <c r="BC842" s="224">
        <f>'Perfil - interna'!BC842+'Perfil - externa'!BC840</f>
        <v>622332.52812500007</v>
      </c>
      <c r="BD842" s="224">
        <f>'Perfil - interna'!BD842+'Perfil - externa'!BD840</f>
        <v>196244.13836805557</v>
      </c>
      <c r="BE842" s="224">
        <f>'Perfil - interna'!BE842+'Perfil - externa'!BE840</f>
        <v>196244.13836805557</v>
      </c>
      <c r="BF842" s="224">
        <f>'Perfil - interna'!BF842+'Perfil - externa'!BF840</f>
        <v>196781.79354166667</v>
      </c>
      <c r="BG842" s="224">
        <f>'Perfil - interna'!BG842+'Perfil - externa'!BG840</f>
        <v>196244.13836805557</v>
      </c>
      <c r="BH842" s="224">
        <f>'Perfil - interna'!BH842+'Perfil - externa'!BH840</f>
        <v>196244.13836805557</v>
      </c>
      <c r="BI842" s="224">
        <f>'Perfil - interna'!BI842+'Perfil - externa'!BI840</f>
        <v>196244.13836805557</v>
      </c>
      <c r="BJ842" s="224">
        <f>'Perfil - interna'!BJ842+'Perfil - externa'!BJ840</f>
        <v>196781.79354166667</v>
      </c>
      <c r="BK842" s="224">
        <f>'Perfil - interna'!BK842+'Perfil - externa'!BK840</f>
        <v>98928.551944444436</v>
      </c>
    </row>
    <row r="843" spans="1:63">
      <c r="A843" s="279"/>
      <c r="B843" s="307" t="s">
        <v>29</v>
      </c>
      <c r="C843" s="321"/>
      <c r="D843" s="321"/>
      <c r="E843" s="321"/>
      <c r="F843" s="321"/>
      <c r="G843" s="321"/>
      <c r="H843" s="321"/>
      <c r="I843" s="321"/>
      <c r="J843" s="321"/>
      <c r="K843" s="321"/>
      <c r="L843" s="321"/>
      <c r="M843" s="321"/>
      <c r="N843" s="321"/>
      <c r="O843" s="321"/>
      <c r="P843" s="321"/>
      <c r="Q843" s="321"/>
      <c r="R843" s="321"/>
      <c r="S843" s="321"/>
      <c r="T843" s="321"/>
      <c r="U843" s="321"/>
      <c r="V843" s="321"/>
      <c r="W843" s="321"/>
      <c r="X843" s="321"/>
      <c r="Y843" s="321"/>
      <c r="Z843" s="321">
        <f t="shared" ref="Z843:BG843" si="93">+Z841+Z842</f>
        <v>129755388.89774588</v>
      </c>
      <c r="AA843" s="321">
        <f t="shared" si="93"/>
        <v>95464421.630121589</v>
      </c>
      <c r="AB843" s="321">
        <f t="shared" si="93"/>
        <v>90615831.494679093</v>
      </c>
      <c r="AC843" s="321">
        <f t="shared" si="93"/>
        <v>103104969.19755995</v>
      </c>
      <c r="AD843" s="321">
        <f t="shared" si="93"/>
        <v>82476815.540657341</v>
      </c>
      <c r="AE843" s="321">
        <f t="shared" si="93"/>
        <v>74787812.919120044</v>
      </c>
      <c r="AF843" s="321">
        <f t="shared" si="93"/>
        <v>70768353.517631918</v>
      </c>
      <c r="AG843" s="321">
        <f t="shared" si="93"/>
        <v>86006447.907698274</v>
      </c>
      <c r="AH843" s="321">
        <f t="shared" si="93"/>
        <v>72024110.091764957</v>
      </c>
      <c r="AI843" s="321">
        <f t="shared" si="93"/>
        <v>85262326.466952413</v>
      </c>
      <c r="AJ843" s="321">
        <f t="shared" si="93"/>
        <v>64043582.611739412</v>
      </c>
      <c r="AK843" s="321">
        <f t="shared" si="93"/>
        <v>66139713.021499753</v>
      </c>
      <c r="AL843" s="321">
        <f t="shared" si="93"/>
        <v>40015748.400283441</v>
      </c>
      <c r="AM843" s="321">
        <f t="shared" si="93"/>
        <v>62661969.101888172</v>
      </c>
      <c r="AN843" s="321">
        <f t="shared" si="93"/>
        <v>20231050.701287165</v>
      </c>
      <c r="AO843" s="321">
        <f t="shared" si="93"/>
        <v>16011012.383323457</v>
      </c>
      <c r="AP843" s="321">
        <f t="shared" si="93"/>
        <v>16375724.829473898</v>
      </c>
      <c r="AQ843" s="321">
        <f t="shared" si="93"/>
        <v>21955545.500476658</v>
      </c>
      <c r="AR843" s="321">
        <f t="shared" si="93"/>
        <v>53596527.314149663</v>
      </c>
      <c r="AS843" s="321">
        <f t="shared" si="93"/>
        <v>6972165.3684366662</v>
      </c>
      <c r="AT843" s="321">
        <f t="shared" si="93"/>
        <v>16240474.909543302</v>
      </c>
      <c r="AU843" s="321">
        <f t="shared" si="93"/>
        <v>23262754.5884642</v>
      </c>
      <c r="AV843" s="321">
        <f t="shared" si="93"/>
        <v>5593144.6878599487</v>
      </c>
      <c r="AW843" s="321">
        <f t="shared" si="93"/>
        <v>5628928.2957257451</v>
      </c>
      <c r="AX843" s="321">
        <f t="shared" si="93"/>
        <v>5691578.4867218379</v>
      </c>
      <c r="AY843" s="321">
        <f t="shared" si="93"/>
        <v>42832649.863220438</v>
      </c>
      <c r="AZ843" s="321">
        <f t="shared" si="93"/>
        <v>31555789.609515779</v>
      </c>
      <c r="BA843" s="321">
        <f t="shared" si="93"/>
        <v>6505314.0796875004</v>
      </c>
      <c r="BB843" s="321">
        <f t="shared" si="93"/>
        <v>624037.54874999996</v>
      </c>
      <c r="BC843" s="321">
        <f t="shared" si="93"/>
        <v>5425207.5281250002</v>
      </c>
      <c r="BD843" s="321">
        <f t="shared" si="93"/>
        <v>196244.13836805557</v>
      </c>
      <c r="BE843" s="321">
        <f t="shared" si="93"/>
        <v>196244.13836805557</v>
      </c>
      <c r="BF843" s="321">
        <f t="shared" si="93"/>
        <v>196781.79354166667</v>
      </c>
      <c r="BG843" s="321">
        <f t="shared" si="93"/>
        <v>196244.13836805557</v>
      </c>
      <c r="BH843" s="321">
        <f>+BH841+BH842</f>
        <v>196244.13836805557</v>
      </c>
      <c r="BI843" s="321">
        <f>+BI841+BI842</f>
        <v>196244.13836805557</v>
      </c>
      <c r="BJ843" s="321">
        <f>+BJ841+BJ842</f>
        <v>196781.79354166667</v>
      </c>
      <c r="BK843" s="321">
        <f>+BK841+BK842</f>
        <v>5093918.5519444449</v>
      </c>
    </row>
    <row r="844" spans="1:63">
      <c r="A844" s="278"/>
      <c r="B844" s="210" t="s">
        <v>28</v>
      </c>
      <c r="C844" s="224"/>
      <c r="D844" s="224"/>
      <c r="E844" s="224"/>
      <c r="F844" s="224"/>
      <c r="G844" s="224"/>
      <c r="H844" s="224"/>
      <c r="I844" s="224"/>
      <c r="J844" s="224"/>
      <c r="K844" s="224"/>
      <c r="L844" s="224"/>
      <c r="M844" s="224"/>
      <c r="N844" s="224"/>
      <c r="O844" s="224"/>
      <c r="P844" s="224"/>
      <c r="Q844" s="224"/>
      <c r="R844" s="224"/>
      <c r="S844" s="224"/>
      <c r="T844" s="224"/>
      <c r="U844" s="224"/>
      <c r="V844" s="224"/>
      <c r="W844" s="224"/>
      <c r="X844" s="224"/>
      <c r="Y844" s="224"/>
      <c r="Z844" s="224">
        <f>'Perfil - interna'!Z844+'Perfil - externa'!Z842</f>
        <v>98886927.315154523</v>
      </c>
      <c r="AA844" s="224">
        <f>'Perfil - interna'!AA844+'Perfil - externa'!AA842</f>
        <v>52064997.301286325</v>
      </c>
      <c r="AB844" s="224">
        <f>'Perfil - interna'!AB844+'Perfil - externa'!AB842</f>
        <v>48514307.366956294</v>
      </c>
      <c r="AC844" s="224">
        <f>'Perfil - interna'!AC844+'Perfil - externa'!AC842</f>
        <v>64120174.587253802</v>
      </c>
      <c r="AD844" s="224">
        <f>'Perfil - interna'!AD844+'Perfil - externa'!AD842</f>
        <v>46002041.370072238</v>
      </c>
      <c r="AE844" s="224">
        <f>'Perfil - interna'!AE844+'Perfil - externa'!AE842</f>
        <v>41789968.236772105</v>
      </c>
      <c r="AF844" s="224">
        <f>'Perfil - interna'!AF844+'Perfil - externa'!AF842</f>
        <v>37728340.810553096</v>
      </c>
      <c r="AG844" s="224">
        <f>'Perfil - interna'!AG844+'Perfil - externa'!AG842</f>
        <v>55217169.641462773</v>
      </c>
      <c r="AH844" s="224">
        <f>'Perfil - interna'!AH844+'Perfil - externa'!AH842</f>
        <v>43997099.927291751</v>
      </c>
      <c r="AI844" s="224">
        <f>'Perfil - interna'!AI844+'Perfil - externa'!AI842</f>
        <v>60175875.162384793</v>
      </c>
      <c r="AJ844" s="224">
        <f>'Perfil - interna'!AJ844+'Perfil - externa'!AJ842</f>
        <v>43603669.296451047</v>
      </c>
      <c r="AK844" s="224">
        <f>'Perfil - interna'!AK844+'Perfil - externa'!AK842</f>
        <v>50976505.140145808</v>
      </c>
      <c r="AL844" s="224">
        <f>'Perfil - interna'!AL844+'Perfil - externa'!AL842</f>
        <v>26631501.911967635</v>
      </c>
      <c r="AM844" s="224">
        <f>'Perfil - interna'!AM844+'Perfil - externa'!AM842</f>
        <v>49244381.386876374</v>
      </c>
      <c r="AN844" s="224">
        <f>'Perfil - interna'!AN844+'Perfil - externa'!AN842</f>
        <v>8811149.1798814461</v>
      </c>
      <c r="AO844" s="224">
        <f>'Perfil - interna'!AO844+'Perfil - externa'!AO842</f>
        <v>4679800.9463201938</v>
      </c>
      <c r="AP844" s="224">
        <f>'Perfil - interna'!AP844+'Perfil - externa'!AP842</f>
        <v>5238349.1977202324</v>
      </c>
      <c r="AQ844" s="224">
        <f>'Perfil - interna'!AQ844+'Perfil - externa'!AQ842</f>
        <v>11286319.86879785</v>
      </c>
      <c r="AR844" s="224">
        <f>'Perfil - interna'!AR844+'Perfil - externa'!AR842</f>
        <v>44516421.714079067</v>
      </c>
      <c r="AS844" s="224">
        <f>'Perfil - interna'!AS844+'Perfil - externa'!AS842</f>
        <v>248433.08656775588</v>
      </c>
      <c r="AT844" s="224">
        <f>'Perfil - interna'!AT844+'Perfil - externa'!AT842</f>
        <v>9812365.8887618519</v>
      </c>
      <c r="AU844" s="224">
        <f>'Perfil - interna'!AU844+'Perfil - externa'!AU842</f>
        <v>17550290.598591223</v>
      </c>
      <c r="AV844" s="224">
        <f>'Perfil - interna'!AV844+'Perfil - externa'!AV842</f>
        <v>117995.32482918185</v>
      </c>
      <c r="AW844" s="224">
        <f>'Perfil - interna'!AW844+'Perfil - externa'!AW842</f>
        <v>96871.602992916596</v>
      </c>
      <c r="AX844" s="224">
        <f>'Perfil - interna'!AX844+'Perfil - externa'!AX842</f>
        <v>96685.394674166979</v>
      </c>
      <c r="AY844" s="224">
        <f>'Perfil - interna'!AY844+'Perfil - externa'!AY842</f>
        <v>38663180.520436063</v>
      </c>
      <c r="AZ844" s="224">
        <f>'Perfil - interna'!AZ844+'Perfil - externa'!AZ842</f>
        <v>29922620.517719436</v>
      </c>
      <c r="BA844" s="224">
        <f>'Perfil - interna'!BA844+'Perfil - externa'!BA842</f>
        <v>5810160.0011105817</v>
      </c>
      <c r="BB844" s="224">
        <f>'Perfil - interna'!BB844+'Perfil - externa'!BB842</f>
        <v>0</v>
      </c>
      <c r="BC844" s="224">
        <f>'Perfil - interna'!BC844+'Perfil - externa'!BC842</f>
        <v>7359536.0014067367</v>
      </c>
      <c r="BD844" s="224">
        <f>'Perfil - interna'!BD844+'Perfil - externa'!BD842</f>
        <v>0</v>
      </c>
      <c r="BE844" s="224">
        <f>'Perfil - interna'!BE844+'Perfil - externa'!BE842</f>
        <v>0</v>
      </c>
      <c r="BF844" s="224">
        <f>'Perfil - interna'!BF844+'Perfil - externa'!BF842</f>
        <v>0</v>
      </c>
      <c r="BG844" s="224">
        <f>'Perfil - interna'!BG844+'Perfil - externa'!BG842</f>
        <v>0</v>
      </c>
      <c r="BH844" s="224">
        <f>'Perfil - interna'!BH844+'Perfil - externa'!BH842</f>
        <v>0</v>
      </c>
      <c r="BI844" s="224">
        <f>'Perfil - interna'!BI844+'Perfil - externa'!BI842</f>
        <v>0</v>
      </c>
      <c r="BJ844" s="224">
        <f>'Perfil - interna'!BJ844+'Perfil - externa'!BJ842</f>
        <v>0</v>
      </c>
      <c r="BK844" s="224">
        <f>'Perfil - interna'!BK844+'Perfil - externa'!BK842</f>
        <v>5035472.0009625042</v>
      </c>
    </row>
    <row r="845" spans="1:63">
      <c r="A845" s="168">
        <v>45412</v>
      </c>
      <c r="B845" s="213" t="s">
        <v>385</v>
      </c>
      <c r="C845" s="224"/>
      <c r="D845" s="224"/>
      <c r="E845" s="224"/>
      <c r="F845" s="224"/>
      <c r="G845" s="224"/>
      <c r="H845" s="224"/>
      <c r="I845" s="224"/>
      <c r="J845" s="224"/>
      <c r="K845" s="224"/>
      <c r="L845" s="224"/>
      <c r="M845" s="224"/>
      <c r="N845" s="224"/>
      <c r="O845" s="224"/>
      <c r="P845" s="224"/>
      <c r="Q845" s="224"/>
      <c r="R845" s="224"/>
      <c r="S845" s="224"/>
      <c r="T845" s="224"/>
      <c r="U845" s="224"/>
      <c r="V845" s="224"/>
      <c r="W845" s="224"/>
      <c r="X845" s="224"/>
      <c r="Y845" s="224"/>
      <c r="Z845" s="224">
        <f>'Perfil - interna'!Z845+'Perfil - externa'!Z843</f>
        <v>30499425.028673027</v>
      </c>
      <c r="AA845" s="224">
        <f>'Perfil - interna'!AA845+'Perfil - externa'!AA843</f>
        <v>45516091.430218324</v>
      </c>
      <c r="AB845" s="224">
        <f>'Perfil - interna'!AB845+'Perfil - externa'!AB843</f>
        <v>43117628.490915395</v>
      </c>
      <c r="AC845" s="224">
        <f>'Perfil - interna'!AC845+'Perfil - externa'!AC843</f>
        <v>40251648.951383688</v>
      </c>
      <c r="AD845" s="224">
        <f>'Perfil - interna'!AD845+'Perfil - externa'!AD843</f>
        <v>37680195.63114439</v>
      </c>
      <c r="AE845" s="224">
        <f>'Perfil - interna'!AE845+'Perfil - externa'!AE843</f>
        <v>35183950.602957718</v>
      </c>
      <c r="AF845" s="224">
        <f>'Perfil - interna'!AF845+'Perfil - externa'!AF843</f>
        <v>34046802.531616472</v>
      </c>
      <c r="AG845" s="224">
        <f>'Perfil - interna'!AG845+'Perfil - externa'!AG843</f>
        <v>31860701.478675961</v>
      </c>
      <c r="AH845" s="224">
        <f>'Perfil - interna'!AH845+'Perfil - externa'!AH843</f>
        <v>29031765.972937033</v>
      </c>
      <c r="AI845" s="224">
        <f>'Perfil - interna'!AI845+'Perfil - externa'!AI843</f>
        <v>26465903.924421582</v>
      </c>
      <c r="AJ845" s="224">
        <f>'Perfil - interna'!AJ845+'Perfil - externa'!AJ843</f>
        <v>21402124.305021919</v>
      </c>
      <c r="AK845" s="224">
        <f>'Perfil - interna'!AK845+'Perfil - externa'!AK843</f>
        <v>18920485.588426568</v>
      </c>
      <c r="AL845" s="224">
        <f>'Perfil - interna'!AL845+'Perfil - externa'!AL843</f>
        <v>15838589.857727412</v>
      </c>
      <c r="AM845" s="224">
        <f>'Perfil - interna'!AM845+'Perfil - externa'!AM843</f>
        <v>14790472.672267912</v>
      </c>
      <c r="AN845" s="224">
        <f>'Perfil - interna'!AN845+'Perfil - externa'!AN843</f>
        <v>11998530.222239181</v>
      </c>
      <c r="AO845" s="224">
        <f>'Perfil - interna'!AO845+'Perfil - externa'!AO843</f>
        <v>11876453.703705762</v>
      </c>
      <c r="AP845" s="224">
        <f>'Perfil - interna'!AP845+'Perfil - externa'!AP843</f>
        <v>11687625.205034075</v>
      </c>
      <c r="AQ845" s="224">
        <f>'Perfil - interna'!AQ845+'Perfil - externa'!AQ843</f>
        <v>11266180.501674386</v>
      </c>
      <c r="AR845" s="224">
        <f>'Perfil - interna'!AR845+'Perfil - externa'!AR843</f>
        <v>10858042.089010682</v>
      </c>
      <c r="AS845" s="224">
        <f>'Perfil - interna'!AS845+'Perfil - externa'!AS843</f>
        <v>7116126.5135393385</v>
      </c>
      <c r="AT845" s="224">
        <f>'Perfil - interna'!AT845+'Perfil - externa'!AT843</f>
        <v>6897328.8585851481</v>
      </c>
      <c r="AU845" s="224">
        <f>'Perfil - interna'!AU845+'Perfil - externa'!AU843</f>
        <v>6239109.5772621017</v>
      </c>
      <c r="AV845" s="224">
        <f>'Perfil - interna'!AV845+'Perfil - externa'!AV843</f>
        <v>5859749.7721486362</v>
      </c>
      <c r="AW845" s="224">
        <f>'Perfil - interna'!AW845+'Perfil - externa'!AW843</f>
        <v>5918139.8222685382</v>
      </c>
      <c r="AX845" s="224">
        <f>'Perfil - interna'!AX845+'Perfil - externa'!AX843</f>
        <v>5983323.9390800949</v>
      </c>
      <c r="AY845" s="224">
        <f>'Perfil - interna'!AY845+'Perfil - externa'!AY843</f>
        <v>5753005.3907971708</v>
      </c>
      <c r="AZ845" s="224">
        <f>'Perfil - interna'!AZ845+'Perfil - externa'!AZ843</f>
        <v>3259410.3564255154</v>
      </c>
      <c r="BA845" s="224">
        <f>'Perfil - interna'!BA845+'Perfil - externa'!BA843</f>
        <v>971238.18129675812</v>
      </c>
      <c r="BB845" s="224">
        <f>'Perfil - interna'!BB845+'Perfil - externa'!BB843</f>
        <v>853068.67249639274</v>
      </c>
      <c r="BC845" s="224">
        <f>'Perfil - interna'!BC845+'Perfil - externa'!BC843</f>
        <v>850737.88377372501</v>
      </c>
      <c r="BD845" s="224">
        <f>'Perfil - interna'!BD845+'Perfil - externa'!BD843</f>
        <v>197834.60309337062</v>
      </c>
      <c r="BE845" s="224">
        <f>'Perfil - interna'!BE845+'Perfil - externa'!BE843</f>
        <v>197834.60309337062</v>
      </c>
      <c r="BF845" s="224">
        <f>'Perfil - interna'!BF845+'Perfil - externa'!BF843</f>
        <v>198376.6157045853</v>
      </c>
      <c r="BG845" s="224">
        <f>'Perfil - interna'!BG845+'Perfil - externa'!BG843</f>
        <v>197834.60309337062</v>
      </c>
      <c r="BH845" s="224">
        <f>'Perfil - interna'!BH845+'Perfil - externa'!BH843</f>
        <v>197834.60309337062</v>
      </c>
      <c r="BI845" s="224">
        <f>'Perfil - interna'!BI845+'Perfil - externa'!BI843</f>
        <v>197834.60309337062</v>
      </c>
      <c r="BJ845" s="224">
        <f>'Perfil - interna'!BJ845+'Perfil - externa'!BJ843</f>
        <v>198376.6157045853</v>
      </c>
      <c r="BK845" s="224">
        <f>'Perfil - interna'!BK845+'Perfil - externa'!BK843</f>
        <v>99730.320463507363</v>
      </c>
    </row>
    <row r="846" spans="1:63">
      <c r="A846" s="279"/>
      <c r="B846" s="307" t="s">
        <v>29</v>
      </c>
      <c r="C846" s="321"/>
      <c r="D846" s="321"/>
      <c r="E846" s="321"/>
      <c r="F846" s="321"/>
      <c r="G846" s="321"/>
      <c r="H846" s="321"/>
      <c r="I846" s="321"/>
      <c r="J846" s="321"/>
      <c r="K846" s="321"/>
      <c r="L846" s="321"/>
      <c r="M846" s="321"/>
      <c r="N846" s="321"/>
      <c r="O846" s="321"/>
      <c r="P846" s="321"/>
      <c r="Q846" s="321"/>
      <c r="R846" s="321"/>
      <c r="S846" s="321"/>
      <c r="T846" s="321"/>
      <c r="U846" s="321"/>
      <c r="V846" s="321"/>
      <c r="W846" s="321"/>
      <c r="X846" s="321"/>
      <c r="Y846" s="321"/>
      <c r="Z846" s="321">
        <f t="shared" ref="Z846:BG846" si="94">+Z844+Z845</f>
        <v>129386352.34382755</v>
      </c>
      <c r="AA846" s="321">
        <f t="shared" si="94"/>
        <v>97581088.731504649</v>
      </c>
      <c r="AB846" s="321">
        <f t="shared" si="94"/>
        <v>91631935.857871681</v>
      </c>
      <c r="AC846" s="321">
        <f t="shared" si="94"/>
        <v>104371823.53863749</v>
      </c>
      <c r="AD846" s="321">
        <f t="shared" si="94"/>
        <v>83682237.00121662</v>
      </c>
      <c r="AE846" s="321">
        <f t="shared" si="94"/>
        <v>76973918.839729816</v>
      </c>
      <c r="AF846" s="321">
        <f t="shared" si="94"/>
        <v>71775143.342169568</v>
      </c>
      <c r="AG846" s="321">
        <f t="shared" si="94"/>
        <v>87077871.120138735</v>
      </c>
      <c r="AH846" s="321">
        <f t="shared" si="94"/>
        <v>73028865.900228783</v>
      </c>
      <c r="AI846" s="321">
        <f t="shared" si="94"/>
        <v>86641779.086806372</v>
      </c>
      <c r="AJ846" s="321">
        <f t="shared" si="94"/>
        <v>65005793.601472966</v>
      </c>
      <c r="AK846" s="321">
        <f t="shared" si="94"/>
        <v>69896990.728572369</v>
      </c>
      <c r="AL846" s="321">
        <f t="shared" si="94"/>
        <v>42470091.769695044</v>
      </c>
      <c r="AM846" s="321">
        <f t="shared" si="94"/>
        <v>64034854.059144288</v>
      </c>
      <c r="AN846" s="321">
        <f t="shared" si="94"/>
        <v>20809679.402120627</v>
      </c>
      <c r="AO846" s="321">
        <f t="shared" si="94"/>
        <v>16556254.650025956</v>
      </c>
      <c r="AP846" s="321">
        <f t="shared" si="94"/>
        <v>16925974.402754307</v>
      </c>
      <c r="AQ846" s="321">
        <f t="shared" si="94"/>
        <v>22552500.370472237</v>
      </c>
      <c r="AR846" s="321">
        <f t="shared" si="94"/>
        <v>55374463.803089753</v>
      </c>
      <c r="AS846" s="321">
        <f t="shared" si="94"/>
        <v>7364559.6001070943</v>
      </c>
      <c r="AT846" s="321">
        <f t="shared" si="94"/>
        <v>16709694.747347001</v>
      </c>
      <c r="AU846" s="321">
        <f t="shared" si="94"/>
        <v>23789400.175853327</v>
      </c>
      <c r="AV846" s="321">
        <f t="shared" si="94"/>
        <v>5977745.0969778178</v>
      </c>
      <c r="AW846" s="321">
        <f t="shared" si="94"/>
        <v>6015011.4252614547</v>
      </c>
      <c r="AX846" s="321">
        <f t="shared" si="94"/>
        <v>6080009.333754262</v>
      </c>
      <c r="AY846" s="321">
        <f t="shared" si="94"/>
        <v>44416185.911233231</v>
      </c>
      <c r="AZ846" s="321">
        <f t="shared" si="94"/>
        <v>33182030.874144953</v>
      </c>
      <c r="BA846" s="321">
        <f t="shared" si="94"/>
        <v>6781398.18240734</v>
      </c>
      <c r="BB846" s="321">
        <f t="shared" si="94"/>
        <v>853068.67249639274</v>
      </c>
      <c r="BC846" s="321">
        <f t="shared" si="94"/>
        <v>8210273.8851804622</v>
      </c>
      <c r="BD846" s="321">
        <f t="shared" si="94"/>
        <v>197834.60309337062</v>
      </c>
      <c r="BE846" s="321">
        <f t="shared" si="94"/>
        <v>197834.60309337062</v>
      </c>
      <c r="BF846" s="321">
        <f t="shared" si="94"/>
        <v>198376.6157045853</v>
      </c>
      <c r="BG846" s="321">
        <f t="shared" si="94"/>
        <v>197834.60309337062</v>
      </c>
      <c r="BH846" s="321">
        <f>+BH844+BH845</f>
        <v>197834.60309337062</v>
      </c>
      <c r="BI846" s="321">
        <f>+BI844+BI845</f>
        <v>197834.60309337062</v>
      </c>
      <c r="BJ846" s="321">
        <f>+BJ844+BJ845</f>
        <v>198376.6157045853</v>
      </c>
      <c r="BK846" s="321">
        <f>+BK844+BK845</f>
        <v>5135202.3214260116</v>
      </c>
    </row>
    <row r="847" spans="1:63">
      <c r="A847" s="278"/>
      <c r="B847" s="210" t="s">
        <v>28</v>
      </c>
      <c r="C847" s="224"/>
      <c r="D847" s="224"/>
      <c r="E847" s="224"/>
      <c r="F847" s="224"/>
      <c r="G847" s="224"/>
      <c r="H847" s="224"/>
      <c r="I847" s="224"/>
      <c r="J847" s="224"/>
      <c r="K847" s="224"/>
      <c r="L847" s="224"/>
      <c r="M847" s="224"/>
      <c r="N847" s="224"/>
      <c r="O847" s="224"/>
      <c r="P847" s="224"/>
      <c r="Q847" s="224"/>
      <c r="R847" s="224"/>
      <c r="S847" s="224"/>
      <c r="T847" s="224"/>
      <c r="U847" s="224"/>
      <c r="V847" s="224"/>
      <c r="W847" s="224"/>
      <c r="X847" s="224"/>
      <c r="Y847" s="224"/>
      <c r="Z847" s="224">
        <f>'Perfil - interna'!Z847+'Perfil - externa'!Z845</f>
        <v>93191070.397756144</v>
      </c>
      <c r="AA847" s="224">
        <f>'Perfil - interna'!AA847+'Perfil - externa'!AA845</f>
        <v>49083731.467504077</v>
      </c>
      <c r="AB847" s="224">
        <f>'Perfil - interna'!AB847+'Perfil - externa'!AB845</f>
        <v>48620228.662592009</v>
      </c>
      <c r="AC847" s="224">
        <f>'Perfil - interna'!AC847+'Perfil - externa'!AC845</f>
        <v>64289675.593602329</v>
      </c>
      <c r="AD847" s="224">
        <f>'Perfil - interna'!AD847+'Perfil - externa'!AD845</f>
        <v>47279306.401881292</v>
      </c>
      <c r="AE847" s="224">
        <f>'Perfil - interna'!AE847+'Perfil - externa'!AE845</f>
        <v>43723081.833607562</v>
      </c>
      <c r="AF847" s="224">
        <f>'Perfil - interna'!AF847+'Perfil - externa'!AF845</f>
        <v>37822957.251572169</v>
      </c>
      <c r="AG847" s="224">
        <f>'Perfil - interna'!AG847+'Perfil - externa'!AG845</f>
        <v>55312359.650392503</v>
      </c>
      <c r="AH847" s="224">
        <f>'Perfil - interna'!AH847+'Perfil - externa'!AH845</f>
        <v>44088285.834450163</v>
      </c>
      <c r="AI847" s="224">
        <f>'Perfil - interna'!AI847+'Perfil - externa'!AI845</f>
        <v>60373089.315851897</v>
      </c>
      <c r="AJ847" s="224">
        <f>'Perfil - interna'!AJ847+'Perfil - externa'!AJ845</f>
        <v>43699637.849875733</v>
      </c>
      <c r="AK847" s="224">
        <f>'Perfil - interna'!AK847+'Perfil - externa'!AK845</f>
        <v>51333792.649137914</v>
      </c>
      <c r="AL847" s="224">
        <f>'Perfil - interna'!AL847+'Perfil - externa'!AL845</f>
        <v>28020526.222413559</v>
      </c>
      <c r="AM847" s="224">
        <f>'Perfil - interna'!AM847+'Perfil - externa'!AM845</f>
        <v>50246027.843795583</v>
      </c>
      <c r="AN847" s="224">
        <f>'Perfil - interna'!AN847+'Perfil - externa'!AN845</f>
        <v>8890623.7331281882</v>
      </c>
      <c r="AO847" s="224">
        <f>'Perfil - interna'!AO847+'Perfil - externa'!AO845</f>
        <v>4758059.6010148628</v>
      </c>
      <c r="AP847" s="224">
        <f>'Perfil - interna'!AP847+'Perfil - externa'!AP845</f>
        <v>5316251.8940791441</v>
      </c>
      <c r="AQ847" s="224">
        <f>'Perfil - interna'!AQ847+'Perfil - externa'!AQ845</f>
        <v>11327467.996392591</v>
      </c>
      <c r="AR847" s="224">
        <f>'Perfil - interna'!AR847+'Perfil - externa'!AR845</f>
        <v>48612731.162476249</v>
      </c>
      <c r="AS847" s="224">
        <f>'Perfil - interna'!AS847+'Perfil - externa'!AS845</f>
        <v>249820.46132493927</v>
      </c>
      <c r="AT847" s="224">
        <f>'Perfil - interna'!AT847+'Perfil - externa'!AT845</f>
        <v>9815926.0747109745</v>
      </c>
      <c r="AU847" s="224">
        <f>'Perfil - interna'!AU847+'Perfil - externa'!AU845</f>
        <v>17555608.748524372</v>
      </c>
      <c r="AV847" s="224">
        <f>'Perfil - interna'!AV847+'Perfil - externa'!AV845</f>
        <v>119353.06568633487</v>
      </c>
      <c r="AW847" s="224">
        <f>'Perfil - interna'!AW847+'Perfil - externa'!AW845</f>
        <v>98224.54479301114</v>
      </c>
      <c r="AX847" s="224">
        <f>'Perfil - interna'!AX847+'Perfil - externa'!AX845</f>
        <v>98038.294169957706</v>
      </c>
      <c r="AY847" s="224">
        <f>'Perfil - interna'!AY847+'Perfil - externa'!AY845</f>
        <v>39639052.61746338</v>
      </c>
      <c r="AZ847" s="224">
        <f>'Perfil - interna'!AZ847+'Perfil - externa'!AZ845</f>
        <v>31633843.759791959</v>
      </c>
      <c r="BA847" s="224">
        <f>'Perfil - interna'!BA847+'Perfil - externa'!BA845</f>
        <v>5811480</v>
      </c>
      <c r="BB847" s="224">
        <f>'Perfil - interna'!BB847+'Perfil - externa'!BB845</f>
        <v>0</v>
      </c>
      <c r="BC847" s="224">
        <f>'Perfil - interna'!BC847+'Perfil - externa'!BC845</f>
        <v>7361208</v>
      </c>
      <c r="BD847" s="224">
        <f>'Perfil - interna'!BD847+'Perfil - externa'!BD845</f>
        <v>0</v>
      </c>
      <c r="BE847" s="224">
        <f>'Perfil - interna'!BE847+'Perfil - externa'!BE845</f>
        <v>0</v>
      </c>
      <c r="BF847" s="224">
        <f>'Perfil - interna'!BF847+'Perfil - externa'!BF845</f>
        <v>0</v>
      </c>
      <c r="BG847" s="224">
        <f>'Perfil - interna'!BG847+'Perfil - externa'!BG845</f>
        <v>0</v>
      </c>
      <c r="BH847" s="224">
        <f>'Perfil - interna'!BH847+'Perfil - externa'!BH845</f>
        <v>0</v>
      </c>
      <c r="BI847" s="224">
        <f>'Perfil - interna'!BI847+'Perfil - externa'!BI845</f>
        <v>0</v>
      </c>
      <c r="BJ847" s="224">
        <f>'Perfil - interna'!BJ847+'Perfil - externa'!BJ845</f>
        <v>0</v>
      </c>
      <c r="BK847" s="224">
        <f>'Perfil - interna'!BK847+'Perfil - externa'!BK845</f>
        <v>5036616</v>
      </c>
    </row>
    <row r="848" spans="1:63">
      <c r="A848" s="168">
        <v>45443</v>
      </c>
      <c r="B848" s="213" t="s">
        <v>385</v>
      </c>
      <c r="C848" s="224"/>
      <c r="D848" s="224"/>
      <c r="E848" s="224"/>
      <c r="F848" s="224"/>
      <c r="G848" s="224"/>
      <c r="H848" s="224"/>
      <c r="I848" s="224"/>
      <c r="J848" s="224"/>
      <c r="K848" s="224"/>
      <c r="L848" s="224"/>
      <c r="M848" s="224"/>
      <c r="N848" s="224"/>
      <c r="O848" s="224"/>
      <c r="P848" s="224"/>
      <c r="Q848" s="224"/>
      <c r="R848" s="224"/>
      <c r="S848" s="224"/>
      <c r="T848" s="224"/>
      <c r="U848" s="224"/>
      <c r="V848" s="224"/>
      <c r="W848" s="224"/>
      <c r="X848" s="224"/>
      <c r="Y848" s="224"/>
      <c r="Z848" s="224">
        <f>'Perfil - interna'!Z848+'Perfil - externa'!Z846</f>
        <v>24557229.839978497</v>
      </c>
      <c r="AA848" s="224">
        <f>'Perfil - interna'!AA848+'Perfil - externa'!AA846</f>
        <v>46015329.688565567</v>
      </c>
      <c r="AB848" s="224">
        <f>'Perfil - interna'!AB848+'Perfil - externa'!AB846</f>
        <v>43780249.945550323</v>
      </c>
      <c r="AC848" s="224">
        <f>'Perfil - interna'!AC848+'Perfil - externa'!AC846</f>
        <v>40955181.42506057</v>
      </c>
      <c r="AD848" s="224">
        <f>'Perfil - interna'!AD848+'Perfil - externa'!AD846</f>
        <v>38396551.093678623</v>
      </c>
      <c r="AE848" s="224">
        <f>'Perfil - interna'!AE848+'Perfil - externa'!AE846</f>
        <v>35831160.1551309</v>
      </c>
      <c r="AF848" s="224">
        <f>'Perfil - interna'!AF848+'Perfil - externa'!AF846</f>
        <v>34655654.474765427</v>
      </c>
      <c r="AG848" s="224">
        <f>'Perfil - interna'!AG848+'Perfil - externa'!AG846</f>
        <v>32471452.42871394</v>
      </c>
      <c r="AH848" s="224">
        <f>'Perfil - interna'!AH848+'Perfil - externa'!AH846</f>
        <v>29648641.980150007</v>
      </c>
      <c r="AI848" s="224">
        <f>'Perfil - interna'!AI848+'Perfil - externa'!AI846</f>
        <v>27088981.361305568</v>
      </c>
      <c r="AJ848" s="224">
        <f>'Perfil - interna'!AJ848+'Perfil - externa'!AJ846</f>
        <v>22030950.832383759</v>
      </c>
      <c r="AK848" s="224">
        <f>'Perfil - interna'!AK848+'Perfil - externa'!AK846</f>
        <v>19554504.968960412</v>
      </c>
      <c r="AL848" s="224">
        <f>'Perfil - interna'!AL848+'Perfil - externa'!AL846</f>
        <v>16478310.189741015</v>
      </c>
      <c r="AM848" s="224">
        <f>'Perfil - interna'!AM848+'Perfil - externa'!AM846</f>
        <v>15358268.109203883</v>
      </c>
      <c r="AN848" s="224">
        <f>'Perfil - interna'!AN848+'Perfil - externa'!AN846</f>
        <v>12534010.080616437</v>
      </c>
      <c r="AO848" s="224">
        <f>'Perfil - interna'!AO848+'Perfil - externa'!AO846</f>
        <v>12416924.964951225</v>
      </c>
      <c r="AP848" s="224">
        <f>'Perfil - interna'!AP848+'Perfil - externa'!AP846</f>
        <v>12233062.179904519</v>
      </c>
      <c r="AQ848" s="224">
        <f>'Perfil - interna'!AQ848+'Perfil - externa'!AQ846</f>
        <v>11816602.701277887</v>
      </c>
      <c r="AR848" s="224">
        <f>'Perfil - interna'!AR848+'Perfil - externa'!AR846</f>
        <v>11412592.154704357</v>
      </c>
      <c r="AS848" s="224">
        <f>'Perfil - interna'!AS848+'Perfil - externa'!AS846</f>
        <v>7293403.2861307226</v>
      </c>
      <c r="AT848" s="224">
        <f>'Perfil - interna'!AT848+'Perfil - externa'!AT846</f>
        <v>7076087.427815103</v>
      </c>
      <c r="AU848" s="224">
        <f>'Perfil - interna'!AU848+'Perfil - externa'!AU846</f>
        <v>6419302.1945663299</v>
      </c>
      <c r="AV848" s="224">
        <f>'Perfil - interna'!AV848+'Perfil - externa'!AV846</f>
        <v>6041488.2275711168</v>
      </c>
      <c r="AW848" s="224">
        <f>'Perfil - interna'!AW848+'Perfil - externa'!AW846</f>
        <v>6101573.338457372</v>
      </c>
      <c r="AX848" s="224">
        <f>'Perfil - interna'!AX848+'Perfil - externa'!AX846</f>
        <v>6168505.2113000266</v>
      </c>
      <c r="AY848" s="224">
        <f>'Perfil - interna'!AY848+'Perfil - externa'!AY846</f>
        <v>5939919.9425261226</v>
      </c>
      <c r="AZ848" s="224">
        <f>'Perfil - interna'!AZ848+'Perfil - externa'!AZ846</f>
        <v>3383669.0648323959</v>
      </c>
      <c r="BA848" s="224">
        <f>'Perfil - interna'!BA848+'Perfil - externa'!BA846</f>
        <v>971458.83499999985</v>
      </c>
      <c r="BB848" s="224">
        <f>'Perfil - interna'!BB848+'Perfil - externa'!BB846</f>
        <v>853262.4794999999</v>
      </c>
      <c r="BC848" s="224">
        <f>'Perfil - interna'!BC848+'Perfil - externa'!BC846</f>
        <v>850931.16124999989</v>
      </c>
      <c r="BD848" s="224">
        <f>'Perfil - interna'!BD848+'Perfil - externa'!BD846</f>
        <v>197879.54875000002</v>
      </c>
      <c r="BE848" s="224">
        <f>'Perfil - interna'!BE848+'Perfil - externa'!BE846</f>
        <v>197879.54875000002</v>
      </c>
      <c r="BF848" s="224">
        <f>'Perfil - interna'!BF848+'Perfil - externa'!BF846</f>
        <v>198421.6845</v>
      </c>
      <c r="BG848" s="224">
        <f>'Perfil - interna'!BG848+'Perfil - externa'!BG846</f>
        <v>197879.54875000002</v>
      </c>
      <c r="BH848" s="224">
        <f>'Perfil - interna'!BH848+'Perfil - externa'!BH846</f>
        <v>197879.54875000002</v>
      </c>
      <c r="BI848" s="224">
        <f>'Perfil - interna'!BI848+'Perfil - externa'!BI846</f>
        <v>197879.54875000002</v>
      </c>
      <c r="BJ848" s="224">
        <f>'Perfil - interna'!BJ848+'Perfil - externa'!BJ846</f>
        <v>198421.6845</v>
      </c>
      <c r="BK848" s="224">
        <f>'Perfil - interna'!BK848+'Perfil - externa'!BK846</f>
        <v>99752.978000000003</v>
      </c>
    </row>
    <row r="849" spans="1:63">
      <c r="A849" s="279"/>
      <c r="B849" s="307" t="s">
        <v>29</v>
      </c>
      <c r="C849" s="321"/>
      <c r="D849" s="321"/>
      <c r="E849" s="321"/>
      <c r="F849" s="321"/>
      <c r="G849" s="321"/>
      <c r="H849" s="321"/>
      <c r="I849" s="321"/>
      <c r="J849" s="321"/>
      <c r="K849" s="321"/>
      <c r="L849" s="321"/>
      <c r="M849" s="321"/>
      <c r="N849" s="321"/>
      <c r="O849" s="321"/>
      <c r="P849" s="321"/>
      <c r="Q849" s="321"/>
      <c r="R849" s="321"/>
      <c r="S849" s="321"/>
      <c r="T849" s="321"/>
      <c r="U849" s="321"/>
      <c r="V849" s="321"/>
      <c r="W849" s="321"/>
      <c r="X849" s="321"/>
      <c r="Y849" s="321"/>
      <c r="Z849" s="321">
        <f t="shared" ref="Z849:BG849" si="95">+Z847+Z848</f>
        <v>117748300.23773465</v>
      </c>
      <c r="AA849" s="321">
        <f t="shared" si="95"/>
        <v>95099061.156069636</v>
      </c>
      <c r="AB849" s="321">
        <f t="shared" si="95"/>
        <v>92400478.608142331</v>
      </c>
      <c r="AC849" s="321">
        <f t="shared" si="95"/>
        <v>105244857.0186629</v>
      </c>
      <c r="AD849" s="321">
        <f t="shared" si="95"/>
        <v>85675857.495559916</v>
      </c>
      <c r="AE849" s="321">
        <f t="shared" si="95"/>
        <v>79554241.988738462</v>
      </c>
      <c r="AF849" s="321">
        <f t="shared" si="95"/>
        <v>72478611.726337597</v>
      </c>
      <c r="AG849" s="321">
        <f t="shared" si="95"/>
        <v>87783812.07910645</v>
      </c>
      <c r="AH849" s="321">
        <f t="shared" si="95"/>
        <v>73736927.81460017</v>
      </c>
      <c r="AI849" s="321">
        <f t="shared" si="95"/>
        <v>87462070.677157462</v>
      </c>
      <c r="AJ849" s="321">
        <f t="shared" si="95"/>
        <v>65730588.682259493</v>
      </c>
      <c r="AK849" s="321">
        <f t="shared" si="95"/>
        <v>70888297.618098319</v>
      </c>
      <c r="AL849" s="321">
        <f t="shared" si="95"/>
        <v>44498836.41215457</v>
      </c>
      <c r="AM849" s="321">
        <f t="shared" si="95"/>
        <v>65604295.952999465</v>
      </c>
      <c r="AN849" s="321">
        <f t="shared" si="95"/>
        <v>21424633.813744627</v>
      </c>
      <c r="AO849" s="321">
        <f t="shared" si="95"/>
        <v>17174984.565966088</v>
      </c>
      <c r="AP849" s="321">
        <f t="shared" si="95"/>
        <v>17549314.073983662</v>
      </c>
      <c r="AQ849" s="321">
        <f t="shared" si="95"/>
        <v>23144070.697670478</v>
      </c>
      <c r="AR849" s="321">
        <f t="shared" si="95"/>
        <v>60025323.317180604</v>
      </c>
      <c r="AS849" s="321">
        <f t="shared" si="95"/>
        <v>7543223.7474556621</v>
      </c>
      <c r="AT849" s="321">
        <f t="shared" si="95"/>
        <v>16892013.502526078</v>
      </c>
      <c r="AU849" s="321">
        <f t="shared" si="95"/>
        <v>23974910.9430907</v>
      </c>
      <c r="AV849" s="321">
        <f t="shared" si="95"/>
        <v>6160841.2932574516</v>
      </c>
      <c r="AW849" s="321">
        <f t="shared" si="95"/>
        <v>6199797.8832503827</v>
      </c>
      <c r="AX849" s="321">
        <f t="shared" si="95"/>
        <v>6266543.5054699844</v>
      </c>
      <c r="AY849" s="321">
        <f t="shared" si="95"/>
        <v>45578972.559989505</v>
      </c>
      <c r="AZ849" s="321">
        <f t="shared" si="95"/>
        <v>35017512.824624352</v>
      </c>
      <c r="BA849" s="321">
        <f t="shared" si="95"/>
        <v>6782938.835</v>
      </c>
      <c r="BB849" s="321">
        <f t="shared" si="95"/>
        <v>853262.4794999999</v>
      </c>
      <c r="BC849" s="321">
        <f t="shared" si="95"/>
        <v>8212139.1612499999</v>
      </c>
      <c r="BD849" s="321">
        <f t="shared" si="95"/>
        <v>197879.54875000002</v>
      </c>
      <c r="BE849" s="321">
        <f t="shared" si="95"/>
        <v>197879.54875000002</v>
      </c>
      <c r="BF849" s="321">
        <f t="shared" si="95"/>
        <v>198421.6845</v>
      </c>
      <c r="BG849" s="321">
        <f t="shared" si="95"/>
        <v>197879.54875000002</v>
      </c>
      <c r="BH849" s="321">
        <f>+BH847+BH848</f>
        <v>197879.54875000002</v>
      </c>
      <c r="BI849" s="321">
        <f>+BI847+BI848</f>
        <v>197879.54875000002</v>
      </c>
      <c r="BJ849" s="321">
        <f>+BJ847+BJ848</f>
        <v>198421.6845</v>
      </c>
      <c r="BK849" s="321">
        <f>+BK847+BK848</f>
        <v>5136368.9780000001</v>
      </c>
    </row>
    <row r="850" spans="1:63">
      <c r="A850" s="278"/>
      <c r="B850" s="210" t="s">
        <v>28</v>
      </c>
      <c r="C850" s="224"/>
      <c r="D850" s="224"/>
      <c r="E850" s="224"/>
      <c r="F850" s="224"/>
      <c r="G850" s="224"/>
      <c r="H850" s="224"/>
      <c r="I850" s="224"/>
      <c r="J850" s="224"/>
      <c r="K850" s="224"/>
      <c r="L850" s="224"/>
      <c r="M850" s="224"/>
      <c r="N850" s="224"/>
      <c r="O850" s="224"/>
      <c r="P850" s="224"/>
      <c r="Q850" s="224"/>
      <c r="R850" s="224"/>
      <c r="S850" s="224"/>
      <c r="T850" s="224"/>
      <c r="U850" s="224"/>
      <c r="V850" s="224"/>
      <c r="W850" s="224"/>
      <c r="X850" s="224"/>
      <c r="Y850" s="224"/>
      <c r="Z850" s="224">
        <f>'Perfil - interna'!Z850+'Perfil - externa'!Z848</f>
        <v>77953762.984189823</v>
      </c>
      <c r="AA850" s="224">
        <f>'Perfil - interna'!AA850+'Perfil - externa'!AA848</f>
        <v>62891659.968961358</v>
      </c>
      <c r="AB850" s="224">
        <f>'Perfil - interna'!AB850+'Perfil - externa'!AB848</f>
        <v>49769514.637617253</v>
      </c>
      <c r="AC850" s="224">
        <f>'Perfil - interna'!AC850+'Perfil - externa'!AC848</f>
        <v>65575953.591343358</v>
      </c>
      <c r="AD850" s="224">
        <f>'Perfil - interna'!AD850+'Perfil - externa'!AD848</f>
        <v>49779607.855823144</v>
      </c>
      <c r="AE850" s="224">
        <f>'Perfil - interna'!AE850+'Perfil - externa'!AE848</f>
        <v>45906638.902232252</v>
      </c>
      <c r="AF850" s="224">
        <f>'Perfil - interna'!AF850+'Perfil - externa'!AF848</f>
        <v>38877241.040402897</v>
      </c>
      <c r="AG850" s="224">
        <f>'Perfil - interna'!AG850+'Perfil - externa'!AG848</f>
        <v>56699016.315679893</v>
      </c>
      <c r="AH850" s="224">
        <f>'Perfil - interna'!AH850+'Perfil - externa'!AH848</f>
        <v>45196999.46177417</v>
      </c>
      <c r="AI850" s="224">
        <f>'Perfil - interna'!AI850+'Perfil - externa'!AI848</f>
        <v>61780978.087104723</v>
      </c>
      <c r="AJ850" s="224">
        <f>'Perfil - interna'!AJ850+'Perfil - externa'!AJ848</f>
        <v>45432254.972446345</v>
      </c>
      <c r="AK850" s="224">
        <f>'Perfil - interna'!AK850+'Perfil - externa'!AK848</f>
        <v>52580966.663887478</v>
      </c>
      <c r="AL850" s="224">
        <f>'Perfil - interna'!AL850+'Perfil - externa'!AL848</f>
        <v>30663391.927915521</v>
      </c>
      <c r="AM850" s="224">
        <f>'Perfil - interna'!AM850+'Perfil - externa'!AM848</f>
        <v>51748726.596750386</v>
      </c>
      <c r="AN850" s="224">
        <f>'Perfil - interna'!AN850+'Perfil - externa'!AN848</f>
        <v>9517205.2860597391</v>
      </c>
      <c r="AO850" s="224">
        <f>'Perfil - interna'!AO850+'Perfil - externa'!AO848</f>
        <v>5092676.2521942463</v>
      </c>
      <c r="AP850" s="224">
        <f>'Perfil - interna'!AP850+'Perfil - externa'!AP848</f>
        <v>5731867.4058398847</v>
      </c>
      <c r="AQ850" s="224">
        <f>'Perfil - interna'!AQ850+'Perfil - externa'!AQ848</f>
        <v>12132363.153198328</v>
      </c>
      <c r="AR850" s="224">
        <f>'Perfil - interna'!AR850+'Perfil - externa'!AR848</f>
        <v>55525864.132728584</v>
      </c>
      <c r="AS850" s="224">
        <f>'Perfil - interna'!AS850+'Perfil - externa'!AS848</f>
        <v>272081.8441267942</v>
      </c>
      <c r="AT850" s="224">
        <f>'Perfil - interna'!AT850+'Perfil - externa'!AT848</f>
        <v>10512682.817763181</v>
      </c>
      <c r="AU850" s="224">
        <f>'Perfil - interna'!AU850+'Perfil - externa'!AU848</f>
        <v>18799052.791276325</v>
      </c>
      <c r="AV850" s="224">
        <f>'Perfil - interna'!AV850+'Perfil - externa'!AV848</f>
        <v>130484.15841228039</v>
      </c>
      <c r="AW850" s="224">
        <f>'Perfil - interna'!AW850+'Perfil - externa'!AW848</f>
        <v>107862.91137890617</v>
      </c>
      <c r="AX850" s="224">
        <f>'Perfil - interna'!AX850+'Perfil - externa'!AX848</f>
        <v>107663.50218336975</v>
      </c>
      <c r="AY850" s="224">
        <f>'Perfil - interna'!AY850+'Perfil - externa'!AY848</f>
        <v>41364548.15095254</v>
      </c>
      <c r="AZ850" s="224">
        <f>'Perfil - interna'!AZ850+'Perfil - externa'!AZ848</f>
        <v>34370083.530940399</v>
      </c>
      <c r="BA850" s="224">
        <f>'Perfil - interna'!BA850+'Perfil - externa'!BA848</f>
        <v>6222060</v>
      </c>
      <c r="BB850" s="224">
        <f>'Perfil - interna'!BB850+'Perfil - externa'!BB848</f>
        <v>0</v>
      </c>
      <c r="BC850" s="224">
        <f>'Perfil - interna'!BC850+'Perfil - externa'!BC848</f>
        <v>7881276</v>
      </c>
      <c r="BD850" s="224">
        <f>'Perfil - interna'!BD850+'Perfil - externa'!BD848</f>
        <v>0</v>
      </c>
      <c r="BE850" s="224">
        <f>'Perfil - interna'!BE850+'Perfil - externa'!BE848</f>
        <v>0</v>
      </c>
      <c r="BF850" s="224">
        <f>'Perfil - interna'!BF850+'Perfil - externa'!BF848</f>
        <v>0</v>
      </c>
      <c r="BG850" s="224">
        <f>'Perfil - interna'!BG850+'Perfil - externa'!BG848</f>
        <v>0</v>
      </c>
      <c r="BH850" s="224">
        <f>'Perfil - interna'!BH850+'Perfil - externa'!BH848</f>
        <v>0</v>
      </c>
      <c r="BI850" s="224">
        <f>'Perfil - interna'!BI850+'Perfil - externa'!BI848</f>
        <v>0</v>
      </c>
      <c r="BJ850" s="224">
        <f>'Perfil - interna'!BJ850+'Perfil - externa'!BJ848</f>
        <v>0</v>
      </c>
      <c r="BK850" s="224">
        <f>'Perfil - interna'!BK850+'Perfil - externa'!BK848</f>
        <v>5392452</v>
      </c>
    </row>
    <row r="851" spans="1:63">
      <c r="A851" s="168">
        <v>45473</v>
      </c>
      <c r="B851" s="213" t="s">
        <v>385</v>
      </c>
      <c r="C851" s="224"/>
      <c r="D851" s="224"/>
      <c r="E851" s="224"/>
      <c r="F851" s="224"/>
      <c r="G851" s="224"/>
      <c r="H851" s="224"/>
      <c r="I851" s="224"/>
      <c r="J851" s="224"/>
      <c r="K851" s="224"/>
      <c r="L851" s="224"/>
      <c r="M851" s="224"/>
      <c r="N851" s="224"/>
      <c r="O851" s="224"/>
      <c r="P851" s="224"/>
      <c r="Q851" s="224"/>
      <c r="R851" s="224"/>
      <c r="S851" s="224"/>
      <c r="T851" s="224"/>
      <c r="U851" s="224"/>
      <c r="V851" s="224"/>
      <c r="W851" s="224"/>
      <c r="X851" s="224"/>
      <c r="Y851" s="224"/>
      <c r="Z851" s="224">
        <f>'Perfil - interna'!Z851+'Perfil - externa'!Z849</f>
        <v>20889497.095579218</v>
      </c>
      <c r="AA851" s="224">
        <f>'Perfil - interna'!AA851+'Perfil - externa'!AA849</f>
        <v>48206222.033357821</v>
      </c>
      <c r="AB851" s="224">
        <f>'Perfil - interna'!AB851+'Perfil - externa'!AB849</f>
        <v>45812393.080172479</v>
      </c>
      <c r="AC851" s="224">
        <f>'Perfil - interna'!AC851+'Perfil - externa'!AC849</f>
        <v>42938537.762836598</v>
      </c>
      <c r="AD851" s="224">
        <f>'Perfil - interna'!AD851+'Perfil - externa'!AD849</f>
        <v>40352827.361665606</v>
      </c>
      <c r="AE851" s="224">
        <f>'Perfil - interna'!AE851+'Perfil - externa'!AE849</f>
        <v>37645520.884067461</v>
      </c>
      <c r="AF851" s="224">
        <f>'Perfil - interna'!AF851+'Perfil - externa'!AF849</f>
        <v>36405019.954555877</v>
      </c>
      <c r="AG851" s="224">
        <f>'Perfil - interna'!AG851+'Perfil - externa'!AG849</f>
        <v>34178808.082971759</v>
      </c>
      <c r="AH851" s="224">
        <f>'Perfil - interna'!AH851+'Perfil - externa'!AH849</f>
        <v>31315948.3204941</v>
      </c>
      <c r="AI851" s="224">
        <f>'Perfil - interna'!AI851+'Perfil - externa'!AI849</f>
        <v>28704479.835264675</v>
      </c>
      <c r="AJ851" s="224">
        <f>'Perfil - interna'!AJ851+'Perfil - externa'!AJ849</f>
        <v>23558469.118968971</v>
      </c>
      <c r="AK851" s="224">
        <f>'Perfil - interna'!AK851+'Perfil - externa'!AK849</f>
        <v>20995199.871913612</v>
      </c>
      <c r="AL851" s="224">
        <f>'Perfil - interna'!AL851+'Perfil - externa'!AL849</f>
        <v>17863801.242115118</v>
      </c>
      <c r="AM851" s="224">
        <f>'Perfil - interna'!AM851+'Perfil - externa'!AM849</f>
        <v>16614060.805865459</v>
      </c>
      <c r="AN851" s="224">
        <f>'Perfil - interna'!AN851+'Perfil - externa'!AN849</f>
        <v>13712788.957299225</v>
      </c>
      <c r="AO851" s="224">
        <f>'Perfil - interna'!AO851+'Perfil - externa'!AO849</f>
        <v>13585401.953054938</v>
      </c>
      <c r="AP851" s="224">
        <f>'Perfil - interna'!AP851+'Perfil - externa'!AP849</f>
        <v>13385080.370402297</v>
      </c>
      <c r="AQ851" s="224">
        <f>'Perfil - interna'!AQ851+'Perfil - externa'!AQ849</f>
        <v>12935287.830026649</v>
      </c>
      <c r="AR851" s="224">
        <f>'Perfil - interna'!AR851+'Perfil - externa'!AR849</f>
        <v>12500055.690595338</v>
      </c>
      <c r="AS851" s="224">
        <f>'Perfil - interna'!AS851+'Perfil - externa'!AS849</f>
        <v>7765750.9978534039</v>
      </c>
      <c r="AT851" s="224">
        <f>'Perfil - interna'!AT851+'Perfil - externa'!AT849</f>
        <v>7530288.7106188172</v>
      </c>
      <c r="AU851" s="224">
        <f>'Perfil - interna'!AU851+'Perfil - externa'!AU849</f>
        <v>6824299.8637853321</v>
      </c>
      <c r="AV851" s="224">
        <f>'Perfil - interna'!AV851+'Perfil - externa'!AV849</f>
        <v>6416932.1885402501</v>
      </c>
      <c r="AW851" s="224">
        <f>'Perfil - interna'!AW851+'Perfil - externa'!AW849</f>
        <v>6478345.7336475328</v>
      </c>
      <c r="AX851" s="224">
        <f>'Perfil - interna'!AX851+'Perfil - externa'!AX849</f>
        <v>6547011.1737630572</v>
      </c>
      <c r="AY851" s="224">
        <f>'Perfil - interna'!AY851+'Perfil - externa'!AY849</f>
        <v>6299196.7972237365</v>
      </c>
      <c r="AZ851" s="224">
        <f>'Perfil - interna'!AZ851+'Perfil - externa'!AZ849</f>
        <v>3659117.6597766196</v>
      </c>
      <c r="BA851" s="224">
        <f>'Perfil - interna'!BA851+'Perfil - externa'!BA849</f>
        <v>1040092.2241666665</v>
      </c>
      <c r="BB851" s="224">
        <f>'Perfil - interna'!BB851+'Perfil - externa'!BB849</f>
        <v>913545.31774999981</v>
      </c>
      <c r="BC851" s="224">
        <f>'Perfil - interna'!BC851+'Perfil - externa'!BC849</f>
        <v>911049.2922916665</v>
      </c>
      <c r="BD851" s="224">
        <f>'Perfil - interna'!BD851+'Perfil - externa'!BD849</f>
        <v>211859.70270833332</v>
      </c>
      <c r="BE851" s="224">
        <f>'Perfil - interna'!BE851+'Perfil - externa'!BE849</f>
        <v>211859.70270833332</v>
      </c>
      <c r="BF851" s="224">
        <f>'Perfil - interna'!BF851+'Perfil - externa'!BF849</f>
        <v>212440.14025</v>
      </c>
      <c r="BG851" s="224">
        <f>'Perfil - interna'!BG851+'Perfil - externa'!BG849</f>
        <v>211859.70270833332</v>
      </c>
      <c r="BH851" s="224">
        <f>'Perfil - interna'!BH851+'Perfil - externa'!BH849</f>
        <v>211859.70270833332</v>
      </c>
      <c r="BI851" s="224">
        <f>'Perfil - interna'!BI851+'Perfil - externa'!BI849</f>
        <v>211859.70270833332</v>
      </c>
      <c r="BJ851" s="224">
        <f>'Perfil - interna'!BJ851+'Perfil - externa'!BJ849</f>
        <v>212440.14025</v>
      </c>
      <c r="BK851" s="224">
        <f>'Perfil - interna'!BK851+'Perfil - externa'!BK849</f>
        <v>106800.50766666666</v>
      </c>
    </row>
    <row r="852" spans="1:63">
      <c r="A852" s="279"/>
      <c r="B852" s="307" t="s">
        <v>29</v>
      </c>
      <c r="C852" s="321"/>
      <c r="D852" s="321"/>
      <c r="E852" s="321"/>
      <c r="F852" s="321"/>
      <c r="G852" s="321"/>
      <c r="H852" s="321"/>
      <c r="I852" s="321"/>
      <c r="J852" s="321"/>
      <c r="K852" s="321"/>
      <c r="L852" s="321"/>
      <c r="M852" s="321"/>
      <c r="N852" s="321"/>
      <c r="O852" s="321"/>
      <c r="P852" s="321"/>
      <c r="Q852" s="321"/>
      <c r="R852" s="321"/>
      <c r="S852" s="321"/>
      <c r="T852" s="321"/>
      <c r="U852" s="321"/>
      <c r="V852" s="321"/>
      <c r="W852" s="321"/>
      <c r="X852" s="321"/>
      <c r="Y852" s="321"/>
      <c r="Z852" s="321">
        <f t="shared" ref="Z852:BG852" si="96">+Z850+Z851</f>
        <v>98843260.079769045</v>
      </c>
      <c r="AA852" s="321">
        <f t="shared" si="96"/>
        <v>111097882.00231919</v>
      </c>
      <c r="AB852" s="321">
        <f t="shared" si="96"/>
        <v>95581907.717789739</v>
      </c>
      <c r="AC852" s="321">
        <f t="shared" si="96"/>
        <v>108514491.35417995</v>
      </c>
      <c r="AD852" s="321">
        <f t="shared" si="96"/>
        <v>90132435.217488751</v>
      </c>
      <c r="AE852" s="321">
        <f t="shared" si="96"/>
        <v>83552159.786299706</v>
      </c>
      <c r="AF852" s="321">
        <f t="shared" si="96"/>
        <v>75282260.994958773</v>
      </c>
      <c r="AG852" s="321">
        <f t="shared" si="96"/>
        <v>90877824.398651659</v>
      </c>
      <c r="AH852" s="321">
        <f t="shared" si="96"/>
        <v>76512947.782268271</v>
      </c>
      <c r="AI852" s="321">
        <f t="shared" si="96"/>
        <v>90485457.922369391</v>
      </c>
      <c r="AJ852" s="321">
        <f t="shared" si="96"/>
        <v>68990724.091415316</v>
      </c>
      <c r="AK852" s="321">
        <f t="shared" si="96"/>
        <v>73576166.535801083</v>
      </c>
      <c r="AL852" s="321">
        <f t="shared" si="96"/>
        <v>48527193.170030639</v>
      </c>
      <c r="AM852" s="321">
        <f t="shared" si="96"/>
        <v>68362787.402615845</v>
      </c>
      <c r="AN852" s="321">
        <f t="shared" si="96"/>
        <v>23229994.243358962</v>
      </c>
      <c r="AO852" s="321">
        <f t="shared" si="96"/>
        <v>18678078.205249183</v>
      </c>
      <c r="AP852" s="321">
        <f t="shared" si="96"/>
        <v>19116947.776242182</v>
      </c>
      <c r="AQ852" s="321">
        <f t="shared" si="96"/>
        <v>25067650.983224977</v>
      </c>
      <c r="AR852" s="321">
        <f t="shared" si="96"/>
        <v>68025919.82332392</v>
      </c>
      <c r="AS852" s="321">
        <f t="shared" si="96"/>
        <v>8037832.8419801984</v>
      </c>
      <c r="AT852" s="321">
        <f t="shared" si="96"/>
        <v>18042971.528382</v>
      </c>
      <c r="AU852" s="321">
        <f t="shared" si="96"/>
        <v>25623352.655061655</v>
      </c>
      <c r="AV852" s="321">
        <f t="shared" si="96"/>
        <v>6547416.3469525306</v>
      </c>
      <c r="AW852" s="321">
        <f t="shared" si="96"/>
        <v>6586208.6450264389</v>
      </c>
      <c r="AX852" s="321">
        <f t="shared" si="96"/>
        <v>6654674.6759464266</v>
      </c>
      <c r="AY852" s="321">
        <f t="shared" si="96"/>
        <v>47663744.94817628</v>
      </c>
      <c r="AZ852" s="321">
        <f t="shared" si="96"/>
        <v>38029201.190717019</v>
      </c>
      <c r="BA852" s="321">
        <f t="shared" si="96"/>
        <v>7262152.2241666662</v>
      </c>
      <c r="BB852" s="321">
        <f t="shared" si="96"/>
        <v>913545.31774999981</v>
      </c>
      <c r="BC852" s="321">
        <f t="shared" si="96"/>
        <v>8792325.2922916673</v>
      </c>
      <c r="BD852" s="321">
        <f t="shared" si="96"/>
        <v>211859.70270833332</v>
      </c>
      <c r="BE852" s="321">
        <f t="shared" si="96"/>
        <v>211859.70270833332</v>
      </c>
      <c r="BF852" s="321">
        <f t="shared" si="96"/>
        <v>212440.14025</v>
      </c>
      <c r="BG852" s="321">
        <f t="shared" si="96"/>
        <v>211859.70270833332</v>
      </c>
      <c r="BH852" s="321">
        <f>+BH850+BH851</f>
        <v>211859.70270833332</v>
      </c>
      <c r="BI852" s="321">
        <f>+BI850+BI851</f>
        <v>211859.70270833332</v>
      </c>
      <c r="BJ852" s="321">
        <f>+BJ850+BJ851</f>
        <v>212440.14025</v>
      </c>
      <c r="BK852" s="321">
        <f>+BK850+BK851</f>
        <v>5499252.507666667</v>
      </c>
    </row>
    <row r="853" spans="1:63">
      <c r="A853" s="278"/>
      <c r="B853" s="210" t="s">
        <v>28</v>
      </c>
      <c r="C853" s="224"/>
      <c r="D853" s="224"/>
      <c r="E853" s="224"/>
      <c r="F853" s="224"/>
      <c r="G853" s="224"/>
      <c r="H853" s="224"/>
      <c r="I853" s="224"/>
      <c r="J853" s="224"/>
      <c r="K853" s="224"/>
      <c r="L853" s="224"/>
      <c r="M853" s="224"/>
      <c r="N853" s="224"/>
      <c r="O853" s="224"/>
      <c r="P853" s="224"/>
      <c r="Q853" s="224"/>
      <c r="R853" s="224"/>
      <c r="S853" s="224"/>
      <c r="T853" s="224"/>
      <c r="U853" s="224"/>
      <c r="V853" s="224"/>
      <c r="W853" s="224"/>
      <c r="X853" s="224"/>
      <c r="Y853" s="224"/>
      <c r="Z853" s="224">
        <f>'Perfil - interna'!Z853+'Perfil - externa'!Z851</f>
        <v>69643618.020581886</v>
      </c>
      <c r="AA853" s="224">
        <f>'Perfil - interna'!AA853+'Perfil - externa'!AA851</f>
        <v>65278160.754195906</v>
      </c>
      <c r="AB853" s="224">
        <f>'Perfil - interna'!AB853+'Perfil - externa'!AB851</f>
        <v>49606174.983519636</v>
      </c>
      <c r="AC853" s="224">
        <f>'Perfil - interna'!AC853+'Perfil - externa'!AC851</f>
        <v>65464606.303087816</v>
      </c>
      <c r="AD853" s="224">
        <f>'Perfil - interna'!AD853+'Perfil - externa'!AD851</f>
        <v>49621056.700805023</v>
      </c>
      <c r="AE853" s="224">
        <f>'Perfil - interna'!AE853+'Perfil - externa'!AE851</f>
        <v>46448170.645124882</v>
      </c>
      <c r="AF853" s="224">
        <f>'Perfil - interna'!AF853+'Perfil - externa'!AF851</f>
        <v>38925151.709692702</v>
      </c>
      <c r="AG853" s="224">
        <f>'Perfil - interna'!AG853+'Perfil - externa'!AG851</f>
        <v>56509271.963430732</v>
      </c>
      <c r="AH853" s="224">
        <f>'Perfil - interna'!AH853+'Perfil - externa'!AH851</f>
        <v>45065737.204583995</v>
      </c>
      <c r="AI853" s="224">
        <f>'Perfil - interna'!AI853+'Perfil - externa'!AI851</f>
        <v>61707593.376137048</v>
      </c>
      <c r="AJ853" s="224">
        <f>'Perfil - interna'!AJ853+'Perfil - externa'!AJ851</f>
        <v>45297851.400722355</v>
      </c>
      <c r="AK853" s="224">
        <f>'Perfil - interna'!AK853+'Perfil - externa'!AK851</f>
        <v>52610975.02460102</v>
      </c>
      <c r="AL853" s="224">
        <f>'Perfil - interna'!AL853+'Perfil - externa'!AL851</f>
        <v>30632517.857155189</v>
      </c>
      <c r="AM853" s="224">
        <f>'Perfil - interna'!AM853+'Perfil - externa'!AM851</f>
        <v>52087461.412963092</v>
      </c>
      <c r="AN853" s="224">
        <f>'Perfil - interna'!AN853+'Perfil - externa'!AN851</f>
        <v>9485029.7651083972</v>
      </c>
      <c r="AO853" s="224">
        <f>'Perfil - interna'!AO853+'Perfil - externa'!AO851</f>
        <v>5123422.7309481502</v>
      </c>
      <c r="AP853" s="224">
        <f>'Perfil - interna'!AP853+'Perfil - externa'!AP851</f>
        <v>5752618.6591377435</v>
      </c>
      <c r="AQ853" s="224">
        <f>'Perfil - interna'!AQ853+'Perfil - externa'!AQ851</f>
        <v>12060963.789985759</v>
      </c>
      <c r="AR853" s="224">
        <f>'Perfil - interna'!AR853+'Perfil - externa'!AR851</f>
        <v>55553210.344034076</v>
      </c>
      <c r="AS853" s="224">
        <f>'Perfil - interna'!AS853+'Perfil - externa'!AS851</f>
        <v>369349.60747839254</v>
      </c>
      <c r="AT853" s="224">
        <f>'Perfil - interna'!AT853+'Perfil - externa'!AT851</f>
        <v>10464618.160992265</v>
      </c>
      <c r="AU853" s="224">
        <f>'Perfil - interna'!AU853+'Perfil - externa'!AU851</f>
        <v>18633146.222479947</v>
      </c>
      <c r="AV853" s="224">
        <f>'Perfil - interna'!AV853+'Perfil - externa'!AV851</f>
        <v>3345285.6587121389</v>
      </c>
      <c r="AW853" s="224">
        <f>'Perfil - interna'!AW853+'Perfil - externa'!AW851</f>
        <v>207767.01239645618</v>
      </c>
      <c r="AX853" s="224">
        <f>'Perfil - interna'!AX853+'Perfil - externa'!AX851</f>
        <v>207570.4390537467</v>
      </c>
      <c r="AY853" s="224">
        <f>'Perfil - interna'!AY853+'Perfil - externa'!AY851</f>
        <v>42241329.708061866</v>
      </c>
      <c r="AZ853" s="224">
        <f>'Perfil - interna'!AZ853+'Perfil - externa'!AZ851</f>
        <v>34924246.356873713</v>
      </c>
      <c r="BA853" s="224">
        <f>'Perfil - interna'!BA853+'Perfil - externa'!BA851</f>
        <v>6234125.409836066</v>
      </c>
      <c r="BB853" s="224">
        <f>'Perfil - interna'!BB853+'Perfil - externa'!BB851</f>
        <v>100550.40983606558</v>
      </c>
      <c r="BC853" s="224">
        <f>'Perfil - interna'!BC853+'Perfil - externa'!BC851</f>
        <v>7869745.409836066</v>
      </c>
      <c r="BD853" s="224">
        <f>'Perfil - interna'!BD853+'Perfil - externa'!BD851</f>
        <v>100550.40983606558</v>
      </c>
      <c r="BE853" s="224">
        <f>'Perfil - interna'!BE853+'Perfil - externa'!BE851</f>
        <v>100550.40983606558</v>
      </c>
      <c r="BF853" s="224">
        <f>'Perfil - interna'!BF853+'Perfil - externa'!BF851</f>
        <v>100550.40983606558</v>
      </c>
      <c r="BG853" s="224">
        <f>'Perfil - interna'!BG853+'Perfil - externa'!BG851</f>
        <v>100550.40983606558</v>
      </c>
      <c r="BH853" s="224">
        <f>'Perfil - interna'!BH853+'Perfil - externa'!BH851</f>
        <v>100550.40983606558</v>
      </c>
      <c r="BI853" s="224">
        <f>'Perfil - interna'!BI853+'Perfil - externa'!BI851</f>
        <v>50275.204918032789</v>
      </c>
      <c r="BJ853" s="224">
        <f>'Perfil - interna'!BJ853+'Perfil - externa'!BJ851</f>
        <v>0</v>
      </c>
      <c r="BK853" s="224">
        <f>'Perfil - interna'!BK853+'Perfil - externa'!BK851</f>
        <v>5315765</v>
      </c>
    </row>
    <row r="854" spans="1:63">
      <c r="A854" s="168">
        <v>45504</v>
      </c>
      <c r="B854" s="213" t="s">
        <v>385</v>
      </c>
      <c r="C854" s="224"/>
      <c r="D854" s="224"/>
      <c r="E854" s="224"/>
      <c r="F854" s="224"/>
      <c r="G854" s="224"/>
      <c r="H854" s="224"/>
      <c r="I854" s="224"/>
      <c r="J854" s="224"/>
      <c r="K854" s="224"/>
      <c r="L854" s="224"/>
      <c r="M854" s="224"/>
      <c r="N854" s="224"/>
      <c r="O854" s="224"/>
      <c r="P854" s="224"/>
      <c r="Q854" s="224"/>
      <c r="R854" s="224"/>
      <c r="S854" s="224"/>
      <c r="T854" s="224"/>
      <c r="U854" s="224"/>
      <c r="V854" s="224"/>
      <c r="W854" s="224"/>
      <c r="X854" s="224"/>
      <c r="Y854" s="224"/>
      <c r="Z854" s="224">
        <f>'Perfil - interna'!Z854+'Perfil - externa'!Z852</f>
        <v>17805864.563413698</v>
      </c>
      <c r="AA854" s="224">
        <f>'Perfil - interna'!AA854+'Perfil - externa'!AA852</f>
        <v>48741623.725921452</v>
      </c>
      <c r="AB854" s="224">
        <f>'Perfil - interna'!AB854+'Perfil - externa'!AB852</f>
        <v>46358917.002547085</v>
      </c>
      <c r="AC854" s="224">
        <f>'Perfil - interna'!AC854+'Perfil - externa'!AC852</f>
        <v>43447995.744528405</v>
      </c>
      <c r="AD854" s="224">
        <f>'Perfil - interna'!AD854+'Perfil - externa'!AD852</f>
        <v>40906231.238136254</v>
      </c>
      <c r="AE854" s="224">
        <f>'Perfil - interna'!AE854+'Perfil - externa'!AE852</f>
        <v>38208218.239144258</v>
      </c>
      <c r="AF854" s="224">
        <f>'Perfil - interna'!AF854+'Perfil - externa'!AF852</f>
        <v>36964604.294575334</v>
      </c>
      <c r="AG854" s="224">
        <f>'Perfil - interna'!AG854+'Perfil - externa'!AG852</f>
        <v>34726213.434477702</v>
      </c>
      <c r="AH854" s="224">
        <f>'Perfil - interna'!AH854+'Perfil - externa'!AH852</f>
        <v>31868045.952554189</v>
      </c>
      <c r="AI854" s="224">
        <f>'Perfil - interna'!AI854+'Perfil - externa'!AI852</f>
        <v>29259342.236729331</v>
      </c>
      <c r="AJ854" s="224">
        <f>'Perfil - interna'!AJ854+'Perfil - externa'!AJ852</f>
        <v>24118327.132467389</v>
      </c>
      <c r="AK854" s="224">
        <f>'Perfil - interna'!AK854+'Perfil - externa'!AK852</f>
        <v>21555220.789248388</v>
      </c>
      <c r="AL854" s="224">
        <f>'Perfil - interna'!AL854+'Perfil - externa'!AL852</f>
        <v>18426693.041913055</v>
      </c>
      <c r="AM854" s="224">
        <f>'Perfil - interna'!AM854+'Perfil - externa'!AM852</f>
        <v>17168955.613461375</v>
      </c>
      <c r="AN854" s="224">
        <f>'Perfil - interna'!AN854+'Perfil - externa'!AN852</f>
        <v>14253366.948405074</v>
      </c>
      <c r="AO854" s="224">
        <f>'Perfil - interna'!AO854+'Perfil - externa'!AO852</f>
        <v>14117369.191268891</v>
      </c>
      <c r="AP854" s="224">
        <f>'Perfil - interna'!AP854+'Perfil - externa'!AP852</f>
        <v>13909665.472447807</v>
      </c>
      <c r="AQ854" s="224">
        <f>'Perfil - interna'!AQ854+'Perfil - externa'!AQ852</f>
        <v>13455230.084520847</v>
      </c>
      <c r="AR854" s="224">
        <f>'Perfil - interna'!AR854+'Perfil - externa'!AR852</f>
        <v>13019706.541818541</v>
      </c>
      <c r="AS854" s="224">
        <f>'Perfil - interna'!AS854+'Perfil - externa'!AS852</f>
        <v>8281565.2438834533</v>
      </c>
      <c r="AT854" s="224">
        <f>'Perfil - interna'!AT854+'Perfil - externa'!AT852</f>
        <v>8044992.2747525256</v>
      </c>
      <c r="AU854" s="224">
        <f>'Perfil - interna'!AU854+'Perfil - externa'!AU852</f>
        <v>7344040.5384481875</v>
      </c>
      <c r="AV854" s="224">
        <f>'Perfil - interna'!AV854+'Perfil - externa'!AV852</f>
        <v>6937848.0519047519</v>
      </c>
      <c r="AW854" s="224">
        <f>'Perfil - interna'!AW854+'Perfil - externa'!AW852</f>
        <v>6635598.566723478</v>
      </c>
      <c r="AX854" s="224">
        <f>'Perfil - interna'!AX854+'Perfil - externa'!AX852</f>
        <v>6699057.5736567676</v>
      </c>
      <c r="AY854" s="224">
        <f>'Perfil - interna'!AY854+'Perfil - externa'!AY852</f>
        <v>6450163.1879803706</v>
      </c>
      <c r="AZ854" s="224">
        <f>'Perfil - interna'!AZ854+'Perfil - externa'!AZ852</f>
        <v>3742136.9423449868</v>
      </c>
      <c r="BA854" s="224">
        <f>'Perfil - interna'!BA854+'Perfil - externa'!BA852</f>
        <v>1084848.8361378857</v>
      </c>
      <c r="BB854" s="224">
        <f>'Perfil - interna'!BB854+'Perfil - externa'!BB852</f>
        <v>953031.10541224666</v>
      </c>
      <c r="BC854" s="224">
        <f>'Perfil - interna'!BC854+'Perfil - externa'!BC852</f>
        <v>943201.58837469574</v>
      </c>
      <c r="BD854" s="224">
        <f>'Perfil - interna'!BD854+'Perfil - externa'!BD852</f>
        <v>246735.5207712898</v>
      </c>
      <c r="BE854" s="224">
        <f>'Perfil - interna'!BE854+'Perfil - externa'!BE852</f>
        <v>638686.10168658907</v>
      </c>
      <c r="BF854" s="224">
        <f>'Perfil - interna'!BF854+'Perfil - externa'!BF852</f>
        <v>438679.09357923496</v>
      </c>
      <c r="BG854" s="224">
        <f>'Perfil - interna'!BG854+'Perfil - externa'!BG852</f>
        <v>239848.71147142531</v>
      </c>
      <c r="BH854" s="224">
        <f>'Perfil - interna'!BH854+'Perfil - externa'!BH852</f>
        <v>40430.01636384333</v>
      </c>
      <c r="BI854" s="224">
        <f>'Perfil - interna'!BI854+'Perfil - externa'!BI852</f>
        <v>158988.67874373862</v>
      </c>
      <c r="BJ854" s="224">
        <f>'Perfil - interna'!BJ854+'Perfil - externa'!BJ852</f>
        <v>209418.99197916666</v>
      </c>
      <c r="BK854" s="224">
        <f>'Perfil - interna'!BK854+'Perfil - externa'!BK852</f>
        <v>105281.67902777778</v>
      </c>
    </row>
    <row r="855" spans="1:63">
      <c r="A855" s="279"/>
      <c r="B855" s="307" t="s">
        <v>29</v>
      </c>
      <c r="C855" s="321"/>
      <c r="D855" s="321"/>
      <c r="E855" s="321"/>
      <c r="F855" s="321"/>
      <c r="G855" s="321"/>
      <c r="H855" s="321"/>
      <c r="I855" s="321"/>
      <c r="J855" s="321"/>
      <c r="K855" s="321"/>
      <c r="L855" s="321"/>
      <c r="M855" s="321"/>
      <c r="N855" s="321"/>
      <c r="O855" s="321"/>
      <c r="P855" s="321"/>
      <c r="Q855" s="321"/>
      <c r="R855" s="321"/>
      <c r="S855" s="321"/>
      <c r="T855" s="321"/>
      <c r="U855" s="321"/>
      <c r="V855" s="321"/>
      <c r="W855" s="321"/>
      <c r="X855" s="321"/>
      <c r="Y855" s="321"/>
      <c r="Z855" s="321">
        <f t="shared" ref="Z855:BG855" si="97">+Z853+Z854</f>
        <v>87449482.583995581</v>
      </c>
      <c r="AA855" s="321">
        <f t="shared" si="97"/>
        <v>114019784.48011735</v>
      </c>
      <c r="AB855" s="321">
        <f t="shared" si="97"/>
        <v>95965091.986066729</v>
      </c>
      <c r="AC855" s="321">
        <f t="shared" si="97"/>
        <v>108912602.04761621</v>
      </c>
      <c r="AD855" s="321">
        <f t="shared" si="97"/>
        <v>90527287.93894127</v>
      </c>
      <c r="AE855" s="321">
        <f t="shared" si="97"/>
        <v>84656388.884269148</v>
      </c>
      <c r="AF855" s="321">
        <f t="shared" si="97"/>
        <v>75889756.004268035</v>
      </c>
      <c r="AG855" s="321">
        <f t="shared" si="97"/>
        <v>91235485.397908434</v>
      </c>
      <c r="AH855" s="321">
        <f t="shared" si="97"/>
        <v>76933783.157138184</v>
      </c>
      <c r="AI855" s="321">
        <f t="shared" si="97"/>
        <v>90966935.612866372</v>
      </c>
      <c r="AJ855" s="321">
        <f t="shared" si="97"/>
        <v>69416178.533189744</v>
      </c>
      <c r="AK855" s="321">
        <f t="shared" si="97"/>
        <v>74166195.813849404</v>
      </c>
      <c r="AL855" s="321">
        <f t="shared" si="97"/>
        <v>49059210.899068244</v>
      </c>
      <c r="AM855" s="321">
        <f t="shared" si="97"/>
        <v>69256417.026424468</v>
      </c>
      <c r="AN855" s="321">
        <f t="shared" si="97"/>
        <v>23738396.713513471</v>
      </c>
      <c r="AO855" s="321">
        <f t="shared" si="97"/>
        <v>19240791.922217041</v>
      </c>
      <c r="AP855" s="321">
        <f t="shared" si="97"/>
        <v>19662284.13158555</v>
      </c>
      <c r="AQ855" s="321">
        <f t="shared" si="97"/>
        <v>25516193.874506608</v>
      </c>
      <c r="AR855" s="321">
        <f t="shared" si="97"/>
        <v>68572916.88585262</v>
      </c>
      <c r="AS855" s="321">
        <f t="shared" si="97"/>
        <v>8650914.8513618466</v>
      </c>
      <c r="AT855" s="321">
        <f t="shared" si="97"/>
        <v>18509610.435744792</v>
      </c>
      <c r="AU855" s="321">
        <f t="shared" si="97"/>
        <v>25977186.760928135</v>
      </c>
      <c r="AV855" s="321">
        <f t="shared" si="97"/>
        <v>10283133.71061689</v>
      </c>
      <c r="AW855" s="321">
        <f t="shared" si="97"/>
        <v>6843365.5791199338</v>
      </c>
      <c r="AX855" s="321">
        <f t="shared" si="97"/>
        <v>6906628.0127105145</v>
      </c>
      <c r="AY855" s="321">
        <f t="shared" si="97"/>
        <v>48691492.896042235</v>
      </c>
      <c r="AZ855" s="321">
        <f t="shared" si="97"/>
        <v>38666383.299218699</v>
      </c>
      <c r="BA855" s="321">
        <f t="shared" si="97"/>
        <v>7318974.2459739521</v>
      </c>
      <c r="BB855" s="321">
        <f t="shared" si="97"/>
        <v>1053581.5152483121</v>
      </c>
      <c r="BC855" s="321">
        <f t="shared" si="97"/>
        <v>8812946.9982107617</v>
      </c>
      <c r="BD855" s="321">
        <f t="shared" si="97"/>
        <v>347285.93060735537</v>
      </c>
      <c r="BE855" s="321">
        <f t="shared" si="97"/>
        <v>739236.51152265468</v>
      </c>
      <c r="BF855" s="321">
        <f t="shared" si="97"/>
        <v>539229.50341530051</v>
      </c>
      <c r="BG855" s="321">
        <f t="shared" si="97"/>
        <v>340399.12130749086</v>
      </c>
      <c r="BH855" s="321">
        <f>+BH853+BH854</f>
        <v>140980.42619990889</v>
      </c>
      <c r="BI855" s="321">
        <f>+BI853+BI854</f>
        <v>209263.88366177143</v>
      </c>
      <c r="BJ855" s="321">
        <f>+BJ853+BJ854</f>
        <v>209418.99197916666</v>
      </c>
      <c r="BK855" s="321">
        <f>+BK853+BK854</f>
        <v>5421046.6790277781</v>
      </c>
    </row>
    <row r="856" spans="1:63">
      <c r="A856" s="278"/>
      <c r="B856" s="210" t="s">
        <v>28</v>
      </c>
      <c r="C856" s="224"/>
      <c r="D856" s="224"/>
      <c r="E856" s="224"/>
      <c r="F856" s="224"/>
      <c r="G856" s="224"/>
      <c r="H856" s="224"/>
      <c r="I856" s="224"/>
      <c r="J856" s="224"/>
      <c r="K856" s="224"/>
      <c r="L856" s="224"/>
      <c r="M856" s="224"/>
      <c r="N856" s="224"/>
      <c r="O856" s="224"/>
      <c r="P856" s="224"/>
      <c r="Q856" s="224"/>
      <c r="R856" s="224"/>
      <c r="S856" s="224"/>
      <c r="T856" s="224"/>
      <c r="U856" s="224"/>
      <c r="V856" s="224"/>
      <c r="W856" s="224"/>
      <c r="X856" s="224"/>
      <c r="Y856" s="224"/>
      <c r="Z856" s="224">
        <f>'Perfil - interna'!Z856+'Perfil - externa'!Z854</f>
        <v>68592389.995093331</v>
      </c>
      <c r="AA856" s="224">
        <f>'Perfil - interna'!AA856+'Perfil - externa'!AA854</f>
        <v>61373450.888107695</v>
      </c>
      <c r="AB856" s="224">
        <f>'Perfil - interna'!AB856+'Perfil - externa'!AB854</f>
        <v>50100279.721821532</v>
      </c>
      <c r="AC856" s="224">
        <f>'Perfil - interna'!AC856+'Perfil - externa'!AC854</f>
        <v>65874437.77702558</v>
      </c>
      <c r="AD856" s="224">
        <f>'Perfil - interna'!AD856+'Perfil - externa'!AD854</f>
        <v>50297597.830634922</v>
      </c>
      <c r="AE856" s="224">
        <f>'Perfil - interna'!AE856+'Perfil - externa'!AE854</f>
        <v>47267378.456507534</v>
      </c>
      <c r="AF856" s="224">
        <f>'Perfil - interna'!AF856+'Perfil - externa'!AF854</f>
        <v>39670140.361150473</v>
      </c>
      <c r="AG856" s="224">
        <f>'Perfil - interna'!AG856+'Perfil - externa'!AG854</f>
        <v>56904450.080483675</v>
      </c>
      <c r="AH856" s="224">
        <f>'Perfil - interna'!AH856+'Perfil - externa'!AH854</f>
        <v>45383158.612940297</v>
      </c>
      <c r="AI856" s="224">
        <f>'Perfil - interna'!AI856+'Perfil - externa'!AI854</f>
        <v>62074814.964813255</v>
      </c>
      <c r="AJ856" s="224">
        <f>'Perfil - interna'!AJ856+'Perfil - externa'!AJ854</f>
        <v>45606225.231742755</v>
      </c>
      <c r="AK856" s="224">
        <f>'Perfil - interna'!AK856+'Perfil - externa'!AK854</f>
        <v>53329207.409977317</v>
      </c>
      <c r="AL856" s="224">
        <f>'Perfil - interna'!AL856+'Perfil - externa'!AL854</f>
        <v>31658141.965027235</v>
      </c>
      <c r="AM856" s="224">
        <f>'Perfil - interna'!AM856+'Perfil - externa'!AM854</f>
        <v>53084185.5620372</v>
      </c>
      <c r="AN856" s="224">
        <f>'Perfil - interna'!AN856+'Perfil - externa'!AN854</f>
        <v>9650950.8394685742</v>
      </c>
      <c r="AO856" s="224">
        <f>'Perfil - interna'!AO856+'Perfil - externa'!AO854</f>
        <v>5213333.9445300158</v>
      </c>
      <c r="AP856" s="224">
        <f>'Perfil - interna'!AP856+'Perfil - externa'!AP854</f>
        <v>5854154.6772105619</v>
      </c>
      <c r="AQ856" s="224">
        <f>'Perfil - interna'!AQ856+'Perfil - externa'!AQ854</f>
        <v>12271650.858615423</v>
      </c>
      <c r="AR856" s="224">
        <f>'Perfil - interna'!AR856+'Perfil - externa'!AR854</f>
        <v>55644612.624390714</v>
      </c>
      <c r="AS856" s="224">
        <f>'Perfil - interna'!AS856+'Perfil - externa'!AS854</f>
        <v>376286.55814016622</v>
      </c>
      <c r="AT856" s="224">
        <f>'Perfil - interna'!AT856+'Perfil - externa'!AT854</f>
        <v>10647299.413114555</v>
      </c>
      <c r="AU856" s="224">
        <f>'Perfil - interna'!AU856+'Perfil - externa'!AU854</f>
        <v>18958180.664140701</v>
      </c>
      <c r="AV856" s="224">
        <f>'Perfil - interna'!AV856+'Perfil - externa'!AV854</f>
        <v>9444593.5656443909</v>
      </c>
      <c r="AW856" s="224">
        <f>'Perfil - interna'!AW856+'Perfil - externa'!AW854</f>
        <v>211701.80442959597</v>
      </c>
      <c r="AX856" s="224">
        <f>'Perfil - interna'!AX856+'Perfil - externa'!AX854</f>
        <v>211501.80537696337</v>
      </c>
      <c r="AY856" s="224">
        <f>'Perfil - interna'!AY856+'Perfil - externa'!AY854</f>
        <v>43867168.178424507</v>
      </c>
      <c r="AZ856" s="224">
        <f>'Perfil - interna'!AZ856+'Perfil - externa'!AZ854</f>
        <v>36053024.328889683</v>
      </c>
      <c r="BA856" s="224">
        <f>'Perfil - interna'!BA856+'Perfil - externa'!BA854</f>
        <v>6342767.7049180334</v>
      </c>
      <c r="BB856" s="224">
        <f>'Perfil - interna'!BB856+'Perfil - externa'!BB854</f>
        <v>102302.70491803279</v>
      </c>
      <c r="BC856" s="224">
        <f>'Perfil - interna'!BC856+'Perfil - externa'!BC854</f>
        <v>8006891.7049180334</v>
      </c>
      <c r="BD856" s="224">
        <f>'Perfil - interna'!BD856+'Perfil - externa'!BD854</f>
        <v>102302.70491803279</v>
      </c>
      <c r="BE856" s="224">
        <f>'Perfil - interna'!BE856+'Perfil - externa'!BE854</f>
        <v>102302.70491803279</v>
      </c>
      <c r="BF856" s="224">
        <f>'Perfil - interna'!BF856+'Perfil - externa'!BF854</f>
        <v>102302.70491803279</v>
      </c>
      <c r="BG856" s="224">
        <f>'Perfil - interna'!BG856+'Perfil - externa'!BG854</f>
        <v>102302.70491803279</v>
      </c>
      <c r="BH856" s="224">
        <f>'Perfil - interna'!BH856+'Perfil - externa'!BH854</f>
        <v>102302.70491803279</v>
      </c>
      <c r="BI856" s="224">
        <f>'Perfil - interna'!BI856+'Perfil - externa'!BI854</f>
        <v>51151.352459016394</v>
      </c>
      <c r="BJ856" s="224">
        <f>'Perfil - interna'!BJ856+'Perfil - externa'!BJ854</f>
        <v>0</v>
      </c>
      <c r="BK856" s="224">
        <f>'Perfil - interna'!BK856+'Perfil - externa'!BK854</f>
        <v>5408403.0000000009</v>
      </c>
    </row>
    <row r="857" spans="1:63">
      <c r="A857" s="168">
        <v>45535</v>
      </c>
      <c r="B857" s="213" t="s">
        <v>385</v>
      </c>
      <c r="C857" s="224"/>
      <c r="D857" s="224"/>
      <c r="E857" s="224"/>
      <c r="F857" s="224"/>
      <c r="G857" s="224"/>
      <c r="H857" s="224"/>
      <c r="I857" s="224"/>
      <c r="J857" s="224"/>
      <c r="K857" s="224"/>
      <c r="L857" s="224"/>
      <c r="M857" s="224"/>
      <c r="N857" s="224"/>
      <c r="O857" s="224"/>
      <c r="P857" s="224"/>
      <c r="Q857" s="224"/>
      <c r="R857" s="224"/>
      <c r="S857" s="224"/>
      <c r="T857" s="224"/>
      <c r="U857" s="224"/>
      <c r="V857" s="224"/>
      <c r="W857" s="224"/>
      <c r="X857" s="224"/>
      <c r="Y857" s="224"/>
      <c r="Z857" s="224">
        <f>'Perfil - interna'!Z857+'Perfil - externa'!Z855</f>
        <v>14399985.123783754</v>
      </c>
      <c r="AA857" s="224">
        <f>'Perfil - interna'!AA857+'Perfil - externa'!AA855</f>
        <v>49686390.457366616</v>
      </c>
      <c r="AB857" s="224">
        <f>'Perfil - interna'!AB857+'Perfil - externa'!AB855</f>
        <v>47671096.838259757</v>
      </c>
      <c r="AC857" s="224">
        <f>'Perfil - interna'!AC857+'Perfil - externa'!AC855</f>
        <v>44660116.286058545</v>
      </c>
      <c r="AD857" s="224">
        <f>'Perfil - interna'!AD857+'Perfil - externa'!AD855</f>
        <v>42108869.156893604</v>
      </c>
      <c r="AE857" s="224">
        <f>'Perfil - interna'!AE857+'Perfil - externa'!AE855</f>
        <v>39378283.082033411</v>
      </c>
      <c r="AF857" s="224">
        <f>'Perfil - interna'!AF857+'Perfil - externa'!AF855</f>
        <v>38115360.401476793</v>
      </c>
      <c r="AG857" s="224">
        <f>'Perfil - interna'!AG857+'Perfil - externa'!AG855</f>
        <v>35833797.511341915</v>
      </c>
      <c r="AH857" s="224">
        <f>'Perfil - interna'!AH857+'Perfil - externa'!AH855</f>
        <v>32967556.924373642</v>
      </c>
      <c r="AI857" s="224">
        <f>'Perfil - interna'!AI857+'Perfil - externa'!AI855</f>
        <v>30348482.346396524</v>
      </c>
      <c r="AJ857" s="224">
        <f>'Perfil - interna'!AJ857+'Perfil - externa'!AJ855</f>
        <v>25193340.757814042</v>
      </c>
      <c r="AK857" s="224">
        <f>'Perfil - interna'!AK857+'Perfil - externa'!AK855</f>
        <v>22621641.426518723</v>
      </c>
      <c r="AL857" s="224">
        <f>'Perfil - interna'!AL857+'Perfil - externa'!AL855</f>
        <v>19463922.854392517</v>
      </c>
      <c r="AM857" s="224">
        <f>'Perfil - interna'!AM857+'Perfil - externa'!AM855</f>
        <v>18161580.037104569</v>
      </c>
      <c r="AN857" s="224">
        <f>'Perfil - interna'!AN857+'Perfil - externa'!AN855</f>
        <v>15198143.796750709</v>
      </c>
      <c r="AO857" s="224">
        <f>'Perfil - interna'!AO857+'Perfil - externa'!AO855</f>
        <v>15061645.669884328</v>
      </c>
      <c r="AP857" s="224">
        <f>'Perfil - interna'!AP857+'Perfil - externa'!AP855</f>
        <v>14851916.668862287</v>
      </c>
      <c r="AQ857" s="224">
        <f>'Perfil - interna'!AQ857+'Perfil - externa'!AQ855</f>
        <v>14391005.742210973</v>
      </c>
      <c r="AR857" s="224">
        <f>'Perfil - interna'!AR857+'Perfil - externa'!AR855</f>
        <v>13949373.364698824</v>
      </c>
      <c r="AS857" s="224">
        <f>'Perfil - interna'!AS857+'Perfil - externa'!AS855</f>
        <v>9211330.4680862054</v>
      </c>
      <c r="AT857" s="224">
        <f>'Perfil - interna'!AT857+'Perfil - externa'!AT855</f>
        <v>8972210.9361227658</v>
      </c>
      <c r="AU857" s="224">
        <f>'Perfil - interna'!AU857+'Perfil - externa'!AU855</f>
        <v>8260676.8730060123</v>
      </c>
      <c r="AV857" s="224">
        <f>'Perfil - interna'!AV857+'Perfil - externa'!AV855</f>
        <v>7849087.9861894278</v>
      </c>
      <c r="AW857" s="224">
        <f>'Perfil - interna'!AW857+'Perfil - externa'!AW855</f>
        <v>6848624.1607718207</v>
      </c>
      <c r="AX857" s="224">
        <f>'Perfil - interna'!AX857+'Perfil - externa'!AX855</f>
        <v>6914974.1620706962</v>
      </c>
      <c r="AY857" s="224">
        <f>'Perfil - interna'!AY857+'Perfil - externa'!AY855</f>
        <v>6663581.0839770427</v>
      </c>
      <c r="AZ857" s="224">
        <f>'Perfil - interna'!AZ857+'Perfil - externa'!AZ855</f>
        <v>3845049.8873571018</v>
      </c>
      <c r="BA857" s="224">
        <f>'Perfil - interna'!BA857+'Perfil - externa'!BA855</f>
        <v>1103754.5301409394</v>
      </c>
      <c r="BB857" s="224">
        <f>'Perfil - interna'!BB857+'Perfil - externa'!BB855</f>
        <v>969639.60777139536</v>
      </c>
      <c r="BC857" s="224">
        <f>'Perfil - interna'!BC857+'Perfil - externa'!BC855</f>
        <v>959638.79143838561</v>
      </c>
      <c r="BD857" s="224">
        <f>'Perfil - interna'!BD857+'Perfil - externa'!BD855</f>
        <v>251035.38827356102</v>
      </c>
      <c r="BE857" s="224">
        <f>'Perfil - interna'!BE857+'Perfil - externa'!BE855</f>
        <v>1074789.2814023227</v>
      </c>
      <c r="BF857" s="224">
        <f>'Perfil - interna'!BF857+'Perfil - externa'!BF855</f>
        <v>872461.05399795063</v>
      </c>
      <c r="BG857" s="224">
        <f>'Perfil - interna'!BG857+'Perfil - externa'!BG855</f>
        <v>669001.33973224042</v>
      </c>
      <c r="BH857" s="224">
        <f>'Perfil - interna'!BH857+'Perfil - externa'!BH855</f>
        <v>466107.36889719934</v>
      </c>
      <c r="BI857" s="224">
        <f>'Perfil - interna'!BI857+'Perfil - externa'!BI855</f>
        <v>263213.39806215832</v>
      </c>
      <c r="BJ857" s="224">
        <f>'Perfil - interna'!BJ857+'Perfil - externa'!BJ855</f>
        <v>213068.54318750001</v>
      </c>
      <c r="BK857" s="224">
        <f>'Perfil - interna'!BK857+'Perfil - externa'!BK855</f>
        <v>107116.42608333334</v>
      </c>
    </row>
    <row r="858" spans="1:63">
      <c r="A858" s="279"/>
      <c r="B858" s="307" t="s">
        <v>29</v>
      </c>
      <c r="C858" s="321"/>
      <c r="D858" s="321"/>
      <c r="E858" s="321"/>
      <c r="F858" s="321"/>
      <c r="G858" s="321"/>
      <c r="H858" s="321"/>
      <c r="I858" s="321"/>
      <c r="J858" s="321"/>
      <c r="K858" s="321"/>
      <c r="L858" s="321"/>
      <c r="M858" s="321"/>
      <c r="N858" s="321"/>
      <c r="O858" s="321"/>
      <c r="P858" s="321"/>
      <c r="Q858" s="321"/>
      <c r="R858" s="321"/>
      <c r="S858" s="321"/>
      <c r="T858" s="321"/>
      <c r="U858" s="321"/>
      <c r="V858" s="321"/>
      <c r="W858" s="321"/>
      <c r="X858" s="321"/>
      <c r="Y858" s="321"/>
      <c r="Z858" s="321">
        <f t="shared" ref="Z858:BG858" si="98">+Z856+Z857</f>
        <v>82992375.118877083</v>
      </c>
      <c r="AA858" s="321">
        <f t="shared" si="98"/>
        <v>111059841.3454743</v>
      </c>
      <c r="AB858" s="321">
        <f t="shared" si="98"/>
        <v>97771376.560081288</v>
      </c>
      <c r="AC858" s="321">
        <f t="shared" si="98"/>
        <v>110534554.06308413</v>
      </c>
      <c r="AD858" s="321">
        <f t="shared" si="98"/>
        <v>92406466.987528533</v>
      </c>
      <c r="AE858" s="321">
        <f t="shared" si="98"/>
        <v>86645661.538540944</v>
      </c>
      <c r="AF858" s="321">
        <f t="shared" si="98"/>
        <v>77785500.762627274</v>
      </c>
      <c r="AG858" s="321">
        <f t="shared" si="98"/>
        <v>92738247.59182559</v>
      </c>
      <c r="AH858" s="321">
        <f t="shared" si="98"/>
        <v>78350715.537313938</v>
      </c>
      <c r="AI858" s="321">
        <f t="shared" si="98"/>
        <v>92423297.311209783</v>
      </c>
      <c r="AJ858" s="321">
        <f t="shared" si="98"/>
        <v>70799565.989556789</v>
      </c>
      <c r="AK858" s="321">
        <f t="shared" si="98"/>
        <v>75950848.83649604</v>
      </c>
      <c r="AL858" s="321">
        <f t="shared" si="98"/>
        <v>51122064.819419757</v>
      </c>
      <c r="AM858" s="321">
        <f t="shared" si="98"/>
        <v>71245765.599141777</v>
      </c>
      <c r="AN858" s="321">
        <f t="shared" si="98"/>
        <v>24849094.636219285</v>
      </c>
      <c r="AO858" s="321">
        <f t="shared" si="98"/>
        <v>20274979.614414342</v>
      </c>
      <c r="AP858" s="321">
        <f t="shared" si="98"/>
        <v>20706071.346072849</v>
      </c>
      <c r="AQ858" s="321">
        <f t="shared" si="98"/>
        <v>26662656.600826398</v>
      </c>
      <c r="AR858" s="321">
        <f t="shared" si="98"/>
        <v>69593985.989089534</v>
      </c>
      <c r="AS858" s="321">
        <f t="shared" si="98"/>
        <v>9587617.0262263715</v>
      </c>
      <c r="AT858" s="321">
        <f t="shared" si="98"/>
        <v>19619510.349237323</v>
      </c>
      <c r="AU858" s="321">
        <f t="shared" si="98"/>
        <v>27218857.537146714</v>
      </c>
      <c r="AV858" s="321">
        <f t="shared" si="98"/>
        <v>17293681.55183382</v>
      </c>
      <c r="AW858" s="321">
        <f t="shared" si="98"/>
        <v>7060325.965201417</v>
      </c>
      <c r="AX858" s="321">
        <f t="shared" si="98"/>
        <v>7126475.9674476599</v>
      </c>
      <c r="AY858" s="321">
        <f t="shared" si="98"/>
        <v>50530749.262401551</v>
      </c>
      <c r="AZ858" s="321">
        <f t="shared" si="98"/>
        <v>39898074.216246784</v>
      </c>
      <c r="BA858" s="321">
        <f t="shared" si="98"/>
        <v>7446522.2350589726</v>
      </c>
      <c r="BB858" s="321">
        <f t="shared" si="98"/>
        <v>1071942.3126894282</v>
      </c>
      <c r="BC858" s="321">
        <f t="shared" si="98"/>
        <v>8966530.4963564184</v>
      </c>
      <c r="BD858" s="321">
        <f t="shared" si="98"/>
        <v>353338.09319159383</v>
      </c>
      <c r="BE858" s="321">
        <f t="shared" si="98"/>
        <v>1177091.9863203554</v>
      </c>
      <c r="BF858" s="321">
        <f t="shared" si="98"/>
        <v>974763.75891598337</v>
      </c>
      <c r="BG858" s="321">
        <f t="shared" si="98"/>
        <v>771304.04465027316</v>
      </c>
      <c r="BH858" s="321">
        <f>+BH856+BH857</f>
        <v>568410.07381523214</v>
      </c>
      <c r="BI858" s="321">
        <f>+BI856+BI857</f>
        <v>314364.75052117469</v>
      </c>
      <c r="BJ858" s="321">
        <f>+BJ856+BJ857</f>
        <v>213068.54318750001</v>
      </c>
      <c r="BK858" s="321">
        <f>+BK856+BK857</f>
        <v>5515519.4260833347</v>
      </c>
    </row>
    <row r="859" spans="1:63">
      <c r="A859" s="278"/>
      <c r="B859" s="210" t="s">
        <v>28</v>
      </c>
      <c r="C859" s="224"/>
      <c r="D859" s="224"/>
      <c r="E859" s="224"/>
      <c r="F859" s="224"/>
      <c r="G859" s="224"/>
      <c r="H859" s="224"/>
      <c r="I859" s="224"/>
      <c r="J859" s="224"/>
      <c r="K859" s="224"/>
      <c r="L859" s="224"/>
      <c r="M859" s="224"/>
      <c r="N859" s="224"/>
      <c r="O859" s="224"/>
      <c r="P859" s="224"/>
      <c r="Q859" s="224"/>
      <c r="R859" s="224"/>
      <c r="S859" s="224"/>
      <c r="T859" s="224"/>
      <c r="U859" s="224"/>
      <c r="V859" s="224"/>
      <c r="W859" s="224"/>
      <c r="X859" s="224"/>
      <c r="Y859" s="224"/>
      <c r="Z859" s="224">
        <f>'Perfil - interna'!Z859+'Perfil - externa'!Z857</f>
        <v>65733060.146282144</v>
      </c>
      <c r="AA859" s="224">
        <f>'Perfil - interna'!AA859+'Perfil - externa'!AA857</f>
        <v>59291228.913493231</v>
      </c>
      <c r="AB859" s="224">
        <f>'Perfil - interna'!AB859+'Perfil - externa'!AB857</f>
        <v>50181283.536935396</v>
      </c>
      <c r="AC859" s="224">
        <f>'Perfil - interna'!AC859+'Perfil - externa'!AC857</f>
        <v>65929186.538788557</v>
      </c>
      <c r="AD859" s="224">
        <f>'Perfil - interna'!AD859+'Perfil - externa'!AD857</f>
        <v>50353970.785634063</v>
      </c>
      <c r="AE859" s="224">
        <f>'Perfil - interna'!AE859+'Perfil - externa'!AE857</f>
        <v>47668123.350869969</v>
      </c>
      <c r="AF859" s="224">
        <f>'Perfil - interna'!AF859+'Perfil - externa'!AF857</f>
        <v>39841250.130645193</v>
      </c>
      <c r="AG859" s="224">
        <f>'Perfil - interna'!AG859+'Perfil - externa'!AG857</f>
        <v>57385206.874248259</v>
      </c>
      <c r="AH859" s="224">
        <f>'Perfil - interna'!AH859+'Perfil - externa'!AH857</f>
        <v>45410271.602587968</v>
      </c>
      <c r="AI859" s="224">
        <f>'Perfil - interna'!AI859+'Perfil - externa'!AI857</f>
        <v>62130144.892570809</v>
      </c>
      <c r="AJ859" s="224">
        <f>'Perfil - interna'!AJ859+'Perfil - externa'!AJ857</f>
        <v>45631802.988780677</v>
      </c>
      <c r="AK859" s="224">
        <f>'Perfil - interna'!AK859+'Perfil - externa'!AK857</f>
        <v>53464000.643530093</v>
      </c>
      <c r="AL859" s="224">
        <f>'Perfil - interna'!AL859+'Perfil - externa'!AL857</f>
        <v>33833689.690341547</v>
      </c>
      <c r="AM859" s="224">
        <f>'Perfil - interna'!AM859+'Perfil - externa'!AM857</f>
        <v>53425994.820646189</v>
      </c>
      <c r="AN859" s="224">
        <f>'Perfil - interna'!AN859+'Perfil - externa'!AN857</f>
        <v>9666994.5784206744</v>
      </c>
      <c r="AO859" s="224">
        <f>'Perfil - interna'!AO859+'Perfil - externa'!AO857</f>
        <v>5225217.7276398195</v>
      </c>
      <c r="AP859" s="224">
        <f>'Perfil - interna'!AP859+'Perfil - externa'!AP857</f>
        <v>5864325.1351202186</v>
      </c>
      <c r="AQ859" s="224">
        <f>'Perfil - interna'!AQ859+'Perfil - externa'!AQ857</f>
        <v>12287336.411732113</v>
      </c>
      <c r="AR859" s="224">
        <f>'Perfil - interna'!AR859+'Perfil - externa'!AR857</f>
        <v>55653527.900285743</v>
      </c>
      <c r="AS859" s="224">
        <f>'Perfil - interna'!AS859+'Perfil - externa'!AS857</f>
        <v>380579.11742311838</v>
      </c>
      <c r="AT859" s="224">
        <f>'Perfil - interna'!AT859+'Perfil - externa'!AT857</f>
        <v>10661056.28481492</v>
      </c>
      <c r="AU859" s="224">
        <f>'Perfil - interna'!AU859+'Perfil - externa'!AU857</f>
        <v>18979564.361807853</v>
      </c>
      <c r="AV859" s="224">
        <f>'Perfil - interna'!AV859+'Perfil - externa'!AV857</f>
        <v>17894624.011902411</v>
      </c>
      <c r="AW859" s="224">
        <f>'Perfil - interna'!AW859+'Perfil - externa'!AW857</f>
        <v>214567.7821213936</v>
      </c>
      <c r="AX859" s="224">
        <f>'Perfil - interna'!AX859+'Perfil - externa'!AX857</f>
        <v>214367.59558362039</v>
      </c>
      <c r="AY859" s="224">
        <f>'Perfil - interna'!AY859+'Perfil - externa'!AY857</f>
        <v>44722704.471859165</v>
      </c>
      <c r="AZ859" s="224">
        <f>'Perfil - interna'!AZ859+'Perfil - externa'!AZ857</f>
        <v>37368074.274050526</v>
      </c>
      <c r="BA859" s="224">
        <f>'Perfil - interna'!BA859+'Perfil - externa'!BA857</f>
        <v>6348713.6065573776</v>
      </c>
      <c r="BB859" s="224">
        <f>'Perfil - interna'!BB859+'Perfil - externa'!BB857</f>
        <v>102398.60655737705</v>
      </c>
      <c r="BC859" s="224">
        <f>'Perfil - interna'!BC859+'Perfil - externa'!BC857</f>
        <v>8014397.6065573776</v>
      </c>
      <c r="BD859" s="224">
        <f>'Perfil - interna'!BD859+'Perfil - externa'!BD857</f>
        <v>102398.60655737705</v>
      </c>
      <c r="BE859" s="224">
        <f>'Perfil - interna'!BE859+'Perfil - externa'!BE857</f>
        <v>102398.60655737705</v>
      </c>
      <c r="BF859" s="224">
        <f>'Perfil - interna'!BF859+'Perfil - externa'!BF857</f>
        <v>102398.60655737705</v>
      </c>
      <c r="BG859" s="224">
        <f>'Perfil - interna'!BG859+'Perfil - externa'!BG857</f>
        <v>102398.60655737705</v>
      </c>
      <c r="BH859" s="224">
        <f>'Perfil - interna'!BH859+'Perfil - externa'!BH857</f>
        <v>102398.60655737705</v>
      </c>
      <c r="BI859" s="224">
        <f>'Perfil - interna'!BI859+'Perfil - externa'!BI857</f>
        <v>51199.303278688523</v>
      </c>
      <c r="BJ859" s="224">
        <f>'Perfil - interna'!BJ859+'Perfil - externa'!BJ857</f>
        <v>0</v>
      </c>
      <c r="BK859" s="224">
        <f>'Perfil - interna'!BK859+'Perfil - externa'!BK857</f>
        <v>5413473</v>
      </c>
    </row>
    <row r="860" spans="1:63">
      <c r="A860" s="168">
        <v>45565</v>
      </c>
      <c r="B860" s="213" t="s">
        <v>385</v>
      </c>
      <c r="C860" s="224"/>
      <c r="D860" s="224"/>
      <c r="E860" s="224"/>
      <c r="F860" s="224"/>
      <c r="G860" s="224"/>
      <c r="H860" s="224"/>
      <c r="I860" s="224"/>
      <c r="J860" s="224"/>
      <c r="K860" s="224"/>
      <c r="L860" s="224"/>
      <c r="M860" s="224"/>
      <c r="N860" s="224"/>
      <c r="O860" s="224"/>
      <c r="P860" s="224"/>
      <c r="Q860" s="224"/>
      <c r="R860" s="224"/>
      <c r="S860" s="224"/>
      <c r="T860" s="224"/>
      <c r="U860" s="224"/>
      <c r="V860" s="224"/>
      <c r="W860" s="224"/>
      <c r="X860" s="224"/>
      <c r="Y860" s="224"/>
      <c r="Z860" s="224">
        <f>'Perfil - interna'!Z860+'Perfil - externa'!Z858</f>
        <v>11130542.380147522</v>
      </c>
      <c r="AA860" s="224">
        <f>'Perfil - interna'!AA860+'Perfil - externa'!AA858</f>
        <v>50555686.040885493</v>
      </c>
      <c r="AB860" s="224">
        <f>'Perfil - interna'!AB860+'Perfil - externa'!AB858</f>
        <v>48733203.799049474</v>
      </c>
      <c r="AC860" s="224">
        <f>'Perfil - interna'!AC860+'Perfil - externa'!AC858</f>
        <v>45794876.187138692</v>
      </c>
      <c r="AD860" s="224">
        <f>'Perfil - interna'!AD860+'Perfil - externa'!AD858</f>
        <v>43231812.203794315</v>
      </c>
      <c r="AE860" s="224">
        <f>'Perfil - interna'!AE860+'Perfil - externa'!AE858</f>
        <v>40523077.555758297</v>
      </c>
      <c r="AF860" s="224">
        <f>'Perfil - interna'!AF860+'Perfil - externa'!AF858</f>
        <v>39272813.607680008</v>
      </c>
      <c r="AG860" s="224">
        <f>'Perfil - interna'!AG860+'Perfil - externa'!AG858</f>
        <v>36998437.518384464</v>
      </c>
      <c r="AH860" s="224">
        <f>'Perfil - interna'!AH860+'Perfil - externa'!AH858</f>
        <v>34105611.513436742</v>
      </c>
      <c r="AI860" s="224">
        <f>'Perfil - interna'!AI860+'Perfil - externa'!AI858</f>
        <v>31500260.910558298</v>
      </c>
      <c r="AJ860" s="224">
        <f>'Perfil - interna'!AJ860+'Perfil - externa'!AJ858</f>
        <v>26358149.473689891</v>
      </c>
      <c r="AK860" s="224">
        <f>'Perfil - interna'!AK860+'Perfil - externa'!AK858</f>
        <v>23800364.798567735</v>
      </c>
      <c r="AL860" s="224">
        <f>'Perfil - interna'!AL860+'Perfil - externa'!AL858</f>
        <v>20653315.653352182</v>
      </c>
      <c r="AM860" s="224">
        <f>'Perfil - interna'!AM860+'Perfil - externa'!AM858</f>
        <v>19231361.130232338</v>
      </c>
      <c r="AN860" s="224">
        <f>'Perfil - interna'!AN860+'Perfil - externa'!AN858</f>
        <v>16263878.939499676</v>
      </c>
      <c r="AO860" s="224">
        <f>'Perfil - interna'!AO860+'Perfil - externa'!AO858</f>
        <v>16139260.686928593</v>
      </c>
      <c r="AP860" s="224">
        <f>'Perfil - interna'!AP860+'Perfil - externa'!AP858</f>
        <v>15941305.043025333</v>
      </c>
      <c r="AQ860" s="224">
        <f>'Perfil - interna'!AQ860+'Perfil - externa'!AQ858</f>
        <v>15491858.692168854</v>
      </c>
      <c r="AR860" s="224">
        <f>'Perfil - interna'!AR860+'Perfil - externa'!AR858</f>
        <v>15058321.633316197</v>
      </c>
      <c r="AS860" s="224">
        <f>'Perfil - interna'!AS860+'Perfil - externa'!AS858</f>
        <v>10325584.866766701</v>
      </c>
      <c r="AT860" s="224">
        <f>'Perfil - interna'!AT860+'Perfil - externa'!AT858</f>
        <v>10088517.464151047</v>
      </c>
      <c r="AU860" s="224">
        <f>'Perfil - interna'!AU860+'Perfil - externa'!AU858</f>
        <v>9378413.8241746426</v>
      </c>
      <c r="AV860" s="224">
        <f>'Perfil - interna'!AV860+'Perfil - externa'!AV858</f>
        <v>8968566.645007357</v>
      </c>
      <c r="AW860" s="224">
        <f>'Perfil - interna'!AW860+'Perfil - externa'!AW858</f>
        <v>6998946.9329304928</v>
      </c>
      <c r="AX860" s="224">
        <f>'Perfil - interna'!AX860+'Perfil - externa'!AX858</f>
        <v>7067601.3312609503</v>
      </c>
      <c r="AY860" s="224">
        <f>'Perfil - interna'!AY860+'Perfil - externa'!AY858</f>
        <v>6818300.2774633598</v>
      </c>
      <c r="AZ860" s="224">
        <f>'Perfil - interna'!AZ860+'Perfil - externa'!AZ858</f>
        <v>3936586.4789819857</v>
      </c>
      <c r="BA860" s="224">
        <f>'Perfil - interna'!BA860+'Perfil - externa'!BA858</f>
        <v>1100460.7911389701</v>
      </c>
      <c r="BB860" s="224">
        <f>'Perfil - interna'!BB860+'Perfil - externa'!BB858</f>
        <v>966733.94392747176</v>
      </c>
      <c r="BC860" s="224">
        <f>'Perfil - interna'!BC860+'Perfil - externa'!BC858</f>
        <v>957259.5216636277</v>
      </c>
      <c r="BD860" s="224">
        <f>'Perfil - interna'!BD860+'Perfil - externa'!BD858</f>
        <v>248516.6649120982</v>
      </c>
      <c r="BE860" s="224">
        <f>'Perfil - interna'!BE860+'Perfil - externa'!BE858</f>
        <v>1075796.8212725408</v>
      </c>
      <c r="BF860" s="224">
        <f>'Perfil - interna'!BF860+'Perfil - externa'!BF858</f>
        <v>873278.92528893438</v>
      </c>
      <c r="BG860" s="224">
        <f>'Perfil - interna'!BG860+'Perfil - externa'!BG858</f>
        <v>669628.48175409832</v>
      </c>
      <c r="BH860" s="224">
        <f>'Perfil - interna'!BH860+'Perfil - externa'!BH858</f>
        <v>466544.311994877</v>
      </c>
      <c r="BI860" s="224">
        <f>'Perfil - interna'!BI860+'Perfil - externa'!BI858</f>
        <v>263460.14223565569</v>
      </c>
      <c r="BJ860" s="224">
        <f>'Perfil - interna'!BJ860+'Perfil - externa'!BJ858</f>
        <v>213268.28006249998</v>
      </c>
      <c r="BK860" s="224">
        <f>'Perfil - interna'!BK860+'Perfil - externa'!BK858</f>
        <v>107216.84024999999</v>
      </c>
    </row>
    <row r="861" spans="1:63">
      <c r="A861" s="279"/>
      <c r="B861" s="307" t="s">
        <v>29</v>
      </c>
      <c r="C861" s="321"/>
      <c r="D861" s="321"/>
      <c r="E861" s="321"/>
      <c r="F861" s="321"/>
      <c r="G861" s="321"/>
      <c r="H861" s="321"/>
      <c r="I861" s="321"/>
      <c r="J861" s="321"/>
      <c r="K861" s="321"/>
      <c r="L861" s="321"/>
      <c r="M861" s="321"/>
      <c r="N861" s="321"/>
      <c r="O861" s="321"/>
      <c r="P861" s="321"/>
      <c r="Q861" s="321"/>
      <c r="R861" s="321"/>
      <c r="S861" s="321"/>
      <c r="T861" s="321"/>
      <c r="U861" s="321"/>
      <c r="V861" s="321"/>
      <c r="W861" s="321"/>
      <c r="X861" s="321"/>
      <c r="Y861" s="321"/>
      <c r="Z861" s="321">
        <f t="shared" ref="Z861:BG861" si="99">+Z859+Z860</f>
        <v>76863602.526429668</v>
      </c>
      <c r="AA861" s="321">
        <f t="shared" si="99"/>
        <v>109846914.95437872</v>
      </c>
      <c r="AB861" s="321">
        <f t="shared" si="99"/>
        <v>98914487.335984871</v>
      </c>
      <c r="AC861" s="321">
        <f t="shared" si="99"/>
        <v>111724062.72592725</v>
      </c>
      <c r="AD861" s="321">
        <f t="shared" si="99"/>
        <v>93585782.989428371</v>
      </c>
      <c r="AE861" s="321">
        <f t="shared" si="99"/>
        <v>88191200.906628266</v>
      </c>
      <c r="AF861" s="321">
        <f t="shared" si="99"/>
        <v>79114063.738325208</v>
      </c>
      <c r="AG861" s="321">
        <f t="shared" si="99"/>
        <v>94383644.392632723</v>
      </c>
      <c r="AH861" s="321">
        <f t="shared" si="99"/>
        <v>79515883.116024703</v>
      </c>
      <c r="AI861" s="321">
        <f t="shared" si="99"/>
        <v>93630405.803129107</v>
      </c>
      <c r="AJ861" s="321">
        <f t="shared" si="99"/>
        <v>71989952.462470561</v>
      </c>
      <c r="AK861" s="321">
        <f t="shared" si="99"/>
        <v>77264365.442097828</v>
      </c>
      <c r="AL861" s="321">
        <f t="shared" si="99"/>
        <v>54487005.343693733</v>
      </c>
      <c r="AM861" s="321">
        <f t="shared" si="99"/>
        <v>72657355.950878531</v>
      </c>
      <c r="AN861" s="321">
        <f t="shared" si="99"/>
        <v>25930873.517920353</v>
      </c>
      <c r="AO861" s="321">
        <f t="shared" si="99"/>
        <v>21364478.414568413</v>
      </c>
      <c r="AP861" s="321">
        <f t="shared" si="99"/>
        <v>21805630.17814555</v>
      </c>
      <c r="AQ861" s="321">
        <f t="shared" si="99"/>
        <v>27779195.103900969</v>
      </c>
      <c r="AR861" s="321">
        <f t="shared" si="99"/>
        <v>70711849.53360194</v>
      </c>
      <c r="AS861" s="321">
        <f t="shared" si="99"/>
        <v>10706163.98418982</v>
      </c>
      <c r="AT861" s="321">
        <f t="shared" si="99"/>
        <v>20749573.748965967</v>
      </c>
      <c r="AU861" s="321">
        <f t="shared" si="99"/>
        <v>28357978.185982496</v>
      </c>
      <c r="AV861" s="321">
        <f t="shared" si="99"/>
        <v>26863190.656909768</v>
      </c>
      <c r="AW861" s="321">
        <f t="shared" si="99"/>
        <v>7213514.7150518866</v>
      </c>
      <c r="AX861" s="321">
        <f t="shared" si="99"/>
        <v>7281968.9268445708</v>
      </c>
      <c r="AY861" s="321">
        <f t="shared" si="99"/>
        <v>51541004.749322526</v>
      </c>
      <c r="AZ861" s="321">
        <f t="shared" si="99"/>
        <v>41304660.753032513</v>
      </c>
      <c r="BA861" s="321">
        <f t="shared" si="99"/>
        <v>7449174.3976963479</v>
      </c>
      <c r="BB861" s="321">
        <f t="shared" si="99"/>
        <v>1069132.5504848489</v>
      </c>
      <c r="BC861" s="321">
        <f t="shared" si="99"/>
        <v>8971657.1282210052</v>
      </c>
      <c r="BD861" s="321">
        <f t="shared" si="99"/>
        <v>350915.27146947524</v>
      </c>
      <c r="BE861" s="321">
        <f t="shared" si="99"/>
        <v>1178195.427829918</v>
      </c>
      <c r="BF861" s="321">
        <f t="shared" si="99"/>
        <v>975677.53184631141</v>
      </c>
      <c r="BG861" s="321">
        <f t="shared" si="99"/>
        <v>772027.08831147535</v>
      </c>
      <c r="BH861" s="321">
        <f>+BH859+BH860</f>
        <v>568942.91855225409</v>
      </c>
      <c r="BI861" s="321">
        <f>+BI859+BI860</f>
        <v>314659.4455143442</v>
      </c>
      <c r="BJ861" s="321">
        <f>+BJ859+BJ860</f>
        <v>213268.28006249998</v>
      </c>
      <c r="BK861" s="321">
        <f>+BK859+BK860</f>
        <v>5520689.8402500004</v>
      </c>
    </row>
    <row r="862" spans="1:63">
      <c r="A862" s="278"/>
      <c r="B862" s="210" t="s">
        <v>28</v>
      </c>
      <c r="C862" s="224"/>
      <c r="D862" s="224"/>
      <c r="E862" s="224"/>
      <c r="F862" s="224"/>
      <c r="G862" s="224"/>
      <c r="H862" s="224"/>
      <c r="I862" s="224"/>
      <c r="J862" s="224"/>
      <c r="K862" s="224"/>
      <c r="L862" s="224"/>
      <c r="M862" s="224"/>
      <c r="N862" s="224"/>
      <c r="O862" s="224"/>
      <c r="P862" s="224"/>
      <c r="Q862" s="224"/>
      <c r="R862" s="224"/>
      <c r="S862" s="224"/>
      <c r="T862" s="224"/>
      <c r="U862" s="224"/>
      <c r="V862" s="224"/>
      <c r="W862" s="224"/>
      <c r="X862" s="224"/>
      <c r="Y862" s="224"/>
      <c r="Z862" s="224">
        <f>'Perfil - interna'!Z862+'Perfil - externa'!Z860</f>
        <v>65647799.667571396</v>
      </c>
      <c r="AA862" s="224">
        <f>'Perfil - interna'!AA862+'Perfil - externa'!AA860</f>
        <v>60654426.131530806</v>
      </c>
      <c r="AB862" s="224">
        <f>'Perfil - interna'!AB862+'Perfil - externa'!AB860</f>
        <v>51108222.770817764</v>
      </c>
      <c r="AC862" s="224">
        <f>'Perfil - interna'!AC862+'Perfil - externa'!AC860</f>
        <v>66995356.931667939</v>
      </c>
      <c r="AD862" s="224">
        <f>'Perfil - interna'!AD862+'Perfil - externa'!AD860</f>
        <v>51044027.978950396</v>
      </c>
      <c r="AE862" s="224">
        <f>'Perfil - interna'!AE862+'Perfil - externa'!AE860</f>
        <v>48976031.343697205</v>
      </c>
      <c r="AF862" s="224">
        <f>'Perfil - interna'!AF862+'Perfil - externa'!AF860</f>
        <v>40836614.912170634</v>
      </c>
      <c r="AG862" s="224">
        <f>'Perfil - interna'!AG862+'Perfil - externa'!AG860</f>
        <v>58633555.141991645</v>
      </c>
      <c r="AH862" s="224">
        <f>'Perfil - interna'!AH862+'Perfil - externa'!AH860</f>
        <v>46409249.270728812</v>
      </c>
      <c r="AI862" s="224">
        <f>'Perfil - interna'!AI862+'Perfil - externa'!AI860</f>
        <v>63192642.464084715</v>
      </c>
      <c r="AJ862" s="224">
        <f>'Perfil - interna'!AJ862+'Perfil - externa'!AJ860</f>
        <v>46659457.116525903</v>
      </c>
      <c r="AK862" s="224">
        <f>'Perfil - interna'!AK862+'Perfil - externa'!AK860</f>
        <v>54433016.296957143</v>
      </c>
      <c r="AL862" s="224">
        <f>'Perfil - interna'!AL862+'Perfil - externa'!AL860</f>
        <v>34753907.269803748</v>
      </c>
      <c r="AM862" s="224">
        <f>'Perfil - interna'!AM862+'Perfil - externa'!AM860</f>
        <v>54320930.747905724</v>
      </c>
      <c r="AN862" s="224">
        <f>'Perfil - interna'!AN862+'Perfil - externa'!AN860</f>
        <v>10240980.753812708</v>
      </c>
      <c r="AO862" s="224">
        <f>'Perfil - interna'!AO862+'Perfil - externa'!AO860</f>
        <v>5533340.0584954051</v>
      </c>
      <c r="AP862" s="224">
        <f>'Perfil - interna'!AP862+'Perfil - externa'!AP860</f>
        <v>6212713.7729810122</v>
      </c>
      <c r="AQ862" s="224">
        <f>'Perfil - interna'!AQ862+'Perfil - externa'!AQ860</f>
        <v>13024320.746451527</v>
      </c>
      <c r="AR862" s="224">
        <f>'Perfil - interna'!AR862+'Perfil - externa'!AR860</f>
        <v>55973268.820095003</v>
      </c>
      <c r="AS862" s="224">
        <f>'Perfil - interna'!AS862+'Perfil - externa'!AS860</f>
        <v>404881.03324234555</v>
      </c>
      <c r="AT862" s="224">
        <f>'Perfil - interna'!AT862+'Perfil - externa'!AT860</f>
        <v>11298524.231946144</v>
      </c>
      <c r="AU862" s="224">
        <f>'Perfil - interna'!AU862+'Perfil - externa'!AU860</f>
        <v>20112764.110041715</v>
      </c>
      <c r="AV862" s="224">
        <f>'Perfil - interna'!AV862+'Perfil - externa'!AV860</f>
        <v>19381185.514782194</v>
      </c>
      <c r="AW862" s="224">
        <f>'Perfil - interna'!AW862+'Perfil - externa'!AW860</f>
        <v>224583.20548046983</v>
      </c>
      <c r="AX862" s="224">
        <f>'Perfil - interna'!AX862+'Perfil - externa'!AX860</f>
        <v>224371.03671928812</v>
      </c>
      <c r="AY862" s="224">
        <f>'Perfil - interna'!AY862+'Perfil - externa'!AY860</f>
        <v>45815391.155799508</v>
      </c>
      <c r="AZ862" s="224">
        <f>'Perfil - interna'!AZ862+'Perfil - externa'!AZ860</f>
        <v>38105781.422952309</v>
      </c>
      <c r="BA862" s="224">
        <f>'Perfil - interna'!BA862+'Perfil - externa'!BA860</f>
        <v>6728717.7049180334</v>
      </c>
      <c r="BB862" s="224">
        <f>'Perfil - interna'!BB862+'Perfil - externa'!BB860</f>
        <v>108527.70491803279</v>
      </c>
      <c r="BC862" s="224">
        <f>'Perfil - interna'!BC862+'Perfil - externa'!BC860</f>
        <v>8494101.7049180325</v>
      </c>
      <c r="BD862" s="224">
        <f>'Perfil - interna'!BD862+'Perfil - externa'!BD860</f>
        <v>108527.70491803279</v>
      </c>
      <c r="BE862" s="224">
        <f>'Perfil - interna'!BE862+'Perfil - externa'!BE860</f>
        <v>108527.70491803279</v>
      </c>
      <c r="BF862" s="224">
        <f>'Perfil - interna'!BF862+'Perfil - externa'!BF860</f>
        <v>108527.70491803279</v>
      </c>
      <c r="BG862" s="224">
        <f>'Perfil - interna'!BG862+'Perfil - externa'!BG860</f>
        <v>108527.70491803279</v>
      </c>
      <c r="BH862" s="224">
        <f>'Perfil - interna'!BH862+'Perfil - externa'!BH860</f>
        <v>108527.70491803279</v>
      </c>
      <c r="BI862" s="224">
        <f>'Perfil - interna'!BI862+'Perfil - externa'!BI860</f>
        <v>54263.852459016394</v>
      </c>
      <c r="BJ862" s="224">
        <f>'Perfil - interna'!BJ862+'Perfil - externa'!BJ860</f>
        <v>0</v>
      </c>
      <c r="BK862" s="224">
        <f>'Perfil - interna'!BK862+'Perfil - externa'!BK860</f>
        <v>5737498</v>
      </c>
    </row>
    <row r="863" spans="1:63">
      <c r="A863" s="168">
        <v>45596</v>
      </c>
      <c r="B863" s="213" t="s">
        <v>385</v>
      </c>
      <c r="C863" s="224"/>
      <c r="D863" s="224"/>
      <c r="E863" s="224"/>
      <c r="F863" s="224"/>
      <c r="G863" s="224"/>
      <c r="H863" s="224"/>
      <c r="I863" s="224"/>
      <c r="J863" s="224"/>
      <c r="K863" s="224"/>
      <c r="L863" s="224"/>
      <c r="M863" s="224"/>
      <c r="N863" s="224"/>
      <c r="O863" s="224"/>
      <c r="P863" s="224"/>
      <c r="Q863" s="224"/>
      <c r="R863" s="224"/>
      <c r="S863" s="224"/>
      <c r="T863" s="224"/>
      <c r="U863" s="224"/>
      <c r="V863" s="224"/>
      <c r="W863" s="224"/>
      <c r="X863" s="224"/>
      <c r="Y863" s="224"/>
      <c r="Z863" s="224">
        <f>'Perfil - interna'!Z863+'Perfil - externa'!Z861</f>
        <v>6054801.5348005574</v>
      </c>
      <c r="AA863" s="224">
        <f>'Perfil - interna'!AA863+'Perfil - externa'!AA861</f>
        <v>51550341.298504367</v>
      </c>
      <c r="AB863" s="224">
        <f>'Perfil - interna'!AB863+'Perfil - externa'!AB861</f>
        <v>49792284.959164351</v>
      </c>
      <c r="AC863" s="224">
        <f>'Perfil - interna'!AC863+'Perfil - externa'!AC861</f>
        <v>46838385.976718932</v>
      </c>
      <c r="AD863" s="224">
        <f>'Perfil - interna'!AD863+'Perfil - externa'!AD861</f>
        <v>44238988.765963219</v>
      </c>
      <c r="AE863" s="224">
        <f>'Perfil - interna'!AE863+'Perfil - externa'!AE861</f>
        <v>41492526.954351366</v>
      </c>
      <c r="AF863" s="224">
        <f>'Perfil - interna'!AF863+'Perfil - externa'!AF861</f>
        <v>40185191.888422161</v>
      </c>
      <c r="AG863" s="224">
        <f>'Perfil - interna'!AG863+'Perfil - externa'!AG861</f>
        <v>37865913.953967109</v>
      </c>
      <c r="AH863" s="224">
        <f>'Perfil - interna'!AH863+'Perfil - externa'!AH861</f>
        <v>34929528.440117493</v>
      </c>
      <c r="AI863" s="224">
        <f>'Perfil - interna'!AI863+'Perfil - externa'!AI861</f>
        <v>32274081.54958716</v>
      </c>
      <c r="AJ863" s="224">
        <f>'Perfil - interna'!AJ863+'Perfil - externa'!AJ861</f>
        <v>27071533.98888433</v>
      </c>
      <c r="AK863" s="224">
        <f>'Perfil - interna'!AK863+'Perfil - externa'!AK861</f>
        <v>24472941.162211478</v>
      </c>
      <c r="AL863" s="224">
        <f>'Perfil - interna'!AL863+'Perfil - externa'!AL861</f>
        <v>21276509.023673505</v>
      </c>
      <c r="AM863" s="224">
        <f>'Perfil - interna'!AM863+'Perfil - externa'!AM861</f>
        <v>19823739.881100781</v>
      </c>
      <c r="AN863" s="224">
        <f>'Perfil - interna'!AN863+'Perfil - externa'!AN861</f>
        <v>16804699.029102877</v>
      </c>
      <c r="AO863" s="224">
        <f>'Perfil - interna'!AO863+'Perfil - externa'!AO861</f>
        <v>16670087.870545179</v>
      </c>
      <c r="AP863" s="224">
        <f>'Perfil - interna'!AP863+'Perfil - externa'!AP861</f>
        <v>16458113.21355688</v>
      </c>
      <c r="AQ863" s="224">
        <f>'Perfil - interna'!AQ863+'Perfil - externa'!AQ861</f>
        <v>15979069.188838247</v>
      </c>
      <c r="AR863" s="224">
        <f>'Perfil - interna'!AR863+'Perfil - externa'!AR861</f>
        <v>15516730.563435201</v>
      </c>
      <c r="AS863" s="224">
        <f>'Perfil - interna'!AS863+'Perfil - externa'!AS861</f>
        <v>10776358.826634776</v>
      </c>
      <c r="AT863" s="224">
        <f>'Perfil - interna'!AT863+'Perfil - externa'!AT861</f>
        <v>10521752.493483122</v>
      </c>
      <c r="AU863" s="224">
        <f>'Perfil - interna'!AU863+'Perfil - externa'!AU861</f>
        <v>9765883.776331272</v>
      </c>
      <c r="AV863" s="224">
        <f>'Perfil - interna'!AV863+'Perfil - externa'!AV861</f>
        <v>9328208.5986757595</v>
      </c>
      <c r="AW863" s="224">
        <f>'Perfil - interna'!AW863+'Perfil - externa'!AW861</f>
        <v>7189193.2737107519</v>
      </c>
      <c r="AX863" s="224">
        <f>'Perfil - interna'!AX863+'Perfil - externa'!AX861</f>
        <v>7258452.5989896618</v>
      </c>
      <c r="AY863" s="224">
        <f>'Perfil - interna'!AY863+'Perfil - externa'!AY861</f>
        <v>6990619.6746643502</v>
      </c>
      <c r="AZ863" s="224">
        <f>'Perfil - interna'!AZ863+'Perfil - externa'!AZ861</f>
        <v>4063333.9979427396</v>
      </c>
      <c r="BA863" s="224">
        <f>'Perfil - interna'!BA863+'Perfil - externa'!BA861</f>
        <v>1166048.6843350546</v>
      </c>
      <c r="BB863" s="224">
        <f>'Perfil - interna'!BB863+'Perfil - externa'!BB861</f>
        <v>1024350.8808010926</v>
      </c>
      <c r="BC863" s="224">
        <f>'Perfil - interna'!BC863+'Perfil - externa'!BC861</f>
        <v>1014344.0785051247</v>
      </c>
      <c r="BD863" s="224">
        <f>'Perfil - interna'!BD863+'Perfil - externa'!BD861</f>
        <v>263213.22058602748</v>
      </c>
      <c r="BE863" s="224">
        <f>'Perfil - interna'!BE863+'Perfil - externa'!BE861</f>
        <v>1140188.9527217667</v>
      </c>
      <c r="BF863" s="224">
        <f>'Perfil - interna'!BF863+'Perfil - externa'!BF861</f>
        <v>925549.2892062841</v>
      </c>
      <c r="BG863" s="224">
        <f>'Perfil - interna'!BG863+'Perfil - externa'!BG861</f>
        <v>709709.28917668492</v>
      </c>
      <c r="BH863" s="224">
        <f>'Perfil - interna'!BH863+'Perfil - externa'!BH861</f>
        <v>494469.45740414382</v>
      </c>
      <c r="BI863" s="224">
        <f>'Perfil - interna'!BI863+'Perfil - externa'!BI861</f>
        <v>279229.62563160289</v>
      </c>
      <c r="BJ863" s="224">
        <f>'Perfil - interna'!BJ863+'Perfil - externa'!BJ861</f>
        <v>226033.51495833331</v>
      </c>
      <c r="BK863" s="224">
        <f>'Perfil - interna'!BK863+'Perfil - externa'!BK861</f>
        <v>113634.33538888888</v>
      </c>
    </row>
    <row r="864" spans="1:63">
      <c r="A864" s="279"/>
      <c r="B864" s="307" t="s">
        <v>29</v>
      </c>
      <c r="C864" s="321"/>
      <c r="D864" s="321"/>
      <c r="E864" s="321"/>
      <c r="F864" s="321"/>
      <c r="G864" s="321"/>
      <c r="H864" s="321"/>
      <c r="I864" s="321"/>
      <c r="J864" s="321"/>
      <c r="K864" s="321"/>
      <c r="L864" s="321"/>
      <c r="M864" s="321"/>
      <c r="N864" s="321"/>
      <c r="O864" s="321"/>
      <c r="P864" s="321"/>
      <c r="Q864" s="321"/>
      <c r="R864" s="321"/>
      <c r="S864" s="321"/>
      <c r="T864" s="321"/>
      <c r="U864" s="321"/>
      <c r="V864" s="321"/>
      <c r="W864" s="321"/>
      <c r="X864" s="321"/>
      <c r="Y864" s="321"/>
      <c r="Z864" s="321">
        <f t="shared" ref="Z864:BG864" si="100">+Z862+Z863</f>
        <v>71702601.202371955</v>
      </c>
      <c r="AA864" s="321">
        <f t="shared" si="100"/>
        <v>112204767.43003517</v>
      </c>
      <c r="AB864" s="321">
        <f t="shared" si="100"/>
        <v>100900507.72998211</v>
      </c>
      <c r="AC864" s="321">
        <f t="shared" si="100"/>
        <v>113833742.90838687</v>
      </c>
      <c r="AD864" s="321">
        <f t="shared" si="100"/>
        <v>95283016.744913608</v>
      </c>
      <c r="AE864" s="321">
        <f t="shared" si="100"/>
        <v>90468558.298048571</v>
      </c>
      <c r="AF864" s="321">
        <f t="shared" si="100"/>
        <v>81021806.800592795</v>
      </c>
      <c r="AG864" s="321">
        <f t="shared" si="100"/>
        <v>96499469.095958754</v>
      </c>
      <c r="AH864" s="321">
        <f t="shared" si="100"/>
        <v>81338777.710846305</v>
      </c>
      <c r="AI864" s="321">
        <f t="shared" si="100"/>
        <v>95466724.013671875</v>
      </c>
      <c r="AJ864" s="321">
        <f t="shared" si="100"/>
        <v>73730991.105410233</v>
      </c>
      <c r="AK864" s="321">
        <f t="shared" si="100"/>
        <v>78905957.459168613</v>
      </c>
      <c r="AL864" s="321">
        <f t="shared" si="100"/>
        <v>56030416.293477252</v>
      </c>
      <c r="AM864" s="321">
        <f t="shared" si="100"/>
        <v>74144670.629006505</v>
      </c>
      <c r="AN864" s="321">
        <f t="shared" si="100"/>
        <v>27045679.782915585</v>
      </c>
      <c r="AO864" s="321">
        <f t="shared" si="100"/>
        <v>22203427.929040585</v>
      </c>
      <c r="AP864" s="321">
        <f t="shared" si="100"/>
        <v>22670826.986537892</v>
      </c>
      <c r="AQ864" s="321">
        <f t="shared" si="100"/>
        <v>29003389.935289774</v>
      </c>
      <c r="AR864" s="321">
        <f t="shared" si="100"/>
        <v>71489999.3835302</v>
      </c>
      <c r="AS864" s="321">
        <f t="shared" si="100"/>
        <v>11181239.859877121</v>
      </c>
      <c r="AT864" s="321">
        <f t="shared" si="100"/>
        <v>21820276.725429267</v>
      </c>
      <c r="AU864" s="321">
        <f t="shared" si="100"/>
        <v>29878647.886372987</v>
      </c>
      <c r="AV864" s="321">
        <f t="shared" si="100"/>
        <v>28709394.113457955</v>
      </c>
      <c r="AW864" s="321">
        <f t="shared" si="100"/>
        <v>7413776.4791912213</v>
      </c>
      <c r="AX864" s="321">
        <f t="shared" si="100"/>
        <v>7482823.6357089495</v>
      </c>
      <c r="AY864" s="321">
        <f t="shared" si="100"/>
        <v>52806010.830463856</v>
      </c>
      <c r="AZ864" s="321">
        <f t="shared" si="100"/>
        <v>42169115.420895047</v>
      </c>
      <c r="BA864" s="321">
        <f t="shared" si="100"/>
        <v>7894766.3892530883</v>
      </c>
      <c r="BB864" s="321">
        <f t="shared" si="100"/>
        <v>1132878.5857191253</v>
      </c>
      <c r="BC864" s="321">
        <f t="shared" si="100"/>
        <v>9508445.7834231574</v>
      </c>
      <c r="BD864" s="321">
        <f t="shared" si="100"/>
        <v>371740.92550406029</v>
      </c>
      <c r="BE864" s="321">
        <f t="shared" si="100"/>
        <v>1248716.6576397994</v>
      </c>
      <c r="BF864" s="321">
        <f t="shared" si="100"/>
        <v>1034076.9941243168</v>
      </c>
      <c r="BG864" s="321">
        <f t="shared" si="100"/>
        <v>818236.99409471767</v>
      </c>
      <c r="BH864" s="321">
        <f>+BH862+BH863</f>
        <v>602997.16232217662</v>
      </c>
      <c r="BI864" s="321">
        <f>+BI862+BI863</f>
        <v>333493.47809061926</v>
      </c>
      <c r="BJ864" s="321">
        <f>+BJ862+BJ863</f>
        <v>226033.51495833331</v>
      </c>
      <c r="BK864" s="321">
        <f>+BK862+BK863</f>
        <v>5851132.3353888886</v>
      </c>
    </row>
    <row r="865" spans="1:63">
      <c r="A865" s="278"/>
      <c r="B865" s="210" t="s">
        <v>28</v>
      </c>
      <c r="C865" s="224"/>
      <c r="D865" s="224"/>
      <c r="E865" s="224"/>
      <c r="F865" s="224"/>
      <c r="G865" s="224"/>
      <c r="H865" s="224"/>
      <c r="I865" s="224"/>
      <c r="J865" s="224"/>
      <c r="K865" s="224"/>
      <c r="L865" s="224"/>
      <c r="M865" s="224"/>
      <c r="N865" s="224"/>
      <c r="O865" s="224"/>
      <c r="P865" s="224"/>
      <c r="Q865" s="224"/>
      <c r="R865" s="224"/>
      <c r="S865" s="224"/>
      <c r="T865" s="224"/>
      <c r="U865" s="224"/>
      <c r="V865" s="224"/>
      <c r="W865" s="224"/>
      <c r="X865" s="224"/>
      <c r="Y865" s="224"/>
      <c r="Z865" s="224">
        <f>'Perfil - interna'!Z865+'Perfil - externa'!Z863</f>
        <v>66486169.070930451</v>
      </c>
      <c r="AA865" s="224">
        <f>'Perfil - interna'!AA865+'Perfil - externa'!AA863</f>
        <v>58250428.551537395</v>
      </c>
      <c r="AB865" s="224">
        <f>'Perfil - interna'!AB865+'Perfil - externa'!AB863</f>
        <v>51621718.328201681</v>
      </c>
      <c r="AC865" s="224">
        <f>'Perfil - interna'!AC865+'Perfil - externa'!AC863</f>
        <v>66282603.612879246</v>
      </c>
      <c r="AD865" s="224">
        <f>'Perfil - interna'!AD865+'Perfil - externa'!AD863</f>
        <v>51020088.931584328</v>
      </c>
      <c r="AE865" s="224">
        <f>'Perfil - interna'!AE865+'Perfil - externa'!AE863</f>
        <v>48984080.052973539</v>
      </c>
      <c r="AF865" s="224">
        <f>'Perfil - interna'!AF865+'Perfil - externa'!AF863</f>
        <v>40937345.3266638</v>
      </c>
      <c r="AG865" s="224">
        <f>'Perfil - interna'!AG865+'Perfil - externa'!AG863</f>
        <v>58905702.595318615</v>
      </c>
      <c r="AH865" s="224">
        <f>'Perfil - interna'!AH865+'Perfil - externa'!AH863</f>
        <v>46408085.115498602</v>
      </c>
      <c r="AI865" s="224">
        <f>'Perfil - interna'!AI865+'Perfil - externa'!AI863</f>
        <v>63201994.125836983</v>
      </c>
      <c r="AJ865" s="224">
        <f>'Perfil - interna'!AJ865+'Perfil - externa'!AJ863</f>
        <v>46668980.229962111</v>
      </c>
      <c r="AK865" s="224">
        <f>'Perfil - interna'!AK865+'Perfil - externa'!AK863</f>
        <v>54421446.013451934</v>
      </c>
      <c r="AL865" s="224">
        <f>'Perfil - interna'!AL865+'Perfil - externa'!AL863</f>
        <v>43432127.044516549</v>
      </c>
      <c r="AM865" s="224">
        <f>'Perfil - interna'!AM865+'Perfil - externa'!AM863</f>
        <v>54531136.59664467</v>
      </c>
      <c r="AN865" s="224">
        <f>'Perfil - interna'!AN865+'Perfil - externa'!AN863</f>
        <v>10250526.635556605</v>
      </c>
      <c r="AO865" s="224">
        <f>'Perfil - interna'!AO865+'Perfil - externa'!AO863</f>
        <v>5536347.342980071</v>
      </c>
      <c r="AP865" s="224">
        <f>'Perfil - interna'!AP865+'Perfil - externa'!AP863</f>
        <v>6216717.2470017327</v>
      </c>
      <c r="AQ865" s="224">
        <f>'Perfil - interna'!AQ865+'Perfil - externa'!AQ863</f>
        <v>13039662.961522523</v>
      </c>
      <c r="AR865" s="224">
        <f>'Perfil - interna'!AR865+'Perfil - externa'!AR863</f>
        <v>55978349.441852458</v>
      </c>
      <c r="AS865" s="224">
        <f>'Perfil - interna'!AS865+'Perfil - externa'!AS863</f>
        <v>402695.69273518369</v>
      </c>
      <c r="AT865" s="224">
        <f>'Perfil - interna'!AT865+'Perfil - externa'!AT863</f>
        <v>11311469.431379994</v>
      </c>
      <c r="AU865" s="224">
        <f>'Perfil - interna'!AU865+'Perfil - externa'!AU863</f>
        <v>20137951.697636493</v>
      </c>
      <c r="AV865" s="224">
        <f>'Perfil - interna'!AV865+'Perfil - externa'!AV863</f>
        <v>22888283.182505272</v>
      </c>
      <c r="AW865" s="224">
        <f>'Perfil - interna'!AW865+'Perfil - externa'!AW863</f>
        <v>222147.44338023127</v>
      </c>
      <c r="AX865" s="224">
        <f>'Perfil - interna'!AX865+'Perfil - externa'!AX863</f>
        <v>221934.97993086703</v>
      </c>
      <c r="AY865" s="224">
        <f>'Perfil - interna'!AY865+'Perfil - externa'!AY863</f>
        <v>46129262.461348161</v>
      </c>
      <c r="AZ865" s="224">
        <f>'Perfil - interna'!AZ865+'Perfil - externa'!AZ863</f>
        <v>40526732.323105596</v>
      </c>
      <c r="BA865" s="224">
        <f>'Perfil - interna'!BA865+'Perfil - externa'!BA863</f>
        <v>6738063.4426229512</v>
      </c>
      <c r="BB865" s="224">
        <f>'Perfil - interna'!BB865+'Perfil - externa'!BB863</f>
        <v>108678.44262295082</v>
      </c>
      <c r="BC865" s="224">
        <f>'Perfil - interna'!BC865+'Perfil - externa'!BC863</f>
        <v>8505899.4426229522</v>
      </c>
      <c r="BD865" s="224">
        <f>'Perfil - interna'!BD865+'Perfil - externa'!BD863</f>
        <v>7356806.0426229518</v>
      </c>
      <c r="BE865" s="224">
        <f>'Perfil - interna'!BE865+'Perfil - externa'!BE863</f>
        <v>108678.44262295082</v>
      </c>
      <c r="BF865" s="224">
        <f>'Perfil - interna'!BF865+'Perfil - externa'!BF863</f>
        <v>108678.44262295082</v>
      </c>
      <c r="BG865" s="224">
        <f>'Perfil - interna'!BG865+'Perfil - externa'!BG863</f>
        <v>108678.44262295082</v>
      </c>
      <c r="BH865" s="224">
        <f>'Perfil - interna'!BH865+'Perfil - externa'!BH863</f>
        <v>108678.44262295082</v>
      </c>
      <c r="BI865" s="224">
        <f>'Perfil - interna'!BI865+'Perfil - externa'!BI863</f>
        <v>54339.221311475412</v>
      </c>
      <c r="BJ865" s="224">
        <f>'Perfil - interna'!BJ865+'Perfil - externa'!BJ863</f>
        <v>0</v>
      </c>
      <c r="BK865" s="224">
        <f>'Perfil - interna'!BK865+'Perfil - externa'!BK863</f>
        <v>5745467</v>
      </c>
    </row>
    <row r="866" spans="1:63">
      <c r="A866" s="168">
        <v>45626</v>
      </c>
      <c r="B866" s="213" t="s">
        <v>385</v>
      </c>
      <c r="C866" s="224"/>
      <c r="D866" s="224"/>
      <c r="E866" s="224"/>
      <c r="F866" s="224"/>
      <c r="G866" s="224"/>
      <c r="H866" s="224"/>
      <c r="I866" s="224"/>
      <c r="J866" s="224"/>
      <c r="K866" s="224"/>
      <c r="L866" s="224"/>
      <c r="M866" s="224"/>
      <c r="N866" s="224"/>
      <c r="O866" s="224"/>
      <c r="P866" s="224"/>
      <c r="Q866" s="224"/>
      <c r="R866" s="224"/>
      <c r="S866" s="224"/>
      <c r="T866" s="224"/>
      <c r="U866" s="224"/>
      <c r="V866" s="224"/>
      <c r="W866" s="224"/>
      <c r="X866" s="224"/>
      <c r="Y866" s="224"/>
      <c r="Z866" s="224">
        <f>'Perfil - interna'!Z866+'Perfil - externa'!Z864</f>
        <v>2262276.8087028684</v>
      </c>
      <c r="AA866" s="224">
        <f>'Perfil - interna'!AA866+'Perfil - externa'!AA864</f>
        <v>53300510.468759038</v>
      </c>
      <c r="AB866" s="224">
        <f>'Perfil - interna'!AB866+'Perfil - externa'!AB864</f>
        <v>51817586.283930212</v>
      </c>
      <c r="AC866" s="224">
        <f>'Perfil - interna'!AC866+'Perfil - externa'!AC864</f>
        <v>48716051.360107325</v>
      </c>
      <c r="AD866" s="224">
        <f>'Perfil - interna'!AD866+'Perfil - externa'!AD864</f>
        <v>46132667.694465682</v>
      </c>
      <c r="AE866" s="224">
        <f>'Perfil - interna'!AE866+'Perfil - externa'!AE864</f>
        <v>43388524.865461387</v>
      </c>
      <c r="AF866" s="224">
        <f>'Perfil - interna'!AF866+'Perfil - externa'!AF864</f>
        <v>42083881.088156283</v>
      </c>
      <c r="AG866" s="224">
        <f>'Perfil - interna'!AG866+'Perfil - externa'!AG864</f>
        <v>39761502.4887961</v>
      </c>
      <c r="AH866" s="224">
        <f>'Perfil - interna'!AH866+'Perfil - externa'!AH864</f>
        <v>36816031.120576173</v>
      </c>
      <c r="AI866" s="224">
        <f>'Perfil - interna'!AI866+'Perfil - externa'!AI864</f>
        <v>34162208.176939175</v>
      </c>
      <c r="AJ866" s="224">
        <f>'Perfil - interna'!AJ866+'Perfil - externa'!AJ864</f>
        <v>28964241.506427251</v>
      </c>
      <c r="AK866" s="224">
        <f>'Perfil - interna'!AK866+'Perfil - externa'!AK864</f>
        <v>26371866.239216086</v>
      </c>
      <c r="AL866" s="224">
        <f>'Perfil - interna'!AL866+'Perfil - externa'!AL864</f>
        <v>23180478.233340852</v>
      </c>
      <c r="AM866" s="224">
        <f>'Perfil - interna'!AM866+'Perfil - externa'!AM864</f>
        <v>21037439.256211288</v>
      </c>
      <c r="AN866" s="224">
        <f>'Perfil - interna'!AN866+'Perfil - externa'!AN864</f>
        <v>18009863.559247263</v>
      </c>
      <c r="AO866" s="224">
        <f>'Perfil - interna'!AO866+'Perfil - externa'!AO864</f>
        <v>17876991.195466734</v>
      </c>
      <c r="AP866" s="224">
        <f>'Perfil - interna'!AP866+'Perfil - externa'!AP864</f>
        <v>17668475.421935916</v>
      </c>
      <c r="AQ866" s="224">
        <f>'Perfil - interna'!AQ866+'Perfil - externa'!AQ864</f>
        <v>17188994.931620892</v>
      </c>
      <c r="AR866" s="224">
        <f>'Perfil - interna'!AR866+'Perfil - externa'!AR864</f>
        <v>16727330.436339319</v>
      </c>
      <c r="AS866" s="224">
        <f>'Perfil - interna'!AS866+'Perfil - externa'!AS864</f>
        <v>11989433.026770158</v>
      </c>
      <c r="AT866" s="224">
        <f>'Perfil - interna'!AT866+'Perfil - externa'!AT864</f>
        <v>11737128.920600997</v>
      </c>
      <c r="AU866" s="224">
        <f>'Perfil - interna'!AU866+'Perfil - externa'!AU864</f>
        <v>10979374.665666422</v>
      </c>
      <c r="AV866" s="224">
        <f>'Perfil - interna'!AV866+'Perfil - externa'!AV864</f>
        <v>10541933.533980332</v>
      </c>
      <c r="AW866" s="224">
        <f>'Perfil - interna'!AW866+'Perfil - externa'!AW864</f>
        <v>8000260.9060558155</v>
      </c>
      <c r="AX866" s="224">
        <f>'Perfil - interna'!AX866+'Perfil - externa'!AX864</f>
        <v>8072158.3164906129</v>
      </c>
      <c r="AY866" s="224">
        <f>'Perfil - interna'!AY866+'Perfil - externa'!AY864</f>
        <v>7803155.8901726548</v>
      </c>
      <c r="AZ866" s="224">
        <f>'Perfil - interna'!AZ866+'Perfil - externa'!AZ864</f>
        <v>4853711.9055375252</v>
      </c>
      <c r="BA866" s="224">
        <f>'Perfil - interna'!BA866+'Perfil - externa'!BA864</f>
        <v>1780884.320458269</v>
      </c>
      <c r="BB866" s="224">
        <f>'Perfil - interna'!BB866+'Perfil - externa'!BB864</f>
        <v>1640942.4695178079</v>
      </c>
      <c r="BC866" s="224">
        <f>'Perfil - interna'!BC866+'Perfil - externa'!BC864</f>
        <v>1629513.5443108985</v>
      </c>
      <c r="BD866" s="224">
        <f>'Perfil - interna'!BD866+'Perfil - externa'!BD864</f>
        <v>877611.66848990263</v>
      </c>
      <c r="BE866" s="224">
        <f>'Perfil - interna'!BE866+'Perfil - externa'!BE864</f>
        <v>1141772.5987229049</v>
      </c>
      <c r="BF866" s="224">
        <f>'Perfil - interna'!BF866+'Perfil - externa'!BF864</f>
        <v>926834.81510724034</v>
      </c>
      <c r="BG866" s="224">
        <f>'Perfil - interna'!BG866+'Perfil - externa'!BG864</f>
        <v>710695.02779052826</v>
      </c>
      <c r="BH866" s="224">
        <f>'Perfil - interna'!BH866+'Perfil - externa'!BH864</f>
        <v>495156.24232433963</v>
      </c>
      <c r="BI866" s="224">
        <f>'Perfil - interna'!BI866+'Perfil - externa'!BI864</f>
        <v>279617.45685815118</v>
      </c>
      <c r="BJ866" s="224">
        <f>'Perfil - interna'!BJ866+'Perfil - externa'!BJ864</f>
        <v>226347.46035416666</v>
      </c>
      <c r="BK866" s="224">
        <f>'Perfil - interna'!BK866+'Perfil - externa'!BK864</f>
        <v>113792.16586111111</v>
      </c>
    </row>
    <row r="867" spans="1:63">
      <c r="A867" s="279"/>
      <c r="B867" s="307" t="s">
        <v>29</v>
      </c>
      <c r="C867" s="321"/>
      <c r="D867" s="321"/>
      <c r="E867" s="321"/>
      <c r="F867" s="321"/>
      <c r="G867" s="321"/>
      <c r="H867" s="321"/>
      <c r="I867" s="321"/>
      <c r="J867" s="321"/>
      <c r="K867" s="321"/>
      <c r="L867" s="321"/>
      <c r="M867" s="321"/>
      <c r="N867" s="321"/>
      <c r="O867" s="321"/>
      <c r="P867" s="321"/>
      <c r="Q867" s="321"/>
      <c r="R867" s="321"/>
      <c r="S867" s="321"/>
      <c r="T867" s="321"/>
      <c r="U867" s="321"/>
      <c r="V867" s="321"/>
      <c r="W867" s="321"/>
      <c r="X867" s="321"/>
      <c r="Y867" s="321"/>
      <c r="Z867" s="321">
        <f t="shared" ref="Z867:BG867" si="101">+Z865+Z866</f>
        <v>68748445.879633322</v>
      </c>
      <c r="AA867" s="321">
        <f t="shared" si="101"/>
        <v>111550939.02029642</v>
      </c>
      <c r="AB867" s="321">
        <f t="shared" si="101"/>
        <v>103439304.61213189</v>
      </c>
      <c r="AC867" s="321">
        <f t="shared" si="101"/>
        <v>114998654.97298658</v>
      </c>
      <c r="AD867" s="321">
        <f t="shared" si="101"/>
        <v>97152756.62605001</v>
      </c>
      <c r="AE867" s="321">
        <f t="shared" si="101"/>
        <v>92372604.918434918</v>
      </c>
      <c r="AF867" s="321">
        <f t="shared" si="101"/>
        <v>83021226.414820075</v>
      </c>
      <c r="AG867" s="321">
        <f t="shared" si="101"/>
        <v>98667205.084114715</v>
      </c>
      <c r="AH867" s="321">
        <f t="shared" si="101"/>
        <v>83224116.236074775</v>
      </c>
      <c r="AI867" s="321">
        <f t="shared" si="101"/>
        <v>97364202.302776158</v>
      </c>
      <c r="AJ867" s="321">
        <f t="shared" si="101"/>
        <v>75633221.736389369</v>
      </c>
      <c r="AK867" s="321">
        <f t="shared" si="101"/>
        <v>80793312.252668023</v>
      </c>
      <c r="AL867" s="321">
        <f t="shared" si="101"/>
        <v>66612605.2778574</v>
      </c>
      <c r="AM867" s="321">
        <f t="shared" si="101"/>
        <v>75568575.852855951</v>
      </c>
      <c r="AN867" s="321">
        <f t="shared" si="101"/>
        <v>28260390.194803867</v>
      </c>
      <c r="AO867" s="321">
        <f t="shared" si="101"/>
        <v>23413338.538446806</v>
      </c>
      <c r="AP867" s="321">
        <f t="shared" si="101"/>
        <v>23885192.66893765</v>
      </c>
      <c r="AQ867" s="321">
        <f t="shared" si="101"/>
        <v>30228657.893143415</v>
      </c>
      <c r="AR867" s="321">
        <f t="shared" si="101"/>
        <v>72705679.878191769</v>
      </c>
      <c r="AS867" s="321">
        <f t="shared" si="101"/>
        <v>12392128.719505342</v>
      </c>
      <c r="AT867" s="321">
        <f t="shared" si="101"/>
        <v>23048598.351980992</v>
      </c>
      <c r="AU867" s="321">
        <f t="shared" si="101"/>
        <v>31117326.363302916</v>
      </c>
      <c r="AV867" s="321">
        <f t="shared" si="101"/>
        <v>33430216.716485605</v>
      </c>
      <c r="AW867" s="321">
        <f t="shared" si="101"/>
        <v>8222408.3494360466</v>
      </c>
      <c r="AX867" s="321">
        <f t="shared" si="101"/>
        <v>8294093.2964214804</v>
      </c>
      <c r="AY867" s="321">
        <f t="shared" si="101"/>
        <v>53932418.351520814</v>
      </c>
      <c r="AZ867" s="321">
        <f t="shared" si="101"/>
        <v>45380444.228643119</v>
      </c>
      <c r="BA867" s="321">
        <f t="shared" si="101"/>
        <v>8518947.7630812209</v>
      </c>
      <c r="BB867" s="321">
        <f t="shared" si="101"/>
        <v>1749620.9121407587</v>
      </c>
      <c r="BC867" s="321">
        <f t="shared" si="101"/>
        <v>10135412.98693385</v>
      </c>
      <c r="BD867" s="321">
        <f t="shared" si="101"/>
        <v>8234417.7111128541</v>
      </c>
      <c r="BE867" s="321">
        <f t="shared" si="101"/>
        <v>1250451.0413458557</v>
      </c>
      <c r="BF867" s="321">
        <f t="shared" si="101"/>
        <v>1035513.2577301911</v>
      </c>
      <c r="BG867" s="321">
        <f t="shared" si="101"/>
        <v>819373.47041347902</v>
      </c>
      <c r="BH867" s="321">
        <f>+BH865+BH866</f>
        <v>603834.68494729046</v>
      </c>
      <c r="BI867" s="321">
        <f>+BI865+BI866</f>
        <v>333956.67816962663</v>
      </c>
      <c r="BJ867" s="321">
        <f>+BJ865+BJ866</f>
        <v>226347.46035416666</v>
      </c>
      <c r="BK867" s="321">
        <f>+BK865+BK866</f>
        <v>5859259.1658611111</v>
      </c>
    </row>
    <row r="868" spans="1:63">
      <c r="A868" s="278"/>
      <c r="B868" s="210" t="s">
        <v>28</v>
      </c>
      <c r="C868" s="224"/>
      <c r="D868" s="224"/>
      <c r="E868" s="224"/>
      <c r="F868" s="224"/>
      <c r="G868" s="224"/>
      <c r="H868" s="224"/>
      <c r="I868" s="224"/>
      <c r="J868" s="224"/>
      <c r="K868" s="224"/>
      <c r="L868" s="224"/>
      <c r="M868" s="224"/>
      <c r="N868" s="224"/>
      <c r="O868" s="224"/>
      <c r="P868" s="224"/>
      <c r="Q868" s="224"/>
      <c r="R868" s="224"/>
      <c r="S868" s="224"/>
      <c r="T868" s="224"/>
      <c r="U868" s="224"/>
      <c r="V868" s="224"/>
      <c r="W868" s="224"/>
      <c r="X868" s="224"/>
      <c r="Y868" s="224"/>
      <c r="Z868" s="224">
        <f>'Perfil - interna'!Z868+'Perfil - externa'!Z866</f>
        <v>0</v>
      </c>
      <c r="AA868" s="224">
        <f>'Perfil - interna'!AA868+'Perfil - externa'!AA866</f>
        <v>129523942.63727753</v>
      </c>
      <c r="AB868" s="224">
        <f>'Perfil - interna'!AB868+'Perfil - externa'!AB866</f>
        <v>51477289.96187523</v>
      </c>
      <c r="AC868" s="224">
        <f>'Perfil - interna'!AC868+'Perfil - externa'!AC866</f>
        <v>66118314.486601703</v>
      </c>
      <c r="AD868" s="224">
        <f>'Perfil - interna'!AD868+'Perfil - externa'!AD866</f>
        <v>51354231.053271845</v>
      </c>
      <c r="AE868" s="224">
        <f>'Perfil - interna'!AE868+'Perfil - externa'!AE866</f>
        <v>49081654.669954374</v>
      </c>
      <c r="AF868" s="224">
        <f>'Perfil - interna'!AF868+'Perfil - externa'!AF866</f>
        <v>42930310.128885366</v>
      </c>
      <c r="AG868" s="224">
        <f>'Perfil - interna'!AG868+'Perfil - externa'!AG866</f>
        <v>58437676.44343023</v>
      </c>
      <c r="AH868" s="224">
        <f>'Perfil - interna'!AH868+'Perfil - externa'!AH866</f>
        <v>47844026.672255218</v>
      </c>
      <c r="AI868" s="224">
        <f>'Perfil - interna'!AI868+'Perfil - externa'!AI866</f>
        <v>63160200.965730377</v>
      </c>
      <c r="AJ868" s="224">
        <f>'Perfil - interna'!AJ868+'Perfil - externa'!AJ866</f>
        <v>46680338.393795699</v>
      </c>
      <c r="AK868" s="224">
        <f>'Perfil - interna'!AK868+'Perfil - externa'!AK866</f>
        <v>54340541.949211769</v>
      </c>
      <c r="AL868" s="224">
        <f>'Perfil - interna'!AL868+'Perfil - externa'!AL866</f>
        <v>43590083.075141445</v>
      </c>
      <c r="AM868" s="224">
        <f>'Perfil - interna'!AM868+'Perfil - externa'!AM866</f>
        <v>54557018.505656488</v>
      </c>
      <c r="AN868" s="224">
        <f>'Perfil - interna'!AN868+'Perfil - externa'!AN866</f>
        <v>10224728.437527904</v>
      </c>
      <c r="AO868" s="224">
        <f>'Perfil - interna'!AO868+'Perfil - externa'!AO866</f>
        <v>5521685.0267445948</v>
      </c>
      <c r="AP868" s="224">
        <f>'Perfil - interna'!AP868+'Perfil - externa'!AP866</f>
        <v>6199834.4831966907</v>
      </c>
      <c r="AQ868" s="224">
        <f>'Perfil - interna'!AQ868+'Perfil - externa'!AQ866</f>
        <v>13067371.629007278</v>
      </c>
      <c r="AR868" s="224">
        <f>'Perfil - interna'!AR868+'Perfil - externa'!AR866</f>
        <v>55963581.783311367</v>
      </c>
      <c r="AS868" s="224">
        <f>'Perfil - interna'!AS868+'Perfil - externa'!AS866</f>
        <v>400302.69097102969</v>
      </c>
      <c r="AT868" s="224">
        <f>'Perfil - interna'!AT868+'Perfil - externa'!AT866</f>
        <v>11283132.394504581</v>
      </c>
      <c r="AU868" s="224">
        <f>'Perfil - interna'!AU868+'Perfil - externa'!AU866</f>
        <v>20088586.785734978</v>
      </c>
      <c r="AV868" s="224">
        <f>'Perfil - interna'!AV868+'Perfil - externa'!AV866</f>
        <v>22957778.001457404</v>
      </c>
      <c r="AW868" s="224">
        <f>'Perfil - interna'!AW868+'Perfil - externa'!AW866</f>
        <v>219699.19664809489</v>
      </c>
      <c r="AX868" s="224">
        <f>'Perfil - interna'!AX868+'Perfil - externa'!AX866</f>
        <v>219487.23508203006</v>
      </c>
      <c r="AY868" s="224">
        <f>'Perfil - interna'!AY868+'Perfil - externa'!AY866</f>
        <v>46387781.302581541</v>
      </c>
      <c r="AZ868" s="224">
        <f>'Perfil - interna'!AZ868+'Perfil - externa'!AZ866</f>
        <v>41516870.438391164</v>
      </c>
      <c r="BA868" s="224">
        <f>'Perfil - interna'!BA868+'Perfil - externa'!BA866</f>
        <v>6722146.7213114752</v>
      </c>
      <c r="BB868" s="224">
        <f>'Perfil - interna'!BB868+'Perfil - externa'!BB866</f>
        <v>108421.7213114754</v>
      </c>
      <c r="BC868" s="224">
        <f>'Perfil - interna'!BC868+'Perfil - externa'!BC866</f>
        <v>8485806.7213114742</v>
      </c>
      <c r="BD868" s="224">
        <f>'Perfil - interna'!BD868+'Perfil - externa'!BD866</f>
        <v>7339427.7213114752</v>
      </c>
      <c r="BE868" s="224">
        <f>'Perfil - interna'!BE868+'Perfil - externa'!BE866</f>
        <v>108421.7213114754</v>
      </c>
      <c r="BF868" s="224">
        <f>'Perfil - interna'!BF868+'Perfil - externa'!BF866</f>
        <v>108421.7213114754</v>
      </c>
      <c r="BG868" s="224">
        <f>'Perfil - interna'!BG868+'Perfil - externa'!BG866</f>
        <v>108421.7213114754</v>
      </c>
      <c r="BH868" s="224">
        <f>'Perfil - interna'!BH868+'Perfil - externa'!BH866</f>
        <v>108421.7213114754</v>
      </c>
      <c r="BI868" s="224">
        <f>'Perfil - interna'!BI868+'Perfil - externa'!BI866</f>
        <v>54210.860655737699</v>
      </c>
      <c r="BJ868" s="224">
        <f>'Perfil - interna'!BJ868+'Perfil - externa'!BJ866</f>
        <v>0</v>
      </c>
      <c r="BK868" s="224">
        <f>'Perfil - interna'!BK868+'Perfil - externa'!BK866</f>
        <v>5731894.9999999991</v>
      </c>
    </row>
    <row r="869" spans="1:63">
      <c r="A869" s="168">
        <v>45657</v>
      </c>
      <c r="B869" s="213" t="s">
        <v>385</v>
      </c>
      <c r="C869" s="224"/>
      <c r="D869" s="224"/>
      <c r="E869" s="224"/>
      <c r="F869" s="224"/>
      <c r="G869" s="224"/>
      <c r="H869" s="224"/>
      <c r="I869" s="224"/>
      <c r="J869" s="224"/>
      <c r="K869" s="224"/>
      <c r="L869" s="224"/>
      <c r="M869" s="224"/>
      <c r="N869" s="224"/>
      <c r="O869" s="224"/>
      <c r="P869" s="224"/>
      <c r="Q869" s="224"/>
      <c r="R869" s="224"/>
      <c r="S869" s="224"/>
      <c r="T869" s="224"/>
      <c r="U869" s="224"/>
      <c r="V869" s="224"/>
      <c r="W869" s="224"/>
      <c r="X869" s="224"/>
      <c r="Y869" s="224"/>
      <c r="Z869" s="224">
        <f>'Perfil - interna'!Z869+'Perfil - externa'!Z867</f>
        <v>0</v>
      </c>
      <c r="AA869" s="224">
        <f>'Perfil - interna'!AA869+'Perfil - externa'!AA867</f>
        <v>53604923.443450697</v>
      </c>
      <c r="AB869" s="224">
        <f>'Perfil - interna'!AB869+'Perfil - externa'!AB867</f>
        <v>52016017.796824194</v>
      </c>
      <c r="AC869" s="224">
        <f>'Perfil - interna'!AC869+'Perfil - externa'!AC867</f>
        <v>48938562.879620366</v>
      </c>
      <c r="AD869" s="224">
        <f>'Perfil - interna'!AD869+'Perfil - externa'!AD867</f>
        <v>46340201.305101059</v>
      </c>
      <c r="AE869" s="224">
        <f>'Perfil - interna'!AE869+'Perfil - externa'!AE867</f>
        <v>43603209.73888126</v>
      </c>
      <c r="AF869" s="224">
        <f>'Perfil - interna'!AF869+'Perfil - externa'!AF867</f>
        <v>42279751.670862466</v>
      </c>
      <c r="AG869" s="224">
        <f>'Perfil - interna'!AG869+'Perfil - externa'!AG867</f>
        <v>39861168.045952015</v>
      </c>
      <c r="AH869" s="224">
        <f>'Perfil - interna'!AH869+'Perfil - externa'!AH867</f>
        <v>36843416.112596996</v>
      </c>
      <c r="AI869" s="224">
        <f>'Perfil - interna'!AI869+'Perfil - externa'!AI867</f>
        <v>34194241.10732501</v>
      </c>
      <c r="AJ869" s="224">
        <f>'Perfil - interna'!AJ869+'Perfil - externa'!AJ867</f>
        <v>29003525.589214571</v>
      </c>
      <c r="AK869" s="224">
        <f>'Perfil - interna'!AK869+'Perfil - externa'!AK867</f>
        <v>26413982.550374202</v>
      </c>
      <c r="AL869" s="224">
        <f>'Perfil - interna'!AL869+'Perfil - externa'!AL867</f>
        <v>23232287.104365297</v>
      </c>
      <c r="AM869" s="224">
        <f>'Perfil - interna'!AM869+'Perfil - externa'!AM867</f>
        <v>21078316.251722522</v>
      </c>
      <c r="AN869" s="224">
        <f>'Perfil - interna'!AN869+'Perfil - externa'!AN867</f>
        <v>18058916.43518047</v>
      </c>
      <c r="AO869" s="224">
        <f>'Perfil - interna'!AO869+'Perfil - externa'!AO867</f>
        <v>17934720.369490054</v>
      </c>
      <c r="AP869" s="224">
        <f>'Perfil - interna'!AP869+'Perfil - externa'!AP867</f>
        <v>17735332.818613656</v>
      </c>
      <c r="AQ869" s="224">
        <f>'Perfil - interna'!AQ869+'Perfil - externa'!AQ867</f>
        <v>17263816.830665924</v>
      </c>
      <c r="AR869" s="224">
        <f>'Perfil - interna'!AR869+'Perfil - externa'!AR867</f>
        <v>16807995.482906096</v>
      </c>
      <c r="AS869" s="224">
        <f>'Perfil - interna'!AS869+'Perfil - externa'!AS867</f>
        <v>12072692.322113827</v>
      </c>
      <c r="AT869" s="224">
        <f>'Perfil - interna'!AT869+'Perfil - externa'!AT867</f>
        <v>11822047.22960278</v>
      </c>
      <c r="AU869" s="224">
        <f>'Perfil - interna'!AU869+'Perfil - externa'!AU867</f>
        <v>11067070.789597746</v>
      </c>
      <c r="AV869" s="224">
        <f>'Perfil - interna'!AV869+'Perfil - externa'!AV867</f>
        <v>10631659.516230419</v>
      </c>
      <c r="AW869" s="224">
        <f>'Perfil - interna'!AW869+'Perfil - externa'!AW867</f>
        <v>8082578.0079681063</v>
      </c>
      <c r="AX869" s="224">
        <f>'Perfil - interna'!AX869+'Perfil - externa'!AX867</f>
        <v>8155337.6565621812</v>
      </c>
      <c r="AY869" s="224">
        <f>'Perfil - interna'!AY869+'Perfil - externa'!AY867</f>
        <v>7888040.0904254243</v>
      </c>
      <c r="AZ869" s="224">
        <f>'Perfil - interna'!AZ869+'Perfil - externa'!AZ867</f>
        <v>4918957.1506570559</v>
      </c>
      <c r="BA869" s="224">
        <f>'Perfil - interna'!BA869+'Perfil - externa'!BA867</f>
        <v>1774812.6777075944</v>
      </c>
      <c r="BB869" s="224">
        <f>'Perfil - interna'!BB869+'Perfil - externa'!BB867</f>
        <v>1635422.765975903</v>
      </c>
      <c r="BC869" s="224">
        <f>'Perfil - interna'!BC869+'Perfil - externa'!BC867</f>
        <v>1624251.6507524122</v>
      </c>
      <c r="BD869" s="224">
        <f>'Perfil - interna'!BD869+'Perfil - externa'!BD867</f>
        <v>874352.02819863474</v>
      </c>
      <c r="BE869" s="224">
        <f>'Perfil - interna'!BE869+'Perfil - externa'!BE867</f>
        <v>1139075.4919933972</v>
      </c>
      <c r="BF869" s="224">
        <f>'Perfil - interna'!BF869+'Perfil - externa'!BF867</f>
        <v>924645.43657445314</v>
      </c>
      <c r="BG869" s="224">
        <f>'Perfil - interna'!BG869+'Perfil - externa'!BG867</f>
        <v>709016.21683970839</v>
      </c>
      <c r="BH869" s="224">
        <f>'Perfil - interna'!BH869+'Perfil - externa'!BH867</f>
        <v>493986.57926286414</v>
      </c>
      <c r="BI869" s="224">
        <f>'Perfil - interna'!BI869+'Perfil - externa'!BI867</f>
        <v>278956.94168601983</v>
      </c>
      <c r="BJ869" s="224">
        <f>'Perfil - interna'!BJ869+'Perfil - externa'!BJ867</f>
        <v>225812.78010416662</v>
      </c>
      <c r="BK869" s="224">
        <f>'Perfil - interna'!BK869+'Perfil - externa'!BK867</f>
        <v>113523.3648611111</v>
      </c>
    </row>
    <row r="870" spans="1:63">
      <c r="A870" s="279"/>
      <c r="B870" s="307" t="s">
        <v>29</v>
      </c>
      <c r="C870" s="321"/>
      <c r="D870" s="321"/>
      <c r="E870" s="321"/>
      <c r="F870" s="321"/>
      <c r="G870" s="321"/>
      <c r="H870" s="321"/>
      <c r="I870" s="321"/>
      <c r="J870" s="321"/>
      <c r="K870" s="321"/>
      <c r="L870" s="321"/>
      <c r="M870" s="321"/>
      <c r="N870" s="321"/>
      <c r="O870" s="321"/>
      <c r="P870" s="321"/>
      <c r="Q870" s="321"/>
      <c r="R870" s="321"/>
      <c r="S870" s="321"/>
      <c r="T870" s="321"/>
      <c r="U870" s="321"/>
      <c r="V870" s="321"/>
      <c r="W870" s="321"/>
      <c r="X870" s="321"/>
      <c r="Y870" s="321"/>
      <c r="Z870" s="321">
        <f t="shared" ref="Z870:BG870" si="102">+Z868+Z869</f>
        <v>0</v>
      </c>
      <c r="AA870" s="321">
        <f t="shared" si="102"/>
        <v>183128866.08072823</v>
      </c>
      <c r="AB870" s="321">
        <f t="shared" si="102"/>
        <v>103493307.75869942</v>
      </c>
      <c r="AC870" s="321">
        <f t="shared" si="102"/>
        <v>115056877.36622207</v>
      </c>
      <c r="AD870" s="321">
        <f t="shared" si="102"/>
        <v>97694432.358372897</v>
      </c>
      <c r="AE870" s="321">
        <f t="shared" si="102"/>
        <v>92684864.408835635</v>
      </c>
      <c r="AF870" s="321">
        <f t="shared" si="102"/>
        <v>85210061.799747825</v>
      </c>
      <c r="AG870" s="321">
        <f t="shared" si="102"/>
        <v>98298844.489382237</v>
      </c>
      <c r="AH870" s="321">
        <f t="shared" si="102"/>
        <v>84687442.784852207</v>
      </c>
      <c r="AI870" s="321">
        <f t="shared" si="102"/>
        <v>97354442.073055387</v>
      </c>
      <c r="AJ870" s="321">
        <f t="shared" si="102"/>
        <v>75683863.983010262</v>
      </c>
      <c r="AK870" s="321">
        <f t="shared" si="102"/>
        <v>80754524.499585971</v>
      </c>
      <c r="AL870" s="321">
        <f t="shared" si="102"/>
        <v>66822370.179506741</v>
      </c>
      <c r="AM870" s="321">
        <f t="shared" si="102"/>
        <v>75635334.75737901</v>
      </c>
      <c r="AN870" s="321">
        <f t="shared" si="102"/>
        <v>28283644.872708373</v>
      </c>
      <c r="AO870" s="321">
        <f t="shared" si="102"/>
        <v>23456405.396234646</v>
      </c>
      <c r="AP870" s="321">
        <f t="shared" si="102"/>
        <v>23935167.301810347</v>
      </c>
      <c r="AQ870" s="321">
        <f t="shared" si="102"/>
        <v>30331188.459673204</v>
      </c>
      <c r="AR870" s="321">
        <f t="shared" si="102"/>
        <v>72771577.26621747</v>
      </c>
      <c r="AS870" s="321">
        <f t="shared" si="102"/>
        <v>12472995.013084857</v>
      </c>
      <c r="AT870" s="321">
        <f t="shared" si="102"/>
        <v>23105179.624107361</v>
      </c>
      <c r="AU870" s="321">
        <f t="shared" si="102"/>
        <v>31155657.575332724</v>
      </c>
      <c r="AV870" s="321">
        <f t="shared" si="102"/>
        <v>33589437.517687827</v>
      </c>
      <c r="AW870" s="321">
        <f t="shared" si="102"/>
        <v>8302277.2046162011</v>
      </c>
      <c r="AX870" s="321">
        <f t="shared" si="102"/>
        <v>8374824.8916442115</v>
      </c>
      <c r="AY870" s="321">
        <f t="shared" si="102"/>
        <v>54275821.393006966</v>
      </c>
      <c r="AZ870" s="321">
        <f t="shared" si="102"/>
        <v>46435827.589048222</v>
      </c>
      <c r="BA870" s="321">
        <f t="shared" si="102"/>
        <v>8496959.39901907</v>
      </c>
      <c r="BB870" s="321">
        <f t="shared" si="102"/>
        <v>1743844.4872873784</v>
      </c>
      <c r="BC870" s="321">
        <f t="shared" si="102"/>
        <v>10110058.372063886</v>
      </c>
      <c r="BD870" s="321">
        <f t="shared" si="102"/>
        <v>8213779.7495101094</v>
      </c>
      <c r="BE870" s="321">
        <f t="shared" si="102"/>
        <v>1247497.2133048726</v>
      </c>
      <c r="BF870" s="321">
        <f t="shared" si="102"/>
        <v>1033067.1578859285</v>
      </c>
      <c r="BG870" s="321">
        <f t="shared" si="102"/>
        <v>817437.93815118377</v>
      </c>
      <c r="BH870" s="321">
        <f>+BH868+BH869</f>
        <v>602408.30057433958</v>
      </c>
      <c r="BI870" s="321">
        <f>+BI868+BI869</f>
        <v>333167.80234175752</v>
      </c>
      <c r="BJ870" s="321">
        <f>+BJ868+BJ869</f>
        <v>225812.78010416662</v>
      </c>
      <c r="BK870" s="321">
        <f>+BK868+BK869</f>
        <v>5845418.3648611102</v>
      </c>
    </row>
  </sheetData>
  <phoneticPr fontId="15" type="noConversion"/>
  <pageMargins left="0.23622047244094491" right="0.23622047244094491" top="0.74803149606299213" bottom="0.74803149606299213" header="0.31496062992125984" footer="0.31496062992125984"/>
  <pageSetup scale="21" fitToHeight="99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75" r:id="rId3" name="Drop Down 19">
              <controlPr defaultSize="0" print="0" autoLine="0" autoPict="0">
                <anchor>
                  <from>
                    <xdr:col>1</xdr:col>
                    <xdr:colOff>523875</xdr:colOff>
                    <xdr:row>1</xdr:row>
                    <xdr:rowOff>200025</xdr:rowOff>
                  </from>
                  <to>
                    <xdr:col>1</xdr:col>
                    <xdr:colOff>5648325</xdr:colOff>
                    <xdr:row>2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026F-65CD-4446-8391-1A2A01A22A3F}">
  <sheetPr codeName="Hoja2">
    <tabColor rgb="FFB48C41"/>
    <pageSetUpPr fitToPage="1"/>
  </sheetPr>
  <dimension ref="A1:R305"/>
  <sheetViews>
    <sheetView showGridLines="0" zoomScale="80" zoomScaleNormal="80" workbookViewId="0">
      <pane ySplit="22" topLeftCell="A290" activePane="bottomLeft" state="frozen"/>
      <selection activeCell="E298" sqref="E298"/>
      <selection pane="bottomLeft" activeCell="L305" sqref="L305"/>
    </sheetView>
  </sheetViews>
  <sheetFormatPr baseColWidth="10" defaultColWidth="0" defaultRowHeight="12.75"/>
  <cols>
    <col min="1" max="1" width="14.7109375" style="91" customWidth="1"/>
    <col min="2" max="3" width="15.42578125" style="91" customWidth="1"/>
    <col min="4" max="4" width="16.42578125" style="91" bestFit="1" customWidth="1"/>
    <col min="5" max="5" width="15.42578125" style="91" customWidth="1"/>
    <col min="6" max="6" width="13.7109375" style="91" bestFit="1" customWidth="1"/>
    <col min="7" max="9" width="15.42578125" style="91" customWidth="1"/>
    <col min="10" max="10" width="20.7109375" style="80" customWidth="1"/>
    <col min="11" max="13" width="13.7109375" style="80" bestFit="1" customWidth="1"/>
    <col min="14" max="18" width="11.42578125" style="80" customWidth="1"/>
    <col min="19" max="16384" width="11.42578125" style="80" hidden="1"/>
  </cols>
  <sheetData>
    <row r="1" spans="1:1" s="110" customFormat="1" ht="12.75" customHeight="1">
      <c r="A1" s="116"/>
    </row>
    <row r="2" spans="1:1" s="110" customFormat="1" ht="12.75" customHeight="1">
      <c r="A2" s="125"/>
    </row>
    <row r="3" spans="1:1" s="110" customFormat="1" ht="12.75" customHeight="1"/>
    <row r="4" spans="1:1" s="110" customFormat="1" ht="12.75" customHeight="1"/>
    <row r="5" spans="1:1" s="110" customFormat="1" ht="12.75" customHeight="1">
      <c r="A5" s="126"/>
    </row>
    <row r="6" spans="1:1" s="80" customFormat="1" ht="12.75" customHeight="1">
      <c r="A6" s="127"/>
    </row>
    <row r="7" spans="1:1" s="80" customFormat="1" ht="12.75" customHeight="1">
      <c r="A7" s="127"/>
    </row>
    <row r="8" spans="1:1" s="80" customFormat="1" ht="12.75" customHeight="1">
      <c r="A8" s="127"/>
    </row>
    <row r="9" spans="1:1" s="80" customFormat="1" ht="12.75" customHeight="1">
      <c r="A9" s="127"/>
    </row>
    <row r="10" spans="1:1" s="80" customFormat="1" ht="12.75" customHeight="1">
      <c r="A10" s="127"/>
    </row>
    <row r="11" spans="1:1" s="80" customFormat="1" ht="12.75" customHeight="1">
      <c r="A11" s="127"/>
    </row>
    <row r="12" spans="1:1" s="80" customFormat="1" ht="12.75" customHeight="1">
      <c r="A12" s="127"/>
    </row>
    <row r="13" spans="1:1" s="80" customFormat="1" ht="12.75" customHeight="1">
      <c r="A13" s="127"/>
    </row>
    <row r="14" spans="1:1" s="80" customFormat="1" ht="12.75" customHeight="1">
      <c r="A14" s="127"/>
    </row>
    <row r="15" spans="1:1" s="80" customFormat="1" ht="12.75" customHeight="1">
      <c r="A15" s="127"/>
    </row>
    <row r="16" spans="1:1" s="80" customFormat="1" ht="12.75" customHeight="1">
      <c r="A16" s="127"/>
    </row>
    <row r="17" spans="1:11" ht="12.75" customHeight="1">
      <c r="A17" s="127"/>
      <c r="B17" s="80"/>
      <c r="C17" s="80"/>
      <c r="D17" s="80"/>
      <c r="E17" s="80"/>
      <c r="F17" s="80"/>
      <c r="G17" s="80"/>
      <c r="H17" s="80"/>
      <c r="I17" s="80"/>
    </row>
    <row r="18" spans="1:11" ht="12.75" customHeight="1">
      <c r="A18" s="127"/>
      <c r="B18" s="80"/>
      <c r="C18" s="80"/>
      <c r="D18" s="80"/>
      <c r="E18" s="80"/>
      <c r="F18" s="80"/>
      <c r="G18" s="80"/>
      <c r="H18" s="80"/>
      <c r="I18" s="80"/>
    </row>
    <row r="19" spans="1:11" ht="12.75" customHeight="1">
      <c r="A19" s="127"/>
      <c r="B19" s="80"/>
      <c r="C19" s="80"/>
      <c r="D19" s="80"/>
      <c r="E19" s="80"/>
      <c r="F19" s="80"/>
      <c r="G19" s="80"/>
      <c r="H19" s="80"/>
      <c r="I19" s="80"/>
    </row>
    <row r="20" spans="1:11" s="1" customFormat="1" ht="15">
      <c r="A20" s="322"/>
      <c r="B20" s="326" t="str">
        <f>IndicadoresSección_título_etiqueta</f>
        <v>Duración</v>
      </c>
      <c r="C20" s="326"/>
      <c r="D20" s="326"/>
      <c r="E20" s="326" t="str">
        <f>IndicadoresSección_título_etiqueta_2</f>
        <v>Vida media</v>
      </c>
      <c r="F20" s="326"/>
      <c r="G20" s="326"/>
      <c r="H20" s="327" t="str">
        <f>IndicadoresSección_título_etiqueta_3</f>
        <v>Cupón promedio (%)</v>
      </c>
      <c r="I20" s="328"/>
      <c r="J20" s="328"/>
    </row>
    <row r="21" spans="1:11" s="1" customFormat="1" ht="15">
      <c r="A21" s="322"/>
      <c r="B21" s="326" t="str">
        <f>IndicadoresSección_subtítulo_etiqueta</f>
        <v>(Años)</v>
      </c>
      <c r="C21" s="326"/>
      <c r="D21" s="326"/>
      <c r="E21" s="326" t="str">
        <f>IndicadoresSección_subtítulo_etiqueta_2</f>
        <v>(Años)</v>
      </c>
      <c r="F21" s="326"/>
      <c r="G21" s="326"/>
      <c r="H21" s="327" t="str">
        <f>IndicadoresSección_subtítulo_etiqueta_3</f>
        <v>(Tasa anual %)</v>
      </c>
      <c r="I21" s="328"/>
      <c r="J21" s="328"/>
    </row>
    <row r="22" spans="1:11" s="175" customFormat="1" ht="25.5">
      <c r="A22" s="174" t="str">
        <f>Indice_PrincipalFecha_corte_etiqueta</f>
        <v>Fecha corte</v>
      </c>
      <c r="B22" s="228" t="str">
        <f>IndicadoresColumna_título_etiqueta</f>
        <v>Deuda interna</v>
      </c>
      <c r="C22" s="203" t="str">
        <f>IndicadoresColumna_título_etiqueta_2</f>
        <v>Deuda externa</v>
      </c>
      <c r="D22" s="225" t="str">
        <f>IndicadoresColumna_título_etiqueta_3</f>
        <v>Deuda total</v>
      </c>
      <c r="E22" s="228" t="str">
        <f>IndicadoresColumna_título_etiqueta</f>
        <v>Deuda interna</v>
      </c>
      <c r="F22" s="203" t="str">
        <f>IndicadoresColumna_título_etiqueta_2</f>
        <v>Deuda externa</v>
      </c>
      <c r="G22" s="225" t="str">
        <f>IndicadoresColumna_título_etiqueta_3</f>
        <v>Deuda total</v>
      </c>
      <c r="H22" s="228" t="str">
        <f>IndicadoresColumna_título_etiqueta_4</f>
        <v>Deuda interna 
(COP)</v>
      </c>
      <c r="I22" s="231" t="str">
        <f>IndicadoresColumna_título_etiqueta_5</f>
        <v>Deuda externa 
(USD)</v>
      </c>
      <c r="J22" s="225" t="s">
        <v>386</v>
      </c>
    </row>
    <row r="23" spans="1:11">
      <c r="A23" s="176">
        <v>37072</v>
      </c>
      <c r="B23" s="229"/>
      <c r="C23" s="229">
        <v>3.6</v>
      </c>
      <c r="D23" s="226"/>
      <c r="E23" s="229">
        <v>5.04</v>
      </c>
      <c r="F23" s="229">
        <v>5.7</v>
      </c>
      <c r="G23" s="226">
        <v>5.3787673402919527</v>
      </c>
      <c r="H23" s="232">
        <v>0.14860000000000001</v>
      </c>
      <c r="I23" s="232">
        <v>9.4200000000000006E-2</v>
      </c>
      <c r="J23" s="265">
        <v>0.12067735861836025</v>
      </c>
    </row>
    <row r="24" spans="1:11">
      <c r="A24" s="176">
        <v>37103</v>
      </c>
      <c r="B24" s="229"/>
      <c r="C24" s="229">
        <v>3.71</v>
      </c>
      <c r="D24" s="226"/>
      <c r="E24" s="229">
        <v>5.0599999999999996</v>
      </c>
      <c r="F24" s="229">
        <v>5.63</v>
      </c>
      <c r="G24" s="226">
        <v>5.3574288046768839</v>
      </c>
      <c r="H24" s="232">
        <v>0.14560000000000001</v>
      </c>
      <c r="I24" s="232">
        <v>8.6900000000000005E-2</v>
      </c>
      <c r="J24" s="265">
        <v>0.11497005116748589</v>
      </c>
    </row>
    <row r="25" spans="1:11">
      <c r="A25" s="176">
        <v>37134</v>
      </c>
      <c r="B25" s="229"/>
      <c r="C25" s="229">
        <v>3.71</v>
      </c>
      <c r="D25" s="226"/>
      <c r="E25" s="229">
        <v>5.0599999999999996</v>
      </c>
      <c r="F25" s="229">
        <v>6.03</v>
      </c>
      <c r="G25" s="226">
        <v>5.5747913614222346</v>
      </c>
      <c r="H25" s="232">
        <v>0.1493037805529922</v>
      </c>
      <c r="I25" s="232">
        <v>8.6503857584602148E-2</v>
      </c>
      <c r="J25" s="265">
        <v>0.1159750611281376</v>
      </c>
    </row>
    <row r="26" spans="1:11">
      <c r="A26" s="176">
        <v>37164</v>
      </c>
      <c r="B26" s="229"/>
      <c r="C26" s="229">
        <v>3.716378656279911</v>
      </c>
      <c r="D26" s="226"/>
      <c r="E26" s="229">
        <v>4.9032751539995614</v>
      </c>
      <c r="F26" s="229">
        <v>5.9958959166927874</v>
      </c>
      <c r="G26" s="226">
        <v>5.5627899604540296</v>
      </c>
      <c r="H26" s="232">
        <v>0.14622267850414458</v>
      </c>
      <c r="I26" s="232">
        <v>8.7291480273330058E-2</v>
      </c>
      <c r="J26" s="265">
        <v>0.11481679743230441</v>
      </c>
      <c r="K26" s="251"/>
    </row>
    <row r="27" spans="1:11">
      <c r="A27" s="176">
        <v>37195</v>
      </c>
      <c r="B27" s="229"/>
      <c r="C27" s="229">
        <v>3.1012652159447418</v>
      </c>
      <c r="D27" s="226"/>
      <c r="E27" s="229">
        <v>4.873699155405153</v>
      </c>
      <c r="F27" s="229">
        <v>5.9133718769664956</v>
      </c>
      <c r="G27" s="226">
        <v>5.3969528286380939</v>
      </c>
      <c r="H27" s="232">
        <v>0.15706815434887555</v>
      </c>
      <c r="I27" s="232">
        <v>8.106900340920814E-2</v>
      </c>
      <c r="J27" s="265">
        <v>0.11881877637919566</v>
      </c>
      <c r="K27" s="251"/>
    </row>
    <row r="28" spans="1:11">
      <c r="A28" s="176">
        <v>37225</v>
      </c>
      <c r="B28" s="229"/>
      <c r="C28" s="229">
        <v>3.7888928268773006</v>
      </c>
      <c r="D28" s="226"/>
      <c r="E28" s="229">
        <v>4.8706636556347984</v>
      </c>
      <c r="F28" s="229">
        <v>6.1045099857509886</v>
      </c>
      <c r="G28" s="226">
        <v>5.4864150027084033</v>
      </c>
      <c r="H28" s="232">
        <v>0.15179298254518855</v>
      </c>
      <c r="I28" s="232">
        <v>8.4040454160177455E-2</v>
      </c>
      <c r="J28" s="265">
        <v>0.11798106480273791</v>
      </c>
      <c r="K28" s="251"/>
    </row>
    <row r="29" spans="1:11">
      <c r="A29" s="176">
        <v>37256</v>
      </c>
      <c r="B29" s="229"/>
      <c r="C29" s="229">
        <v>3.7872120870025689</v>
      </c>
      <c r="D29" s="226"/>
      <c r="E29" s="229">
        <v>4.4106415990166434</v>
      </c>
      <c r="F29" s="229">
        <v>6.3136123276432548</v>
      </c>
      <c r="G29" s="226">
        <v>5.3345318565648858</v>
      </c>
      <c r="H29" s="232">
        <v>0.13131749433731876</v>
      </c>
      <c r="I29" s="232">
        <v>0.10071754654341178</v>
      </c>
      <c r="J29" s="265">
        <v>0.11646125234526306</v>
      </c>
      <c r="K29" s="251"/>
    </row>
    <row r="30" spans="1:11">
      <c r="A30" s="176">
        <v>37287</v>
      </c>
      <c r="B30" s="229"/>
      <c r="C30" s="229">
        <v>3.7600385214340122</v>
      </c>
      <c r="D30" s="226"/>
      <c r="E30" s="229">
        <v>4.3588932448250235</v>
      </c>
      <c r="F30" s="229">
        <v>6.23</v>
      </c>
      <c r="G30" s="226">
        <v>5.25257225084205</v>
      </c>
      <c r="H30" s="232">
        <v>0.12100726928999564</v>
      </c>
      <c r="I30" s="232">
        <v>0.10913947688730166</v>
      </c>
      <c r="J30" s="265">
        <v>0.11533896795511848</v>
      </c>
      <c r="K30" s="251"/>
    </row>
    <row r="31" spans="1:11">
      <c r="A31" s="176">
        <v>37315</v>
      </c>
      <c r="B31" s="229"/>
      <c r="C31" s="229">
        <v>3.7904425730810867</v>
      </c>
      <c r="D31" s="226"/>
      <c r="E31" s="229">
        <v>4.5002560345785101</v>
      </c>
      <c r="F31" s="229">
        <v>6.1774864636720883</v>
      </c>
      <c r="G31" s="226">
        <v>5.2872774360204762</v>
      </c>
      <c r="H31" s="232">
        <v>0.12723146691436812</v>
      </c>
      <c r="I31" s="232">
        <v>0.10167401571803864</v>
      </c>
      <c r="J31" s="265">
        <v>0.11523892211616157</v>
      </c>
      <c r="K31" s="251"/>
    </row>
    <row r="32" spans="1:11">
      <c r="A32" s="176">
        <v>37346</v>
      </c>
      <c r="B32" s="229"/>
      <c r="C32" s="229">
        <v>3.8141187033790187</v>
      </c>
      <c r="D32" s="226"/>
      <c r="E32" s="229">
        <v>4.5499433504073536</v>
      </c>
      <c r="F32" s="229">
        <v>6.1507339212328409</v>
      </c>
      <c r="G32" s="226">
        <v>5.2889890538596136</v>
      </c>
      <c r="H32" s="232">
        <v>0.10017681428919434</v>
      </c>
      <c r="I32" s="232">
        <v>0.12418265359657527</v>
      </c>
      <c r="J32" s="265">
        <v>0.11125972089873068</v>
      </c>
      <c r="K32" s="251"/>
    </row>
    <row r="33" spans="1:11">
      <c r="A33" s="176">
        <v>37376</v>
      </c>
      <c r="B33" s="229"/>
      <c r="C33" s="229">
        <v>3.8161431849814664</v>
      </c>
      <c r="D33" s="226"/>
      <c r="E33" s="229">
        <v>4.5515760951875999</v>
      </c>
      <c r="F33" s="229">
        <v>6.0758958818790614</v>
      </c>
      <c r="G33" s="226">
        <v>5.2557478200062846</v>
      </c>
      <c r="H33" s="232">
        <v>9.4854575942627181E-2</v>
      </c>
      <c r="I33" s="232">
        <v>0.12920125651079689</v>
      </c>
      <c r="J33" s="265">
        <v>0.1107212999126546</v>
      </c>
      <c r="K33" s="251"/>
    </row>
    <row r="34" spans="1:11">
      <c r="A34" s="176">
        <v>37407</v>
      </c>
      <c r="B34" s="229"/>
      <c r="C34" s="229">
        <v>3.8278367190774891</v>
      </c>
      <c r="D34" s="226"/>
      <c r="E34" s="229">
        <v>4.6226725840030758</v>
      </c>
      <c r="F34" s="229">
        <v>6.1099044625882151</v>
      </c>
      <c r="G34" s="226">
        <v>5.2887212655549991</v>
      </c>
      <c r="H34" s="232">
        <v>0.10901997636016483</v>
      </c>
      <c r="I34" s="232">
        <v>0.11084512254125364</v>
      </c>
      <c r="J34" s="265">
        <v>0.10983735811822007</v>
      </c>
      <c r="K34" s="251"/>
    </row>
    <row r="35" spans="1:11">
      <c r="A35" s="176">
        <v>37437</v>
      </c>
      <c r="B35" s="229"/>
      <c r="C35" s="229">
        <v>3.8433561976324282</v>
      </c>
      <c r="D35" s="226"/>
      <c r="E35" s="229">
        <v>4.7</v>
      </c>
      <c r="F35" s="229">
        <v>6.1284532475157798</v>
      </c>
      <c r="G35" s="226">
        <v>5.3437745292284813</v>
      </c>
      <c r="H35" s="232">
        <v>0.12988896019327054</v>
      </c>
      <c r="I35" s="232">
        <v>8.2787695441562531E-2</v>
      </c>
      <c r="J35" s="265">
        <v>0.10866138792632317</v>
      </c>
      <c r="K35" s="251"/>
    </row>
    <row r="36" spans="1:11">
      <c r="A36" s="176">
        <v>37468</v>
      </c>
      <c r="B36" s="229"/>
      <c r="C36" s="229">
        <v>3.7132106787865071</v>
      </c>
      <c r="D36" s="226"/>
      <c r="E36" s="229">
        <v>4.6416249076612228</v>
      </c>
      <c r="F36" s="229">
        <v>6.1375557951335198</v>
      </c>
      <c r="G36" s="226">
        <v>5.3558345068751123</v>
      </c>
      <c r="H36" s="232">
        <v>0.13258304595872</v>
      </c>
      <c r="I36" s="232">
        <v>8.9111053305752225E-2</v>
      </c>
      <c r="J36" s="265">
        <v>0.11182799991366651</v>
      </c>
      <c r="K36" s="251"/>
    </row>
    <row r="37" spans="1:11">
      <c r="A37" s="176">
        <v>37499</v>
      </c>
      <c r="B37" s="229">
        <v>2.6680000000000001</v>
      </c>
      <c r="C37" s="229">
        <v>3.7</v>
      </c>
      <c r="D37" s="226">
        <v>3.1684402541860521</v>
      </c>
      <c r="E37" s="229">
        <v>4.4000000000000004</v>
      </c>
      <c r="F37" s="229">
        <v>6.2</v>
      </c>
      <c r="G37" s="226">
        <v>5.2728609084640441</v>
      </c>
      <c r="H37" s="232">
        <v>0.126</v>
      </c>
      <c r="I37" s="232">
        <v>8.7999999999999995E-2</v>
      </c>
      <c r="J37" s="265">
        <v>0.10757293637687018</v>
      </c>
      <c r="K37" s="251"/>
    </row>
    <row r="38" spans="1:11">
      <c r="A38" s="176">
        <v>37529</v>
      </c>
      <c r="B38" s="229">
        <v>2.5</v>
      </c>
      <c r="C38" s="229">
        <v>3.6</v>
      </c>
      <c r="D38" s="226">
        <v>3.0465926795346689</v>
      </c>
      <c r="E38" s="229">
        <v>4.4000000000000004</v>
      </c>
      <c r="F38" s="229">
        <v>6.1</v>
      </c>
      <c r="G38" s="226">
        <v>5.244734141099034</v>
      </c>
      <c r="H38" s="232">
        <v>0.126</v>
      </c>
      <c r="I38" s="232">
        <v>8.8999999999999996E-2</v>
      </c>
      <c r="J38" s="265">
        <v>0.10761460987019747</v>
      </c>
      <c r="K38" s="251"/>
    </row>
    <row r="39" spans="1:11">
      <c r="A39" s="176">
        <v>37560</v>
      </c>
      <c r="B39" s="229">
        <v>2.4559869386957001</v>
      </c>
      <c r="C39" s="229">
        <v>3.687167604221504</v>
      </c>
      <c r="D39" s="226">
        <v>3.0579068288470959</v>
      </c>
      <c r="E39" s="229">
        <v>4.4557382977928244</v>
      </c>
      <c r="F39" s="229">
        <v>6.1430256571033262</v>
      </c>
      <c r="G39" s="226">
        <v>5.2806471437551474</v>
      </c>
      <c r="H39" s="232">
        <v>0.13182573919787199</v>
      </c>
      <c r="I39" s="232">
        <v>8.6748859133201447E-2</v>
      </c>
      <c r="J39" s="265">
        <v>0.10978781133185361</v>
      </c>
      <c r="K39" s="251"/>
    </row>
    <row r="40" spans="1:11">
      <c r="A40" s="176">
        <v>37590</v>
      </c>
      <c r="B40" s="229">
        <v>2.4205706349016922</v>
      </c>
      <c r="C40" s="229">
        <v>3.7164235265891103</v>
      </c>
      <c r="D40" s="226">
        <v>3.0517641276969849</v>
      </c>
      <c r="E40" s="229">
        <v>4.3659810637274656</v>
      </c>
      <c r="F40" s="229">
        <v>6.0546281954449768</v>
      </c>
      <c r="G40" s="226">
        <v>5.1884996443509159</v>
      </c>
      <c r="H40" s="232">
        <v>0.13612568222367</v>
      </c>
      <c r="I40" s="232">
        <v>8.6592980176842152E-2</v>
      </c>
      <c r="J40" s="265">
        <v>0.11199893187022986</v>
      </c>
      <c r="K40" s="251"/>
    </row>
    <row r="41" spans="1:11">
      <c r="A41" s="176">
        <v>37621</v>
      </c>
      <c r="B41" s="229">
        <v>2.2711277865428054</v>
      </c>
      <c r="C41" s="229">
        <v>3.9260774927944762</v>
      </c>
      <c r="D41" s="226">
        <v>3.0842252595970634</v>
      </c>
      <c r="E41" s="229">
        <v>3.9712876130430792</v>
      </c>
      <c r="F41" s="229">
        <v>6.3215440378917833</v>
      </c>
      <c r="G41" s="226">
        <v>5.1259979663880468</v>
      </c>
      <c r="H41" s="232">
        <v>0.14027745586986301</v>
      </c>
      <c r="I41" s="232">
        <v>8.7493455156504307E-2</v>
      </c>
      <c r="J41" s="265">
        <v>0.11434401666285945</v>
      </c>
      <c r="K41" s="251"/>
    </row>
    <row r="42" spans="1:11">
      <c r="A42" s="176">
        <v>37652</v>
      </c>
      <c r="B42" s="229">
        <v>2.2992898352536177</v>
      </c>
      <c r="C42" s="229">
        <v>4.1847376963846239</v>
      </c>
      <c r="D42" s="226">
        <v>3.2526130667689879</v>
      </c>
      <c r="E42" s="229">
        <v>4.1225017981887007</v>
      </c>
      <c r="F42" s="229">
        <v>7.0448631568679456</v>
      </c>
      <c r="G42" s="226">
        <v>5.6001109283826072</v>
      </c>
      <c r="H42" s="232">
        <v>0.14370323699701301</v>
      </c>
      <c r="I42" s="232">
        <v>8.7859419604590358E-2</v>
      </c>
      <c r="J42" s="265">
        <v>0.11546739470500517</v>
      </c>
      <c r="K42" s="251"/>
    </row>
    <row r="43" spans="1:11">
      <c r="A43" s="176">
        <v>37680</v>
      </c>
      <c r="B43" s="229">
        <v>2.3841893234342808</v>
      </c>
      <c r="C43" s="229">
        <v>4.0992796858521521</v>
      </c>
      <c r="D43" s="226">
        <v>3.2603862953328897</v>
      </c>
      <c r="E43" s="229">
        <v>4.1868664229379666</v>
      </c>
      <c r="F43" s="229">
        <v>7.0865035175247364</v>
      </c>
      <c r="G43" s="226">
        <v>5.6682188330232801</v>
      </c>
      <c r="H43" s="232">
        <v>0.14056651263206299</v>
      </c>
      <c r="I43" s="232">
        <v>8.7476350238489639E-2</v>
      </c>
      <c r="J43" s="265">
        <v>0.11344407025458045</v>
      </c>
      <c r="K43" s="251"/>
    </row>
    <row r="44" spans="1:11">
      <c r="A44" s="176">
        <v>37711</v>
      </c>
      <c r="B44" s="229">
        <v>2.5364557686727101</v>
      </c>
      <c r="C44" s="229">
        <v>4.1247744159748461</v>
      </c>
      <c r="D44" s="226">
        <v>3.3306785743588891</v>
      </c>
      <c r="E44" s="229">
        <v>4.3264358858722325</v>
      </c>
      <c r="F44" s="229">
        <v>7.0005851601305826</v>
      </c>
      <c r="G44" s="226">
        <v>5.6636174035939195</v>
      </c>
      <c r="H44" s="232">
        <v>0.146529626598872</v>
      </c>
      <c r="I44" s="232">
        <v>8.7030184461833665E-2</v>
      </c>
      <c r="J44" s="265">
        <v>0.11677752745232593</v>
      </c>
      <c r="K44" s="251"/>
    </row>
    <row r="45" spans="1:11">
      <c r="A45" s="176">
        <v>37741</v>
      </c>
      <c r="B45" s="229">
        <v>2.4745731051683135</v>
      </c>
      <c r="C45" s="229">
        <v>4.1247744159748461</v>
      </c>
      <c r="D45" s="226">
        <v>3.3054453592392754</v>
      </c>
      <c r="E45" s="229">
        <v>4.2253429914409422</v>
      </c>
      <c r="F45" s="229">
        <v>7.0005851601305826</v>
      </c>
      <c r="G45" s="226">
        <v>5.6226705182049077</v>
      </c>
      <c r="H45" s="232">
        <v>0.145139815972817</v>
      </c>
      <c r="I45" s="232">
        <v>8.7030184461833665E-2</v>
      </c>
      <c r="J45" s="265">
        <v>0.11588176109152121</v>
      </c>
      <c r="K45" s="251"/>
    </row>
    <row r="46" spans="1:11">
      <c r="A46" s="176">
        <v>37772</v>
      </c>
      <c r="B46" s="229">
        <v>2.4745731051683135</v>
      </c>
      <c r="C46" s="229">
        <v>4.1129205016195565</v>
      </c>
      <c r="D46" s="226">
        <v>3.2892236701707809</v>
      </c>
      <c r="E46" s="229">
        <v>4.1588029288305775</v>
      </c>
      <c r="F46" s="229">
        <v>6.8494136554067664</v>
      </c>
      <c r="G46" s="226">
        <v>5.4966800807427987</v>
      </c>
      <c r="H46" s="232">
        <v>0.14240303429339701</v>
      </c>
      <c r="I46" s="232">
        <v>8.5920353970143248E-2</v>
      </c>
      <c r="J46" s="265">
        <v>0.1143176309547274</v>
      </c>
      <c r="K46" s="251"/>
    </row>
    <row r="47" spans="1:11">
      <c r="A47" s="176">
        <v>37802</v>
      </c>
      <c r="B47" s="229">
        <v>2.6076986324505675</v>
      </c>
      <c r="C47" s="229">
        <v>4.030273029528308</v>
      </c>
      <c r="D47" s="226">
        <v>3.2950679799931288</v>
      </c>
      <c r="E47" s="229">
        <v>4.1910170797113295</v>
      </c>
      <c r="F47" s="229">
        <v>7.0757239348773986</v>
      </c>
      <c r="G47" s="226">
        <v>5.5848697126282829</v>
      </c>
      <c r="H47" s="232">
        <v>0.13745943150172901</v>
      </c>
      <c r="I47" s="232">
        <v>8.6158070580466234E-2</v>
      </c>
      <c r="J47" s="265">
        <v>0.11267128470467484</v>
      </c>
      <c r="K47" s="251"/>
    </row>
    <row r="48" spans="1:11">
      <c r="A48" s="176">
        <v>37833</v>
      </c>
      <c r="B48" s="229">
        <v>2.552882854068959</v>
      </c>
      <c r="C48" s="229">
        <v>4.0183317990862495</v>
      </c>
      <c r="D48" s="226">
        <v>3.2643657533603316</v>
      </c>
      <c r="E48" s="229">
        <v>4.0994058117273457</v>
      </c>
      <c r="F48" s="229">
        <v>7.2963865198623274</v>
      </c>
      <c r="G48" s="226">
        <v>5.651556168746863</v>
      </c>
      <c r="H48" s="232">
        <v>0.13314431391026901</v>
      </c>
      <c r="I48" s="232">
        <v>8.6130170667443148E-2</v>
      </c>
      <c r="J48" s="265">
        <v>0.11031870879052807</v>
      </c>
      <c r="K48" s="251"/>
    </row>
    <row r="49" spans="1:11">
      <c r="A49" s="176">
        <v>37864</v>
      </c>
      <c r="B49" s="229">
        <v>2.4329248897544691</v>
      </c>
      <c r="C49" s="229">
        <v>3.9574892482726067</v>
      </c>
      <c r="D49" s="226">
        <v>3.1718253586338996</v>
      </c>
      <c r="E49" s="229">
        <v>4.0680605198102686</v>
      </c>
      <c r="F49" s="229">
        <v>7.227133103743606</v>
      </c>
      <c r="G49" s="226">
        <v>5.5991472203818047</v>
      </c>
      <c r="H49" s="232">
        <v>0.13273108858058</v>
      </c>
      <c r="I49" s="232">
        <v>8.8545902066418353E-2</v>
      </c>
      <c r="J49" s="265">
        <v>0.11131614807615084</v>
      </c>
      <c r="K49" s="251"/>
    </row>
    <row r="50" spans="1:11">
      <c r="A50" s="176">
        <v>37894</v>
      </c>
      <c r="B50" s="229">
        <v>2.3924312869340469</v>
      </c>
      <c r="C50" s="229">
        <v>3.840289266268214</v>
      </c>
      <c r="D50" s="226">
        <v>3.1061314735956644</v>
      </c>
      <c r="E50" s="229">
        <v>4.0042166383287112</v>
      </c>
      <c r="F50" s="229">
        <v>7.1803008638857264</v>
      </c>
      <c r="G50" s="226">
        <v>5.5698204040209038</v>
      </c>
      <c r="H50" s="232">
        <v>0.129955935647661</v>
      </c>
      <c r="I50" s="232">
        <v>8.5707901282954913E-2</v>
      </c>
      <c r="J50" s="265">
        <v>0.1081445212435886</v>
      </c>
      <c r="K50" s="251"/>
    </row>
    <row r="51" spans="1:11">
      <c r="A51" s="176">
        <v>37925</v>
      </c>
      <c r="B51" s="229">
        <v>2.4045995903607857</v>
      </c>
      <c r="C51" s="229">
        <v>3.8492302624246171</v>
      </c>
      <c r="D51" s="226">
        <v>3.1172523046872316</v>
      </c>
      <c r="E51" s="229">
        <v>4.0241847163112583</v>
      </c>
      <c r="F51" s="229">
        <v>7.1473890512964395</v>
      </c>
      <c r="G51" s="226">
        <v>5.5648968787794288</v>
      </c>
      <c r="H51" s="232">
        <v>0.12842933809483301</v>
      </c>
      <c r="I51" s="232">
        <v>8.5859688106006873E-2</v>
      </c>
      <c r="J51" s="265">
        <v>0.10742924637649572</v>
      </c>
      <c r="K51" s="251"/>
    </row>
    <row r="52" spans="1:11">
      <c r="A52" s="176">
        <v>37955</v>
      </c>
      <c r="B52" s="229">
        <v>2.394562973138739</v>
      </c>
      <c r="C52" s="229">
        <v>4.1083239782776957</v>
      </c>
      <c r="D52" s="226">
        <v>3.2321713024856087</v>
      </c>
      <c r="E52" s="229">
        <v>3.9846213540446369</v>
      </c>
      <c r="F52" s="229">
        <v>7.1648645334413645</v>
      </c>
      <c r="G52" s="226">
        <v>5.5389793820447437</v>
      </c>
      <c r="H52" s="232">
        <v>0.12652602815456401</v>
      </c>
      <c r="I52" s="232">
        <v>8.9861548713594447E-2</v>
      </c>
      <c r="J52" s="265">
        <v>0.10860610041736293</v>
      </c>
      <c r="K52" s="251"/>
    </row>
    <row r="53" spans="1:11">
      <c r="A53" s="176">
        <v>37986</v>
      </c>
      <c r="B53" s="229">
        <v>2.3322475692128002</v>
      </c>
      <c r="C53" s="229">
        <v>4.2409939245656734</v>
      </c>
      <c r="D53" s="226">
        <v>3.2530776504501793</v>
      </c>
      <c r="E53" s="229">
        <v>3.9155259295475378</v>
      </c>
      <c r="F53" s="229">
        <v>7.2348472742686338</v>
      </c>
      <c r="G53" s="226">
        <v>5.5168549562884568</v>
      </c>
      <c r="H53" s="232">
        <v>0.12359831300735399</v>
      </c>
      <c r="I53" s="232">
        <v>9.1048824268198561E-2</v>
      </c>
      <c r="J53" s="265">
        <v>0.10789557268470355</v>
      </c>
      <c r="K53" s="251"/>
    </row>
    <row r="54" spans="1:11">
      <c r="A54" s="176">
        <v>38017</v>
      </c>
      <c r="B54" s="229">
        <v>2.3964966506883121</v>
      </c>
      <c r="C54" s="229">
        <v>4.2933745961454717</v>
      </c>
      <c r="D54" s="226">
        <v>3.3090233632796568</v>
      </c>
      <c r="E54" s="229">
        <v>3.9185657200269448</v>
      </c>
      <c r="F54" s="229">
        <v>7.6205677382381376</v>
      </c>
      <c r="G54" s="226">
        <v>5.6994793205963381</v>
      </c>
      <c r="H54" s="232">
        <v>0.122009943857583</v>
      </c>
      <c r="I54" s="232">
        <v>8.9439296333147691E-2</v>
      </c>
      <c r="J54" s="265">
        <v>0.1063412573278963</v>
      </c>
      <c r="K54" s="251"/>
    </row>
    <row r="55" spans="1:11">
      <c r="A55" s="176">
        <v>38046</v>
      </c>
      <c r="B55" s="229">
        <v>2.4193303494122067</v>
      </c>
      <c r="C55" s="229">
        <v>4.3989813300062215</v>
      </c>
      <c r="D55" s="226">
        <v>3.348514749796184</v>
      </c>
      <c r="E55" s="229">
        <v>3.8681925889077133</v>
      </c>
      <c r="F55" s="229">
        <v>7.5785945897928313</v>
      </c>
      <c r="G55" s="226">
        <v>5.6097357660496989</v>
      </c>
      <c r="H55" s="232">
        <v>0.12205280142208701</v>
      </c>
      <c r="I55" s="232">
        <v>8.9158741678120879E-2</v>
      </c>
      <c r="J55" s="265">
        <v>0.10661338938480927</v>
      </c>
      <c r="K55" s="251"/>
    </row>
    <row r="56" spans="1:11">
      <c r="A56" s="176">
        <v>38077</v>
      </c>
      <c r="B56" s="229">
        <v>2.4125172290415069</v>
      </c>
      <c r="C56" s="229">
        <v>4.170935076875721</v>
      </c>
      <c r="D56" s="226">
        <v>3.2177971421205074</v>
      </c>
      <c r="E56" s="229">
        <v>3.8294223426591074</v>
      </c>
      <c r="F56" s="229">
        <v>7.5450962200637912</v>
      </c>
      <c r="G56" s="226">
        <v>5.5310415230556771</v>
      </c>
      <c r="H56" s="232">
        <v>0.121540690806377</v>
      </c>
      <c r="I56" s="232">
        <v>8.9588287327559676E-2</v>
      </c>
      <c r="J56" s="265">
        <v>0.1069078612273445</v>
      </c>
      <c r="K56" s="251"/>
    </row>
    <row r="57" spans="1:11">
      <c r="A57" s="176">
        <v>38107</v>
      </c>
      <c r="B57" s="229">
        <v>2.4330944163831183</v>
      </c>
      <c r="C57" s="229">
        <v>4.366156228457629</v>
      </c>
      <c r="D57" s="226">
        <v>3.3106785581934703</v>
      </c>
      <c r="E57" s="229">
        <v>3.8348595074191771</v>
      </c>
      <c r="F57" s="229">
        <v>7.464941615017497</v>
      </c>
      <c r="G57" s="226">
        <v>5.4828681076609733</v>
      </c>
      <c r="H57" s="232">
        <v>0.11832492422674901</v>
      </c>
      <c r="I57" s="232">
        <v>8.6111240294086108E-2</v>
      </c>
      <c r="J57" s="265">
        <v>0.10370034368203428</v>
      </c>
      <c r="K57" s="251"/>
    </row>
    <row r="58" spans="1:11">
      <c r="A58" s="176">
        <v>38138</v>
      </c>
      <c r="B58" s="229">
        <v>2.4819571750930969</v>
      </c>
      <c r="C58" s="229">
        <v>4.3543978704258972</v>
      </c>
      <c r="D58" s="226">
        <v>3.3511075581587297</v>
      </c>
      <c r="E58" s="229">
        <v>3.8348595074191771</v>
      </c>
      <c r="F58" s="229">
        <v>7.3766227173275434</v>
      </c>
      <c r="G58" s="226">
        <v>5.478876782995691</v>
      </c>
      <c r="H58" s="232">
        <v>0.117786732447844</v>
      </c>
      <c r="I58" s="232">
        <v>8.5954488600808968E-2</v>
      </c>
      <c r="J58" s="265">
        <v>0.10301082685977853</v>
      </c>
      <c r="K58" s="251"/>
    </row>
    <row r="59" spans="1:11">
      <c r="A59" s="176">
        <v>38168</v>
      </c>
      <c r="B59" s="229">
        <v>2.5947612387463468</v>
      </c>
      <c r="C59" s="229">
        <v>4.2911589630727063</v>
      </c>
      <c r="D59" s="226">
        <v>3.3873606527862314</v>
      </c>
      <c r="E59" s="229">
        <v>3.9029828562597126</v>
      </c>
      <c r="F59" s="229">
        <v>7.2899922111234092</v>
      </c>
      <c r="G59" s="226">
        <v>5.4854782767122527</v>
      </c>
      <c r="H59" s="232">
        <v>0.12127637837367</v>
      </c>
      <c r="I59" s="232">
        <v>8.5951179620601142E-2</v>
      </c>
      <c r="J59" s="265">
        <v>0.10477156265090479</v>
      </c>
      <c r="K59" s="251"/>
    </row>
    <row r="60" spans="1:11">
      <c r="A60" s="176">
        <v>38199</v>
      </c>
      <c r="B60" s="229">
        <v>2.5458557343674943</v>
      </c>
      <c r="C60" s="229">
        <v>4.2113411678344255</v>
      </c>
      <c r="D60" s="226">
        <v>3.2982955087229362</v>
      </c>
      <c r="E60" s="229">
        <v>3.8287396667144504</v>
      </c>
      <c r="F60" s="229">
        <v>7.2485872387376116</v>
      </c>
      <c r="G60" s="226">
        <v>5.3737722942689237</v>
      </c>
      <c r="H60" s="232">
        <v>0.12024255827694599</v>
      </c>
      <c r="I60" s="232">
        <v>8.5855193415460301E-2</v>
      </c>
      <c r="J60" s="265">
        <v>0.10470689489789531</v>
      </c>
      <c r="K60" s="251"/>
    </row>
    <row r="61" spans="1:11">
      <c r="A61" s="176">
        <v>38230</v>
      </c>
      <c r="B61" s="229">
        <v>2.5125051400647203</v>
      </c>
      <c r="C61" s="229">
        <v>4.2783346708473129</v>
      </c>
      <c r="D61" s="226">
        <v>3.2928977642574271</v>
      </c>
      <c r="E61" s="229">
        <v>3.7356040619755078</v>
      </c>
      <c r="F61" s="229">
        <v>7.1510132618948088</v>
      </c>
      <c r="G61" s="226">
        <v>5.2450137200163285</v>
      </c>
      <c r="H61" s="232">
        <v>0.118480824173318</v>
      </c>
      <c r="I61" s="232">
        <v>8.5103100256121486E-2</v>
      </c>
      <c r="J61" s="265">
        <v>0.10372983654781563</v>
      </c>
      <c r="K61" s="251"/>
    </row>
    <row r="62" spans="1:11">
      <c r="A62" s="176">
        <v>38260</v>
      </c>
      <c r="B62" s="229">
        <v>2.5302588782653768</v>
      </c>
      <c r="C62" s="229">
        <v>4.2155727702027841</v>
      </c>
      <c r="D62" s="226">
        <v>3.2874467943596217</v>
      </c>
      <c r="E62" s="229">
        <v>3.7796489964764106</v>
      </c>
      <c r="F62" s="229">
        <v>7.1588775452505766</v>
      </c>
      <c r="G62" s="226">
        <v>5.2978890318154885</v>
      </c>
      <c r="H62" s="232">
        <v>0.120240352497941</v>
      </c>
      <c r="I62" s="232">
        <v>8.528741338030256E-2</v>
      </c>
      <c r="J62" s="265">
        <v>0.10453648673236017</v>
      </c>
      <c r="K62" s="251"/>
    </row>
    <row r="63" spans="1:11">
      <c r="A63" s="176">
        <v>38291</v>
      </c>
      <c r="B63" s="229">
        <v>2.4996341442264565</v>
      </c>
      <c r="C63" s="229">
        <v>3.9388858753893445</v>
      </c>
      <c r="D63" s="226">
        <v>3.1425745220441819</v>
      </c>
      <c r="E63" s="229">
        <v>3.7442312377069205</v>
      </c>
      <c r="F63" s="229">
        <v>7.1197512585132099</v>
      </c>
      <c r="G63" s="226">
        <v>5.2521384859788842</v>
      </c>
      <c r="H63" s="232">
        <v>0.119907657066626</v>
      </c>
      <c r="I63" s="232">
        <v>8.2803456196152869E-2</v>
      </c>
      <c r="J63" s="265">
        <v>0.10333252402369977</v>
      </c>
      <c r="K63" s="251"/>
    </row>
    <row r="64" spans="1:11">
      <c r="A64" s="176">
        <v>38321</v>
      </c>
      <c r="B64" s="229">
        <v>2.464489581066295</v>
      </c>
      <c r="C64" s="229">
        <v>3.6119755416813732</v>
      </c>
      <c r="D64" s="226">
        <v>2.976398758616726</v>
      </c>
      <c r="E64" s="229">
        <v>3.7081083101531771</v>
      </c>
      <c r="F64" s="229">
        <v>7.0423801927136518</v>
      </c>
      <c r="G64" s="226">
        <v>5.1955725892073215</v>
      </c>
      <c r="H64" s="232">
        <v>0.121193239210153</v>
      </c>
      <c r="I64" s="232">
        <v>8.6165396573857231E-2</v>
      </c>
      <c r="J64" s="265">
        <v>0.10556683964557739</v>
      </c>
      <c r="K64" s="251"/>
    </row>
    <row r="65" spans="1:11">
      <c r="A65" s="176">
        <v>38352</v>
      </c>
      <c r="B65" s="229">
        <v>2.4341177816628843</v>
      </c>
      <c r="C65" s="229">
        <v>3.803095939403307</v>
      </c>
      <c r="D65" s="226">
        <v>3.0328846395440494</v>
      </c>
      <c r="E65" s="229">
        <v>3.6687237460753623</v>
      </c>
      <c r="F65" s="229">
        <v>6.9533414391977315</v>
      </c>
      <c r="G65" s="226">
        <v>5.1053574895223335</v>
      </c>
      <c r="H65" s="232">
        <v>0.119934480336401</v>
      </c>
      <c r="I65" s="232">
        <v>8.6660746943301364E-2</v>
      </c>
      <c r="J65" s="265">
        <v>0.10538113725995171</v>
      </c>
      <c r="K65" s="251"/>
    </row>
    <row r="66" spans="1:11">
      <c r="A66" s="176">
        <v>38383</v>
      </c>
      <c r="B66" s="229">
        <v>2.4802521166734293</v>
      </c>
      <c r="C66" s="229">
        <v>3.9425145427851649</v>
      </c>
      <c r="D66" s="226">
        <v>3.0995877249802239</v>
      </c>
      <c r="E66" s="229">
        <v>3.9099211781890579</v>
      </c>
      <c r="F66" s="229">
        <v>7.0497076283358151</v>
      </c>
      <c r="G66" s="226">
        <v>5.2397656139965623</v>
      </c>
      <c r="H66" s="232">
        <v>0.12098721865329901</v>
      </c>
      <c r="I66" s="232">
        <v>8.4195230423858139E-2</v>
      </c>
      <c r="J66" s="265">
        <v>0.10540411400395885</v>
      </c>
      <c r="K66" s="251"/>
    </row>
    <row r="67" spans="1:11">
      <c r="A67" s="176">
        <v>38411</v>
      </c>
      <c r="B67" s="229">
        <v>2.533402787837733</v>
      </c>
      <c r="C67" s="229">
        <v>3.8460627889426307</v>
      </c>
      <c r="D67" s="226">
        <v>3.0802736562057591</v>
      </c>
      <c r="E67" s="229">
        <v>3.9071624573896027</v>
      </c>
      <c r="F67" s="229">
        <v>6.9191463579784571</v>
      </c>
      <c r="G67" s="226">
        <v>5.1619932969360818</v>
      </c>
      <c r="H67" s="232">
        <v>0.119026740989812</v>
      </c>
      <c r="I67" s="232">
        <v>8.012552778668984E-2</v>
      </c>
      <c r="J67" s="265">
        <v>0.10282000030520644</v>
      </c>
      <c r="K67" s="251"/>
    </row>
    <row r="68" spans="1:11">
      <c r="A68" s="176">
        <v>38442</v>
      </c>
      <c r="B68" s="229">
        <v>2.5465509811186275</v>
      </c>
      <c r="C68" s="229">
        <v>4.0767352577700109</v>
      </c>
      <c r="D68" s="226">
        <v>3.1809044457242708</v>
      </c>
      <c r="E68" s="229">
        <v>3.9266857964292701</v>
      </c>
      <c r="F68" s="229">
        <v>6.8845239462814085</v>
      </c>
      <c r="G68" s="226">
        <v>5.1528877034358755</v>
      </c>
      <c r="H68" s="232">
        <v>0.11779111136290001</v>
      </c>
      <c r="I68" s="232">
        <v>7.9169886917011337E-2</v>
      </c>
      <c r="J68" s="265">
        <v>0.10178028971978673</v>
      </c>
      <c r="K68" s="251"/>
    </row>
    <row r="69" spans="1:11">
      <c r="A69" s="176">
        <v>38472</v>
      </c>
      <c r="B69" s="229">
        <v>2.5380685600786763</v>
      </c>
      <c r="C69" s="229">
        <v>4.3032893237274275</v>
      </c>
      <c r="D69" s="226">
        <v>3.2190570427063294</v>
      </c>
      <c r="E69" s="229">
        <v>3.852904204835693</v>
      </c>
      <c r="F69" s="229">
        <v>7.2984856100610038</v>
      </c>
      <c r="G69" s="226">
        <v>5.1821437544908742</v>
      </c>
      <c r="H69" s="232">
        <v>0.117239095528116</v>
      </c>
      <c r="I69" s="232">
        <v>8.0517336204794426E-2</v>
      </c>
      <c r="J69" s="265">
        <v>0.10307254158994658</v>
      </c>
      <c r="K69" s="251"/>
    </row>
    <row r="70" spans="1:11">
      <c r="A70" s="176">
        <v>38503</v>
      </c>
      <c r="B70" s="229">
        <v>2.561149420235747</v>
      </c>
      <c r="C70" s="229">
        <v>4.1036377285009911</v>
      </c>
      <c r="D70" s="226">
        <v>3.1548807393397778</v>
      </c>
      <c r="E70" s="229">
        <v>3.8658550514157755</v>
      </c>
      <c r="F70" s="229">
        <v>7.2949008266279449</v>
      </c>
      <c r="G70" s="226">
        <v>5.1857560584286135</v>
      </c>
      <c r="H70" s="232">
        <v>0.116490078883806</v>
      </c>
      <c r="I70" s="232">
        <v>8.1946165462579698E-2</v>
      </c>
      <c r="J70" s="265">
        <v>0.10319350919656707</v>
      </c>
      <c r="K70" s="251"/>
    </row>
    <row r="71" spans="1:11">
      <c r="A71" s="176">
        <v>38533</v>
      </c>
      <c r="B71" s="229">
        <v>2.6533243326458313</v>
      </c>
      <c r="C71" s="229">
        <v>4.4089926828397914</v>
      </c>
      <c r="D71" s="226">
        <v>3.3074508497225459</v>
      </c>
      <c r="E71" s="229">
        <v>3.9205166722949727</v>
      </c>
      <c r="F71" s="229">
        <v>7.3364935537929759</v>
      </c>
      <c r="G71" s="226">
        <v>5.1932405666808386</v>
      </c>
      <c r="H71" s="232">
        <v>0.116019573699853</v>
      </c>
      <c r="I71" s="232">
        <v>8.3833008448255891E-2</v>
      </c>
      <c r="J71" s="265">
        <v>0.1040275104936309</v>
      </c>
      <c r="K71" s="251"/>
    </row>
    <row r="72" spans="1:11">
      <c r="A72" s="176">
        <v>38564</v>
      </c>
      <c r="B72" s="229">
        <v>2.6222280346067124</v>
      </c>
      <c r="C72" s="229">
        <v>4.4822880008642763</v>
      </c>
      <c r="D72" s="226">
        <v>3.3140131926301994</v>
      </c>
      <c r="E72" s="229">
        <v>3.8572123662253586</v>
      </c>
      <c r="F72" s="229">
        <v>7.473389635653251</v>
      </c>
      <c r="G72" s="226">
        <v>5.2021247933259556</v>
      </c>
      <c r="H72" s="232">
        <v>0.115738160910176</v>
      </c>
      <c r="I72" s="232">
        <v>8.2975242741726088E-2</v>
      </c>
      <c r="J72" s="265">
        <v>0.10355312336642766</v>
      </c>
      <c r="K72" s="251"/>
    </row>
    <row r="73" spans="1:11">
      <c r="A73" s="176">
        <v>38595</v>
      </c>
      <c r="B73" s="229">
        <v>2.5925544324642305</v>
      </c>
      <c r="C73" s="229">
        <v>4.4964176604900992</v>
      </c>
      <c r="D73" s="226">
        <v>3.3022647710576112</v>
      </c>
      <c r="E73" s="229">
        <v>3.8297599008025314</v>
      </c>
      <c r="F73" s="229">
        <v>7.361782209467127</v>
      </c>
      <c r="G73" s="226">
        <v>5.146405294075322</v>
      </c>
      <c r="H73" s="232">
        <v>0.11584035482697699</v>
      </c>
      <c r="I73" s="232">
        <v>8.114659581597955E-2</v>
      </c>
      <c r="J73" s="265">
        <v>0.10290743029105671</v>
      </c>
      <c r="K73" s="251"/>
    </row>
    <row r="74" spans="1:11">
      <c r="A74" s="176">
        <v>38625</v>
      </c>
      <c r="B74" s="229">
        <v>2.6844294267884683</v>
      </c>
      <c r="C74" s="229">
        <v>4.6369155655193319</v>
      </c>
      <c r="D74" s="226">
        <v>3.3935978911421696</v>
      </c>
      <c r="E74" s="229">
        <v>3.8681907376704951</v>
      </c>
      <c r="F74" s="229">
        <v>7.6037028898202328</v>
      </c>
      <c r="G74" s="226">
        <v>5.2249775357763024</v>
      </c>
      <c r="H74" s="232">
        <v>0.11664404552288</v>
      </c>
      <c r="I74" s="232">
        <v>7.7239147542108033E-2</v>
      </c>
      <c r="J74" s="265">
        <v>0.10233167196247014</v>
      </c>
      <c r="K74" s="251"/>
    </row>
    <row r="75" spans="1:11">
      <c r="A75" s="176">
        <v>38656</v>
      </c>
      <c r="B75" s="229">
        <v>2.6273930677020543</v>
      </c>
      <c r="C75" s="229">
        <v>4.5883499706360773</v>
      </c>
      <c r="D75" s="226">
        <v>3.3179699984894269</v>
      </c>
      <c r="E75" s="229">
        <v>3.8372107712946519</v>
      </c>
      <c r="F75" s="229">
        <v>7.8023280092246496</v>
      </c>
      <c r="G75" s="226">
        <v>5.233579293358968</v>
      </c>
      <c r="H75" s="232">
        <v>0.116812693811933</v>
      </c>
      <c r="I75" s="232">
        <v>7.4959709222038651E-2</v>
      </c>
      <c r="J75" s="265">
        <v>0.10207361127567961</v>
      </c>
      <c r="K75" s="251"/>
    </row>
    <row r="76" spans="1:11">
      <c r="A76" s="176">
        <v>38686</v>
      </c>
      <c r="B76" s="229">
        <v>2.6676592276950668</v>
      </c>
      <c r="C76" s="229">
        <v>4.7247310502941193</v>
      </c>
      <c r="D76" s="226">
        <v>3.3806711264961198</v>
      </c>
      <c r="E76" s="229">
        <v>3.8812297471744834</v>
      </c>
      <c r="F76" s="229">
        <v>7.7854221061833959</v>
      </c>
      <c r="G76" s="226">
        <v>5.2344812849182336</v>
      </c>
      <c r="H76" s="232">
        <v>0.115867222513464</v>
      </c>
      <c r="I76" s="232">
        <v>7.5090218880799323E-2</v>
      </c>
      <c r="J76" s="265">
        <v>0.101733302410077</v>
      </c>
      <c r="K76" s="251"/>
    </row>
    <row r="77" spans="1:11">
      <c r="A77" s="176">
        <v>38717</v>
      </c>
      <c r="B77" s="229">
        <v>2.6039799486358501</v>
      </c>
      <c r="C77" s="229">
        <v>4.6965430707661788</v>
      </c>
      <c r="D77" s="226">
        <v>3.3363341079749214</v>
      </c>
      <c r="E77" s="229">
        <v>3.8177093693326669</v>
      </c>
      <c r="F77" s="229">
        <v>7.8403210778369843</v>
      </c>
      <c r="G77" s="226">
        <v>5.2255409348292634</v>
      </c>
      <c r="H77" s="232">
        <v>0.114178174630527</v>
      </c>
      <c r="I77" s="232">
        <v>7.3949808556148966E-2</v>
      </c>
      <c r="J77" s="265">
        <v>0.10009907187543667</v>
      </c>
      <c r="K77" s="251"/>
    </row>
    <row r="78" spans="1:11">
      <c r="A78" s="176">
        <v>38748</v>
      </c>
      <c r="B78" s="229">
        <v>2.6055098356267035</v>
      </c>
      <c r="C78" s="229">
        <v>4.7573593020980462</v>
      </c>
      <c r="D78" s="226">
        <v>3.3462667941265858</v>
      </c>
      <c r="E78" s="229">
        <v>3.7978769509477108</v>
      </c>
      <c r="F78" s="229">
        <v>7.9113934206513932</v>
      </c>
      <c r="G78" s="226">
        <v>5.2139220769265329</v>
      </c>
      <c r="H78" s="232">
        <v>0.11341476360854499</v>
      </c>
      <c r="I78" s="232">
        <v>7.2966530825551199E-2</v>
      </c>
      <c r="J78" s="265">
        <v>9.9490783162943158E-2</v>
      </c>
      <c r="K78" s="251"/>
    </row>
    <row r="79" spans="1:11">
      <c r="A79" s="176">
        <v>38776</v>
      </c>
      <c r="B79" s="229">
        <v>2.6431636519133574</v>
      </c>
      <c r="C79" s="229">
        <v>4.7515617486757113</v>
      </c>
      <c r="D79" s="226">
        <v>3.3518715478884236</v>
      </c>
      <c r="E79" s="229">
        <v>3.7792967777073723</v>
      </c>
      <c r="F79" s="229">
        <v>7.8453631074695513</v>
      </c>
      <c r="G79" s="226">
        <v>5.1460468795433894</v>
      </c>
      <c r="H79" s="232">
        <v>0.112238031452293</v>
      </c>
      <c r="I79" s="232">
        <v>7.2667629739339115E-2</v>
      </c>
      <c r="J79" s="265">
        <v>9.893700628824087E-2</v>
      </c>
      <c r="K79" s="251"/>
    </row>
    <row r="80" spans="1:11">
      <c r="A80" s="176">
        <v>38807</v>
      </c>
      <c r="B80" s="229">
        <v>2.6085484097326179</v>
      </c>
      <c r="C80" s="229">
        <v>4.8621033790738304</v>
      </c>
      <c r="D80" s="226">
        <v>3.3449090873988885</v>
      </c>
      <c r="E80" s="229">
        <v>3.7633980198522434</v>
      </c>
      <c r="F80" s="229">
        <v>7.9812677127448248</v>
      </c>
      <c r="G80" s="226">
        <v>5.1416086371305756</v>
      </c>
      <c r="H80" s="232">
        <v>0.110952273772643</v>
      </c>
      <c r="I80" s="232">
        <v>7.9938395896056239E-2</v>
      </c>
      <c r="J80" s="265">
        <v>0.10081832965281595</v>
      </c>
      <c r="K80" s="251"/>
    </row>
    <row r="81" spans="1:11">
      <c r="A81" s="176">
        <v>38837</v>
      </c>
      <c r="B81" s="229">
        <v>2.6946197208099245</v>
      </c>
      <c r="C81" s="229">
        <v>4.8621033790738304</v>
      </c>
      <c r="D81" s="226">
        <v>3.4332119382267985</v>
      </c>
      <c r="E81" s="229">
        <v>3.8749461866335819</v>
      </c>
      <c r="F81" s="229">
        <v>7.9651868136962358</v>
      </c>
      <c r="G81" s="226">
        <v>5.2687374998887613</v>
      </c>
      <c r="H81" s="232">
        <v>0.113695472423979</v>
      </c>
      <c r="I81" s="232">
        <v>7.9938395896056239E-2</v>
      </c>
      <c r="J81" s="265">
        <v>0.10219240345678782</v>
      </c>
      <c r="K81" s="251"/>
    </row>
    <row r="82" spans="1:11">
      <c r="A82" s="176">
        <v>38868</v>
      </c>
      <c r="B82" s="229">
        <v>2.651624090922855</v>
      </c>
      <c r="C82" s="229">
        <v>5.0018300856773932</v>
      </c>
      <c r="D82" s="226">
        <v>3.4726273506249941</v>
      </c>
      <c r="E82" s="229">
        <v>3.8797475328627438</v>
      </c>
      <c r="F82" s="229">
        <v>7.904867275305973</v>
      </c>
      <c r="G82" s="226">
        <v>5.285852545194853</v>
      </c>
      <c r="H82" s="232">
        <v>0.11411634261206199</v>
      </c>
      <c r="I82" s="232">
        <v>7.9938395896056239E-2</v>
      </c>
      <c r="J82" s="265">
        <v>0.10217687614555021</v>
      </c>
      <c r="K82" s="251"/>
    </row>
    <row r="83" spans="1:11">
      <c r="A83" s="176">
        <v>38898</v>
      </c>
      <c r="B83" s="229">
        <v>2.6395938008938553</v>
      </c>
      <c r="C83" s="229">
        <v>5.0018300856773932</v>
      </c>
      <c r="D83" s="226">
        <v>3.4680891775585585</v>
      </c>
      <c r="E83" s="229">
        <v>3.8778879147142615</v>
      </c>
      <c r="F83" s="229">
        <v>7.9909273096650626</v>
      </c>
      <c r="G83" s="226">
        <v>5.3204337534633197</v>
      </c>
      <c r="H83" s="232">
        <v>0.113789808881191</v>
      </c>
      <c r="I83" s="232">
        <v>7.9938395896056239E-2</v>
      </c>
      <c r="J83" s="265">
        <v>0.10191727126401458</v>
      </c>
      <c r="K83" s="251"/>
    </row>
    <row r="84" spans="1:11">
      <c r="A84" s="176">
        <v>38929</v>
      </c>
      <c r="B84" s="229">
        <v>2.7998867563436063</v>
      </c>
      <c r="C84" s="229">
        <v>5.1128623625110334</v>
      </c>
      <c r="D84" s="226">
        <v>3.6096285281207816</v>
      </c>
      <c r="E84" s="229">
        <v>3.9987047163125364</v>
      </c>
      <c r="F84" s="229">
        <v>7.9909273096650626</v>
      </c>
      <c r="G84" s="226">
        <v>5.39632836069962</v>
      </c>
      <c r="H84" s="232">
        <v>0.113293195613495</v>
      </c>
      <c r="I84" s="232">
        <v>7.9483853401987714E-2</v>
      </c>
      <c r="J84" s="265">
        <v>0.10145699786373583</v>
      </c>
      <c r="K84" s="251"/>
    </row>
    <row r="85" spans="1:11">
      <c r="A85" s="176">
        <v>38960</v>
      </c>
      <c r="B85" s="229">
        <v>2.7241058917514773</v>
      </c>
      <c r="C85" s="229">
        <v>5.0348806808126598</v>
      </c>
      <c r="D85" s="226">
        <v>3.5273701462413793</v>
      </c>
      <c r="E85" s="229">
        <v>3.8928405246072604</v>
      </c>
      <c r="F85" s="229">
        <v>8.0556720724947244</v>
      </c>
      <c r="G85" s="226">
        <v>5.3399109166290657</v>
      </c>
      <c r="H85" s="232">
        <v>0.117403944784647</v>
      </c>
      <c r="I85" s="232">
        <v>7.8219442986772553E-2</v>
      </c>
      <c r="J85" s="265">
        <v>0.10378275167953456</v>
      </c>
      <c r="K85" s="251"/>
    </row>
    <row r="86" spans="1:11">
      <c r="A86" s="176">
        <v>38990</v>
      </c>
      <c r="B86" s="229">
        <v>2.8422138396673087</v>
      </c>
      <c r="C86" s="229">
        <v>5.3015728799044144</v>
      </c>
      <c r="D86" s="226">
        <v>3.731754955834274</v>
      </c>
      <c r="E86" s="229">
        <v>3.9885610272122056</v>
      </c>
      <c r="F86" s="229">
        <v>8.8707982203925528</v>
      </c>
      <c r="G86" s="226">
        <v>5.7544482568355857</v>
      </c>
      <c r="H86" s="232">
        <v>0.11765353629094499</v>
      </c>
      <c r="I86" s="232">
        <v>7.5344822941357595E-2</v>
      </c>
      <c r="J86" s="265">
        <v>0.10235063033828191</v>
      </c>
      <c r="K86" s="251"/>
    </row>
    <row r="87" spans="1:11">
      <c r="A87" s="176">
        <v>39021</v>
      </c>
      <c r="B87" s="229">
        <v>2.7890971195061383</v>
      </c>
      <c r="C87" s="229">
        <v>5.2412418751248397</v>
      </c>
      <c r="D87" s="226">
        <v>3.659638445065986</v>
      </c>
      <c r="E87" s="229">
        <v>3.9146565495303731</v>
      </c>
      <c r="F87" s="229">
        <v>8.8096740678831615</v>
      </c>
      <c r="G87" s="226">
        <v>5.6524475299777484</v>
      </c>
      <c r="H87" s="232">
        <v>0.11625846265664</v>
      </c>
      <c r="I87" s="232">
        <v>7.4970901158693412E-2</v>
      </c>
      <c r="J87" s="265">
        <v>0.10160087426052286</v>
      </c>
      <c r="K87" s="251"/>
    </row>
    <row r="88" spans="1:11">
      <c r="A88" s="176">
        <v>39051</v>
      </c>
      <c r="B88" s="229">
        <v>2.8117568094638585</v>
      </c>
      <c r="C88" s="229">
        <v>5.3499685535628716</v>
      </c>
      <c r="D88" s="226">
        <v>3.7227653865990056</v>
      </c>
      <c r="E88" s="229">
        <v>3.9664782629054391</v>
      </c>
      <c r="F88" s="229">
        <v>9.1829865437309675</v>
      </c>
      <c r="G88" s="226">
        <v>5.8387742987176487</v>
      </c>
      <c r="H88" s="232">
        <v>0.116504280696152</v>
      </c>
      <c r="I88" s="232">
        <v>7.4634369389636884E-2</v>
      </c>
      <c r="J88" s="265">
        <v>0.10147643740734749</v>
      </c>
      <c r="K88" s="251"/>
    </row>
    <row r="89" spans="1:11">
      <c r="A89" s="176">
        <v>39082</v>
      </c>
      <c r="B89" s="229">
        <v>2.7361732938731809</v>
      </c>
      <c r="C89" s="229">
        <v>5.3499685535628716</v>
      </c>
      <c r="D89" s="226">
        <v>3.6716070644419707</v>
      </c>
      <c r="E89" s="229">
        <v>3.8739406115174879</v>
      </c>
      <c r="F89" s="229">
        <v>9.1829865437309675</v>
      </c>
      <c r="G89" s="226">
        <v>5.7739596876416623</v>
      </c>
      <c r="H89" s="232">
        <v>0.11646714450710199</v>
      </c>
      <c r="I89" s="232">
        <v>7.4426063545062579E-2</v>
      </c>
      <c r="J89" s="265">
        <v>0.10142134214851284</v>
      </c>
      <c r="K89" s="251"/>
    </row>
    <row r="90" spans="1:11">
      <c r="A90" s="176">
        <v>39113</v>
      </c>
      <c r="B90" s="229">
        <v>2.7546979314845359</v>
      </c>
      <c r="C90" s="229">
        <v>5.3069916121589378</v>
      </c>
      <c r="D90" s="226">
        <v>3.6610488650733171</v>
      </c>
      <c r="E90" s="229">
        <v>3.918710799886111</v>
      </c>
      <c r="F90" s="229">
        <v>9.2265507383631782</v>
      </c>
      <c r="G90" s="226">
        <v>5.8035901615383105</v>
      </c>
      <c r="H90" s="232">
        <v>0.11710932460310013</v>
      </c>
      <c r="I90" s="232">
        <v>7.4684919575564321E-2</v>
      </c>
      <c r="J90" s="265">
        <v>0.10204389565391452</v>
      </c>
      <c r="K90" s="251"/>
    </row>
    <row r="91" spans="1:11">
      <c r="A91" s="176">
        <v>39141</v>
      </c>
      <c r="B91" s="229">
        <v>2.7831572873574451</v>
      </c>
      <c r="C91" s="229">
        <v>5.439115791474805</v>
      </c>
      <c r="D91" s="226">
        <v>3.6958179767954316</v>
      </c>
      <c r="E91" s="229">
        <v>3.9325071995259009</v>
      </c>
      <c r="F91" s="229">
        <v>9.2990570979262817</v>
      </c>
      <c r="G91" s="226">
        <v>5.7766019482144237</v>
      </c>
      <c r="H91" s="232">
        <v>0.117703647108246</v>
      </c>
      <c r="I91" s="232">
        <v>7.4024370880700519E-2</v>
      </c>
      <c r="J91" s="265">
        <v>0.10269424154178677</v>
      </c>
      <c r="K91" s="251"/>
    </row>
    <row r="92" spans="1:11">
      <c r="A92" s="176">
        <v>39172</v>
      </c>
      <c r="B92" s="229">
        <v>2.9230475124634365</v>
      </c>
      <c r="C92" s="229">
        <v>5.4061946776882879</v>
      </c>
      <c r="D92" s="226">
        <v>3.7777523251707263</v>
      </c>
      <c r="E92" s="229">
        <v>4.1319267390501979</v>
      </c>
      <c r="F92" s="229">
        <v>9.2292882980565754</v>
      </c>
      <c r="G92" s="226">
        <v>5.8864499979233287</v>
      </c>
      <c r="H92" s="232">
        <v>0.11573845490415156</v>
      </c>
      <c r="I92" s="232">
        <v>7.4075078154835799E-2</v>
      </c>
      <c r="J92" s="265">
        <v>0.1013978273650453</v>
      </c>
      <c r="K92" s="251"/>
    </row>
    <row r="93" spans="1:11">
      <c r="A93" s="176">
        <v>39202</v>
      </c>
      <c r="B93" s="229">
        <v>2.9004666951994906</v>
      </c>
      <c r="C93" s="229">
        <v>5.3730479595093001</v>
      </c>
      <c r="D93" s="226">
        <v>3.7294382561114512</v>
      </c>
      <c r="E93" s="229">
        <v>4.0848705478082605</v>
      </c>
      <c r="F93" s="229">
        <v>9.1419661820711262</v>
      </c>
      <c r="G93" s="226">
        <v>5.7803409948781361</v>
      </c>
      <c r="H93" s="232">
        <v>0.11655763569719996</v>
      </c>
      <c r="I93" s="232">
        <v>7.3943235216919867E-2</v>
      </c>
      <c r="J93" s="265">
        <v>0.10227049108708092</v>
      </c>
      <c r="K93" s="251"/>
    </row>
    <row r="94" spans="1:11">
      <c r="A94" s="177">
        <v>39203</v>
      </c>
      <c r="B94" s="229">
        <v>2.9448916296160008</v>
      </c>
      <c r="C94" s="229">
        <v>5.3438044290779718</v>
      </c>
      <c r="D94" s="226">
        <v>3.6929019644014573</v>
      </c>
      <c r="E94" s="229">
        <v>4.1658569479090914</v>
      </c>
      <c r="F94" s="229">
        <v>9.0541349214917322</v>
      </c>
      <c r="G94" s="226">
        <v>5.6900817735734499</v>
      </c>
      <c r="H94" s="232">
        <v>0.114758043732168</v>
      </c>
      <c r="I94" s="232">
        <v>7.4407134302376429E-2</v>
      </c>
      <c r="J94" s="265">
        <v>0.1021761369291173</v>
      </c>
      <c r="K94" s="251"/>
    </row>
    <row r="95" spans="1:11">
      <c r="A95" s="176">
        <v>39234</v>
      </c>
      <c r="B95" s="229">
        <v>2.9158696445994949</v>
      </c>
      <c r="C95" s="229">
        <v>5.6265936577131432</v>
      </c>
      <c r="D95" s="226">
        <v>3.7665071702396977</v>
      </c>
      <c r="E95" s="229">
        <v>4.0943338698962988</v>
      </c>
      <c r="F95" s="229">
        <v>9.7770760008970186</v>
      </c>
      <c r="G95" s="226">
        <v>5.8776041998083848</v>
      </c>
      <c r="H95" s="232">
        <v>0.11350393623237888</v>
      </c>
      <c r="I95" s="232">
        <v>7.2758285004406786E-2</v>
      </c>
      <c r="J95" s="265">
        <v>0.10071776553647344</v>
      </c>
      <c r="K95" s="251"/>
    </row>
    <row r="96" spans="1:11">
      <c r="A96" s="176">
        <v>39264</v>
      </c>
      <c r="B96" s="229">
        <v>2.939658361200804</v>
      </c>
      <c r="C96" s="229">
        <v>5.5401157073143912</v>
      </c>
      <c r="D96" s="226">
        <v>3.7506259052916446</v>
      </c>
      <c r="E96" s="229">
        <v>4.0840280552846293</v>
      </c>
      <c r="F96" s="229">
        <v>9.7416405978235847</v>
      </c>
      <c r="G96" s="226">
        <v>5.8483869884920443</v>
      </c>
      <c r="H96" s="232">
        <v>0.11246007232845477</v>
      </c>
      <c r="I96" s="232">
        <v>7.2488878942549684E-2</v>
      </c>
      <c r="J96" s="265">
        <v>9.9994826327403225E-2</v>
      </c>
      <c r="K96" s="251"/>
    </row>
    <row r="97" spans="1:11">
      <c r="A97" s="176">
        <v>39325</v>
      </c>
      <c r="B97" s="229">
        <v>2.8527469208686309</v>
      </c>
      <c r="C97" s="229">
        <v>5.0467893382502611</v>
      </c>
      <c r="D97" s="226">
        <v>3.5704495237516332</v>
      </c>
      <c r="E97" s="229">
        <v>4.0281323460975003</v>
      </c>
      <c r="F97" s="229">
        <v>9.6480473032559271</v>
      </c>
      <c r="G97" s="226">
        <v>5.8664867738788971</v>
      </c>
      <c r="H97" s="232">
        <v>0.11084055574704464</v>
      </c>
      <c r="I97" s="232">
        <v>7.1497171949228222E-2</v>
      </c>
      <c r="J97" s="265">
        <v>9.7970773132898273E-2</v>
      </c>
      <c r="K97" s="251"/>
    </row>
    <row r="98" spans="1:11">
      <c r="A98" s="176">
        <v>39355</v>
      </c>
      <c r="B98" s="229">
        <v>2.8948269738872803</v>
      </c>
      <c r="C98" s="229">
        <v>5.4125223295679321</v>
      </c>
      <c r="D98" s="226">
        <v>3.691528309322587</v>
      </c>
      <c r="E98" s="229">
        <v>4.0198918053380073</v>
      </c>
      <c r="F98" s="229">
        <v>9.6451977816732821</v>
      </c>
      <c r="G98" s="226">
        <v>5.7999676884135898</v>
      </c>
      <c r="H98" s="232">
        <v>0.10998514046858984</v>
      </c>
      <c r="I98" s="232">
        <v>7.1474004501435304E-2</v>
      </c>
      <c r="J98" s="265">
        <v>9.7798648808693198E-2</v>
      </c>
      <c r="K98" s="251"/>
    </row>
    <row r="99" spans="1:11">
      <c r="A99" s="176">
        <v>39386</v>
      </c>
      <c r="B99" s="229">
        <v>2.8396773705306799</v>
      </c>
      <c r="C99" s="229">
        <v>5.4307343599072961</v>
      </c>
      <c r="D99" s="226">
        <v>3.6501015893772171</v>
      </c>
      <c r="E99" s="229">
        <v>3.9579526489486487</v>
      </c>
      <c r="F99" s="229">
        <v>9.5835865691965516</v>
      </c>
      <c r="G99" s="226">
        <v>5.7175241265448928</v>
      </c>
      <c r="H99" s="232">
        <v>0.10531285917220115</v>
      </c>
      <c r="I99" s="232">
        <v>7.1168443667338196E-2</v>
      </c>
      <c r="J99" s="265">
        <v>9.4633255683372594E-2</v>
      </c>
      <c r="K99" s="251"/>
    </row>
    <row r="100" spans="1:11">
      <c r="A100" s="176">
        <v>39416</v>
      </c>
      <c r="B100" s="229">
        <v>2.928324123482255</v>
      </c>
      <c r="C100" s="229">
        <v>5.4121683248154149</v>
      </c>
      <c r="D100" s="226">
        <v>3.7417717689301178</v>
      </c>
      <c r="E100" s="229">
        <v>4.0719369887315153</v>
      </c>
      <c r="F100" s="229">
        <v>9.4928913755532758</v>
      </c>
      <c r="G100" s="226">
        <v>5.8472748217862662</v>
      </c>
      <c r="H100" s="232">
        <v>0.10541392830228059</v>
      </c>
      <c r="I100" s="232">
        <v>6.9574901331250896E-2</v>
      </c>
      <c r="J100" s="265">
        <v>9.3676810455243717E-2</v>
      </c>
      <c r="K100" s="251"/>
    </row>
    <row r="101" spans="1:11">
      <c r="A101" s="176">
        <v>39447</v>
      </c>
      <c r="B101" s="229">
        <v>2.8754609358539236</v>
      </c>
      <c r="C101" s="229">
        <v>5.2927065705943432</v>
      </c>
      <c r="D101" s="226">
        <v>3.6605801392823283</v>
      </c>
      <c r="E101" s="229">
        <v>4.0048112499430442</v>
      </c>
      <c r="F101" s="229">
        <v>9.4680731412055206</v>
      </c>
      <c r="G101" s="226">
        <v>5.7792737880248932</v>
      </c>
      <c r="H101" s="232">
        <v>0.1059566240364065</v>
      </c>
      <c r="I101" s="232">
        <v>6.9172804069116911E-2</v>
      </c>
      <c r="J101" s="265">
        <v>9.4009272465380267E-2</v>
      </c>
      <c r="K101" s="251"/>
    </row>
    <row r="102" spans="1:11">
      <c r="A102" s="176">
        <v>39478</v>
      </c>
      <c r="B102" s="229">
        <v>2.7995191400845565</v>
      </c>
      <c r="C102" s="229">
        <v>5.6690271042147504</v>
      </c>
      <c r="D102" s="226">
        <v>3.7051803040304501</v>
      </c>
      <c r="E102" s="229">
        <v>3.9845513928102294</v>
      </c>
      <c r="F102" s="229">
        <v>10.066646101913802</v>
      </c>
      <c r="G102" s="226">
        <v>5.9041546984402231</v>
      </c>
      <c r="H102" s="232">
        <v>0.10609174384151034</v>
      </c>
      <c r="I102" s="232">
        <v>6.7484732907236805E-2</v>
      </c>
      <c r="J102" s="265">
        <v>9.3906773143997535E-2</v>
      </c>
      <c r="K102" s="251"/>
    </row>
    <row r="103" spans="1:11">
      <c r="A103" s="176">
        <v>39507</v>
      </c>
      <c r="B103" s="229">
        <v>2.8000555558296876</v>
      </c>
      <c r="C103" s="229">
        <v>5.6288187604283104</v>
      </c>
      <c r="D103" s="226">
        <v>3.6519934873155346</v>
      </c>
      <c r="E103" s="229">
        <v>3.9509733556844631</v>
      </c>
      <c r="F103" s="229">
        <v>10.068803054098447</v>
      </c>
      <c r="G103" s="226">
        <v>5.7934786491556549</v>
      </c>
      <c r="H103" s="232">
        <v>0.10678425697116795</v>
      </c>
      <c r="I103" s="232">
        <v>6.7290915178590233E-2</v>
      </c>
      <c r="J103" s="265">
        <v>9.4890056756906357E-2</v>
      </c>
      <c r="K103" s="251"/>
    </row>
    <row r="104" spans="1:11">
      <c r="A104" s="176">
        <v>39538</v>
      </c>
      <c r="B104" s="229">
        <v>2.6487876901423535</v>
      </c>
      <c r="C104" s="229">
        <v>6.1474005114820143</v>
      </c>
      <c r="D104" s="226">
        <v>3.6812548452534557</v>
      </c>
      <c r="E104" s="229">
        <v>3.9417147621698154</v>
      </c>
      <c r="F104" s="229">
        <v>10.112289903091888</v>
      </c>
      <c r="G104" s="226">
        <v>5.7626982451914088</v>
      </c>
      <c r="H104" s="232">
        <v>0.10573489799929157</v>
      </c>
      <c r="I104" s="232">
        <v>6.6848912592308185E-2</v>
      </c>
      <c r="J104" s="265">
        <v>9.4259349038298912E-2</v>
      </c>
      <c r="K104" s="251"/>
    </row>
    <row r="105" spans="1:11">
      <c r="A105" s="176">
        <v>39568</v>
      </c>
      <c r="B105" s="229">
        <v>2.9378759584845087</v>
      </c>
      <c r="C105" s="229">
        <v>6.1125043555666849</v>
      </c>
      <c r="D105" s="226">
        <v>3.8700471336617737</v>
      </c>
      <c r="E105" s="229">
        <v>4.2001107016535357</v>
      </c>
      <c r="F105" s="229">
        <v>10.049437651447864</v>
      </c>
      <c r="G105" s="226">
        <v>5.9176578582899859</v>
      </c>
      <c r="H105" s="232">
        <v>0.10547451220264435</v>
      </c>
      <c r="I105" s="232">
        <v>6.7733601218336159E-2</v>
      </c>
      <c r="J105" s="265">
        <v>9.4392588605905201E-2</v>
      </c>
      <c r="K105" s="251"/>
    </row>
    <row r="106" spans="1:11">
      <c r="A106" s="176">
        <v>39599</v>
      </c>
      <c r="B106" s="229">
        <v>2.9723798730125663</v>
      </c>
      <c r="C106" s="229">
        <v>6.1397759426659979</v>
      </c>
      <c r="D106" s="226">
        <v>3.8798764034103934</v>
      </c>
      <c r="E106" s="229">
        <v>4.2124096512131199</v>
      </c>
      <c r="F106" s="229">
        <v>9.9666554187215421</v>
      </c>
      <c r="G106" s="226">
        <v>5.8610692928352819</v>
      </c>
      <c r="H106" s="232">
        <v>0.10731696609043484</v>
      </c>
      <c r="I106" s="232">
        <v>6.7976918521531413E-2</v>
      </c>
      <c r="J106" s="265">
        <v>9.6045575999213414E-2</v>
      </c>
      <c r="K106" s="251"/>
    </row>
    <row r="107" spans="1:11">
      <c r="A107" s="176">
        <v>39629</v>
      </c>
      <c r="B107" s="229">
        <v>3.0414882247862574</v>
      </c>
      <c r="C107" s="229">
        <v>6.1729781109578337</v>
      </c>
      <c r="D107" s="226">
        <v>3.8976528978298939</v>
      </c>
      <c r="E107" s="229">
        <v>4.2858035352685775</v>
      </c>
      <c r="F107" s="229">
        <v>9.8958828112570707</v>
      </c>
      <c r="G107" s="226">
        <v>5.8933640597432122</v>
      </c>
      <c r="H107" s="232">
        <v>0.11027405424271138</v>
      </c>
      <c r="I107" s="232">
        <v>6.8234565086458032E-2</v>
      </c>
      <c r="J107" s="265">
        <v>9.7993302344942593E-2</v>
      </c>
      <c r="K107" s="251"/>
    </row>
    <row r="108" spans="1:11">
      <c r="A108" s="176">
        <v>39660</v>
      </c>
      <c r="B108" s="229">
        <v>3.0590430499937362</v>
      </c>
      <c r="C108" s="229">
        <v>6.1877432918427679</v>
      </c>
      <c r="D108" s="226">
        <v>3.9562909856654462</v>
      </c>
      <c r="E108" s="229">
        <v>4.236830606928919</v>
      </c>
      <c r="F108" s="229">
        <v>9.8304924234237347</v>
      </c>
      <c r="G108" s="226">
        <v>5.8409796559696527</v>
      </c>
      <c r="H108" s="232">
        <v>0.11093291683237233</v>
      </c>
      <c r="I108" s="232">
        <v>6.6977921123455117E-2</v>
      </c>
      <c r="J108" s="265">
        <v>9.8327513273808009E-2</v>
      </c>
      <c r="K108" s="251"/>
    </row>
    <row r="109" spans="1:11">
      <c r="A109" s="176">
        <v>39691</v>
      </c>
      <c r="B109" s="229">
        <v>3.2316914952097258</v>
      </c>
      <c r="C109" s="229">
        <v>6.1529453425544194</v>
      </c>
      <c r="D109" s="226">
        <v>4.1222049203874436</v>
      </c>
      <c r="E109" s="229">
        <v>4.44599221071896</v>
      </c>
      <c r="F109" s="229">
        <v>9.7592152298393344</v>
      </c>
      <c r="G109" s="226">
        <v>6.0656722100421021</v>
      </c>
      <c r="H109" s="232">
        <v>0.10983823839374113</v>
      </c>
      <c r="I109" s="232">
        <v>6.7038903135633654E-2</v>
      </c>
      <c r="J109" s="265">
        <v>9.6791312440808186E-2</v>
      </c>
      <c r="K109" s="251"/>
    </row>
    <row r="110" spans="1:11">
      <c r="A110" s="176">
        <v>39721</v>
      </c>
      <c r="B110" s="229">
        <v>3.2316914952097258</v>
      </c>
      <c r="C110" s="229">
        <v>6.0937282744428618</v>
      </c>
      <c r="D110" s="226">
        <v>4.159975954947785</v>
      </c>
      <c r="E110" s="229">
        <v>4.4459922107189609</v>
      </c>
      <c r="F110" s="229">
        <v>9.6951810683122979</v>
      </c>
      <c r="G110" s="226">
        <v>6.1485351263413417</v>
      </c>
      <c r="H110" s="232">
        <v>0.10983823839374113</v>
      </c>
      <c r="I110" s="232">
        <v>6.6989217603306131E-2</v>
      </c>
      <c r="J110" s="265">
        <v>9.5940415555345743E-2</v>
      </c>
      <c r="K110" s="251"/>
    </row>
    <row r="111" spans="1:11">
      <c r="A111" s="176">
        <v>39752</v>
      </c>
      <c r="B111" s="229">
        <v>3.2316914952097258</v>
      </c>
      <c r="C111" s="229">
        <v>5.8278187698660728</v>
      </c>
      <c r="D111" s="226">
        <v>4.1249152753104239</v>
      </c>
      <c r="E111" s="229">
        <v>4.4459922107189609</v>
      </c>
      <c r="F111" s="229">
        <v>9.8248271180736744</v>
      </c>
      <c r="G111" s="226">
        <v>6.2966346254368393</v>
      </c>
      <c r="H111" s="232">
        <v>0.10983823839374113</v>
      </c>
      <c r="I111" s="232">
        <v>6.6192645174517215E-2</v>
      </c>
      <c r="J111" s="265">
        <v>9.4821531724314428E-2</v>
      </c>
      <c r="K111" s="251"/>
    </row>
    <row r="112" spans="1:11">
      <c r="A112" s="176">
        <v>39782</v>
      </c>
      <c r="B112" s="229">
        <v>3.186348534961553</v>
      </c>
      <c r="C112" s="229">
        <v>5.8278187698660728</v>
      </c>
      <c r="D112" s="226">
        <v>4.0799867003040706</v>
      </c>
      <c r="E112" s="229">
        <v>4.357378154597547</v>
      </c>
      <c r="F112" s="229">
        <v>9.8248271180736744</v>
      </c>
      <c r="G112" s="226">
        <v>6.2070757193332202</v>
      </c>
      <c r="H112" s="232">
        <v>0.1100112233240103</v>
      </c>
      <c r="I112" s="232">
        <v>6.6192645174517215E-2</v>
      </c>
      <c r="J112" s="265">
        <v>9.5186920832164817E-2</v>
      </c>
      <c r="K112" s="251"/>
    </row>
    <row r="113" spans="1:11">
      <c r="A113" s="176">
        <v>39813</v>
      </c>
      <c r="B113" s="229">
        <v>3.1593463615098138</v>
      </c>
      <c r="C113" s="229">
        <v>5.6266666971713448</v>
      </c>
      <c r="D113" s="226">
        <v>3.9841655971659247</v>
      </c>
      <c r="E113" s="229">
        <v>4.2887210445120587</v>
      </c>
      <c r="F113" s="229">
        <v>10.135655937079267</v>
      </c>
      <c r="G113" s="226">
        <v>6.2433372730226928</v>
      </c>
      <c r="H113" s="232">
        <v>0.10365000596203705</v>
      </c>
      <c r="I113" s="232">
        <v>5.9052533079543938E-2</v>
      </c>
      <c r="J113" s="265">
        <v>8.8741178371447987E-2</v>
      </c>
      <c r="K113" s="251"/>
    </row>
    <row r="114" spans="1:11">
      <c r="A114" s="176">
        <v>39844</v>
      </c>
      <c r="B114" s="229">
        <v>3.1580382</v>
      </c>
      <c r="C114" s="229">
        <v>5.1565473034383693</v>
      </c>
      <c r="D114" s="226">
        <v>3.8617751311087165</v>
      </c>
      <c r="E114" s="229">
        <v>4.250267125606606</v>
      </c>
      <c r="F114" s="229">
        <v>10.159615424352701</v>
      </c>
      <c r="G114" s="226">
        <v>6.331131620773184</v>
      </c>
      <c r="H114" s="232">
        <v>0.10924419903860295</v>
      </c>
      <c r="I114" s="232">
        <v>6.2004627643169698E-2</v>
      </c>
      <c r="J114" s="265">
        <v>9.2609683367136791E-2</v>
      </c>
      <c r="K114" s="251"/>
    </row>
    <row r="115" spans="1:11">
      <c r="A115" s="176">
        <v>39872</v>
      </c>
      <c r="B115" s="229">
        <v>3.2707145458146374</v>
      </c>
      <c r="C115" s="229">
        <v>5.0462378476171095</v>
      </c>
      <c r="D115" s="226">
        <v>3.9071946359286218</v>
      </c>
      <c r="E115" s="229">
        <v>4.3566882143070487</v>
      </c>
      <c r="F115" s="229">
        <v>10.11190408714601</v>
      </c>
      <c r="G115" s="226">
        <v>6.4197871968162037</v>
      </c>
      <c r="H115" s="232">
        <v>0.10728852397645172</v>
      </c>
      <c r="I115" s="232">
        <v>6.186503799226007E-2</v>
      </c>
      <c r="J115" s="265">
        <v>9.1005355840522634E-2</v>
      </c>
      <c r="K115" s="251"/>
    </row>
    <row r="116" spans="1:11">
      <c r="A116" s="176">
        <v>39903</v>
      </c>
      <c r="B116" s="229">
        <v>3.3601022486244068</v>
      </c>
      <c r="C116" s="229">
        <v>5.3757735769705253</v>
      </c>
      <c r="D116" s="226">
        <v>4.0831746403344793</v>
      </c>
      <c r="E116" s="229">
        <v>4.522016580167767</v>
      </c>
      <c r="F116" s="229">
        <v>10.195831373591497</v>
      </c>
      <c r="G116" s="226">
        <v>6.5573577467095863</v>
      </c>
      <c r="H116" s="232">
        <v>0.10666896651933168</v>
      </c>
      <c r="I116" s="232">
        <v>6.038606442427439E-2</v>
      </c>
      <c r="J116" s="265">
        <v>9.0066116519666617E-2</v>
      </c>
      <c r="K116" s="251"/>
    </row>
    <row r="117" spans="1:11">
      <c r="A117" s="176">
        <v>39933</v>
      </c>
      <c r="B117" s="229">
        <v>3.3157324231984142</v>
      </c>
      <c r="C117" s="229">
        <v>5.7602818218063607</v>
      </c>
      <c r="D117" s="226">
        <v>4.1355798319496087</v>
      </c>
      <c r="E117" s="229">
        <v>4.4933045656020312</v>
      </c>
      <c r="F117" s="229">
        <v>10.34999011375236</v>
      </c>
      <c r="G117" s="226">
        <v>6.4575064235214867</v>
      </c>
      <c r="H117" s="232">
        <v>0.10394498760175074</v>
      </c>
      <c r="I117" s="232">
        <v>6.1661483946562713E-2</v>
      </c>
      <c r="J117" s="265">
        <v>8.9764042465453539E-2</v>
      </c>
      <c r="K117" s="251"/>
    </row>
    <row r="118" spans="1:11">
      <c r="A118" s="176">
        <v>39964</v>
      </c>
      <c r="B118" s="229">
        <v>3.510488186597752</v>
      </c>
      <c r="C118" s="229">
        <v>5.5238705156195191</v>
      </c>
      <c r="D118" s="226">
        <v>4.16416767367941</v>
      </c>
      <c r="E118" s="229">
        <v>4.749898474133265</v>
      </c>
      <c r="F118" s="229">
        <v>10.254725119749345</v>
      </c>
      <c r="G118" s="226">
        <v>6.5371359035628256</v>
      </c>
      <c r="H118" s="232">
        <v>0.10407061462038614</v>
      </c>
      <c r="I118" s="232">
        <v>6.1433276053813164E-2</v>
      </c>
      <c r="J118" s="265">
        <v>9.0227663282740275E-2</v>
      </c>
      <c r="K118" s="251"/>
    </row>
    <row r="119" spans="1:11">
      <c r="A119" s="176">
        <v>39994</v>
      </c>
      <c r="B119" s="229">
        <v>3.4639103104829552</v>
      </c>
      <c r="C119" s="229">
        <v>5.5085122308744756</v>
      </c>
      <c r="D119" s="226">
        <v>4.1251136513750577</v>
      </c>
      <c r="E119" s="229">
        <v>4.707675621006171</v>
      </c>
      <c r="F119" s="229">
        <v>10.183421203960707</v>
      </c>
      <c r="G119" s="226">
        <v>6.4784757152520998</v>
      </c>
      <c r="H119" s="232">
        <v>9.8437045982109173E-2</v>
      </c>
      <c r="I119" s="232">
        <v>6.1497303843397945E-2</v>
      </c>
      <c r="J119" s="265">
        <v>8.6491111338199825E-2</v>
      </c>
      <c r="K119" s="251"/>
    </row>
    <row r="120" spans="1:11">
      <c r="A120" s="176">
        <v>40025</v>
      </c>
      <c r="B120" s="229">
        <v>3.7101255373100881</v>
      </c>
      <c r="C120" s="229">
        <v>5.4710099410151223</v>
      </c>
      <c r="D120" s="226">
        <v>4.2737635833287442</v>
      </c>
      <c r="E120" s="229">
        <v>4.9406967343596682</v>
      </c>
      <c r="F120" s="229">
        <v>10.142868943092031</v>
      </c>
      <c r="G120" s="226">
        <v>6.6058498657140134</v>
      </c>
      <c r="H120" s="232">
        <v>9.5207756501452717E-2</v>
      </c>
      <c r="I120" s="232">
        <v>6.0891767457554584E-2</v>
      </c>
      <c r="J120" s="265">
        <v>8.4223618660715566E-2</v>
      </c>
      <c r="K120" s="251"/>
    </row>
    <row r="121" spans="1:11">
      <c r="A121" s="176">
        <v>40056</v>
      </c>
      <c r="B121" s="229">
        <v>3.6657403090011171</v>
      </c>
      <c r="C121" s="229">
        <v>5.3658493883797753</v>
      </c>
      <c r="D121" s="226">
        <v>4.2019601034977443</v>
      </c>
      <c r="E121" s="229">
        <v>4.8400132119498922</v>
      </c>
      <c r="F121" s="229">
        <v>10.09428618946408</v>
      </c>
      <c r="G121" s="226">
        <v>6.4972275697848243</v>
      </c>
      <c r="H121" s="232">
        <v>9.2752296053914995E-2</v>
      </c>
      <c r="I121" s="232">
        <v>6.0124290385098658E-2</v>
      </c>
      <c r="J121" s="265">
        <v>8.2461319606120409E-2</v>
      </c>
      <c r="K121" s="251"/>
    </row>
    <row r="122" spans="1:11">
      <c r="A122" s="176">
        <v>40086</v>
      </c>
      <c r="B122" s="229">
        <v>3.6712062304977726</v>
      </c>
      <c r="C122" s="229">
        <v>5.4379871991840858</v>
      </c>
      <c r="D122" s="226">
        <v>4.2099448879617594</v>
      </c>
      <c r="E122" s="229">
        <v>4.9127475631672803</v>
      </c>
      <c r="F122" s="229">
        <v>10.002191772131098</v>
      </c>
      <c r="G122" s="226">
        <v>6.464654895751778</v>
      </c>
      <c r="H122" s="232">
        <v>9.4434846071508344E-2</v>
      </c>
      <c r="I122" s="232">
        <v>5.9239012006741892E-2</v>
      </c>
      <c r="J122" s="265">
        <v>8.3702697192592004E-2</v>
      </c>
      <c r="K122" s="251"/>
    </row>
    <row r="123" spans="1:11">
      <c r="A123" s="176">
        <v>40117</v>
      </c>
      <c r="B123" s="229">
        <v>3.6764210568886471</v>
      </c>
      <c r="C123" s="229">
        <v>5.5824160348335834</v>
      </c>
      <c r="D123" s="226">
        <v>4.2820237432360653</v>
      </c>
      <c r="E123" s="229">
        <v>4.7927423225142309</v>
      </c>
      <c r="F123" s="229">
        <v>10.796022119088045</v>
      </c>
      <c r="G123" s="226">
        <v>6.7001987501383127</v>
      </c>
      <c r="H123" s="232">
        <v>9.1718189283043858E-2</v>
      </c>
      <c r="I123" s="232">
        <v>5.9976852285929833E-2</v>
      </c>
      <c r="J123" s="265">
        <v>8.1632832723271043E-2</v>
      </c>
      <c r="K123" s="251"/>
    </row>
    <row r="124" spans="1:11">
      <c r="A124" s="176">
        <v>40147</v>
      </c>
      <c r="B124" s="229">
        <v>3.7158699680357694</v>
      </c>
      <c r="C124" s="229">
        <v>5.6312016440774038</v>
      </c>
      <c r="D124" s="226">
        <v>4.3204277330716945</v>
      </c>
      <c r="E124" s="229">
        <v>4.7061644344798754</v>
      </c>
      <c r="F124" s="229">
        <v>10.734515314649084</v>
      </c>
      <c r="G124" s="226">
        <v>6.6089608955603998</v>
      </c>
      <c r="H124" s="232">
        <v>8.7216824247288383E-2</v>
      </c>
      <c r="I124" s="232">
        <v>5.8989331395896731E-2</v>
      </c>
      <c r="J124" s="265">
        <v>7.8307061930782962E-2</v>
      </c>
      <c r="K124" s="251"/>
    </row>
    <row r="125" spans="1:11">
      <c r="A125" s="176">
        <v>40178</v>
      </c>
      <c r="B125" s="229">
        <v>3.6564624140409183</v>
      </c>
      <c r="C125" s="229">
        <v>5.4566238538547864</v>
      </c>
      <c r="D125" s="226">
        <v>4.2362777672570608</v>
      </c>
      <c r="E125" s="229">
        <v>4.6955807824385793</v>
      </c>
      <c r="F125" s="229">
        <v>10.635895520639057</v>
      </c>
      <c r="G125" s="226">
        <v>6.6089012280208914</v>
      </c>
      <c r="H125" s="232">
        <v>8.6223940796502863E-2</v>
      </c>
      <c r="I125" s="232">
        <v>6.0011923355057256E-2</v>
      </c>
      <c r="J125" s="265">
        <v>7.7781292367764765E-2</v>
      </c>
      <c r="K125" s="251"/>
    </row>
    <row r="126" spans="1:11">
      <c r="A126" s="176">
        <v>40209</v>
      </c>
      <c r="B126" s="229">
        <v>3.5921061027935588</v>
      </c>
      <c r="C126" s="229">
        <v>5.4646300732788715</v>
      </c>
      <c r="D126" s="226">
        <v>4.1770466254061995</v>
      </c>
      <c r="E126" s="229">
        <v>4.6851699600811525</v>
      </c>
      <c r="F126" s="229">
        <v>10.654172159816349</v>
      </c>
      <c r="G126" s="226">
        <v>6.5497716000186097</v>
      </c>
      <c r="H126" s="232">
        <v>8.6563535772948993E-2</v>
      </c>
      <c r="I126" s="232">
        <v>5.926531051546946E-2</v>
      </c>
      <c r="J126" s="265">
        <v>7.8036094522426991E-2</v>
      </c>
      <c r="K126" s="251"/>
    </row>
    <row r="127" spans="1:11">
      <c r="A127" s="176">
        <v>40237</v>
      </c>
      <c r="B127" s="229">
        <v>3.6768198815285107</v>
      </c>
      <c r="C127" s="229">
        <v>5.4495951169304764</v>
      </c>
      <c r="D127" s="226">
        <v>4.2116487467196269</v>
      </c>
      <c r="E127" s="229">
        <v>4.742846853221943</v>
      </c>
      <c r="F127" s="229">
        <v>10.844019993449727</v>
      </c>
      <c r="G127" s="226">
        <v>6.5835108255966812</v>
      </c>
      <c r="H127" s="232">
        <v>8.4273479587153602E-2</v>
      </c>
      <c r="I127" s="232">
        <v>5.9433955055367541E-2</v>
      </c>
      <c r="J127" s="265">
        <v>7.6779639165691624E-2</v>
      </c>
      <c r="K127" s="251"/>
    </row>
    <row r="128" spans="1:11">
      <c r="A128" s="176">
        <v>40268</v>
      </c>
      <c r="B128" s="229">
        <v>3.628332040045068</v>
      </c>
      <c r="C128" s="229">
        <v>6.2671435687068771</v>
      </c>
      <c r="D128" s="226">
        <v>4.4216845627595065</v>
      </c>
      <c r="E128" s="229">
        <v>4.7739132381222822</v>
      </c>
      <c r="F128" s="229">
        <v>10.788153985631585</v>
      </c>
      <c r="G128" s="226">
        <v>6.5820806716138849</v>
      </c>
      <c r="H128" s="232">
        <v>8.4691482680604266E-2</v>
      </c>
      <c r="I128" s="232">
        <v>6.013614897882457E-2</v>
      </c>
      <c r="J128" s="265">
        <v>7.7308978956179136E-2</v>
      </c>
      <c r="K128" s="251"/>
    </row>
    <row r="129" spans="1:11">
      <c r="A129" s="176">
        <v>40298</v>
      </c>
      <c r="B129" s="229">
        <v>3.6716878317359423</v>
      </c>
      <c r="C129" s="229">
        <v>6.165767538679785</v>
      </c>
      <c r="D129" s="226">
        <v>4.4849928910550148</v>
      </c>
      <c r="E129" s="229">
        <v>4.901135689948438</v>
      </c>
      <c r="F129" s="229">
        <v>10.873483440384041</v>
      </c>
      <c r="G129" s="261">
        <v>6.7726145875662365</v>
      </c>
      <c r="H129" s="232">
        <v>8.5360099739995643E-2</v>
      </c>
      <c r="I129" s="232">
        <v>5.8881732910313803E-2</v>
      </c>
      <c r="J129" s="265">
        <v>7.7062909617146819E-2</v>
      </c>
      <c r="K129" s="251"/>
    </row>
    <row r="130" spans="1:11">
      <c r="A130" s="118">
        <v>40329</v>
      </c>
      <c r="B130" s="230">
        <v>3.6955216059473202</v>
      </c>
      <c r="C130" s="230">
        <v>6.1219783099517215</v>
      </c>
      <c r="D130" s="226">
        <v>4.4526571998408064</v>
      </c>
      <c r="E130" s="230">
        <v>4.9778897898246601</v>
      </c>
      <c r="F130" s="230">
        <v>10.794252600242887</v>
      </c>
      <c r="G130" s="227">
        <v>6.7927893936372499</v>
      </c>
      <c r="H130" s="233">
        <v>8.7027116297858878E-2</v>
      </c>
      <c r="I130" s="233">
        <v>5.8198424225920989E-2</v>
      </c>
      <c r="J130" s="184">
        <v>7.803160079698987E-2</v>
      </c>
      <c r="K130" s="251"/>
    </row>
    <row r="131" spans="1:11">
      <c r="A131" s="118">
        <v>40359</v>
      </c>
      <c r="B131" s="230">
        <v>3.7079849811549916</v>
      </c>
      <c r="C131" s="230">
        <v>6.1137288067143984</v>
      </c>
      <c r="D131" s="226">
        <v>4.4392452624605934</v>
      </c>
      <c r="E131" s="230">
        <v>4.94360649632854</v>
      </c>
      <c r="F131" s="230">
        <v>10.724693065079073</v>
      </c>
      <c r="G131" s="227">
        <v>6.7008505327061609</v>
      </c>
      <c r="H131" s="233">
        <v>8.7248102426772375E-2</v>
      </c>
      <c r="I131" s="233">
        <v>5.7214927193848603E-2</v>
      </c>
      <c r="J131" s="184">
        <v>7.8119088798639533E-2</v>
      </c>
      <c r="K131" s="251"/>
    </row>
    <row r="132" spans="1:11">
      <c r="A132" s="118">
        <v>40390</v>
      </c>
      <c r="B132" s="230">
        <v>3.7879728993214243</v>
      </c>
      <c r="C132" s="230">
        <v>6.0944550446771304</v>
      </c>
      <c r="D132" s="226">
        <v>4.4613304815859545</v>
      </c>
      <c r="E132" s="230">
        <v>4.9417443881623528</v>
      </c>
      <c r="F132" s="230">
        <v>10.727181248258995</v>
      </c>
      <c r="G132" s="227">
        <v>6.6313448916307349</v>
      </c>
      <c r="H132" s="233">
        <v>8.7221402895351574E-2</v>
      </c>
      <c r="I132" s="233">
        <v>5.6829615868279677E-2</v>
      </c>
      <c r="J132" s="184">
        <v>7.8348782626231045E-2</v>
      </c>
      <c r="K132" s="251"/>
    </row>
    <row r="133" spans="1:11">
      <c r="A133" s="118">
        <v>40421</v>
      </c>
      <c r="B133" s="230">
        <v>3.7891427416916001</v>
      </c>
      <c r="C133" s="230">
        <v>6.0934198298199211</v>
      </c>
      <c r="D133" s="226">
        <v>4.4565257862660896</v>
      </c>
      <c r="E133" s="230">
        <v>4.9480181479006813</v>
      </c>
      <c r="F133" s="230">
        <v>10.655118926943889</v>
      </c>
      <c r="G133" s="227">
        <v>6.6009540353572786</v>
      </c>
      <c r="H133" s="233">
        <v>8.7288828281262193E-2</v>
      </c>
      <c r="I133" s="233">
        <v>5.4835744067167361E-2</v>
      </c>
      <c r="J133" s="184">
        <v>7.7889508095239174E-2</v>
      </c>
      <c r="K133" s="251"/>
    </row>
    <row r="134" spans="1:11">
      <c r="A134" s="118">
        <v>40451</v>
      </c>
      <c r="B134" s="230">
        <v>3.8618967316076178</v>
      </c>
      <c r="C134" s="230">
        <v>6.0756563201191742</v>
      </c>
      <c r="D134" s="226">
        <v>4.5071499849236023</v>
      </c>
      <c r="E134" s="230">
        <v>5.0747441574857852</v>
      </c>
      <c r="F134" s="230">
        <v>10.595282286678469</v>
      </c>
      <c r="G134" s="226">
        <v>6.6838372163718951</v>
      </c>
      <c r="H134" s="233">
        <v>8.6834843281048235E-2</v>
      </c>
      <c r="I134" s="233">
        <v>5.4945434794206549E-2</v>
      </c>
      <c r="J134" s="265">
        <v>7.753991140170538E-2</v>
      </c>
      <c r="K134" s="251"/>
    </row>
    <row r="135" spans="1:11">
      <c r="A135" s="118">
        <v>40482</v>
      </c>
      <c r="B135" s="230">
        <v>3.8263474831053879</v>
      </c>
      <c r="C135" s="230">
        <v>6.0258453089571899</v>
      </c>
      <c r="D135" s="226">
        <v>4.4729446220890861</v>
      </c>
      <c r="E135" s="230">
        <v>5.0059777453378169</v>
      </c>
      <c r="F135" s="230">
        <v>10.54673429227671</v>
      </c>
      <c r="G135" s="226">
        <v>6.6348210608198102</v>
      </c>
      <c r="H135" s="233">
        <v>8.6728798493202225E-2</v>
      </c>
      <c r="I135" s="233">
        <v>5.4743580252396271E-2</v>
      </c>
      <c r="J135" s="265">
        <v>7.732594736909848E-2</v>
      </c>
      <c r="K135" s="251"/>
    </row>
    <row r="136" spans="1:11">
      <c r="A136" s="118">
        <v>40512</v>
      </c>
      <c r="B136" s="230">
        <v>3.8679971171815999</v>
      </c>
      <c r="C136" s="230">
        <v>5.8638203261613002</v>
      </c>
      <c r="D136" s="226">
        <v>4.4641330239490502</v>
      </c>
      <c r="E136" s="230">
        <v>4.9924386792628797</v>
      </c>
      <c r="F136" s="230">
        <v>10.543538988459604</v>
      </c>
      <c r="G136" s="226">
        <v>6.6505064888219172</v>
      </c>
      <c r="H136" s="233">
        <v>8.567958795178128E-2</v>
      </c>
      <c r="I136" s="233">
        <v>5.4835148454096254E-2</v>
      </c>
      <c r="J136" s="265">
        <v>7.6466608652835152E-2</v>
      </c>
      <c r="K136" s="251"/>
    </row>
    <row r="137" spans="1:11">
      <c r="A137" s="118">
        <v>40543</v>
      </c>
      <c r="B137" s="230">
        <v>3.773671987913735</v>
      </c>
      <c r="C137" s="230">
        <v>5.7854648895989289</v>
      </c>
      <c r="D137" s="226">
        <f>+((Saldos!C136*Indicadores!C137)+(Saldos!B136*Indicadores!B137))/Saldos!D136</f>
        <v>4.3618761491083538</v>
      </c>
      <c r="E137" s="230">
        <v>4.7250266103300662</v>
      </c>
      <c r="F137" s="230">
        <v>10.559996405736866</v>
      </c>
      <c r="G137" s="226">
        <f>((E137*Saldos!B136)+(Saldos!C136*Indicadores!F137))/Saldos!D136</f>
        <v>6.4310439201775296</v>
      </c>
      <c r="H137" s="233">
        <v>8.3781550460336973E-2</v>
      </c>
      <c r="I137" s="233">
        <v>5.4156251846509719E-2</v>
      </c>
      <c r="J137" s="265">
        <v>7.5119762307744531E-2</v>
      </c>
      <c r="K137" s="251"/>
    </row>
    <row r="138" spans="1:11">
      <c r="A138" s="118">
        <v>40574</v>
      </c>
      <c r="B138" s="230">
        <v>3.7055923670622271</v>
      </c>
      <c r="C138" s="230">
        <v>5.8377304894765523</v>
      </c>
      <c r="D138" s="226">
        <v>4.3346862995752806</v>
      </c>
      <c r="E138" s="230">
        <v>4.9286593275574262</v>
      </c>
      <c r="F138" s="230">
        <v>10.56811571347269</v>
      </c>
      <c r="G138" s="226">
        <v>6.5925983368341718</v>
      </c>
      <c r="H138" s="233">
        <v>8.8712845944748028E-2</v>
      </c>
      <c r="I138" s="233">
        <v>5.3928928808860147E-2</v>
      </c>
      <c r="J138" s="265">
        <v>7.844974385526178E-2</v>
      </c>
      <c r="K138" s="251"/>
    </row>
    <row r="139" spans="1:11">
      <c r="A139" s="118">
        <v>40602</v>
      </c>
      <c r="B139" s="230">
        <v>3.6734711718510584</v>
      </c>
      <c r="C139" s="230">
        <v>5.7739337815103644</v>
      </c>
      <c r="D139" s="226">
        <v>4.2939314620953493</v>
      </c>
      <c r="E139" s="230">
        <v>4.877984833651194</v>
      </c>
      <c r="F139" s="230">
        <v>10.49993139695936</v>
      </c>
      <c r="G139" s="226">
        <v>6.5386640480142901</v>
      </c>
      <c r="H139" s="233">
        <v>8.8257260145812436E-2</v>
      </c>
      <c r="I139" s="233">
        <v>5.4037320063785838E-2</v>
      </c>
      <c r="J139" s="265">
        <v>7.8148956452236906E-2</v>
      </c>
      <c r="K139" s="251"/>
    </row>
    <row r="140" spans="1:11">
      <c r="A140" s="118">
        <v>40633</v>
      </c>
      <c r="B140" s="230">
        <v>3.643132394490296</v>
      </c>
      <c r="C140" s="230">
        <v>5.5964379961333348</v>
      </c>
      <c r="D140" s="226">
        <v>4.2123984762597662</v>
      </c>
      <c r="E140" s="230">
        <v>4.8694013139067609</v>
      </c>
      <c r="F140" s="230">
        <v>10.447771803490674</v>
      </c>
      <c r="G140" s="226">
        <v>6.4951464654041589</v>
      </c>
      <c r="H140" s="233">
        <v>8.9177825762841612E-2</v>
      </c>
      <c r="I140" s="233">
        <v>5.682183743582972E-2</v>
      </c>
      <c r="J140" s="265">
        <v>7.9748084363849378E-2</v>
      </c>
      <c r="K140" s="251"/>
    </row>
    <row r="141" spans="1:11">
      <c r="A141" s="118">
        <v>40663</v>
      </c>
      <c r="B141" s="230">
        <v>3.6069178747027073</v>
      </c>
      <c r="C141" s="230">
        <v>5.7383074550797879</v>
      </c>
      <c r="D141" s="226">
        <v>4.1961845984611506</v>
      </c>
      <c r="E141" s="230">
        <v>4.8311947832950679</v>
      </c>
      <c r="F141" s="230">
        <v>10.350024970158852</v>
      </c>
      <c r="G141" s="261">
        <v>6.3569895104218999</v>
      </c>
      <c r="H141" s="233">
        <v>8.8523582235062029E-2</v>
      </c>
      <c r="I141" s="233">
        <v>5.5905980820379765E-2</v>
      </c>
      <c r="J141" s="265">
        <v>7.9505771835947592E-2</v>
      </c>
      <c r="K141" s="251"/>
    </row>
    <row r="142" spans="1:11">
      <c r="A142" s="118">
        <v>40694</v>
      </c>
      <c r="B142" s="230">
        <v>3.8272950502844951</v>
      </c>
      <c r="C142" s="230">
        <v>6.2366990497156056</v>
      </c>
      <c r="D142" s="226">
        <v>4.5133014253595443</v>
      </c>
      <c r="E142" s="230">
        <v>4.8311947832950679</v>
      </c>
      <c r="F142" s="230">
        <v>10.350024970158852</v>
      </c>
      <c r="G142" s="226">
        <v>6.4025181031032394</v>
      </c>
      <c r="H142" s="233">
        <v>8.7945195109199889E-2</v>
      </c>
      <c r="I142" s="233">
        <v>5.5086493694289071E-2</v>
      </c>
      <c r="J142" s="265">
        <v>7.8589653799963813E-2</v>
      </c>
      <c r="K142" s="251"/>
    </row>
    <row r="143" spans="1:11">
      <c r="A143" s="118">
        <v>40724</v>
      </c>
      <c r="B143" s="230">
        <v>3.9140118556100205</v>
      </c>
      <c r="C143" s="230">
        <v>6.2059047935738354</v>
      </c>
      <c r="D143" s="226">
        <v>4.5561143024168862</v>
      </c>
      <c r="E143" s="230">
        <v>5.1707688946464039</v>
      </c>
      <c r="F143" s="230">
        <v>10.338664112155401</v>
      </c>
      <c r="G143" s="226">
        <v>6.6186193195236322</v>
      </c>
      <c r="H143" s="233">
        <v>8.608509587900387E-2</v>
      </c>
      <c r="I143" s="233">
        <v>5.5752059293162556E-2</v>
      </c>
      <c r="J143" s="265">
        <v>7.7586916628032937E-2</v>
      </c>
      <c r="K143" s="251"/>
    </row>
    <row r="144" spans="1:11">
      <c r="A144" s="118">
        <v>40755</v>
      </c>
      <c r="B144" s="230">
        <v>3.9540084273443199</v>
      </c>
      <c r="C144" s="230">
        <v>6.3029469281799777</v>
      </c>
      <c r="D144" s="227">
        <v>4.639464515080201</v>
      </c>
      <c r="E144" s="230">
        <v>5.1128851444981773</v>
      </c>
      <c r="F144" s="230">
        <v>9.9610686700456181</v>
      </c>
      <c r="G144" s="227">
        <v>6.527659056571669</v>
      </c>
      <c r="H144" s="233">
        <v>8.8001401085419526E-2</v>
      </c>
      <c r="I144" s="233">
        <v>5.4146973168631575E-2</v>
      </c>
      <c r="J144" s="184">
        <v>7.8207877730351469E-2</v>
      </c>
      <c r="K144" s="251"/>
    </row>
    <row r="145" spans="1:11">
      <c r="A145" s="118">
        <v>40786</v>
      </c>
      <c r="B145" s="230">
        <v>3.9177555454748059</v>
      </c>
      <c r="C145" s="230">
        <v>5.9114213979178372</v>
      </c>
      <c r="D145" s="227">
        <v>4.488905897464905</v>
      </c>
      <c r="E145" s="230">
        <v>5.0641381272208132</v>
      </c>
      <c r="F145" s="230">
        <v>9.8810638211318036</v>
      </c>
      <c r="G145" s="227">
        <v>6.4441029805166252</v>
      </c>
      <c r="H145" s="233">
        <v>8.816316605009536E-2</v>
      </c>
      <c r="I145" s="233">
        <v>5.2149565177001402E-2</v>
      </c>
      <c r="J145" s="184">
        <v>7.7845900100090154E-2</v>
      </c>
      <c r="K145" s="251"/>
    </row>
    <row r="146" spans="1:11">
      <c r="A146" s="118">
        <v>40816</v>
      </c>
      <c r="B146" s="230">
        <v>4.0489655130530595</v>
      </c>
      <c r="C146" s="230">
        <v>5.8438671861221634</v>
      </c>
      <c r="D146" s="227">
        <v>4.5868374947002231</v>
      </c>
      <c r="E146" s="230">
        <v>5.3006564459931136</v>
      </c>
      <c r="F146" s="230">
        <v>9.817167934538972</v>
      </c>
      <c r="G146" s="227">
        <v>6.6541038358562412</v>
      </c>
      <c r="H146" s="233">
        <v>8.9065845778320871E-2</v>
      </c>
      <c r="I146" s="233">
        <v>5.1878695008468576E-2</v>
      </c>
      <c r="J146" s="184">
        <v>7.7922100816408296E-2</v>
      </c>
      <c r="K146" s="251"/>
    </row>
    <row r="147" spans="1:11">
      <c r="A147" s="118">
        <v>40847</v>
      </c>
      <c r="B147" s="230">
        <v>4.0496037732207668</v>
      </c>
      <c r="C147" s="230">
        <v>5.714562207113012</v>
      </c>
      <c r="D147" s="227">
        <v>4.535897355571711</v>
      </c>
      <c r="E147" s="230">
        <v>5.2637111118963729</v>
      </c>
      <c r="F147" s="230">
        <v>9.7122853095973927</v>
      </c>
      <c r="G147" s="227">
        <v>6.563030685837167</v>
      </c>
      <c r="H147" s="233">
        <v>8.9889078424864446E-2</v>
      </c>
      <c r="I147" s="233">
        <v>5.1853173693253179E-2</v>
      </c>
      <c r="J147" s="184">
        <v>7.8779722183066794E-2</v>
      </c>
      <c r="K147" s="251"/>
    </row>
    <row r="148" spans="1:11">
      <c r="A148" s="118">
        <v>40877</v>
      </c>
      <c r="B148" s="230">
        <v>3.9815205988025593</v>
      </c>
      <c r="C148" s="230">
        <v>5.1913242794745438</v>
      </c>
      <c r="D148" s="227">
        <v>4.3462647375856944</v>
      </c>
      <c r="E148" s="230">
        <v>5.7133601536716778</v>
      </c>
      <c r="F148" s="230">
        <v>9.6928366155725261</v>
      </c>
      <c r="G148" s="227">
        <v>6.9131339170458759</v>
      </c>
      <c r="H148" s="233">
        <v>8.9768028102158046E-2</v>
      </c>
      <c r="I148" s="233">
        <v>5.202045885236798E-2</v>
      </c>
      <c r="J148" s="184">
        <v>7.8387500123003689E-2</v>
      </c>
      <c r="K148" s="251"/>
    </row>
    <row r="149" spans="1:11">
      <c r="A149" s="118">
        <v>40878</v>
      </c>
      <c r="B149" s="230">
        <v>3.8999773443533421</v>
      </c>
      <c r="C149" s="230">
        <v>5.4922817844019889</v>
      </c>
      <c r="D149" s="227">
        <v>4.3744959526475435</v>
      </c>
      <c r="E149" s="230">
        <v>5.0305028681531807</v>
      </c>
      <c r="F149" s="230">
        <v>9.7174917617085015</v>
      </c>
      <c r="G149" s="227">
        <v>6.4272605427046008</v>
      </c>
      <c r="H149" s="233">
        <v>8.7733678612698748E-2</v>
      </c>
      <c r="I149" s="233">
        <v>5.0977711402670843E-2</v>
      </c>
      <c r="J149" s="184">
        <v>7.6780126032969159E-2</v>
      </c>
      <c r="K149" s="251"/>
    </row>
    <row r="150" spans="1:11">
      <c r="A150" s="118">
        <v>40909</v>
      </c>
      <c r="B150" s="230">
        <v>3.9</v>
      </c>
      <c r="C150" s="230">
        <v>6.406418687252911</v>
      </c>
      <c r="D150" s="227">
        <v>4.6296219668879068</v>
      </c>
      <c r="E150" s="230">
        <v>5</v>
      </c>
      <c r="F150" s="230">
        <v>10.984640715689409</v>
      </c>
      <c r="G150" s="227">
        <v>6.7421372384055118</v>
      </c>
      <c r="H150" s="233">
        <v>8.7999999999999995E-2</v>
      </c>
      <c r="I150" s="233">
        <v>5.1342345073373222E-2</v>
      </c>
      <c r="J150" s="184">
        <v>7.744687538007558E-2</v>
      </c>
      <c r="K150" s="251"/>
    </row>
    <row r="151" spans="1:11">
      <c r="A151" s="118">
        <v>40940</v>
      </c>
      <c r="B151" s="230">
        <v>3.9248638845977402</v>
      </c>
      <c r="C151" s="230">
        <v>6.3872703460973286</v>
      </c>
      <c r="D151" s="227">
        <v>4.6121674275241062</v>
      </c>
      <c r="E151" s="230">
        <v>5.0887754144494988</v>
      </c>
      <c r="F151" s="230">
        <v>10.90863300348768</v>
      </c>
      <c r="G151" s="227">
        <v>6.7132061503227547</v>
      </c>
      <c r="H151" s="233">
        <v>8.8716219285870326E-2</v>
      </c>
      <c r="I151" s="233">
        <v>5.1439505908519569E-2</v>
      </c>
      <c r="J151" s="184">
        <v>7.831159374029685E-2</v>
      </c>
      <c r="K151" s="251"/>
    </row>
    <row r="152" spans="1:11">
      <c r="A152" s="118">
        <v>40969</v>
      </c>
      <c r="B152" s="230">
        <v>3.92</v>
      </c>
      <c r="C152" s="230">
        <v>6.3196600467638202</v>
      </c>
      <c r="D152" s="227">
        <v>4.5920838164330373</v>
      </c>
      <c r="E152" s="230">
        <v>5.1380278287448835</v>
      </c>
      <c r="F152" s="230">
        <v>10.835438400960831</v>
      </c>
      <c r="G152" s="227">
        <v>6.7337277889641642</v>
      </c>
      <c r="H152" s="233">
        <v>8.9924789190600971E-2</v>
      </c>
      <c r="I152" s="233">
        <v>5.227677088614275E-2</v>
      </c>
      <c r="J152" s="184">
        <v>7.9380535700476748E-2</v>
      </c>
      <c r="K152" s="251"/>
    </row>
    <row r="153" spans="1:11">
      <c r="A153" s="118">
        <v>41000</v>
      </c>
      <c r="B153" s="230">
        <v>3.9587431381197664</v>
      </c>
      <c r="C153" s="230">
        <v>5.9662111189767302</v>
      </c>
      <c r="D153" s="227">
        <v>4.5181827344993613</v>
      </c>
      <c r="E153" s="230">
        <v>5.1870350380518646</v>
      </c>
      <c r="F153" s="230">
        <v>10.742721372331307</v>
      </c>
      <c r="G153" s="262">
        <v>6.7352893315694748</v>
      </c>
      <c r="H153" s="233">
        <v>8.9127097281255965E-2</v>
      </c>
      <c r="I153" s="233">
        <v>5.2266383804067167E-2</v>
      </c>
      <c r="J153" s="184">
        <v>7.8854782670718868E-2</v>
      </c>
      <c r="K153" s="251"/>
    </row>
    <row r="154" spans="1:11">
      <c r="A154" s="118">
        <v>41030</v>
      </c>
      <c r="B154" s="230">
        <v>3.9821881869142257</v>
      </c>
      <c r="C154" s="230">
        <v>5.8596934583723952</v>
      </c>
      <c r="D154" s="227">
        <v>4.5151590558360537</v>
      </c>
      <c r="E154" s="230">
        <v>5.2229183588860684</v>
      </c>
      <c r="F154" s="230">
        <v>10.700118068018632</v>
      </c>
      <c r="G154" s="227">
        <v>6.777741097661961</v>
      </c>
      <c r="H154" s="233">
        <v>8.9113849599591385E-2</v>
      </c>
      <c r="I154" s="233">
        <v>5.2394734719252989E-2</v>
      </c>
      <c r="J154" s="184">
        <v>7.8690327034131369E-2</v>
      </c>
      <c r="K154" s="251"/>
    </row>
    <row r="155" spans="1:11">
      <c r="A155" s="118">
        <v>41061</v>
      </c>
      <c r="B155" s="230">
        <v>4.0345919345976871</v>
      </c>
      <c r="C155" s="230">
        <v>6.0575846577515247</v>
      </c>
      <c r="D155" s="227">
        <v>4.6035562590304107</v>
      </c>
      <c r="E155" s="230">
        <v>5.2809484234046051</v>
      </c>
      <c r="F155" s="230">
        <v>10.624212697143934</v>
      </c>
      <c r="G155" s="227">
        <v>6.7837352169399079</v>
      </c>
      <c r="H155" s="233">
        <v>8.8537757954083668E-2</v>
      </c>
      <c r="I155" s="233">
        <v>5.093154388206185E-2</v>
      </c>
      <c r="J155" s="184">
        <v>7.7961054469652402E-2</v>
      </c>
      <c r="K155" s="251"/>
    </row>
    <row r="156" spans="1:11">
      <c r="A156" s="118">
        <v>41091</v>
      </c>
      <c r="B156" s="230">
        <v>4.1327581882730096</v>
      </c>
      <c r="C156" s="230">
        <v>5.983514673808803</v>
      </c>
      <c r="D156" s="227">
        <v>4.6449507496323976</v>
      </c>
      <c r="E156" s="230">
        <v>5.3125637304120428</v>
      </c>
      <c r="F156" s="230">
        <v>10.548203014598252</v>
      </c>
      <c r="G156" s="227">
        <v>6.7615147492408783</v>
      </c>
      <c r="H156" s="233">
        <v>8.8479506646864881E-2</v>
      </c>
      <c r="I156" s="233">
        <v>5.0635913087595123E-2</v>
      </c>
      <c r="J156" s="184">
        <v>7.8006379972636555E-2</v>
      </c>
      <c r="K156" s="251"/>
    </row>
    <row r="157" spans="1:11">
      <c r="A157" s="118">
        <v>41122</v>
      </c>
      <c r="B157" s="230">
        <v>4.265027514407107</v>
      </c>
      <c r="C157" s="230">
        <v>5.9081390113477061</v>
      </c>
      <c r="D157" s="227">
        <v>4.7304876851063922</v>
      </c>
      <c r="E157" s="230">
        <v>5.462545539246058</v>
      </c>
      <c r="F157" s="230">
        <v>10.479486355914345</v>
      </c>
      <c r="G157" s="227">
        <v>6.883743147115422</v>
      </c>
      <c r="H157" s="233">
        <v>8.8292573802120841E-2</v>
      </c>
      <c r="I157" s="233">
        <v>5.0827994798130965E-2</v>
      </c>
      <c r="J157" s="184">
        <v>7.7679618217035326E-2</v>
      </c>
      <c r="K157" s="251"/>
    </row>
    <row r="158" spans="1:11">
      <c r="A158" s="118">
        <v>41182</v>
      </c>
      <c r="B158" s="230">
        <v>4.2349410965869332</v>
      </c>
      <c r="C158" s="230">
        <v>5.9251343317131635</v>
      </c>
      <c r="D158" s="227">
        <v>4.7127116259834132</v>
      </c>
      <c r="E158" s="230">
        <v>5.4399244926187915</v>
      </c>
      <c r="F158" s="230">
        <v>10.389700527895874</v>
      </c>
      <c r="G158" s="227">
        <v>6.8390882495319012</v>
      </c>
      <c r="H158" s="233">
        <v>8.808614582474919E-2</v>
      </c>
      <c r="I158" s="233">
        <v>5.0299719101554896E-2</v>
      </c>
      <c r="J158" s="184">
        <v>7.7404975929880007E-2</v>
      </c>
      <c r="K158" s="251"/>
    </row>
    <row r="159" spans="1:11">
      <c r="A159" s="118">
        <v>41213</v>
      </c>
      <c r="B159" s="230">
        <v>4.2349410965869332</v>
      </c>
      <c r="C159" s="230">
        <v>5.8893376815883007</v>
      </c>
      <c r="D159" s="227">
        <v>4.7084328451614326</v>
      </c>
      <c r="E159" s="230">
        <v>5.4399244926187915</v>
      </c>
      <c r="F159" s="230">
        <v>10.313249575457498</v>
      </c>
      <c r="G159" s="227">
        <v>6.8346802819891881</v>
      </c>
      <c r="H159" s="233">
        <v>8.808614582474919E-2</v>
      </c>
      <c r="I159" s="233">
        <v>5.0532833110525692E-2</v>
      </c>
      <c r="J159" s="184">
        <v>7.7338309506042091E-2</v>
      </c>
      <c r="K159" s="251"/>
    </row>
    <row r="160" spans="1:11">
      <c r="A160" s="118">
        <v>41243</v>
      </c>
      <c r="B160" s="230">
        <v>4.1199573009932688</v>
      </c>
      <c r="C160" s="230">
        <v>5.846252750263722</v>
      </c>
      <c r="D160" s="227">
        <v>4.603393211614434</v>
      </c>
      <c r="E160" s="230">
        <v>5.2689551220911737</v>
      </c>
      <c r="F160" s="230">
        <v>10.260598600804606</v>
      </c>
      <c r="G160" s="227">
        <v>6.6668269126052699</v>
      </c>
      <c r="H160" s="233">
        <v>8.703389558664415E-2</v>
      </c>
      <c r="I160" s="233">
        <v>5.0363095152469672E-2</v>
      </c>
      <c r="J160" s="184">
        <v>7.676451683772019E-2</v>
      </c>
      <c r="K160" s="251"/>
    </row>
    <row r="161" spans="1:11">
      <c r="A161" s="118">
        <v>41274</v>
      </c>
      <c r="B161" s="230">
        <v>4.0859076773955874</v>
      </c>
      <c r="C161" s="230">
        <v>5.8636639063576714</v>
      </c>
      <c r="D161" s="227">
        <v>4.5751160148438288</v>
      </c>
      <c r="E161" s="230">
        <v>5.1389638181873147</v>
      </c>
      <c r="F161" s="230">
        <v>10.36515957114575</v>
      </c>
      <c r="G161" s="227">
        <v>6.5771241766390167</v>
      </c>
      <c r="H161" s="233">
        <v>8.4471746077433366E-2</v>
      </c>
      <c r="I161" s="233">
        <v>4.9865478563439945E-2</v>
      </c>
      <c r="J161" s="184">
        <v>7.4948688686323039E-2</v>
      </c>
      <c r="K161" s="251"/>
    </row>
    <row r="162" spans="1:11">
      <c r="A162" s="118">
        <v>41305</v>
      </c>
      <c r="B162" s="230">
        <v>4.1754052858257502</v>
      </c>
      <c r="C162" s="230">
        <v>6.0529655451799398</v>
      </c>
      <c r="D162" s="227">
        <v>4.7</v>
      </c>
      <c r="E162" s="230">
        <v>5.2999366107225896</v>
      </c>
      <c r="F162" s="230">
        <v>10.5742928781721</v>
      </c>
      <c r="G162" s="227">
        <v>6.76</v>
      </c>
      <c r="H162" s="233">
        <v>8.4666008950656693E-2</v>
      </c>
      <c r="I162" s="233">
        <v>5.0280869153916198E-2</v>
      </c>
      <c r="J162" s="184">
        <v>7.5118332296658721E-2</v>
      </c>
      <c r="K162" s="251"/>
    </row>
    <row r="163" spans="1:11">
      <c r="A163" s="118">
        <v>41333</v>
      </c>
      <c r="B163" s="230">
        <v>4.1830372110468401</v>
      </c>
      <c r="C163" s="230">
        <v>5.9085829190694552</v>
      </c>
      <c r="D163" s="227">
        <v>4.6606357916095744</v>
      </c>
      <c r="E163" s="230">
        <v>5.2898534344046091</v>
      </c>
      <c r="F163" s="230">
        <v>10.523221080742552</v>
      </c>
      <c r="G163" s="227">
        <v>6.7383511170989596</v>
      </c>
      <c r="H163" s="233">
        <v>8.312686357340264E-2</v>
      </c>
      <c r="I163" s="233">
        <v>5.103462203468552E-2</v>
      </c>
      <c r="J163" s="184">
        <v>7.4244335029124378E-2</v>
      </c>
      <c r="K163" s="251"/>
    </row>
    <row r="164" spans="1:11">
      <c r="A164" s="118">
        <v>41334</v>
      </c>
      <c r="B164" s="230">
        <v>4.24</v>
      </c>
      <c r="C164" s="230">
        <v>5.9421259037175815</v>
      </c>
      <c r="D164" s="227">
        <v>4.7078870985536918</v>
      </c>
      <c r="E164" s="230">
        <v>5.2505883086264253</v>
      </c>
      <c r="F164" s="230">
        <v>10.454914501529641</v>
      </c>
      <c r="G164" s="227">
        <v>6.681174070235568</v>
      </c>
      <c r="H164" s="233">
        <v>8.1124502597753403E-2</v>
      </c>
      <c r="I164" s="233">
        <v>5.0576720105953848E-2</v>
      </c>
      <c r="J164" s="184">
        <v>7.2727407361660418E-2</v>
      </c>
      <c r="K164" s="251"/>
    </row>
    <row r="165" spans="1:11">
      <c r="A165" s="118">
        <v>41394</v>
      </c>
      <c r="B165" s="230">
        <v>4.294555908555882</v>
      </c>
      <c r="C165" s="230">
        <v>5.8736269630948925</v>
      </c>
      <c r="D165" s="227">
        <v>4.7311978408751845</v>
      </c>
      <c r="E165" s="230">
        <v>5.4225199312501848</v>
      </c>
      <c r="F165" s="230">
        <v>10.373253365594223</v>
      </c>
      <c r="G165" s="262">
        <v>6.7914879754404698</v>
      </c>
      <c r="H165" s="233">
        <v>8.0856624058377069E-2</v>
      </c>
      <c r="I165" s="233">
        <v>5.0233050033306428E-2</v>
      </c>
      <c r="J165" s="184">
        <v>7.2388647586771299E-2</v>
      </c>
      <c r="K165" s="251"/>
    </row>
    <row r="166" spans="1:11">
      <c r="A166" s="118">
        <v>41425</v>
      </c>
      <c r="B166" s="230">
        <v>4.2677799935339156</v>
      </c>
      <c r="C166" s="230">
        <v>5.7467705338471511</v>
      </c>
      <c r="D166" s="227">
        <v>4.6839721029067141</v>
      </c>
      <c r="E166" s="230">
        <v>5.4827963474673211</v>
      </c>
      <c r="F166" s="230">
        <v>10.335201405818804</v>
      </c>
      <c r="G166" s="227">
        <v>6.8482768165572896</v>
      </c>
      <c r="H166" s="233">
        <v>8.1569130765409406E-2</v>
      </c>
      <c r="I166" s="233">
        <v>5.3829964901422452E-2</v>
      </c>
      <c r="J166" s="184">
        <v>7.3763251256045131E-2</v>
      </c>
      <c r="K166" s="251"/>
    </row>
    <row r="167" spans="1:11">
      <c r="A167" s="118">
        <v>41455</v>
      </c>
      <c r="B167" s="230">
        <v>4.2690899561800171</v>
      </c>
      <c r="C167" s="230">
        <v>5.6426380058418921</v>
      </c>
      <c r="D167" s="227">
        <v>4.6579315063965945</v>
      </c>
      <c r="E167" s="230">
        <v>5.5532617542802001</v>
      </c>
      <c r="F167" s="230">
        <v>10.275309442969084</v>
      </c>
      <c r="G167" s="227">
        <v>6.8900394111800738</v>
      </c>
      <c r="H167" s="233">
        <v>8.2534254401690987E-2</v>
      </c>
      <c r="I167" s="233">
        <v>5.4080481094121488E-2</v>
      </c>
      <c r="J167" s="184">
        <v>7.4479196316791799E-2</v>
      </c>
      <c r="K167" s="251"/>
    </row>
    <row r="168" spans="1:11">
      <c r="A168" s="118">
        <v>41486</v>
      </c>
      <c r="B168" s="230">
        <v>4.3198760248191306</v>
      </c>
      <c r="C168" s="230">
        <v>5.6132570269838755</v>
      </c>
      <c r="D168" s="227">
        <v>4.6759866955922043</v>
      </c>
      <c r="E168" s="230">
        <v>5.5645893243236699</v>
      </c>
      <c r="F168" s="230">
        <v>10.231601080447373</v>
      </c>
      <c r="G168" s="227">
        <v>6.8495723913374658</v>
      </c>
      <c r="H168" s="233">
        <v>8.2066884885636196E-2</v>
      </c>
      <c r="I168" s="233">
        <v>5.2600000000000001E-2</v>
      </c>
      <c r="J168" s="184">
        <v>7.3953674528708241E-2</v>
      </c>
      <c r="K168" s="251"/>
    </row>
    <row r="169" spans="1:11">
      <c r="A169" s="118">
        <v>41517</v>
      </c>
      <c r="B169" s="230">
        <v>4.2971164532801938</v>
      </c>
      <c r="C169" s="230">
        <v>5.4797252290833161</v>
      </c>
      <c r="D169" s="227">
        <v>4.624422621194527</v>
      </c>
      <c r="E169" s="230">
        <v>5.5371423710668495</v>
      </c>
      <c r="F169" s="230">
        <v>10.18717544644449</v>
      </c>
      <c r="G169" s="227">
        <v>6.8241144769039312</v>
      </c>
      <c r="H169" s="233">
        <v>8.1193697125312742E-2</v>
      </c>
      <c r="I169" s="233">
        <v>5.2900000000000003E-2</v>
      </c>
      <c r="J169" s="184">
        <v>7.3362957347548233E-2</v>
      </c>
      <c r="K169" s="251"/>
    </row>
    <row r="170" spans="1:11">
      <c r="A170" s="118">
        <v>41547</v>
      </c>
      <c r="B170" s="230">
        <v>4.2748295266503966</v>
      </c>
      <c r="C170" s="230">
        <v>5.5417369182092937</v>
      </c>
      <c r="D170" s="227">
        <v>4.6316362859570086</v>
      </c>
      <c r="E170" s="230">
        <v>5.5104535993185939</v>
      </c>
      <c r="F170" s="230">
        <v>10.606690097145075</v>
      </c>
      <c r="G170" s="227">
        <v>6.945737378989409</v>
      </c>
      <c r="H170" s="233">
        <v>8.0468946417488182E-2</v>
      </c>
      <c r="I170" s="233">
        <v>5.2043607951707815E-2</v>
      </c>
      <c r="J170" s="184">
        <v>7.2463347138689446E-2</v>
      </c>
      <c r="K170" s="251"/>
    </row>
    <row r="171" spans="1:11">
      <c r="A171" s="118">
        <v>41578</v>
      </c>
      <c r="B171" s="230">
        <v>4.3037502634213638</v>
      </c>
      <c r="C171" s="230">
        <v>5.5124273900950929</v>
      </c>
      <c r="D171" s="227">
        <v>4.6363181693173789</v>
      </c>
      <c r="E171" s="230">
        <v>5.5069141070790426</v>
      </c>
      <c r="F171" s="230">
        <v>10.464844999522665</v>
      </c>
      <c r="G171" s="227">
        <v>6.8710904103195576</v>
      </c>
      <c r="H171" s="233">
        <v>7.9151859577546529E-2</v>
      </c>
      <c r="I171" s="233">
        <v>5.2131830885851466E-2</v>
      </c>
      <c r="J171" s="184">
        <v>7.1717289864147007E-2</v>
      </c>
      <c r="K171" s="251"/>
    </row>
    <row r="172" spans="1:11">
      <c r="A172" s="118">
        <v>41608</v>
      </c>
      <c r="B172" s="230">
        <v>4.3362375934208988</v>
      </c>
      <c r="C172" s="230">
        <v>5.4398525842033942</v>
      </c>
      <c r="D172" s="227">
        <v>4.645410866409744</v>
      </c>
      <c r="E172" s="230">
        <v>5.5421660577762832</v>
      </c>
      <c r="F172" s="230">
        <v>10.455522073482072</v>
      </c>
      <c r="G172" s="227">
        <v>6.9186228596706805</v>
      </c>
      <c r="H172" s="233">
        <v>7.787916288634894E-2</v>
      </c>
      <c r="I172" s="233">
        <v>5.267083223882895E-2</v>
      </c>
      <c r="J172" s="184">
        <v>7.0817151081532151E-2</v>
      </c>
      <c r="K172" s="251"/>
    </row>
    <row r="173" spans="1:11">
      <c r="A173" s="118">
        <v>41639</v>
      </c>
      <c r="B173" s="230">
        <v>4.2449828157477301</v>
      </c>
      <c r="C173" s="230">
        <v>5.4188170349855573</v>
      </c>
      <c r="D173" s="227">
        <v>4.5684713477967636</v>
      </c>
      <c r="E173" s="230">
        <v>5.2942344710728282</v>
      </c>
      <c r="F173" s="230">
        <v>10.495637801210387</v>
      </c>
      <c r="G173" s="227">
        <v>6.7276518142421757</v>
      </c>
      <c r="H173" s="233">
        <v>7.5778428502810039E-2</v>
      </c>
      <c r="I173" s="233">
        <v>5.1383345192264659E-2</v>
      </c>
      <c r="J173" s="184">
        <v>6.9055562905599735E-2</v>
      </c>
      <c r="K173" s="251"/>
    </row>
    <row r="174" spans="1:11">
      <c r="A174" s="118">
        <v>41670</v>
      </c>
      <c r="B174" s="230">
        <v>4.2199619006954752</v>
      </c>
      <c r="C174" s="230">
        <v>5.8802294334729668</v>
      </c>
      <c r="D174" s="227">
        <v>4.6997941831347756</v>
      </c>
      <c r="E174" s="230">
        <v>5.4852136469046071</v>
      </c>
      <c r="F174" s="230">
        <v>11.201601753033506</v>
      </c>
      <c r="G174" s="227">
        <v>7.185587100117302</v>
      </c>
      <c r="H174" s="233">
        <v>7.8808992069852757E-2</v>
      </c>
      <c r="I174" s="233">
        <v>5.9816619916831064E-2</v>
      </c>
      <c r="J174" s="184">
        <v>7.3159598637676668E-2</v>
      </c>
      <c r="K174" s="251"/>
    </row>
    <row r="175" spans="1:11">
      <c r="A175" s="118">
        <v>41698</v>
      </c>
      <c r="B175" s="230">
        <v>4.2214598966535819</v>
      </c>
      <c r="C175" s="230">
        <v>5.5306668283953595</v>
      </c>
      <c r="D175" s="227">
        <v>4.6112960594599759</v>
      </c>
      <c r="E175" s="230">
        <v>5.4502195853029063</v>
      </c>
      <c r="F175" s="230">
        <v>11.139734277413435</v>
      </c>
      <c r="G175" s="227">
        <v>7.1443586262963397</v>
      </c>
      <c r="H175" s="233">
        <v>7.8678143146550777E-2</v>
      </c>
      <c r="I175" s="233">
        <v>5.7883081410198531E-2</v>
      </c>
      <c r="J175" s="184">
        <v>7.2486099034901857E-2</v>
      </c>
      <c r="K175" s="251"/>
    </row>
    <row r="176" spans="1:11">
      <c r="A176" s="118">
        <v>41729</v>
      </c>
      <c r="B176" s="230">
        <v>4.3144656060980617</v>
      </c>
      <c r="C176" s="230">
        <v>5.8798340578907125</v>
      </c>
      <c r="D176" s="227">
        <v>4.7572567733591411</v>
      </c>
      <c r="E176" s="230">
        <v>5.6108656826241132</v>
      </c>
      <c r="F176" s="230">
        <v>11.039864068409019</v>
      </c>
      <c r="G176" s="227">
        <v>7.1465504790995134</v>
      </c>
      <c r="H176" s="233">
        <v>7.9404111789997914E-2</v>
      </c>
      <c r="I176" s="233">
        <v>6.0138065695223786E-2</v>
      </c>
      <c r="J176" s="184">
        <v>7.3954382028904725E-2</v>
      </c>
      <c r="K176" s="251"/>
    </row>
    <row r="177" spans="1:11">
      <c r="A177" s="118">
        <v>41759</v>
      </c>
      <c r="B177" s="230">
        <v>4.3461754500336278</v>
      </c>
      <c r="C177" s="230">
        <v>5.8861336577536916</v>
      </c>
      <c r="D177" s="227">
        <v>4.7707275638038391</v>
      </c>
      <c r="E177" s="230">
        <v>5.6522065718154275</v>
      </c>
      <c r="F177" s="230">
        <v>10.949240518197081</v>
      </c>
      <c r="G177" s="262">
        <v>7.1125494222739372</v>
      </c>
      <c r="H177" s="233">
        <v>7.9658781992458391E-2</v>
      </c>
      <c r="I177" s="233">
        <v>6.0185346424002945E-2</v>
      </c>
      <c r="J177" s="184">
        <v>7.429013744645091E-2</v>
      </c>
      <c r="K177" s="251"/>
    </row>
    <row r="178" spans="1:11">
      <c r="A178" s="118">
        <v>41790</v>
      </c>
      <c r="B178" s="230">
        <v>4.5943717883181172</v>
      </c>
      <c r="C178" s="230">
        <v>5.9614562827387205</v>
      </c>
      <c r="D178" s="227">
        <v>4.9741896972545065</v>
      </c>
      <c r="E178" s="230">
        <v>5.9576008347457607</v>
      </c>
      <c r="F178" s="230">
        <v>10.947902098704585</v>
      </c>
      <c r="G178" s="227">
        <v>7.3440592422363427</v>
      </c>
      <c r="H178" s="233">
        <v>7.9435562998076165E-2</v>
      </c>
      <c r="I178" s="233">
        <v>6.0209664664697918E-2</v>
      </c>
      <c r="J178" s="184">
        <v>7.4094020077934877E-2</v>
      </c>
      <c r="K178" s="251"/>
    </row>
    <row r="179" spans="1:11">
      <c r="A179" s="118">
        <v>41820</v>
      </c>
      <c r="B179" s="230">
        <v>4.6069587107278567</v>
      </c>
      <c r="C179" s="230">
        <v>5.8245042243661773</v>
      </c>
      <c r="D179" s="227">
        <v>4.9348707553109721</v>
      </c>
      <c r="E179" s="230">
        <v>5.8803067462156369</v>
      </c>
      <c r="F179" s="230">
        <v>10.878406255081993</v>
      </c>
      <c r="G179" s="227">
        <v>7.2264059356288444</v>
      </c>
      <c r="H179" s="233">
        <v>7.8771160572038659E-2</v>
      </c>
      <c r="I179" s="233">
        <v>6.0304275476794164E-2</v>
      </c>
      <c r="J179" s="184">
        <v>7.3797618325911266E-2</v>
      </c>
      <c r="K179" s="251"/>
    </row>
    <row r="180" spans="1:11">
      <c r="A180" s="118">
        <v>41851</v>
      </c>
      <c r="B180" s="230">
        <v>4.6752045746859441</v>
      </c>
      <c r="C180" s="230">
        <v>5.7507476247441209</v>
      </c>
      <c r="D180" s="227">
        <v>4.962271419734134</v>
      </c>
      <c r="E180" s="230">
        <v>5.9031067064329692</v>
      </c>
      <c r="F180" s="230">
        <v>10.799318300026949</v>
      </c>
      <c r="G180" s="227">
        <v>7.209925633658032</v>
      </c>
      <c r="H180" s="233">
        <v>8.0190323495994781E-2</v>
      </c>
      <c r="I180" s="233">
        <v>6.0253084775355528E-2</v>
      </c>
      <c r="J180" s="184">
        <v>7.4868992826620864E-2</v>
      </c>
      <c r="K180" s="251"/>
    </row>
    <row r="181" spans="1:11">
      <c r="A181" s="118">
        <v>41882</v>
      </c>
      <c r="B181" s="230">
        <v>4.6405843281016317</v>
      </c>
      <c r="C181" s="230">
        <v>5.8558444097823967</v>
      </c>
      <c r="D181" s="227">
        <v>4.9674765395249638</v>
      </c>
      <c r="E181" s="230">
        <v>5.8639984487072692</v>
      </c>
      <c r="F181" s="230">
        <v>10.733756627608802</v>
      </c>
      <c r="G181" s="227">
        <v>7.1739123051686162</v>
      </c>
      <c r="H181" s="233">
        <v>8.0116192393671112E-2</v>
      </c>
      <c r="I181" s="233">
        <v>6.0360369993584233E-2</v>
      </c>
      <c r="J181" s="184">
        <v>7.4802083446786891E-2</v>
      </c>
      <c r="K181" s="251"/>
    </row>
    <row r="182" spans="1:11">
      <c r="A182" s="118">
        <v>41912</v>
      </c>
      <c r="B182" s="230">
        <v>4.6693372899125025</v>
      </c>
      <c r="C182" s="230">
        <v>5.8614596048757344</v>
      </c>
      <c r="D182" s="227">
        <v>4.9967817524524198</v>
      </c>
      <c r="E182" s="230">
        <v>5.7871001488593068</v>
      </c>
      <c r="F182" s="230">
        <v>10.707476613799336</v>
      </c>
      <c r="G182" s="227">
        <v>7.1385973961078282</v>
      </c>
      <c r="H182" s="233">
        <v>7.7666392813070403E-2</v>
      </c>
      <c r="I182" s="233">
        <v>6.0114001742393841E-2</v>
      </c>
      <c r="J182" s="184">
        <v>7.2845215331290444E-2</v>
      </c>
      <c r="K182" s="251"/>
    </row>
    <row r="183" spans="1:11">
      <c r="A183" s="118">
        <v>41943</v>
      </c>
      <c r="B183" s="230">
        <v>4.6791407851627191</v>
      </c>
      <c r="C183" s="230">
        <v>5.9060940373940793</v>
      </c>
      <c r="D183" s="227">
        <v>5.0195171585508618</v>
      </c>
      <c r="E183" s="230">
        <v>5.7291445404629862</v>
      </c>
      <c r="F183" s="230">
        <v>10.888207147565753</v>
      </c>
      <c r="G183" s="227">
        <v>7.1603506741070166</v>
      </c>
      <c r="H183" s="233">
        <v>7.7850961226951509E-2</v>
      </c>
      <c r="I183" s="233">
        <v>5.9547109439513864E-2</v>
      </c>
      <c r="J183" s="184">
        <v>7.2773181222610089E-2</v>
      </c>
      <c r="K183" s="251"/>
    </row>
    <row r="184" spans="1:11">
      <c r="A184" s="118">
        <v>41973</v>
      </c>
      <c r="B184" s="230">
        <v>4.6330338147628964</v>
      </c>
      <c r="C184" s="230">
        <v>5.890542954461111</v>
      </c>
      <c r="D184" s="227">
        <v>4.9964163233470194</v>
      </c>
      <c r="E184" s="230">
        <v>5.7882132714502559</v>
      </c>
      <c r="F184" s="230">
        <v>10.896989468908499</v>
      </c>
      <c r="G184" s="227">
        <v>7.2644967049629141</v>
      </c>
      <c r="H184" s="233">
        <v>7.8951226199847457E-2</v>
      </c>
      <c r="I184" s="233">
        <v>5.9361460707873646E-2</v>
      </c>
      <c r="J184" s="184">
        <v>7.3290370224871004E-2</v>
      </c>
      <c r="K184" s="251"/>
    </row>
    <row r="185" spans="1:11">
      <c r="A185" s="118">
        <v>42004</v>
      </c>
      <c r="B185" s="230">
        <v>4.5280867970029002</v>
      </c>
      <c r="C185" s="230">
        <v>5.7208130232232302</v>
      </c>
      <c r="D185" s="227">
        <v>4.897456636460773</v>
      </c>
      <c r="E185" s="230">
        <v>5.681577419274098</v>
      </c>
      <c r="F185" s="230">
        <v>11.468151073784005</v>
      </c>
      <c r="G185" s="227">
        <v>7.4735945098605221</v>
      </c>
      <c r="H185" s="233">
        <v>7.8979903108518518E-2</v>
      </c>
      <c r="I185" s="233">
        <v>5.7806568071176963E-2</v>
      </c>
      <c r="J185" s="184">
        <v>7.2422831425510287E-2</v>
      </c>
      <c r="K185" s="251"/>
    </row>
    <row r="186" spans="1:11">
      <c r="A186" s="118">
        <v>42035</v>
      </c>
      <c r="B186" s="230">
        <v>4.5280817930072796</v>
      </c>
      <c r="C186" s="230">
        <v>6.1362957847904562</v>
      </c>
      <c r="D186" s="227">
        <v>5.0434296469302771</v>
      </c>
      <c r="E186" s="230">
        <v>5.8661561090134056</v>
      </c>
      <c r="F186" s="230">
        <v>12.136345613207103</v>
      </c>
      <c r="G186" s="227">
        <v>7.87542149358692</v>
      </c>
      <c r="H186" s="233">
        <v>7.9380149629221852E-2</v>
      </c>
      <c r="I186" s="233">
        <v>5.7481631826727761E-2</v>
      </c>
      <c r="J186" s="184">
        <v>7.236282841993627E-2</v>
      </c>
      <c r="K186" s="251"/>
    </row>
    <row r="187" spans="1:11">
      <c r="A187" s="118">
        <v>42063</v>
      </c>
      <c r="B187" s="230">
        <v>4.6565059801829376</v>
      </c>
      <c r="C187" s="230">
        <v>6.0910073049936786</v>
      </c>
      <c r="D187" s="227">
        <v>5.1240261603862987</v>
      </c>
      <c r="E187" s="230">
        <v>5.8916636795114679</v>
      </c>
      <c r="F187" s="230">
        <v>12.181578863896023</v>
      </c>
      <c r="G187" s="227">
        <v>7.941618064081517</v>
      </c>
      <c r="H187" s="233">
        <v>7.9671183260118988E-2</v>
      </c>
      <c r="I187" s="233">
        <v>5.6129060070740013E-2</v>
      </c>
      <c r="J187" s="184">
        <v>7.1998539474083939E-2</v>
      </c>
      <c r="K187" s="251"/>
    </row>
    <row r="188" spans="1:11">
      <c r="A188" s="118">
        <v>42094</v>
      </c>
      <c r="B188" s="230">
        <v>4.6131847783030775</v>
      </c>
      <c r="C188" s="230">
        <v>6.2965293683382235</v>
      </c>
      <c r="D188" s="227">
        <v>5.1792916229324062</v>
      </c>
      <c r="E188" s="230">
        <v>5.9410556377134647</v>
      </c>
      <c r="F188" s="230">
        <v>12.596705786817793</v>
      </c>
      <c r="G188" s="227">
        <v>8.1793431084846784</v>
      </c>
      <c r="H188" s="233">
        <v>8.0220250348405464E-2</v>
      </c>
      <c r="I188" s="233">
        <v>5.5725645919697128E-2</v>
      </c>
      <c r="J188" s="184">
        <v>7.1982743122811138E-2</v>
      </c>
      <c r="K188" s="251"/>
    </row>
    <row r="189" spans="1:11">
      <c r="A189" s="118">
        <v>42124</v>
      </c>
      <c r="B189" s="230">
        <v>4.6427029791570416</v>
      </c>
      <c r="C189" s="230">
        <v>6.2282745343513106</v>
      </c>
      <c r="D189" s="227">
        <v>5.1498529978294139</v>
      </c>
      <c r="E189" s="230">
        <v>6.0441269829527338</v>
      </c>
      <c r="F189" s="230">
        <v>12.464507816729814</v>
      </c>
      <c r="G189" s="262">
        <v>8.0977058637461923</v>
      </c>
      <c r="H189" s="233">
        <v>8.0599768554907469E-2</v>
      </c>
      <c r="I189" s="233">
        <v>5.6208053601016252E-2</v>
      </c>
      <c r="J189" s="184">
        <v>7.2798002274607698E-2</v>
      </c>
      <c r="K189" s="251"/>
    </row>
    <row r="190" spans="1:11">
      <c r="A190" s="118">
        <v>42155</v>
      </c>
      <c r="B190" s="230">
        <v>4.6128495660168296</v>
      </c>
      <c r="C190" s="230">
        <v>6.1536028987856222</v>
      </c>
      <c r="D190" s="227">
        <v>5.1100112488260407</v>
      </c>
      <c r="E190" s="230">
        <v>5.8581049357320829</v>
      </c>
      <c r="F190" s="230">
        <v>12.475013605311034</v>
      </c>
      <c r="G190" s="227">
        <v>7.9932120805279787</v>
      </c>
      <c r="H190" s="233">
        <v>8.0111786347251746E-2</v>
      </c>
      <c r="I190" s="233">
        <v>5.6201213052926725E-2</v>
      </c>
      <c r="J190" s="184">
        <v>7.2396456058413425E-2</v>
      </c>
      <c r="K190" s="251"/>
    </row>
    <row r="191" spans="1:11">
      <c r="A191" s="118">
        <v>42185</v>
      </c>
      <c r="B191" s="230">
        <v>4.548612257260424</v>
      </c>
      <c r="C191" s="230">
        <v>6.0418317972918247</v>
      </c>
      <c r="D191" s="227">
        <v>5.0389809246033366</v>
      </c>
      <c r="E191" s="230">
        <v>6.0008527361588282</v>
      </c>
      <c r="F191" s="230">
        <v>12.432955715585969</v>
      </c>
      <c r="G191" s="227">
        <v>8.1131354124006219</v>
      </c>
      <c r="H191" s="233">
        <v>8.0242994884041824E-2</v>
      </c>
      <c r="I191" s="233">
        <v>5.6771171609321401E-2</v>
      </c>
      <c r="J191" s="184">
        <v>7.2534920893065929E-2</v>
      </c>
      <c r="K191" s="251"/>
    </row>
    <row r="192" spans="1:11">
      <c r="A192" s="118">
        <v>42216</v>
      </c>
      <c r="B192" s="230">
        <v>4.712489594546887</v>
      </c>
      <c r="C192" s="230">
        <v>6.0651576927951494</v>
      </c>
      <c r="D192" s="227">
        <v>5.1876753178755939</v>
      </c>
      <c r="E192" s="230">
        <v>6.1302183872787976</v>
      </c>
      <c r="F192" s="230">
        <v>12.415066135440984</v>
      </c>
      <c r="G192" s="227">
        <v>8.3380548307410134</v>
      </c>
      <c r="H192" s="233">
        <v>8.1293743730696533E-2</v>
      </c>
      <c r="I192" s="233">
        <v>5.5952554631814727E-2</v>
      </c>
      <c r="J192" s="184">
        <v>7.2391507263705052E-2</v>
      </c>
      <c r="K192" s="251"/>
    </row>
    <row r="193" spans="1:11">
      <c r="A193" s="118">
        <v>42247</v>
      </c>
      <c r="B193" s="230">
        <v>4.5779023326366151</v>
      </c>
      <c r="C193" s="230">
        <v>5.968963752988345</v>
      </c>
      <c r="D193" s="227">
        <v>5.0831705535027893</v>
      </c>
      <c r="E193" s="230">
        <v>6.08563737137057</v>
      </c>
      <c r="F193" s="230">
        <v>12.387939324987158</v>
      </c>
      <c r="G193" s="227">
        <v>8.3747907105955939</v>
      </c>
      <c r="H193" s="233">
        <v>8.2129259363437387E-2</v>
      </c>
      <c r="I193" s="233">
        <v>5.5814292988062564E-2</v>
      </c>
      <c r="J193" s="184">
        <v>7.2571006903760296E-2</v>
      </c>
      <c r="K193" s="251"/>
    </row>
    <row r="194" spans="1:11">
      <c r="A194" s="118">
        <v>42277</v>
      </c>
      <c r="B194" s="230">
        <v>4.6341356393349171</v>
      </c>
      <c r="C194" s="230">
        <v>6.3224304458042146</v>
      </c>
      <c r="D194" s="227">
        <v>5.2496425478056388</v>
      </c>
      <c r="E194" s="230">
        <v>5.8514797094218496</v>
      </c>
      <c r="F194" s="230">
        <v>12.250676356240469</v>
      </c>
      <c r="G194" s="227">
        <v>8.1844548093195861</v>
      </c>
      <c r="H194" s="233">
        <v>8.394730474363804E-2</v>
      </c>
      <c r="I194" s="233">
        <v>5.4582465096314321E-2</v>
      </c>
      <c r="J194" s="184">
        <v>7.3241673476039049E-2</v>
      </c>
      <c r="K194" s="251"/>
    </row>
    <row r="195" spans="1:11">
      <c r="A195" s="118">
        <v>42308</v>
      </c>
      <c r="B195" s="230">
        <v>4.847943752387966</v>
      </c>
      <c r="C195" s="230">
        <v>6.2756104722637911</v>
      </c>
      <c r="D195" s="227">
        <v>5.363810505948952</v>
      </c>
      <c r="E195" s="230">
        <v>6.0911609934755759</v>
      </c>
      <c r="F195" s="230">
        <v>12.389745917595713</v>
      </c>
      <c r="G195" s="227">
        <v>8.3670637035398965</v>
      </c>
      <c r="H195" s="233">
        <v>8.5930370211477453E-2</v>
      </c>
      <c r="I195" s="233">
        <v>5.3511591881580896E-2</v>
      </c>
      <c r="J195" s="184">
        <v>7.4216312792732303E-2</v>
      </c>
      <c r="K195" s="251"/>
    </row>
    <row r="196" spans="1:11">
      <c r="A196" s="118">
        <v>42338</v>
      </c>
      <c r="B196" s="230">
        <v>4.8299581902572113</v>
      </c>
      <c r="C196" s="230">
        <v>6.1915937199137332</v>
      </c>
      <c r="D196" s="227">
        <v>5.3380727671097707</v>
      </c>
      <c r="E196" s="230">
        <v>6.1023786396034714</v>
      </c>
      <c r="F196" s="230">
        <v>12.425337484957161</v>
      </c>
      <c r="G196" s="227">
        <v>8.4618849011457762</v>
      </c>
      <c r="H196" s="233">
        <v>8.8162834436875906E-2</v>
      </c>
      <c r="I196" s="233">
        <v>5.3361720089208281E-2</v>
      </c>
      <c r="J196" s="184">
        <v>7.5176280321896799E-2</v>
      </c>
      <c r="K196" s="251"/>
    </row>
    <row r="197" spans="1:11">
      <c r="A197" s="118">
        <v>42369</v>
      </c>
      <c r="B197" s="230">
        <v>4.7428769548964969</v>
      </c>
      <c r="C197" s="230">
        <v>5.8947772099585993</v>
      </c>
      <c r="D197" s="227">
        <v>5.1803781411105678</v>
      </c>
      <c r="E197" s="230">
        <v>5.911603415869763</v>
      </c>
      <c r="F197" s="230">
        <v>12.50041087063215</v>
      </c>
      <c r="G197" s="227">
        <v>8.4140866513120898</v>
      </c>
      <c r="H197" s="233">
        <v>8.9561670456945436E-2</v>
      </c>
      <c r="I197" s="233">
        <v>5.3933982457061221E-2</v>
      </c>
      <c r="J197" s="184">
        <v>7.6029981672681921E-2</v>
      </c>
      <c r="K197" s="251"/>
    </row>
    <row r="198" spans="1:11">
      <c r="A198" s="118">
        <v>42400</v>
      </c>
      <c r="B198" s="230">
        <v>4.6477796209310345</v>
      </c>
      <c r="C198" s="230">
        <v>5.8623074191599214</v>
      </c>
      <c r="D198" s="227">
        <v>5.122270070989833</v>
      </c>
      <c r="E198" s="230">
        <v>5.932234086000058</v>
      </c>
      <c r="F198" s="230">
        <v>12.437169949602747</v>
      </c>
      <c r="G198" s="227">
        <v>8.4735756263299411</v>
      </c>
      <c r="H198" s="233">
        <v>9.1854909144448549E-2</v>
      </c>
      <c r="I198" s="233">
        <v>5.2683801692316734E-2</v>
      </c>
      <c r="J198" s="184">
        <v>7.6551581850196809E-2</v>
      </c>
      <c r="K198" s="251"/>
    </row>
    <row r="199" spans="1:11">
      <c r="A199" s="118">
        <v>42429</v>
      </c>
      <c r="B199" s="230">
        <v>4.637595335518748</v>
      </c>
      <c r="C199" s="230">
        <v>5.8304251975128265</v>
      </c>
      <c r="D199" s="227">
        <v>5.0951586469916172</v>
      </c>
      <c r="E199" s="230">
        <v>6.1061727350426143</v>
      </c>
      <c r="F199" s="230">
        <v>12.389953187719598</v>
      </c>
      <c r="G199" s="227">
        <v>8.5165981310741916</v>
      </c>
      <c r="H199" s="233">
        <v>9.2545810037881995E-2</v>
      </c>
      <c r="I199" s="233">
        <v>5.1934227425186046E-2</v>
      </c>
      <c r="J199" s="184">
        <v>7.6967418838524662E-2</v>
      </c>
      <c r="K199" s="251"/>
    </row>
    <row r="200" spans="1:11">
      <c r="A200" s="118">
        <v>42460</v>
      </c>
      <c r="B200" s="230">
        <v>4.7017883874679836</v>
      </c>
      <c r="C200" s="230">
        <v>6.0975700264693833</v>
      </c>
      <c r="D200" s="227">
        <v>5.2148245654992547</v>
      </c>
      <c r="E200" s="230">
        <v>5.993728450630047</v>
      </c>
      <c r="F200" s="230">
        <v>12.22459482503986</v>
      </c>
      <c r="G200" s="227">
        <v>8.283957653557378</v>
      </c>
      <c r="H200" s="233">
        <v>9.3886385973923486E-2</v>
      </c>
      <c r="I200" s="233">
        <v>5.177010448920534E-2</v>
      </c>
      <c r="J200" s="184">
        <v>7.8406044721356427E-2</v>
      </c>
      <c r="K200" s="251"/>
    </row>
    <row r="201" spans="1:11">
      <c r="A201" s="118">
        <v>42490</v>
      </c>
      <c r="B201" s="230">
        <v>4.7295405765224627</v>
      </c>
      <c r="C201" s="230">
        <v>6.0691699966674326</v>
      </c>
      <c r="D201" s="227">
        <v>5.2020399993068454</v>
      </c>
      <c r="E201" s="230">
        <v>6.0252597871687907</v>
      </c>
      <c r="F201" s="230">
        <v>12.135083798244951</v>
      </c>
      <c r="G201" s="262">
        <v>8.1802500218825358</v>
      </c>
      <c r="H201" s="233">
        <v>9.3773322325435504E-2</v>
      </c>
      <c r="I201" s="233">
        <v>5.210238965825767E-2</v>
      </c>
      <c r="J201" s="184">
        <v>7.9075607169256212E-2</v>
      </c>
      <c r="K201" s="251"/>
    </row>
    <row r="202" spans="1:11">
      <c r="A202" s="118">
        <v>42521</v>
      </c>
      <c r="B202" s="230">
        <v>4.7518355358720337</v>
      </c>
      <c r="C202" s="230">
        <v>5.9329843019356829</v>
      </c>
      <c r="D202" s="227">
        <v>5.1799403432072184</v>
      </c>
      <c r="E202" s="230">
        <v>6.0219619854795177</v>
      </c>
      <c r="F202" s="230">
        <v>12.231257414131324</v>
      </c>
      <c r="G202" s="227">
        <v>8.2725076403077082</v>
      </c>
      <c r="H202" s="233">
        <v>9.4255815465823845E-2</v>
      </c>
      <c r="I202" s="233">
        <v>5.1916331634296244E-2</v>
      </c>
      <c r="J202" s="184">
        <v>7.8909961421735952E-2</v>
      </c>
      <c r="K202" s="251"/>
    </row>
    <row r="203" spans="1:11">
      <c r="A203" s="118">
        <v>42551</v>
      </c>
      <c r="B203" s="230">
        <v>4.9877855399841868</v>
      </c>
      <c r="C203" s="230">
        <v>6.033737221197133</v>
      </c>
      <c r="D203" s="227">
        <v>5.36</v>
      </c>
      <c r="E203" s="230">
        <v>6.2067392189012711</v>
      </c>
      <c r="F203" s="230">
        <v>12.156595631739187</v>
      </c>
      <c r="G203" s="227">
        <v>8.3000000000000007</v>
      </c>
      <c r="H203" s="233">
        <v>9.6465474262849862E-2</v>
      </c>
      <c r="I203" s="233">
        <v>5.0752470923983058E-2</v>
      </c>
      <c r="J203" s="184">
        <v>8.0407228963470911E-2</v>
      </c>
      <c r="K203" s="251"/>
    </row>
    <row r="204" spans="1:11">
      <c r="A204" s="118">
        <v>42582</v>
      </c>
      <c r="B204" s="230">
        <v>5.1263096176652239</v>
      </c>
      <c r="C204" s="230">
        <v>5.9929013437095682</v>
      </c>
      <c r="D204" s="227">
        <v>5.441563687211378</v>
      </c>
      <c r="E204" s="230">
        <v>6.3241801578440731</v>
      </c>
      <c r="F204" s="230">
        <v>12.088592666576421</v>
      </c>
      <c r="G204" s="227">
        <v>8.4211936040902025</v>
      </c>
      <c r="H204" s="233">
        <v>9.8485937078498911E-2</v>
      </c>
      <c r="I204" s="233">
        <v>5.0789697935502864E-2</v>
      </c>
      <c r="J204" s="184">
        <v>8.1134705766250398E-2</v>
      </c>
      <c r="K204" s="251"/>
    </row>
    <row r="205" spans="1:11">
      <c r="A205" s="118">
        <v>42613</v>
      </c>
      <c r="B205" s="230">
        <v>5.1069059833180042</v>
      </c>
      <c r="C205" s="230">
        <v>5.7820709566695845</v>
      </c>
      <c r="D205" s="227">
        <v>5.342332496773893</v>
      </c>
      <c r="E205" s="230">
        <v>6.3152627955367882</v>
      </c>
      <c r="F205" s="230">
        <v>12.008003132708476</v>
      </c>
      <c r="G205" s="227">
        <v>8.3002917328897556</v>
      </c>
      <c r="H205" s="233">
        <v>9.5543340914653871E-2</v>
      </c>
      <c r="I205" s="233">
        <v>5.1175638971138748E-2</v>
      </c>
      <c r="J205" s="184">
        <v>8.007255408345873E-2</v>
      </c>
      <c r="K205" s="251"/>
    </row>
    <row r="206" spans="1:11">
      <c r="A206" s="118">
        <v>42643</v>
      </c>
      <c r="B206" s="230">
        <v>5.1567977105008387</v>
      </c>
      <c r="C206" s="230">
        <v>5.7608539016790017</v>
      </c>
      <c r="D206" s="227">
        <v>5.3632060904529713</v>
      </c>
      <c r="E206" s="230">
        <v>6.3095210582311401</v>
      </c>
      <c r="F206" s="230">
        <v>11.941444024158647</v>
      </c>
      <c r="G206" s="227">
        <v>8.2339713202920066</v>
      </c>
      <c r="H206" s="233">
        <v>9.2737342341157644E-2</v>
      </c>
      <c r="I206" s="233">
        <v>5.133490341322805E-2</v>
      </c>
      <c r="J206" s="184">
        <v>7.8589965871903811E-2</v>
      </c>
      <c r="K206" s="251"/>
    </row>
    <row r="207" spans="1:11">
      <c r="A207" s="118">
        <v>42674</v>
      </c>
      <c r="B207" s="230">
        <v>5.0759183731827484</v>
      </c>
      <c r="C207" s="230">
        <v>5.6421275672714701</v>
      </c>
      <c r="D207" s="227">
        <v>5.2712160153695313</v>
      </c>
      <c r="E207" s="230">
        <v>6.203751987243157</v>
      </c>
      <c r="F207" s="230">
        <v>11.873115439846014</v>
      </c>
      <c r="G207" s="227">
        <v>8.1592365087815999</v>
      </c>
      <c r="H207" s="233">
        <v>9.0073499783423147E-2</v>
      </c>
      <c r="I207" s="233">
        <v>5.2785590960798913E-2</v>
      </c>
      <c r="J207" s="184">
        <v>7.721210376378676E-2</v>
      </c>
      <c r="K207" s="251"/>
    </row>
    <row r="208" spans="1:11">
      <c r="A208" s="118">
        <v>42704</v>
      </c>
      <c r="B208" s="230">
        <v>5.0005729951010123</v>
      </c>
      <c r="C208" s="230">
        <v>5.3956454893618426</v>
      </c>
      <c r="D208" s="227">
        <v>5.1422283468743872</v>
      </c>
      <c r="E208" s="230">
        <v>6.1531743946659825</v>
      </c>
      <c r="F208" s="230">
        <v>11.799874009270198</v>
      </c>
      <c r="G208" s="227">
        <v>8.1778286844107182</v>
      </c>
      <c r="H208" s="233">
        <v>8.8211779072198182E-2</v>
      </c>
      <c r="I208" s="233">
        <v>5.3169446710999484E-2</v>
      </c>
      <c r="J208" s="184">
        <v>7.5647163742871046E-2</v>
      </c>
      <c r="K208" s="251"/>
    </row>
    <row r="209" spans="1:13">
      <c r="A209" s="118">
        <v>42735</v>
      </c>
      <c r="B209" s="230">
        <v>4.9846882688217198</v>
      </c>
      <c r="C209" s="230">
        <v>5.2821456885776703</v>
      </c>
      <c r="D209" s="227">
        <v>5.090446946082575</v>
      </c>
      <c r="E209" s="230">
        <v>6.1578499062101377</v>
      </c>
      <c r="F209" s="230">
        <v>11.908332181677759</v>
      </c>
      <c r="G209" s="227">
        <v>8.2023892542768664</v>
      </c>
      <c r="H209" s="233">
        <v>8.7451657788224252E-2</v>
      </c>
      <c r="I209" s="233">
        <v>5.3397107326257007E-2</v>
      </c>
      <c r="J209" s="184">
        <v>7.5343826642087178E-2</v>
      </c>
      <c r="K209" s="251"/>
    </row>
    <row r="210" spans="1:13">
      <c r="A210" s="118">
        <v>42766</v>
      </c>
      <c r="B210" s="230">
        <v>4.96005583601697</v>
      </c>
      <c r="C210" s="230">
        <v>5.8561217902260552</v>
      </c>
      <c r="D210" s="227">
        <v>5.2793028946155909</v>
      </c>
      <c r="E210" s="230">
        <v>6.2516814559354987</v>
      </c>
      <c r="F210" s="230">
        <v>12.7584028136684</v>
      </c>
      <c r="G210" s="227">
        <v>8.5698720364609553</v>
      </c>
      <c r="H210" s="233">
        <v>8.6400717484912584E-2</v>
      </c>
      <c r="I210" s="233">
        <v>5.1866957834427879E-2</v>
      </c>
      <c r="J210" s="184">
        <v>7.4097157530444671E-2</v>
      </c>
      <c r="K210" s="251"/>
    </row>
    <row r="211" spans="1:13">
      <c r="A211" s="118">
        <v>42794</v>
      </c>
      <c r="B211" s="230">
        <v>4.9402193514156414</v>
      </c>
      <c r="C211" s="230">
        <v>5.8650085895843409</v>
      </c>
      <c r="D211" s="227">
        <v>5.2621566334001137</v>
      </c>
      <c r="E211" s="230">
        <v>6.2664061956236621</v>
      </c>
      <c r="F211" s="230">
        <v>12.690930495426867</v>
      </c>
      <c r="G211" s="227">
        <v>8.5029091800415486</v>
      </c>
      <c r="H211" s="233">
        <v>8.5285852671078827E-2</v>
      </c>
      <c r="I211" s="233">
        <v>5.2429239237003863E-2</v>
      </c>
      <c r="J211" s="184">
        <v>7.384782075244721E-2</v>
      </c>
      <c r="K211" s="251"/>
    </row>
    <row r="212" spans="1:13">
      <c r="A212" s="118">
        <v>42825</v>
      </c>
      <c r="B212" s="230">
        <v>4.9822022212343953</v>
      </c>
      <c r="C212" s="230">
        <v>5.8681189065741384</v>
      </c>
      <c r="D212" s="227">
        <v>5.2852022571476454</v>
      </c>
      <c r="E212" s="230">
        <v>6.2605546980194298</v>
      </c>
      <c r="F212" s="230">
        <v>12.628244350097688</v>
      </c>
      <c r="G212" s="227">
        <v>8.4384233680560818</v>
      </c>
      <c r="H212" s="233">
        <v>8.3475979514033807E-2</v>
      </c>
      <c r="I212" s="233">
        <v>5.2222590419018604E-2</v>
      </c>
      <c r="J212" s="184">
        <v>7.2786737314504843E-2</v>
      </c>
      <c r="K212" s="251"/>
    </row>
    <row r="213" spans="1:13">
      <c r="A213" s="118">
        <v>42855</v>
      </c>
      <c r="B213" s="230">
        <v>4.9986259081615856</v>
      </c>
      <c r="C213" s="230">
        <v>5.8364213520108388</v>
      </c>
      <c r="D213" s="227">
        <v>5.2876706854076332</v>
      </c>
      <c r="E213" s="230">
        <v>6.3099496701833262</v>
      </c>
      <c r="F213" s="230">
        <v>12.558924612124668</v>
      </c>
      <c r="G213" s="262">
        <v>8.4658859233226611</v>
      </c>
      <c r="H213" s="233">
        <v>8.3187493708137883E-2</v>
      </c>
      <c r="I213" s="233">
        <v>5.196648318583208E-2</v>
      </c>
      <c r="J213" s="184">
        <v>7.2416045739461504E-2</v>
      </c>
      <c r="K213" s="251"/>
    </row>
    <row r="214" spans="1:13">
      <c r="A214" s="118">
        <v>42886</v>
      </c>
      <c r="B214" s="230">
        <v>5.182282073076145</v>
      </c>
      <c r="C214" s="230">
        <v>5.786686588124426</v>
      </c>
      <c r="D214" s="227">
        <v>5.3916929815218158</v>
      </c>
      <c r="E214" s="230">
        <v>6.5170347572087008</v>
      </c>
      <c r="F214" s="230">
        <v>12.486539281161425</v>
      </c>
      <c r="G214" s="227">
        <v>8.5853173960828091</v>
      </c>
      <c r="H214" s="233">
        <v>8.1830034364023974E-2</v>
      </c>
      <c r="I214" s="233">
        <v>5.1526225577600587E-2</v>
      </c>
      <c r="J214" s="184">
        <v>7.1330529530209297E-2</v>
      </c>
      <c r="K214" s="251"/>
    </row>
    <row r="215" spans="1:13">
      <c r="A215" s="118">
        <v>42916</v>
      </c>
      <c r="B215" s="230">
        <v>5.2351848686668845</v>
      </c>
      <c r="C215" s="230">
        <v>5.7893716195088905</v>
      </c>
      <c r="D215" s="227">
        <v>5.4329729600392431</v>
      </c>
      <c r="E215" s="230">
        <v>6.6162887082005737</v>
      </c>
      <c r="F215" s="230">
        <v>12.446602803864488</v>
      </c>
      <c r="G215" s="227">
        <v>8.6971156051457843</v>
      </c>
      <c r="H215" s="233">
        <v>8.0175428402578588E-2</v>
      </c>
      <c r="I215" s="233">
        <v>5.1908098544799108E-2</v>
      </c>
      <c r="J215" s="184">
        <v>7.0086877544463633E-2</v>
      </c>
      <c r="K215" s="251"/>
    </row>
    <row r="216" spans="1:13">
      <c r="A216" s="118">
        <v>42947</v>
      </c>
      <c r="B216" s="230">
        <v>5.2061036092907695</v>
      </c>
      <c r="C216" s="230">
        <v>5.770521566361265</v>
      </c>
      <c r="D216" s="227">
        <v>5.4663761167990197</v>
      </c>
      <c r="E216" s="230">
        <v>6.5130770266262967</v>
      </c>
      <c r="F216" s="230">
        <v>12.366917434916029</v>
      </c>
      <c r="G216" s="227">
        <v>8.6985223580003304</v>
      </c>
      <c r="H216" s="233">
        <v>7.8243597414142704E-2</v>
      </c>
      <c r="I216" s="233">
        <v>5.1525844024979298E-2</v>
      </c>
      <c r="J216" s="184">
        <v>6.8897015790829491E-2</v>
      </c>
      <c r="K216" s="251"/>
    </row>
    <row r="217" spans="1:13">
      <c r="A217" s="118">
        <v>42978</v>
      </c>
      <c r="B217" s="230">
        <v>5.1036142386312573</v>
      </c>
      <c r="C217" s="230">
        <v>5.7852363424057138</v>
      </c>
      <c r="D217" s="227">
        <v>5.3425629644891739</v>
      </c>
      <c r="E217" s="230">
        <v>6.449517190866966</v>
      </c>
      <c r="F217" s="230">
        <v>12.217948395597023</v>
      </c>
      <c r="G217" s="227">
        <v>8.4716923505876984</v>
      </c>
      <c r="H217" s="233">
        <v>7.9635868892051195E-2</v>
      </c>
      <c r="I217" s="233">
        <v>5.0382740679915515E-2</v>
      </c>
      <c r="J217" s="184">
        <v>6.9389565000939471E-2</v>
      </c>
      <c r="K217" s="251"/>
    </row>
    <row r="218" spans="1:13">
      <c r="A218" s="118">
        <v>43008</v>
      </c>
      <c r="B218" s="230">
        <v>5.2235352157621966</v>
      </c>
      <c r="C218" s="230">
        <v>5.7692972446315283</v>
      </c>
      <c r="D218" s="227">
        <v>5.413981179476453</v>
      </c>
      <c r="E218" s="230">
        <v>6.4524238711560535</v>
      </c>
      <c r="F218" s="230">
        <v>12.160927592186429</v>
      </c>
      <c r="G218" s="227">
        <v>8.4444303410278163</v>
      </c>
      <c r="H218" s="233">
        <v>7.9882715106397995E-2</v>
      </c>
      <c r="I218" s="233">
        <v>5.1336156383604267E-2</v>
      </c>
      <c r="J218" s="184">
        <v>6.9921272940934143E-2</v>
      </c>
      <c r="K218" s="251"/>
    </row>
    <row r="219" spans="1:13">
      <c r="A219" s="118">
        <v>43039</v>
      </c>
      <c r="B219" s="230">
        <v>5.1550302756300397</v>
      </c>
      <c r="C219" s="230">
        <v>5.7216475107140647</v>
      </c>
      <c r="D219" s="227">
        <v>5.3546912446491968</v>
      </c>
      <c r="E219" s="230">
        <v>6.3969591123461598</v>
      </c>
      <c r="F219" s="230">
        <v>12.085734003679471</v>
      </c>
      <c r="G219" s="227">
        <v>8.4015333416616631</v>
      </c>
      <c r="H219" s="233">
        <v>7.9885758477386243E-2</v>
      </c>
      <c r="I219" s="233">
        <v>5.1478043495779731E-2</v>
      </c>
      <c r="J219" s="184">
        <v>6.9875628976107704E-2</v>
      </c>
      <c r="K219" s="251"/>
    </row>
    <row r="220" spans="1:13">
      <c r="A220" s="118">
        <v>43069</v>
      </c>
      <c r="B220" s="230">
        <v>5.0848327725222182</v>
      </c>
      <c r="C220" s="230">
        <v>5.5940892904123736</v>
      </c>
      <c r="D220" s="227">
        <v>5.263285858755995</v>
      </c>
      <c r="E220" s="230">
        <v>6.3200324966963084</v>
      </c>
      <c r="F220" s="230">
        <v>12.01968202286915</v>
      </c>
      <c r="G220" s="227">
        <v>8.3172971612907709</v>
      </c>
      <c r="H220" s="233">
        <v>8.0090850119123952E-2</v>
      </c>
      <c r="I220" s="233">
        <v>5.1663983880504215E-2</v>
      </c>
      <c r="J220" s="184">
        <v>7.0129540181936983E-2</v>
      </c>
      <c r="K220" s="251"/>
    </row>
    <row r="221" spans="1:13">
      <c r="A221" s="118">
        <v>43100</v>
      </c>
      <c r="B221" s="230">
        <v>5.0452521969974597</v>
      </c>
      <c r="C221" s="230">
        <v>5.6625120767238926</v>
      </c>
      <c r="D221" s="227">
        <v>5.2588834588798736</v>
      </c>
      <c r="E221" s="230">
        <v>6.1740889076699057</v>
      </c>
      <c r="F221" s="230">
        <v>11.943734485336728</v>
      </c>
      <c r="G221" s="227">
        <v>8.1709409725044502</v>
      </c>
      <c r="H221" s="233">
        <v>7.9981721045730994E-2</v>
      </c>
      <c r="I221" s="233">
        <v>5.1100437893716259E-2</v>
      </c>
      <c r="J221" s="184">
        <v>6.9986020422384651E-2</v>
      </c>
      <c r="K221" s="251"/>
    </row>
    <row r="222" spans="1:13">
      <c r="A222" s="118">
        <v>43131</v>
      </c>
      <c r="B222" s="230">
        <v>5.0141500525362499</v>
      </c>
      <c r="C222" s="230">
        <v>5.4014807489305285</v>
      </c>
      <c r="D222" s="227">
        <v>5.1439474136871777</v>
      </c>
      <c r="E222" s="230">
        <v>6.211994236536758</v>
      </c>
      <c r="F222" s="230">
        <v>11.88001895291557</v>
      </c>
      <c r="G222" s="227">
        <v>8.1113909483721471</v>
      </c>
      <c r="H222" s="233">
        <v>7.8549430700791747E-2</v>
      </c>
      <c r="I222" s="233">
        <v>5.4025349439925797E-2</v>
      </c>
      <c r="J222" s="184">
        <v>7.0331230950697446E-2</v>
      </c>
      <c r="K222" s="251"/>
      <c r="L222" s="246"/>
      <c r="M222" s="247"/>
    </row>
    <row r="223" spans="1:13">
      <c r="A223" s="118">
        <v>43159</v>
      </c>
      <c r="B223" s="230">
        <v>4.9681247556469916</v>
      </c>
      <c r="C223" s="230">
        <v>5.3084386098079328</v>
      </c>
      <c r="D223" s="227">
        <v>5.0808641047312877</v>
      </c>
      <c r="E223" s="230">
        <v>6.180534275818486</v>
      </c>
      <c r="F223" s="230">
        <v>11.806973331445366</v>
      </c>
      <c r="G223" s="227">
        <v>8.0444639073575406</v>
      </c>
      <c r="H223" s="233">
        <v>7.741530707877331E-2</v>
      </c>
      <c r="I223" s="233">
        <v>5.5113939034438002E-2</v>
      </c>
      <c r="J223" s="184">
        <v>7.0027298373671734E-2</v>
      </c>
      <c r="K223" s="251"/>
      <c r="L223" s="246"/>
      <c r="M223" s="247"/>
    </row>
    <row r="224" spans="1:13">
      <c r="A224" s="118">
        <v>43190</v>
      </c>
      <c r="B224" s="230">
        <v>5.0025074076639466</v>
      </c>
      <c r="C224" s="230">
        <v>5.215787558387766</v>
      </c>
      <c r="D224" s="227">
        <v>5.072332009889311</v>
      </c>
      <c r="E224" s="230">
        <v>6.2119312020249504</v>
      </c>
      <c r="F224" s="230">
        <v>11.844901084208313</v>
      </c>
      <c r="G224" s="227">
        <v>8.0560778796978791</v>
      </c>
      <c r="H224" s="233">
        <v>7.6583467991472642E-2</v>
      </c>
      <c r="I224" s="233">
        <v>5.8179888143453672E-2</v>
      </c>
      <c r="J224" s="184">
        <v>7.0558422350565031E-2</v>
      </c>
      <c r="K224" s="251"/>
      <c r="L224" s="246"/>
      <c r="M224" s="247"/>
    </row>
    <row r="225" spans="1:14">
      <c r="A225" s="118">
        <v>43220</v>
      </c>
      <c r="B225" s="230">
        <v>5.0322940036657116</v>
      </c>
      <c r="C225" s="230">
        <v>5.2159363914406081</v>
      </c>
      <c r="D225" s="227">
        <v>5.0918232575376425</v>
      </c>
      <c r="E225" s="230">
        <v>6.2162481495610011</v>
      </c>
      <c r="F225" s="230">
        <v>11.773930126079692</v>
      </c>
      <c r="G225" s="262">
        <v>8.017818393382786</v>
      </c>
      <c r="H225" s="233">
        <v>7.6438412174065912E-2</v>
      </c>
      <c r="I225" s="233">
        <v>5.5396862520961453E-2</v>
      </c>
      <c r="J225" s="184">
        <v>6.9617613521121585E-2</v>
      </c>
      <c r="K225" s="251"/>
      <c r="L225" s="246"/>
      <c r="M225" s="247"/>
    </row>
    <row r="226" spans="1:14">
      <c r="A226" s="118">
        <v>43251</v>
      </c>
      <c r="B226" s="230">
        <v>5.0238078414765424</v>
      </c>
      <c r="C226" s="230">
        <v>5.1410682114759183</v>
      </c>
      <c r="D226" s="227">
        <v>5.0617681997251056</v>
      </c>
      <c r="E226" s="230">
        <v>6.2410083927705422</v>
      </c>
      <c r="F226" s="230">
        <v>11.700473480986776</v>
      </c>
      <c r="G226" s="227">
        <v>8.0083851339092398</v>
      </c>
      <c r="H226" s="233">
        <v>7.6371290879711978E-2</v>
      </c>
      <c r="I226" s="233">
        <v>5.5213441233964322E-2</v>
      </c>
      <c r="J226" s="184">
        <v>6.9521921801939973E-2</v>
      </c>
      <c r="K226" s="251"/>
      <c r="L226" s="246"/>
      <c r="M226" s="247"/>
    </row>
    <row r="227" spans="1:14">
      <c r="A227" s="118">
        <v>43281</v>
      </c>
      <c r="B227" s="230">
        <v>5.0644327091263852</v>
      </c>
      <c r="C227" s="230">
        <v>5.1510191438563755</v>
      </c>
      <c r="D227" s="227">
        <v>5.092678995501017</v>
      </c>
      <c r="E227" s="230">
        <v>6.288492726220535</v>
      </c>
      <c r="F227" s="230">
        <v>11.639956208444891</v>
      </c>
      <c r="G227" s="227">
        <v>8.0342508292498227</v>
      </c>
      <c r="H227" s="233">
        <v>7.6365784894011537E-2</v>
      </c>
      <c r="I227" s="233">
        <v>5.532705623848768E-2</v>
      </c>
      <c r="J227" s="184">
        <v>6.9502516341434409E-2</v>
      </c>
      <c r="K227" s="251"/>
      <c r="L227" s="246"/>
      <c r="M227" s="247"/>
    </row>
    <row r="228" spans="1:14">
      <c r="A228" s="118">
        <v>43312</v>
      </c>
      <c r="B228" s="230">
        <v>5.0199999999999996</v>
      </c>
      <c r="C228" s="230">
        <v>5.1395150363276461</v>
      </c>
      <c r="D228" s="227">
        <v>5.0579043220982243</v>
      </c>
      <c r="E228" s="230">
        <v>6.21517557943619</v>
      </c>
      <c r="F228" s="230">
        <v>11.556062042732577</v>
      </c>
      <c r="G228" s="227">
        <v>7.9090434559420775</v>
      </c>
      <c r="H228" s="233">
        <v>7.5989512749296634E-2</v>
      </c>
      <c r="I228" s="233">
        <v>5.5219959318408209E-2</v>
      </c>
      <c r="J228" s="184">
        <v>6.9402426577792262E-2</v>
      </c>
      <c r="K228" s="251"/>
      <c r="L228" s="246"/>
      <c r="M228" s="247"/>
    </row>
    <row r="229" spans="1:14">
      <c r="A229" s="118">
        <v>43343</v>
      </c>
      <c r="B229" s="230">
        <v>5.4496738179063344</v>
      </c>
      <c r="C229" s="230">
        <v>5.1335445485717397</v>
      </c>
      <c r="D229" s="227">
        <v>5.3475945113195351</v>
      </c>
      <c r="E229" s="230">
        <v>6.1915511659925917</v>
      </c>
      <c r="F229" s="230">
        <v>11.481044386739159</v>
      </c>
      <c r="G229" s="227">
        <v>7.899548028497267</v>
      </c>
      <c r="H229" s="233">
        <v>7.6262471084213967E-2</v>
      </c>
      <c r="I229" s="233">
        <v>5.4982645877908486E-2</v>
      </c>
      <c r="J229" s="184">
        <v>6.9391137069745243E-2</v>
      </c>
      <c r="K229" s="251"/>
      <c r="L229" s="246"/>
      <c r="M229" s="247"/>
    </row>
    <row r="230" spans="1:14">
      <c r="A230" s="118">
        <v>43373</v>
      </c>
      <c r="B230" s="230">
        <v>5.0067439399134432</v>
      </c>
      <c r="C230" s="230">
        <v>5.0975184565200244</v>
      </c>
      <c r="D230" s="227">
        <v>5.0357000389931263</v>
      </c>
      <c r="E230" s="230">
        <v>6.1541543126518281</v>
      </c>
      <c r="F230" s="230">
        <v>11.37746098520782</v>
      </c>
      <c r="G230" s="227">
        <v>7.8203332270448076</v>
      </c>
      <c r="H230" s="233">
        <v>7.6110776191242041E-2</v>
      </c>
      <c r="I230" s="233">
        <v>5.5733698193787561E-2</v>
      </c>
      <c r="J230" s="184">
        <v>6.9610706441424808E-2</v>
      </c>
      <c r="K230" s="251"/>
    </row>
    <row r="231" spans="1:14">
      <c r="A231" s="118">
        <v>43404</v>
      </c>
      <c r="B231" s="230">
        <v>5.2634513867938875</v>
      </c>
      <c r="C231" s="230">
        <v>5.2726943771721837</v>
      </c>
      <c r="D231" s="227">
        <v>5.2665820530281895</v>
      </c>
      <c r="E231" s="230">
        <v>6.5482110194066125</v>
      </c>
      <c r="F231" s="230">
        <v>11.666555053068178</v>
      </c>
      <c r="G231" s="227">
        <v>8.2818303553469725</v>
      </c>
      <c r="H231" s="233">
        <v>7.633906344229624E-2</v>
      </c>
      <c r="I231" s="233">
        <v>5.4869495228484354E-2</v>
      </c>
      <c r="J231" s="184">
        <v>6.906716879336848E-2</v>
      </c>
      <c r="K231" s="251"/>
    </row>
    <row r="232" spans="1:14">
      <c r="A232" s="118">
        <v>43434</v>
      </c>
      <c r="B232" s="230">
        <v>5.2706618369152816</v>
      </c>
      <c r="C232" s="230">
        <v>5.423471062502542</v>
      </c>
      <c r="D232" s="227">
        <v>5.3231275147409622</v>
      </c>
      <c r="E232" s="230">
        <v>6.5442279156388858</v>
      </c>
      <c r="F232" s="230">
        <v>11.60569796520954</v>
      </c>
      <c r="G232" s="227">
        <v>8.2820382862140995</v>
      </c>
      <c r="H232" s="233">
        <v>7.6959152831066413E-2</v>
      </c>
      <c r="I232" s="233">
        <v>5.4693278312460028E-2</v>
      </c>
      <c r="J232" s="184">
        <v>6.931436440608249E-2</v>
      </c>
      <c r="K232" s="250"/>
      <c r="L232" s="250"/>
    </row>
    <row r="233" spans="1:14">
      <c r="A233" s="118">
        <v>43465</v>
      </c>
      <c r="B233" s="230">
        <v>5.1449857834726913</v>
      </c>
      <c r="C233" s="230">
        <v>5.5659648546975911</v>
      </c>
      <c r="D233" s="227">
        <v>5.2869012389251315</v>
      </c>
      <c r="E233" s="230">
        <v>6.4399904218289601</v>
      </c>
      <c r="F233" s="230">
        <v>11.623224858255325</v>
      </c>
      <c r="G233" s="253">
        <f>((E233*Saldos!B232)+(Saldos!C232*Indicadores!F233))/Saldos!D232</f>
        <v>8.2342356109995798</v>
      </c>
      <c r="H233" s="233">
        <v>7.6147413168859715E-2</v>
      </c>
      <c r="I233" s="233">
        <v>5.3034732838785785E-2</v>
      </c>
      <c r="J233" s="184">
        <v>6.7666411763188786E-2</v>
      </c>
      <c r="K233" s="250"/>
      <c r="L233" s="250"/>
    </row>
    <row r="234" spans="1:14">
      <c r="A234" s="118">
        <v>43496</v>
      </c>
      <c r="B234" s="230">
        <v>5.1044612778996408</v>
      </c>
      <c r="C234" s="230">
        <v>5.7772676132758765</v>
      </c>
      <c r="D234" s="227">
        <v>5.2869012389251315</v>
      </c>
      <c r="E234" s="230">
        <v>6.4036992175995104</v>
      </c>
      <c r="F234" s="230">
        <v>12.0581759270784</v>
      </c>
      <c r="G234" s="253">
        <f>((E234*Saldos!B233)+(Saldos!C233*Indicadores!F234))/Saldos!D233</f>
        <v>8.3596825317657224</v>
      </c>
      <c r="H234" s="233">
        <v>7.5986407673717185E-2</v>
      </c>
      <c r="I234" s="233">
        <v>5.2960780666261351E-2</v>
      </c>
      <c r="J234" s="184">
        <v>6.8021436812788633E-2</v>
      </c>
    </row>
    <row r="235" spans="1:14">
      <c r="A235" s="118">
        <v>43524</v>
      </c>
      <c r="B235" s="230">
        <v>5.0748453730997278</v>
      </c>
      <c r="C235" s="230">
        <v>5.9848712075757389</v>
      </c>
      <c r="D235" s="227">
        <v>5.3793640590937333</v>
      </c>
      <c r="E235" s="230">
        <v>6.3687407857117178</v>
      </c>
      <c r="F235" s="230">
        <v>11.985299324461661</v>
      </c>
      <c r="G235" s="253">
        <v>8.2481896554389706</v>
      </c>
      <c r="H235" s="233">
        <v>7.5368928523383255E-2</v>
      </c>
      <c r="I235" s="233">
        <v>5.3216097638267401E-2</v>
      </c>
      <c r="J235" s="184">
        <v>6.7956006058311522E-2</v>
      </c>
    </row>
    <row r="236" spans="1:14">
      <c r="A236" s="118">
        <v>43555</v>
      </c>
      <c r="B236" s="230">
        <v>5.2879836538965037</v>
      </c>
      <c r="C236" s="230">
        <v>6.5151671065164098</v>
      </c>
      <c r="D236" s="227">
        <v>5.6993662367801656</v>
      </c>
      <c r="E236" s="230">
        <v>6.5064091468224667</v>
      </c>
      <c r="F236" s="230">
        <v>12.154469535762834</v>
      </c>
      <c r="G236" s="253">
        <v>8.3997802366336334</v>
      </c>
      <c r="H236" s="233">
        <v>7.5349311001401784E-2</v>
      </c>
      <c r="I236" s="233">
        <v>5.3748992374011061E-2</v>
      </c>
      <c r="J236" s="184">
        <v>6.8108344013886282E-2</v>
      </c>
    </row>
    <row r="237" spans="1:14">
      <c r="A237" s="118">
        <v>43585</v>
      </c>
      <c r="B237" s="230">
        <v>5.4019950543720787</v>
      </c>
      <c r="C237" s="230">
        <v>6.4348861409787226</v>
      </c>
      <c r="D237" s="227">
        <v>5.7518505755988762</v>
      </c>
      <c r="E237" s="230">
        <v>6.6831700705665948</v>
      </c>
      <c r="F237" s="230">
        <v>12.086235932108025</v>
      </c>
      <c r="G237" s="263">
        <v>8.5132685656775067</v>
      </c>
      <c r="H237" s="233">
        <v>7.5503523228733854E-2</v>
      </c>
      <c r="I237" s="233">
        <v>5.1749937455962895E-2</v>
      </c>
      <c r="J237" s="184">
        <v>6.7457831636176774E-2</v>
      </c>
    </row>
    <row r="238" spans="1:14">
      <c r="A238" s="118">
        <v>43616</v>
      </c>
      <c r="B238" s="230">
        <v>5.3648575348068563</v>
      </c>
      <c r="C238" s="230">
        <v>6.4974254150054049</v>
      </c>
      <c r="D238" s="227">
        <v>5.755716238224843</v>
      </c>
      <c r="E238" s="230">
        <v>6.6504847929424802</v>
      </c>
      <c r="F238" s="230">
        <v>12.023863851251765</v>
      </c>
      <c r="G238" s="263">
        <v>8.5048831106273699</v>
      </c>
      <c r="H238" s="233">
        <v>7.5608320687547054E-2</v>
      </c>
      <c r="I238" s="233">
        <v>5.0187619289764757E-2</v>
      </c>
      <c r="J238" s="184">
        <v>6.6835422778265763E-2</v>
      </c>
    </row>
    <row r="239" spans="1:14">
      <c r="A239" s="118">
        <v>43646</v>
      </c>
      <c r="B239" s="230">
        <v>5.4160982521735388</v>
      </c>
      <c r="C239" s="230">
        <v>6.5484236938095721</v>
      </c>
      <c r="D239" s="227">
        <v>5.788857304236279</v>
      </c>
      <c r="E239" s="230">
        <v>6.6184828811257397</v>
      </c>
      <c r="F239" s="230">
        <v>11.941524725530689</v>
      </c>
      <c r="G239" s="263">
        <v>8.3708165822424512</v>
      </c>
      <c r="H239" s="233">
        <v>7.5939738608505322E-2</v>
      </c>
      <c r="I239" s="233">
        <v>4.9607877915696201E-2</v>
      </c>
      <c r="J239" s="184">
        <v>6.7271347817322608E-2</v>
      </c>
    </row>
    <row r="240" spans="1:14">
      <c r="A240" s="118">
        <v>43677</v>
      </c>
      <c r="B240" s="230">
        <v>5.319255282417096</v>
      </c>
      <c r="C240" s="230">
        <v>5.9757589839066663</v>
      </c>
      <c r="D240" s="227">
        <v>5.5358583669729002</v>
      </c>
      <c r="E240" s="230">
        <v>6.8280322190142151</v>
      </c>
      <c r="F240" s="230">
        <v>11.869448686709926</v>
      </c>
      <c r="G240" s="263">
        <v>8.4913683966407234</v>
      </c>
      <c r="H240" s="233">
        <v>7.7151025390243211E-2</v>
      </c>
      <c r="I240" s="233">
        <v>4.9039946319530417E-2</v>
      </c>
      <c r="J240" s="184">
        <v>6.7876216393594743E-2</v>
      </c>
      <c r="N240" s="266"/>
    </row>
    <row r="241" spans="1:14">
      <c r="A241" s="118">
        <v>43708</v>
      </c>
      <c r="B241" s="230">
        <v>5.5804690282188822</v>
      </c>
      <c r="C241" s="230">
        <v>6.0640820101321236</v>
      </c>
      <c r="D241" s="227">
        <v>5.7439137356739183</v>
      </c>
      <c r="E241" s="230">
        <v>6.3687407857117178</v>
      </c>
      <c r="F241" s="230">
        <v>11.81932403675191</v>
      </c>
      <c r="G241" s="263">
        <v>8.2108521810700044</v>
      </c>
      <c r="H241" s="233">
        <v>7.6989506913272096E-2</v>
      </c>
      <c r="I241" s="233">
        <v>4.7539299740914781E-2</v>
      </c>
      <c r="J241" s="184">
        <v>6.7036340485163964E-2</v>
      </c>
      <c r="N241" s="266"/>
    </row>
    <row r="242" spans="1:14">
      <c r="A242" s="118">
        <v>43738</v>
      </c>
      <c r="B242" s="230">
        <v>5.4653525217317105</v>
      </c>
      <c r="C242" s="230">
        <v>6.8621535007679784</v>
      </c>
      <c r="D242" s="227">
        <v>5.9467880315425292</v>
      </c>
      <c r="E242" s="230">
        <v>6.9246082032998721</v>
      </c>
      <c r="F242" s="230">
        <v>11.745732045233805</v>
      </c>
      <c r="G242" s="263">
        <v>8.586305359543271</v>
      </c>
      <c r="H242" s="233">
        <v>7.687349834258092E-2</v>
      </c>
      <c r="I242" s="233">
        <v>4.6508985562227351E-2</v>
      </c>
      <c r="J242" s="184">
        <v>6.6407759192932805E-2</v>
      </c>
    </row>
    <row r="243" spans="1:14">
      <c r="A243" s="118">
        <v>43769</v>
      </c>
      <c r="B243" s="230">
        <v>5.4869457402688964</v>
      </c>
      <c r="C243" s="230">
        <v>7.0099195104772045</v>
      </c>
      <c r="D243" s="227">
        <v>6.0028940863031011</v>
      </c>
      <c r="E243" s="230">
        <v>6.5582234378855588</v>
      </c>
      <c r="F243" s="230">
        <v>11.663929116559078</v>
      </c>
      <c r="G243" s="263">
        <v>8.287918624880632</v>
      </c>
      <c r="H243" s="233">
        <v>7.7005566864951122E-2</v>
      </c>
      <c r="I243" s="233">
        <v>4.6918068476046085E-2</v>
      </c>
      <c r="J243" s="184">
        <v>6.6812617167636854E-2</v>
      </c>
      <c r="N243" s="266"/>
    </row>
    <row r="244" spans="1:14">
      <c r="A244" s="118">
        <v>43799</v>
      </c>
      <c r="B244" s="230">
        <v>5.398780769983512</v>
      </c>
      <c r="C244" s="230">
        <v>6.5217823429892485</v>
      </c>
      <c r="D244" s="227">
        <v>5.7854203197973062</v>
      </c>
      <c r="E244" s="230">
        <v>6.6420215264647728</v>
      </c>
      <c r="F244" s="230">
        <v>11.805262026021804</v>
      </c>
      <c r="G244" s="227">
        <v>8.4196797509193519</v>
      </c>
      <c r="H244" s="233">
        <v>7.6881123333550391E-2</v>
      </c>
      <c r="I244" s="233">
        <v>4.6514696975296387E-2</v>
      </c>
      <c r="J244" s="184">
        <v>6.6426230216006132E-2</v>
      </c>
      <c r="N244" s="266"/>
    </row>
    <row r="245" spans="1:14">
      <c r="A245" s="118">
        <v>43830</v>
      </c>
      <c r="B245" s="230">
        <v>5.4547975181960879</v>
      </c>
      <c r="C245" s="230">
        <v>6.4366343070910199</v>
      </c>
      <c r="D245" s="227">
        <v>5.7871190601101192</v>
      </c>
      <c r="E245" s="230">
        <v>6.5954393743173467</v>
      </c>
      <c r="F245" s="230">
        <v>11.721187252837174</v>
      </c>
      <c r="G245" s="227">
        <v>8.3303473118875786</v>
      </c>
      <c r="H245" s="233">
        <v>7.6187469667938601E-2</v>
      </c>
      <c r="I245" s="233">
        <v>4.6610015611637023E-2</v>
      </c>
      <c r="J245" s="184">
        <v>6.6176411568410198E-2</v>
      </c>
    </row>
    <row r="246" spans="1:14">
      <c r="A246" s="118">
        <v>43861</v>
      </c>
      <c r="B246" s="230">
        <v>5.3960233323260294</v>
      </c>
      <c r="C246" s="230">
        <v>6.5208410345161623</v>
      </c>
      <c r="D246" s="227">
        <v>5.7827881984787206</v>
      </c>
      <c r="E246" s="230">
        <v>6.3246826770494717</v>
      </c>
      <c r="F246" s="230">
        <v>11.891856762369899</v>
      </c>
      <c r="G246" s="227">
        <v>8.2389371698132425</v>
      </c>
      <c r="H246" s="233">
        <v>7.5351193777871237E-2</v>
      </c>
      <c r="I246" s="233">
        <v>4.6040397298902587E-2</v>
      </c>
      <c r="J246" s="184">
        <v>6.5272772843577631E-2</v>
      </c>
    </row>
    <row r="247" spans="1:14">
      <c r="A247" s="118">
        <v>43890</v>
      </c>
      <c r="B247" s="230">
        <v>5.3511121743548555</v>
      </c>
      <c r="C247" s="230">
        <v>7.4153674790727129</v>
      </c>
      <c r="D247" s="227">
        <v>6.0597176562706219</v>
      </c>
      <c r="E247" s="230">
        <v>6.3012886905194554</v>
      </c>
      <c r="F247" s="230">
        <v>12.011569183869593</v>
      </c>
      <c r="G247" s="227">
        <v>8.2614803642996666</v>
      </c>
      <c r="H247" s="233">
        <v>7.5213379596426419E-2</v>
      </c>
      <c r="I247" s="233">
        <v>4.3493794427321937E-2</v>
      </c>
      <c r="J247" s="184">
        <v>6.4324866008232631E-2</v>
      </c>
    </row>
    <row r="248" spans="1:14">
      <c r="A248" s="118">
        <v>43921</v>
      </c>
      <c r="B248" s="230">
        <v>5.3122485985030998</v>
      </c>
      <c r="C248" s="230">
        <v>7.4352359587338599</v>
      </c>
      <c r="D248" s="227">
        <v>6.1179126363298719</v>
      </c>
      <c r="E248" s="230">
        <v>6.3024871081101024</v>
      </c>
      <c r="F248" s="230">
        <v>11.883495605536243</v>
      </c>
      <c r="G248" s="227">
        <v>8.4204544240780734</v>
      </c>
      <c r="H248" s="233">
        <v>7.603931656210032E-2</v>
      </c>
      <c r="I248" s="233">
        <v>4.1204441848657916E-2</v>
      </c>
      <c r="J248" s="184">
        <v>6.2819640202005964E-2</v>
      </c>
    </row>
    <row r="249" spans="1:14">
      <c r="A249" s="118">
        <v>43951</v>
      </c>
      <c r="B249" s="230">
        <v>5.3262212302166034</v>
      </c>
      <c r="C249" s="230">
        <v>7.1331732203551343</v>
      </c>
      <c r="D249" s="227">
        <v>6.0181307523397791</v>
      </c>
      <c r="E249" s="230">
        <v>6.4176091818640675</v>
      </c>
      <c r="F249" s="230">
        <v>11.819173327243314</v>
      </c>
      <c r="G249" s="227">
        <v>8.4859506137028351</v>
      </c>
      <c r="H249" s="233">
        <v>7.4486579959506055E-2</v>
      </c>
      <c r="I249" s="233">
        <v>3.9994928844394755E-2</v>
      </c>
      <c r="J249" s="184">
        <v>6.1279199812971905E-2</v>
      </c>
    </row>
    <row r="250" spans="1:14">
      <c r="A250" s="118">
        <v>43982</v>
      </c>
      <c r="B250" s="230">
        <v>5.4011042314971363</v>
      </c>
      <c r="C250" s="230">
        <v>6.8512481106229837</v>
      </c>
      <c r="D250" s="227">
        <v>5.9260573811641581</v>
      </c>
      <c r="E250" s="230">
        <v>6.4342674569666976</v>
      </c>
      <c r="F250" s="230">
        <v>11.768959951062444</v>
      </c>
      <c r="G250" s="227">
        <v>8.365430059238081</v>
      </c>
      <c r="H250" s="233">
        <v>7.1878152859379707E-2</v>
      </c>
      <c r="I250" s="233">
        <v>3.9240928661601011E-2</v>
      </c>
      <c r="J250" s="184">
        <v>6.0063453721153112E-2</v>
      </c>
    </row>
    <row r="251" spans="1:14">
      <c r="A251" s="118">
        <v>44012</v>
      </c>
      <c r="B251" s="230">
        <v>5.4238491437881367</v>
      </c>
      <c r="C251" s="230">
        <v>7.0086074792971251</v>
      </c>
      <c r="D251" s="227">
        <v>6.018987460907276</v>
      </c>
      <c r="E251" s="230">
        <v>6.480569513364391</v>
      </c>
      <c r="F251" s="230">
        <v>12.1780113407244</v>
      </c>
      <c r="G251" s="227">
        <v>8.6201802445678926</v>
      </c>
      <c r="H251" s="233">
        <v>6.9426461828000316E-2</v>
      </c>
      <c r="I251" s="233">
        <v>3.9124753760203052E-2</v>
      </c>
      <c r="J251" s="184">
        <v>5.8046993336665777E-2</v>
      </c>
    </row>
    <row r="252" spans="1:14">
      <c r="A252" s="118">
        <v>44043</v>
      </c>
      <c r="B252" s="230">
        <v>5.5684235809958098</v>
      </c>
      <c r="C252" s="230">
        <v>7.002327491923392</v>
      </c>
      <c r="D252" s="227">
        <v>6.110334129635425</v>
      </c>
      <c r="E252" s="230">
        <v>6.6459475485462907</v>
      </c>
      <c r="F252" s="230">
        <v>12.204162281285418</v>
      </c>
      <c r="G252" s="227">
        <v>8.746545205279773</v>
      </c>
      <c r="H252" s="233">
        <v>6.8221920682782766E-2</v>
      </c>
      <c r="I252" s="233">
        <v>3.8784605035320024E-2</v>
      </c>
      <c r="J252" s="184">
        <v>5.7096773626956275E-2</v>
      </c>
    </row>
    <row r="253" spans="1:14">
      <c r="A253" s="118">
        <v>44074</v>
      </c>
      <c r="B253" s="230">
        <v>5.5442244098117905</v>
      </c>
      <c r="C253" s="230">
        <v>7.0130313473643566</v>
      </c>
      <c r="D253" s="227">
        <v>6.0992555034713245</v>
      </c>
      <c r="E253" s="230">
        <v>6.6088984087981641</v>
      </c>
      <c r="F253" s="230">
        <v>12.128802157347527</v>
      </c>
      <c r="G253" s="227">
        <v>8.6947533541442859</v>
      </c>
      <c r="H253" s="233">
        <v>6.7825051044708123E-2</v>
      </c>
      <c r="I253" s="233">
        <v>3.8572869543909913E-2</v>
      </c>
      <c r="J253" s="184">
        <v>5.6771269996145957E-2</v>
      </c>
    </row>
    <row r="254" spans="1:14">
      <c r="A254" s="118">
        <v>44104</v>
      </c>
      <c r="B254" s="230">
        <v>5.7579433866388854</v>
      </c>
      <c r="C254" s="230">
        <v>7.2579063008189211</v>
      </c>
      <c r="D254" s="227">
        <v>6.329909536232571</v>
      </c>
      <c r="E254" s="230">
        <v>7.113504995745898</v>
      </c>
      <c r="F254" s="230">
        <v>12.059398644388995</v>
      </c>
      <c r="G254" s="227">
        <v>8.9994741218963838</v>
      </c>
      <c r="H254" s="233">
        <v>6.8120788619821626E-2</v>
      </c>
      <c r="I254" s="233">
        <v>3.8246764378560831E-2</v>
      </c>
      <c r="J254" s="184">
        <v>5.6729219897282211E-2</v>
      </c>
    </row>
    <row r="255" spans="1:14">
      <c r="A255" s="118">
        <v>44135</v>
      </c>
      <c r="B255" s="230">
        <v>5.7862199832720282</v>
      </c>
      <c r="C255" s="230">
        <v>7.2318757652239976</v>
      </c>
      <c r="D255" s="227">
        <v>6.3304886450225446</v>
      </c>
      <c r="E255" s="230">
        <v>7.1857249080777805</v>
      </c>
      <c r="F255" s="230">
        <v>11.981515956218123</v>
      </c>
      <c r="G255" s="227">
        <v>8.9912714347081248</v>
      </c>
      <c r="H255" s="233">
        <v>6.7362971044755804E-2</v>
      </c>
      <c r="I255" s="233">
        <v>3.8348867612850501E-2</v>
      </c>
      <c r="J255" s="184">
        <v>5.6439577354556583E-2</v>
      </c>
    </row>
    <row r="256" spans="1:14">
      <c r="A256" s="118">
        <v>44165</v>
      </c>
      <c r="B256" s="230">
        <v>5.7961313653188657</v>
      </c>
      <c r="C256" s="230">
        <v>6.6696946935427714</v>
      </c>
      <c r="D256" s="227">
        <v>6.109187196036129</v>
      </c>
      <c r="E256" s="230">
        <v>7.5378603807527798</v>
      </c>
      <c r="F256" s="230">
        <v>11.897901072192328</v>
      </c>
      <c r="G256" s="227">
        <v>9.1003528944836525</v>
      </c>
      <c r="H256" s="233">
        <v>6.642263665940705E-2</v>
      </c>
      <c r="I256" s="233">
        <v>3.8212470743536731E-2</v>
      </c>
      <c r="J256" s="184">
        <v>5.6313058292123505E-2</v>
      </c>
    </row>
    <row r="257" spans="1:11">
      <c r="A257" s="118">
        <v>44196</v>
      </c>
      <c r="B257" s="230">
        <v>5.8005503938017382</v>
      </c>
      <c r="C257" s="230">
        <v>6.1177908615290946</v>
      </c>
      <c r="D257" s="227">
        <v>5.9181837973471207</v>
      </c>
      <c r="E257" s="230">
        <v>7.5539413813884888</v>
      </c>
      <c r="F257" s="230">
        <v>11.212482119004237</v>
      </c>
      <c r="G257" s="227">
        <v>8.9105356458536402</v>
      </c>
      <c r="H257" s="233">
        <v>6.6880709260756205E-2</v>
      </c>
      <c r="I257" s="233">
        <v>3.6949635110706099E-2</v>
      </c>
      <c r="J257" s="184">
        <v>5.5782206761177434E-2</v>
      </c>
    </row>
    <row r="258" spans="1:11">
      <c r="A258" s="118">
        <v>44227</v>
      </c>
      <c r="B258" s="230">
        <v>5.7524849727476299</v>
      </c>
      <c r="C258" s="230">
        <v>6.9356001723480558</v>
      </c>
      <c r="D258" s="227">
        <v>6.2083597833771824</v>
      </c>
      <c r="E258" s="230">
        <v>7.5611637563386322</v>
      </c>
      <c r="F258" s="230">
        <v>11.826407499177623</v>
      </c>
      <c r="G258" s="227">
        <v>9.2046361622483026</v>
      </c>
      <c r="H258" s="233">
        <v>6.5448646031523922E-2</v>
      </c>
      <c r="I258" s="233">
        <v>3.6918816917147081E-2</v>
      </c>
      <c r="J258" s="184">
        <v>5.4455607949346799E-2</v>
      </c>
    </row>
    <row r="259" spans="1:11">
      <c r="A259" s="118">
        <v>44255</v>
      </c>
      <c r="B259" s="230">
        <v>5.7087390592945981</v>
      </c>
      <c r="C259" s="230">
        <v>6.3403885565369782</v>
      </c>
      <c r="D259" s="227">
        <v>5.9506639093535849</v>
      </c>
      <c r="E259" s="230">
        <v>7.6104988230909214</v>
      </c>
      <c r="F259" s="230">
        <v>11.756423043673397</v>
      </c>
      <c r="G259" s="227">
        <v>9.1984080984076666</v>
      </c>
      <c r="H259" s="233">
        <v>6.525906722119984E-2</v>
      </c>
      <c r="I259" s="233">
        <v>3.6885780526570669E-2</v>
      </c>
      <c r="J259" s="184">
        <v>5.4391959498885277E-2</v>
      </c>
    </row>
    <row r="260" spans="1:11">
      <c r="A260" s="118">
        <v>44286</v>
      </c>
      <c r="B260" s="230">
        <v>5.8492929814560028</v>
      </c>
      <c r="C260" s="230">
        <v>6.8461777899702767</v>
      </c>
      <c r="D260" s="227">
        <v>6.2356030032309162</v>
      </c>
      <c r="E260" s="230">
        <v>7.9476740870436418</v>
      </c>
      <c r="F260" s="230">
        <v>11.881564609197016</v>
      </c>
      <c r="G260" s="227">
        <v>9.4721243748738999</v>
      </c>
      <c r="H260" s="233">
        <v>6.5250826375195706E-2</v>
      </c>
      <c r="I260" s="233">
        <v>3.5276139961170523E-2</v>
      </c>
      <c r="J260" s="184">
        <v>5.3635119462622678E-2</v>
      </c>
      <c r="K260" s="266"/>
    </row>
    <row r="261" spans="1:11">
      <c r="A261" s="118">
        <v>44316</v>
      </c>
      <c r="B261" s="230">
        <v>5.8514166257325897</v>
      </c>
      <c r="C261" s="230">
        <v>7.1645568992011688</v>
      </c>
      <c r="D261" s="227">
        <v>6.3645280966317337</v>
      </c>
      <c r="E261" s="230">
        <v>7.9836346663469389</v>
      </c>
      <c r="F261" s="230">
        <v>12.654261474444272</v>
      </c>
      <c r="G261" s="227">
        <v>9.8086888817609932</v>
      </c>
      <c r="H261" s="233">
        <v>6.6579207345586769E-2</v>
      </c>
      <c r="I261" s="233">
        <v>3.694153990296542E-2</v>
      </c>
      <c r="J261" s="184">
        <v>5.4998245705187424E-2</v>
      </c>
      <c r="K261" s="266"/>
    </row>
    <row r="262" spans="1:11">
      <c r="A262" s="118">
        <v>44347</v>
      </c>
      <c r="B262" s="230">
        <v>5.7838191332595823</v>
      </c>
      <c r="C262" s="230">
        <v>6.9016483824193759</v>
      </c>
      <c r="D262" s="227">
        <v>6.2158638803617592</v>
      </c>
      <c r="E262" s="230">
        <v>8.0430575709642422</v>
      </c>
      <c r="F262" s="230">
        <v>11.968703402885188</v>
      </c>
      <c r="G262" s="227">
        <v>9.5603328273952464</v>
      </c>
      <c r="H262" s="233">
        <v>7.0653473856404081E-2</v>
      </c>
      <c r="I262" s="233">
        <v>3.6031076180536865E-2</v>
      </c>
      <c r="J262" s="184">
        <v>5.7271801244791483E-2</v>
      </c>
    </row>
    <row r="263" spans="1:11">
      <c r="A263" s="118">
        <v>44377</v>
      </c>
      <c r="B263" s="230">
        <v>5.8654104707368804</v>
      </c>
      <c r="C263" s="230">
        <v>6.7312697476719316</v>
      </c>
      <c r="D263" s="227">
        <v>6.2018672107283264</v>
      </c>
      <c r="E263" s="230">
        <v>8.1147731478539846</v>
      </c>
      <c r="F263" s="230">
        <v>11.914265090869396</v>
      </c>
      <c r="G263" s="227">
        <v>9.5911847390029035</v>
      </c>
      <c r="H263" s="233">
        <v>7.1672102299639009E-2</v>
      </c>
      <c r="I263" s="233">
        <v>3.6110111754563058E-2</v>
      </c>
      <c r="J263" s="184">
        <v>5.7853377103604199E-2</v>
      </c>
    </row>
    <row r="264" spans="1:11">
      <c r="A264" s="118">
        <v>44408</v>
      </c>
      <c r="B264" s="230">
        <v>5.8424053573128596</v>
      </c>
      <c r="C264" s="230">
        <v>6.5627749533028421</v>
      </c>
      <c r="D264" s="227">
        <v>6.122555250937701</v>
      </c>
      <c r="E264" s="230">
        <v>8.0810327720334456</v>
      </c>
      <c r="F264" s="230">
        <v>11.834383789059535</v>
      </c>
      <c r="G264" s="227">
        <v>9.5407013838264003</v>
      </c>
      <c r="H264" s="233">
        <v>7.2757741728643355E-2</v>
      </c>
      <c r="I264" s="233">
        <v>3.6203981589170972E-2</v>
      </c>
      <c r="J264" s="184">
        <v>5.8542077892098587E-2</v>
      </c>
    </row>
    <row r="265" spans="1:11">
      <c r="A265" s="118">
        <v>44439</v>
      </c>
      <c r="B265" s="230">
        <v>5.9266155635586504</v>
      </c>
      <c r="C265" s="230">
        <v>6.6178734923166358</v>
      </c>
      <c r="D265" s="227">
        <v>6.1959802861739082</v>
      </c>
      <c r="E265" s="230">
        <v>8.2535373003796142</v>
      </c>
      <c r="F265" s="230">
        <v>11.75811051879214</v>
      </c>
      <c r="G265" s="227">
        <v>9.6191757308258268</v>
      </c>
      <c r="H265" s="233">
        <v>7.4225350748683958E-2</v>
      </c>
      <c r="I265" s="233">
        <v>3.6218875247432544E-2</v>
      </c>
      <c r="J265" s="184">
        <v>5.9415243978013579E-2</v>
      </c>
      <c r="K265" s="128"/>
    </row>
    <row r="266" spans="1:11">
      <c r="A266" s="118">
        <v>44469</v>
      </c>
      <c r="B266" s="230">
        <v>5.8280523543791762</v>
      </c>
      <c r="C266" s="230">
        <v>6.4176384302135299</v>
      </c>
      <c r="D266" s="227">
        <v>6.0551505558231273</v>
      </c>
      <c r="E266" s="230">
        <v>8.3191303234016321</v>
      </c>
      <c r="F266" s="230">
        <v>11.669762458754857</v>
      </c>
      <c r="G266" s="227">
        <v>9.6097349744056473</v>
      </c>
      <c r="H266" s="233">
        <v>7.449229599651172E-2</v>
      </c>
      <c r="I266" s="233">
        <v>3.6462706406176063E-2</v>
      </c>
      <c r="J266" s="184">
        <v>5.984396600433043E-2</v>
      </c>
    </row>
    <row r="267" spans="1:11">
      <c r="A267" s="118">
        <v>44500</v>
      </c>
      <c r="B267" s="230">
        <v>6.0160625743317269</v>
      </c>
      <c r="C267" s="230">
        <v>6.8083898501220617</v>
      </c>
      <c r="D267" s="227">
        <v>6.3221711793361344</v>
      </c>
      <c r="E267" s="230">
        <v>8.39868550079483</v>
      </c>
      <c r="F267" s="230">
        <v>11.826623677161518</v>
      </c>
      <c r="G267" s="227">
        <v>9.7230389659235907</v>
      </c>
      <c r="H267" s="233">
        <v>7.5056065604168248E-2</v>
      </c>
      <c r="I267" s="233">
        <v>3.721789521933442E-2</v>
      </c>
      <c r="J267" s="184">
        <v>6.0437624580707172E-2</v>
      </c>
    </row>
    <row r="268" spans="1:11">
      <c r="A268" s="118">
        <v>44530</v>
      </c>
      <c r="B268" s="230">
        <v>5.9681162421471168</v>
      </c>
      <c r="C268" s="230">
        <v>6.2267309121849994</v>
      </c>
      <c r="D268" s="227">
        <v>6.0713227846260764</v>
      </c>
      <c r="E268" s="230">
        <v>8.4469123588103514</v>
      </c>
      <c r="F268" s="230">
        <v>11.756761892061922</v>
      </c>
      <c r="G268" s="227">
        <v>9.7677891922956945</v>
      </c>
      <c r="H268" s="233">
        <v>7.7502416380081193E-2</v>
      </c>
      <c r="I268" s="233">
        <v>3.6971483975306765E-2</v>
      </c>
      <c r="J268" s="184">
        <v>6.1327551294769189E-2</v>
      </c>
    </row>
    <row r="269" spans="1:11">
      <c r="A269" s="118">
        <v>44561</v>
      </c>
      <c r="B269" s="230">
        <v>5.975175319113573</v>
      </c>
      <c r="C269" s="230">
        <v>6.2296216524381665</v>
      </c>
      <c r="D269" s="227">
        <v>6.0778950631322743</v>
      </c>
      <c r="E269" s="230">
        <v>8.453248779500548</v>
      </c>
      <c r="F269" s="230">
        <v>11.702943841396539</v>
      </c>
      <c r="G269" s="227">
        <v>9.7651476012884952</v>
      </c>
      <c r="H269" s="233">
        <v>7.8740564530006829E-2</v>
      </c>
      <c r="I269" s="233">
        <v>3.6965227062320596E-2</v>
      </c>
      <c r="J269" s="184">
        <v>6.1875900320043614E-2</v>
      </c>
    </row>
    <row r="270" spans="1:11">
      <c r="A270" s="118">
        <v>44592</v>
      </c>
      <c r="B270" s="230">
        <v>5.8714259522759544</v>
      </c>
      <c r="C270" s="230">
        <v>6.099136042226962</v>
      </c>
      <c r="D270" s="227">
        <v>5.9620826611850362</v>
      </c>
      <c r="E270" s="230">
        <v>8.4293271103414131</v>
      </c>
      <c r="F270" s="230">
        <v>11.686748854047735</v>
      </c>
      <c r="G270" s="227">
        <v>9.7261828398210977</v>
      </c>
      <c r="H270" s="233">
        <v>8.3373813283802209E-2</v>
      </c>
      <c r="I270" s="233">
        <v>3.7313927441308292E-2</v>
      </c>
      <c r="J270" s="184">
        <v>6.503629620624575E-2</v>
      </c>
    </row>
    <row r="271" spans="1:11">
      <c r="A271" s="118">
        <v>44620</v>
      </c>
      <c r="B271" s="230">
        <v>5.8237021772593955</v>
      </c>
      <c r="C271" s="230">
        <v>6.3735580498650375</v>
      </c>
      <c r="D271" s="227">
        <v>6.0381111490291852</v>
      </c>
      <c r="E271" s="230">
        <v>8.4489788376502659</v>
      </c>
      <c r="F271" s="230">
        <v>11.605772357922007</v>
      </c>
      <c r="G271" s="227">
        <v>9.6799284127881737</v>
      </c>
      <c r="H271" s="233">
        <v>8.7286734042908362E-2</v>
      </c>
      <c r="I271" s="233">
        <v>3.7983016999428375E-2</v>
      </c>
      <c r="J271" s="184">
        <v>6.8061406457286908E-2</v>
      </c>
    </row>
    <row r="272" spans="1:11">
      <c r="A272" s="118">
        <v>44651</v>
      </c>
      <c r="B272" s="230">
        <v>5.8775466173072415</v>
      </c>
      <c r="C272" s="230">
        <v>6.4005708044061675</v>
      </c>
      <c r="D272" s="227">
        <v>6.0747278339660848</v>
      </c>
      <c r="E272" s="230">
        <v>8.6027575102624709</v>
      </c>
      <c r="F272" s="230">
        <v>11.526429430916689</v>
      </c>
      <c r="G272" s="227">
        <v>9.704987962784271</v>
      </c>
      <c r="H272" s="233">
        <v>8.9394856474552156E-2</v>
      </c>
      <c r="I272" s="233">
        <v>3.9765608256304069E-2</v>
      </c>
      <c r="J272" s="184">
        <v>7.0684525696509293E-2</v>
      </c>
    </row>
    <row r="273" spans="1:10">
      <c r="A273" s="118">
        <v>44681</v>
      </c>
      <c r="B273" s="230">
        <v>5.8424495366514781</v>
      </c>
      <c r="C273" s="230">
        <v>6.199591626317023</v>
      </c>
      <c r="D273" s="227">
        <v>5.9799130757251175</v>
      </c>
      <c r="E273" s="230">
        <v>8.6451957052787076</v>
      </c>
      <c r="F273" s="230">
        <v>11.482853390690032</v>
      </c>
      <c r="G273" s="227">
        <v>9.7374065630956856</v>
      </c>
      <c r="H273" s="233">
        <v>9.1893689828129219E-2</v>
      </c>
      <c r="I273" s="233">
        <v>4.0775419587403702E-2</v>
      </c>
      <c r="J273" s="184">
        <v>7.2218332198919627E-2</v>
      </c>
    </row>
    <row r="274" spans="1:10">
      <c r="A274" s="118">
        <v>44712</v>
      </c>
      <c r="B274" s="230">
        <v>5.9474742247891044</v>
      </c>
      <c r="C274" s="230">
        <v>6.2237966468010759</v>
      </c>
      <c r="D274" s="227">
        <v>6.052591209578928</v>
      </c>
      <c r="E274" s="230">
        <v>8.8864914109210886</v>
      </c>
      <c r="F274" s="230">
        <v>11.418152895455515</v>
      </c>
      <c r="G274" s="227">
        <v>9.8495714962254155</v>
      </c>
      <c r="H274" s="233">
        <v>9.3085739421151323E-2</v>
      </c>
      <c r="I274" s="233">
        <v>4.1241296495901691E-2</v>
      </c>
      <c r="J274" s="184">
        <v>7.3363374950220897E-2</v>
      </c>
    </row>
    <row r="275" spans="1:10">
      <c r="A275" s="118">
        <v>44742</v>
      </c>
      <c r="B275" s="230">
        <v>6.0135276800140716</v>
      </c>
      <c r="C275" s="230">
        <v>6.0428241166271786</v>
      </c>
      <c r="D275" s="227">
        <v>6.0251106401199692</v>
      </c>
      <c r="E275" s="230">
        <v>9.0210835191313397</v>
      </c>
      <c r="F275" s="230">
        <v>11.355975765187875</v>
      </c>
      <c r="G275" s="227">
        <v>9.9442320950077541</v>
      </c>
      <c r="H275" s="233">
        <v>9.5094267230127483E-2</v>
      </c>
      <c r="I275" s="233">
        <v>4.1725487300069634E-2</v>
      </c>
      <c r="J275" s="184">
        <v>7.3993801771002482E-2</v>
      </c>
    </row>
    <row r="276" spans="1:10">
      <c r="A276" s="118">
        <v>44773</v>
      </c>
      <c r="B276" s="230">
        <v>5.9127850123671282</v>
      </c>
      <c r="C276" s="230">
        <v>6.1475868483056315</v>
      </c>
      <c r="D276" s="227">
        <v>6.0065372636963588</v>
      </c>
      <c r="E276" s="230">
        <v>9.0360834297302279</v>
      </c>
      <c r="F276" s="230">
        <v>11.288944388860623</v>
      </c>
      <c r="G276" s="227">
        <v>9.9356112635139624</v>
      </c>
      <c r="H276" s="233">
        <v>9.7380783256541759E-2</v>
      </c>
      <c r="I276" s="233">
        <v>4.212891096566574E-2</v>
      </c>
      <c r="J276" s="184">
        <v>7.5319680553829135E-2</v>
      </c>
    </row>
    <row r="277" spans="1:10">
      <c r="A277" s="118">
        <v>44804</v>
      </c>
      <c r="B277" s="230">
        <v>5.905558447226432</v>
      </c>
      <c r="C277" s="230">
        <v>6.0128287601441288</v>
      </c>
      <c r="D277" s="227">
        <v>5.9486524975038044</v>
      </c>
      <c r="E277" s="230">
        <v>8.9989526635062553</v>
      </c>
      <c r="F277" s="230">
        <v>11.236959174206802</v>
      </c>
      <c r="G277" s="227">
        <v>9.8980342683787228</v>
      </c>
      <c r="H277" s="233">
        <v>9.9667408823059689E-2</v>
      </c>
      <c r="I277" s="233">
        <v>4.3448565407049673E-2</v>
      </c>
      <c r="J277" s="184">
        <v>7.7082430754019896E-2</v>
      </c>
    </row>
    <row r="278" spans="1:10">
      <c r="A278" s="118">
        <v>44834</v>
      </c>
      <c r="B278" s="230">
        <v>5.8940269711903337</v>
      </c>
      <c r="C278" s="230">
        <v>5.9025595704742839</v>
      </c>
      <c r="D278" s="227">
        <v>5.8974818610035564</v>
      </c>
      <c r="E278" s="230">
        <v>9.1020906435752771</v>
      </c>
      <c r="F278" s="230">
        <v>11.169713801970772</v>
      </c>
      <c r="G278" s="227">
        <v>9.9392810412258683</v>
      </c>
      <c r="H278" s="233">
        <v>0.10184754555778014</v>
      </c>
      <c r="I278" s="233">
        <v>4.4571071582832265E-2</v>
      </c>
      <c r="J278" s="184">
        <v>7.8656030301043886E-2</v>
      </c>
    </row>
    <row r="279" spans="1:10">
      <c r="A279" s="118">
        <v>44865</v>
      </c>
      <c r="B279" s="230">
        <v>5.8321756261675297</v>
      </c>
      <c r="C279" s="230">
        <v>5.9040301496439946</v>
      </c>
      <c r="D279" s="227">
        <v>5.8620585035413919</v>
      </c>
      <c r="E279" s="230">
        <v>9.0466732208807361</v>
      </c>
      <c r="F279" s="230">
        <v>11.095519550987797</v>
      </c>
      <c r="G279" s="227">
        <v>9.8987479501847435</v>
      </c>
      <c r="H279" s="233">
        <v>0.104806030912918</v>
      </c>
      <c r="I279" s="233">
        <v>4.6109406698746344E-2</v>
      </c>
      <c r="J279" s="184">
        <v>8.0395264007946693E-2</v>
      </c>
    </row>
    <row r="280" spans="1:10">
      <c r="A280" s="118">
        <v>44895</v>
      </c>
      <c r="B280" s="230">
        <v>5.8513673148538352</v>
      </c>
      <c r="C280" s="230">
        <v>6.0636397342644566</v>
      </c>
      <c r="D280" s="227">
        <v>5.9397596791754843</v>
      </c>
      <c r="E280" s="230">
        <v>8.9915107007944677</v>
      </c>
      <c r="F280" s="230">
        <v>11.006650000483424</v>
      </c>
      <c r="G280" s="227">
        <v>9.8306349150072201</v>
      </c>
      <c r="H280" s="233">
        <v>0.10607573705515809</v>
      </c>
      <c r="I280" s="233">
        <v>4.6177643232868042E-2</v>
      </c>
      <c r="J280" s="184">
        <v>8.1133570069863908E-2</v>
      </c>
    </row>
    <row r="281" spans="1:10">
      <c r="A281" s="118">
        <v>44926</v>
      </c>
      <c r="B281" s="230">
        <v>5.8606217039492048</v>
      </c>
      <c r="C281" s="230">
        <v>6.2242772330337957</v>
      </c>
      <c r="D281" s="227">
        <v>6.0129059737801871</v>
      </c>
      <c r="E281" s="230">
        <v>9.0385458764974622</v>
      </c>
      <c r="F281" s="230">
        <v>11.033327871811368</v>
      </c>
      <c r="G281" s="227">
        <v>9.8738801291982021</v>
      </c>
      <c r="H281" s="233">
        <v>0.10811983113888289</v>
      </c>
      <c r="I281" s="233">
        <v>4.6521995943825195E-2</v>
      </c>
      <c r="J281" s="184">
        <v>8.2325141918946423E-2</v>
      </c>
    </row>
    <row r="282" spans="1:10">
      <c r="A282" s="118">
        <v>44957</v>
      </c>
      <c r="B282" s="230">
        <v>5.8112201010291615</v>
      </c>
      <c r="C282" s="230">
        <v>6.2296731390219797</v>
      </c>
      <c r="D282" s="227">
        <v>5.9816096182915981</v>
      </c>
      <c r="E282" s="230">
        <v>8.9642461331604935</v>
      </c>
      <c r="F282" s="230">
        <v>10.986023933307676</v>
      </c>
      <c r="G282" s="227">
        <v>9.7874920224277613</v>
      </c>
      <c r="H282" s="233">
        <v>0.10914194065543266</v>
      </c>
      <c r="I282" s="233">
        <v>4.7781645975679868E-2</v>
      </c>
      <c r="J282" s="184">
        <v>8.4156697294041835E-2</v>
      </c>
    </row>
    <row r="283" spans="1:10">
      <c r="A283" s="118">
        <v>44985</v>
      </c>
      <c r="B283" s="230">
        <v>5.8576789714067115</v>
      </c>
      <c r="C283" s="230">
        <v>6.1697729743296801</v>
      </c>
      <c r="D283" s="227">
        <v>5.9897558716792769</v>
      </c>
      <c r="E283" s="230">
        <v>9.2165456144021167</v>
      </c>
      <c r="F283" s="230">
        <v>10.997363531865593</v>
      </c>
      <c r="G283" s="227">
        <v>9.9701804432856296</v>
      </c>
      <c r="H283" s="233">
        <v>0.1074347089811673</v>
      </c>
      <c r="I283" s="233">
        <v>4.9374426011346964E-2</v>
      </c>
      <c r="J283" s="184">
        <v>8.2863835680873077E-2</v>
      </c>
    </row>
    <row r="284" spans="1:10">
      <c r="A284" s="118">
        <v>45016</v>
      </c>
      <c r="B284" s="230">
        <v>6.0413950049611262</v>
      </c>
      <c r="C284" s="230">
        <v>6.2896212264140701</v>
      </c>
      <c r="D284" s="227">
        <v>6.1421136392332496</v>
      </c>
      <c r="E284" s="230">
        <v>9.3257029264195523</v>
      </c>
      <c r="F284" s="230">
        <v>11.03345890418214</v>
      </c>
      <c r="G284" s="227">
        <v>10.018630727292152</v>
      </c>
      <c r="H284" s="233">
        <v>0.10842365643807403</v>
      </c>
      <c r="I284" s="233">
        <v>4.8684857466803545E-2</v>
      </c>
      <c r="J284" s="184">
        <v>8.4184435415310635E-2</v>
      </c>
    </row>
    <row r="285" spans="1:10">
      <c r="A285" s="118">
        <v>45046</v>
      </c>
      <c r="B285" s="230">
        <v>6.0829417321343557</v>
      </c>
      <c r="C285" s="230">
        <v>6.2469926983385262</v>
      </c>
      <c r="D285" s="227">
        <v>6.1490563211339468</v>
      </c>
      <c r="E285" s="230">
        <v>9.3543814751078642</v>
      </c>
      <c r="F285" s="230">
        <v>10.957988803627254</v>
      </c>
      <c r="G285" s="227">
        <v>10.000655263644052</v>
      </c>
      <c r="H285" s="233">
        <v>0.10706118895214885</v>
      </c>
      <c r="I285" s="233">
        <v>4.9026432014915161E-2</v>
      </c>
      <c r="J285" s="184">
        <v>8.3672456832027814E-2</v>
      </c>
    </row>
    <row r="286" spans="1:10">
      <c r="A286" s="118">
        <v>45077</v>
      </c>
      <c r="B286" s="230">
        <v>6.1436145412830339</v>
      </c>
      <c r="C286" s="230">
        <v>6.2349795942910786</v>
      </c>
      <c r="D286" s="227">
        <v>6.1787906057049691</v>
      </c>
      <c r="E286" s="230">
        <v>9.3619013867148837</v>
      </c>
      <c r="F286" s="230">
        <v>10.898440605208528</v>
      </c>
      <c r="G286" s="227">
        <v>9.9534777143924114</v>
      </c>
      <c r="H286" s="233">
        <v>0.10607187418006352</v>
      </c>
      <c r="I286" s="233">
        <v>4.95780187108796E-2</v>
      </c>
      <c r="J286" s="184">
        <v>8.4321418902020745E-2</v>
      </c>
    </row>
    <row r="287" spans="1:10">
      <c r="A287" s="118">
        <v>45107</v>
      </c>
      <c r="B287" s="230">
        <v>6.2985307133506234</v>
      </c>
      <c r="C287" s="230">
        <v>6.2940503804782635</v>
      </c>
      <c r="D287" s="227">
        <v>6.2968618013379825</v>
      </c>
      <c r="E287" s="230">
        <v>9.4303117691794949</v>
      </c>
      <c r="F287" s="230">
        <v>10.814677353419166</v>
      </c>
      <c r="G287" s="227">
        <v>9.9459842469270789</v>
      </c>
      <c r="H287" s="233">
        <v>0.10553728185106</v>
      </c>
      <c r="I287" s="233">
        <v>5.0403976416536253E-2</v>
      </c>
      <c r="J287" s="184">
        <v>8.5000273026580989E-2</v>
      </c>
    </row>
    <row r="288" spans="1:10">
      <c r="A288" s="118">
        <v>45138</v>
      </c>
      <c r="B288" s="230">
        <v>6.2479801241299135</v>
      </c>
      <c r="C288" s="230">
        <v>6.3213364697032786</v>
      </c>
      <c r="D288" s="227">
        <v>6.2740864005331494</v>
      </c>
      <c r="E288" s="230">
        <v>9.4112091037949472</v>
      </c>
      <c r="F288" s="230">
        <v>10.717187916162203</v>
      </c>
      <c r="G288" s="227">
        <v>9.8759847627504733</v>
      </c>
      <c r="H288" s="233">
        <v>0.10440848128740035</v>
      </c>
      <c r="I288" s="233">
        <v>5.0535451244387755E-2</v>
      </c>
      <c r="J288" s="184">
        <v>8.5235985684056007E-2</v>
      </c>
    </row>
    <row r="289" spans="1:10">
      <c r="A289" s="118">
        <v>45169</v>
      </c>
      <c r="B289" s="230">
        <v>6.1728999869542918</v>
      </c>
      <c r="C289" s="230">
        <v>6.2642522923515571</v>
      </c>
      <c r="D289" s="227">
        <v>6.2059295083119235</v>
      </c>
      <c r="E289" s="230">
        <v>9.4221394138803838</v>
      </c>
      <c r="F289" s="230">
        <v>10.655992210729838</v>
      </c>
      <c r="G289" s="227">
        <v>9.868253686842495</v>
      </c>
      <c r="H289" s="233">
        <v>0.10347121235849348</v>
      </c>
      <c r="I289" s="233">
        <v>5.0297884373547083E-2</v>
      </c>
      <c r="J289" s="184">
        <v>8.4245758061553849E-2</v>
      </c>
    </row>
    <row r="290" spans="1:10">
      <c r="A290" s="118">
        <v>45199</v>
      </c>
      <c r="B290" s="230">
        <v>6.0268577782454109</v>
      </c>
      <c r="C290" s="230">
        <v>6.1190409019769145</v>
      </c>
      <c r="D290" s="227">
        <v>6.060256872464274</v>
      </c>
      <c r="E290" s="230">
        <v>9.4531838595218414</v>
      </c>
      <c r="F290" s="230">
        <v>10.73128676338488</v>
      </c>
      <c r="G290" s="227">
        <v>9.9162564652176179</v>
      </c>
      <c r="H290" s="233">
        <v>0.10213285993956786</v>
      </c>
      <c r="I290" s="233">
        <v>5.1153137672030023E-2</v>
      </c>
      <c r="J290" s="184">
        <v>8.3662271415965273E-2</v>
      </c>
    </row>
    <row r="291" spans="1:10">
      <c r="A291" s="118">
        <v>45230</v>
      </c>
      <c r="B291" s="230">
        <v>6.0602541269644759</v>
      </c>
      <c r="C291" s="230">
        <v>6.1314975509551504</v>
      </c>
      <c r="D291" s="227">
        <v>6.0855263932304062</v>
      </c>
      <c r="E291" s="230">
        <v>9.4158773282348278</v>
      </c>
      <c r="F291" s="230">
        <v>10.760237643777293</v>
      </c>
      <c r="G291" s="227">
        <v>9.8927638947225311</v>
      </c>
      <c r="H291" s="233">
        <v>0.1004891028818034</v>
      </c>
      <c r="I291" s="233">
        <v>5.1664136804383552E-2</v>
      </c>
      <c r="J291" s="184">
        <v>8.3169363402477881E-2</v>
      </c>
    </row>
    <row r="292" spans="1:10">
      <c r="A292" s="118">
        <v>45260</v>
      </c>
      <c r="B292" s="230">
        <v>6.1085683384425753</v>
      </c>
      <c r="C292" s="230">
        <v>6.3372425704971773</v>
      </c>
      <c r="D292" s="227">
        <v>6.1904589698017141</v>
      </c>
      <c r="E292" s="230">
        <v>9.3763263743784737</v>
      </c>
      <c r="F292" s="230">
        <v>11.009681100510072</v>
      </c>
      <c r="G292" s="227">
        <v>9.9612477647536313</v>
      </c>
      <c r="H292" s="233">
        <v>9.9485053016962852E-2</v>
      </c>
      <c r="I292" s="233">
        <v>5.1832628726490561E-2</v>
      </c>
      <c r="J292" s="184">
        <v>8.2420222074364363E-2</v>
      </c>
    </row>
    <row r="293" spans="1:10">
      <c r="A293" s="118">
        <v>45291</v>
      </c>
      <c r="B293" s="230">
        <v>6.1610263210954397</v>
      </c>
      <c r="C293" s="230">
        <v>6.4009184103939676</v>
      </c>
      <c r="D293" s="227">
        <v>6.2460509284323171</v>
      </c>
      <c r="E293" s="230">
        <v>9.5493000000000006</v>
      </c>
      <c r="F293" s="230">
        <v>10.915286678356559</v>
      </c>
      <c r="G293" s="227">
        <v>9.9213200745835142</v>
      </c>
      <c r="H293" s="233">
        <v>9.6100000000000005E-2</v>
      </c>
      <c r="I293" s="233">
        <v>5.0974047822589338E-2</v>
      </c>
      <c r="J293" s="184">
        <v>8.0004805175344501E-2</v>
      </c>
    </row>
    <row r="294" spans="1:10">
      <c r="A294" s="118">
        <v>45322</v>
      </c>
      <c r="B294" s="230">
        <v>6.0893109790502749</v>
      </c>
      <c r="C294" s="230">
        <v>6.2798919895938656</v>
      </c>
      <c r="D294" s="227">
        <v>6.1575958384248155</v>
      </c>
      <c r="E294" s="230">
        <v>9.2603776868861303</v>
      </c>
      <c r="F294" s="230">
        <v>10.901045527655583</v>
      </c>
      <c r="G294" s="227">
        <v>9.8482262478089826</v>
      </c>
      <c r="H294" s="233">
        <v>9.3157779119477646E-2</v>
      </c>
      <c r="I294" s="233">
        <v>5.1617287782073633E-2</v>
      </c>
      <c r="J294" s="184">
        <v>7.8273890104338079E-2</v>
      </c>
    </row>
    <row r="295" spans="1:10">
      <c r="A295" s="118">
        <v>45350</v>
      </c>
      <c r="B295" s="230">
        <v>6.0482357106841782</v>
      </c>
      <c r="C295" s="230">
        <v>6.2379969848222494</v>
      </c>
      <c r="D295" s="227">
        <v>6.1151682213697693</v>
      </c>
      <c r="E295" s="230">
        <v>9.2603776868861303</v>
      </c>
      <c r="F295" s="230">
        <v>10.827412496228463</v>
      </c>
      <c r="G295" s="227">
        <v>9.8131014952469613</v>
      </c>
      <c r="H295" s="233">
        <v>9.3157779119477646E-2</v>
      </c>
      <c r="I295" s="233">
        <v>5.1856464147380321E-2</v>
      </c>
      <c r="J295" s="184">
        <v>7.8589998004731043E-2</v>
      </c>
    </row>
    <row r="296" spans="1:10">
      <c r="A296" s="118">
        <v>45382</v>
      </c>
      <c r="B296" s="230">
        <v>6.0629886111531857</v>
      </c>
      <c r="C296" s="230">
        <v>6.2276894501829023</v>
      </c>
      <c r="D296" s="227">
        <v>6.1199120888058616</v>
      </c>
      <c r="E296" s="230">
        <v>9.4158854617777017</v>
      </c>
      <c r="F296" s="230">
        <v>10.797957543581816</v>
      </c>
      <c r="G296" s="227">
        <v>9.8935536371582096</v>
      </c>
      <c r="H296" s="233">
        <v>9.0353523109484371E-2</v>
      </c>
      <c r="I296" s="233">
        <v>5.0788426541272774E-2</v>
      </c>
      <c r="J296" s="184">
        <v>7.6679136848949364E-2</v>
      </c>
    </row>
    <row r="297" spans="1:10">
      <c r="A297" s="118">
        <v>45412</v>
      </c>
      <c r="B297" s="230">
        <v>6.0068397701457421</v>
      </c>
      <c r="C297" s="230">
        <v>6.1470615054648619</v>
      </c>
      <c r="D297" s="227">
        <v>6.0552537984492805</v>
      </c>
      <c r="E297" s="230">
        <v>9.4051376268128521</v>
      </c>
      <c r="F297" s="230">
        <v>10.88416598795704</v>
      </c>
      <c r="G297" s="227">
        <v>9.9157982656589532</v>
      </c>
      <c r="H297" s="233">
        <v>8.9636551275212847E-2</v>
      </c>
      <c r="I297" s="233">
        <v>5.2354922007520656E-2</v>
      </c>
      <c r="J297" s="184">
        <v>7.6764410943613651E-2</v>
      </c>
    </row>
    <row r="298" spans="1:10">
      <c r="A298" s="118">
        <v>45443</v>
      </c>
      <c r="B298" s="230">
        <v>6.0162633052582954</v>
      </c>
      <c r="C298" s="230">
        <v>6.2317248934831202</v>
      </c>
      <c r="D298" s="227">
        <v>6.0892639199344298</v>
      </c>
      <c r="E298" s="230">
        <v>9.4887829067709664</v>
      </c>
      <c r="F298" s="230">
        <v>10.971599692753697</v>
      </c>
      <c r="G298" s="227">
        <v>9.9911765710926073</v>
      </c>
      <c r="H298" s="233">
        <v>8.967642151443532E-2</v>
      </c>
      <c r="I298" s="233">
        <v>5.1405248533922192E-2</v>
      </c>
      <c r="J298" s="184">
        <v>7.6709752258108652E-2</v>
      </c>
    </row>
    <row r="299" spans="1:10">
      <c r="A299" s="118">
        <v>45473</v>
      </c>
      <c r="B299" s="230">
        <v>6.0804174384336367</v>
      </c>
      <c r="C299" s="230">
        <v>6.2019945595957884</v>
      </c>
      <c r="D299" s="227">
        <v>6.1227700012474688</v>
      </c>
      <c r="E299" s="230">
        <v>9.6650794591898883</v>
      </c>
      <c r="F299" s="230">
        <v>10.910215656026732</v>
      </c>
      <c r="G299" s="227">
        <v>10.098834663164286</v>
      </c>
      <c r="H299" s="233">
        <v>8.9645128274830871E-2</v>
      </c>
      <c r="I299" s="233">
        <v>5.1169552542285723E-2</v>
      </c>
      <c r="J299" s="184">
        <v>7.624179035701964E-2</v>
      </c>
    </row>
    <row r="300" spans="1:10">
      <c r="A300" s="118">
        <v>45504</v>
      </c>
      <c r="B300" s="230">
        <v>6.0987772268091316</v>
      </c>
      <c r="C300" s="230">
        <v>6.1608148866255377</v>
      </c>
      <c r="D300" s="227">
        <v>6.1203168013374345</v>
      </c>
      <c r="E300" s="230">
        <v>9.7772002900188983</v>
      </c>
      <c r="F300" s="230">
        <v>10.889928673064892</v>
      </c>
      <c r="G300" s="227">
        <v>10.163541361028146</v>
      </c>
      <c r="H300" s="233">
        <v>8.8537832489111429E-2</v>
      </c>
      <c r="I300" s="233">
        <v>5.14208295334906E-2</v>
      </c>
      <c r="J300" s="184">
        <v>7.5650749807465431E-2</v>
      </c>
    </row>
    <row r="301" spans="1:10">
      <c r="A301" s="118">
        <v>45535</v>
      </c>
      <c r="B301" s="230">
        <v>6.1973071013004084</v>
      </c>
      <c r="C301" s="230">
        <v>6.1574305468835773</v>
      </c>
      <c r="D301" s="227">
        <v>6.1834991420930674</v>
      </c>
      <c r="E301" s="230">
        <v>9.9285355019032444</v>
      </c>
      <c r="F301" s="230">
        <v>10.878411359954379</v>
      </c>
      <c r="G301" s="227">
        <v>10.257446745410093</v>
      </c>
      <c r="H301" s="233">
        <v>8.616521953722707E-2</v>
      </c>
      <c r="I301" s="233">
        <v>5.0433563116517983E-2</v>
      </c>
      <c r="J301" s="184">
        <v>7.379250425419244E-2</v>
      </c>
    </row>
    <row r="302" spans="1:10">
      <c r="A302" s="118">
        <v>45565</v>
      </c>
      <c r="B302" s="230">
        <v>6.2190566472830762</v>
      </c>
      <c r="C302" s="230">
        <v>6.073632075200651</v>
      </c>
      <c r="D302" s="227">
        <v>6.1691320237853535</v>
      </c>
      <c r="E302" s="230">
        <v>10.158715859484305</v>
      </c>
      <c r="F302" s="230">
        <v>10.795002993990456</v>
      </c>
      <c r="G302" s="227">
        <v>10.377154842468965</v>
      </c>
      <c r="H302" s="233">
        <v>8.5430619068696062E-2</v>
      </c>
      <c r="I302" s="233">
        <v>5.0159889308300357E-2</v>
      </c>
      <c r="J302" s="184">
        <v>7.3322088312424594E-2</v>
      </c>
    </row>
    <row r="303" spans="1:10">
      <c r="A303" s="118">
        <v>45596</v>
      </c>
      <c r="B303" s="230">
        <v>6.2241942380841691</v>
      </c>
      <c r="C303" s="230">
        <v>5.9121878354164838</v>
      </c>
      <c r="D303" s="227">
        <v>6.1137356698594134</v>
      </c>
      <c r="E303" s="230">
        <v>10.123538004966797</v>
      </c>
      <c r="F303" s="230">
        <v>10.737208533222606</v>
      </c>
      <c r="G303" s="227">
        <v>10.340793700149</v>
      </c>
      <c r="H303" s="233">
        <v>8.4125105155060179E-2</v>
      </c>
      <c r="I303" s="233">
        <v>5.0058981839717562E-2</v>
      </c>
      <c r="J303" s="184">
        <v>7.2064791090324334E-2</v>
      </c>
    </row>
    <row r="304" spans="1:10">
      <c r="A304" s="118">
        <v>45626</v>
      </c>
      <c r="B304" s="230">
        <v>6.1331813842459457</v>
      </c>
      <c r="C304" s="230">
        <v>6.0831581263231218</v>
      </c>
      <c r="D304" s="227">
        <v>6.1152509145108098</v>
      </c>
      <c r="E304" s="230">
        <v>10.178434917267117</v>
      </c>
      <c r="F304" s="230">
        <v>11.17006354924365</v>
      </c>
      <c r="G304" s="227">
        <v>10.533876923894926</v>
      </c>
      <c r="H304" s="233">
        <v>8.3497143190233727E-2</v>
      </c>
      <c r="I304" s="233">
        <v>5.2987302693458679E-2</v>
      </c>
      <c r="J304" s="184">
        <v>7.2561114743321414E-2</v>
      </c>
    </row>
    <row r="305" spans="1:10">
      <c r="A305" s="118">
        <v>45657</v>
      </c>
      <c r="B305" s="230">
        <v>5.9596429407840397</v>
      </c>
      <c r="C305" s="230">
        <v>6.0079505569952847</v>
      </c>
      <c r="D305" s="227">
        <v>5.9766687943405916</v>
      </c>
      <c r="E305" s="230">
        <v>10.45121418343872</v>
      </c>
      <c r="F305" s="230">
        <v>11.159950015875284</v>
      </c>
      <c r="G305" s="227">
        <v>10.701005695414361</v>
      </c>
      <c r="H305" s="233">
        <v>8.3428412709860289E-2</v>
      </c>
      <c r="I305" s="233">
        <v>5.0069273186533515E-2</v>
      </c>
      <c r="J305" s="184">
        <v>7.167109846332255E-2</v>
      </c>
    </row>
  </sheetData>
  <mergeCells count="6">
    <mergeCell ref="B20:D20"/>
    <mergeCell ref="B21:D21"/>
    <mergeCell ref="E20:G20"/>
    <mergeCell ref="E21:G21"/>
    <mergeCell ref="H20:J20"/>
    <mergeCell ref="H21:J21"/>
  </mergeCells>
  <phoneticPr fontId="0" type="noConversion"/>
  <pageMargins left="0.23622047244094491" right="0.23622047244094491" top="0.74803149606299213" bottom="0.74803149606299213" header="0.31496062992125984" footer="0.31496062992125984"/>
  <pageSetup scale="85" fitToHeight="9999" orientation="landscape"/>
  <headerFooter alignWithMargins="0"/>
  <ignoredErrors>
    <ignoredError sqref="G233:G234 H247:I247" unlocked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3" name="Drop Down 1">
              <controlPr defaultSize="0" print="0" autoLine="0" autoPict="0">
                <anchor>
                  <from>
                    <xdr:col>0</xdr:col>
                    <xdr:colOff>800100</xdr:colOff>
                    <xdr:row>1</xdr:row>
                    <xdr:rowOff>219075</xdr:rowOff>
                  </from>
                  <to>
                    <xdr:col>1</xdr:col>
                    <xdr:colOff>2276475</xdr:colOff>
                    <xdr:row>2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19E3-82D0-4B80-B119-0556FE16CDE9}">
  <sheetPr codeName="Hoja16"/>
  <dimension ref="A1"/>
  <sheetViews>
    <sheetView workbookViewId="0">
      <selection activeCell="E12" sqref="E12"/>
    </sheetView>
  </sheetViews>
  <sheetFormatPr baseColWidth="10"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9C38-D6DE-4F09-943A-0732320464EE}">
  <sheetPr codeName="Sheet2">
    <tabColor theme="4"/>
  </sheetPr>
  <dimension ref="A1:AS359"/>
  <sheetViews>
    <sheetView topLeftCell="A51" zoomScaleNormal="100" zoomScaleSheetLayoutView="100" zoomScalePageLayoutView="70" workbookViewId="0">
      <selection activeCell="C61" sqref="C61"/>
    </sheetView>
  </sheetViews>
  <sheetFormatPr baseColWidth="10" defaultColWidth="23.7109375" defaultRowHeight="12.75"/>
  <cols>
    <col min="1" max="1" width="44.7109375" style="77" bestFit="1" customWidth="1"/>
    <col min="2" max="2" width="11.42578125" style="77" customWidth="1"/>
    <col min="3" max="4" width="53" style="77" customWidth="1"/>
    <col min="5" max="5" width="23.42578125" style="31" customWidth="1"/>
    <col min="6" max="7" width="17.42578125" style="30" customWidth="1"/>
    <col min="8" max="8" width="15.28515625" style="32" bestFit="1" customWidth="1"/>
    <col min="9" max="9" width="14.42578125" style="29" customWidth="1"/>
    <col min="10" max="10" width="14.42578125" style="31" customWidth="1"/>
    <col min="11" max="11" width="15.42578125" style="32" customWidth="1"/>
    <col min="12" max="12" width="15.42578125" style="31" customWidth="1"/>
    <col min="13" max="13" width="25.7109375" style="32" customWidth="1"/>
    <col min="14" max="14" width="25.7109375" style="31" customWidth="1"/>
    <col min="15" max="15" width="17" style="30" bestFit="1" customWidth="1"/>
    <col min="16" max="16" width="17" style="31" customWidth="1"/>
    <col min="17" max="17" width="16.28515625" style="30" customWidth="1"/>
    <col min="18" max="18" width="16.28515625" style="32" bestFit="1" customWidth="1"/>
    <col min="19" max="254" width="11.42578125" style="32" customWidth="1"/>
    <col min="255" max="255" width="34.28515625" style="32" customWidth="1"/>
    <col min="256" max="16384" width="23.7109375" style="32"/>
  </cols>
  <sheetData>
    <row r="1" spans="1:45" ht="12.75" customHeight="1">
      <c r="A1" s="71" t="s">
        <v>107</v>
      </c>
      <c r="B1" s="68" t="s">
        <v>106</v>
      </c>
      <c r="C1" s="69" t="s">
        <v>335</v>
      </c>
      <c r="D1" s="70" t="s">
        <v>336</v>
      </c>
      <c r="E1" s="29" t="s">
        <v>71</v>
      </c>
      <c r="F1" s="30" t="s">
        <v>72</v>
      </c>
      <c r="G1" s="32">
        <v>2</v>
      </c>
      <c r="H1" s="31"/>
      <c r="K1" s="29"/>
      <c r="O1" s="32"/>
      <c r="R1" s="31"/>
      <c r="S1" s="30"/>
    </row>
    <row r="2" spans="1:45" ht="12.75" customHeight="1">
      <c r="A2" s="71" t="s">
        <v>123</v>
      </c>
      <c r="B2" s="68" t="str">
        <f t="shared" ref="B2:B53" si="0">INDEX(C2:D2,1,$G$1)</f>
        <v>Indice principal</v>
      </c>
      <c r="C2" s="69" t="s">
        <v>122</v>
      </c>
      <c r="D2" s="70" t="s">
        <v>52</v>
      </c>
      <c r="E2" s="29" t="s">
        <v>73</v>
      </c>
      <c r="G2" s="32"/>
      <c r="H2" s="31"/>
      <c r="K2" s="29"/>
      <c r="O2" s="32"/>
      <c r="R2" s="31"/>
      <c r="S2" s="30"/>
    </row>
    <row r="3" spans="1:45" ht="12.75" customHeight="1">
      <c r="A3" s="71" t="s">
        <v>341</v>
      </c>
      <c r="B3" s="178" t="str">
        <f t="shared" si="0"/>
        <v>Inicio</v>
      </c>
      <c r="C3" s="69" t="s">
        <v>342</v>
      </c>
      <c r="D3" s="70" t="s">
        <v>47</v>
      </c>
      <c r="E3" s="29"/>
      <c r="G3" s="32"/>
      <c r="H3" s="31"/>
      <c r="K3" s="29"/>
      <c r="O3" s="32"/>
      <c r="R3" s="31"/>
      <c r="S3" s="30"/>
    </row>
    <row r="4" spans="1:45" ht="12.75" customHeight="1">
      <c r="A4" s="71" t="s">
        <v>108</v>
      </c>
      <c r="B4" s="68" t="str">
        <f t="shared" si="0"/>
        <v>Datos históricos de la deuda GNC</v>
      </c>
      <c r="C4" s="69" t="s">
        <v>104</v>
      </c>
      <c r="D4" s="70" t="s">
        <v>103</v>
      </c>
      <c r="E4" s="32"/>
      <c r="F4" s="29"/>
      <c r="G4" s="29"/>
      <c r="H4" s="31"/>
      <c r="I4" s="30"/>
      <c r="J4" s="30"/>
      <c r="K4" s="30"/>
      <c r="L4" s="33"/>
      <c r="O4" s="31"/>
      <c r="P4" s="34"/>
      <c r="R4" s="30"/>
      <c r="S4" s="31"/>
      <c r="T4" s="30"/>
      <c r="W4" s="30"/>
      <c r="X4" s="30"/>
      <c r="Y4" s="30"/>
      <c r="Z4" s="34"/>
      <c r="AA4" s="34"/>
      <c r="AB4" s="30"/>
      <c r="AC4" s="34"/>
      <c r="AD4" s="34"/>
      <c r="AE4" s="34"/>
      <c r="AF4" s="30"/>
      <c r="AG4" s="30"/>
      <c r="AH4" s="30"/>
      <c r="AI4" s="30"/>
      <c r="AJ4" s="30"/>
      <c r="AK4" s="30"/>
      <c r="AL4" s="30"/>
    </row>
    <row r="5" spans="1:45" ht="12.75" customHeight="1">
      <c r="A5" s="71" t="s">
        <v>191</v>
      </c>
      <c r="B5" s="68" t="str">
        <f t="shared" si="0"/>
        <v>Frecuencia de producción:</v>
      </c>
      <c r="C5" s="69" t="s">
        <v>74</v>
      </c>
      <c r="D5" s="70" t="s">
        <v>75</v>
      </c>
      <c r="F5" s="31"/>
      <c r="G5" s="31"/>
      <c r="H5" s="31"/>
      <c r="I5" s="35"/>
      <c r="J5" s="35"/>
      <c r="K5" s="30"/>
      <c r="L5" s="33"/>
      <c r="O5" s="31"/>
      <c r="P5" s="34"/>
      <c r="R5" s="36"/>
      <c r="S5" s="37"/>
      <c r="T5" s="30"/>
      <c r="W5" s="30"/>
      <c r="X5" s="30"/>
      <c r="Y5" s="30"/>
      <c r="Z5" s="34"/>
      <c r="AA5" s="34"/>
      <c r="AB5" s="30"/>
      <c r="AC5" s="34"/>
      <c r="AD5" s="34"/>
      <c r="AE5" s="34"/>
      <c r="AF5" s="30"/>
      <c r="AG5" s="30"/>
      <c r="AH5" s="30"/>
      <c r="AI5" s="30"/>
      <c r="AJ5" s="30"/>
      <c r="AK5" s="30"/>
      <c r="AL5" s="30"/>
    </row>
    <row r="6" spans="1:45" ht="12.75" customHeight="1">
      <c r="A6" s="71" t="s">
        <v>192</v>
      </c>
      <c r="B6" s="68" t="str">
        <f t="shared" si="0"/>
        <v>Mensualmente</v>
      </c>
      <c r="C6" s="69" t="s">
        <v>76</v>
      </c>
      <c r="D6" s="70" t="s">
        <v>77</v>
      </c>
      <c r="F6" s="31"/>
      <c r="G6" s="31"/>
      <c r="H6" s="31"/>
      <c r="I6" s="30"/>
      <c r="J6" s="30"/>
      <c r="K6" s="30"/>
      <c r="L6" s="30"/>
      <c r="O6" s="31"/>
      <c r="P6" s="30"/>
      <c r="R6" s="30"/>
      <c r="S6" s="31"/>
      <c r="T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</row>
    <row r="7" spans="1:45" ht="12.75" customHeight="1">
      <c r="A7" s="71" t="s">
        <v>193</v>
      </c>
      <c r="B7" s="68" t="str">
        <f t="shared" si="0"/>
        <v>Contenido:</v>
      </c>
      <c r="C7" s="69" t="s">
        <v>78</v>
      </c>
      <c r="D7" s="70" t="s">
        <v>79</v>
      </c>
      <c r="F7" s="31"/>
      <c r="G7" s="31"/>
      <c r="H7" s="31"/>
      <c r="I7" s="30"/>
      <c r="J7" s="30"/>
      <c r="K7" s="30"/>
      <c r="L7" s="30"/>
      <c r="O7" s="32"/>
      <c r="R7" s="30"/>
      <c r="S7" s="30"/>
      <c r="W7" s="30"/>
      <c r="X7" s="30"/>
      <c r="AC7" s="30"/>
      <c r="AD7" s="30"/>
      <c r="AE7" s="30"/>
      <c r="AF7" s="30"/>
      <c r="AG7" s="30"/>
      <c r="AH7" s="30"/>
      <c r="AI7" s="30"/>
      <c r="AJ7" s="30"/>
      <c r="AK7" s="30"/>
      <c r="AL7" s="30"/>
    </row>
    <row r="8" spans="1:45" ht="12.75" customHeight="1">
      <c r="A8" s="71" t="s">
        <v>194</v>
      </c>
      <c r="B8" s="68" t="str">
        <f t="shared" si="0"/>
        <v>Información histórica de la estructura y perfil de la deuda pública de Colombia</v>
      </c>
      <c r="C8" s="69" t="s">
        <v>105</v>
      </c>
      <c r="D8" s="70" t="s">
        <v>340</v>
      </c>
      <c r="E8" s="32"/>
      <c r="F8" s="32"/>
      <c r="G8" s="32"/>
      <c r="H8" s="31"/>
      <c r="I8" s="30"/>
      <c r="J8" s="30"/>
      <c r="K8" s="30"/>
      <c r="L8" s="30"/>
      <c r="O8" s="32"/>
      <c r="R8" s="30"/>
      <c r="S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8"/>
      <c r="AF8" s="39"/>
      <c r="AG8" s="38"/>
      <c r="AH8" s="38"/>
      <c r="AI8" s="38"/>
      <c r="AJ8" s="39"/>
      <c r="AK8" s="30"/>
      <c r="AL8" s="30"/>
    </row>
    <row r="9" spans="1:45" ht="12.75" customHeight="1">
      <c r="A9" s="71" t="s">
        <v>195</v>
      </c>
      <c r="B9" s="68" t="str">
        <f t="shared" si="0"/>
        <v>Fuentes:</v>
      </c>
      <c r="C9" s="69" t="s">
        <v>80</v>
      </c>
      <c r="D9" s="70" t="s">
        <v>81</v>
      </c>
      <c r="E9" s="32"/>
      <c r="F9" s="32"/>
      <c r="G9" s="32"/>
      <c r="H9" s="31"/>
      <c r="I9" s="40"/>
      <c r="J9" s="41"/>
      <c r="K9" s="41"/>
      <c r="L9" s="40"/>
      <c r="O9" s="32"/>
      <c r="R9" s="36"/>
      <c r="S9" s="30"/>
      <c r="U9" s="38"/>
      <c r="V9" s="38"/>
      <c r="W9" s="38"/>
      <c r="X9" s="38"/>
      <c r="Y9" s="38"/>
      <c r="Z9" s="38"/>
      <c r="AA9" s="38"/>
      <c r="AB9" s="38"/>
      <c r="AC9" s="40"/>
      <c r="AD9" s="30"/>
      <c r="AE9" s="36"/>
      <c r="AF9" s="36"/>
      <c r="AG9" s="38"/>
      <c r="AH9" s="38"/>
      <c r="AI9" s="38"/>
      <c r="AJ9" s="39"/>
      <c r="AK9" s="30"/>
      <c r="AL9" s="30"/>
    </row>
    <row r="10" spans="1:45" ht="12.75" customHeight="1">
      <c r="A10" s="71" t="s">
        <v>196</v>
      </c>
      <c r="B10" s="68" t="str">
        <f t="shared" si="0"/>
        <v xml:space="preserve">Subdirección de Riesgo - Dirección General de Crédito Público y del Tesoro Nacional </v>
      </c>
      <c r="C10" s="69" t="s">
        <v>338</v>
      </c>
      <c r="D10" s="70" t="s">
        <v>337</v>
      </c>
      <c r="E10" s="32"/>
      <c r="F10" s="32"/>
      <c r="G10" s="32"/>
      <c r="H10" s="31"/>
      <c r="I10" s="42"/>
      <c r="J10" s="42"/>
      <c r="K10" s="42"/>
      <c r="L10" s="42"/>
      <c r="O10" s="32"/>
      <c r="R10" s="36"/>
      <c r="S10" s="30"/>
      <c r="U10" s="38"/>
      <c r="V10" s="38"/>
      <c r="W10" s="38"/>
      <c r="X10" s="38"/>
      <c r="Y10" s="38"/>
      <c r="Z10" s="38"/>
      <c r="AA10" s="38"/>
      <c r="AB10" s="38"/>
      <c r="AC10" s="40"/>
      <c r="AD10" s="30"/>
      <c r="AE10" s="36"/>
      <c r="AF10" s="36"/>
      <c r="AG10" s="38"/>
      <c r="AH10" s="38"/>
      <c r="AI10" s="38"/>
      <c r="AJ10" s="39"/>
      <c r="AK10" s="30"/>
      <c r="AL10" s="30"/>
      <c r="AR10" s="78"/>
      <c r="AS10" s="78"/>
    </row>
    <row r="11" spans="1:45" ht="12.75" customHeight="1">
      <c r="A11" s="71" t="s">
        <v>197</v>
      </c>
      <c r="B11" s="68" t="str">
        <f t="shared" si="0"/>
        <v xml:space="preserve">Dirección General de Crédito Público y del Tesoro Nacional </v>
      </c>
      <c r="C11" s="69" t="s">
        <v>82</v>
      </c>
      <c r="D11" s="70" t="s">
        <v>83</v>
      </c>
      <c r="E11" s="32"/>
      <c r="F11" s="32"/>
      <c r="G11" s="32"/>
      <c r="H11" s="31"/>
      <c r="I11" s="42"/>
      <c r="J11" s="42"/>
      <c r="K11" s="42"/>
      <c r="L11" s="42"/>
      <c r="O11" s="32"/>
      <c r="R11" s="36"/>
      <c r="S11" s="30"/>
      <c r="U11" s="38"/>
      <c r="V11" s="38"/>
      <c r="W11" s="38"/>
      <c r="X11" s="38"/>
      <c r="Y11" s="38"/>
      <c r="Z11" s="38"/>
      <c r="AA11" s="38"/>
      <c r="AB11" s="38"/>
      <c r="AC11" s="40"/>
      <c r="AD11" s="30"/>
      <c r="AE11" s="36"/>
      <c r="AF11" s="36"/>
      <c r="AG11" s="38"/>
      <c r="AH11" s="38"/>
      <c r="AI11" s="38"/>
      <c r="AJ11" s="39"/>
      <c r="AK11" s="30"/>
      <c r="AL11" s="30"/>
      <c r="AR11" s="78"/>
      <c r="AS11" s="78"/>
    </row>
    <row r="12" spans="1:45" ht="12.75" customHeight="1">
      <c r="A12" s="71" t="s">
        <v>198</v>
      </c>
      <c r="B12" s="68" t="str">
        <f t="shared" si="0"/>
        <v>Ministerio de Hacienda y Crédito Público, Colombia</v>
      </c>
      <c r="C12" s="69" t="s">
        <v>84</v>
      </c>
      <c r="D12" s="70" t="s">
        <v>85</v>
      </c>
      <c r="E12" s="32"/>
      <c r="F12" s="32"/>
      <c r="G12" s="32"/>
      <c r="H12" s="31"/>
      <c r="I12" s="40"/>
      <c r="J12" s="41"/>
      <c r="K12" s="40"/>
      <c r="L12" s="40"/>
      <c r="O12" s="32"/>
      <c r="R12" s="44"/>
      <c r="S12" s="45"/>
      <c r="T12" s="38"/>
      <c r="U12" s="38"/>
      <c r="V12" s="38"/>
      <c r="W12" s="38"/>
      <c r="X12" s="38"/>
      <c r="Y12" s="38"/>
      <c r="Z12" s="38"/>
      <c r="AA12" s="38"/>
      <c r="AB12" s="38"/>
      <c r="AC12" s="40"/>
      <c r="AD12" s="30"/>
      <c r="AE12" s="36"/>
      <c r="AF12" s="36"/>
      <c r="AG12" s="38"/>
      <c r="AH12" s="38"/>
      <c r="AI12" s="38"/>
      <c r="AJ12" s="39"/>
      <c r="AK12" s="30"/>
      <c r="AL12" s="30"/>
      <c r="AR12" s="78"/>
      <c r="AS12" s="78"/>
    </row>
    <row r="13" spans="1:45" ht="12.75" customHeight="1">
      <c r="A13" s="71" t="s">
        <v>199</v>
      </c>
      <c r="B13" s="68" t="str">
        <f t="shared" si="0"/>
        <v>Ubicación virtual:</v>
      </c>
      <c r="C13" s="69" t="s">
        <v>86</v>
      </c>
      <c r="D13" s="70" t="s">
        <v>87</v>
      </c>
      <c r="E13" s="32"/>
      <c r="F13" s="32"/>
      <c r="G13" s="32"/>
      <c r="H13" s="31"/>
      <c r="I13" s="46"/>
      <c r="J13" s="46"/>
      <c r="K13" s="30"/>
      <c r="L13" s="46"/>
      <c r="O13" s="32"/>
      <c r="R13" s="36"/>
      <c r="S13" s="37"/>
      <c r="T13" s="38"/>
      <c r="U13" s="38"/>
      <c r="V13" s="38"/>
      <c r="W13" s="38"/>
      <c r="X13" s="38"/>
      <c r="Y13" s="38"/>
      <c r="Z13" s="38"/>
      <c r="AA13" s="38"/>
      <c r="AB13" s="38"/>
      <c r="AC13" s="40"/>
      <c r="AD13" s="30"/>
      <c r="AE13" s="36"/>
      <c r="AF13" s="36"/>
      <c r="AG13" s="38"/>
      <c r="AH13" s="38"/>
      <c r="AI13" s="38"/>
      <c r="AJ13" s="39"/>
      <c r="AK13" s="30"/>
      <c r="AL13" s="30"/>
      <c r="AR13" s="78"/>
      <c r="AS13" s="78"/>
    </row>
    <row r="14" spans="1:45" ht="12.75" customHeight="1">
      <c r="A14" s="71" t="s">
        <v>200</v>
      </c>
      <c r="B14" s="68" t="str">
        <f>INDEX(C14:D14,1,$G$1)</f>
        <v>http://www.irc.gov.co, http://www.minhacienda.gov.co</v>
      </c>
      <c r="C14" s="69" t="s">
        <v>382</v>
      </c>
      <c r="D14" s="70" t="s">
        <v>382</v>
      </c>
      <c r="E14" s="32"/>
      <c r="F14" s="32"/>
      <c r="G14" s="32"/>
      <c r="H14" s="31"/>
      <c r="I14" s="30"/>
      <c r="J14" s="30"/>
      <c r="K14" s="30"/>
      <c r="L14" s="44"/>
      <c r="M14" s="30"/>
      <c r="N14" s="47"/>
      <c r="O14" s="32"/>
      <c r="R14" s="36"/>
      <c r="S14" s="37"/>
      <c r="T14" s="38"/>
      <c r="U14" s="38"/>
      <c r="V14" s="38"/>
      <c r="W14" s="38"/>
      <c r="X14" s="38"/>
      <c r="Y14" s="38"/>
      <c r="Z14" s="38"/>
      <c r="AA14" s="38"/>
      <c r="AB14" s="38"/>
      <c r="AC14" s="40"/>
      <c r="AD14" s="30"/>
      <c r="AE14" s="36"/>
      <c r="AF14" s="36"/>
      <c r="AG14" s="38"/>
      <c r="AH14" s="38"/>
      <c r="AI14" s="38"/>
      <c r="AJ14" s="39"/>
      <c r="AK14" s="30"/>
      <c r="AL14" s="30"/>
      <c r="AR14" s="78"/>
      <c r="AS14" s="78"/>
    </row>
    <row r="15" spans="1:45" ht="12.75" customHeight="1">
      <c r="A15" s="71" t="s">
        <v>201</v>
      </c>
      <c r="B15" s="68" t="str">
        <f t="shared" si="0"/>
        <v>Fecha de última revisión de formato:</v>
      </c>
      <c r="C15" s="69" t="s">
        <v>88</v>
      </c>
      <c r="D15" s="70" t="s">
        <v>89</v>
      </c>
      <c r="F15" s="31"/>
      <c r="G15" s="31"/>
      <c r="H15" s="31"/>
      <c r="I15" s="30"/>
      <c r="J15" s="30"/>
      <c r="K15" s="30"/>
      <c r="L15" s="36"/>
      <c r="M15" s="48"/>
      <c r="N15" s="47"/>
      <c r="O15" s="49"/>
      <c r="P15" s="50"/>
      <c r="R15" s="36"/>
      <c r="S15" s="37"/>
      <c r="T15" s="38"/>
      <c r="U15" s="38"/>
      <c r="V15" s="38"/>
      <c r="W15" s="38"/>
      <c r="X15" s="38"/>
      <c r="Y15" s="38"/>
      <c r="Z15" s="38"/>
      <c r="AA15" s="38"/>
      <c r="AB15" s="38"/>
      <c r="AC15" s="40"/>
      <c r="AD15" s="30"/>
      <c r="AE15" s="36"/>
      <c r="AF15" s="36"/>
      <c r="AG15" s="38"/>
      <c r="AH15" s="38"/>
      <c r="AI15" s="38"/>
      <c r="AJ15" s="39"/>
      <c r="AK15" s="30"/>
      <c r="AL15" s="30"/>
      <c r="AR15" s="78"/>
      <c r="AS15" s="78"/>
    </row>
    <row r="16" spans="1:45" ht="12.75" customHeight="1">
      <c r="A16" s="71" t="s">
        <v>202</v>
      </c>
      <c r="B16" s="74">
        <f>INDEX(C16:D16,1,$G$1)</f>
        <v>43069</v>
      </c>
      <c r="C16" s="72">
        <v>43069</v>
      </c>
      <c r="D16" s="73">
        <v>43069</v>
      </c>
      <c r="F16" s="31"/>
      <c r="G16" s="31"/>
      <c r="H16" s="31"/>
      <c r="I16" s="51"/>
      <c r="J16" s="39"/>
      <c r="K16" s="30"/>
      <c r="L16" s="51"/>
      <c r="M16" s="39"/>
      <c r="N16" s="47"/>
      <c r="O16" s="49"/>
      <c r="P16" s="35"/>
      <c r="R16" s="36"/>
      <c r="S16" s="37"/>
      <c r="T16" s="38"/>
      <c r="U16" s="38"/>
      <c r="V16" s="38"/>
      <c r="W16" s="38"/>
      <c r="X16" s="38"/>
      <c r="Y16" s="38"/>
      <c r="Z16" s="38"/>
      <c r="AA16" s="38"/>
      <c r="AB16" s="38"/>
      <c r="AC16" s="40"/>
      <c r="AD16" s="30"/>
      <c r="AE16" s="36"/>
      <c r="AF16" s="36"/>
      <c r="AG16" s="38"/>
      <c r="AH16" s="38"/>
      <c r="AI16" s="38"/>
      <c r="AJ16" s="39"/>
      <c r="AK16" s="30"/>
      <c r="AL16" s="30"/>
      <c r="AR16" s="78"/>
      <c r="AS16" s="78"/>
    </row>
    <row r="17" spans="1:45" ht="12.75" customHeight="1">
      <c r="A17" s="71" t="s">
        <v>203</v>
      </c>
      <c r="B17" s="68" t="str">
        <f t="shared" si="0"/>
        <v>Fecha corte</v>
      </c>
      <c r="C17" s="69" t="s">
        <v>90</v>
      </c>
      <c r="D17" s="70" t="s">
        <v>91</v>
      </c>
      <c r="F17" s="31"/>
      <c r="G17" s="31"/>
      <c r="H17" s="31"/>
      <c r="I17" s="51"/>
      <c r="J17" s="39"/>
      <c r="K17" s="30"/>
      <c r="L17" s="51"/>
      <c r="M17" s="39"/>
      <c r="N17" s="52"/>
      <c r="O17" s="49"/>
      <c r="P17" s="35"/>
      <c r="R17" s="36"/>
      <c r="S17" s="37"/>
      <c r="T17" s="38"/>
      <c r="U17" s="38"/>
      <c r="V17" s="38"/>
      <c r="W17" s="38"/>
      <c r="X17" s="38"/>
      <c r="Y17" s="38"/>
      <c r="Z17" s="38"/>
      <c r="AA17" s="38"/>
      <c r="AB17" s="38"/>
      <c r="AC17" s="40"/>
      <c r="AD17" s="30"/>
      <c r="AE17" s="36"/>
      <c r="AF17" s="36"/>
      <c r="AG17" s="38"/>
      <c r="AH17" s="38"/>
      <c r="AI17" s="38"/>
      <c r="AJ17" s="39"/>
      <c r="AK17" s="30"/>
      <c r="AL17" s="30"/>
      <c r="AR17" s="78"/>
      <c r="AS17" s="78"/>
    </row>
    <row r="18" spans="1:45" ht="12.75" customHeight="1">
      <c r="A18" s="71" t="s">
        <v>204</v>
      </c>
      <c r="B18" s="74">
        <f>INDEX(C18:D18,1,$G$1)</f>
        <v>45657</v>
      </c>
      <c r="C18" s="75">
        <v>45657</v>
      </c>
      <c r="D18" s="76">
        <v>45657</v>
      </c>
      <c r="F18" s="31"/>
      <c r="G18" s="31"/>
      <c r="H18" s="31"/>
      <c r="I18" s="51"/>
      <c r="J18" s="39"/>
      <c r="K18" s="30"/>
      <c r="L18" s="51"/>
      <c r="M18" s="39"/>
      <c r="N18" s="52"/>
      <c r="O18" s="49"/>
      <c r="P18" s="63"/>
      <c r="R18" s="36"/>
      <c r="S18" s="37"/>
      <c r="T18" s="38"/>
      <c r="U18" s="38"/>
      <c r="V18" s="38"/>
      <c r="W18" s="38"/>
      <c r="X18" s="38"/>
      <c r="Y18" s="38"/>
      <c r="Z18" s="38"/>
      <c r="AA18" s="38"/>
      <c r="AB18" s="38"/>
      <c r="AC18" s="40"/>
      <c r="AD18" s="30"/>
      <c r="AE18" s="36"/>
      <c r="AF18" s="36"/>
      <c r="AG18" s="38"/>
      <c r="AH18" s="38"/>
      <c r="AI18" s="38"/>
      <c r="AJ18" s="39"/>
      <c r="AK18" s="30"/>
      <c r="AL18" s="30"/>
      <c r="AR18" s="78"/>
      <c r="AS18" s="78"/>
    </row>
    <row r="19" spans="1:45" ht="12.75" customHeight="1">
      <c r="A19" s="71" t="s">
        <v>205</v>
      </c>
      <c r="B19" s="74" t="str">
        <f t="shared" si="0"/>
        <v>Categoria</v>
      </c>
      <c r="C19" s="69" t="s">
        <v>109</v>
      </c>
      <c r="D19" s="70" t="s">
        <v>49</v>
      </c>
      <c r="F19" s="31"/>
      <c r="G19" s="31"/>
      <c r="H19" s="31"/>
      <c r="I19" s="51"/>
      <c r="J19" s="39"/>
      <c r="K19" s="30"/>
      <c r="L19" s="51"/>
      <c r="M19" s="39"/>
      <c r="N19" s="52"/>
      <c r="O19" s="49"/>
      <c r="P19" s="35"/>
      <c r="R19" s="36"/>
      <c r="S19" s="37"/>
      <c r="T19" s="38"/>
      <c r="U19" s="38"/>
      <c r="V19" s="38"/>
      <c r="W19" s="38"/>
      <c r="X19" s="38"/>
      <c r="Y19" s="38"/>
      <c r="Z19" s="38"/>
      <c r="AA19" s="38"/>
      <c r="AB19" s="38"/>
      <c r="AC19" s="40"/>
      <c r="AD19" s="30"/>
      <c r="AE19" s="36"/>
      <c r="AF19" s="36"/>
      <c r="AG19" s="38"/>
      <c r="AH19" s="38"/>
      <c r="AI19" s="38"/>
      <c r="AJ19" s="39"/>
      <c r="AK19" s="30"/>
      <c r="AL19" s="30"/>
      <c r="AR19" s="78"/>
      <c r="AS19" s="78"/>
    </row>
    <row r="20" spans="1:45" ht="12.75" customHeight="1">
      <c r="A20" s="71" t="s">
        <v>206</v>
      </c>
      <c r="B20" s="74" t="str">
        <f t="shared" si="0"/>
        <v>Vínculos</v>
      </c>
      <c r="C20" s="75" t="s">
        <v>357</v>
      </c>
      <c r="D20" s="76" t="s">
        <v>356</v>
      </c>
      <c r="F20" s="31"/>
      <c r="G20" s="31"/>
      <c r="H20" s="31"/>
      <c r="I20" s="51"/>
      <c r="J20" s="39"/>
      <c r="K20" s="53"/>
      <c r="L20" s="38"/>
      <c r="M20" s="39"/>
      <c r="N20" s="52"/>
      <c r="O20" s="49"/>
      <c r="P20" s="35"/>
      <c r="R20" s="36"/>
      <c r="S20" s="37"/>
      <c r="T20" s="38"/>
      <c r="U20" s="38"/>
      <c r="V20" s="38"/>
      <c r="W20" s="38"/>
      <c r="X20" s="38"/>
      <c r="Y20" s="38"/>
      <c r="Z20" s="38"/>
      <c r="AA20" s="38"/>
      <c r="AB20" s="38"/>
      <c r="AC20" s="40"/>
      <c r="AD20" s="30"/>
      <c r="AE20" s="36"/>
      <c r="AF20" s="36"/>
      <c r="AG20" s="38"/>
      <c r="AH20" s="38"/>
      <c r="AI20" s="38"/>
      <c r="AJ20" s="39"/>
      <c r="AK20" s="30"/>
      <c r="AL20" s="30"/>
      <c r="AR20" s="78"/>
      <c r="AS20" s="78"/>
    </row>
    <row r="21" spans="1:45" ht="12.75" customHeight="1">
      <c r="A21" s="71" t="s">
        <v>207</v>
      </c>
      <c r="B21" s="74" t="str">
        <f t="shared" si="0"/>
        <v>Descripción</v>
      </c>
      <c r="C21" s="75" t="s">
        <v>110</v>
      </c>
      <c r="D21" s="76" t="s">
        <v>44</v>
      </c>
      <c r="F21" s="31"/>
      <c r="G21" s="31"/>
      <c r="H21" s="31"/>
      <c r="I21" s="51"/>
      <c r="J21" s="30"/>
      <c r="K21" s="53"/>
      <c r="L21" s="30"/>
      <c r="M21" s="54"/>
      <c r="N21" s="52"/>
      <c r="O21" s="49"/>
      <c r="P21" s="35"/>
      <c r="R21" s="36"/>
      <c r="S21" s="37"/>
      <c r="T21" s="38"/>
      <c r="U21" s="38"/>
      <c r="V21" s="38"/>
      <c r="W21" s="38"/>
      <c r="X21" s="38"/>
      <c r="Y21" s="38"/>
      <c r="Z21" s="38"/>
      <c r="AA21" s="38"/>
      <c r="AB21" s="38"/>
      <c r="AC21" s="40"/>
      <c r="AD21" s="30"/>
      <c r="AE21" s="36"/>
      <c r="AF21" s="36"/>
      <c r="AG21" s="38"/>
      <c r="AH21" s="38"/>
      <c r="AI21" s="38"/>
      <c r="AJ21" s="39"/>
      <c r="AK21" s="30"/>
      <c r="AL21" s="30"/>
      <c r="AR21" s="78"/>
      <c r="AS21" s="78"/>
    </row>
    <row r="22" spans="1:45" ht="12.75" customHeight="1">
      <c r="A22" s="71" t="s">
        <v>208</v>
      </c>
      <c r="B22" s="74" t="str">
        <f t="shared" si="0"/>
        <v>Saldos de deuda</v>
      </c>
      <c r="C22" s="75" t="s">
        <v>111</v>
      </c>
      <c r="D22" s="76" t="s">
        <v>24</v>
      </c>
      <c r="F22" s="31"/>
      <c r="G22" s="31"/>
      <c r="H22" s="31"/>
      <c r="I22" s="51"/>
      <c r="J22" s="30"/>
      <c r="K22" s="53"/>
      <c r="L22" s="30"/>
      <c r="M22" s="54"/>
      <c r="N22" s="52"/>
      <c r="O22" s="49"/>
      <c r="P22" s="35"/>
      <c r="R22" s="36"/>
      <c r="S22" s="37"/>
      <c r="T22" s="38"/>
      <c r="U22" s="38"/>
      <c r="V22" s="38"/>
      <c r="W22" s="38"/>
      <c r="X22" s="38"/>
      <c r="Y22" s="38"/>
      <c r="Z22" s="38"/>
      <c r="AA22" s="38"/>
      <c r="AB22" s="38"/>
      <c r="AC22" s="40"/>
      <c r="AD22" s="30"/>
      <c r="AE22" s="36"/>
      <c r="AF22" s="36"/>
      <c r="AG22" s="38"/>
      <c r="AH22" s="38"/>
      <c r="AI22" s="38"/>
      <c r="AJ22" s="39"/>
      <c r="AK22" s="30"/>
      <c r="AL22" s="30"/>
      <c r="AR22" s="78"/>
      <c r="AS22" s="78"/>
    </row>
    <row r="23" spans="1:45" ht="12.75" customHeight="1">
      <c r="A23" s="71" t="s">
        <v>209</v>
      </c>
      <c r="B23" s="74" t="str">
        <f t="shared" si="0"/>
        <v>Saldos</v>
      </c>
      <c r="C23" s="75" t="s">
        <v>112</v>
      </c>
      <c r="D23" s="76" t="s">
        <v>40</v>
      </c>
      <c r="F23" s="31"/>
      <c r="G23" s="31"/>
      <c r="H23" s="31"/>
      <c r="I23" s="46"/>
      <c r="J23" s="46"/>
      <c r="K23" s="55"/>
      <c r="L23" s="46"/>
      <c r="M23" s="54"/>
      <c r="N23" s="52"/>
      <c r="O23" s="49"/>
      <c r="P23" s="35"/>
      <c r="R23" s="36"/>
      <c r="S23" s="37"/>
      <c r="T23" s="38"/>
      <c r="U23" s="38"/>
      <c r="V23" s="38"/>
      <c r="W23" s="38"/>
      <c r="X23" s="38"/>
      <c r="Y23" s="38"/>
      <c r="Z23" s="38"/>
      <c r="AA23" s="38"/>
      <c r="AB23" s="38"/>
      <c r="AC23" s="40"/>
      <c r="AD23" s="30"/>
      <c r="AE23" s="36"/>
      <c r="AF23" s="36"/>
      <c r="AG23" s="38"/>
      <c r="AH23" s="38"/>
      <c r="AI23" s="38"/>
      <c r="AJ23" s="39"/>
      <c r="AK23" s="30"/>
      <c r="AL23" s="30"/>
      <c r="AR23" s="78"/>
      <c r="AS23" s="78"/>
    </row>
    <row r="24" spans="1:45">
      <c r="A24" s="71" t="s">
        <v>210</v>
      </c>
      <c r="B24" s="74" t="str">
        <f t="shared" si="0"/>
        <v>Fuentes de deuda</v>
      </c>
      <c r="C24" s="75" t="s">
        <v>113</v>
      </c>
      <c r="D24" s="76" t="s">
        <v>50</v>
      </c>
      <c r="F24" s="31"/>
      <c r="G24" s="31"/>
      <c r="H24" s="31"/>
      <c r="I24" s="53"/>
      <c r="J24" s="30"/>
      <c r="K24" s="30"/>
      <c r="L24" s="53"/>
      <c r="M24" s="30"/>
      <c r="N24" s="56"/>
      <c r="O24" s="49"/>
      <c r="P24" s="35"/>
      <c r="R24" s="36"/>
      <c r="S24" s="37"/>
      <c r="T24" s="38"/>
      <c r="U24" s="38"/>
      <c r="V24" s="38"/>
      <c r="W24" s="38"/>
      <c r="X24" s="38"/>
      <c r="Y24" s="38"/>
      <c r="Z24" s="38"/>
      <c r="AA24" s="38"/>
      <c r="AB24" s="38"/>
      <c r="AC24" s="40"/>
      <c r="AD24" s="30"/>
      <c r="AE24" s="36"/>
      <c r="AF24" s="36"/>
      <c r="AG24" s="38"/>
      <c r="AH24" s="38"/>
      <c r="AI24" s="38"/>
      <c r="AJ24" s="39"/>
      <c r="AK24" s="30"/>
      <c r="AL24" s="30"/>
      <c r="AR24" s="78"/>
      <c r="AS24" s="78"/>
    </row>
    <row r="25" spans="1:45">
      <c r="A25" s="71" t="s">
        <v>211</v>
      </c>
      <c r="B25" s="74" t="str">
        <f t="shared" si="0"/>
        <v>Interna</v>
      </c>
      <c r="C25" s="75" t="s">
        <v>92</v>
      </c>
      <c r="D25" s="76" t="s">
        <v>41</v>
      </c>
      <c r="F25" s="31"/>
      <c r="G25" s="31"/>
      <c r="H25" s="31"/>
      <c r="I25" s="53"/>
      <c r="J25" s="39"/>
      <c r="K25" s="33"/>
      <c r="L25" s="53"/>
      <c r="M25" s="39"/>
      <c r="N25" s="56"/>
      <c r="O25" s="49"/>
      <c r="P25" s="35"/>
      <c r="R25" s="36"/>
      <c r="S25" s="37"/>
      <c r="T25" s="38"/>
      <c r="U25" s="38"/>
      <c r="V25" s="38"/>
      <c r="W25" s="38"/>
      <c r="X25" s="38"/>
      <c r="Y25" s="38"/>
      <c r="Z25" s="38"/>
      <c r="AA25" s="38"/>
      <c r="AB25" s="38"/>
      <c r="AC25" s="40"/>
      <c r="AD25" s="30"/>
      <c r="AE25" s="36"/>
      <c r="AF25" s="36"/>
      <c r="AG25" s="38"/>
      <c r="AH25" s="38"/>
      <c r="AI25" s="38"/>
      <c r="AJ25" s="39"/>
      <c r="AK25" s="30"/>
      <c r="AL25" s="30"/>
      <c r="AR25" s="78"/>
      <c r="AS25" s="78"/>
    </row>
    <row r="26" spans="1:45">
      <c r="A26" s="71" t="s">
        <v>359</v>
      </c>
      <c r="B26" s="74" t="str">
        <f t="shared" si="0"/>
        <v>Externa</v>
      </c>
      <c r="C26" s="75" t="s">
        <v>93</v>
      </c>
      <c r="D26" s="76" t="s">
        <v>42</v>
      </c>
      <c r="F26" s="31"/>
      <c r="G26" s="31"/>
      <c r="H26" s="31"/>
      <c r="I26" s="53"/>
      <c r="J26" s="39"/>
      <c r="K26" s="33"/>
      <c r="L26" s="53"/>
      <c r="M26" s="39"/>
      <c r="N26" s="56"/>
      <c r="O26" s="49"/>
      <c r="P26" s="35"/>
      <c r="R26" s="36"/>
      <c r="S26" s="37"/>
      <c r="T26" s="38"/>
      <c r="U26" s="38"/>
      <c r="V26" s="38"/>
      <c r="W26" s="38"/>
      <c r="X26" s="38"/>
      <c r="Y26" s="38"/>
      <c r="Z26" s="38"/>
      <c r="AA26" s="38"/>
      <c r="AB26" s="38"/>
      <c r="AC26" s="40"/>
      <c r="AD26" s="30"/>
      <c r="AE26" s="36"/>
      <c r="AF26" s="36"/>
      <c r="AG26" s="38"/>
      <c r="AH26" s="38"/>
      <c r="AI26" s="38"/>
      <c r="AJ26" s="39"/>
      <c r="AK26" s="30"/>
      <c r="AL26" s="30"/>
      <c r="AR26" s="78"/>
      <c r="AS26" s="78"/>
    </row>
    <row r="27" spans="1:45">
      <c r="A27" s="71" t="s">
        <v>358</v>
      </c>
      <c r="B27" s="74" t="str">
        <f t="shared" si="0"/>
        <v>Total</v>
      </c>
      <c r="C27" s="75" t="s">
        <v>29</v>
      </c>
      <c r="D27" s="76" t="s">
        <v>29</v>
      </c>
      <c r="F27" s="31"/>
      <c r="G27" s="31"/>
      <c r="H27" s="31"/>
      <c r="I27" s="53"/>
      <c r="J27" s="39"/>
      <c r="K27" s="33"/>
      <c r="L27" s="53"/>
      <c r="M27" s="39"/>
      <c r="N27" s="56"/>
      <c r="O27" s="49"/>
      <c r="P27" s="35"/>
      <c r="R27" s="36"/>
      <c r="S27" s="37"/>
      <c r="T27" s="38"/>
      <c r="U27" s="38"/>
      <c r="V27" s="38"/>
      <c r="W27" s="38"/>
      <c r="X27" s="38"/>
      <c r="Y27" s="38"/>
      <c r="Z27" s="38"/>
      <c r="AA27" s="38"/>
      <c r="AB27" s="38"/>
      <c r="AC27" s="40"/>
      <c r="AD27" s="30"/>
      <c r="AE27" s="36"/>
      <c r="AF27" s="36"/>
      <c r="AG27" s="38"/>
      <c r="AH27" s="38"/>
      <c r="AI27" s="38"/>
      <c r="AJ27" s="39"/>
      <c r="AK27" s="30"/>
      <c r="AL27" s="30"/>
      <c r="AR27" s="78"/>
      <c r="AS27" s="78"/>
    </row>
    <row r="28" spans="1:45">
      <c r="A28" s="71" t="s">
        <v>212</v>
      </c>
      <c r="B28" s="74" t="str">
        <f t="shared" si="0"/>
        <v>Tasas</v>
      </c>
      <c r="C28" s="75" t="s">
        <v>114</v>
      </c>
      <c r="D28" s="76" t="s">
        <v>43</v>
      </c>
      <c r="F28" s="31"/>
      <c r="G28" s="31"/>
      <c r="H28" s="31"/>
      <c r="I28" s="53"/>
      <c r="J28" s="39"/>
      <c r="K28" s="33"/>
      <c r="L28" s="53"/>
      <c r="M28" s="39"/>
      <c r="N28" s="56"/>
      <c r="O28" s="49"/>
      <c r="P28" s="35"/>
      <c r="R28" s="36"/>
      <c r="S28" s="37"/>
      <c r="T28" s="38"/>
      <c r="U28" s="38"/>
      <c r="V28" s="38"/>
      <c r="W28" s="38"/>
      <c r="X28" s="38"/>
      <c r="Y28" s="38"/>
      <c r="Z28" s="38"/>
      <c r="AA28" s="38"/>
      <c r="AB28" s="38"/>
      <c r="AC28" s="40"/>
      <c r="AD28" s="30"/>
      <c r="AE28" s="36"/>
      <c r="AF28" s="36"/>
      <c r="AG28" s="38"/>
      <c r="AH28" s="38"/>
      <c r="AI28" s="38"/>
      <c r="AJ28" s="39"/>
      <c r="AK28" s="30"/>
      <c r="AL28" s="30"/>
      <c r="AR28" s="78"/>
      <c r="AS28" s="78"/>
    </row>
    <row r="29" spans="1:45">
      <c r="A29" s="71" t="s">
        <v>213</v>
      </c>
      <c r="B29" s="74" t="str">
        <f t="shared" si="0"/>
        <v>Interna</v>
      </c>
      <c r="C29" s="75" t="s">
        <v>92</v>
      </c>
      <c r="D29" s="76" t="s">
        <v>41</v>
      </c>
      <c r="F29" s="31"/>
      <c r="G29" s="31"/>
      <c r="H29" s="31"/>
      <c r="I29" s="53"/>
      <c r="J29" s="39"/>
      <c r="K29" s="33"/>
      <c r="L29" s="53"/>
      <c r="M29" s="39"/>
      <c r="N29" s="56"/>
      <c r="O29" s="49"/>
      <c r="P29" s="35"/>
      <c r="R29" s="36"/>
      <c r="S29" s="37"/>
      <c r="T29" s="38"/>
      <c r="U29" s="38"/>
      <c r="V29" s="38"/>
      <c r="W29" s="38"/>
      <c r="X29" s="38"/>
      <c r="Y29" s="38"/>
      <c r="Z29" s="38"/>
      <c r="AA29" s="38"/>
      <c r="AB29" s="38"/>
      <c r="AC29" s="40"/>
      <c r="AD29" s="30"/>
      <c r="AE29" s="36"/>
      <c r="AF29" s="36"/>
      <c r="AG29" s="38"/>
      <c r="AH29" s="38"/>
      <c r="AI29" s="38"/>
      <c r="AJ29" s="39"/>
      <c r="AK29" s="30"/>
      <c r="AL29" s="30"/>
      <c r="AR29" s="78"/>
      <c r="AS29" s="78"/>
    </row>
    <row r="30" spans="1:45">
      <c r="A30" s="71" t="s">
        <v>214</v>
      </c>
      <c r="B30" s="74" t="str">
        <f t="shared" si="0"/>
        <v>Externa</v>
      </c>
      <c r="C30" s="75" t="s">
        <v>93</v>
      </c>
      <c r="D30" s="76" t="s">
        <v>42</v>
      </c>
      <c r="F30" s="31"/>
      <c r="G30" s="31"/>
      <c r="H30" s="31"/>
      <c r="I30" s="53"/>
      <c r="J30" s="39"/>
      <c r="K30" s="57"/>
      <c r="L30" s="53"/>
      <c r="M30" s="39"/>
      <c r="N30" s="56"/>
      <c r="O30" s="49"/>
      <c r="P30" s="35"/>
      <c r="R30" s="36"/>
      <c r="S30" s="37"/>
      <c r="T30" s="38"/>
      <c r="U30" s="38"/>
      <c r="V30" s="38"/>
      <c r="W30" s="38"/>
      <c r="X30" s="38"/>
      <c r="Y30" s="38"/>
      <c r="Z30" s="38"/>
      <c r="AA30" s="38"/>
      <c r="AB30" s="38"/>
      <c r="AC30" s="40"/>
      <c r="AD30" s="30"/>
      <c r="AE30" s="36"/>
      <c r="AF30" s="36"/>
      <c r="AG30" s="38"/>
      <c r="AH30" s="38"/>
      <c r="AI30" s="38"/>
      <c r="AJ30" s="39"/>
      <c r="AK30" s="30"/>
      <c r="AL30" s="30"/>
      <c r="AR30" s="78"/>
      <c r="AS30" s="78"/>
    </row>
    <row r="31" spans="1:45">
      <c r="A31" s="71" t="s">
        <v>215</v>
      </c>
      <c r="B31" s="74" t="str">
        <f t="shared" si="0"/>
        <v>Total</v>
      </c>
      <c r="C31" s="75" t="s">
        <v>29</v>
      </c>
      <c r="D31" s="76" t="s">
        <v>29</v>
      </c>
      <c r="F31" s="31"/>
      <c r="G31" s="31"/>
      <c r="H31" s="31"/>
      <c r="I31" s="53"/>
      <c r="J31" s="39"/>
      <c r="K31" s="33"/>
      <c r="L31" s="53"/>
      <c r="M31" s="39"/>
      <c r="N31" s="56"/>
      <c r="O31" s="49"/>
      <c r="P31" s="30"/>
      <c r="R31" s="36"/>
      <c r="S31" s="37"/>
      <c r="T31" s="38"/>
      <c r="U31" s="38"/>
      <c r="V31" s="38"/>
      <c r="W31" s="38"/>
      <c r="X31" s="38"/>
      <c r="Y31" s="38"/>
      <c r="Z31" s="38"/>
      <c r="AA31" s="38"/>
      <c r="AB31" s="38"/>
      <c r="AC31" s="40"/>
      <c r="AD31" s="30"/>
      <c r="AE31" s="36"/>
      <c r="AF31" s="36"/>
      <c r="AG31" s="38"/>
      <c r="AH31" s="38"/>
      <c r="AI31" s="38"/>
      <c r="AJ31" s="39"/>
      <c r="AK31" s="30"/>
      <c r="AL31" s="30"/>
      <c r="AR31" s="78"/>
      <c r="AS31" s="78"/>
    </row>
    <row r="32" spans="1:45">
      <c r="A32" s="71" t="s">
        <v>216</v>
      </c>
      <c r="B32" s="74" t="str">
        <f t="shared" si="0"/>
        <v>Moneda</v>
      </c>
      <c r="C32" s="75" t="s">
        <v>115</v>
      </c>
      <c r="D32" s="76" t="s">
        <v>45</v>
      </c>
      <c r="F32" s="31"/>
      <c r="G32" s="31"/>
      <c r="H32" s="31"/>
      <c r="I32" s="53"/>
      <c r="J32" s="39"/>
      <c r="K32" s="33"/>
      <c r="L32" s="53"/>
      <c r="M32" s="39"/>
      <c r="N32" s="56"/>
      <c r="O32" s="49"/>
      <c r="P32" s="30"/>
      <c r="R32" s="36"/>
      <c r="S32" s="37"/>
      <c r="T32" s="38"/>
      <c r="U32" s="38"/>
      <c r="V32" s="38"/>
      <c r="W32" s="38"/>
      <c r="X32" s="38"/>
      <c r="Y32" s="38"/>
      <c r="Z32" s="38"/>
      <c r="AA32" s="38"/>
      <c r="AB32" s="38"/>
      <c r="AC32" s="40"/>
      <c r="AD32" s="30"/>
      <c r="AE32" s="36"/>
      <c r="AF32" s="36"/>
      <c r="AG32" s="38"/>
      <c r="AH32" s="38"/>
      <c r="AI32" s="38"/>
      <c r="AJ32" s="39"/>
      <c r="AK32" s="30"/>
      <c r="AL32" s="30"/>
      <c r="AR32" s="78"/>
      <c r="AS32" s="78"/>
    </row>
    <row r="33" spans="1:45">
      <c r="A33" s="71" t="s">
        <v>217</v>
      </c>
      <c r="B33" s="74" t="str">
        <f t="shared" si="0"/>
        <v>Interna</v>
      </c>
      <c r="C33" s="75" t="s">
        <v>92</v>
      </c>
      <c r="D33" s="76" t="s">
        <v>41</v>
      </c>
      <c r="F33" s="31"/>
      <c r="G33" s="31"/>
      <c r="H33" s="31"/>
      <c r="I33" s="53"/>
      <c r="J33" s="39"/>
      <c r="K33" s="30"/>
      <c r="L33" s="53"/>
      <c r="M33" s="39"/>
      <c r="N33" s="56"/>
      <c r="O33" s="49"/>
      <c r="P33" s="30"/>
      <c r="R33" s="36"/>
      <c r="S33" s="37"/>
      <c r="T33" s="38"/>
      <c r="U33" s="38"/>
      <c r="V33" s="38"/>
      <c r="W33" s="38"/>
      <c r="X33" s="38"/>
      <c r="Y33" s="38"/>
      <c r="Z33" s="38"/>
      <c r="AA33" s="38"/>
      <c r="AB33" s="38"/>
      <c r="AC33" s="40"/>
      <c r="AD33" s="30"/>
      <c r="AE33" s="36"/>
      <c r="AF33" s="36"/>
      <c r="AG33" s="38"/>
      <c r="AH33" s="38"/>
      <c r="AI33" s="38"/>
      <c r="AJ33" s="39"/>
      <c r="AK33" s="30"/>
      <c r="AL33" s="30"/>
      <c r="AR33" s="78"/>
      <c r="AS33" s="78"/>
    </row>
    <row r="34" spans="1:45">
      <c r="A34" s="71" t="s">
        <v>218</v>
      </c>
      <c r="B34" s="74" t="str">
        <f t="shared" si="0"/>
        <v>Externa</v>
      </c>
      <c r="C34" s="75" t="s">
        <v>93</v>
      </c>
      <c r="D34" s="76" t="s">
        <v>42</v>
      </c>
      <c r="F34" s="31"/>
      <c r="G34" s="31"/>
      <c r="H34" s="31"/>
      <c r="I34" s="53"/>
      <c r="J34" s="39"/>
      <c r="K34" s="30"/>
      <c r="L34" s="53"/>
      <c r="M34" s="39"/>
      <c r="N34" s="56"/>
      <c r="O34" s="49"/>
      <c r="P34" s="30"/>
      <c r="R34" s="36"/>
      <c r="S34" s="37"/>
      <c r="T34" s="38"/>
      <c r="U34" s="38"/>
      <c r="V34" s="38"/>
      <c r="W34" s="38"/>
      <c r="X34" s="38"/>
      <c r="Y34" s="38"/>
      <c r="Z34" s="38"/>
      <c r="AA34" s="38"/>
      <c r="AB34" s="38"/>
      <c r="AC34" s="40"/>
      <c r="AD34" s="30"/>
      <c r="AE34" s="36"/>
      <c r="AF34" s="36"/>
      <c r="AG34" s="38"/>
      <c r="AH34" s="38"/>
      <c r="AI34" s="38"/>
      <c r="AJ34" s="39"/>
      <c r="AK34" s="30"/>
      <c r="AL34" s="30"/>
      <c r="AR34" s="78"/>
      <c r="AS34" s="78"/>
    </row>
    <row r="35" spans="1:45">
      <c r="A35" s="71" t="s">
        <v>219</v>
      </c>
      <c r="B35" s="74" t="str">
        <f t="shared" si="0"/>
        <v>Total</v>
      </c>
      <c r="C35" s="75" t="s">
        <v>29</v>
      </c>
      <c r="D35" s="76" t="s">
        <v>29</v>
      </c>
      <c r="F35" s="31"/>
      <c r="G35" s="31"/>
      <c r="H35" s="31"/>
      <c r="I35" s="53"/>
      <c r="J35" s="39"/>
      <c r="K35" s="30"/>
      <c r="L35" s="53"/>
      <c r="M35" s="39"/>
      <c r="N35" s="52"/>
      <c r="O35" s="49"/>
      <c r="P35" s="30"/>
      <c r="R35" s="36"/>
      <c r="S35" s="37"/>
      <c r="T35" s="38"/>
      <c r="U35" s="38"/>
      <c r="V35" s="38"/>
      <c r="W35" s="38"/>
      <c r="X35" s="38"/>
      <c r="Y35" s="38"/>
      <c r="Z35" s="38"/>
      <c r="AA35" s="38"/>
      <c r="AB35" s="38"/>
      <c r="AC35" s="40"/>
      <c r="AD35" s="30"/>
      <c r="AE35" s="36"/>
      <c r="AF35" s="36"/>
      <c r="AG35" s="38"/>
      <c r="AH35" s="38"/>
      <c r="AI35" s="38"/>
      <c r="AJ35" s="39"/>
      <c r="AK35" s="30"/>
      <c r="AL35" s="30"/>
      <c r="AR35" s="78"/>
      <c r="AS35" s="78"/>
    </row>
    <row r="36" spans="1:45">
      <c r="A36" s="71" t="s">
        <v>220</v>
      </c>
      <c r="B36" s="74" t="str">
        <f t="shared" si="0"/>
        <v>Servicio de deuda</v>
      </c>
      <c r="C36" s="75" t="s">
        <v>101</v>
      </c>
      <c r="D36" s="76" t="s">
        <v>46</v>
      </c>
      <c r="F36" s="31"/>
      <c r="G36" s="31"/>
      <c r="H36" s="31"/>
      <c r="I36" s="30"/>
      <c r="J36" s="30"/>
      <c r="K36" s="30"/>
      <c r="L36" s="30"/>
      <c r="M36" s="54"/>
      <c r="N36" s="52"/>
      <c r="O36" s="49"/>
      <c r="P36" s="30"/>
      <c r="R36" s="36"/>
      <c r="S36" s="37"/>
      <c r="T36" s="38"/>
      <c r="U36" s="38"/>
      <c r="V36" s="38"/>
      <c r="W36" s="38"/>
      <c r="X36" s="38"/>
      <c r="Y36" s="38"/>
      <c r="Z36" s="38"/>
      <c r="AA36" s="38"/>
      <c r="AB36" s="38"/>
      <c r="AC36" s="40"/>
      <c r="AD36" s="30"/>
      <c r="AE36" s="36"/>
      <c r="AF36" s="36"/>
      <c r="AG36" s="38"/>
      <c r="AH36" s="38"/>
      <c r="AI36" s="38"/>
      <c r="AJ36" s="39"/>
      <c r="AK36" s="30"/>
      <c r="AL36" s="30"/>
      <c r="AR36" s="78"/>
      <c r="AS36" s="78"/>
    </row>
    <row r="37" spans="1:45">
      <c r="A37" s="71" t="s">
        <v>221</v>
      </c>
      <c r="B37" s="74" t="str">
        <f t="shared" si="0"/>
        <v>Interna</v>
      </c>
      <c r="C37" s="75" t="s">
        <v>92</v>
      </c>
      <c r="D37" s="76" t="s">
        <v>41</v>
      </c>
      <c r="F37" s="31"/>
      <c r="G37" s="31"/>
      <c r="H37" s="31"/>
      <c r="I37" s="30"/>
      <c r="J37" s="30"/>
      <c r="K37" s="30"/>
      <c r="L37" s="30"/>
      <c r="M37" s="54"/>
      <c r="N37" s="52"/>
      <c r="O37" s="31"/>
      <c r="P37" s="30"/>
      <c r="R37" s="36"/>
      <c r="S37" s="37"/>
      <c r="T37" s="38"/>
      <c r="U37" s="38"/>
      <c r="V37" s="38"/>
      <c r="W37" s="38"/>
      <c r="X37" s="38"/>
      <c r="Y37" s="38"/>
      <c r="Z37" s="38"/>
      <c r="AA37" s="38"/>
      <c r="AB37" s="38"/>
      <c r="AC37" s="40"/>
      <c r="AD37" s="30"/>
      <c r="AE37" s="36"/>
      <c r="AF37" s="36"/>
      <c r="AG37" s="38"/>
      <c r="AH37" s="38"/>
      <c r="AI37" s="38"/>
      <c r="AJ37" s="39"/>
      <c r="AK37" s="30"/>
      <c r="AL37" s="30"/>
      <c r="AR37" s="78"/>
      <c r="AS37" s="78"/>
    </row>
    <row r="38" spans="1:45">
      <c r="A38" s="71" t="s">
        <v>222</v>
      </c>
      <c r="B38" s="74" t="str">
        <f t="shared" si="0"/>
        <v>Externa</v>
      </c>
      <c r="C38" s="75" t="s">
        <v>93</v>
      </c>
      <c r="D38" s="76" t="s">
        <v>42</v>
      </c>
      <c r="F38" s="31"/>
      <c r="G38" s="31"/>
      <c r="H38" s="31"/>
      <c r="I38" s="30"/>
      <c r="J38" s="30"/>
      <c r="K38" s="30"/>
      <c r="L38" s="30"/>
      <c r="M38" s="39"/>
      <c r="N38" s="52"/>
      <c r="O38" s="31"/>
      <c r="P38" s="30"/>
      <c r="R38" s="36"/>
      <c r="S38" s="37"/>
      <c r="T38" s="38"/>
      <c r="U38" s="38"/>
      <c r="V38" s="38"/>
      <c r="W38" s="38"/>
      <c r="X38" s="38"/>
      <c r="Y38" s="38"/>
      <c r="Z38" s="38"/>
      <c r="AA38" s="38"/>
      <c r="AB38" s="38"/>
      <c r="AC38" s="40"/>
      <c r="AD38" s="30"/>
      <c r="AE38" s="36"/>
      <c r="AF38" s="36"/>
      <c r="AG38" s="38"/>
      <c r="AH38" s="38"/>
      <c r="AI38" s="38"/>
      <c r="AJ38" s="39"/>
      <c r="AK38" s="30"/>
      <c r="AL38" s="30"/>
      <c r="AR38" s="78"/>
      <c r="AS38" s="78"/>
    </row>
    <row r="39" spans="1:45">
      <c r="A39" s="71" t="s">
        <v>223</v>
      </c>
      <c r="B39" s="74" t="str">
        <f t="shared" si="0"/>
        <v>Total</v>
      </c>
      <c r="C39" s="75" t="s">
        <v>29</v>
      </c>
      <c r="D39" s="76" t="s">
        <v>29</v>
      </c>
      <c r="F39" s="31"/>
      <c r="G39" s="31"/>
      <c r="H39" s="31"/>
      <c r="I39" s="53"/>
      <c r="J39" s="30"/>
      <c r="K39" s="53"/>
      <c r="L39" s="30"/>
      <c r="M39" s="39"/>
      <c r="N39" s="52"/>
      <c r="O39" s="31"/>
      <c r="P39" s="35"/>
      <c r="R39" s="36"/>
      <c r="S39" s="37"/>
      <c r="T39" s="38"/>
      <c r="U39" s="38"/>
      <c r="V39" s="38"/>
      <c r="W39" s="38"/>
      <c r="X39" s="38"/>
      <c r="Y39" s="38"/>
      <c r="Z39" s="38"/>
      <c r="AA39" s="38"/>
      <c r="AB39" s="38"/>
      <c r="AC39" s="40"/>
      <c r="AD39" s="30"/>
      <c r="AE39" s="36"/>
      <c r="AF39" s="36"/>
      <c r="AG39" s="38"/>
      <c r="AH39" s="38"/>
      <c r="AI39" s="38"/>
      <c r="AJ39" s="39"/>
      <c r="AK39" s="30"/>
      <c r="AL39" s="30"/>
      <c r="AR39" s="78"/>
      <c r="AS39" s="78"/>
    </row>
    <row r="40" spans="1:45">
      <c r="A40" s="71" t="s">
        <v>224</v>
      </c>
      <c r="B40" s="74" t="str">
        <f t="shared" si="0"/>
        <v>Indicadores</v>
      </c>
      <c r="C40" s="75" t="s">
        <v>116</v>
      </c>
      <c r="D40" s="76" t="s">
        <v>48</v>
      </c>
      <c r="F40" s="31"/>
      <c r="G40" s="31"/>
      <c r="H40" s="31"/>
      <c r="I40" s="30"/>
      <c r="J40" s="30"/>
      <c r="K40" s="30"/>
      <c r="L40" s="53"/>
      <c r="M40" s="39"/>
      <c r="N40" s="52"/>
      <c r="O40" s="31"/>
      <c r="P40" s="35"/>
      <c r="R40" s="36"/>
      <c r="S40" s="37"/>
      <c r="T40" s="38"/>
      <c r="U40" s="38"/>
      <c r="V40" s="38"/>
      <c r="W40" s="38"/>
      <c r="X40" s="38"/>
      <c r="Y40" s="38"/>
      <c r="Z40" s="38"/>
      <c r="AA40" s="38"/>
      <c r="AB40" s="38"/>
      <c r="AC40" s="40"/>
      <c r="AD40" s="30"/>
      <c r="AE40" s="36"/>
      <c r="AF40" s="36"/>
      <c r="AG40" s="38"/>
      <c r="AH40" s="38"/>
      <c r="AI40" s="38"/>
      <c r="AJ40" s="39"/>
      <c r="AK40" s="30"/>
      <c r="AL40" s="30"/>
      <c r="AR40" s="78"/>
      <c r="AS40" s="78"/>
    </row>
    <row r="41" spans="1:45">
      <c r="A41" s="71" t="s">
        <v>225</v>
      </c>
      <c r="B41" s="74" t="str">
        <f t="shared" si="0"/>
        <v>Indicadores</v>
      </c>
      <c r="C41" s="75" t="s">
        <v>116</v>
      </c>
      <c r="D41" s="76" t="s">
        <v>48</v>
      </c>
      <c r="F41" s="31"/>
      <c r="G41" s="31"/>
      <c r="H41" s="31"/>
      <c r="I41" s="30"/>
      <c r="J41" s="30"/>
      <c r="K41" s="30"/>
      <c r="L41" s="53"/>
      <c r="M41" s="39"/>
      <c r="N41" s="58"/>
      <c r="O41" s="31"/>
      <c r="P41" s="35"/>
      <c r="R41" s="36"/>
      <c r="S41" s="37"/>
      <c r="T41" s="38"/>
      <c r="U41" s="38"/>
      <c r="V41" s="38"/>
      <c r="W41" s="38"/>
      <c r="X41" s="38"/>
      <c r="Y41" s="38"/>
      <c r="Z41" s="38"/>
      <c r="AA41" s="38"/>
      <c r="AB41" s="38"/>
      <c r="AC41" s="40"/>
      <c r="AD41" s="30"/>
      <c r="AE41" s="36"/>
      <c r="AF41" s="36"/>
      <c r="AG41" s="38"/>
      <c r="AH41" s="38"/>
      <c r="AI41" s="38"/>
      <c r="AJ41" s="39"/>
      <c r="AK41" s="30"/>
      <c r="AL41" s="30"/>
      <c r="AR41" s="78"/>
      <c r="AS41" s="78"/>
    </row>
    <row r="42" spans="1:45">
      <c r="A42" s="71" t="s">
        <v>226</v>
      </c>
      <c r="B42" s="74" t="str">
        <f t="shared" si="0"/>
        <v>Leyenda de etiquetas</v>
      </c>
      <c r="C42" s="75" t="s">
        <v>121</v>
      </c>
      <c r="D42" s="76" t="s">
        <v>120</v>
      </c>
      <c r="F42" s="31"/>
      <c r="G42" s="31"/>
      <c r="H42" s="31"/>
      <c r="I42" s="30"/>
      <c r="J42" s="30"/>
      <c r="K42" s="30"/>
      <c r="L42" s="53"/>
      <c r="M42" s="39"/>
      <c r="N42" s="58"/>
      <c r="O42" s="31"/>
      <c r="P42" s="35"/>
      <c r="R42" s="36"/>
      <c r="S42" s="37"/>
      <c r="T42" s="38"/>
      <c r="U42" s="38"/>
      <c r="V42" s="38"/>
      <c r="W42" s="38"/>
      <c r="X42" s="38"/>
      <c r="Y42" s="38"/>
      <c r="Z42" s="38"/>
      <c r="AA42" s="38"/>
      <c r="AB42" s="38"/>
      <c r="AC42" s="40"/>
      <c r="AD42" s="30"/>
      <c r="AE42" s="36"/>
      <c r="AF42" s="36"/>
      <c r="AG42" s="38"/>
      <c r="AH42" s="38"/>
      <c r="AI42" s="38"/>
      <c r="AJ42" s="39"/>
      <c r="AK42" s="30"/>
      <c r="AL42" s="30"/>
      <c r="AR42" s="78"/>
      <c r="AS42" s="78"/>
    </row>
    <row r="43" spans="1:45">
      <c r="A43" s="71" t="s">
        <v>227</v>
      </c>
      <c r="B43" s="74" t="str">
        <f t="shared" si="0"/>
        <v>Deuda interna</v>
      </c>
      <c r="C43" s="75" t="s">
        <v>117</v>
      </c>
      <c r="D43" s="76" t="s">
        <v>21</v>
      </c>
      <c r="F43" s="31"/>
      <c r="G43" s="31"/>
      <c r="H43" s="31"/>
      <c r="I43" s="30"/>
      <c r="J43" s="30"/>
      <c r="K43" s="30"/>
      <c r="L43" s="53"/>
      <c r="M43" s="39"/>
      <c r="N43" s="58"/>
      <c r="O43" s="49"/>
      <c r="P43" s="35"/>
      <c r="R43" s="36"/>
      <c r="S43" s="37"/>
      <c r="T43" s="38"/>
      <c r="U43" s="38"/>
      <c r="V43" s="38"/>
      <c r="W43" s="38"/>
      <c r="X43" s="38"/>
      <c r="Y43" s="38"/>
      <c r="Z43" s="38"/>
      <c r="AA43" s="38"/>
      <c r="AB43" s="38"/>
      <c r="AC43" s="40"/>
      <c r="AD43" s="30"/>
      <c r="AE43" s="36"/>
      <c r="AF43" s="36"/>
      <c r="AG43" s="38"/>
      <c r="AH43" s="38"/>
      <c r="AI43" s="38"/>
      <c r="AJ43" s="39"/>
      <c r="AK43" s="30"/>
      <c r="AL43" s="30"/>
      <c r="AR43" s="78"/>
      <c r="AS43" s="78"/>
    </row>
    <row r="44" spans="1:45">
      <c r="A44" s="71" t="s">
        <v>228</v>
      </c>
      <c r="B44" s="74" t="str">
        <f t="shared" si="0"/>
        <v>Deuda externa</v>
      </c>
      <c r="C44" s="75" t="s">
        <v>118</v>
      </c>
      <c r="D44" s="76" t="s">
        <v>22</v>
      </c>
      <c r="F44" s="31"/>
      <c r="G44" s="31"/>
      <c r="H44" s="31"/>
      <c r="I44" s="30"/>
      <c r="J44" s="30"/>
      <c r="K44" s="30"/>
      <c r="L44" s="53"/>
      <c r="M44" s="39"/>
      <c r="N44" s="58"/>
      <c r="O44" s="49"/>
      <c r="P44" s="30"/>
      <c r="R44" s="36"/>
      <c r="S44" s="37"/>
      <c r="T44" s="38"/>
      <c r="U44" s="38"/>
      <c r="V44" s="38"/>
      <c r="W44" s="38"/>
      <c r="X44" s="38"/>
      <c r="Y44" s="38"/>
      <c r="Z44" s="38"/>
      <c r="AA44" s="38"/>
      <c r="AB44" s="38"/>
      <c r="AC44" s="40"/>
      <c r="AD44" s="30"/>
      <c r="AE44" s="36"/>
      <c r="AF44" s="36"/>
      <c r="AG44" s="38"/>
      <c r="AH44" s="38"/>
      <c r="AI44" s="38"/>
      <c r="AJ44" s="39"/>
      <c r="AK44" s="30"/>
      <c r="AL44" s="30"/>
      <c r="AR44" s="78"/>
      <c r="AS44" s="78"/>
    </row>
    <row r="45" spans="1:45">
      <c r="A45" s="71" t="s">
        <v>229</v>
      </c>
      <c r="B45" s="74" t="str">
        <f t="shared" si="0"/>
        <v>Deuda total</v>
      </c>
      <c r="C45" s="75" t="s">
        <v>119</v>
      </c>
      <c r="D45" s="76" t="s">
        <v>23</v>
      </c>
      <c r="F45" s="31"/>
      <c r="G45" s="31"/>
      <c r="H45" s="31"/>
      <c r="I45" s="30"/>
      <c r="J45" s="30"/>
      <c r="K45" s="30"/>
      <c r="L45" s="51"/>
      <c r="M45" s="39"/>
      <c r="N45" s="56"/>
      <c r="O45" s="49"/>
      <c r="P45" s="30"/>
      <c r="R45" s="36"/>
      <c r="S45" s="37"/>
      <c r="T45" s="38"/>
      <c r="U45" s="38"/>
      <c r="V45" s="38"/>
      <c r="W45" s="38"/>
      <c r="X45" s="38"/>
      <c r="Y45" s="38"/>
      <c r="Z45" s="38"/>
      <c r="AA45" s="38"/>
      <c r="AB45" s="38"/>
      <c r="AC45" s="40"/>
      <c r="AD45" s="30"/>
      <c r="AE45" s="36"/>
      <c r="AF45" s="36"/>
      <c r="AG45" s="38"/>
      <c r="AH45" s="38"/>
      <c r="AI45" s="38"/>
      <c r="AJ45" s="39"/>
      <c r="AK45" s="30"/>
      <c r="AL45" s="30"/>
      <c r="AR45" s="78"/>
      <c r="AS45" s="78"/>
    </row>
    <row r="46" spans="1:45">
      <c r="A46" s="71" t="s">
        <v>230</v>
      </c>
      <c r="B46" s="74" t="str">
        <f t="shared" si="0"/>
        <v>General</v>
      </c>
      <c r="C46" s="75" t="s">
        <v>51</v>
      </c>
      <c r="D46" s="76" t="s">
        <v>51</v>
      </c>
      <c r="F46" s="31"/>
      <c r="G46" s="31"/>
      <c r="H46" s="43"/>
      <c r="I46" s="51"/>
      <c r="J46" s="53"/>
      <c r="K46" s="53"/>
      <c r="L46" s="30"/>
      <c r="M46" s="39"/>
      <c r="N46" s="59"/>
      <c r="O46" s="49"/>
      <c r="P46" s="35"/>
      <c r="R46" s="30"/>
      <c r="S46" s="31"/>
      <c r="T46" s="38"/>
      <c r="U46" s="38"/>
      <c r="V46" s="38"/>
      <c r="W46" s="38"/>
      <c r="X46" s="38"/>
      <c r="Y46" s="38"/>
      <c r="Z46" s="38"/>
      <c r="AA46" s="38"/>
      <c r="AB46" s="38"/>
      <c r="AC46" s="40"/>
      <c r="AD46" s="30"/>
      <c r="AE46" s="36"/>
      <c r="AF46" s="36"/>
      <c r="AG46" s="38"/>
      <c r="AH46" s="38"/>
      <c r="AI46" s="38"/>
      <c r="AJ46" s="39"/>
      <c r="AK46" s="30"/>
      <c r="AL46" s="30"/>
      <c r="AR46" s="78"/>
      <c r="AS46" s="78"/>
    </row>
    <row r="47" spans="1:45" ht="63.75">
      <c r="A47" s="71" t="s">
        <v>231</v>
      </c>
      <c r="B47" s="74" t="str">
        <f t="shared" si="0"/>
        <v xml:space="preserve">Estadísticas de los saldos de la deuda GNC. Organizado por deuda interna y externa. 
Ejemplos: Saldo  deuda externa en USD; Composición en moneda extranjera como % de total.
</v>
      </c>
      <c r="C47" s="75" t="s">
        <v>125</v>
      </c>
      <c r="D47" s="92" t="s">
        <v>344</v>
      </c>
      <c r="F47" s="31"/>
      <c r="G47" s="31"/>
      <c r="H47" s="43"/>
      <c r="I47" s="51"/>
      <c r="J47" s="53"/>
      <c r="K47" s="53"/>
      <c r="L47" s="30"/>
      <c r="M47" s="39"/>
      <c r="N47" s="59"/>
      <c r="O47" s="49"/>
      <c r="P47" s="35"/>
      <c r="R47" s="30"/>
      <c r="S47" s="31"/>
      <c r="T47" s="38"/>
      <c r="U47" s="38"/>
      <c r="V47" s="38"/>
      <c r="W47" s="38"/>
      <c r="X47" s="38"/>
      <c r="Y47" s="38"/>
      <c r="Z47" s="38"/>
      <c r="AA47" s="38"/>
      <c r="AB47" s="38"/>
      <c r="AC47" s="40"/>
      <c r="AD47" s="30"/>
      <c r="AE47" s="36"/>
      <c r="AF47" s="36"/>
      <c r="AG47" s="38"/>
      <c r="AH47" s="38"/>
      <c r="AI47" s="38"/>
      <c r="AJ47" s="39"/>
      <c r="AK47" s="30"/>
      <c r="AL47" s="30"/>
      <c r="AR47" s="78"/>
      <c r="AS47" s="78"/>
    </row>
    <row r="48" spans="1:45" ht="51">
      <c r="A48" s="71" t="s">
        <v>232</v>
      </c>
      <c r="B48" s="74" t="str">
        <f t="shared" si="0"/>
        <v xml:space="preserve">Estadísticas de las fuentes de la deuda GNC. Organizado por instrumento de financiamiento. 
Ejemplos: TES; Bonos de Paz; y otros.
</v>
      </c>
      <c r="C48" s="75" t="s">
        <v>124</v>
      </c>
      <c r="D48" s="92" t="s">
        <v>343</v>
      </c>
      <c r="F48" s="31"/>
      <c r="G48" s="31"/>
      <c r="H48" s="31"/>
      <c r="I48" s="30"/>
      <c r="J48" s="30"/>
      <c r="K48" s="30"/>
      <c r="L48" s="30"/>
      <c r="M48" s="54"/>
      <c r="N48" s="47"/>
      <c r="O48" s="49"/>
      <c r="P48" s="35"/>
      <c r="R48" s="36"/>
      <c r="S48" s="37"/>
      <c r="T48" s="38"/>
      <c r="U48" s="38"/>
      <c r="V48" s="38"/>
      <c r="W48" s="38"/>
      <c r="X48" s="38"/>
      <c r="Y48" s="38"/>
      <c r="Z48" s="38"/>
      <c r="AA48" s="38"/>
      <c r="AB48" s="38"/>
      <c r="AC48" s="40"/>
      <c r="AD48" s="30"/>
      <c r="AE48" s="36"/>
      <c r="AF48" s="36"/>
      <c r="AG48" s="38"/>
      <c r="AH48" s="38"/>
      <c r="AI48" s="38"/>
      <c r="AJ48" s="39"/>
      <c r="AK48" s="30"/>
      <c r="AL48" s="30"/>
      <c r="AR48" s="78"/>
      <c r="AS48" s="78"/>
    </row>
    <row r="49" spans="1:45">
      <c r="A49" s="71" t="s">
        <v>233</v>
      </c>
      <c r="B49" s="74" t="str">
        <f t="shared" si="0"/>
        <v xml:space="preserve">Estadísticas de las monedas en las cuales está denominada la deuda GNC. Organizado por las monedas del instrumento de financiamiento. 
Ejemplos : EUR; COP; USD;  y otros.
</v>
      </c>
      <c r="C49" s="75" t="s">
        <v>339</v>
      </c>
      <c r="D49" s="76" t="s">
        <v>130</v>
      </c>
      <c r="F49" s="31"/>
      <c r="G49" s="31"/>
      <c r="H49" s="31"/>
      <c r="I49" s="30"/>
      <c r="J49" s="30"/>
      <c r="K49" s="30"/>
      <c r="L49" s="30"/>
      <c r="M49" s="54"/>
      <c r="N49" s="47"/>
      <c r="O49" s="31"/>
      <c r="P49" s="35"/>
      <c r="R49" s="36"/>
      <c r="S49" s="37"/>
      <c r="T49" s="38"/>
      <c r="U49" s="38"/>
      <c r="V49" s="38"/>
      <c r="W49" s="38"/>
      <c r="X49" s="38"/>
      <c r="Y49" s="38"/>
      <c r="Z49" s="38"/>
      <c r="AA49" s="38"/>
      <c r="AB49" s="38"/>
      <c r="AC49" s="40"/>
      <c r="AD49" s="30"/>
      <c r="AE49" s="36"/>
      <c r="AF49" s="36"/>
      <c r="AG49" s="38"/>
      <c r="AH49" s="38"/>
      <c r="AI49" s="38"/>
      <c r="AJ49" s="39"/>
      <c r="AK49" s="30"/>
      <c r="AL49" s="30"/>
      <c r="AR49" s="78"/>
      <c r="AS49" s="78"/>
    </row>
    <row r="50" spans="1:45">
      <c r="A50" s="71" t="s">
        <v>234</v>
      </c>
      <c r="B50" s="74" t="str">
        <f t="shared" si="0"/>
        <v xml:space="preserve">Estadísticas del servicio de deuda GNC. Organizado por amortizaciones, intereses, y totales. 
</v>
      </c>
      <c r="C50" s="75" t="s">
        <v>128</v>
      </c>
      <c r="D50" s="76" t="s">
        <v>127</v>
      </c>
      <c r="F50" s="31"/>
      <c r="G50" s="31"/>
      <c r="H50" s="31"/>
      <c r="I50" s="30"/>
      <c r="J50" s="30"/>
      <c r="K50" s="30"/>
      <c r="L50" s="30"/>
      <c r="M50" s="30"/>
      <c r="N50" s="47"/>
      <c r="O50" s="31"/>
      <c r="P50" s="35"/>
      <c r="R50" s="30"/>
      <c r="S50" s="31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30"/>
      <c r="AE50" s="36"/>
      <c r="AF50" s="36"/>
      <c r="AG50" s="38"/>
      <c r="AH50" s="38"/>
      <c r="AI50" s="38"/>
      <c r="AJ50" s="39"/>
      <c r="AK50" s="30"/>
      <c r="AL50" s="30"/>
      <c r="AR50" s="78"/>
      <c r="AS50" s="78"/>
    </row>
    <row r="51" spans="1:45" ht="38.25">
      <c r="A51" s="71" t="s">
        <v>235</v>
      </c>
      <c r="B51" s="74" t="str">
        <f t="shared" si="0"/>
        <v xml:space="preserve">Estadísticas de indicadores comunes de la deuda GNC. 
Ejemplos: Vida Media; Duración ; y Cupón Promedio.
</v>
      </c>
      <c r="C51" s="179" t="s">
        <v>361</v>
      </c>
      <c r="D51" s="92" t="s">
        <v>129</v>
      </c>
      <c r="F51" s="31"/>
      <c r="G51" s="31"/>
      <c r="H51" s="31"/>
      <c r="I51" s="30"/>
      <c r="J51" s="30"/>
      <c r="K51" s="30"/>
      <c r="L51" s="30"/>
      <c r="M51" s="30"/>
      <c r="N51" s="47"/>
      <c r="O51" s="49"/>
      <c r="P51" s="35"/>
      <c r="R51" s="33"/>
      <c r="S51" s="60"/>
      <c r="T51" s="38"/>
      <c r="U51" s="38"/>
      <c r="V51" s="38"/>
      <c r="W51" s="38"/>
      <c r="X51" s="38"/>
      <c r="Y51" s="38"/>
      <c r="Z51" s="30"/>
      <c r="AA51" s="30"/>
      <c r="AB51" s="30"/>
      <c r="AC51" s="30"/>
      <c r="AD51" s="30"/>
      <c r="AE51" s="40"/>
      <c r="AF51" s="36"/>
      <c r="AG51" s="38"/>
      <c r="AH51" s="38"/>
      <c r="AI51" s="38"/>
      <c r="AJ51" s="30"/>
      <c r="AK51" s="30"/>
      <c r="AL51" s="30"/>
    </row>
    <row r="52" spans="1:45" ht="38.25">
      <c r="A52" s="71" t="s">
        <v>236</v>
      </c>
      <c r="B52" s="74" t="str">
        <f t="shared" si="0"/>
        <v xml:space="preserve">Estadísticas de las estructuras de las tasas de la deuda GNC. Organizado por las características del instrumento de financiamiento.
Ejemplos : Variable; Fija; COP Fija; UVR Fija; y otros.
</v>
      </c>
      <c r="C52" s="179" t="s">
        <v>360</v>
      </c>
      <c r="D52" s="76" t="s">
        <v>126</v>
      </c>
      <c r="F52" s="29"/>
      <c r="G52" s="29"/>
      <c r="H52" s="30"/>
      <c r="I52" s="30"/>
      <c r="J52" s="30"/>
      <c r="K52" s="30"/>
      <c r="M52" s="49"/>
      <c r="N52" s="35"/>
      <c r="P52" s="30"/>
      <c r="Q52" s="31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8"/>
      <c r="AG52" s="30"/>
      <c r="AH52" s="30"/>
      <c r="AI52" s="30"/>
      <c r="AJ52" s="30"/>
    </row>
    <row r="53" spans="1:45">
      <c r="A53" s="71" t="s">
        <v>237</v>
      </c>
      <c r="B53" s="74" t="str">
        <f t="shared" si="0"/>
        <v>Corte a</v>
      </c>
      <c r="C53" s="75" t="s">
        <v>136</v>
      </c>
      <c r="D53" s="76" t="s">
        <v>15</v>
      </c>
      <c r="F53" s="29"/>
      <c r="G53" s="29"/>
      <c r="H53" s="53"/>
      <c r="I53" s="30"/>
      <c r="J53" s="30"/>
      <c r="K53" s="30"/>
      <c r="M53" s="49"/>
      <c r="N53" s="30"/>
      <c r="P53" s="30"/>
      <c r="Q53" s="31"/>
      <c r="R53" s="30"/>
      <c r="S53" s="30"/>
      <c r="T53" s="30"/>
      <c r="U53" s="30"/>
      <c r="V53" s="61"/>
      <c r="W53" s="61"/>
      <c r="X53" s="30"/>
      <c r="Y53" s="30"/>
      <c r="Z53" s="30"/>
      <c r="AA53" s="53"/>
      <c r="AB53" s="30"/>
      <c r="AC53" s="30"/>
      <c r="AD53" s="30"/>
      <c r="AE53" s="30"/>
      <c r="AF53" s="30"/>
      <c r="AG53" s="30"/>
      <c r="AH53" s="30"/>
      <c r="AI53" s="30"/>
      <c r="AJ53" s="30"/>
    </row>
    <row r="54" spans="1:45">
      <c r="A54" s="71" t="s">
        <v>238</v>
      </c>
      <c r="B54" s="74" t="str">
        <f>INDEX(C54:D54,1,$G$1)</f>
        <v>Saldos de deuda</v>
      </c>
      <c r="C54" s="75" t="s">
        <v>111</v>
      </c>
      <c r="D54" s="76" t="s">
        <v>24</v>
      </c>
      <c r="F54" s="29"/>
      <c r="G54" s="29"/>
      <c r="H54" s="30"/>
      <c r="I54" s="30"/>
      <c r="J54" s="30"/>
      <c r="K54" s="30"/>
      <c r="M54" s="49"/>
      <c r="N54" s="30"/>
      <c r="O54" s="35"/>
      <c r="P54" s="35"/>
      <c r="Q54" s="62"/>
      <c r="R54" s="30"/>
      <c r="S54" s="30"/>
      <c r="T54" s="30"/>
      <c r="U54" s="30"/>
      <c r="V54" s="30"/>
      <c r="W54" s="30"/>
      <c r="X54" s="30"/>
      <c r="Y54" s="30"/>
      <c r="Z54" s="63"/>
      <c r="AA54" s="30"/>
      <c r="AB54" s="30"/>
      <c r="AC54" s="30"/>
      <c r="AD54" s="30"/>
      <c r="AE54" s="30"/>
      <c r="AF54" s="30"/>
      <c r="AG54" s="30"/>
      <c r="AH54" s="30"/>
      <c r="AI54" s="30"/>
      <c r="AJ54" s="30"/>
    </row>
    <row r="55" spans="1:45">
      <c r="A55" s="71" t="s">
        <v>239</v>
      </c>
      <c r="B55" s="74" t="str">
        <f t="shared" ref="B55:B87" si="1">INDEX(C55:D55,1,$G$1)</f>
        <v>(COP millones)</v>
      </c>
      <c r="C55" s="75" t="s">
        <v>131</v>
      </c>
      <c r="D55" s="76" t="s">
        <v>9</v>
      </c>
      <c r="F55" s="29"/>
      <c r="G55" s="29"/>
      <c r="H55" s="30"/>
      <c r="I55" s="30"/>
      <c r="J55" s="30"/>
      <c r="K55" s="30"/>
      <c r="M55" s="49"/>
      <c r="N55" s="30"/>
      <c r="O55" s="35"/>
      <c r="P55" s="35"/>
      <c r="Q55" s="62"/>
      <c r="R55" s="30"/>
      <c r="S55" s="30"/>
      <c r="T55" s="30"/>
      <c r="U55" s="30"/>
      <c r="V55" s="30"/>
      <c r="W55" s="30"/>
      <c r="X55" s="30"/>
      <c r="Y55" s="30"/>
      <c r="Z55" s="34"/>
      <c r="AA55" s="30"/>
      <c r="AB55" s="30"/>
      <c r="AC55" s="30"/>
      <c r="AD55" s="30"/>
      <c r="AE55" s="30"/>
      <c r="AF55" s="30"/>
      <c r="AG55" s="30"/>
      <c r="AH55" s="30"/>
      <c r="AI55" s="30"/>
      <c r="AJ55" s="30"/>
    </row>
    <row r="56" spans="1:45">
      <c r="A56" s="71" t="s">
        <v>240</v>
      </c>
      <c r="B56" s="74" t="str">
        <f t="shared" si="1"/>
        <v>Saldos de deuda</v>
      </c>
      <c r="C56" s="75" t="s">
        <v>111</v>
      </c>
      <c r="D56" s="76" t="s">
        <v>24</v>
      </c>
      <c r="F56" s="29"/>
      <c r="G56" s="29"/>
      <c r="H56" s="30"/>
      <c r="I56" s="30"/>
      <c r="J56" s="30"/>
      <c r="K56" s="30"/>
      <c r="M56" s="79"/>
      <c r="O56" s="35"/>
      <c r="P56" s="35"/>
      <c r="Q56" s="62"/>
      <c r="R56" s="30"/>
      <c r="S56" s="30"/>
      <c r="T56" s="30"/>
      <c r="U56" s="30"/>
      <c r="V56" s="30"/>
      <c r="W56" s="30"/>
      <c r="X56" s="30"/>
      <c r="Y56" s="30"/>
      <c r="Z56" s="63"/>
      <c r="AA56" s="30"/>
      <c r="AB56" s="30"/>
      <c r="AC56" s="30"/>
      <c r="AD56" s="30"/>
      <c r="AE56" s="30"/>
      <c r="AF56" s="30"/>
      <c r="AG56" s="30"/>
      <c r="AH56" s="30"/>
      <c r="AI56" s="30"/>
      <c r="AJ56" s="30"/>
    </row>
    <row r="57" spans="1:45">
      <c r="A57" s="71" t="s">
        <v>241</v>
      </c>
      <c r="B57" s="74" t="str">
        <f t="shared" si="1"/>
        <v>(USD millones)</v>
      </c>
      <c r="C57" s="75" t="s">
        <v>132</v>
      </c>
      <c r="D57" s="76" t="s">
        <v>10</v>
      </c>
      <c r="H57" s="63"/>
      <c r="I57" s="30"/>
      <c r="J57" s="30"/>
      <c r="K57" s="30"/>
      <c r="L57" s="49"/>
      <c r="M57" s="79"/>
      <c r="O57" s="35"/>
      <c r="P57" s="35"/>
      <c r="Q57" s="62"/>
      <c r="R57" s="30"/>
      <c r="S57" s="30"/>
      <c r="T57" s="30"/>
      <c r="U57" s="30"/>
      <c r="V57" s="30"/>
      <c r="W57" s="30"/>
      <c r="X57" s="30"/>
      <c r="Y57" s="30"/>
      <c r="Z57" s="63"/>
      <c r="AA57" s="30"/>
      <c r="AB57" s="30"/>
      <c r="AC57" s="30"/>
      <c r="AD57" s="30"/>
      <c r="AE57" s="30"/>
      <c r="AF57" s="30"/>
      <c r="AG57" s="30"/>
      <c r="AH57" s="30"/>
      <c r="AI57" s="30"/>
      <c r="AJ57" s="30"/>
    </row>
    <row r="58" spans="1:45">
      <c r="A58" s="71" t="s">
        <v>242</v>
      </c>
      <c r="B58" s="74" t="str">
        <f t="shared" si="1"/>
        <v>Composición interna y externa</v>
      </c>
      <c r="C58" s="75" t="s">
        <v>133</v>
      </c>
      <c r="D58" s="76" t="s">
        <v>14</v>
      </c>
      <c r="H58" s="63"/>
      <c r="I58" s="30"/>
      <c r="J58" s="30"/>
      <c r="K58" s="30"/>
      <c r="L58" s="49"/>
      <c r="M58" s="79"/>
      <c r="O58" s="35"/>
      <c r="P58" s="35"/>
      <c r="Q58" s="62"/>
      <c r="R58" s="30"/>
      <c r="S58" s="30"/>
      <c r="T58" s="30"/>
      <c r="U58" s="30"/>
      <c r="V58" s="30"/>
      <c r="W58" s="30"/>
      <c r="X58" s="30"/>
      <c r="Y58" s="30"/>
      <c r="Z58" s="63"/>
      <c r="AA58" s="30"/>
      <c r="AB58" s="30"/>
      <c r="AC58" s="30"/>
      <c r="AD58" s="30"/>
      <c r="AE58" s="30"/>
      <c r="AF58" s="30"/>
      <c r="AG58" s="30"/>
      <c r="AH58" s="30"/>
      <c r="AI58" s="30"/>
      <c r="AJ58" s="30"/>
    </row>
    <row r="59" spans="1:45">
      <c r="A59" s="71" t="s">
        <v>243</v>
      </c>
      <c r="B59" s="74" t="str">
        <f t="shared" si="1"/>
        <v>(% de deuda total)</v>
      </c>
      <c r="C59" s="75" t="s">
        <v>134</v>
      </c>
      <c r="D59" s="76" t="s">
        <v>135</v>
      </c>
      <c r="H59" s="63"/>
      <c r="I59" s="30"/>
      <c r="J59" s="30"/>
      <c r="K59" s="30"/>
      <c r="L59" s="49"/>
      <c r="M59" s="79"/>
      <c r="O59" s="35"/>
      <c r="P59" s="35"/>
      <c r="Q59" s="62"/>
      <c r="R59" s="30"/>
      <c r="S59" s="30"/>
      <c r="T59" s="30"/>
      <c r="U59" s="30"/>
      <c r="V59" s="30"/>
      <c r="W59" s="30"/>
      <c r="X59" s="30"/>
      <c r="Y59" s="30"/>
      <c r="Z59" s="63"/>
      <c r="AA59" s="30"/>
      <c r="AB59" s="30"/>
      <c r="AC59" s="30"/>
      <c r="AD59" s="30"/>
      <c r="AE59" s="30"/>
      <c r="AF59" s="30"/>
      <c r="AG59" s="30"/>
      <c r="AH59" s="30"/>
      <c r="AI59" s="30"/>
      <c r="AJ59" s="30"/>
    </row>
    <row r="60" spans="1:45">
      <c r="A60" s="71" t="s">
        <v>244</v>
      </c>
      <c r="B60" s="74" t="str">
        <f t="shared" si="1"/>
        <v>Deuda interna</v>
      </c>
      <c r="C60" s="75" t="s">
        <v>117</v>
      </c>
      <c r="D60" s="76" t="s">
        <v>21</v>
      </c>
      <c r="H60" s="63"/>
      <c r="I60" s="30"/>
      <c r="J60" s="30"/>
      <c r="K60" s="30"/>
      <c r="L60" s="49"/>
      <c r="M60" s="79"/>
      <c r="O60" s="35"/>
      <c r="P60" s="35"/>
      <c r="Q60" s="62"/>
      <c r="R60" s="30"/>
      <c r="S60" s="30"/>
      <c r="T60" s="30"/>
      <c r="U60" s="30"/>
      <c r="V60" s="30"/>
      <c r="W60" s="30"/>
      <c r="X60" s="30"/>
      <c r="Y60" s="30"/>
      <c r="Z60" s="64"/>
      <c r="AA60" s="30"/>
      <c r="AB60" s="30"/>
      <c r="AC60" s="30"/>
      <c r="AD60" s="30"/>
      <c r="AE60" s="30"/>
      <c r="AF60" s="30"/>
      <c r="AG60" s="30"/>
      <c r="AH60" s="30"/>
      <c r="AI60" s="30"/>
      <c r="AJ60" s="30"/>
    </row>
    <row r="61" spans="1:45">
      <c r="A61" s="71" t="s">
        <v>245</v>
      </c>
      <c r="B61" s="74" t="str">
        <f t="shared" si="1"/>
        <v>Deuda externa</v>
      </c>
      <c r="C61" s="75" t="s">
        <v>118</v>
      </c>
      <c r="D61" s="76" t="s">
        <v>22</v>
      </c>
      <c r="H61" s="63"/>
      <c r="I61" s="30"/>
      <c r="J61" s="30"/>
      <c r="K61" s="30"/>
      <c r="L61" s="49"/>
      <c r="M61" s="79"/>
      <c r="O61" s="35"/>
      <c r="P61" s="35"/>
      <c r="Q61" s="62"/>
      <c r="R61" s="30"/>
      <c r="S61" s="30"/>
      <c r="T61" s="30"/>
      <c r="U61" s="30"/>
      <c r="V61" s="30"/>
      <c r="W61" s="30"/>
      <c r="X61" s="30"/>
      <c r="Y61" s="30"/>
      <c r="Z61" s="64"/>
      <c r="AA61" s="30"/>
      <c r="AB61" s="30"/>
      <c r="AC61" s="30"/>
      <c r="AD61" s="30"/>
      <c r="AE61" s="30"/>
      <c r="AF61" s="30"/>
      <c r="AG61" s="30"/>
      <c r="AH61" s="30"/>
      <c r="AI61" s="30"/>
      <c r="AJ61" s="30"/>
    </row>
    <row r="62" spans="1:45">
      <c r="A62" s="71" t="s">
        <v>246</v>
      </c>
      <c r="B62" s="74" t="str">
        <f t="shared" si="1"/>
        <v>Deuda total</v>
      </c>
      <c r="C62" s="75" t="s">
        <v>119</v>
      </c>
      <c r="D62" s="76" t="s">
        <v>23</v>
      </c>
      <c r="H62" s="63"/>
      <c r="I62" s="30"/>
      <c r="J62" s="30"/>
      <c r="K62" s="30"/>
      <c r="L62" s="49"/>
      <c r="M62" s="79"/>
      <c r="O62" s="35"/>
      <c r="P62" s="35"/>
      <c r="Q62" s="62"/>
      <c r="R62" s="30"/>
      <c r="S62" s="30"/>
      <c r="T62" s="30"/>
      <c r="U62" s="30"/>
      <c r="V62" s="30"/>
      <c r="W62" s="30"/>
      <c r="X62" s="30"/>
      <c r="Y62" s="30"/>
      <c r="Z62" s="63"/>
      <c r="AA62" s="30"/>
      <c r="AB62" s="30"/>
      <c r="AC62" s="30"/>
      <c r="AD62" s="30"/>
      <c r="AE62" s="30"/>
      <c r="AF62" s="30"/>
      <c r="AG62" s="30"/>
      <c r="AH62" s="30"/>
      <c r="AI62" s="30"/>
      <c r="AJ62" s="30"/>
    </row>
    <row r="63" spans="1:45">
      <c r="A63" s="71" t="s">
        <v>139</v>
      </c>
      <c r="B63" s="74" t="str">
        <f t="shared" si="1"/>
        <v>Gráfica en COP</v>
      </c>
      <c r="C63" s="75" t="s">
        <v>137</v>
      </c>
      <c r="D63" s="76" t="s">
        <v>55</v>
      </c>
      <c r="H63" s="63"/>
      <c r="I63" s="30"/>
      <c r="J63" s="30"/>
      <c r="K63" s="30"/>
      <c r="L63" s="49"/>
      <c r="M63" s="79"/>
      <c r="O63" s="35"/>
      <c r="P63" s="35"/>
      <c r="Q63" s="62"/>
      <c r="R63" s="30"/>
      <c r="S63" s="30"/>
      <c r="T63" s="30"/>
      <c r="U63" s="30"/>
      <c r="V63" s="30"/>
      <c r="W63" s="30"/>
      <c r="X63" s="30"/>
      <c r="Y63" s="30"/>
      <c r="Z63" s="34"/>
      <c r="AA63" s="30"/>
      <c r="AB63" s="30"/>
      <c r="AC63" s="30"/>
      <c r="AD63" s="30"/>
      <c r="AE63" s="30"/>
      <c r="AF63" s="30"/>
      <c r="AG63" s="30"/>
      <c r="AH63" s="30"/>
      <c r="AI63" s="30"/>
      <c r="AJ63" s="30"/>
    </row>
    <row r="64" spans="1:45">
      <c r="A64" s="71" t="s">
        <v>139</v>
      </c>
      <c r="B64" s="74" t="str">
        <f t="shared" si="1"/>
        <v>Gráfica en USD</v>
      </c>
      <c r="C64" s="75" t="s">
        <v>138</v>
      </c>
      <c r="D64" s="76" t="s">
        <v>53</v>
      </c>
      <c r="H64" s="63"/>
      <c r="I64" s="30"/>
      <c r="J64" s="30"/>
      <c r="K64" s="30"/>
      <c r="L64" s="49"/>
      <c r="M64" s="79"/>
      <c r="O64" s="35"/>
      <c r="P64" s="35"/>
      <c r="Q64" s="62"/>
      <c r="R64" s="30"/>
      <c r="S64" s="30"/>
      <c r="T64" s="30"/>
      <c r="U64" s="30"/>
      <c r="V64" s="30"/>
      <c r="W64" s="30"/>
      <c r="X64" s="30"/>
      <c r="Y64" s="30"/>
      <c r="Z64" s="34"/>
      <c r="AA64" s="30"/>
      <c r="AB64" s="30"/>
      <c r="AC64" s="30"/>
      <c r="AD64" s="30"/>
      <c r="AE64" s="30"/>
      <c r="AF64" s="30"/>
      <c r="AG64" s="30"/>
      <c r="AH64" s="30"/>
      <c r="AI64" s="30"/>
      <c r="AJ64" s="30"/>
    </row>
    <row r="65" spans="1:36">
      <c r="A65" s="71" t="s">
        <v>247</v>
      </c>
      <c r="B65" s="74" t="str">
        <f t="shared" si="1"/>
        <v>Composición por fuente - deuda interna</v>
      </c>
      <c r="C65" s="75" t="s">
        <v>140</v>
      </c>
      <c r="D65" s="76" t="s">
        <v>30</v>
      </c>
      <c r="H65" s="63"/>
      <c r="I65" s="30"/>
      <c r="J65" s="30"/>
      <c r="K65" s="30"/>
      <c r="L65" s="49"/>
      <c r="M65" s="79"/>
      <c r="O65" s="35"/>
      <c r="P65" s="35"/>
      <c r="Q65" s="62"/>
      <c r="R65" s="30"/>
      <c r="S65" s="30"/>
      <c r="T65" s="30"/>
      <c r="U65" s="30"/>
      <c r="V65" s="30"/>
      <c r="W65" s="30"/>
      <c r="X65" s="30"/>
      <c r="Y65" s="30"/>
      <c r="Z65" s="64"/>
      <c r="AA65" s="30"/>
      <c r="AB65" s="30"/>
      <c r="AC65" s="30"/>
      <c r="AD65" s="30"/>
      <c r="AE65" s="30"/>
      <c r="AF65" s="30"/>
      <c r="AG65" s="30"/>
      <c r="AH65" s="30"/>
      <c r="AI65" s="30"/>
      <c r="AJ65" s="30"/>
    </row>
    <row r="66" spans="1:36">
      <c r="A66" s="71" t="s">
        <v>248</v>
      </c>
      <c r="B66" s="74" t="str">
        <f t="shared" si="1"/>
        <v>(% de deuda interna)</v>
      </c>
      <c r="C66" s="75" t="s">
        <v>141</v>
      </c>
      <c r="D66" s="76" t="s">
        <v>142</v>
      </c>
      <c r="H66" s="63"/>
      <c r="I66" s="30"/>
      <c r="J66" s="30"/>
      <c r="K66" s="30"/>
      <c r="L66" s="49"/>
      <c r="M66" s="79"/>
      <c r="O66" s="35"/>
      <c r="P66" s="35"/>
      <c r="Q66" s="62"/>
      <c r="R66" s="30"/>
      <c r="S66" s="30"/>
      <c r="T66" s="30"/>
      <c r="U66" s="30"/>
      <c r="V66" s="30"/>
      <c r="W66" s="30"/>
      <c r="X66" s="30"/>
      <c r="Y66" s="30"/>
      <c r="Z66" s="64"/>
      <c r="AA66" s="30"/>
      <c r="AB66" s="30"/>
      <c r="AC66" s="30"/>
      <c r="AD66" s="30"/>
      <c r="AE66" s="30"/>
      <c r="AF66" s="30"/>
      <c r="AG66" s="30"/>
      <c r="AH66" s="30"/>
      <c r="AI66" s="30"/>
      <c r="AJ66" s="30"/>
    </row>
    <row r="67" spans="1:36">
      <c r="A67" s="71" t="s">
        <v>249</v>
      </c>
      <c r="B67" s="74" t="str">
        <f t="shared" si="1"/>
        <v>TES</v>
      </c>
      <c r="C67" s="75" t="s">
        <v>0</v>
      </c>
      <c r="D67" s="76" t="s">
        <v>0</v>
      </c>
      <c r="H67" s="63"/>
      <c r="I67" s="30"/>
      <c r="J67" s="30"/>
      <c r="K67" s="30"/>
      <c r="L67" s="49"/>
      <c r="M67" s="79"/>
      <c r="O67" s="35"/>
      <c r="P67" s="35"/>
      <c r="Q67" s="62"/>
      <c r="R67" s="30"/>
      <c r="S67" s="30"/>
      <c r="T67" s="30"/>
      <c r="U67" s="30"/>
      <c r="V67" s="30"/>
      <c r="W67" s="30"/>
      <c r="X67" s="30"/>
      <c r="Y67" s="30"/>
      <c r="Z67" s="63"/>
      <c r="AA67" s="30"/>
      <c r="AB67" s="30"/>
      <c r="AC67" s="30"/>
      <c r="AD67" s="30"/>
      <c r="AE67" s="30"/>
      <c r="AF67" s="30"/>
      <c r="AG67" s="30"/>
      <c r="AH67" s="30"/>
      <c r="AI67" s="30"/>
      <c r="AJ67" s="30"/>
    </row>
    <row r="68" spans="1:36">
      <c r="A68" s="71" t="s">
        <v>250</v>
      </c>
      <c r="B68" s="74" t="str">
        <f t="shared" si="1"/>
        <v>Bonos Fogafin</v>
      </c>
      <c r="C68" s="75" t="s">
        <v>147</v>
      </c>
      <c r="D68" s="76" t="s">
        <v>3</v>
      </c>
      <c r="H68" s="63"/>
      <c r="I68" s="30"/>
      <c r="J68" s="30"/>
      <c r="K68" s="30"/>
      <c r="L68" s="49"/>
      <c r="M68" s="79"/>
      <c r="O68" s="35"/>
      <c r="P68" s="35"/>
      <c r="Q68" s="62"/>
      <c r="R68" s="30"/>
      <c r="S68" s="30"/>
      <c r="T68" s="30"/>
      <c r="U68" s="30"/>
      <c r="V68" s="30"/>
      <c r="W68" s="30"/>
      <c r="X68" s="30"/>
      <c r="Y68" s="30"/>
      <c r="Z68" s="63"/>
      <c r="AA68" s="30"/>
      <c r="AB68" s="30"/>
      <c r="AC68" s="30"/>
      <c r="AD68" s="30"/>
      <c r="AE68" s="30"/>
      <c r="AF68" s="30"/>
      <c r="AG68" s="30"/>
      <c r="AH68" s="30"/>
      <c r="AI68" s="30"/>
      <c r="AJ68" s="30"/>
    </row>
    <row r="69" spans="1:36">
      <c r="A69" s="71" t="s">
        <v>251</v>
      </c>
      <c r="B69" s="74" t="str">
        <f t="shared" si="1"/>
        <v xml:space="preserve">Bonos Ley 546/99 </v>
      </c>
      <c r="C69" s="75" t="s">
        <v>143</v>
      </c>
      <c r="D69" s="76" t="s">
        <v>31</v>
      </c>
      <c r="H69" s="63"/>
      <c r="I69" s="30"/>
      <c r="J69" s="30"/>
      <c r="K69" s="30"/>
      <c r="L69" s="49"/>
      <c r="M69" s="79"/>
      <c r="O69" s="35"/>
      <c r="P69" s="35"/>
      <c r="Q69" s="62"/>
      <c r="R69" s="35"/>
      <c r="S69" s="35"/>
      <c r="T69" s="35"/>
      <c r="U69" s="35"/>
      <c r="V69" s="35"/>
      <c r="W69" s="35"/>
      <c r="X69" s="35"/>
      <c r="Y69" s="35"/>
      <c r="Z69" s="34"/>
      <c r="AA69" s="30"/>
      <c r="AB69" s="30"/>
      <c r="AC69" s="30"/>
      <c r="AD69" s="30"/>
      <c r="AE69" s="30"/>
      <c r="AF69" s="30"/>
      <c r="AG69" s="30"/>
      <c r="AH69" s="30"/>
      <c r="AI69" s="30"/>
      <c r="AJ69" s="30"/>
    </row>
    <row r="70" spans="1:36">
      <c r="A70" s="71" t="s">
        <v>252</v>
      </c>
      <c r="B70" s="74" t="str">
        <f t="shared" si="1"/>
        <v>Títulos de reducción de deuda</v>
      </c>
      <c r="C70" s="75" t="s">
        <v>144</v>
      </c>
      <c r="D70" s="76" t="s">
        <v>154</v>
      </c>
      <c r="F70" s="29"/>
      <c r="G70" s="29"/>
      <c r="H70" s="63"/>
      <c r="I70" s="30"/>
      <c r="J70" s="30"/>
      <c r="K70" s="30"/>
      <c r="L70" s="49"/>
      <c r="M70" s="79"/>
      <c r="O70" s="35"/>
      <c r="P70" s="35"/>
      <c r="Q70" s="62"/>
      <c r="R70" s="35"/>
      <c r="S70" s="35"/>
      <c r="T70" s="35"/>
      <c r="U70" s="35"/>
      <c r="V70" s="35"/>
      <c r="W70" s="35"/>
      <c r="X70" s="35"/>
      <c r="Y70" s="35"/>
      <c r="Z70" s="66"/>
      <c r="AA70" s="30"/>
      <c r="AB70" s="30"/>
      <c r="AC70" s="30"/>
      <c r="AD70" s="30"/>
      <c r="AE70" s="30"/>
      <c r="AF70" s="30"/>
      <c r="AG70" s="30"/>
      <c r="AH70" s="30"/>
      <c r="AI70" s="30"/>
      <c r="AJ70" s="30"/>
    </row>
    <row r="71" spans="1:36">
      <c r="A71" s="71" t="s">
        <v>253</v>
      </c>
      <c r="B71" s="74" t="str">
        <f t="shared" si="1"/>
        <v>Bonos agrarios</v>
      </c>
      <c r="C71" s="75" t="s">
        <v>148</v>
      </c>
      <c r="D71" s="76" t="s">
        <v>152</v>
      </c>
      <c r="F71" s="29"/>
      <c r="G71" s="29"/>
      <c r="H71" s="63"/>
      <c r="I71" s="30"/>
      <c r="J71" s="30"/>
      <c r="K71" s="30"/>
      <c r="L71" s="49"/>
      <c r="M71" s="79"/>
      <c r="O71" s="35"/>
      <c r="P71" s="35"/>
      <c r="Q71" s="62"/>
      <c r="R71" s="35"/>
      <c r="S71" s="35"/>
      <c r="T71" s="35"/>
      <c r="U71" s="35"/>
      <c r="V71" s="35"/>
      <c r="W71" s="35"/>
      <c r="X71" s="35"/>
      <c r="Y71" s="35"/>
      <c r="Z71" s="66"/>
      <c r="AA71" s="30"/>
      <c r="AB71" s="30"/>
      <c r="AC71" s="30"/>
      <c r="AD71" s="30"/>
      <c r="AE71" s="30"/>
      <c r="AF71" s="30"/>
      <c r="AG71" s="30"/>
      <c r="AH71" s="30"/>
      <c r="AI71" s="30"/>
      <c r="AJ71" s="30"/>
    </row>
    <row r="72" spans="1:36">
      <c r="A72" s="71" t="s">
        <v>254</v>
      </c>
      <c r="B72" s="74" t="str">
        <f t="shared" si="1"/>
        <v>Bonos de paz</v>
      </c>
      <c r="C72" s="75" t="s">
        <v>149</v>
      </c>
      <c r="D72" s="76" t="s">
        <v>97</v>
      </c>
      <c r="F72" s="29"/>
      <c r="G72" s="29"/>
      <c r="H72" s="63"/>
      <c r="I72" s="30"/>
      <c r="J72" s="30"/>
      <c r="K72" s="30"/>
      <c r="L72" s="49"/>
      <c r="M72" s="79"/>
      <c r="O72" s="35"/>
      <c r="P72" s="35"/>
      <c r="Q72" s="62"/>
      <c r="R72" s="35"/>
      <c r="S72" s="35"/>
      <c r="T72" s="35"/>
      <c r="U72" s="35"/>
      <c r="V72" s="35"/>
      <c r="W72" s="35"/>
      <c r="X72" s="35"/>
      <c r="Y72" s="35"/>
      <c r="Z72" s="66"/>
      <c r="AA72" s="30"/>
      <c r="AB72" s="30"/>
      <c r="AC72" s="30"/>
      <c r="AD72" s="30"/>
      <c r="AE72" s="30"/>
      <c r="AF72" s="30"/>
      <c r="AG72" s="30"/>
      <c r="AH72" s="30"/>
      <c r="AI72" s="30"/>
      <c r="AJ72" s="30"/>
    </row>
    <row r="73" spans="1:36">
      <c r="A73" s="71" t="s">
        <v>255</v>
      </c>
      <c r="B73" s="74" t="str">
        <f t="shared" si="1"/>
        <v>Bono de seguridad</v>
      </c>
      <c r="C73" s="75" t="s">
        <v>150</v>
      </c>
      <c r="D73" s="76" t="s">
        <v>153</v>
      </c>
      <c r="F73" s="29"/>
      <c r="G73" s="29"/>
      <c r="H73" s="63"/>
      <c r="I73" s="30"/>
      <c r="J73" s="30"/>
      <c r="K73" s="30"/>
      <c r="L73" s="49"/>
      <c r="O73" s="35"/>
      <c r="P73" s="35"/>
      <c r="Q73" s="62"/>
      <c r="R73" s="35"/>
      <c r="S73" s="35"/>
      <c r="T73" s="35"/>
      <c r="U73" s="35"/>
      <c r="V73" s="35"/>
      <c r="W73" s="35"/>
      <c r="X73" s="35"/>
      <c r="Y73" s="35"/>
      <c r="Z73" s="66"/>
      <c r="AA73" s="30"/>
      <c r="AB73" s="30"/>
      <c r="AC73" s="30"/>
      <c r="AD73" s="30"/>
      <c r="AE73" s="30"/>
      <c r="AF73" s="30"/>
      <c r="AG73" s="30"/>
      <c r="AH73" s="30"/>
      <c r="AI73" s="30"/>
      <c r="AJ73" s="30"/>
    </row>
    <row r="74" spans="1:36">
      <c r="A74" s="71" t="s">
        <v>256</v>
      </c>
      <c r="B74" s="74" t="str">
        <f t="shared" si="1"/>
        <v>Otros</v>
      </c>
      <c r="C74" s="75" t="s">
        <v>100</v>
      </c>
      <c r="D74" s="76" t="s">
        <v>32</v>
      </c>
      <c r="F74" s="29"/>
      <c r="G74" s="29"/>
      <c r="H74" s="63"/>
      <c r="I74" s="30"/>
      <c r="J74" s="30"/>
      <c r="K74" s="30"/>
      <c r="O74" s="35"/>
      <c r="P74" s="35"/>
      <c r="Q74" s="62"/>
      <c r="R74" s="35"/>
      <c r="S74" s="35"/>
      <c r="T74" s="35"/>
      <c r="U74" s="35"/>
      <c r="V74" s="35"/>
      <c r="W74" s="35"/>
      <c r="X74" s="35"/>
      <c r="Y74" s="35"/>
      <c r="Z74" s="66"/>
      <c r="AA74" s="30"/>
      <c r="AB74" s="30"/>
      <c r="AC74" s="30"/>
      <c r="AD74" s="30"/>
      <c r="AE74" s="30"/>
      <c r="AF74" s="30"/>
      <c r="AG74" s="30"/>
      <c r="AH74" s="30"/>
      <c r="AI74" s="30"/>
      <c r="AJ74" s="30"/>
    </row>
    <row r="75" spans="1:36">
      <c r="A75" s="71" t="s">
        <v>368</v>
      </c>
      <c r="B75" s="74" t="str">
        <f>INDEX(C75:D75,1,$G$1)</f>
        <v>Titulos de Tesorería</v>
      </c>
      <c r="C75" s="75" t="s">
        <v>369</v>
      </c>
      <c r="D75" s="76" t="s">
        <v>389</v>
      </c>
      <c r="F75" s="29"/>
      <c r="G75" s="29"/>
      <c r="H75" s="63"/>
      <c r="I75" s="30"/>
      <c r="J75" s="30"/>
      <c r="K75" s="30"/>
      <c r="O75" s="35"/>
      <c r="P75" s="35"/>
      <c r="Q75" s="62"/>
      <c r="R75" s="35"/>
      <c r="S75" s="35"/>
      <c r="T75" s="35"/>
      <c r="U75" s="35"/>
      <c r="V75" s="35"/>
      <c r="W75" s="35"/>
      <c r="X75" s="35"/>
      <c r="Y75" s="35"/>
      <c r="Z75" s="66"/>
      <c r="AA75" s="30"/>
      <c r="AB75" s="30"/>
      <c r="AC75" s="30"/>
      <c r="AD75" s="30"/>
      <c r="AE75" s="30"/>
      <c r="AF75" s="30"/>
      <c r="AG75" s="30"/>
      <c r="AH75" s="30"/>
      <c r="AI75" s="30"/>
      <c r="AJ75" s="30"/>
    </row>
    <row r="76" spans="1:36">
      <c r="A76" s="71" t="s">
        <v>257</v>
      </c>
      <c r="B76" s="74" t="str">
        <f t="shared" si="1"/>
        <v>Composición por fuente - deuda total</v>
      </c>
      <c r="C76" s="75" t="s">
        <v>157</v>
      </c>
      <c r="D76" s="76" t="s">
        <v>13</v>
      </c>
      <c r="F76" s="29"/>
      <c r="G76" s="29"/>
      <c r="H76" s="63"/>
      <c r="I76" s="30"/>
      <c r="J76" s="30"/>
      <c r="K76" s="30"/>
      <c r="P76" s="30"/>
      <c r="Q76" s="31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</row>
    <row r="77" spans="1:36">
      <c r="A77" s="71" t="s">
        <v>258</v>
      </c>
      <c r="B77" s="74" t="str">
        <f t="shared" si="1"/>
        <v>(% de deuda total)</v>
      </c>
      <c r="C77" s="75" t="s">
        <v>134</v>
      </c>
      <c r="D77" s="76" t="s">
        <v>135</v>
      </c>
      <c r="F77" s="29"/>
      <c r="G77" s="29"/>
      <c r="H77" s="63"/>
      <c r="I77" s="30"/>
      <c r="J77" s="30"/>
      <c r="K77" s="30"/>
      <c r="O77" s="35"/>
      <c r="P77" s="35"/>
      <c r="Q77" s="62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</row>
    <row r="78" spans="1:36">
      <c r="A78" s="71" t="s">
        <v>259</v>
      </c>
      <c r="B78" s="74" t="str">
        <f t="shared" si="1"/>
        <v>TES</v>
      </c>
      <c r="C78" s="75" t="s">
        <v>0</v>
      </c>
      <c r="D78" s="76" t="s">
        <v>0</v>
      </c>
      <c r="F78" s="29"/>
      <c r="G78" s="29"/>
      <c r="H78" s="63"/>
      <c r="I78" s="30"/>
      <c r="J78" s="30"/>
      <c r="K78" s="30"/>
      <c r="O78" s="35"/>
      <c r="P78" s="35"/>
      <c r="Q78" s="62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</row>
    <row r="79" spans="1:36">
      <c r="A79" s="71" t="s">
        <v>260</v>
      </c>
      <c r="B79" s="74" t="str">
        <f t="shared" si="1"/>
        <v>Bonos externos</v>
      </c>
      <c r="C79" s="75" t="s">
        <v>145</v>
      </c>
      <c r="D79" s="76" t="s">
        <v>94</v>
      </c>
      <c r="F79" s="29"/>
      <c r="G79" s="29"/>
      <c r="H79" s="63"/>
      <c r="I79" s="30"/>
      <c r="J79" s="30"/>
      <c r="K79" s="30"/>
      <c r="O79" s="35"/>
      <c r="P79" s="35"/>
      <c r="Q79" s="62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</row>
    <row r="80" spans="1:36">
      <c r="A80" s="71" t="s">
        <v>261</v>
      </c>
      <c r="B80" s="74" t="str">
        <f t="shared" si="1"/>
        <v xml:space="preserve">BID                            </v>
      </c>
      <c r="C80" s="75" t="s">
        <v>95</v>
      </c>
      <c r="D80" s="76" t="s">
        <v>1</v>
      </c>
      <c r="F80" s="29"/>
      <c r="G80" s="29"/>
      <c r="H80" s="30"/>
      <c r="I80" s="30"/>
      <c r="J80" s="30"/>
      <c r="K80" s="30"/>
      <c r="O80" s="35"/>
      <c r="P80" s="35"/>
      <c r="Q80" s="62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</row>
    <row r="81" spans="1:43">
      <c r="A81" s="71" t="s">
        <v>262</v>
      </c>
      <c r="B81" s="74" t="str">
        <f t="shared" si="1"/>
        <v>Bonos Fogafin</v>
      </c>
      <c r="C81" s="75" t="s">
        <v>147</v>
      </c>
      <c r="D81" s="76" t="s">
        <v>3</v>
      </c>
      <c r="F81" s="29"/>
      <c r="G81" s="29"/>
      <c r="H81" s="63"/>
      <c r="I81" s="30"/>
      <c r="J81" s="30"/>
      <c r="K81" s="30"/>
      <c r="L81" s="49"/>
      <c r="O81" s="35"/>
      <c r="P81" s="35"/>
      <c r="Q81" s="62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</row>
    <row r="82" spans="1:43">
      <c r="A82" s="71" t="s">
        <v>263</v>
      </c>
      <c r="B82" s="74" t="str">
        <f t="shared" si="1"/>
        <v xml:space="preserve">BIRF                          </v>
      </c>
      <c r="C82" s="75" t="s">
        <v>96</v>
      </c>
      <c r="D82" s="76" t="s">
        <v>2</v>
      </c>
      <c r="F82" s="29"/>
      <c r="G82" s="29"/>
      <c r="H82" s="30"/>
      <c r="I82" s="30"/>
      <c r="J82" s="30"/>
      <c r="K82" s="30"/>
      <c r="L82" s="49"/>
      <c r="P82" s="30"/>
      <c r="Q82" s="31"/>
      <c r="R82" s="61"/>
      <c r="S82" s="61"/>
      <c r="T82" s="61"/>
      <c r="U82" s="61"/>
      <c r="V82" s="61"/>
      <c r="W82" s="61"/>
      <c r="X82" s="61"/>
      <c r="Y82" s="61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</row>
    <row r="83" spans="1:43">
      <c r="A83" s="71" t="s">
        <v>264</v>
      </c>
      <c r="B83" s="74" t="str">
        <f t="shared" si="1"/>
        <v xml:space="preserve">Créditos comerciales       </v>
      </c>
      <c r="C83" s="75" t="s">
        <v>146</v>
      </c>
      <c r="D83" s="76" t="s">
        <v>20</v>
      </c>
      <c r="F83" s="29"/>
      <c r="G83" s="29"/>
      <c r="H83" s="63"/>
      <c r="I83" s="30"/>
      <c r="J83" s="30"/>
      <c r="K83" s="30"/>
      <c r="L83" s="49"/>
      <c r="P83" s="30"/>
      <c r="Q83" s="31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</row>
    <row r="84" spans="1:43">
      <c r="A84" s="71" t="s">
        <v>265</v>
      </c>
      <c r="B84" s="74" t="str">
        <f t="shared" si="1"/>
        <v>Bonos Ley 546</v>
      </c>
      <c r="C84" s="75" t="s">
        <v>151</v>
      </c>
      <c r="D84" s="76" t="s">
        <v>374</v>
      </c>
      <c r="F84" s="29"/>
      <c r="G84" s="29"/>
      <c r="H84" s="30"/>
      <c r="I84" s="30"/>
      <c r="J84" s="30"/>
      <c r="K84" s="30"/>
      <c r="L84" s="49"/>
      <c r="O84" s="35"/>
      <c r="P84" s="35"/>
      <c r="Q84" s="62"/>
      <c r="R84" s="30"/>
      <c r="S84" s="30"/>
      <c r="T84" s="30"/>
      <c r="U84" s="30"/>
      <c r="V84" s="30"/>
      <c r="W84" s="30"/>
      <c r="X84" s="30"/>
      <c r="Y84" s="30"/>
      <c r="Z84" s="63"/>
      <c r="AA84" s="30"/>
      <c r="AB84" s="30"/>
      <c r="AC84" s="30"/>
      <c r="AD84" s="30"/>
      <c r="AE84" s="30"/>
      <c r="AF84" s="30"/>
      <c r="AG84" s="30"/>
      <c r="AH84" s="30"/>
      <c r="AI84" s="30"/>
      <c r="AJ84" s="30"/>
    </row>
    <row r="85" spans="1:43">
      <c r="A85" s="71" t="s">
        <v>266</v>
      </c>
      <c r="B85" s="74" t="str">
        <f t="shared" si="1"/>
        <v>CAF</v>
      </c>
      <c r="C85" s="75" t="s">
        <v>370</v>
      </c>
      <c r="D85" s="76" t="s">
        <v>370</v>
      </c>
      <c r="F85" s="29"/>
      <c r="G85" s="29"/>
      <c r="H85" s="63"/>
      <c r="I85" s="30"/>
      <c r="J85" s="30"/>
      <c r="K85" s="30"/>
      <c r="L85" s="49"/>
      <c r="O85" s="35"/>
      <c r="P85" s="35"/>
      <c r="Q85" s="62"/>
      <c r="R85" s="30"/>
      <c r="S85" s="30"/>
      <c r="T85" s="30"/>
      <c r="U85" s="30"/>
      <c r="V85" s="30"/>
      <c r="W85" s="30"/>
      <c r="X85" s="30"/>
      <c r="Y85" s="30"/>
      <c r="Z85" s="63"/>
      <c r="AA85" s="30"/>
      <c r="AB85" s="30"/>
      <c r="AC85" s="30"/>
      <c r="AD85" s="30"/>
      <c r="AE85" s="30"/>
      <c r="AF85" s="30"/>
      <c r="AG85" s="30"/>
      <c r="AH85" s="30"/>
      <c r="AI85" s="30"/>
      <c r="AJ85" s="30"/>
    </row>
    <row r="86" spans="1:43">
      <c r="A86" s="71" t="s">
        <v>267</v>
      </c>
      <c r="B86" s="74" t="str">
        <f t="shared" si="1"/>
        <v>Bonos Agrarios</v>
      </c>
      <c r="C86" s="75" t="s">
        <v>148</v>
      </c>
      <c r="D86" s="76" t="s">
        <v>375</v>
      </c>
      <c r="F86" s="29"/>
      <c r="G86" s="29"/>
      <c r="H86" s="30"/>
      <c r="I86" s="30"/>
      <c r="J86" s="30"/>
      <c r="K86" s="30"/>
      <c r="O86" s="35"/>
      <c r="P86" s="35"/>
      <c r="Q86" s="62"/>
      <c r="R86" s="30"/>
      <c r="S86" s="30"/>
      <c r="T86" s="30"/>
      <c r="U86" s="30"/>
      <c r="V86" s="30"/>
      <c r="W86" s="30"/>
      <c r="X86" s="30"/>
      <c r="Y86" s="30"/>
      <c r="Z86" s="63"/>
      <c r="AA86" s="30"/>
      <c r="AB86" s="30"/>
      <c r="AC86" s="30"/>
      <c r="AD86" s="30"/>
      <c r="AE86" s="30"/>
      <c r="AF86" s="30"/>
      <c r="AG86" s="30"/>
      <c r="AH86" s="30"/>
      <c r="AI86" s="30"/>
      <c r="AJ86" s="30"/>
    </row>
    <row r="87" spans="1:43">
      <c r="A87" s="71" t="s">
        <v>268</v>
      </c>
      <c r="B87" s="74" t="str">
        <f t="shared" si="1"/>
        <v>Bonos de Paz</v>
      </c>
      <c r="C87" s="75" t="s">
        <v>149</v>
      </c>
      <c r="D87" s="76" t="s">
        <v>376</v>
      </c>
      <c r="F87" s="29"/>
      <c r="G87" s="29"/>
      <c r="H87" s="63"/>
      <c r="I87" s="30"/>
      <c r="J87" s="30"/>
      <c r="K87" s="30"/>
      <c r="O87" s="35"/>
      <c r="P87" s="35"/>
      <c r="Q87" s="62"/>
      <c r="R87" s="30"/>
      <c r="S87" s="30"/>
      <c r="T87" s="30"/>
      <c r="U87" s="30"/>
      <c r="V87" s="30"/>
      <c r="W87" s="30"/>
      <c r="X87" s="30"/>
      <c r="Y87" s="30"/>
      <c r="Z87" s="63"/>
      <c r="AA87" s="30"/>
      <c r="AB87" s="30"/>
      <c r="AC87" s="30"/>
      <c r="AD87" s="30"/>
      <c r="AE87" s="30"/>
      <c r="AF87" s="30"/>
      <c r="AG87" s="30"/>
      <c r="AH87" s="30"/>
      <c r="AI87" s="30"/>
      <c r="AJ87" s="30"/>
    </row>
    <row r="88" spans="1:43">
      <c r="A88" s="71" t="s">
        <v>269</v>
      </c>
      <c r="B88" s="74" t="str">
        <f t="shared" ref="B88:B119" si="2">INDEX(C88:D88,1,$G$1)</f>
        <v>Títulos de reducción de deuda</v>
      </c>
      <c r="C88" s="75" t="s">
        <v>144</v>
      </c>
      <c r="D88" s="76" t="s">
        <v>154</v>
      </c>
      <c r="F88" s="29"/>
      <c r="G88" s="29"/>
      <c r="H88" s="30"/>
      <c r="I88" s="30"/>
      <c r="J88" s="30"/>
      <c r="K88" s="30"/>
      <c r="L88" s="49"/>
      <c r="O88" s="35"/>
      <c r="P88" s="35"/>
      <c r="Q88" s="62"/>
      <c r="R88" s="30"/>
      <c r="S88" s="30"/>
      <c r="T88" s="30"/>
      <c r="U88" s="30"/>
      <c r="V88" s="30"/>
      <c r="W88" s="30"/>
      <c r="X88" s="30"/>
      <c r="Y88" s="30"/>
      <c r="Z88" s="63"/>
      <c r="AA88" s="30"/>
      <c r="AB88" s="30"/>
      <c r="AC88" s="30"/>
      <c r="AD88" s="30"/>
      <c r="AE88" s="30"/>
      <c r="AF88" s="30"/>
      <c r="AG88" s="30"/>
      <c r="AH88" s="30"/>
      <c r="AI88" s="30"/>
      <c r="AJ88" s="30"/>
    </row>
    <row r="89" spans="1:43">
      <c r="A89" s="71" t="s">
        <v>270</v>
      </c>
      <c r="B89" s="74" t="str">
        <f t="shared" si="2"/>
        <v>Otros - deuda interna</v>
      </c>
      <c r="C89" s="75" t="s">
        <v>371</v>
      </c>
      <c r="D89" s="76" t="s">
        <v>377</v>
      </c>
      <c r="F89" s="29"/>
      <c r="G89" s="29"/>
      <c r="H89" s="63"/>
      <c r="I89" s="30"/>
      <c r="J89" s="30"/>
      <c r="K89" s="30"/>
      <c r="L89" s="49"/>
      <c r="P89" s="30"/>
      <c r="Q89" s="31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</row>
    <row r="90" spans="1:43">
      <c r="A90" s="71" t="s">
        <v>271</v>
      </c>
      <c r="B90" s="74" t="str">
        <f t="shared" si="2"/>
        <v>Otros - deuda externa</v>
      </c>
      <c r="C90" s="75" t="s">
        <v>372</v>
      </c>
      <c r="D90" s="76" t="s">
        <v>373</v>
      </c>
      <c r="F90" s="29"/>
      <c r="G90" s="29"/>
      <c r="H90" s="30"/>
      <c r="I90" s="30"/>
      <c r="J90" s="30"/>
      <c r="K90" s="30"/>
      <c r="L90" s="49"/>
      <c r="P90" s="30"/>
      <c r="Q90" s="31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</row>
    <row r="91" spans="1:43" s="29" customFormat="1">
      <c r="A91" s="71" t="s">
        <v>272</v>
      </c>
      <c r="B91" s="74" t="str">
        <f t="shared" si="2"/>
        <v>*Consolidado a 'Otros' en la gráfica</v>
      </c>
      <c r="C91" s="75" t="s">
        <v>156</v>
      </c>
      <c r="D91" s="76" t="s">
        <v>155</v>
      </c>
      <c r="E91" s="31"/>
      <c r="H91" s="63"/>
      <c r="I91" s="30"/>
      <c r="J91" s="30"/>
      <c r="K91" s="30"/>
      <c r="L91" s="49"/>
      <c r="M91" s="32"/>
      <c r="N91" s="31"/>
      <c r="O91" s="30"/>
      <c r="P91" s="30"/>
      <c r="Q91" s="31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2"/>
      <c r="AL91" s="32"/>
      <c r="AM91" s="32"/>
      <c r="AN91" s="32"/>
      <c r="AO91" s="32"/>
      <c r="AP91" s="32"/>
      <c r="AQ91" s="32"/>
    </row>
    <row r="92" spans="1:43" s="29" customFormat="1">
      <c r="A92" s="77" t="s">
        <v>139</v>
      </c>
      <c r="B92" s="74" t="str">
        <f t="shared" si="2"/>
        <v>Otros*</v>
      </c>
      <c r="C92" s="75" t="s">
        <v>102</v>
      </c>
      <c r="D92" s="76" t="s">
        <v>54</v>
      </c>
      <c r="E92" s="31"/>
      <c r="H92" s="30"/>
      <c r="I92" s="30"/>
      <c r="J92" s="30"/>
      <c r="K92" s="30"/>
      <c r="L92" s="49"/>
      <c r="M92" s="32"/>
      <c r="N92" s="31"/>
      <c r="O92" s="30"/>
      <c r="P92" s="30"/>
      <c r="Q92" s="31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2"/>
      <c r="AL92" s="32"/>
      <c r="AM92" s="32"/>
      <c r="AN92" s="32"/>
      <c r="AO92" s="32"/>
      <c r="AP92" s="32"/>
      <c r="AQ92" s="32"/>
    </row>
    <row r="93" spans="1:43" s="29" customFormat="1">
      <c r="A93" s="71" t="s">
        <v>273</v>
      </c>
      <c r="B93" s="74" t="str">
        <f t="shared" si="2"/>
        <v>Composición por tipo de interés - deuda interna</v>
      </c>
      <c r="C93" s="75" t="s">
        <v>160</v>
      </c>
      <c r="D93" s="76" t="s">
        <v>34</v>
      </c>
      <c r="E93" s="31"/>
      <c r="H93" s="63"/>
      <c r="J93" s="31"/>
      <c r="K93" s="32"/>
      <c r="L93" s="31"/>
      <c r="M93" s="32"/>
      <c r="N93" s="31"/>
      <c r="O93" s="30"/>
      <c r="P93" s="65"/>
      <c r="Q93" s="30"/>
      <c r="R93" s="32"/>
    </row>
    <row r="94" spans="1:43" s="29" customFormat="1">
      <c r="A94" s="71" t="s">
        <v>274</v>
      </c>
      <c r="B94" s="74" t="str">
        <f t="shared" si="2"/>
        <v>(% de deuda interna)</v>
      </c>
      <c r="C94" s="75" t="s">
        <v>141</v>
      </c>
      <c r="D94" s="76" t="s">
        <v>142</v>
      </c>
      <c r="E94" s="31"/>
      <c r="H94" s="30"/>
      <c r="J94" s="31"/>
      <c r="K94" s="32"/>
      <c r="L94" s="31"/>
      <c r="M94" s="32"/>
      <c r="N94" s="31"/>
      <c r="O94" s="30"/>
      <c r="P94" s="65"/>
      <c r="Q94" s="30"/>
      <c r="R94" s="32"/>
    </row>
    <row r="95" spans="1:43" s="29" customFormat="1">
      <c r="A95" s="71" t="s">
        <v>275</v>
      </c>
      <c r="B95" s="74" t="str">
        <f t="shared" si="2"/>
        <v>COP fija</v>
      </c>
      <c r="C95" s="75" t="s">
        <v>98</v>
      </c>
      <c r="D95" s="76" t="s">
        <v>35</v>
      </c>
      <c r="E95" s="31"/>
      <c r="H95" s="63"/>
      <c r="J95" s="31"/>
      <c r="K95" s="32"/>
      <c r="L95" s="31"/>
      <c r="M95" s="32"/>
      <c r="N95" s="31"/>
      <c r="O95" s="30"/>
      <c r="P95" s="65"/>
      <c r="Q95" s="30"/>
      <c r="R95" s="32"/>
    </row>
    <row r="96" spans="1:43" s="29" customFormat="1">
      <c r="A96" s="71" t="s">
        <v>276</v>
      </c>
      <c r="B96" s="74" t="str">
        <f t="shared" si="2"/>
        <v>COP IPC</v>
      </c>
      <c r="C96" s="75" t="s">
        <v>36</v>
      </c>
      <c r="D96" s="76" t="s">
        <v>36</v>
      </c>
      <c r="E96" s="31"/>
      <c r="H96" s="30"/>
      <c r="J96" s="31"/>
      <c r="K96" s="32"/>
      <c r="L96" s="31"/>
      <c r="M96" s="32"/>
      <c r="N96" s="31"/>
      <c r="O96" s="30"/>
      <c r="P96" s="65"/>
      <c r="Q96" s="30"/>
      <c r="R96" s="32"/>
    </row>
    <row r="97" spans="1:20" s="29" customFormat="1">
      <c r="A97" s="71" t="s">
        <v>277</v>
      </c>
      <c r="B97" s="74" t="str">
        <f t="shared" si="2"/>
        <v>UVR fija</v>
      </c>
      <c r="C97" s="75" t="s">
        <v>158</v>
      </c>
      <c r="D97" s="76" t="s">
        <v>37</v>
      </c>
      <c r="E97" s="31"/>
      <c r="H97" s="63"/>
      <c r="J97" s="31"/>
      <c r="K97" s="32"/>
      <c r="L97" s="31"/>
      <c r="M97" s="32"/>
      <c r="N97" s="31"/>
      <c r="O97" s="30"/>
      <c r="P97" s="65"/>
      <c r="Q97" s="30"/>
      <c r="R97" s="32"/>
    </row>
    <row r="98" spans="1:20" s="29" customFormat="1">
      <c r="A98" s="71" t="s">
        <v>278</v>
      </c>
      <c r="B98" s="74" t="str">
        <f t="shared" si="2"/>
        <v>USD fija</v>
      </c>
      <c r="C98" s="75" t="s">
        <v>159</v>
      </c>
      <c r="D98" s="76" t="s">
        <v>38</v>
      </c>
      <c r="E98" s="31"/>
      <c r="H98" s="30"/>
      <c r="J98" s="31"/>
      <c r="K98" s="32"/>
      <c r="L98" s="31"/>
      <c r="M98" s="32"/>
      <c r="N98" s="31"/>
      <c r="O98" s="30"/>
      <c r="P98" s="65"/>
      <c r="Q98" s="30"/>
      <c r="R98" s="32"/>
    </row>
    <row r="99" spans="1:20" s="29" customFormat="1">
      <c r="A99" s="71" t="s">
        <v>279</v>
      </c>
      <c r="B99" s="74" t="str">
        <f t="shared" si="2"/>
        <v xml:space="preserve">DTF </v>
      </c>
      <c r="C99" s="75" t="s">
        <v>99</v>
      </c>
      <c r="D99" s="76" t="s">
        <v>39</v>
      </c>
      <c r="E99" s="31"/>
      <c r="H99" s="63"/>
      <c r="J99" s="31"/>
      <c r="K99" s="32"/>
      <c r="L99" s="31"/>
      <c r="M99" s="32"/>
      <c r="N99" s="31"/>
      <c r="O99" s="30"/>
      <c r="P99" s="65"/>
      <c r="Q99" s="30"/>
      <c r="R99" s="32"/>
    </row>
    <row r="100" spans="1:20" s="29" customFormat="1">
      <c r="A100" s="71" t="s">
        <v>280</v>
      </c>
      <c r="B100" s="74" t="str">
        <f t="shared" si="2"/>
        <v>Otros</v>
      </c>
      <c r="C100" s="75" t="s">
        <v>100</v>
      </c>
      <c r="D100" s="76" t="s">
        <v>32</v>
      </c>
      <c r="E100" s="31"/>
      <c r="H100" s="30"/>
      <c r="J100" s="31"/>
      <c r="K100" s="32"/>
      <c r="L100" s="31"/>
      <c r="M100" s="32"/>
      <c r="N100" s="31"/>
      <c r="O100" s="30"/>
      <c r="P100" s="65"/>
      <c r="Q100" s="30"/>
      <c r="R100" s="32"/>
    </row>
    <row r="101" spans="1:20" s="29" customFormat="1">
      <c r="A101" s="71" t="s">
        <v>281</v>
      </c>
      <c r="B101" s="74" t="str">
        <f t="shared" si="2"/>
        <v>%tasa fija</v>
      </c>
      <c r="C101" s="75" t="s">
        <v>170</v>
      </c>
      <c r="D101" s="76" t="s">
        <v>169</v>
      </c>
      <c r="E101" s="31"/>
      <c r="H101" s="63"/>
      <c r="J101" s="31"/>
      <c r="K101" s="32"/>
      <c r="L101" s="31"/>
      <c r="M101" s="32"/>
      <c r="N101" s="31"/>
      <c r="O101" s="30"/>
      <c r="P101" s="65"/>
      <c r="Q101" s="30"/>
      <c r="R101" s="32"/>
    </row>
    <row r="102" spans="1:20" s="29" customFormat="1">
      <c r="A102" s="71" t="s">
        <v>282</v>
      </c>
      <c r="B102" s="74" t="str">
        <f t="shared" si="2"/>
        <v>% tasa variable</v>
      </c>
      <c r="C102" s="75" t="s">
        <v>171</v>
      </c>
      <c r="D102" s="76" t="s">
        <v>172</v>
      </c>
      <c r="E102" s="31"/>
      <c r="H102" s="30"/>
      <c r="J102" s="31"/>
      <c r="K102" s="32"/>
      <c r="L102" s="31"/>
      <c r="M102" s="32"/>
      <c r="N102" s="31"/>
      <c r="O102" s="30"/>
      <c r="P102" s="65"/>
      <c r="Q102" s="30"/>
      <c r="R102" s="32"/>
    </row>
    <row r="103" spans="1:20" s="29" customFormat="1">
      <c r="A103" s="71" t="s">
        <v>283</v>
      </c>
      <c r="B103" s="74" t="str">
        <f t="shared" si="2"/>
        <v xml:space="preserve">Composición por tipo de interés - deuda externa  </v>
      </c>
      <c r="C103" s="75" t="s">
        <v>161</v>
      </c>
      <c r="D103" s="76" t="s">
        <v>25</v>
      </c>
      <c r="E103" s="31"/>
      <c r="H103" s="63"/>
      <c r="J103" s="31"/>
      <c r="K103" s="32"/>
      <c r="L103" s="31"/>
      <c r="M103" s="32"/>
      <c r="N103" s="31"/>
      <c r="O103" s="30"/>
      <c r="P103" s="65"/>
      <c r="Q103" s="30"/>
      <c r="R103" s="32"/>
    </row>
    <row r="104" spans="1:20" s="29" customFormat="1">
      <c r="A104" s="71" t="s">
        <v>284</v>
      </c>
      <c r="B104" s="74" t="str">
        <f t="shared" si="2"/>
        <v xml:space="preserve">(% de deuda externa) </v>
      </c>
      <c r="C104" s="75" t="s">
        <v>163</v>
      </c>
      <c r="D104" s="76" t="s">
        <v>162</v>
      </c>
      <c r="E104" s="31"/>
      <c r="H104" s="30"/>
      <c r="J104" s="31"/>
      <c r="K104" s="32"/>
      <c r="L104" s="31"/>
      <c r="M104" s="32"/>
      <c r="N104" s="31"/>
      <c r="O104" s="30"/>
      <c r="P104" s="65"/>
      <c r="Q104" s="30"/>
      <c r="R104" s="32"/>
    </row>
    <row r="105" spans="1:20" s="29" customFormat="1">
      <c r="A105" s="71" t="s">
        <v>285</v>
      </c>
      <c r="B105" s="74" t="str">
        <f t="shared" si="2"/>
        <v>Tasa fija</v>
      </c>
      <c r="C105" s="75" t="s">
        <v>164</v>
      </c>
      <c r="D105" s="76" t="s">
        <v>19</v>
      </c>
      <c r="E105" s="31"/>
      <c r="H105" s="63"/>
      <c r="J105" s="31"/>
      <c r="K105" s="32"/>
      <c r="L105" s="31"/>
      <c r="M105" s="32"/>
      <c r="N105" s="31"/>
      <c r="O105" s="30"/>
      <c r="P105" s="65"/>
      <c r="Q105" s="30"/>
      <c r="R105" s="32"/>
    </row>
    <row r="106" spans="1:20" s="29" customFormat="1">
      <c r="A106" s="71" t="s">
        <v>286</v>
      </c>
      <c r="B106" s="74" t="str">
        <f t="shared" si="2"/>
        <v>Tasa variable</v>
      </c>
      <c r="C106" s="75" t="s">
        <v>165</v>
      </c>
      <c r="D106" s="76" t="s">
        <v>18</v>
      </c>
      <c r="E106" s="31"/>
      <c r="H106" s="30"/>
      <c r="J106" s="31"/>
      <c r="K106" s="32"/>
      <c r="L106" s="31"/>
      <c r="M106" s="32"/>
      <c r="N106" s="31"/>
      <c r="O106" s="30"/>
      <c r="P106" s="65"/>
      <c r="Q106" s="30"/>
      <c r="R106" s="32"/>
    </row>
    <row r="107" spans="1:20" s="29" customFormat="1">
      <c r="A107" s="71" t="s">
        <v>287</v>
      </c>
      <c r="B107" s="74" t="str">
        <f t="shared" si="2"/>
        <v>Composición por tasa de interés - deuda total</v>
      </c>
      <c r="C107" s="75" t="s">
        <v>166</v>
      </c>
      <c r="D107" s="76" t="s">
        <v>17</v>
      </c>
      <c r="E107" s="31"/>
      <c r="H107" s="63"/>
      <c r="J107" s="31"/>
      <c r="K107" s="32"/>
      <c r="L107" s="31"/>
      <c r="M107" s="32"/>
      <c r="N107" s="31"/>
      <c r="O107" s="30"/>
      <c r="P107" s="65"/>
      <c r="Q107" s="30"/>
      <c r="R107" s="32"/>
    </row>
    <row r="108" spans="1:20" s="29" customFormat="1">
      <c r="A108" s="71" t="s">
        <v>288</v>
      </c>
      <c r="B108" s="74" t="str">
        <f t="shared" si="2"/>
        <v>(% de deuda total)</v>
      </c>
      <c r="C108" s="75" t="s">
        <v>134</v>
      </c>
      <c r="D108" s="76" t="s">
        <v>135</v>
      </c>
      <c r="E108" s="31"/>
      <c r="H108" s="30"/>
      <c r="J108" s="31"/>
      <c r="K108" s="32"/>
      <c r="L108" s="31"/>
      <c r="M108" s="32"/>
      <c r="N108" s="31"/>
      <c r="O108" s="30"/>
      <c r="P108" s="65"/>
      <c r="Q108" s="30"/>
      <c r="R108" s="32"/>
    </row>
    <row r="109" spans="1:20" s="29" customFormat="1">
      <c r="A109" s="71" t="s">
        <v>289</v>
      </c>
      <c r="B109" s="74" t="str">
        <f t="shared" si="2"/>
        <v>Tasa fija</v>
      </c>
      <c r="C109" s="75" t="s">
        <v>164</v>
      </c>
      <c r="D109" s="76" t="s">
        <v>19</v>
      </c>
      <c r="E109" s="31"/>
      <c r="H109" s="63"/>
      <c r="J109" s="31"/>
      <c r="K109" s="32"/>
      <c r="L109" s="31"/>
      <c r="M109" s="32"/>
      <c r="N109" s="31"/>
      <c r="O109" s="30"/>
      <c r="P109" s="65"/>
      <c r="Q109" s="30"/>
      <c r="R109" s="32"/>
    </row>
    <row r="110" spans="1:20" s="29" customFormat="1">
      <c r="A110" s="71" t="s">
        <v>290</v>
      </c>
      <c r="B110" s="74" t="str">
        <f t="shared" si="2"/>
        <v>Tasa variable</v>
      </c>
      <c r="C110" s="75" t="s">
        <v>165</v>
      </c>
      <c r="D110" s="76" t="s">
        <v>18</v>
      </c>
      <c r="E110" s="31"/>
      <c r="H110" s="30"/>
      <c r="J110" s="31"/>
      <c r="K110" s="32"/>
      <c r="L110" s="31"/>
      <c r="M110" s="32"/>
      <c r="N110" s="31"/>
      <c r="O110" s="30"/>
      <c r="P110" s="65"/>
      <c r="Q110" s="30"/>
      <c r="R110" s="32"/>
    </row>
    <row r="111" spans="1:20" s="29" customFormat="1">
      <c r="A111" s="71" t="s">
        <v>291</v>
      </c>
      <c r="B111" s="74" t="str">
        <f t="shared" si="2"/>
        <v>Composición por moneda - deuda interna</v>
      </c>
      <c r="C111" s="75" t="s">
        <v>173</v>
      </c>
      <c r="D111" s="76" t="s">
        <v>33</v>
      </c>
      <c r="E111" s="31"/>
      <c r="H111" s="63"/>
      <c r="J111" s="31"/>
      <c r="K111" s="32"/>
      <c r="L111" s="31"/>
      <c r="M111" s="32"/>
      <c r="N111" s="31"/>
      <c r="O111" s="30"/>
      <c r="P111" s="65"/>
      <c r="Q111" s="30"/>
      <c r="R111" s="32"/>
      <c r="S111" s="32"/>
      <c r="T111" s="32"/>
    </row>
    <row r="112" spans="1:20" s="29" customFormat="1">
      <c r="A112" s="71" t="s">
        <v>292</v>
      </c>
      <c r="B112" s="74" t="str">
        <f t="shared" si="2"/>
        <v>(% de deuda interna)</v>
      </c>
      <c r="C112" s="75" t="s">
        <v>141</v>
      </c>
      <c r="D112" s="76" t="s">
        <v>142</v>
      </c>
      <c r="E112" s="31"/>
      <c r="H112" s="30"/>
      <c r="J112" s="31"/>
      <c r="K112" s="32"/>
      <c r="L112" s="31"/>
      <c r="M112" s="32"/>
      <c r="N112" s="31"/>
      <c r="O112" s="30"/>
      <c r="P112" s="65"/>
      <c r="Q112" s="30"/>
      <c r="R112" s="32"/>
      <c r="S112" s="32"/>
      <c r="T112" s="32"/>
    </row>
    <row r="113" spans="1:20" s="29" customFormat="1">
      <c r="A113" s="71" t="s">
        <v>293</v>
      </c>
      <c r="B113" s="74" t="str">
        <f t="shared" si="2"/>
        <v>COP</v>
      </c>
      <c r="C113" s="75" t="s">
        <v>6</v>
      </c>
      <c r="D113" s="76" t="s">
        <v>6</v>
      </c>
      <c r="E113" s="31"/>
      <c r="H113" s="63"/>
      <c r="J113" s="31"/>
      <c r="K113" s="32"/>
      <c r="L113" s="31"/>
      <c r="M113" s="32"/>
      <c r="N113" s="31"/>
      <c r="O113" s="30"/>
      <c r="P113" s="65"/>
      <c r="Q113" s="30"/>
      <c r="R113" s="32"/>
      <c r="S113" s="32"/>
      <c r="T113" s="32"/>
    </row>
    <row r="114" spans="1:20" s="29" customFormat="1">
      <c r="A114" s="71" t="s">
        <v>294</v>
      </c>
      <c r="B114" s="74" t="str">
        <f t="shared" si="2"/>
        <v>UVR indexado (COP)</v>
      </c>
      <c r="C114" s="75" t="s">
        <v>168</v>
      </c>
      <c r="D114" s="76" t="s">
        <v>167</v>
      </c>
      <c r="E114" s="31"/>
      <c r="H114" s="30"/>
      <c r="J114" s="31"/>
      <c r="K114" s="32"/>
      <c r="L114" s="31"/>
      <c r="M114" s="32"/>
      <c r="N114" s="31"/>
      <c r="O114" s="30"/>
      <c r="P114" s="65"/>
      <c r="Q114" s="30"/>
      <c r="R114" s="32"/>
      <c r="S114" s="32"/>
      <c r="T114" s="32"/>
    </row>
    <row r="115" spans="1:20" s="29" customFormat="1">
      <c r="A115" s="71" t="s">
        <v>295</v>
      </c>
      <c r="B115" s="74" t="str">
        <f t="shared" si="2"/>
        <v>USD</v>
      </c>
      <c r="C115" s="75" t="s">
        <v>4</v>
      </c>
      <c r="D115" s="76" t="s">
        <v>4</v>
      </c>
      <c r="E115" s="31"/>
      <c r="H115" s="63"/>
      <c r="J115" s="31"/>
      <c r="K115" s="32"/>
      <c r="L115" s="31"/>
      <c r="M115" s="32"/>
      <c r="N115" s="31"/>
      <c r="O115" s="30"/>
      <c r="P115" s="65"/>
      <c r="Q115" s="30"/>
      <c r="R115" s="32"/>
      <c r="S115" s="32"/>
      <c r="T115" s="32"/>
    </row>
    <row r="116" spans="1:20" s="29" customFormat="1">
      <c r="A116" s="71" t="s">
        <v>296</v>
      </c>
      <c r="B116" s="74" t="str">
        <f t="shared" si="2"/>
        <v>% Moneda local</v>
      </c>
      <c r="C116" s="75" t="s">
        <v>378</v>
      </c>
      <c r="D116" s="76" t="s">
        <v>379</v>
      </c>
      <c r="E116" s="31"/>
      <c r="H116" s="30"/>
      <c r="J116" s="31"/>
      <c r="K116" s="32"/>
      <c r="L116" s="31"/>
      <c r="M116" s="32"/>
      <c r="N116" s="31"/>
      <c r="O116" s="30"/>
      <c r="P116" s="65"/>
      <c r="Q116" s="30"/>
      <c r="R116" s="32"/>
      <c r="S116" s="32"/>
      <c r="T116" s="32"/>
    </row>
    <row r="117" spans="1:20" s="29" customFormat="1">
      <c r="A117" s="71" t="s">
        <v>297</v>
      </c>
      <c r="B117" s="74" t="str">
        <f t="shared" si="2"/>
        <v>% Moneda extranjera</v>
      </c>
      <c r="C117" s="75" t="s">
        <v>380</v>
      </c>
      <c r="D117" s="76" t="s">
        <v>381</v>
      </c>
      <c r="E117" s="31"/>
      <c r="H117" s="63"/>
      <c r="J117" s="31"/>
      <c r="K117" s="32"/>
      <c r="L117" s="31"/>
      <c r="M117" s="32"/>
      <c r="N117" s="31"/>
      <c r="O117" s="30"/>
      <c r="P117" s="31"/>
      <c r="Q117" s="30"/>
      <c r="R117" s="32"/>
      <c r="S117" s="32"/>
      <c r="T117" s="32"/>
    </row>
    <row r="118" spans="1:20" s="29" customFormat="1">
      <c r="A118" s="71" t="s">
        <v>298</v>
      </c>
      <c r="B118" s="74" t="str">
        <f t="shared" si="2"/>
        <v xml:space="preserve">Composición por moneda - deuda externa </v>
      </c>
      <c r="C118" s="75" t="s">
        <v>184</v>
      </c>
      <c r="D118" s="76" t="s">
        <v>185</v>
      </c>
      <c r="E118" s="31"/>
      <c r="H118" s="30"/>
      <c r="J118" s="31"/>
      <c r="K118" s="32"/>
      <c r="L118" s="31"/>
      <c r="M118" s="32"/>
      <c r="N118" s="31"/>
      <c r="O118" s="30"/>
      <c r="P118" s="31"/>
      <c r="Q118" s="30"/>
      <c r="R118" s="32"/>
      <c r="S118" s="32"/>
      <c r="T118" s="32"/>
    </row>
    <row r="119" spans="1:20">
      <c r="A119" s="71" t="s">
        <v>299</v>
      </c>
      <c r="B119" s="74" t="str">
        <f t="shared" si="2"/>
        <v xml:space="preserve">(% de deuda externa) </v>
      </c>
      <c r="C119" s="75" t="s">
        <v>163</v>
      </c>
      <c r="D119" s="76" t="s">
        <v>162</v>
      </c>
      <c r="F119" s="29"/>
      <c r="G119" s="29"/>
      <c r="H119" s="63"/>
    </row>
    <row r="120" spans="1:20">
      <c r="A120" s="71" t="s">
        <v>300</v>
      </c>
      <c r="B120" s="74" t="str">
        <f t="shared" ref="B120:B126" si="3">INDEX(C120:D120,1,$G$1)</f>
        <v>USD</v>
      </c>
      <c r="C120" s="75" t="s">
        <v>4</v>
      </c>
      <c r="D120" s="76" t="s">
        <v>4</v>
      </c>
      <c r="F120" s="29"/>
      <c r="G120" s="29"/>
      <c r="H120" s="30"/>
    </row>
    <row r="121" spans="1:20">
      <c r="A121" s="71" t="s">
        <v>301</v>
      </c>
      <c r="B121" s="74" t="str">
        <f t="shared" si="3"/>
        <v>EUR</v>
      </c>
      <c r="C121" s="75" t="s">
        <v>26</v>
      </c>
      <c r="D121" s="76" t="s">
        <v>26</v>
      </c>
      <c r="F121" s="29"/>
      <c r="G121" s="29"/>
      <c r="H121" s="63"/>
    </row>
    <row r="122" spans="1:20">
      <c r="A122" s="71" t="s">
        <v>302</v>
      </c>
      <c r="B122" s="74" t="str">
        <f t="shared" si="3"/>
        <v>JPY</v>
      </c>
      <c r="C122" s="75" t="s">
        <v>5</v>
      </c>
      <c r="D122" s="76" t="s">
        <v>5</v>
      </c>
      <c r="F122" s="29"/>
      <c r="G122" s="29"/>
      <c r="H122" s="30"/>
    </row>
    <row r="123" spans="1:20">
      <c r="A123" s="71" t="s">
        <v>303</v>
      </c>
      <c r="B123" s="74" t="str">
        <f t="shared" si="3"/>
        <v>GBP</v>
      </c>
      <c r="C123" s="75" t="s">
        <v>27</v>
      </c>
      <c r="D123" s="76" t="s">
        <v>27</v>
      </c>
      <c r="F123" s="29"/>
      <c r="G123" s="29"/>
      <c r="H123" s="63"/>
    </row>
    <row r="124" spans="1:20">
      <c r="A124" s="71" t="s">
        <v>304</v>
      </c>
      <c r="B124" s="74" t="str">
        <f t="shared" si="3"/>
        <v>COP</v>
      </c>
      <c r="C124" s="75" t="s">
        <v>6</v>
      </c>
      <c r="D124" s="76" t="s">
        <v>6</v>
      </c>
      <c r="F124" s="29"/>
      <c r="G124" s="29"/>
      <c r="H124" s="30"/>
    </row>
    <row r="125" spans="1:20">
      <c r="A125" s="71" t="s">
        <v>305</v>
      </c>
      <c r="B125" s="74" t="str">
        <f t="shared" si="3"/>
        <v>% Moneda extranjera</v>
      </c>
      <c r="C125" s="75" t="s">
        <v>380</v>
      </c>
      <c r="D125" s="76" t="s">
        <v>381</v>
      </c>
      <c r="F125" s="29"/>
      <c r="G125" s="29"/>
      <c r="H125" s="63"/>
    </row>
    <row r="126" spans="1:20">
      <c r="A126" s="71" t="s">
        <v>306</v>
      </c>
      <c r="B126" s="74" t="str">
        <f t="shared" si="3"/>
        <v>Composición por moneda - deuda total</v>
      </c>
      <c r="C126" s="75" t="s">
        <v>174</v>
      </c>
      <c r="D126" s="76" t="s">
        <v>16</v>
      </c>
      <c r="F126" s="29"/>
      <c r="G126" s="29"/>
      <c r="H126" s="30"/>
    </row>
    <row r="127" spans="1:20">
      <c r="A127" s="71" t="s">
        <v>307</v>
      </c>
      <c r="B127" s="74" t="str">
        <f t="shared" ref="B127:B164" si="4">INDEX(C127:D127,1,$G$1)</f>
        <v>(% de deuda total)</v>
      </c>
      <c r="C127" s="75" t="s">
        <v>134</v>
      </c>
      <c r="D127" s="76" t="s">
        <v>135</v>
      </c>
      <c r="F127" s="29"/>
      <c r="G127" s="29"/>
      <c r="H127" s="63"/>
    </row>
    <row r="128" spans="1:20">
      <c r="A128" s="71" t="s">
        <v>308</v>
      </c>
      <c r="B128" s="74" t="str">
        <f t="shared" si="4"/>
        <v>USD</v>
      </c>
      <c r="C128" s="75" t="s">
        <v>4</v>
      </c>
      <c r="D128" s="76" t="s">
        <v>4</v>
      </c>
      <c r="F128" s="29"/>
      <c r="G128" s="29"/>
      <c r="H128" s="30"/>
    </row>
    <row r="129" spans="1:45">
      <c r="A129" s="71" t="s">
        <v>309</v>
      </c>
      <c r="B129" s="74" t="str">
        <f t="shared" si="4"/>
        <v>EUR</v>
      </c>
      <c r="C129" s="75" t="s">
        <v>26</v>
      </c>
      <c r="D129" s="76" t="s">
        <v>26</v>
      </c>
      <c r="F129" s="29"/>
      <c r="G129" s="29"/>
      <c r="H129" s="63"/>
    </row>
    <row r="130" spans="1:45">
      <c r="A130" s="71" t="s">
        <v>310</v>
      </c>
      <c r="B130" s="74" t="str">
        <f t="shared" si="4"/>
        <v>JPY</v>
      </c>
      <c r="C130" s="75" t="s">
        <v>5</v>
      </c>
      <c r="D130" s="76" t="s">
        <v>5</v>
      </c>
      <c r="F130" s="29"/>
      <c r="G130" s="29"/>
      <c r="H130" s="30"/>
    </row>
    <row r="131" spans="1:45">
      <c r="A131" s="71" t="s">
        <v>311</v>
      </c>
      <c r="B131" s="74" t="str">
        <f t="shared" si="4"/>
        <v>UVR (COP)</v>
      </c>
      <c r="C131" s="75" t="s">
        <v>56</v>
      </c>
      <c r="D131" s="76" t="s">
        <v>56</v>
      </c>
      <c r="F131" s="29"/>
      <c r="G131" s="29"/>
      <c r="H131" s="63"/>
    </row>
    <row r="132" spans="1:45">
      <c r="A132" s="71" t="s">
        <v>312</v>
      </c>
      <c r="B132" s="74" t="str">
        <f t="shared" si="4"/>
        <v>COP</v>
      </c>
      <c r="C132" s="75" t="s">
        <v>6</v>
      </c>
      <c r="D132" s="76" t="s">
        <v>6</v>
      </c>
      <c r="F132" s="29"/>
      <c r="G132" s="29"/>
      <c r="H132" s="30"/>
    </row>
    <row r="133" spans="1:45" s="31" customFormat="1">
      <c r="A133" s="71" t="s">
        <v>313</v>
      </c>
      <c r="B133" s="74" t="str">
        <f t="shared" si="4"/>
        <v>% Moneda local</v>
      </c>
      <c r="C133" s="75" t="s">
        <v>378</v>
      </c>
      <c r="D133" s="76" t="s">
        <v>379</v>
      </c>
      <c r="F133" s="29"/>
      <c r="G133" s="29"/>
      <c r="H133" s="63"/>
      <c r="I133" s="29"/>
      <c r="K133" s="32"/>
      <c r="M133" s="32"/>
      <c r="O133" s="30"/>
      <c r="Q133" s="30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</row>
    <row r="134" spans="1:45" s="31" customFormat="1">
      <c r="A134" s="71" t="s">
        <v>314</v>
      </c>
      <c r="B134" s="74" t="str">
        <f t="shared" si="4"/>
        <v>% Moneda extranjera</v>
      </c>
      <c r="C134" s="75" t="s">
        <v>380</v>
      </c>
      <c r="D134" s="76" t="s">
        <v>381</v>
      </c>
      <c r="F134" s="29"/>
      <c r="G134" s="29"/>
      <c r="H134" s="30"/>
      <c r="I134" s="29"/>
      <c r="K134" s="32"/>
      <c r="M134" s="32"/>
      <c r="O134" s="30"/>
      <c r="Q134" s="30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</row>
    <row r="135" spans="1:45" s="31" customFormat="1">
      <c r="A135" s="71" t="s">
        <v>315</v>
      </c>
      <c r="B135" s="74" t="str">
        <f t="shared" si="4"/>
        <v>Perfil de Vencimientos - deuda interna</v>
      </c>
      <c r="C135" s="75" t="s">
        <v>175</v>
      </c>
      <c r="D135" s="76" t="s">
        <v>355</v>
      </c>
      <c r="F135" s="29"/>
      <c r="G135" s="29"/>
      <c r="H135" s="63"/>
      <c r="I135" s="29"/>
      <c r="K135" s="32"/>
      <c r="M135" s="32"/>
      <c r="O135" s="30"/>
      <c r="Q135" s="30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</row>
    <row r="136" spans="1:45" s="31" customFormat="1">
      <c r="A136" s="71" t="s">
        <v>316</v>
      </c>
      <c r="B136" s="68" t="str">
        <f t="shared" si="4"/>
        <v>(COP millones)</v>
      </c>
      <c r="C136" s="69" t="s">
        <v>131</v>
      </c>
      <c r="D136" s="70" t="s">
        <v>9</v>
      </c>
      <c r="F136" s="29"/>
      <c r="G136" s="29"/>
      <c r="H136" s="30"/>
      <c r="I136" s="29"/>
      <c r="K136" s="32"/>
      <c r="M136" s="32"/>
      <c r="O136" s="30"/>
      <c r="Q136" s="30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</row>
    <row r="137" spans="1:45" s="31" customFormat="1">
      <c r="A137" s="71" t="s">
        <v>317</v>
      </c>
      <c r="B137" s="68" t="str">
        <f t="shared" si="4"/>
        <v>Período de servicio</v>
      </c>
      <c r="C137" s="69" t="s">
        <v>177</v>
      </c>
      <c r="D137" s="70" t="s">
        <v>179</v>
      </c>
      <c r="F137" s="29"/>
      <c r="G137" s="29"/>
      <c r="H137" s="63"/>
      <c r="I137" s="29"/>
      <c r="K137" s="32"/>
      <c r="M137" s="32"/>
      <c r="O137" s="30"/>
      <c r="Q137" s="30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</row>
    <row r="138" spans="1:45" s="31" customFormat="1">
      <c r="A138" s="71" t="s">
        <v>318</v>
      </c>
      <c r="B138" s="68" t="str">
        <f t="shared" si="4"/>
        <v>Amortizaciones</v>
      </c>
      <c r="C138" s="69" t="s">
        <v>176</v>
      </c>
      <c r="D138" s="70" t="s">
        <v>28</v>
      </c>
      <c r="F138" s="29"/>
      <c r="G138" s="29"/>
      <c r="H138" s="30"/>
      <c r="I138" s="29"/>
      <c r="K138" s="32"/>
      <c r="M138" s="32"/>
      <c r="O138" s="30"/>
      <c r="Q138" s="30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</row>
    <row r="139" spans="1:45" s="31" customFormat="1">
      <c r="A139" s="71" t="s">
        <v>319</v>
      </c>
      <c r="B139" s="68" t="str">
        <f t="shared" si="4"/>
        <v>Intereses</v>
      </c>
      <c r="C139" s="69" t="s">
        <v>384</v>
      </c>
      <c r="D139" s="70" t="s">
        <v>385</v>
      </c>
      <c r="F139" s="29"/>
      <c r="G139" s="29"/>
      <c r="H139" s="63"/>
      <c r="I139" s="29"/>
      <c r="K139" s="32"/>
      <c r="M139" s="32"/>
      <c r="O139" s="30"/>
      <c r="Q139" s="30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</row>
    <row r="140" spans="1:45" s="31" customFormat="1">
      <c r="A140" s="71" t="s">
        <v>320</v>
      </c>
      <c r="B140" s="68" t="str">
        <f t="shared" si="4"/>
        <v>Total</v>
      </c>
      <c r="C140" s="69" t="s">
        <v>29</v>
      </c>
      <c r="D140" s="70" t="s">
        <v>29</v>
      </c>
      <c r="F140" s="29"/>
      <c r="G140" s="29"/>
      <c r="H140" s="30"/>
      <c r="I140" s="29"/>
      <c r="K140" s="32"/>
      <c r="M140" s="32"/>
      <c r="O140" s="30"/>
      <c r="Q140" s="30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</row>
    <row r="141" spans="1:45" s="31" customFormat="1">
      <c r="A141" s="71" t="s">
        <v>321</v>
      </c>
      <c r="B141" s="68" t="str">
        <f t="shared" si="4"/>
        <v>Perfil de Vencimientos - deuda externa</v>
      </c>
      <c r="C141" s="69" t="s">
        <v>178</v>
      </c>
      <c r="D141" s="70" t="s">
        <v>353</v>
      </c>
      <c r="F141" s="29"/>
      <c r="G141" s="29"/>
      <c r="H141" s="63"/>
      <c r="I141" s="29"/>
      <c r="K141" s="32"/>
      <c r="M141" s="32"/>
      <c r="O141" s="30"/>
      <c r="Q141" s="30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</row>
    <row r="142" spans="1:45" s="31" customFormat="1">
      <c r="A142" s="71" t="s">
        <v>322</v>
      </c>
      <c r="B142" s="68" t="str">
        <f t="shared" si="4"/>
        <v>(COP millones)</v>
      </c>
      <c r="C142" s="69" t="s">
        <v>132</v>
      </c>
      <c r="D142" s="70" t="s">
        <v>9</v>
      </c>
      <c r="F142" s="29"/>
      <c r="G142" s="29"/>
      <c r="H142" s="30"/>
      <c r="I142" s="29"/>
      <c r="K142" s="32"/>
      <c r="M142" s="32"/>
      <c r="O142" s="30"/>
      <c r="Q142" s="30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</row>
    <row r="143" spans="1:45" s="31" customFormat="1">
      <c r="A143" s="71" t="s">
        <v>323</v>
      </c>
      <c r="B143" s="68" t="str">
        <f t="shared" si="4"/>
        <v>Perfil de vencimientos - deuda total</v>
      </c>
      <c r="C143" s="69" t="s">
        <v>180</v>
      </c>
      <c r="D143" s="70" t="s">
        <v>354</v>
      </c>
      <c r="F143" s="29"/>
      <c r="G143" s="29"/>
      <c r="H143" s="63"/>
      <c r="I143" s="29"/>
      <c r="K143" s="32"/>
      <c r="M143" s="32"/>
      <c r="O143" s="30"/>
      <c r="Q143" s="30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</row>
    <row r="144" spans="1:45" s="31" customFormat="1">
      <c r="A144" s="71" t="s">
        <v>324</v>
      </c>
      <c r="B144" s="68" t="str">
        <f t="shared" si="4"/>
        <v xml:space="preserve">(COP millones) </v>
      </c>
      <c r="C144" s="69" t="s">
        <v>131</v>
      </c>
      <c r="D144" s="70" t="s">
        <v>352</v>
      </c>
      <c r="F144" s="29"/>
      <c r="G144" s="29"/>
      <c r="H144" s="30"/>
      <c r="I144" s="29"/>
      <c r="K144" s="32"/>
      <c r="M144" s="32"/>
      <c r="O144" s="30"/>
      <c r="Q144" s="30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</row>
    <row r="145" spans="1:45" s="31" customFormat="1">
      <c r="A145" s="71" t="s">
        <v>325</v>
      </c>
      <c r="B145" s="68" t="str">
        <f t="shared" si="4"/>
        <v>Duración</v>
      </c>
      <c r="C145" s="69" t="s">
        <v>181</v>
      </c>
      <c r="D145" s="70" t="s">
        <v>11</v>
      </c>
      <c r="F145" s="29"/>
      <c r="G145" s="29"/>
      <c r="H145" s="63"/>
      <c r="I145" s="29"/>
      <c r="K145" s="32"/>
      <c r="M145" s="32"/>
      <c r="O145" s="30"/>
      <c r="Q145" s="30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</row>
    <row r="146" spans="1:45" s="31" customFormat="1">
      <c r="A146" s="71" t="s">
        <v>326</v>
      </c>
      <c r="B146" s="68" t="str">
        <f t="shared" si="4"/>
        <v>(Años)</v>
      </c>
      <c r="C146" s="69" t="s">
        <v>186</v>
      </c>
      <c r="D146" s="70" t="s">
        <v>7</v>
      </c>
      <c r="F146" s="29"/>
      <c r="G146" s="29"/>
      <c r="H146" s="30"/>
      <c r="I146" s="29"/>
      <c r="K146" s="32"/>
      <c r="M146" s="32"/>
      <c r="O146" s="30"/>
      <c r="Q146" s="30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</row>
    <row r="147" spans="1:45" s="31" customFormat="1">
      <c r="A147" s="71" t="s">
        <v>327</v>
      </c>
      <c r="B147" s="68" t="str">
        <f t="shared" si="4"/>
        <v>Vida media</v>
      </c>
      <c r="C147" s="69" t="s">
        <v>182</v>
      </c>
      <c r="D147" s="70" t="s">
        <v>12</v>
      </c>
      <c r="F147" s="29"/>
      <c r="G147" s="29"/>
      <c r="H147" s="63"/>
      <c r="I147" s="29"/>
      <c r="K147" s="32"/>
      <c r="M147" s="32"/>
      <c r="O147" s="30"/>
      <c r="Q147" s="30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</row>
    <row r="148" spans="1:45" s="31" customFormat="1">
      <c r="A148" s="71" t="s">
        <v>328</v>
      </c>
      <c r="B148" s="68" t="str">
        <f t="shared" si="4"/>
        <v>(Años)</v>
      </c>
      <c r="C148" s="69" t="s">
        <v>186</v>
      </c>
      <c r="D148" s="70" t="s">
        <v>7</v>
      </c>
      <c r="F148" s="29"/>
      <c r="G148" s="29"/>
      <c r="H148" s="30"/>
      <c r="I148" s="29"/>
      <c r="K148" s="32"/>
      <c r="M148" s="32"/>
      <c r="O148" s="30"/>
      <c r="Q148" s="30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</row>
    <row r="149" spans="1:45" s="31" customFormat="1">
      <c r="A149" s="71" t="s">
        <v>329</v>
      </c>
      <c r="B149" s="68" t="str">
        <f t="shared" si="4"/>
        <v>Cupón promedio (%)</v>
      </c>
      <c r="C149" s="69" t="s">
        <v>183</v>
      </c>
      <c r="D149" s="70" t="s">
        <v>70</v>
      </c>
      <c r="F149" s="29"/>
      <c r="G149" s="29"/>
      <c r="H149" s="63"/>
      <c r="I149" s="29"/>
      <c r="K149" s="32"/>
      <c r="M149" s="32"/>
      <c r="O149" s="30"/>
      <c r="Q149" s="30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</row>
    <row r="150" spans="1:45" s="31" customFormat="1">
      <c r="A150" s="71" t="s">
        <v>330</v>
      </c>
      <c r="B150" s="68" t="str">
        <f t="shared" si="4"/>
        <v>(Tasa anual %)</v>
      </c>
      <c r="C150" s="69" t="s">
        <v>187</v>
      </c>
      <c r="D150" s="70" t="s">
        <v>8</v>
      </c>
      <c r="F150" s="29"/>
      <c r="G150" s="29"/>
      <c r="H150" s="30"/>
      <c r="I150" s="29"/>
      <c r="K150" s="32"/>
      <c r="M150" s="32"/>
      <c r="O150" s="30"/>
      <c r="Q150" s="30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</row>
    <row r="151" spans="1:45" s="31" customFormat="1">
      <c r="A151" s="71" t="s">
        <v>331</v>
      </c>
      <c r="B151" s="68" t="str">
        <f t="shared" si="4"/>
        <v>Deuda interna</v>
      </c>
      <c r="C151" s="69" t="s">
        <v>117</v>
      </c>
      <c r="D151" s="70" t="s">
        <v>21</v>
      </c>
      <c r="F151" s="29"/>
      <c r="G151" s="29"/>
      <c r="H151" s="63"/>
      <c r="I151" s="29"/>
      <c r="K151" s="32"/>
      <c r="M151" s="32"/>
      <c r="O151" s="30"/>
      <c r="Q151" s="30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</row>
    <row r="152" spans="1:45" s="31" customFormat="1">
      <c r="A152" s="71" t="s">
        <v>332</v>
      </c>
      <c r="B152" s="68" t="str">
        <f t="shared" si="4"/>
        <v>Deuda externa</v>
      </c>
      <c r="C152" s="69" t="s">
        <v>118</v>
      </c>
      <c r="D152" s="70" t="s">
        <v>22</v>
      </c>
      <c r="F152" s="29"/>
      <c r="G152" s="29"/>
      <c r="H152" s="30"/>
      <c r="I152" s="29"/>
      <c r="K152" s="32"/>
      <c r="M152" s="32"/>
      <c r="O152" s="30"/>
      <c r="Q152" s="30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</row>
    <row r="153" spans="1:45" s="31" customFormat="1">
      <c r="A153" s="71" t="s">
        <v>333</v>
      </c>
      <c r="B153" s="68" t="str">
        <f t="shared" si="4"/>
        <v>Deuda total</v>
      </c>
      <c r="C153" s="69" t="s">
        <v>119</v>
      </c>
      <c r="D153" s="70" t="s">
        <v>23</v>
      </c>
      <c r="F153" s="29"/>
      <c r="G153" s="29"/>
      <c r="H153" s="63"/>
      <c r="I153" s="29"/>
      <c r="K153" s="32"/>
      <c r="M153" s="32"/>
      <c r="O153" s="30"/>
      <c r="Q153" s="30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</row>
    <row r="154" spans="1:45" s="31" customFormat="1">
      <c r="A154" s="71" t="s">
        <v>334</v>
      </c>
      <c r="B154" s="68" t="str">
        <f t="shared" si="4"/>
        <v>Deuda interna 
(COP)</v>
      </c>
      <c r="C154" s="69" t="s">
        <v>188</v>
      </c>
      <c r="D154" s="70" t="s">
        <v>57</v>
      </c>
      <c r="F154" s="29"/>
      <c r="G154" s="29"/>
      <c r="H154" s="30"/>
      <c r="I154" s="29"/>
      <c r="K154" s="32"/>
      <c r="M154" s="32"/>
      <c r="O154" s="30"/>
      <c r="Q154" s="30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</row>
    <row r="155" spans="1:45" s="31" customFormat="1">
      <c r="A155" s="71" t="s">
        <v>190</v>
      </c>
      <c r="B155" s="68" t="str">
        <f t="shared" si="4"/>
        <v>Deuda externa 
(USD)</v>
      </c>
      <c r="C155" s="69" t="s">
        <v>189</v>
      </c>
      <c r="D155" s="70" t="s">
        <v>58</v>
      </c>
      <c r="F155" s="29"/>
      <c r="G155" s="29"/>
      <c r="H155" s="63"/>
      <c r="I155" s="29"/>
      <c r="K155" s="32"/>
      <c r="M155" s="32"/>
      <c r="O155" s="30"/>
      <c r="Q155" s="30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</row>
    <row r="156" spans="1:45" s="31" customFormat="1">
      <c r="A156" s="77"/>
      <c r="B156" s="74" t="str">
        <f t="shared" si="4"/>
        <v>Composición por fuente - deuda externa</v>
      </c>
      <c r="C156" s="75" t="s">
        <v>348</v>
      </c>
      <c r="D156" s="70" t="s">
        <v>346</v>
      </c>
      <c r="F156" s="29"/>
      <c r="G156" s="29"/>
      <c r="H156" s="30"/>
      <c r="I156" s="29"/>
      <c r="K156" s="32"/>
      <c r="M156" s="32"/>
      <c r="O156" s="30"/>
      <c r="Q156" s="30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</row>
    <row r="157" spans="1:45" s="31" customFormat="1">
      <c r="A157" s="77"/>
      <c r="B157" s="74" t="str">
        <f t="shared" si="4"/>
        <v>(% de deuda externa)</v>
      </c>
      <c r="C157" s="75" t="s">
        <v>163</v>
      </c>
      <c r="D157" s="70" t="s">
        <v>347</v>
      </c>
      <c r="F157" s="29"/>
      <c r="G157" s="29"/>
      <c r="H157" s="63"/>
      <c r="I157" s="29"/>
      <c r="K157" s="32"/>
      <c r="M157" s="32"/>
      <c r="O157" s="30"/>
      <c r="Q157" s="30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</row>
    <row r="158" spans="1:45" s="31" customFormat="1">
      <c r="A158" s="77"/>
      <c r="B158" s="74" t="str">
        <f t="shared" si="4"/>
        <v>Bonos</v>
      </c>
      <c r="C158" s="75" t="s">
        <v>351</v>
      </c>
      <c r="D158" s="70" t="s">
        <v>349</v>
      </c>
      <c r="F158" s="29"/>
      <c r="G158" s="29"/>
      <c r="H158" s="30"/>
      <c r="I158" s="29"/>
      <c r="K158" s="32"/>
      <c r="M158" s="32"/>
      <c r="O158" s="30"/>
      <c r="Q158" s="30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</row>
    <row r="159" spans="1:45" s="31" customFormat="1">
      <c r="A159" s="77"/>
      <c r="B159" s="74" t="str">
        <f t="shared" si="4"/>
        <v xml:space="preserve">BID                            </v>
      </c>
      <c r="C159" s="75" t="s">
        <v>95</v>
      </c>
      <c r="D159" s="70" t="s">
        <v>1</v>
      </c>
      <c r="F159" s="29"/>
      <c r="G159" s="29"/>
      <c r="H159" s="63"/>
      <c r="I159" s="29"/>
      <c r="K159" s="32"/>
      <c r="M159" s="32"/>
      <c r="O159" s="30"/>
      <c r="Q159" s="30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</row>
    <row r="160" spans="1:45" s="31" customFormat="1">
      <c r="A160" s="77"/>
      <c r="B160" s="74" t="str">
        <f t="shared" si="4"/>
        <v xml:space="preserve">BIRF                          </v>
      </c>
      <c r="C160" s="75" t="s">
        <v>96</v>
      </c>
      <c r="D160" s="70" t="s">
        <v>2</v>
      </c>
      <c r="F160" s="29"/>
      <c r="G160" s="29"/>
      <c r="H160" s="30"/>
      <c r="I160" s="29"/>
      <c r="K160" s="32"/>
      <c r="M160" s="32"/>
      <c r="O160" s="30"/>
      <c r="Q160" s="30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</row>
    <row r="161" spans="1:45" s="31" customFormat="1">
      <c r="A161" s="77"/>
      <c r="B161" s="74" t="str">
        <f t="shared" si="4"/>
        <v xml:space="preserve">CAF                </v>
      </c>
      <c r="C161" s="75" t="s">
        <v>370</v>
      </c>
      <c r="D161" s="70" t="s">
        <v>350</v>
      </c>
      <c r="F161" s="29"/>
      <c r="G161" s="29"/>
      <c r="H161" s="63"/>
      <c r="I161" s="29"/>
      <c r="K161" s="32"/>
      <c r="M161" s="32"/>
      <c r="O161" s="30"/>
      <c r="Q161" s="30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</row>
    <row r="162" spans="1:45" s="31" customFormat="1">
      <c r="A162" s="77"/>
      <c r="B162" s="74" t="str">
        <f t="shared" si="4"/>
        <v>Otros</v>
      </c>
      <c r="C162" s="75" t="s">
        <v>100</v>
      </c>
      <c r="D162" s="70" t="s">
        <v>32</v>
      </c>
      <c r="F162" s="29"/>
      <c r="G162" s="29"/>
      <c r="H162" s="30"/>
      <c r="I162" s="29"/>
      <c r="K162" s="32"/>
      <c r="M162" s="32"/>
      <c r="O162" s="30"/>
      <c r="Q162" s="30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</row>
    <row r="163" spans="1:45" s="31" customFormat="1">
      <c r="A163" s="77" t="s">
        <v>362</v>
      </c>
      <c r="B163" s="74" t="str">
        <f t="shared" si="4"/>
        <v>COP billones</v>
      </c>
      <c r="C163" s="75" t="s">
        <v>364</v>
      </c>
      <c r="D163" s="70" t="s">
        <v>363</v>
      </c>
      <c r="F163" s="29"/>
      <c r="G163" s="29"/>
      <c r="H163" s="63"/>
      <c r="I163" s="29"/>
      <c r="K163" s="32"/>
      <c r="M163" s="32"/>
      <c r="O163" s="30"/>
      <c r="Q163" s="30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</row>
    <row r="164" spans="1:45" s="31" customFormat="1">
      <c r="A164" s="77" t="s">
        <v>365</v>
      </c>
      <c r="B164" s="74" t="str">
        <f t="shared" si="4"/>
        <v>Saldo Deuda Bruta GNC</v>
      </c>
      <c r="C164" s="75" t="s">
        <v>367</v>
      </c>
      <c r="D164" s="70" t="s">
        <v>366</v>
      </c>
      <c r="F164" s="29"/>
      <c r="G164" s="29"/>
      <c r="H164" s="30"/>
      <c r="I164" s="29"/>
      <c r="K164" s="32"/>
      <c r="M164" s="32"/>
      <c r="O164" s="30"/>
      <c r="Q164" s="30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</row>
    <row r="165" spans="1:45" s="31" customFormat="1">
      <c r="A165" s="77"/>
      <c r="B165" s="74"/>
      <c r="C165" s="75"/>
      <c r="D165" s="70"/>
      <c r="F165" s="29"/>
      <c r="G165" s="29"/>
      <c r="H165" s="63"/>
      <c r="I165" s="29"/>
      <c r="K165" s="32"/>
      <c r="M165" s="32"/>
      <c r="O165" s="30"/>
      <c r="Q165" s="30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</row>
    <row r="166" spans="1:45" s="31" customFormat="1">
      <c r="A166" s="77"/>
      <c r="B166" s="77"/>
      <c r="C166" s="77"/>
      <c r="D166" s="77"/>
      <c r="F166" s="29"/>
      <c r="G166" s="29"/>
      <c r="H166" s="30"/>
      <c r="I166" s="29"/>
      <c r="K166" s="32"/>
      <c r="M166" s="32"/>
      <c r="O166" s="30"/>
      <c r="Q166" s="30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</row>
    <row r="167" spans="1:45" s="31" customFormat="1">
      <c r="A167" s="77"/>
      <c r="B167" s="77"/>
      <c r="C167" s="77"/>
      <c r="D167" s="84"/>
      <c r="F167" s="29"/>
      <c r="G167" s="29"/>
      <c r="H167" s="63"/>
      <c r="I167" s="29"/>
      <c r="K167" s="32"/>
      <c r="M167" s="32"/>
      <c r="O167" s="30"/>
      <c r="Q167" s="30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</row>
    <row r="168" spans="1:45" s="31" customFormat="1">
      <c r="A168" s="77"/>
      <c r="B168" s="77"/>
      <c r="C168" s="77"/>
      <c r="D168" s="77"/>
      <c r="F168" s="29"/>
      <c r="G168" s="29"/>
      <c r="H168" s="30"/>
      <c r="I168" s="29"/>
      <c r="K168" s="32"/>
      <c r="M168" s="32"/>
      <c r="O168" s="30"/>
      <c r="Q168" s="30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</row>
    <row r="169" spans="1:45" s="31" customFormat="1">
      <c r="A169" s="77"/>
      <c r="B169" s="77"/>
      <c r="C169" s="77"/>
      <c r="D169" s="77"/>
      <c r="F169" s="29"/>
      <c r="G169" s="29"/>
      <c r="H169" s="63"/>
      <c r="I169" s="29"/>
      <c r="K169" s="32"/>
      <c r="M169" s="32"/>
      <c r="O169" s="30"/>
      <c r="Q169" s="30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</row>
    <row r="170" spans="1:45" s="31" customFormat="1">
      <c r="A170" s="77"/>
      <c r="B170" s="77"/>
      <c r="C170" s="77"/>
      <c r="D170" s="77"/>
      <c r="F170" s="29"/>
      <c r="G170" s="29"/>
      <c r="H170" s="30"/>
      <c r="I170" s="29"/>
      <c r="K170" s="32"/>
      <c r="M170" s="32"/>
      <c r="O170" s="30"/>
      <c r="Q170" s="30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</row>
    <row r="171" spans="1:45" s="31" customFormat="1">
      <c r="A171" s="77"/>
      <c r="B171" s="77"/>
      <c r="C171" s="77"/>
      <c r="D171" s="77"/>
      <c r="F171" s="29"/>
      <c r="G171" s="29"/>
      <c r="H171" s="63"/>
      <c r="I171" s="29"/>
      <c r="K171" s="32"/>
      <c r="M171" s="32"/>
      <c r="O171" s="30"/>
      <c r="Q171" s="30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</row>
    <row r="172" spans="1:45" s="31" customFormat="1">
      <c r="A172" s="77"/>
      <c r="B172" s="77"/>
      <c r="C172" s="77"/>
      <c r="D172" s="77"/>
      <c r="F172" s="29"/>
      <c r="G172" s="29"/>
      <c r="H172" s="30"/>
      <c r="I172" s="29"/>
      <c r="K172" s="32"/>
      <c r="M172" s="32"/>
      <c r="O172" s="30"/>
      <c r="Q172" s="30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</row>
    <row r="173" spans="1:45" s="31" customFormat="1">
      <c r="A173" s="77"/>
      <c r="B173" s="77"/>
      <c r="C173" s="77"/>
      <c r="D173" s="77"/>
      <c r="F173" s="29"/>
      <c r="G173" s="29"/>
      <c r="H173" s="63"/>
      <c r="I173" s="29"/>
      <c r="K173" s="32"/>
      <c r="M173" s="32"/>
      <c r="O173" s="30"/>
      <c r="Q173" s="30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</row>
    <row r="174" spans="1:45" s="31" customFormat="1">
      <c r="A174" s="77"/>
      <c r="B174" s="77"/>
      <c r="C174" s="77"/>
      <c r="D174" s="77"/>
      <c r="F174" s="29"/>
      <c r="G174" s="29"/>
      <c r="H174" s="30"/>
      <c r="I174" s="29"/>
      <c r="K174" s="32"/>
      <c r="M174" s="32"/>
      <c r="O174" s="30"/>
      <c r="Q174" s="30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</row>
    <row r="175" spans="1:45" s="31" customFormat="1">
      <c r="A175" s="77"/>
      <c r="B175" s="77"/>
      <c r="C175" s="77"/>
      <c r="D175" s="77"/>
      <c r="F175" s="29"/>
      <c r="G175" s="29"/>
      <c r="H175" s="63"/>
      <c r="I175" s="29"/>
      <c r="K175" s="32"/>
      <c r="M175" s="32"/>
      <c r="O175" s="30"/>
      <c r="Q175" s="30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</row>
    <row r="176" spans="1:45" s="31" customFormat="1">
      <c r="A176" s="77"/>
      <c r="B176" s="77"/>
      <c r="C176" s="77"/>
      <c r="D176" s="77"/>
      <c r="F176" s="29"/>
      <c r="G176" s="29"/>
      <c r="H176" s="30"/>
      <c r="I176" s="29"/>
      <c r="K176" s="32"/>
      <c r="M176" s="32"/>
      <c r="O176" s="30"/>
      <c r="Q176" s="30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</row>
    <row r="177" spans="1:45" s="31" customFormat="1">
      <c r="A177" s="77"/>
      <c r="B177" s="77"/>
      <c r="C177" s="77"/>
      <c r="D177" s="77"/>
      <c r="F177" s="29"/>
      <c r="G177" s="29"/>
      <c r="H177" s="63"/>
      <c r="I177" s="29"/>
      <c r="K177" s="32"/>
      <c r="M177" s="32"/>
      <c r="O177" s="30"/>
      <c r="Q177" s="30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</row>
    <row r="178" spans="1:45" s="31" customFormat="1">
      <c r="A178" s="77"/>
      <c r="B178" s="77"/>
      <c r="C178" s="77"/>
      <c r="D178" s="77"/>
      <c r="F178" s="29"/>
      <c r="G178" s="29"/>
      <c r="H178" s="30"/>
      <c r="I178" s="29"/>
      <c r="K178" s="32"/>
      <c r="M178" s="32"/>
      <c r="O178" s="30"/>
      <c r="Q178" s="30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</row>
    <row r="179" spans="1:45" s="31" customFormat="1">
      <c r="A179" s="77"/>
      <c r="B179" s="77"/>
      <c r="C179" s="77"/>
      <c r="D179" s="77"/>
      <c r="F179" s="29"/>
      <c r="G179" s="29"/>
      <c r="H179" s="63"/>
      <c r="I179" s="29"/>
      <c r="K179" s="32"/>
      <c r="M179" s="32"/>
      <c r="O179" s="30"/>
      <c r="Q179" s="30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</row>
    <row r="180" spans="1:45" s="31" customFormat="1">
      <c r="A180" s="77"/>
      <c r="B180" s="77"/>
      <c r="C180" s="77"/>
      <c r="D180" s="77"/>
      <c r="F180" s="29"/>
      <c r="G180" s="29"/>
      <c r="H180" s="30"/>
      <c r="I180" s="29"/>
      <c r="K180" s="32"/>
      <c r="M180" s="32"/>
      <c r="O180" s="30"/>
      <c r="Q180" s="30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</row>
    <row r="181" spans="1:45" s="31" customFormat="1">
      <c r="A181" s="77"/>
      <c r="B181" s="77"/>
      <c r="C181" s="77"/>
      <c r="D181" s="77"/>
      <c r="F181" s="29"/>
      <c r="G181" s="29"/>
      <c r="H181" s="63"/>
      <c r="I181" s="29"/>
      <c r="K181" s="32"/>
      <c r="M181" s="32"/>
      <c r="O181" s="30"/>
      <c r="Q181" s="30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</row>
    <row r="182" spans="1:45" s="31" customFormat="1">
      <c r="A182" s="77"/>
      <c r="B182" s="77"/>
      <c r="C182" s="77"/>
      <c r="D182" s="77"/>
      <c r="F182" s="29"/>
      <c r="G182" s="29"/>
      <c r="H182" s="30"/>
      <c r="I182" s="29"/>
      <c r="K182" s="32"/>
      <c r="M182" s="32"/>
      <c r="O182" s="30"/>
      <c r="Q182" s="30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</row>
    <row r="183" spans="1:45" s="31" customFormat="1">
      <c r="A183" s="77"/>
      <c r="B183" s="77"/>
      <c r="C183" s="77"/>
      <c r="D183" s="77"/>
      <c r="F183" s="29"/>
      <c r="G183" s="29"/>
      <c r="H183" s="63"/>
      <c r="I183" s="29"/>
      <c r="K183" s="32"/>
      <c r="M183" s="32"/>
      <c r="O183" s="30"/>
      <c r="Q183" s="30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</row>
    <row r="184" spans="1:45" s="31" customFormat="1">
      <c r="A184" s="77"/>
      <c r="B184" s="77"/>
      <c r="C184" s="77"/>
      <c r="D184" s="77"/>
      <c r="F184" s="29"/>
      <c r="G184" s="29"/>
      <c r="H184" s="30"/>
      <c r="I184" s="29"/>
      <c r="K184" s="32"/>
      <c r="M184" s="32"/>
      <c r="O184" s="30"/>
      <c r="Q184" s="30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</row>
    <row r="185" spans="1:45" s="31" customFormat="1">
      <c r="A185" s="77"/>
      <c r="B185" s="77"/>
      <c r="C185" s="77"/>
      <c r="D185" s="77"/>
      <c r="F185" s="29"/>
      <c r="G185" s="29"/>
      <c r="H185" s="63"/>
      <c r="I185" s="29"/>
      <c r="K185" s="32"/>
      <c r="M185" s="32"/>
      <c r="O185" s="30"/>
      <c r="Q185" s="30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</row>
    <row r="186" spans="1:45" s="31" customFormat="1">
      <c r="A186" s="77"/>
      <c r="B186" s="77"/>
      <c r="C186" s="77"/>
      <c r="D186" s="77"/>
      <c r="F186" s="29"/>
      <c r="G186" s="29"/>
      <c r="H186" s="30"/>
      <c r="I186" s="29"/>
      <c r="K186" s="32"/>
      <c r="M186" s="32"/>
      <c r="O186" s="30"/>
      <c r="Q186" s="30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</row>
    <row r="187" spans="1:45" s="31" customFormat="1">
      <c r="A187" s="77"/>
      <c r="B187" s="77"/>
      <c r="C187" s="77"/>
      <c r="D187" s="77"/>
      <c r="F187" s="29"/>
      <c r="G187" s="29"/>
      <c r="H187" s="63"/>
      <c r="I187" s="29"/>
      <c r="K187" s="32"/>
      <c r="M187" s="32"/>
      <c r="O187" s="30"/>
      <c r="Q187" s="30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</row>
    <row r="188" spans="1:45" s="31" customFormat="1">
      <c r="A188" s="77"/>
      <c r="B188" s="77"/>
      <c r="C188" s="77"/>
      <c r="D188" s="77"/>
      <c r="F188" s="29"/>
      <c r="G188" s="29"/>
      <c r="H188" s="30"/>
      <c r="I188" s="29"/>
      <c r="K188" s="32"/>
      <c r="M188" s="32"/>
      <c r="O188" s="30"/>
      <c r="Q188" s="30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</row>
    <row r="189" spans="1:45" s="31" customFormat="1">
      <c r="A189" s="77"/>
      <c r="B189" s="77"/>
      <c r="C189" s="77"/>
      <c r="D189" s="77"/>
      <c r="F189" s="29"/>
      <c r="G189" s="29"/>
      <c r="H189" s="63"/>
      <c r="I189" s="29"/>
      <c r="K189" s="32"/>
      <c r="M189" s="32"/>
      <c r="O189" s="30"/>
      <c r="Q189" s="30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</row>
    <row r="190" spans="1:45" s="31" customFormat="1">
      <c r="A190" s="77"/>
      <c r="B190" s="77"/>
      <c r="C190" s="77"/>
      <c r="D190" s="77"/>
      <c r="F190" s="29"/>
      <c r="G190" s="29"/>
      <c r="H190" s="30"/>
      <c r="I190" s="29"/>
      <c r="K190" s="32"/>
      <c r="M190" s="32"/>
      <c r="O190" s="30"/>
      <c r="Q190" s="30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</row>
    <row r="191" spans="1:45" s="31" customFormat="1">
      <c r="A191" s="77"/>
      <c r="B191" s="77"/>
      <c r="C191" s="77"/>
      <c r="D191" s="77"/>
      <c r="F191" s="29"/>
      <c r="G191" s="29"/>
      <c r="H191" s="63"/>
      <c r="I191" s="29"/>
      <c r="K191" s="32"/>
      <c r="M191" s="32"/>
      <c r="O191" s="30"/>
      <c r="Q191" s="30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</row>
    <row r="192" spans="1:45" s="31" customFormat="1">
      <c r="A192" s="77"/>
      <c r="B192" s="77"/>
      <c r="C192" s="77"/>
      <c r="D192" s="77"/>
      <c r="F192" s="29"/>
      <c r="G192" s="29"/>
      <c r="H192" s="30"/>
      <c r="I192" s="29"/>
      <c r="K192" s="32"/>
      <c r="M192" s="32"/>
      <c r="O192" s="30"/>
      <c r="Q192" s="30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</row>
    <row r="193" spans="1:45" s="31" customFormat="1">
      <c r="A193" s="77"/>
      <c r="B193" s="77"/>
      <c r="C193" s="77"/>
      <c r="D193" s="77"/>
      <c r="F193" s="29"/>
      <c r="G193" s="29"/>
      <c r="H193" s="63"/>
      <c r="I193" s="29"/>
      <c r="K193" s="32"/>
      <c r="M193" s="32"/>
      <c r="O193" s="30"/>
      <c r="Q193" s="30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</row>
    <row r="194" spans="1:45" s="31" customFormat="1">
      <c r="A194" s="77"/>
      <c r="B194" s="77"/>
      <c r="C194" s="85"/>
      <c r="D194" s="85"/>
      <c r="F194" s="29"/>
      <c r="G194" s="29"/>
      <c r="H194" s="30"/>
      <c r="I194" s="29"/>
      <c r="K194" s="32"/>
      <c r="M194" s="32"/>
      <c r="O194" s="30"/>
      <c r="Q194" s="30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</row>
    <row r="195" spans="1:45" s="31" customFormat="1">
      <c r="A195" s="77"/>
      <c r="B195" s="77"/>
      <c r="C195" s="85"/>
      <c r="D195" s="86"/>
      <c r="F195" s="29"/>
      <c r="G195" s="29"/>
      <c r="H195" s="63"/>
      <c r="I195" s="29"/>
      <c r="K195" s="32"/>
      <c r="M195" s="32"/>
      <c r="O195" s="30"/>
      <c r="Q195" s="30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</row>
    <row r="196" spans="1:45" s="31" customFormat="1">
      <c r="A196" s="77"/>
      <c r="B196" s="77"/>
      <c r="C196" s="85"/>
      <c r="D196" s="85"/>
      <c r="F196" s="29"/>
      <c r="G196" s="29"/>
      <c r="H196" s="30"/>
      <c r="I196" s="29"/>
      <c r="K196" s="32"/>
      <c r="M196" s="32"/>
      <c r="O196" s="30"/>
      <c r="Q196" s="30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</row>
    <row r="197" spans="1:45" s="30" customFormat="1">
      <c r="A197" s="77"/>
      <c r="B197" s="77"/>
      <c r="C197" s="86"/>
      <c r="D197" s="85"/>
      <c r="E197" s="31"/>
      <c r="F197" s="29"/>
      <c r="G197" s="29"/>
      <c r="H197" s="63"/>
      <c r="I197" s="29"/>
      <c r="J197" s="31"/>
      <c r="K197" s="32"/>
      <c r="L197" s="31"/>
      <c r="M197" s="32"/>
      <c r="N197" s="31"/>
      <c r="P197" s="31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</row>
    <row r="198" spans="1:45" s="30" customFormat="1">
      <c r="A198" s="77"/>
      <c r="B198" s="77"/>
      <c r="C198" s="86"/>
      <c r="D198" s="85"/>
      <c r="E198" s="31"/>
      <c r="F198" s="29"/>
      <c r="G198" s="29"/>
      <c r="I198" s="29"/>
      <c r="J198" s="31"/>
      <c r="K198" s="32"/>
      <c r="L198" s="31"/>
      <c r="M198" s="32"/>
      <c r="N198" s="31"/>
      <c r="P198" s="31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</row>
    <row r="199" spans="1:45" s="30" customFormat="1">
      <c r="A199" s="77"/>
      <c r="B199" s="77"/>
      <c r="C199" s="87"/>
      <c r="D199" s="85"/>
      <c r="E199" s="31"/>
      <c r="F199" s="29"/>
      <c r="G199" s="29"/>
      <c r="H199" s="63"/>
      <c r="I199" s="29"/>
      <c r="J199" s="31"/>
      <c r="K199" s="32"/>
      <c r="L199" s="31"/>
      <c r="M199" s="32"/>
      <c r="N199" s="31"/>
      <c r="P199" s="31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</row>
    <row r="200" spans="1:45" s="30" customFormat="1">
      <c r="A200" s="77"/>
      <c r="B200" s="77"/>
      <c r="C200" s="87"/>
      <c r="D200" s="85"/>
      <c r="E200" s="31"/>
      <c r="F200" s="29"/>
      <c r="G200" s="29"/>
      <c r="I200" s="29"/>
      <c r="J200" s="31"/>
      <c r="K200" s="32"/>
      <c r="L200" s="31"/>
      <c r="M200" s="32"/>
      <c r="N200" s="31"/>
      <c r="P200" s="31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</row>
    <row r="201" spans="1:45" s="30" customFormat="1">
      <c r="A201" s="77"/>
      <c r="B201" s="77"/>
      <c r="C201" s="85"/>
      <c r="D201" s="85"/>
      <c r="E201" s="31"/>
      <c r="F201" s="29"/>
      <c r="G201" s="29"/>
      <c r="H201" s="63"/>
      <c r="I201" s="29"/>
      <c r="J201" s="31"/>
      <c r="K201" s="32"/>
      <c r="L201" s="31"/>
      <c r="M201" s="32"/>
      <c r="N201" s="31"/>
      <c r="P201" s="31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</row>
    <row r="202" spans="1:45" s="30" customFormat="1">
      <c r="A202" s="77"/>
      <c r="B202" s="77"/>
      <c r="C202" s="77"/>
      <c r="D202" s="77"/>
      <c r="E202" s="31"/>
      <c r="F202" s="29"/>
      <c r="G202" s="29"/>
      <c r="I202" s="29"/>
      <c r="J202" s="31"/>
      <c r="K202" s="32"/>
      <c r="L202" s="31"/>
      <c r="M202" s="32"/>
      <c r="N202" s="31"/>
      <c r="P202" s="31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</row>
    <row r="203" spans="1:45" s="30" customFormat="1">
      <c r="A203" s="77"/>
      <c r="B203" s="77"/>
      <c r="C203" s="77"/>
      <c r="D203" s="77"/>
      <c r="E203" s="31"/>
      <c r="F203" s="29"/>
      <c r="G203" s="29"/>
      <c r="H203" s="63"/>
      <c r="I203" s="29"/>
      <c r="J203" s="31"/>
      <c r="K203" s="32"/>
      <c r="L203" s="31"/>
      <c r="M203" s="32"/>
      <c r="N203" s="31"/>
      <c r="P203" s="31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</row>
    <row r="204" spans="1:45" s="30" customFormat="1">
      <c r="A204" s="77"/>
      <c r="B204" s="77"/>
      <c r="C204" s="85"/>
      <c r="D204" s="86"/>
      <c r="E204" s="31"/>
      <c r="F204" s="29"/>
      <c r="G204" s="29"/>
      <c r="I204" s="29"/>
      <c r="J204" s="31"/>
      <c r="K204" s="32"/>
      <c r="L204" s="31"/>
      <c r="M204" s="32"/>
      <c r="N204" s="31"/>
      <c r="P204" s="31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</row>
    <row r="205" spans="1:45" s="30" customFormat="1">
      <c r="A205" s="77"/>
      <c r="B205" s="77"/>
      <c r="C205" s="86"/>
      <c r="D205" s="85"/>
      <c r="E205" s="31"/>
      <c r="F205" s="29"/>
      <c r="G205" s="29"/>
      <c r="H205" s="63"/>
      <c r="I205" s="29"/>
      <c r="J205" s="31"/>
      <c r="K205" s="32"/>
      <c r="L205" s="31"/>
      <c r="M205" s="32"/>
      <c r="N205" s="31"/>
      <c r="P205" s="31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</row>
    <row r="206" spans="1:45">
      <c r="C206" s="85"/>
      <c r="D206" s="85"/>
      <c r="F206" s="29"/>
      <c r="G206" s="29"/>
      <c r="H206" s="30"/>
    </row>
    <row r="207" spans="1:45" s="30" customFormat="1">
      <c r="A207" s="77"/>
      <c r="B207" s="77"/>
      <c r="C207" s="85"/>
      <c r="D207" s="85"/>
      <c r="E207" s="31"/>
      <c r="F207" s="29"/>
      <c r="G207" s="29"/>
      <c r="H207" s="63"/>
      <c r="I207" s="29"/>
      <c r="J207" s="31"/>
      <c r="K207" s="32"/>
      <c r="L207" s="31"/>
      <c r="M207" s="32"/>
      <c r="N207" s="31"/>
      <c r="P207" s="31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</row>
    <row r="208" spans="1:45" s="30" customFormat="1">
      <c r="A208" s="77"/>
      <c r="B208" s="77"/>
      <c r="C208" s="85"/>
      <c r="D208" s="85"/>
      <c r="E208" s="31"/>
      <c r="F208" s="29"/>
      <c r="G208" s="29"/>
      <c r="I208" s="29"/>
      <c r="J208" s="31"/>
      <c r="K208" s="32"/>
      <c r="L208" s="31"/>
      <c r="M208" s="32"/>
      <c r="N208" s="31"/>
      <c r="P208" s="31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</row>
    <row r="209" spans="1:45">
      <c r="C209" s="85"/>
      <c r="D209" s="85"/>
      <c r="F209" s="29"/>
      <c r="G209" s="29"/>
      <c r="H209" s="63"/>
    </row>
    <row r="210" spans="1:45">
      <c r="C210" s="85"/>
      <c r="D210" s="85"/>
      <c r="F210" s="29"/>
      <c r="G210" s="29"/>
      <c r="H210" s="30"/>
    </row>
    <row r="211" spans="1:45" s="30" customFormat="1">
      <c r="A211" s="77"/>
      <c r="B211" s="77"/>
      <c r="C211" s="85"/>
      <c r="D211" s="85"/>
      <c r="E211" s="31"/>
      <c r="F211" s="29"/>
      <c r="G211" s="29"/>
      <c r="H211" s="63"/>
      <c r="I211" s="29"/>
      <c r="J211" s="31"/>
      <c r="K211" s="32"/>
      <c r="L211" s="31"/>
      <c r="M211" s="32"/>
      <c r="N211" s="31"/>
      <c r="P211" s="31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</row>
    <row r="212" spans="1:45" s="30" customFormat="1">
      <c r="A212" s="77"/>
      <c r="B212" s="77"/>
      <c r="C212" s="85"/>
      <c r="D212" s="85"/>
      <c r="E212" s="31"/>
      <c r="F212" s="29"/>
      <c r="G212" s="29"/>
      <c r="I212" s="29"/>
      <c r="J212" s="31"/>
      <c r="K212" s="32"/>
      <c r="L212" s="31"/>
      <c r="M212" s="32"/>
      <c r="N212" s="31"/>
      <c r="P212" s="31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</row>
    <row r="213" spans="1:45">
      <c r="C213" s="85"/>
      <c r="D213" s="85"/>
      <c r="F213" s="29"/>
      <c r="G213" s="29"/>
      <c r="H213" s="63"/>
    </row>
    <row r="214" spans="1:45">
      <c r="C214" s="85"/>
      <c r="D214" s="85"/>
      <c r="F214" s="29"/>
      <c r="G214" s="29"/>
      <c r="H214" s="30"/>
    </row>
    <row r="215" spans="1:45">
      <c r="C215" s="85"/>
      <c r="D215" s="85"/>
      <c r="F215" s="29"/>
      <c r="G215" s="29"/>
      <c r="H215" s="63"/>
    </row>
    <row r="216" spans="1:45">
      <c r="C216" s="85"/>
      <c r="D216" s="85"/>
      <c r="F216" s="29"/>
      <c r="G216" s="29"/>
      <c r="H216" s="30"/>
    </row>
    <row r="217" spans="1:45">
      <c r="C217" s="85"/>
      <c r="D217" s="85"/>
      <c r="F217" s="29"/>
      <c r="G217" s="29"/>
      <c r="H217" s="63"/>
    </row>
    <row r="218" spans="1:45">
      <c r="C218" s="85"/>
      <c r="D218" s="85"/>
      <c r="F218" s="29"/>
      <c r="G218" s="29"/>
      <c r="H218" s="30"/>
    </row>
    <row r="219" spans="1:45">
      <c r="C219" s="85"/>
      <c r="D219" s="85"/>
      <c r="F219" s="29"/>
      <c r="G219" s="29"/>
      <c r="H219" s="63"/>
    </row>
    <row r="220" spans="1:45">
      <c r="C220" s="85"/>
      <c r="D220" s="88"/>
      <c r="F220" s="29"/>
      <c r="G220" s="29"/>
      <c r="H220" s="30"/>
    </row>
    <row r="221" spans="1:45">
      <c r="C221" s="85"/>
      <c r="D221" s="85"/>
      <c r="F221" s="29"/>
      <c r="G221" s="29"/>
      <c r="H221" s="63"/>
    </row>
    <row r="222" spans="1:45">
      <c r="C222" s="85"/>
      <c r="D222" s="85"/>
      <c r="F222" s="29"/>
      <c r="G222" s="29"/>
      <c r="H222" s="30"/>
    </row>
    <row r="223" spans="1:45">
      <c r="C223" s="85"/>
      <c r="D223" s="85"/>
      <c r="F223" s="29"/>
      <c r="G223" s="29"/>
      <c r="H223" s="63"/>
    </row>
    <row r="224" spans="1:45">
      <c r="C224" s="85"/>
      <c r="D224" s="85"/>
      <c r="F224" s="29"/>
      <c r="G224" s="29"/>
      <c r="H224" s="30"/>
    </row>
    <row r="225" spans="3:8">
      <c r="C225" s="85"/>
      <c r="D225" s="86"/>
      <c r="F225" s="29"/>
      <c r="G225" s="29"/>
      <c r="H225" s="63"/>
    </row>
    <row r="226" spans="3:8">
      <c r="C226" s="85"/>
      <c r="D226" s="86"/>
      <c r="F226" s="29"/>
      <c r="G226" s="29"/>
      <c r="H226" s="30"/>
    </row>
    <row r="227" spans="3:8">
      <c r="C227" s="85"/>
      <c r="D227" s="85"/>
      <c r="F227" s="29"/>
      <c r="G227" s="29"/>
      <c r="H227" s="63"/>
    </row>
    <row r="228" spans="3:8">
      <c r="C228" s="86"/>
      <c r="D228" s="86"/>
      <c r="F228" s="29"/>
      <c r="G228" s="29"/>
      <c r="H228" s="30"/>
    </row>
    <row r="229" spans="3:8">
      <c r="C229" s="86"/>
      <c r="D229" s="86"/>
      <c r="F229" s="29"/>
      <c r="G229" s="29"/>
      <c r="H229" s="63"/>
    </row>
    <row r="230" spans="3:8">
      <c r="C230" s="85"/>
      <c r="D230" s="86"/>
      <c r="F230" s="29"/>
      <c r="G230" s="29"/>
      <c r="H230" s="30"/>
    </row>
    <row r="231" spans="3:8">
      <c r="C231" s="85"/>
      <c r="D231" s="86"/>
      <c r="F231" s="29"/>
      <c r="G231" s="29"/>
      <c r="H231" s="63"/>
    </row>
    <row r="232" spans="3:8">
      <c r="C232" s="85"/>
      <c r="D232" s="86"/>
      <c r="F232" s="29"/>
      <c r="G232" s="29"/>
      <c r="H232" s="30"/>
    </row>
    <row r="233" spans="3:8">
      <c r="C233" s="85"/>
      <c r="D233" s="86"/>
      <c r="F233" s="29"/>
      <c r="G233" s="29"/>
      <c r="H233" s="63"/>
    </row>
    <row r="234" spans="3:8">
      <c r="C234" s="85"/>
      <c r="D234" s="86"/>
      <c r="F234" s="29"/>
      <c r="G234" s="29"/>
      <c r="H234" s="30"/>
    </row>
    <row r="235" spans="3:8">
      <c r="C235" s="87"/>
      <c r="D235" s="86"/>
      <c r="F235" s="29"/>
      <c r="G235" s="29"/>
      <c r="H235" s="63"/>
    </row>
    <row r="236" spans="3:8">
      <c r="C236" s="87"/>
      <c r="D236" s="86"/>
      <c r="F236" s="29"/>
      <c r="G236" s="29"/>
      <c r="H236" s="30"/>
    </row>
    <row r="237" spans="3:8">
      <c r="C237" s="87"/>
      <c r="D237" s="86"/>
      <c r="F237" s="29"/>
      <c r="G237" s="29"/>
      <c r="H237" s="63"/>
    </row>
    <row r="238" spans="3:8">
      <c r="C238" s="86"/>
      <c r="D238" s="86"/>
      <c r="F238" s="29"/>
      <c r="G238" s="29"/>
      <c r="H238" s="30"/>
    </row>
    <row r="239" spans="3:8">
      <c r="C239" s="85"/>
      <c r="D239" s="85"/>
      <c r="F239" s="29"/>
      <c r="G239" s="29"/>
      <c r="H239" s="63"/>
    </row>
    <row r="240" spans="3:8">
      <c r="C240" s="85"/>
      <c r="D240" s="85"/>
      <c r="F240" s="29"/>
      <c r="G240" s="29"/>
      <c r="H240" s="30"/>
    </row>
    <row r="241" spans="3:8">
      <c r="C241" s="85"/>
      <c r="D241" s="85"/>
      <c r="F241" s="29"/>
      <c r="G241" s="29"/>
      <c r="H241" s="63"/>
    </row>
    <row r="242" spans="3:8">
      <c r="C242" s="85"/>
      <c r="D242" s="86"/>
      <c r="F242" s="29"/>
      <c r="G242" s="29"/>
      <c r="H242" s="30"/>
    </row>
    <row r="243" spans="3:8">
      <c r="C243" s="85"/>
      <c r="D243" s="86"/>
      <c r="F243" s="29"/>
      <c r="G243" s="29"/>
      <c r="H243" s="63"/>
    </row>
    <row r="244" spans="3:8">
      <c r="F244" s="29"/>
      <c r="G244" s="29"/>
      <c r="H244" s="30"/>
    </row>
    <row r="245" spans="3:8">
      <c r="C245" s="85"/>
      <c r="D245" s="86"/>
      <c r="F245" s="29"/>
      <c r="G245" s="29"/>
      <c r="H245" s="63"/>
    </row>
    <row r="246" spans="3:8">
      <c r="C246" s="85"/>
      <c r="D246" s="86"/>
      <c r="F246" s="29"/>
      <c r="G246" s="29"/>
      <c r="H246" s="30"/>
    </row>
    <row r="247" spans="3:8">
      <c r="C247" s="86"/>
      <c r="D247" s="86"/>
      <c r="F247" s="29"/>
      <c r="G247" s="29"/>
      <c r="H247" s="63"/>
    </row>
    <row r="248" spans="3:8">
      <c r="C248" s="86"/>
      <c r="D248" s="86"/>
      <c r="F248" s="29"/>
      <c r="G248" s="29"/>
      <c r="H248" s="30"/>
    </row>
    <row r="249" spans="3:8">
      <c r="C249" s="85"/>
      <c r="D249" s="86"/>
      <c r="F249" s="29"/>
      <c r="G249" s="29"/>
      <c r="H249" s="63"/>
    </row>
    <row r="250" spans="3:8">
      <c r="C250" s="85"/>
      <c r="D250" s="86"/>
      <c r="F250" s="29"/>
      <c r="G250" s="29"/>
      <c r="H250" s="30"/>
    </row>
    <row r="251" spans="3:8">
      <c r="F251" s="29"/>
      <c r="G251" s="29"/>
      <c r="H251" s="63"/>
    </row>
    <row r="252" spans="3:8">
      <c r="F252" s="29"/>
      <c r="G252" s="29"/>
      <c r="H252" s="30"/>
    </row>
    <row r="253" spans="3:8">
      <c r="F253" s="29"/>
      <c r="G253" s="29"/>
      <c r="H253" s="63"/>
    </row>
    <row r="254" spans="3:8">
      <c r="F254" s="29"/>
      <c r="G254" s="29"/>
      <c r="H254" s="30"/>
    </row>
    <row r="255" spans="3:8">
      <c r="F255" s="29"/>
      <c r="G255" s="29"/>
      <c r="H255" s="63"/>
    </row>
    <row r="256" spans="3:8">
      <c r="F256" s="29"/>
      <c r="G256" s="29"/>
      <c r="H256" s="30"/>
    </row>
    <row r="257" spans="3:8">
      <c r="F257" s="29"/>
      <c r="G257" s="29"/>
      <c r="H257" s="63"/>
    </row>
    <row r="258" spans="3:8">
      <c r="F258" s="29"/>
      <c r="G258" s="29"/>
      <c r="H258" s="30"/>
    </row>
    <row r="259" spans="3:8">
      <c r="F259" s="29"/>
      <c r="G259" s="29"/>
      <c r="H259" s="63"/>
    </row>
    <row r="260" spans="3:8">
      <c r="F260" s="29"/>
      <c r="G260" s="29"/>
      <c r="H260" s="30"/>
    </row>
    <row r="261" spans="3:8">
      <c r="C261" s="87"/>
      <c r="F261" s="29"/>
      <c r="G261" s="29"/>
      <c r="H261" s="63"/>
    </row>
    <row r="262" spans="3:8">
      <c r="C262" s="87"/>
      <c r="F262" s="29"/>
      <c r="G262" s="29"/>
      <c r="H262" s="30"/>
    </row>
    <row r="263" spans="3:8">
      <c r="F263" s="29"/>
      <c r="G263" s="29"/>
      <c r="H263" s="63"/>
    </row>
    <row r="264" spans="3:8">
      <c r="F264" s="29"/>
      <c r="G264" s="29"/>
      <c r="H264" s="30"/>
    </row>
    <row r="265" spans="3:8">
      <c r="F265" s="29"/>
      <c r="G265" s="29"/>
      <c r="H265" s="63"/>
    </row>
    <row r="266" spans="3:8">
      <c r="F266" s="29"/>
      <c r="G266" s="29"/>
      <c r="H266" s="30"/>
    </row>
    <row r="267" spans="3:8">
      <c r="F267" s="29"/>
      <c r="G267" s="29"/>
      <c r="H267" s="63"/>
    </row>
    <row r="268" spans="3:8">
      <c r="F268" s="29"/>
      <c r="G268" s="29"/>
      <c r="H268" s="30"/>
    </row>
    <row r="269" spans="3:8">
      <c r="F269" s="29"/>
      <c r="G269" s="29"/>
      <c r="H269" s="63"/>
    </row>
    <row r="270" spans="3:8">
      <c r="F270" s="29"/>
      <c r="G270" s="29"/>
      <c r="H270" s="30"/>
    </row>
    <row r="271" spans="3:8">
      <c r="F271" s="29"/>
      <c r="G271" s="29"/>
      <c r="H271" s="63"/>
    </row>
    <row r="272" spans="3:8">
      <c r="F272" s="29"/>
      <c r="G272" s="29"/>
      <c r="H272" s="30"/>
    </row>
    <row r="273" spans="6:8">
      <c r="F273" s="29"/>
      <c r="G273" s="29"/>
      <c r="H273" s="63"/>
    </row>
    <row r="274" spans="6:8">
      <c r="F274" s="29"/>
      <c r="G274" s="29"/>
      <c r="H274" s="30"/>
    </row>
    <row r="275" spans="6:8">
      <c r="F275" s="29"/>
      <c r="G275" s="29"/>
      <c r="H275" s="63"/>
    </row>
    <row r="276" spans="6:8">
      <c r="F276" s="29"/>
      <c r="G276" s="29"/>
      <c r="H276" s="30"/>
    </row>
    <row r="277" spans="6:8">
      <c r="F277" s="29"/>
      <c r="G277" s="29"/>
      <c r="H277" s="63"/>
    </row>
    <row r="278" spans="6:8">
      <c r="F278" s="29"/>
      <c r="G278" s="29"/>
      <c r="H278" s="30"/>
    </row>
    <row r="279" spans="6:8">
      <c r="F279" s="29"/>
      <c r="G279" s="29"/>
      <c r="H279" s="63"/>
    </row>
    <row r="280" spans="6:8">
      <c r="F280" s="29"/>
      <c r="G280" s="29"/>
      <c r="H280" s="30"/>
    </row>
    <row r="281" spans="6:8">
      <c r="F281" s="29"/>
      <c r="G281" s="29"/>
      <c r="H281" s="63"/>
    </row>
    <row r="282" spans="6:8">
      <c r="F282" s="29"/>
      <c r="G282" s="29"/>
      <c r="H282" s="30"/>
    </row>
    <row r="283" spans="6:8">
      <c r="F283" s="29"/>
      <c r="G283" s="29"/>
      <c r="H283" s="63"/>
    </row>
    <row r="284" spans="6:8">
      <c r="F284" s="29"/>
      <c r="G284" s="29"/>
      <c r="H284" s="30"/>
    </row>
    <row r="285" spans="6:8">
      <c r="F285" s="29"/>
      <c r="G285" s="29"/>
      <c r="H285" s="63"/>
    </row>
    <row r="286" spans="6:8">
      <c r="F286" s="29"/>
      <c r="G286" s="29"/>
      <c r="H286" s="30"/>
    </row>
    <row r="287" spans="6:8">
      <c r="F287" s="29"/>
      <c r="G287" s="29"/>
      <c r="H287" s="63"/>
    </row>
    <row r="288" spans="6:8">
      <c r="F288" s="29"/>
      <c r="G288" s="29"/>
      <c r="H288" s="30"/>
    </row>
    <row r="289" spans="6:8">
      <c r="F289" s="29"/>
      <c r="G289" s="29"/>
      <c r="H289" s="63"/>
    </row>
    <row r="290" spans="6:8">
      <c r="F290" s="29"/>
      <c r="G290" s="29"/>
      <c r="H290" s="30"/>
    </row>
    <row r="291" spans="6:8">
      <c r="F291" s="29"/>
      <c r="G291" s="29"/>
      <c r="H291" s="63"/>
    </row>
    <row r="292" spans="6:8">
      <c r="F292" s="29"/>
      <c r="G292" s="29"/>
      <c r="H292" s="30"/>
    </row>
    <row r="293" spans="6:8">
      <c r="F293" s="29"/>
      <c r="G293" s="29"/>
      <c r="H293" s="63"/>
    </row>
    <row r="294" spans="6:8">
      <c r="F294" s="29"/>
      <c r="G294" s="29"/>
      <c r="H294" s="30"/>
    </row>
    <row r="295" spans="6:8">
      <c r="F295" s="29"/>
      <c r="G295" s="29"/>
      <c r="H295" s="63"/>
    </row>
    <row r="296" spans="6:8">
      <c r="F296" s="29"/>
      <c r="G296" s="29"/>
      <c r="H296" s="30"/>
    </row>
    <row r="297" spans="6:8">
      <c r="F297" s="29"/>
      <c r="G297" s="29"/>
      <c r="H297" s="63"/>
    </row>
    <row r="298" spans="6:8">
      <c r="F298" s="29"/>
      <c r="G298" s="29"/>
      <c r="H298" s="30"/>
    </row>
    <row r="299" spans="6:8">
      <c r="F299" s="29"/>
      <c r="G299" s="29"/>
      <c r="H299" s="63"/>
    </row>
    <row r="300" spans="6:8">
      <c r="F300" s="29"/>
      <c r="G300" s="29"/>
      <c r="H300" s="30"/>
    </row>
    <row r="301" spans="6:8">
      <c r="F301" s="29"/>
      <c r="G301" s="29"/>
      <c r="H301" s="63"/>
    </row>
    <row r="302" spans="6:8">
      <c r="F302" s="29"/>
      <c r="G302" s="29"/>
      <c r="H302" s="30"/>
    </row>
    <row r="303" spans="6:8">
      <c r="F303" s="29"/>
      <c r="G303" s="29"/>
      <c r="H303" s="63"/>
    </row>
    <row r="304" spans="6:8">
      <c r="F304" s="29"/>
      <c r="G304" s="29"/>
      <c r="H304" s="30"/>
    </row>
    <row r="305" spans="6:8">
      <c r="F305" s="29"/>
      <c r="G305" s="29"/>
      <c r="H305" s="63"/>
    </row>
    <row r="306" spans="6:8">
      <c r="F306" s="29"/>
      <c r="G306" s="29"/>
      <c r="H306" s="30"/>
    </row>
    <row r="307" spans="6:8">
      <c r="F307" s="29"/>
      <c r="G307" s="29"/>
      <c r="H307" s="63"/>
    </row>
    <row r="308" spans="6:8">
      <c r="F308" s="29"/>
      <c r="G308" s="29"/>
      <c r="H308" s="30"/>
    </row>
    <row r="309" spans="6:8">
      <c r="F309" s="29"/>
      <c r="G309" s="29"/>
      <c r="H309" s="63"/>
    </row>
    <row r="310" spans="6:8">
      <c r="F310" s="29"/>
      <c r="G310" s="29"/>
      <c r="H310" s="30"/>
    </row>
    <row r="311" spans="6:8">
      <c r="F311" s="29"/>
      <c r="G311" s="29"/>
      <c r="H311" s="63"/>
    </row>
    <row r="312" spans="6:8">
      <c r="F312" s="29"/>
      <c r="G312" s="29"/>
      <c r="H312" s="30"/>
    </row>
    <row r="313" spans="6:8">
      <c r="F313" s="29"/>
      <c r="G313" s="29"/>
      <c r="H313" s="63"/>
    </row>
    <row r="314" spans="6:8">
      <c r="F314" s="29"/>
      <c r="G314" s="29"/>
      <c r="H314" s="30"/>
    </row>
    <row r="315" spans="6:8">
      <c r="F315" s="29"/>
      <c r="G315" s="29"/>
      <c r="H315" s="63"/>
    </row>
    <row r="316" spans="6:8">
      <c r="F316" s="29"/>
      <c r="G316" s="29"/>
      <c r="H316" s="30"/>
    </row>
    <row r="317" spans="6:8">
      <c r="F317" s="29"/>
      <c r="G317" s="29"/>
      <c r="H317" s="63"/>
    </row>
    <row r="318" spans="6:8">
      <c r="F318" s="29"/>
      <c r="G318" s="29"/>
      <c r="H318" s="30"/>
    </row>
    <row r="319" spans="6:8">
      <c r="F319" s="29"/>
      <c r="G319" s="29"/>
      <c r="H319" s="63"/>
    </row>
    <row r="320" spans="6:8">
      <c r="F320" s="29"/>
      <c r="G320" s="29"/>
      <c r="H320" s="30"/>
    </row>
    <row r="321" spans="6:8">
      <c r="F321" s="29"/>
      <c r="G321" s="29"/>
      <c r="H321" s="63"/>
    </row>
    <row r="322" spans="6:8">
      <c r="F322" s="29"/>
      <c r="G322" s="29"/>
      <c r="H322" s="30"/>
    </row>
    <row r="323" spans="6:8">
      <c r="F323" s="29"/>
      <c r="G323" s="29"/>
      <c r="H323" s="63"/>
    </row>
    <row r="324" spans="6:8">
      <c r="F324" s="29"/>
      <c r="G324" s="29"/>
      <c r="H324" s="30"/>
    </row>
    <row r="325" spans="6:8">
      <c r="F325" s="29"/>
      <c r="G325" s="29"/>
      <c r="H325" s="63"/>
    </row>
    <row r="326" spans="6:8">
      <c r="F326" s="29"/>
      <c r="G326" s="29"/>
      <c r="H326" s="30"/>
    </row>
    <row r="327" spans="6:8">
      <c r="F327" s="29"/>
      <c r="G327" s="29"/>
      <c r="H327" s="63"/>
    </row>
    <row r="328" spans="6:8">
      <c r="F328" s="29"/>
      <c r="G328" s="29"/>
      <c r="H328" s="30"/>
    </row>
    <row r="329" spans="6:8">
      <c r="F329" s="29"/>
      <c r="G329" s="29"/>
      <c r="H329" s="63"/>
    </row>
    <row r="330" spans="6:8">
      <c r="F330" s="29"/>
      <c r="G330" s="29"/>
      <c r="H330" s="30"/>
    </row>
    <row r="331" spans="6:8">
      <c r="F331" s="29"/>
      <c r="G331" s="29"/>
      <c r="H331" s="63"/>
    </row>
    <row r="332" spans="6:8">
      <c r="F332" s="29"/>
      <c r="G332" s="29"/>
      <c r="H332" s="30"/>
    </row>
    <row r="333" spans="6:8">
      <c r="F333" s="29"/>
      <c r="G333" s="29"/>
      <c r="H333" s="63"/>
    </row>
    <row r="334" spans="6:8">
      <c r="F334" s="29"/>
      <c r="G334" s="29"/>
      <c r="H334" s="30"/>
    </row>
    <row r="335" spans="6:8">
      <c r="F335" s="29"/>
      <c r="G335" s="29"/>
      <c r="H335" s="63"/>
    </row>
    <row r="336" spans="6:8">
      <c r="F336" s="29"/>
      <c r="G336" s="29"/>
      <c r="H336" s="30"/>
    </row>
    <row r="337" spans="6:8">
      <c r="F337" s="29"/>
      <c r="G337" s="29"/>
      <c r="H337" s="63"/>
    </row>
    <row r="338" spans="6:8">
      <c r="F338" s="29"/>
      <c r="G338" s="29"/>
      <c r="H338" s="30"/>
    </row>
    <row r="339" spans="6:8">
      <c r="F339" s="29"/>
      <c r="G339" s="29"/>
      <c r="H339" s="63"/>
    </row>
    <row r="340" spans="6:8">
      <c r="F340" s="29"/>
      <c r="G340" s="29"/>
      <c r="H340" s="30"/>
    </row>
    <row r="341" spans="6:8">
      <c r="F341" s="29"/>
      <c r="G341" s="29"/>
      <c r="H341" s="63"/>
    </row>
    <row r="342" spans="6:8">
      <c r="F342" s="29"/>
      <c r="G342" s="29"/>
      <c r="H342" s="30"/>
    </row>
    <row r="343" spans="6:8">
      <c r="F343" s="29"/>
      <c r="G343" s="29"/>
      <c r="H343" s="63"/>
    </row>
    <row r="344" spans="6:8">
      <c r="F344" s="29"/>
      <c r="G344" s="29"/>
      <c r="H344" s="30"/>
    </row>
    <row r="345" spans="6:8">
      <c r="F345" s="29"/>
      <c r="G345" s="29"/>
      <c r="H345" s="63"/>
    </row>
    <row r="346" spans="6:8">
      <c r="F346" s="29"/>
      <c r="G346" s="29"/>
      <c r="H346" s="30"/>
    </row>
    <row r="347" spans="6:8">
      <c r="F347" s="29"/>
      <c r="G347" s="29"/>
      <c r="H347" s="63"/>
    </row>
    <row r="348" spans="6:8">
      <c r="F348" s="29"/>
      <c r="G348" s="29"/>
      <c r="H348" s="30"/>
    </row>
    <row r="349" spans="6:8">
      <c r="F349" s="29"/>
      <c r="G349" s="29"/>
      <c r="H349" s="63"/>
    </row>
    <row r="350" spans="6:8">
      <c r="F350" s="29"/>
      <c r="G350" s="29"/>
      <c r="H350" s="30"/>
    </row>
    <row r="351" spans="6:8">
      <c r="F351" s="29"/>
      <c r="G351" s="29"/>
      <c r="H351" s="63"/>
    </row>
    <row r="352" spans="6:8">
      <c r="F352" s="29"/>
      <c r="G352" s="29"/>
      <c r="H352" s="30"/>
    </row>
    <row r="353" spans="6:8">
      <c r="F353" s="29"/>
      <c r="G353" s="29"/>
      <c r="H353" s="63"/>
    </row>
    <row r="354" spans="6:8">
      <c r="F354" s="29"/>
      <c r="G354" s="29"/>
      <c r="H354" s="30"/>
    </row>
    <row r="355" spans="6:8">
      <c r="F355" s="29"/>
      <c r="G355" s="29"/>
      <c r="H355" s="63"/>
    </row>
    <row r="356" spans="6:8">
      <c r="F356" s="29"/>
      <c r="G356" s="29"/>
      <c r="H356" s="30"/>
    </row>
    <row r="357" spans="6:8">
      <c r="F357" s="29"/>
      <c r="G357" s="29"/>
      <c r="H357" s="63"/>
    </row>
    <row r="358" spans="6:8">
      <c r="F358" s="29"/>
      <c r="G358" s="29"/>
      <c r="H358" s="30"/>
    </row>
    <row r="359" spans="6:8">
      <c r="F359" s="29"/>
      <c r="G359" s="29"/>
      <c r="H359" s="63"/>
    </row>
  </sheetData>
  <phoneticPr fontId="15" type="noConversion"/>
  <pageMargins left="0.25" right="0.25" top="0.75" bottom="0.75" header="0.3" footer="0.3"/>
  <pageSetup orientation="landscape"/>
  <headerFooter alignWithMargins="0"/>
  <ignoredErrors>
    <ignoredError sqref="B17 B4:B13 B15" unlocked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List Box 1">
              <controlPr defaultSize="0" autoLine="0" autoPict="0">
                <anchor moveWithCells="1">
                  <from>
                    <xdr:col>4</xdr:col>
                    <xdr:colOff>1152525</xdr:colOff>
                    <xdr:row>3</xdr:row>
                    <xdr:rowOff>600075</xdr:rowOff>
                  </from>
                  <to>
                    <xdr:col>4</xdr:col>
                    <xdr:colOff>5267325</xdr:colOff>
                    <xdr:row>7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0263-F433-482F-9002-2B594641DAE6}">
  <sheetPr codeName="Hoja19">
    <tabColor theme="1" tint="4.9989318521683403E-2"/>
  </sheetPr>
  <dimension ref="A7:BJ72"/>
  <sheetViews>
    <sheetView topLeftCell="A28" zoomScaleNormal="100" workbookViewId="0">
      <selection activeCell="J55" sqref="J55"/>
    </sheetView>
  </sheetViews>
  <sheetFormatPr baseColWidth="10" defaultColWidth="11.42578125" defaultRowHeight="12.75"/>
  <cols>
    <col min="1" max="1" width="16.28515625" style="3" bestFit="1" customWidth="1"/>
    <col min="2" max="2" width="15.42578125" style="3" bestFit="1" customWidth="1"/>
    <col min="3" max="3" width="14" style="3" bestFit="1" customWidth="1"/>
    <col min="4" max="7" width="11.42578125" style="3" bestFit="1" customWidth="1"/>
    <col min="8" max="13" width="13.7109375" style="3" bestFit="1" customWidth="1"/>
    <col min="14" max="17" width="12.7109375" style="3" bestFit="1" customWidth="1"/>
    <col min="18" max="18" width="13.7109375" style="3" bestFit="1" customWidth="1"/>
    <col min="19" max="22" width="12.7109375" style="3" bestFit="1" customWidth="1"/>
    <col min="23" max="25" width="12.28515625" style="3" bestFit="1" customWidth="1"/>
    <col min="26" max="26" width="11.42578125" style="3" bestFit="1" customWidth="1"/>
    <col min="27" max="27" width="12.28515625" style="3" bestFit="1" customWidth="1"/>
    <col min="28" max="28" width="11.42578125" style="3" bestFit="1" customWidth="1"/>
    <col min="29" max="29" width="12.28515625" style="3" bestFit="1" customWidth="1"/>
    <col min="30" max="36" width="11.42578125" style="3" bestFit="1" customWidth="1"/>
    <col min="37" max="16384" width="11.42578125" style="3"/>
  </cols>
  <sheetData>
    <row r="7" spans="2:62">
      <c r="B7" s="3" t="s">
        <v>60</v>
      </c>
    </row>
    <row r="8" spans="2:62">
      <c r="B8" s="3">
        <f>MAX(C9:AN9)</f>
        <v>847</v>
      </c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  <c r="J8" s="3">
        <v>8</v>
      </c>
      <c r="K8" s="3">
        <v>9</v>
      </c>
      <c r="L8" s="3">
        <v>10</v>
      </c>
      <c r="M8" s="3">
        <v>11</v>
      </c>
      <c r="N8" s="3">
        <v>12</v>
      </c>
      <c r="O8" s="3">
        <v>13</v>
      </c>
      <c r="P8" s="3">
        <v>14</v>
      </c>
      <c r="Q8" s="3">
        <v>15</v>
      </c>
      <c r="R8" s="3">
        <v>16</v>
      </c>
      <c r="S8" s="3">
        <v>17</v>
      </c>
      <c r="T8" s="3">
        <v>18</v>
      </c>
      <c r="U8" s="3">
        <v>19</v>
      </c>
      <c r="V8" s="3">
        <v>20</v>
      </c>
      <c r="W8" s="3">
        <v>21</v>
      </c>
      <c r="X8" s="3">
        <v>22</v>
      </c>
      <c r="Y8" s="3">
        <v>23</v>
      </c>
      <c r="Z8" s="3">
        <v>24</v>
      </c>
      <c r="AA8" s="3">
        <v>25</v>
      </c>
      <c r="AB8" s="3">
        <v>26</v>
      </c>
      <c r="AC8" s="3">
        <v>27</v>
      </c>
      <c r="AD8" s="3">
        <v>28</v>
      </c>
      <c r="AE8" s="3">
        <v>29</v>
      </c>
      <c r="AF8" s="3">
        <v>30</v>
      </c>
      <c r="AG8" s="3">
        <v>31</v>
      </c>
      <c r="AH8" s="3">
        <v>32</v>
      </c>
      <c r="AI8" s="3">
        <v>33</v>
      </c>
      <c r="AJ8" s="3">
        <v>34</v>
      </c>
      <c r="AK8" s="3">
        <v>35</v>
      </c>
      <c r="AL8" s="3">
        <v>36</v>
      </c>
      <c r="AM8" s="3">
        <v>37</v>
      </c>
      <c r="AN8" s="3">
        <v>38</v>
      </c>
      <c r="AO8" s="3">
        <v>39</v>
      </c>
      <c r="AP8" s="3">
        <v>40</v>
      </c>
      <c r="AQ8" s="3">
        <v>41</v>
      </c>
      <c r="AR8" s="3">
        <v>42</v>
      </c>
      <c r="AS8" s="3">
        <v>43</v>
      </c>
      <c r="AT8" s="3">
        <v>44</v>
      </c>
      <c r="AU8" s="3">
        <v>45</v>
      </c>
      <c r="AV8" s="3">
        <v>46</v>
      </c>
      <c r="AW8" s="3">
        <v>47</v>
      </c>
      <c r="AX8" s="3">
        <v>48</v>
      </c>
      <c r="AY8" s="3">
        <v>49</v>
      </c>
      <c r="AZ8" s="3">
        <v>50</v>
      </c>
      <c r="BA8" s="3">
        <v>51</v>
      </c>
      <c r="BB8" s="3">
        <v>52</v>
      </c>
      <c r="BC8" s="3">
        <v>53</v>
      </c>
      <c r="BD8" s="3">
        <v>54</v>
      </c>
      <c r="BE8" s="3">
        <v>55</v>
      </c>
      <c r="BF8" s="3">
        <v>56</v>
      </c>
      <c r="BG8" s="3">
        <v>57</v>
      </c>
      <c r="BH8" s="3">
        <v>58</v>
      </c>
      <c r="BI8" s="3">
        <v>59</v>
      </c>
      <c r="BJ8" s="3">
        <v>60</v>
      </c>
    </row>
    <row r="9" spans="2:62">
      <c r="C9" s="3">
        <f>COUNT('Perfil - interna'!C22:C1117)</f>
        <v>347</v>
      </c>
      <c r="D9" s="3">
        <f>COUNT('Perfil - interna'!D22:D1117)</f>
        <v>347</v>
      </c>
      <c r="E9" s="3">
        <f>COUNT('Perfil - interna'!E22:E1117)</f>
        <v>347</v>
      </c>
      <c r="F9" s="3">
        <f>COUNT('Perfil - interna'!F22:F1117)</f>
        <v>347</v>
      </c>
      <c r="G9" s="3">
        <f>COUNT('Perfil - interna'!G22:G1117)</f>
        <v>347</v>
      </c>
      <c r="H9" s="3">
        <f>COUNT('Perfil - interna'!H22:H1117)</f>
        <v>347</v>
      </c>
      <c r="I9" s="3">
        <f>COUNT('Perfil - interna'!I22:I1117)</f>
        <v>347</v>
      </c>
      <c r="J9" s="3">
        <f>COUNT('Perfil - interna'!J22:J1117)</f>
        <v>347</v>
      </c>
      <c r="K9" s="3">
        <f>COUNT('Perfil - interna'!K22:K1117)</f>
        <v>347</v>
      </c>
      <c r="L9" s="3">
        <f>COUNT('Perfil - interna'!L22:L1117)</f>
        <v>347</v>
      </c>
      <c r="M9" s="3">
        <f>COUNT('Perfil - interna'!M22:M1117)</f>
        <v>378</v>
      </c>
      <c r="N9" s="3">
        <f>COUNT('Perfil - interna'!N22:N1117)</f>
        <v>414</v>
      </c>
      <c r="O9" s="3">
        <f>COUNT('Perfil - interna'!O22:O1117)</f>
        <v>450</v>
      </c>
      <c r="P9" s="3">
        <f>COUNT('Perfil - interna'!P22:P1117)</f>
        <v>486</v>
      </c>
      <c r="Q9" s="3">
        <f>COUNT('Perfil - interna'!Q22:Q1117)</f>
        <v>522</v>
      </c>
      <c r="R9" s="3">
        <f>COUNT('Perfil - interna'!R22:R1117)</f>
        <v>558</v>
      </c>
      <c r="S9" s="3">
        <f>COUNT('Perfil - interna'!S22:S1117)</f>
        <v>594</v>
      </c>
      <c r="T9" s="3">
        <f>COUNT('Perfil - interna'!T22:T1117)</f>
        <v>630</v>
      </c>
      <c r="U9" s="3">
        <f>COUNT('Perfil - interna'!U22:U1117)</f>
        <v>666</v>
      </c>
      <c r="V9" s="3">
        <f>COUNT('Perfil - interna'!V22:V1117)</f>
        <v>702</v>
      </c>
      <c r="W9" s="3">
        <f>COUNT('Perfil - interna'!W22:W1117)</f>
        <v>740</v>
      </c>
      <c r="X9" s="3">
        <f>COUNT('Perfil - interna'!X22:X1117)</f>
        <v>774</v>
      </c>
      <c r="Y9" s="3">
        <f>COUNT('Perfil - interna'!Y22:Y1117)</f>
        <v>810</v>
      </c>
      <c r="Z9" s="3">
        <f>COUNT('Perfil - interna'!Z22:Z1117)</f>
        <v>846</v>
      </c>
      <c r="AA9" s="3">
        <f>COUNT('Perfil - interna'!AA22:AA1117)</f>
        <v>847</v>
      </c>
      <c r="AB9" s="3">
        <f>COUNT('Perfil - interna'!AB22:AB1117)</f>
        <v>847</v>
      </c>
      <c r="AC9" s="3">
        <f>COUNT('Perfil - interna'!AC22:AC1117)</f>
        <v>847</v>
      </c>
      <c r="AD9" s="3">
        <f>COUNT('Perfil - interna'!AD22:AD1117)</f>
        <v>847</v>
      </c>
      <c r="AE9" s="3">
        <f>COUNT('Perfil - interna'!AE22:AE1117)</f>
        <v>847</v>
      </c>
      <c r="AF9" s="3">
        <f>COUNT('Perfil - interna'!AF22:AF1117)</f>
        <v>847</v>
      </c>
      <c r="AG9" s="3">
        <f>COUNT('Perfil - interna'!AG22:AG1117)</f>
        <v>847</v>
      </c>
      <c r="AH9" s="3">
        <f>COUNT('Perfil - interna'!AH22:AH1117)</f>
        <v>847</v>
      </c>
      <c r="AI9" s="3">
        <f>COUNT('Perfil - interna'!AI22:AI1117)</f>
        <v>847</v>
      </c>
      <c r="AJ9" s="3">
        <f>COUNT('Perfil - interna'!AJ22:AJ1117)</f>
        <v>847</v>
      </c>
      <c r="AK9" s="3">
        <f>COUNT('Perfil - interna'!AK22:AK1117)</f>
        <v>847</v>
      </c>
      <c r="AL9" s="3">
        <f>COUNT('Perfil - interna'!AL22:AL1117)</f>
        <v>841</v>
      </c>
      <c r="AM9" s="3">
        <f>COUNT('Perfil - interna'!AM22:AM1117)</f>
        <v>822</v>
      </c>
      <c r="AN9" s="3">
        <f>COUNT('Perfil - interna'!AN22:AN1117)</f>
        <v>787</v>
      </c>
      <c r="AO9" s="3">
        <f>COUNT('Perfil - interna'!AO22:AO1117)</f>
        <v>748</v>
      </c>
      <c r="AP9" s="3">
        <f>COUNT('Perfil - interna'!AP22:AP1117)</f>
        <v>363</v>
      </c>
      <c r="AQ9" s="3">
        <f>COUNT('Perfil - interna'!AQ22:AQ1117)</f>
        <v>327</v>
      </c>
      <c r="AR9" s="3">
        <f>COUNT('Perfil - interna'!AR22:AR1117)</f>
        <v>291</v>
      </c>
      <c r="AS9" s="3">
        <f>COUNT('Perfil - interna'!AS22:AS1117)</f>
        <v>255</v>
      </c>
      <c r="AT9" s="3">
        <f>COUNT('Perfil - interna'!AT22:AT1117)</f>
        <v>219</v>
      </c>
      <c r="AU9" s="3">
        <f>COUNT('Perfil - interna'!AU22:AU1117)</f>
        <v>219</v>
      </c>
      <c r="AV9" s="3">
        <f>COUNT('Perfil - interna'!AV22:AV1117)</f>
        <v>219</v>
      </c>
    </row>
    <row r="11" spans="2:62">
      <c r="B11" s="3" t="s">
        <v>61</v>
      </c>
    </row>
    <row r="15" spans="2:62" ht="16.5">
      <c r="B15" s="15" t="s">
        <v>59</v>
      </c>
      <c r="C15" s="15"/>
      <c r="D15" s="15"/>
      <c r="E15" s="15"/>
    </row>
    <row r="16" spans="2:62">
      <c r="B16" s="3">
        <f>B8</f>
        <v>847</v>
      </c>
    </row>
    <row r="17" spans="1:49">
      <c r="B17" s="6">
        <f>'Perfil - interna'!C21</f>
        <v>2001</v>
      </c>
      <c r="C17" s="6">
        <f>'Perfil - interna'!D21</f>
        <v>2002</v>
      </c>
      <c r="D17" s="6">
        <f>'Perfil - interna'!E21</f>
        <v>2003</v>
      </c>
      <c r="E17" s="6">
        <f>'Perfil - interna'!F21</f>
        <v>2004</v>
      </c>
      <c r="F17" s="6">
        <f>'Perfil - interna'!G21</f>
        <v>2005</v>
      </c>
      <c r="G17" s="6">
        <f>'Perfil - interna'!H21</f>
        <v>2006</v>
      </c>
      <c r="H17" s="6">
        <f>'Perfil - interna'!I21</f>
        <v>2007</v>
      </c>
      <c r="I17" s="6">
        <f>'Perfil - interna'!J21</f>
        <v>2008</v>
      </c>
      <c r="J17" s="6">
        <f>'Perfil - interna'!K21</f>
        <v>2009</v>
      </c>
      <c r="K17" s="6">
        <f>'Perfil - interna'!L21</f>
        <v>2010</v>
      </c>
      <c r="L17" s="6">
        <f>'Perfil - interna'!M21</f>
        <v>2011</v>
      </c>
      <c r="M17" s="6">
        <f>'Perfil - interna'!N21</f>
        <v>2012</v>
      </c>
      <c r="N17" s="6">
        <f>'Perfil - interna'!O21</f>
        <v>2013</v>
      </c>
      <c r="O17" s="6">
        <f>'Perfil - interna'!P21</f>
        <v>2014</v>
      </c>
      <c r="P17" s="6">
        <f>'Perfil - interna'!Q21</f>
        <v>2015</v>
      </c>
      <c r="Q17" s="6">
        <f>'Perfil - interna'!R21</f>
        <v>2016</v>
      </c>
      <c r="R17" s="6">
        <f>'Perfil - interna'!S21</f>
        <v>2017</v>
      </c>
      <c r="S17" s="6">
        <f>'Perfil - interna'!T21</f>
        <v>2018</v>
      </c>
      <c r="T17" s="6">
        <f>'Perfil - interna'!U21</f>
        <v>2019</v>
      </c>
      <c r="U17" s="6">
        <f>'Perfil - interna'!V21</f>
        <v>2020</v>
      </c>
      <c r="V17" s="6">
        <f>'Perfil - interna'!W21</f>
        <v>2021</v>
      </c>
      <c r="W17" s="6">
        <f>'Perfil - interna'!X21</f>
        <v>2022</v>
      </c>
      <c r="X17" s="6">
        <f>'Perfil - interna'!Y21</f>
        <v>2023</v>
      </c>
      <c r="Y17" s="6">
        <f>'Perfil - interna'!Z21</f>
        <v>2024</v>
      </c>
      <c r="Z17" s="6">
        <f>'Perfil - interna'!AA21</f>
        <v>2025</v>
      </c>
      <c r="AA17" s="6">
        <f>'Perfil - interna'!AB21</f>
        <v>2026</v>
      </c>
      <c r="AB17" s="6">
        <f>'Perfil - interna'!AC21</f>
        <v>2027</v>
      </c>
      <c r="AC17" s="6">
        <f>'Perfil - interna'!AD21</f>
        <v>2028</v>
      </c>
      <c r="AD17" s="6">
        <f>'Perfil - interna'!AE21</f>
        <v>2029</v>
      </c>
      <c r="AE17" s="6">
        <f>'Perfil - interna'!AF21</f>
        <v>2030</v>
      </c>
      <c r="AF17" s="6">
        <f>'Perfil - interna'!AG21</f>
        <v>2031</v>
      </c>
      <c r="AG17" s="6">
        <f>'Perfil - interna'!AH21</f>
        <v>2032</v>
      </c>
      <c r="AH17" s="6">
        <f>'Perfil - interna'!AI21</f>
        <v>2033</v>
      </c>
      <c r="AI17" s="6">
        <f>'Perfil - interna'!AJ21</f>
        <v>2034</v>
      </c>
      <c r="AJ17" s="6">
        <f>'Perfil - interna'!AK21</f>
        <v>2035</v>
      </c>
      <c r="AK17" s="6">
        <f>'Perfil - interna'!AL21</f>
        <v>2036</v>
      </c>
      <c r="AL17" s="6">
        <f>'Perfil - interna'!AM21</f>
        <v>2037</v>
      </c>
      <c r="AM17" s="6">
        <f>'Perfil - interna'!AN21</f>
        <v>2038</v>
      </c>
      <c r="AN17" s="6">
        <f>'Perfil - interna'!AO21</f>
        <v>2039</v>
      </c>
      <c r="AO17" s="6">
        <f>'Perfil - interna'!AP21</f>
        <v>2040</v>
      </c>
      <c r="AP17" s="6">
        <f>'Perfil - interna'!AQ21</f>
        <v>2041</v>
      </c>
      <c r="AQ17" s="6">
        <f>'Perfil - interna'!AR21</f>
        <v>2042</v>
      </c>
      <c r="AR17" s="6">
        <f>'Perfil - interna'!AS21</f>
        <v>2043</v>
      </c>
      <c r="AS17" s="6">
        <f>'Perfil - interna'!AT21</f>
        <v>2044</v>
      </c>
      <c r="AT17" s="6">
        <f>'Perfil - interna'!AU21</f>
        <v>2045</v>
      </c>
      <c r="AU17" s="6">
        <f>'Perfil - interna'!AV21</f>
        <v>2046</v>
      </c>
      <c r="AV17" s="6">
        <f>'Perfil - interna'!AW21</f>
        <v>2047</v>
      </c>
      <c r="AW17" s="6">
        <f>'Perfil - interna'!AX21</f>
        <v>2048</v>
      </c>
    </row>
    <row r="18" spans="1:49">
      <c r="A18" s="9" t="str">
        <f>Servicio_internaColumna_título_amortizaciones</f>
        <v>Amortizaciones</v>
      </c>
      <c r="B18" s="17">
        <f>INDEX('Perfil - interna'!C22:C1117,$B$16-2)</f>
        <v>0</v>
      </c>
      <c r="C18" s="17">
        <f>INDEX('Perfil - interna'!D22:D1117,$B$16-2)</f>
        <v>0</v>
      </c>
      <c r="D18" s="17">
        <f>INDEX('Perfil - interna'!E22:E1117,$B$16-2)</f>
        <v>0</v>
      </c>
      <c r="E18" s="17">
        <f>INDEX('Perfil - interna'!F22:F1117,$B$16-2)</f>
        <v>0</v>
      </c>
      <c r="F18" s="17">
        <f>INDEX('Perfil - interna'!G22:G1117,$B$16-2)</f>
        <v>0</v>
      </c>
      <c r="G18" s="17">
        <f>INDEX('Perfil - interna'!H22:H1117,$B$16-2)</f>
        <v>0</v>
      </c>
      <c r="H18" s="17">
        <f>INDEX('Perfil - interna'!I22:I1117,$B$16-2)</f>
        <v>0</v>
      </c>
      <c r="I18" s="17">
        <f>INDEX('Perfil - interna'!J22:J1117,$B$16-2)</f>
        <v>0</v>
      </c>
      <c r="J18" s="17">
        <f>INDEX('Perfil - interna'!K22:K1117,$B$16-2)</f>
        <v>0</v>
      </c>
      <c r="K18" s="17">
        <f>INDEX('Perfil - interna'!L22:L1117,$B$16-2)</f>
        <v>0</v>
      </c>
      <c r="L18" s="17">
        <f>INDEX('Perfil - interna'!M22:M1117,$B$16-2)</f>
        <v>0</v>
      </c>
      <c r="M18" s="17">
        <f>INDEX('Perfil - interna'!N22:N1117,$B$16-2)</f>
        <v>0</v>
      </c>
      <c r="N18" s="17">
        <f>INDEX('Perfil - interna'!O22:O1117,$B$16-2)</f>
        <v>0</v>
      </c>
      <c r="O18" s="17">
        <f>INDEX('Perfil - interna'!P22:P1117,$B$16-2)</f>
        <v>0</v>
      </c>
      <c r="P18" s="17">
        <f>INDEX('Perfil - interna'!Q22:Q1117,$B$16-2)</f>
        <v>0</v>
      </c>
      <c r="Q18" s="17">
        <f>INDEX('Perfil - interna'!R22:R1117,$B$16-2)</f>
        <v>0</v>
      </c>
      <c r="R18" s="17">
        <f>INDEX('Perfil - interna'!S22:S1117,$B$16-2)</f>
        <v>0</v>
      </c>
      <c r="S18" s="17">
        <f>INDEX('Perfil - interna'!T22:T1117,$B$16-2)</f>
        <v>0</v>
      </c>
      <c r="T18" s="17">
        <f>INDEX('Perfil - interna'!U22:U1117,$B$16-2)</f>
        <v>0</v>
      </c>
      <c r="U18" s="17">
        <f>INDEX('Perfil - interna'!V22:V1117,$B$16-2)</f>
        <v>0</v>
      </c>
      <c r="V18" s="17">
        <f>INDEX('Perfil - interna'!W22:W1117,$B$16-2)</f>
        <v>0</v>
      </c>
      <c r="W18" s="17">
        <f>INDEX('Perfil - interna'!X22:X1117,$B$16-2)</f>
        <v>0</v>
      </c>
      <c r="X18" s="17">
        <f>INDEX('Perfil - interna'!Y22:Y1117,$B$16-2)</f>
        <v>0</v>
      </c>
      <c r="Y18" s="17">
        <f>INDEX('Perfil - interna'!Z22:Z1117,$B$16-2)</f>
        <v>1107984.7196280002</v>
      </c>
      <c r="Z18" s="17">
        <f>INDEX('Perfil - interna'!AA22:AA1117,$B$16-2)</f>
        <v>36561283.746565923</v>
      </c>
      <c r="AA18" s="17">
        <f>INDEX('Perfil - interna'!AB22:AB1117,$B$16-2)</f>
        <v>36108824.108123235</v>
      </c>
      <c r="AB18" s="17">
        <f>INDEX('Perfil - interna'!AC22:AC1117,$B$16-2)</f>
        <v>33803639.765344739</v>
      </c>
      <c r="AC18" s="17">
        <f>INDEX('Perfil - interna'!AD22:AD1117,$B$16-2)</f>
        <v>31931986.629886828</v>
      </c>
      <c r="AD18" s="17">
        <f>INDEX('Perfil - interna'!AE22:AE1117,$B$16-2)</f>
        <v>29857676.009879056</v>
      </c>
      <c r="AE18" s="17">
        <f>INDEX('Perfil - interna'!AF22:AF1117,$B$16-2)</f>
        <v>29320153.984766871</v>
      </c>
      <c r="AF18" s="17">
        <f>INDEX('Perfil - interna'!AG22:AG1117,$B$16-2)</f>
        <v>27697407.639942378</v>
      </c>
      <c r="AG18" s="17">
        <f>INDEX('Perfil - interna'!AH22:AH1117,$B$16-2)</f>
        <v>25483920.576928146</v>
      </c>
      <c r="AH18" s="17">
        <f>INDEX('Perfil - interna'!AI22:AI1117,$B$16-2)</f>
        <v>23716416.384903491</v>
      </c>
      <c r="AI18" s="17">
        <f>INDEX('Perfil - interna'!AJ22:AJ1117,$B$16-2)</f>
        <v>19556997.123557758</v>
      </c>
      <c r="AJ18" s="17">
        <f>INDEX('Perfil - interna'!AK22:AK1117,$B$16-2)</f>
        <v>17682382.782176986</v>
      </c>
      <c r="AK18" s="17">
        <f>INDEX('Perfil - interna'!AL22:AL1117,$B$16-2)</f>
        <v>15430677.550072104</v>
      </c>
      <c r="AL18" s="17">
        <f>INDEX('Perfil - interna'!AM22:AM1117,$B$16-2)</f>
        <v>14308937.171696767</v>
      </c>
      <c r="AM18" s="17">
        <f>INDEX('Perfil - interna'!AN22:AN1117,$B$16-2)</f>
        <v>12076290.627449878</v>
      </c>
      <c r="AN18" s="17">
        <f>INDEX('Perfil - interna'!AO22:AO1117,$B$16-2)</f>
        <v>12133010.307208374</v>
      </c>
      <c r="AO18" s="17">
        <f>INDEX('Perfil - interna'!AP22:AP1117,$B$16-2)</f>
        <v>12191431.577359626</v>
      </c>
      <c r="AP18" s="17">
        <f>INDEX('Perfil - interna'!AQ22:AQ1117,$B$16-2)</f>
        <v>12251605.485615415</v>
      </c>
      <c r="AQ18" s="17">
        <f>INDEX('Perfil - interna'!AR22:AR1117,$B$16-2)</f>
        <v>12313584.611118875</v>
      </c>
      <c r="AR18" s="17">
        <f>INDEX('Perfil - interna'!AS22:AS1117,$B$16-2)</f>
        <v>7721244.9771374445</v>
      </c>
      <c r="AS18" s="17">
        <f>INDEX('Perfil - interna'!AT22:AT1117,$B$16-2)</f>
        <v>7786998.6313840682</v>
      </c>
      <c r="AT18" s="17">
        <f>INDEX('Perfil - interna'!AU22:AU1117,$B$16-2)</f>
        <v>7854724.8952580905</v>
      </c>
      <c r="AU18" s="17">
        <f>INDEX('Perfil - interna'!AV22:AV1117,$B$16-2)</f>
        <v>7924482.9470483325</v>
      </c>
      <c r="AV18" s="17">
        <f>INDEX('Perfil - interna'!AW22:AW1117,$B$16-2)</f>
        <v>5392499.8763922825</v>
      </c>
      <c r="AW18" s="17">
        <f>INDEX('Perfil - interna'!AX22:AX1117,$B$16-2)</f>
        <v>5466506.1935365517</v>
      </c>
    </row>
    <row r="19" spans="1:49">
      <c r="A19" s="10" t="str">
        <f>Servicio_internaColumna_título_intereses</f>
        <v>Intereses</v>
      </c>
      <c r="B19" s="17">
        <f>INDEX('Perfil - interna'!C22:C1117,$B$16-1)</f>
        <v>0</v>
      </c>
      <c r="C19" s="17">
        <f>INDEX('Perfil - interna'!D22:D1117,$B$16-1)</f>
        <v>0</v>
      </c>
      <c r="D19" s="17">
        <f>INDEX('Perfil - interna'!E22:E1117,$B$16-1)</f>
        <v>0</v>
      </c>
      <c r="E19" s="17">
        <f>INDEX('Perfil - interna'!F22:F1117,$B$16-1)</f>
        <v>0</v>
      </c>
      <c r="F19" s="17">
        <f>INDEX('Perfil - interna'!G22:G1117,$B$16-1)</f>
        <v>0</v>
      </c>
      <c r="G19" s="17">
        <f>INDEX('Perfil - interna'!H22:H1117,$B$16-1)</f>
        <v>0</v>
      </c>
      <c r="H19" s="17">
        <f>INDEX('Perfil - interna'!I22:I1117,$B$16-1)</f>
        <v>0</v>
      </c>
      <c r="I19" s="17">
        <f>INDEX('Perfil - interna'!J22:J1117,$B$16-1)</f>
        <v>0</v>
      </c>
      <c r="J19" s="17">
        <f>INDEX('Perfil - interna'!K22:K1117,$B$16-1)</f>
        <v>0</v>
      </c>
      <c r="K19" s="17">
        <f>INDEX('Perfil - interna'!L22:L1117,$B$16-1)</f>
        <v>0</v>
      </c>
      <c r="L19" s="17">
        <f>INDEX('Perfil - interna'!M22:M1117,$B$16-1)</f>
        <v>0</v>
      </c>
      <c r="M19" s="17">
        <f>INDEX('Perfil - interna'!N22:N1117,$B$16-1)</f>
        <v>0</v>
      </c>
      <c r="N19" s="17">
        <f>INDEX('Perfil - interna'!O22:O1117,$B$16-1)</f>
        <v>0</v>
      </c>
      <c r="O19" s="17">
        <f>INDEX('Perfil - interna'!P22:P1117,$B$16-1)</f>
        <v>0</v>
      </c>
      <c r="P19" s="17">
        <f>INDEX('Perfil - interna'!Q22:Q1117,$B$16-1)</f>
        <v>0</v>
      </c>
      <c r="Q19" s="17">
        <f>INDEX('Perfil - interna'!R22:R1117,$B$16-1)</f>
        <v>0</v>
      </c>
      <c r="R19" s="17">
        <f>INDEX('Perfil - interna'!S22:S1117,$B$16-1)</f>
        <v>0</v>
      </c>
      <c r="S19" s="17">
        <f>INDEX('Perfil - interna'!T22:T1117,$B$16-1)</f>
        <v>0</v>
      </c>
      <c r="T19" s="17">
        <f>INDEX('Perfil - interna'!U22:U1117,$B$16-1)</f>
        <v>0</v>
      </c>
      <c r="U19" s="17">
        <f>INDEX('Perfil - interna'!V22:V1117,$B$16-1)</f>
        <v>0</v>
      </c>
      <c r="V19" s="17">
        <f>INDEX('Perfil - interna'!W22:W1117,$B$16-1)</f>
        <v>0</v>
      </c>
      <c r="W19" s="17">
        <f>INDEX('Perfil - interna'!X22:X1117,$B$16-1)</f>
        <v>0</v>
      </c>
      <c r="X19" s="17">
        <f>INDEX('Perfil - interna'!Y22:Y1117,$B$16-1)</f>
        <v>0</v>
      </c>
      <c r="Y19" s="17">
        <f>INDEX('Perfil - interna'!Z22:Z1117,$B$16-1)</f>
        <v>62715462.781504996</v>
      </c>
      <c r="Z19" s="17">
        <f>INDEX('Perfil - interna'!AA22:AA1117,$B$16-1)</f>
        <v>75973098.959222525</v>
      </c>
      <c r="AA19" s="17">
        <f>INDEX('Perfil - interna'!AB22:AB1117,$B$16-1)</f>
        <v>69581013.451123238</v>
      </c>
      <c r="AB19" s="17">
        <f>INDEX('Perfil - interna'!AC22:AC1117,$B$16-1)</f>
        <v>79379811.486276537</v>
      </c>
      <c r="AC19" s="17">
        <f>INDEX('Perfil - interna'!AD22:AD1117,$B$16-1)</f>
        <v>69671583.942886829</v>
      </c>
      <c r="AD19" s="17">
        <f>INDEX('Perfil - interna'!AE22:AE1117,$B$16-1)</f>
        <v>57320317.232617453</v>
      </c>
      <c r="AE19" s="17">
        <f>INDEX('Perfil - interna'!AF22:AF1117,$B$16-1)</f>
        <v>52576747.799766868</v>
      </c>
      <c r="AF19" s="17">
        <f>INDEX('Perfil - interna'!AG22:AG1117,$B$16-1)</f>
        <v>63437561.447817177</v>
      </c>
      <c r="AG19" s="17">
        <f>INDEX('Perfil - interna'!AH22:AH1117,$B$16-1)</f>
        <v>53456547.576928146</v>
      </c>
      <c r="AH19" s="17">
        <f>INDEX('Perfil - interna'!AI22:AI1117,$B$16-1)</f>
        <v>68198244.132399887</v>
      </c>
      <c r="AI19" s="17">
        <f>INDEX('Perfil - interna'!AJ22:AJ1117,$B$16-1)</f>
        <v>47926600.323557757</v>
      </c>
      <c r="AJ19" s="17">
        <f>INDEX('Perfil - interna'!AK22:AK1117,$B$16-1)</f>
        <v>53924086.622960687</v>
      </c>
      <c r="AK19" s="17">
        <f>INDEX('Perfil - interna'!AL22:AL1117,$B$16-1)</f>
        <v>35300062.650072105</v>
      </c>
      <c r="AL19" s="17">
        <f>INDEX('Perfil - interna'!AM22:AM1117,$B$16-1)</f>
        <v>56107458.094638065</v>
      </c>
      <c r="AM19" s="17">
        <f>INDEX('Perfil - interna'!AN22:AN1117,$B$16-1)</f>
        <v>12076290.627449878</v>
      </c>
      <c r="AN19" s="17">
        <f>INDEX('Perfil - interna'!AO22:AO1117,$B$16-1)</f>
        <v>12133010.307208374</v>
      </c>
      <c r="AO19" s="17">
        <f>INDEX('Perfil - interna'!AP22:AP1117,$B$16-1)</f>
        <v>12191431.577359626</v>
      </c>
      <c r="AP19" s="17">
        <f>INDEX('Perfil - interna'!AQ22:AQ1117,$B$16-1)</f>
        <v>12251605.485615415</v>
      </c>
      <c r="AQ19" s="17">
        <f>INDEX('Perfil - interna'!AR22:AR1117,$B$16-1)</f>
        <v>62650645.511118874</v>
      </c>
      <c r="AR19" s="17">
        <f>INDEX('Perfil - interna'!AS22:AS1117,$B$16-1)</f>
        <v>7721244.9771374445</v>
      </c>
      <c r="AS19" s="17">
        <f>INDEX('Perfil - interna'!AT22:AT1117,$B$16-1)</f>
        <v>7786998.6313840682</v>
      </c>
      <c r="AT19" s="17">
        <f>INDEX('Perfil - interna'!AU22:AU1117,$B$16-1)</f>
        <v>7854724.8952580905</v>
      </c>
      <c r="AU19" s="17">
        <f>INDEX('Perfil - interna'!AV22:AV1117,$B$16-1)</f>
        <v>30566516.547048334</v>
      </c>
      <c r="AV19" s="17">
        <f>INDEX('Perfil - interna'!AW22:AW1117,$B$16-1)</f>
        <v>5392499.8763922825</v>
      </c>
      <c r="AW19" s="17">
        <f>INDEX('Perfil - interna'!AX22:AX1117,$B$16-1)</f>
        <v>5466506.1935365517</v>
      </c>
    </row>
    <row r="20" spans="1:49">
      <c r="A20" s="16" t="str">
        <f>Servicio_internaColumna_título_total</f>
        <v>Total</v>
      </c>
      <c r="B20" s="18">
        <f>INDEX('Perfil - interna'!C22:C1117,$B$16)</f>
        <v>0</v>
      </c>
      <c r="C20" s="18">
        <f>INDEX('Perfil - interna'!D22:D1117,$B$16)</f>
        <v>0</v>
      </c>
      <c r="D20" s="18">
        <f>INDEX('Perfil - interna'!E22:E1117,$B$16)</f>
        <v>0</v>
      </c>
      <c r="E20" s="18">
        <f>INDEX('Perfil - interna'!F22:F1117,$B$16)</f>
        <v>0</v>
      </c>
      <c r="F20" s="18">
        <f>INDEX('Perfil - interna'!G22:G1117,$B$16)</f>
        <v>0</v>
      </c>
      <c r="G20" s="18">
        <f>INDEX('Perfil - interna'!H22:H1117,$B$16)</f>
        <v>0</v>
      </c>
      <c r="H20" s="18">
        <f>INDEX('Perfil - interna'!I22:I1117,$B$16)</f>
        <v>0</v>
      </c>
      <c r="I20" s="18">
        <f>INDEX('Perfil - interna'!J22:J1117,$B$16)</f>
        <v>0</v>
      </c>
      <c r="J20" s="18">
        <f>INDEX('Perfil - interna'!K22:K1117,$B$16)</f>
        <v>0</v>
      </c>
      <c r="K20" s="18">
        <f>INDEX('Perfil - interna'!L22:L1117,$B$16)</f>
        <v>0</v>
      </c>
      <c r="L20" s="18">
        <f>INDEX('Perfil - interna'!M22:M1117,$B$16)</f>
        <v>0</v>
      </c>
      <c r="M20" s="18">
        <f>INDEX('Perfil - interna'!N22:N1117,$B$16)</f>
        <v>0</v>
      </c>
      <c r="N20" s="18">
        <f>INDEX('Perfil - interna'!O22:O1117,$B$16)</f>
        <v>0</v>
      </c>
      <c r="O20" s="18">
        <f>INDEX('Perfil - interna'!P22:P1117,$B$16)</f>
        <v>0</v>
      </c>
      <c r="P20" s="18">
        <f>INDEX('Perfil - interna'!Q22:Q1117,$B$16)</f>
        <v>0</v>
      </c>
      <c r="Q20" s="18">
        <f>INDEX('Perfil - interna'!R22:R1117,$B$16)</f>
        <v>0</v>
      </c>
      <c r="R20" s="18">
        <f>INDEX('Perfil - interna'!S22:S1117,$B$16)</f>
        <v>0</v>
      </c>
      <c r="S20" s="18">
        <f>INDEX('Perfil - interna'!T22:T1117,$B$16)</f>
        <v>0</v>
      </c>
      <c r="T20" s="18">
        <f>INDEX('Perfil - interna'!U22:U1117,$B$16)</f>
        <v>0</v>
      </c>
      <c r="U20" s="18">
        <f>INDEX('Perfil - interna'!V22:V1117,$B$16)</f>
        <v>0</v>
      </c>
      <c r="V20" s="18">
        <f>INDEX('Perfil - interna'!W22:W1117,$B$16)</f>
        <v>0</v>
      </c>
      <c r="W20" s="18">
        <f>INDEX('Perfil - interna'!X22:X1117,$B$16)</f>
        <v>0</v>
      </c>
      <c r="X20" s="18">
        <f>INDEX('Perfil - interna'!Y22:Y1117,$B$16)</f>
        <v>0</v>
      </c>
      <c r="Y20" s="18">
        <f>INDEX('Perfil - interna'!Z22:Z1117,$B$16)</f>
        <v>0</v>
      </c>
      <c r="Z20" s="18">
        <f>INDEX('Perfil - interna'!AA22:AA1117,$B$16)</f>
        <v>109022618.82590981</v>
      </c>
      <c r="AA20" s="18">
        <f>INDEX('Perfil - interna'!AB22:AB1117,$B$16)</f>
        <v>33517189.342999998</v>
      </c>
      <c r="AB20" s="18">
        <f>INDEX('Perfil - interna'!AC22:AC1117,$B$16)</f>
        <v>45484138.713131391</v>
      </c>
      <c r="AC20" s="18">
        <f>INDEX('Perfil - interna'!AD22:AD1117,$B$16)</f>
        <v>38137209.611649998</v>
      </c>
      <c r="AD20" s="18">
        <f>INDEX('Perfil - interna'!AE22:AE1117,$B$16)</f>
        <v>27633717.289855201</v>
      </c>
      <c r="AE20" s="18">
        <f>INDEX('Perfil - interna'!AF22:AF1117,$B$16)</f>
        <v>23743267.614999998</v>
      </c>
      <c r="AF20" s="18">
        <f>INDEX('Perfil - interna'!AG22:AG1117,$B$16)</f>
        <v>35313320.454999998</v>
      </c>
      <c r="AG20" s="18">
        <f>INDEX('Perfil - interna'!AH22:AH1117,$B$16)</f>
        <v>29468261.352874801</v>
      </c>
      <c r="AH20" s="18">
        <f>INDEX('Perfil - interna'!AI22:AI1117,$B$16)</f>
        <v>44494168.243429199</v>
      </c>
      <c r="AI20" s="18">
        <f>INDEX('Perfil - interna'!AJ22:AJ1117,$B$16)</f>
        <v>28434312.199999999</v>
      </c>
      <c r="AJ20" s="18">
        <f>INDEX('Perfil - interna'!AK22:AK1117,$B$16)</f>
        <v>36272347.464746103</v>
      </c>
      <c r="AK20" s="18">
        <f>INDEX('Perfil - interna'!AL22:AL1117,$B$16)</f>
        <v>20208433.199999999</v>
      </c>
      <c r="AL20" s="18">
        <f>INDEX('Perfil - interna'!AM22:AM1117,$B$16)</f>
        <v>41860696.183780201</v>
      </c>
      <c r="AM20" s="18">
        <f>INDEX('Perfil - interna'!AN22:AN1117,$B$16)</f>
        <v>0</v>
      </c>
      <c r="AN20" s="18">
        <f>INDEX('Perfil - interna'!AO22:AO1117,$B$16)</f>
        <v>0</v>
      </c>
      <c r="AO20" s="18">
        <f>INDEX('Perfil - interna'!AP22:AP1117,$B$16)</f>
        <v>0</v>
      </c>
      <c r="AP20" s="18">
        <f>INDEX('Perfil - interna'!AQ22:AQ1117,$B$16)</f>
        <v>0</v>
      </c>
      <c r="AQ20" s="18">
        <f>INDEX('Perfil - interna'!AR22:AR1117,$B$16)</f>
        <v>50337060.899999999</v>
      </c>
      <c r="AR20" s="18">
        <f>INDEX('Perfil - interna'!AS22:AS1117,$B$16)</f>
        <v>0</v>
      </c>
      <c r="AS20" s="18">
        <f>INDEX('Perfil - interna'!AT22:AT1117,$B$16)</f>
        <v>0</v>
      </c>
      <c r="AT20" s="18">
        <f>INDEX('Perfil - interna'!AU22:AU1117,$B$16)</f>
        <v>0</v>
      </c>
      <c r="AU20" s="18">
        <f>INDEX('Perfil - interna'!AV22:AV1117,$B$16)</f>
        <v>22714033.600000001</v>
      </c>
      <c r="AV20" s="18">
        <f>INDEX('Perfil - interna'!AW22:AW1117,$B$16)</f>
        <v>0</v>
      </c>
      <c r="AW20" s="18">
        <f>INDEX('Perfil - interna'!AX22:AX1117,$B$16)</f>
        <v>0</v>
      </c>
    </row>
    <row r="21" spans="1:49">
      <c r="B21" s="28" t="str">
        <f>IF(B20=0,"",1)</f>
        <v/>
      </c>
      <c r="C21" s="28" t="str">
        <f t="shared" ref="C21:Y21" si="0">IF(C20=0,"",1)</f>
        <v/>
      </c>
      <c r="D21" s="28" t="str">
        <f t="shared" si="0"/>
        <v/>
      </c>
      <c r="E21" s="28" t="str">
        <f t="shared" si="0"/>
        <v/>
      </c>
      <c r="F21" s="28" t="str">
        <f t="shared" si="0"/>
        <v/>
      </c>
      <c r="G21" s="28" t="str">
        <f t="shared" si="0"/>
        <v/>
      </c>
      <c r="H21" s="28" t="str">
        <f t="shared" si="0"/>
        <v/>
      </c>
      <c r="I21" s="28" t="str">
        <f t="shared" si="0"/>
        <v/>
      </c>
      <c r="J21" s="28" t="str">
        <f t="shared" si="0"/>
        <v/>
      </c>
      <c r="K21" s="28" t="str">
        <f t="shared" si="0"/>
        <v/>
      </c>
      <c r="L21" s="28" t="str">
        <f t="shared" si="0"/>
        <v/>
      </c>
      <c r="M21" s="28" t="str">
        <f t="shared" si="0"/>
        <v/>
      </c>
      <c r="N21" s="28" t="str">
        <f t="shared" si="0"/>
        <v/>
      </c>
      <c r="O21" s="28" t="str">
        <f t="shared" si="0"/>
        <v/>
      </c>
      <c r="P21" s="28" t="str">
        <f t="shared" si="0"/>
        <v/>
      </c>
      <c r="Q21" s="28" t="str">
        <f t="shared" si="0"/>
        <v/>
      </c>
      <c r="R21" s="28" t="str">
        <f t="shared" si="0"/>
        <v/>
      </c>
      <c r="S21" s="28" t="str">
        <f t="shared" si="0"/>
        <v/>
      </c>
      <c r="T21" s="28" t="str">
        <f t="shared" si="0"/>
        <v/>
      </c>
      <c r="U21" s="28" t="str">
        <f t="shared" si="0"/>
        <v/>
      </c>
      <c r="V21" s="28" t="str">
        <f t="shared" si="0"/>
        <v/>
      </c>
      <c r="W21" s="28" t="str">
        <f t="shared" si="0"/>
        <v/>
      </c>
      <c r="X21" s="28" t="str">
        <f t="shared" si="0"/>
        <v/>
      </c>
      <c r="Y21" s="28" t="str">
        <f t="shared" si="0"/>
        <v/>
      </c>
      <c r="Z21" s="28">
        <f t="shared" ref="Z21:AM21" si="1">IF(Z20=0,"",1)</f>
        <v>1</v>
      </c>
      <c r="AA21" s="28">
        <f t="shared" si="1"/>
        <v>1</v>
      </c>
      <c r="AB21" s="28">
        <f t="shared" si="1"/>
        <v>1</v>
      </c>
      <c r="AC21" s="28">
        <f t="shared" si="1"/>
        <v>1</v>
      </c>
      <c r="AD21" s="28">
        <f t="shared" si="1"/>
        <v>1</v>
      </c>
      <c r="AE21" s="28">
        <f t="shared" si="1"/>
        <v>1</v>
      </c>
      <c r="AF21" s="28">
        <f t="shared" si="1"/>
        <v>1</v>
      </c>
      <c r="AG21" s="28">
        <f t="shared" si="1"/>
        <v>1</v>
      </c>
      <c r="AH21" s="28">
        <f t="shared" si="1"/>
        <v>1</v>
      </c>
      <c r="AI21" s="28">
        <f t="shared" si="1"/>
        <v>1</v>
      </c>
      <c r="AJ21" s="28">
        <f t="shared" si="1"/>
        <v>1</v>
      </c>
      <c r="AK21" s="28">
        <f t="shared" si="1"/>
        <v>1</v>
      </c>
      <c r="AL21" s="28">
        <f t="shared" si="1"/>
        <v>1</v>
      </c>
      <c r="AM21" s="28" t="str">
        <f t="shared" si="1"/>
        <v/>
      </c>
      <c r="AN21" s="28" t="str">
        <f t="shared" ref="AN21:AW21" si="2">IF(AN20=0,"",1)</f>
        <v/>
      </c>
      <c r="AO21" s="28" t="str">
        <f t="shared" si="2"/>
        <v/>
      </c>
      <c r="AP21" s="28" t="str">
        <f t="shared" si="2"/>
        <v/>
      </c>
      <c r="AQ21" s="28">
        <f t="shared" si="2"/>
        <v>1</v>
      </c>
      <c r="AR21" s="28" t="str">
        <f t="shared" si="2"/>
        <v/>
      </c>
      <c r="AS21" s="28" t="str">
        <f t="shared" si="2"/>
        <v/>
      </c>
      <c r="AT21" s="28" t="str">
        <f t="shared" si="2"/>
        <v/>
      </c>
      <c r="AU21" s="28">
        <f t="shared" si="2"/>
        <v>1</v>
      </c>
      <c r="AV21" s="28" t="str">
        <f t="shared" si="2"/>
        <v/>
      </c>
      <c r="AW21" s="28" t="str">
        <f t="shared" si="2"/>
        <v/>
      </c>
    </row>
    <row r="22" spans="1:49">
      <c r="B22" s="3" t="s">
        <v>62</v>
      </c>
      <c r="C22" s="19">
        <f>MATCH(1,B21:AM21,)</f>
        <v>25</v>
      </c>
    </row>
    <row r="23" spans="1:49">
      <c r="B23" s="20" t="s">
        <v>63</v>
      </c>
      <c r="C23" s="3">
        <v>26</v>
      </c>
    </row>
    <row r="24" spans="1:49">
      <c r="C24" s="21"/>
    </row>
    <row r="27" spans="1:49">
      <c r="B27" s="3" t="e">
        <f ca="1">OFFSET('Perfil - interna'!$B$115,0,0,COUNT('Perfil - interna'!$A:$A))</f>
        <v>#VALUE!</v>
      </c>
    </row>
    <row r="28" spans="1:49">
      <c r="B28" s="3" t="s">
        <v>64</v>
      </c>
      <c r="C28" s="3">
        <v>1</v>
      </c>
      <c r="D28" s="3">
        <f>IF(C28="","",IF(C28+1&gt;$C$23,"",C28+1))</f>
        <v>2</v>
      </c>
      <c r="E28" s="3">
        <f t="shared" ref="E28:AM28" si="3">IF(D28="","",IF(D28+1&gt;$C$23,"",D28+1))</f>
        <v>3</v>
      </c>
      <c r="F28" s="3">
        <f t="shared" si="3"/>
        <v>4</v>
      </c>
      <c r="G28" s="3">
        <f t="shared" si="3"/>
        <v>5</v>
      </c>
      <c r="H28" s="3">
        <f t="shared" si="3"/>
        <v>6</v>
      </c>
      <c r="I28" s="3">
        <f t="shared" si="3"/>
        <v>7</v>
      </c>
      <c r="J28" s="3">
        <f t="shared" si="3"/>
        <v>8</v>
      </c>
      <c r="K28" s="3">
        <f t="shared" si="3"/>
        <v>9</v>
      </c>
      <c r="L28" s="3">
        <f t="shared" si="3"/>
        <v>10</v>
      </c>
      <c r="M28" s="3">
        <f t="shared" si="3"/>
        <v>11</v>
      </c>
      <c r="N28" s="3">
        <f t="shared" si="3"/>
        <v>12</v>
      </c>
      <c r="O28" s="3">
        <f t="shared" si="3"/>
        <v>13</v>
      </c>
      <c r="P28" s="3">
        <f t="shared" si="3"/>
        <v>14</v>
      </c>
      <c r="Q28" s="3">
        <f t="shared" si="3"/>
        <v>15</v>
      </c>
      <c r="R28" s="3">
        <f t="shared" si="3"/>
        <v>16</v>
      </c>
      <c r="S28" s="3">
        <f t="shared" si="3"/>
        <v>17</v>
      </c>
      <c r="T28" s="3">
        <f t="shared" si="3"/>
        <v>18</v>
      </c>
      <c r="U28" s="3">
        <f t="shared" si="3"/>
        <v>19</v>
      </c>
      <c r="V28" s="3">
        <f t="shared" si="3"/>
        <v>20</v>
      </c>
      <c r="W28" s="3">
        <f t="shared" si="3"/>
        <v>21</v>
      </c>
      <c r="X28" s="3">
        <f t="shared" si="3"/>
        <v>22</v>
      </c>
      <c r="Y28" s="3">
        <f t="shared" si="3"/>
        <v>23</v>
      </c>
      <c r="Z28" s="3">
        <f>IF(Y28="","",IF(Y28+1&gt;$C$23,"",Y28+1))</f>
        <v>24</v>
      </c>
      <c r="AA28" s="3">
        <f>IF(Z28="","",IF(Z28+1&gt;$C$23,"",Z28+1))</f>
        <v>25</v>
      </c>
      <c r="AB28" s="3">
        <f>IF(AA28="","",IF(AA28+1&gt;$C$23,"",AA28+1))</f>
        <v>26</v>
      </c>
      <c r="AC28" s="3">
        <f>+AB28+1</f>
        <v>27</v>
      </c>
      <c r="AD28" s="3">
        <f>+AC28+1</f>
        <v>28</v>
      </c>
      <c r="AE28" s="3">
        <f>+AD28+1</f>
        <v>29</v>
      </c>
      <c r="AF28" s="3">
        <f>+AE28+1</f>
        <v>30</v>
      </c>
      <c r="AG28" s="3" t="str">
        <f t="shared" si="3"/>
        <v/>
      </c>
      <c r="AH28" s="3" t="str">
        <f t="shared" si="3"/>
        <v/>
      </c>
      <c r="AI28" s="3" t="str">
        <f t="shared" si="3"/>
        <v/>
      </c>
      <c r="AJ28" s="3" t="str">
        <f t="shared" si="3"/>
        <v/>
      </c>
      <c r="AK28" s="3" t="str">
        <f t="shared" si="3"/>
        <v/>
      </c>
      <c r="AL28" s="3" t="str">
        <f t="shared" si="3"/>
        <v/>
      </c>
      <c r="AM28" s="3" t="str">
        <f t="shared" si="3"/>
        <v/>
      </c>
    </row>
    <row r="29" spans="1:49">
      <c r="B29" s="3" t="s">
        <v>65</v>
      </c>
      <c r="C29" s="21">
        <f>C22</f>
        <v>25</v>
      </c>
      <c r="D29" s="3">
        <f>IF(D28="","",C29+1)</f>
        <v>26</v>
      </c>
      <c r="E29" s="3">
        <f t="shared" ref="E29:AM29" si="4">IF(E28="","",D29+1)</f>
        <v>27</v>
      </c>
      <c r="F29" s="3">
        <f t="shared" si="4"/>
        <v>28</v>
      </c>
      <c r="G29" s="3">
        <f t="shared" si="4"/>
        <v>29</v>
      </c>
      <c r="H29" s="3">
        <f t="shared" si="4"/>
        <v>30</v>
      </c>
      <c r="I29" s="3">
        <f t="shared" si="4"/>
        <v>31</v>
      </c>
      <c r="J29" s="3">
        <f t="shared" si="4"/>
        <v>32</v>
      </c>
      <c r="K29" s="3">
        <f t="shared" si="4"/>
        <v>33</v>
      </c>
      <c r="L29" s="3">
        <f t="shared" si="4"/>
        <v>34</v>
      </c>
      <c r="M29" s="3">
        <f t="shared" si="4"/>
        <v>35</v>
      </c>
      <c r="N29" s="3">
        <f t="shared" si="4"/>
        <v>36</v>
      </c>
      <c r="O29" s="3">
        <f t="shared" si="4"/>
        <v>37</v>
      </c>
      <c r="P29" s="3">
        <f t="shared" si="4"/>
        <v>38</v>
      </c>
      <c r="Q29" s="3">
        <f t="shared" si="4"/>
        <v>39</v>
      </c>
      <c r="R29" s="3">
        <f t="shared" si="4"/>
        <v>40</v>
      </c>
      <c r="S29" s="3">
        <f t="shared" si="4"/>
        <v>41</v>
      </c>
      <c r="T29" s="3">
        <f t="shared" si="4"/>
        <v>42</v>
      </c>
      <c r="U29" s="3">
        <f t="shared" si="4"/>
        <v>43</v>
      </c>
      <c r="V29" s="3">
        <f t="shared" si="4"/>
        <v>44</v>
      </c>
      <c r="W29" s="3">
        <f t="shared" si="4"/>
        <v>45</v>
      </c>
      <c r="X29" s="3">
        <f t="shared" si="4"/>
        <v>46</v>
      </c>
      <c r="Y29" s="3">
        <f t="shared" si="4"/>
        <v>47</v>
      </c>
      <c r="Z29" s="3">
        <f t="shared" ref="Z29:AF29" si="5">IF(Z28="","",Y29+1)</f>
        <v>48</v>
      </c>
      <c r="AA29" s="3">
        <f t="shared" si="5"/>
        <v>49</v>
      </c>
      <c r="AB29" s="3">
        <f t="shared" si="5"/>
        <v>50</v>
      </c>
      <c r="AC29" s="3">
        <f t="shared" si="5"/>
        <v>51</v>
      </c>
      <c r="AD29" s="3">
        <f t="shared" si="5"/>
        <v>52</v>
      </c>
      <c r="AE29" s="3">
        <f t="shared" si="5"/>
        <v>53</v>
      </c>
      <c r="AF29" s="3">
        <f t="shared" si="5"/>
        <v>54</v>
      </c>
      <c r="AG29" s="3" t="str">
        <f t="shared" si="4"/>
        <v/>
      </c>
      <c r="AH29" s="3" t="str">
        <f t="shared" si="4"/>
        <v/>
      </c>
      <c r="AI29" s="3" t="str">
        <f t="shared" si="4"/>
        <v/>
      </c>
      <c r="AJ29" s="3" t="str">
        <f t="shared" si="4"/>
        <v/>
      </c>
      <c r="AK29" s="3" t="str">
        <f t="shared" si="4"/>
        <v/>
      </c>
      <c r="AL29" s="3" t="str">
        <f t="shared" si="4"/>
        <v/>
      </c>
      <c r="AM29" s="3" t="str">
        <f t="shared" si="4"/>
        <v/>
      </c>
    </row>
    <row r="30" spans="1:49">
      <c r="B30" s="3" t="s">
        <v>66</v>
      </c>
      <c r="C30" s="241">
        <f>IF(C28="","",INDEX($B$17:$AR$17,1,C29))</f>
        <v>2025</v>
      </c>
      <c r="D30" s="241">
        <f t="shared" ref="D30:AM30" si="6">IF(D28="","",INDEX($B$17:$AR$17,1,D29))</f>
        <v>2026</v>
      </c>
      <c r="E30" s="241">
        <f t="shared" si="6"/>
        <v>2027</v>
      </c>
      <c r="F30" s="241">
        <f t="shared" si="6"/>
        <v>2028</v>
      </c>
      <c r="G30" s="241">
        <f t="shared" si="6"/>
        <v>2029</v>
      </c>
      <c r="H30" s="241">
        <f t="shared" si="6"/>
        <v>2030</v>
      </c>
      <c r="I30" s="241">
        <f t="shared" si="6"/>
        <v>2031</v>
      </c>
      <c r="J30" s="241">
        <f t="shared" si="6"/>
        <v>2032</v>
      </c>
      <c r="K30" s="241">
        <f t="shared" si="6"/>
        <v>2033</v>
      </c>
      <c r="L30" s="241">
        <f t="shared" si="6"/>
        <v>2034</v>
      </c>
      <c r="M30" s="241">
        <f t="shared" si="6"/>
        <v>2035</v>
      </c>
      <c r="N30" s="241">
        <f t="shared" si="6"/>
        <v>2036</v>
      </c>
      <c r="O30" s="241">
        <f t="shared" si="6"/>
        <v>2037</v>
      </c>
      <c r="P30" s="241">
        <f t="shared" si="6"/>
        <v>2038</v>
      </c>
      <c r="Q30" s="241">
        <f t="shared" si="6"/>
        <v>2039</v>
      </c>
      <c r="R30" s="241">
        <f t="shared" si="6"/>
        <v>2040</v>
      </c>
      <c r="S30" s="241">
        <f t="shared" si="6"/>
        <v>2041</v>
      </c>
      <c r="T30" s="241">
        <f t="shared" si="6"/>
        <v>2042</v>
      </c>
      <c r="U30" s="241">
        <f t="shared" si="6"/>
        <v>2043</v>
      </c>
      <c r="V30" s="241" t="e">
        <f t="shared" si="6"/>
        <v>#REF!</v>
      </c>
      <c r="W30" s="241" t="e">
        <f t="shared" si="6"/>
        <v>#REF!</v>
      </c>
      <c r="X30" s="241" t="e">
        <f t="shared" si="6"/>
        <v>#REF!</v>
      </c>
      <c r="Y30" s="241" t="e">
        <f t="shared" si="6"/>
        <v>#REF!</v>
      </c>
      <c r="Z30" s="241" t="e">
        <f t="shared" si="6"/>
        <v>#REF!</v>
      </c>
      <c r="AA30" s="241" t="e">
        <f t="shared" si="6"/>
        <v>#REF!</v>
      </c>
      <c r="AB30" s="241" t="e">
        <f t="shared" ref="AB30:AG30" si="7">IF(AB28="","",INDEX($B$17:$AW$17,1,AB29))</f>
        <v>#REF!</v>
      </c>
      <c r="AC30" s="241" t="e">
        <f t="shared" si="7"/>
        <v>#REF!</v>
      </c>
      <c r="AD30" s="241" t="e">
        <f t="shared" si="7"/>
        <v>#REF!</v>
      </c>
      <c r="AE30" s="241" t="e">
        <f t="shared" si="7"/>
        <v>#REF!</v>
      </c>
      <c r="AF30" s="241" t="e">
        <f t="shared" si="7"/>
        <v>#REF!</v>
      </c>
      <c r="AG30" s="241" t="str">
        <f t="shared" si="7"/>
        <v/>
      </c>
      <c r="AH30" s="241" t="str">
        <f t="shared" si="6"/>
        <v/>
      </c>
      <c r="AI30" s="241" t="str">
        <f t="shared" si="6"/>
        <v/>
      </c>
      <c r="AJ30" s="241" t="str">
        <f t="shared" si="6"/>
        <v/>
      </c>
      <c r="AK30" s="241" t="str">
        <f t="shared" si="6"/>
        <v/>
      </c>
      <c r="AL30" s="241" t="str">
        <f t="shared" si="6"/>
        <v/>
      </c>
      <c r="AM30" s="241" t="str">
        <f t="shared" si="6"/>
        <v/>
      </c>
    </row>
    <row r="31" spans="1:49">
      <c r="B31" s="9" t="str">
        <f>Servicio_internaColumna_título_amortizaciones</f>
        <v>Amortizaciones</v>
      </c>
      <c r="C31" s="19">
        <f>IF(C28="","",INDEX($B$18:$AR$18,1,C29))</f>
        <v>36561283.746565923</v>
      </c>
      <c r="D31" s="19">
        <f>IF(D28="","",INDEX($B$18:$AR$18,1,D29))</f>
        <v>36108824.108123235</v>
      </c>
      <c r="E31" s="19">
        <f>IF(E28="","",INDEX($B$18:$AR$18,1,E29))</f>
        <v>33803639.765344739</v>
      </c>
      <c r="F31" s="19">
        <f>IF(F28="","",INDEX($B$18:$AR$18,1,F29))</f>
        <v>31931986.629886828</v>
      </c>
      <c r="G31" s="19">
        <f t="shared" ref="G31:AM31" si="8">IF(G28="","",INDEX($B$18:$AR$18,1,G29))</f>
        <v>29857676.009879056</v>
      </c>
      <c r="H31" s="19">
        <f t="shared" si="8"/>
        <v>29320153.984766871</v>
      </c>
      <c r="I31" s="19">
        <f t="shared" si="8"/>
        <v>27697407.639942378</v>
      </c>
      <c r="J31" s="19">
        <f t="shared" si="8"/>
        <v>25483920.576928146</v>
      </c>
      <c r="K31" s="19">
        <f t="shared" si="8"/>
        <v>23716416.384903491</v>
      </c>
      <c r="L31" s="19">
        <f t="shared" si="8"/>
        <v>19556997.123557758</v>
      </c>
      <c r="M31" s="19">
        <f t="shared" si="8"/>
        <v>17682382.782176986</v>
      </c>
      <c r="N31" s="19">
        <f t="shared" si="8"/>
        <v>15430677.550072104</v>
      </c>
      <c r="O31" s="19">
        <f t="shared" si="8"/>
        <v>14308937.171696767</v>
      </c>
      <c r="P31" s="19">
        <f t="shared" si="8"/>
        <v>12076290.627449878</v>
      </c>
      <c r="Q31" s="19">
        <f t="shared" si="8"/>
        <v>12133010.307208374</v>
      </c>
      <c r="R31" s="19">
        <f t="shared" si="8"/>
        <v>12191431.577359626</v>
      </c>
      <c r="S31" s="19">
        <f t="shared" si="8"/>
        <v>12251605.485615415</v>
      </c>
      <c r="T31" s="19">
        <f t="shared" si="8"/>
        <v>12313584.611118875</v>
      </c>
      <c r="U31" s="19">
        <f t="shared" si="8"/>
        <v>7721244.9771374445</v>
      </c>
      <c r="V31" s="19" t="e">
        <f t="shared" si="8"/>
        <v>#REF!</v>
      </c>
      <c r="W31" s="19" t="e">
        <f t="shared" si="8"/>
        <v>#REF!</v>
      </c>
      <c r="X31" s="19" t="e">
        <f t="shared" si="8"/>
        <v>#REF!</v>
      </c>
      <c r="Y31" s="19" t="e">
        <f t="shared" si="8"/>
        <v>#REF!</v>
      </c>
      <c r="Z31" s="19" t="e">
        <f t="shared" si="8"/>
        <v>#REF!</v>
      </c>
      <c r="AA31" s="19" t="e">
        <f t="shared" si="8"/>
        <v>#REF!</v>
      </c>
      <c r="AB31" s="19" t="e">
        <f t="shared" ref="AB31:AG31" si="9">IF(AB28="","",INDEX($B$18:$AW$18,1,AB29))</f>
        <v>#REF!</v>
      </c>
      <c r="AC31" s="19" t="e">
        <f t="shared" si="9"/>
        <v>#REF!</v>
      </c>
      <c r="AD31" s="19" t="e">
        <f t="shared" si="9"/>
        <v>#REF!</v>
      </c>
      <c r="AE31" s="19" t="e">
        <f t="shared" si="9"/>
        <v>#REF!</v>
      </c>
      <c r="AF31" s="19" t="e">
        <f t="shared" si="9"/>
        <v>#REF!</v>
      </c>
      <c r="AG31" s="19" t="str">
        <f t="shared" si="9"/>
        <v/>
      </c>
      <c r="AH31" s="19" t="str">
        <f t="shared" si="8"/>
        <v/>
      </c>
      <c r="AI31" s="19" t="str">
        <f t="shared" si="8"/>
        <v/>
      </c>
      <c r="AJ31" s="19" t="str">
        <f t="shared" si="8"/>
        <v/>
      </c>
      <c r="AK31" s="19" t="str">
        <f t="shared" si="8"/>
        <v/>
      </c>
      <c r="AL31" s="19" t="str">
        <f t="shared" si="8"/>
        <v/>
      </c>
      <c r="AM31" s="19" t="str">
        <f t="shared" si="8"/>
        <v/>
      </c>
    </row>
    <row r="32" spans="1:49">
      <c r="B32" s="10" t="str">
        <f>Servicio_internaColumna_título_intereses</f>
        <v>Intereses</v>
      </c>
      <c r="C32" s="19">
        <f>IF(C28="","",INDEX($B$19:$AR$19,1,C29))</f>
        <v>75973098.959222525</v>
      </c>
      <c r="D32" s="19">
        <f>IF(D28="","",INDEX($B$19:$AR$19,1,D29))</f>
        <v>69581013.451123238</v>
      </c>
      <c r="E32" s="19">
        <f>IF(E28="","",INDEX($B$19:$AR$19,1,E29))</f>
        <v>79379811.486276537</v>
      </c>
      <c r="F32" s="19">
        <f>IF(F28="","",INDEX($B$19:$AR$19,1,F29))</f>
        <v>69671583.942886829</v>
      </c>
      <c r="G32" s="19">
        <f t="shared" ref="G32:AM32" si="10">IF(G28="","",INDEX($B$19:$AR$19,1,G29))</f>
        <v>57320317.232617453</v>
      </c>
      <c r="H32" s="19">
        <f t="shared" si="10"/>
        <v>52576747.799766868</v>
      </c>
      <c r="I32" s="19">
        <f t="shared" si="10"/>
        <v>63437561.447817177</v>
      </c>
      <c r="J32" s="19">
        <f t="shared" si="10"/>
        <v>53456547.576928146</v>
      </c>
      <c r="K32" s="19">
        <f t="shared" si="10"/>
        <v>68198244.132399887</v>
      </c>
      <c r="L32" s="19">
        <f t="shared" si="10"/>
        <v>47926600.323557757</v>
      </c>
      <c r="M32" s="19">
        <f t="shared" si="10"/>
        <v>53924086.622960687</v>
      </c>
      <c r="N32" s="19">
        <f t="shared" si="10"/>
        <v>35300062.650072105</v>
      </c>
      <c r="O32" s="19">
        <f t="shared" si="10"/>
        <v>56107458.094638065</v>
      </c>
      <c r="P32" s="19">
        <f t="shared" si="10"/>
        <v>12076290.627449878</v>
      </c>
      <c r="Q32" s="19">
        <f t="shared" si="10"/>
        <v>12133010.307208374</v>
      </c>
      <c r="R32" s="19">
        <f t="shared" si="10"/>
        <v>12191431.577359626</v>
      </c>
      <c r="S32" s="19">
        <f t="shared" si="10"/>
        <v>12251605.485615415</v>
      </c>
      <c r="T32" s="19">
        <f t="shared" si="10"/>
        <v>62650645.511118874</v>
      </c>
      <c r="U32" s="19">
        <f t="shared" si="10"/>
        <v>7721244.9771374445</v>
      </c>
      <c r="V32" s="19" t="e">
        <f t="shared" si="10"/>
        <v>#REF!</v>
      </c>
      <c r="W32" s="19" t="e">
        <f t="shared" si="10"/>
        <v>#REF!</v>
      </c>
      <c r="X32" s="19" t="e">
        <f t="shared" si="10"/>
        <v>#REF!</v>
      </c>
      <c r="Y32" s="19" t="e">
        <f t="shared" si="10"/>
        <v>#REF!</v>
      </c>
      <c r="Z32" s="19" t="e">
        <f t="shared" si="10"/>
        <v>#REF!</v>
      </c>
      <c r="AA32" s="19" t="e">
        <f t="shared" si="10"/>
        <v>#REF!</v>
      </c>
      <c r="AB32" s="19" t="e">
        <f t="shared" ref="AB32:AG32" si="11">IF(AB28="","",INDEX($B$19:$AW$19,1,AB29))</f>
        <v>#REF!</v>
      </c>
      <c r="AC32" s="19" t="e">
        <f t="shared" si="11"/>
        <v>#REF!</v>
      </c>
      <c r="AD32" s="19" t="e">
        <f t="shared" si="11"/>
        <v>#REF!</v>
      </c>
      <c r="AE32" s="19" t="e">
        <f t="shared" si="11"/>
        <v>#REF!</v>
      </c>
      <c r="AF32" s="19" t="e">
        <f t="shared" si="11"/>
        <v>#REF!</v>
      </c>
      <c r="AG32" s="19" t="str">
        <f t="shared" si="11"/>
        <v/>
      </c>
      <c r="AH32" s="19" t="str">
        <f t="shared" si="10"/>
        <v/>
      </c>
      <c r="AI32" s="19" t="str">
        <f t="shared" si="10"/>
        <v/>
      </c>
      <c r="AJ32" s="19" t="str">
        <f t="shared" si="10"/>
        <v/>
      </c>
      <c r="AK32" s="19" t="str">
        <f t="shared" si="10"/>
        <v/>
      </c>
      <c r="AL32" s="19" t="str">
        <f t="shared" si="10"/>
        <v/>
      </c>
      <c r="AM32" s="19" t="str">
        <f t="shared" si="10"/>
        <v/>
      </c>
    </row>
    <row r="33" spans="1:39">
      <c r="B33" s="16" t="str">
        <f>Servicio_internaColumna_título_total</f>
        <v>Total</v>
      </c>
      <c r="C33" s="19">
        <f>IF(C28="","",INDEX($B$20:$AR$20,1,C29))</f>
        <v>109022618.82590981</v>
      </c>
      <c r="D33" s="19">
        <f>IF(D28="","",INDEX($B$20:$AR$20,1,D29))</f>
        <v>33517189.342999998</v>
      </c>
      <c r="E33" s="19">
        <f>IF(E28="","",INDEX($B$20:$AR$20,1,E29))</f>
        <v>45484138.713131391</v>
      </c>
      <c r="F33" s="19">
        <f>IF(F28="","",INDEX($B$20:$AR$20,1,F29))</f>
        <v>38137209.611649998</v>
      </c>
      <c r="G33" s="19">
        <f t="shared" ref="G33:AM33" si="12">IF(G28="","",INDEX($B$20:$AR$20,1,G29))</f>
        <v>27633717.289855201</v>
      </c>
      <c r="H33" s="19">
        <f t="shared" si="12"/>
        <v>23743267.614999998</v>
      </c>
      <c r="I33" s="19">
        <f t="shared" si="12"/>
        <v>35313320.454999998</v>
      </c>
      <c r="J33" s="19">
        <f t="shared" si="12"/>
        <v>29468261.352874801</v>
      </c>
      <c r="K33" s="19">
        <f t="shared" si="12"/>
        <v>44494168.243429199</v>
      </c>
      <c r="L33" s="19">
        <f t="shared" si="12"/>
        <v>28434312.199999999</v>
      </c>
      <c r="M33" s="19">
        <f t="shared" si="12"/>
        <v>36272347.464746103</v>
      </c>
      <c r="N33" s="19">
        <f t="shared" si="12"/>
        <v>20208433.199999999</v>
      </c>
      <c r="O33" s="19">
        <f t="shared" si="12"/>
        <v>41860696.183780201</v>
      </c>
      <c r="P33" s="19">
        <f t="shared" si="12"/>
        <v>0</v>
      </c>
      <c r="Q33" s="19">
        <f t="shared" si="12"/>
        <v>0</v>
      </c>
      <c r="R33" s="19">
        <f t="shared" si="12"/>
        <v>0</v>
      </c>
      <c r="S33" s="19">
        <f t="shared" si="12"/>
        <v>0</v>
      </c>
      <c r="T33" s="19">
        <f t="shared" si="12"/>
        <v>50337060.899999999</v>
      </c>
      <c r="U33" s="19">
        <f t="shared" si="12"/>
        <v>0</v>
      </c>
      <c r="V33" s="19" t="e">
        <f t="shared" si="12"/>
        <v>#REF!</v>
      </c>
      <c r="W33" s="19" t="e">
        <f t="shared" si="12"/>
        <v>#REF!</v>
      </c>
      <c r="X33" s="19" t="e">
        <f t="shared" si="12"/>
        <v>#REF!</v>
      </c>
      <c r="Y33" s="19" t="e">
        <f t="shared" si="12"/>
        <v>#REF!</v>
      </c>
      <c r="Z33" s="19" t="e">
        <f t="shared" si="12"/>
        <v>#REF!</v>
      </c>
      <c r="AA33" s="19" t="e">
        <f t="shared" si="12"/>
        <v>#REF!</v>
      </c>
      <c r="AB33" s="19" t="e">
        <f t="shared" ref="AB33:AG33" si="13">IF(AB28="","",INDEX($B$20:$AW$20,1,AB29))</f>
        <v>#REF!</v>
      </c>
      <c r="AC33" s="19" t="e">
        <f t="shared" si="13"/>
        <v>#REF!</v>
      </c>
      <c r="AD33" s="19" t="e">
        <f t="shared" si="13"/>
        <v>#REF!</v>
      </c>
      <c r="AE33" s="19" t="e">
        <f t="shared" si="13"/>
        <v>#REF!</v>
      </c>
      <c r="AF33" s="19" t="e">
        <f t="shared" si="13"/>
        <v>#REF!</v>
      </c>
      <c r="AG33" s="19" t="str">
        <f t="shared" si="13"/>
        <v/>
      </c>
      <c r="AH33" s="19" t="str">
        <f t="shared" si="12"/>
        <v/>
      </c>
      <c r="AI33" s="19" t="str">
        <f t="shared" si="12"/>
        <v/>
      </c>
      <c r="AJ33" s="19" t="str">
        <f t="shared" si="12"/>
        <v/>
      </c>
      <c r="AK33" s="19" t="str">
        <f t="shared" si="12"/>
        <v/>
      </c>
      <c r="AL33" s="19" t="str">
        <f t="shared" si="12"/>
        <v/>
      </c>
      <c r="AM33" s="19" t="str">
        <f t="shared" si="12"/>
        <v/>
      </c>
    </row>
    <row r="37" spans="1:39" ht="13.5" thickBot="1"/>
    <row r="38" spans="1:39" ht="13.5" thickBot="1">
      <c r="A38" s="27" t="str">
        <f t="array" ref="A38:D72">TRANSPOSE(B30:AM33)</f>
        <v>Year</v>
      </c>
      <c r="B38" s="242" t="str">
        <v>Amortizaciones</v>
      </c>
      <c r="C38" s="243" t="str">
        <v>Intereses</v>
      </c>
      <c r="D38" s="244" t="str">
        <v>Total</v>
      </c>
      <c r="E38" s="3" t="s">
        <v>67</v>
      </c>
    </row>
    <row r="39" spans="1:39">
      <c r="A39" s="27">
        <v>2025</v>
      </c>
      <c r="B39" s="22">
        <v>36561283.746565923</v>
      </c>
      <c r="C39" s="22">
        <v>75973098.959222525</v>
      </c>
      <c r="D39" s="23">
        <v>109022618.82590981</v>
      </c>
      <c r="E39" s="3">
        <f>IF(D39="","",0)</f>
        <v>0</v>
      </c>
    </row>
    <row r="40" spans="1:39">
      <c r="A40" s="27">
        <v>2026</v>
      </c>
      <c r="B40" s="22">
        <v>36108824.108123235</v>
      </c>
      <c r="C40" s="22">
        <v>69581013.451123238</v>
      </c>
      <c r="D40" s="23">
        <v>33517189.342999998</v>
      </c>
      <c r="E40" s="3">
        <f t="shared" ref="E40:E72" si="14">IF(D40="","",0)</f>
        <v>0</v>
      </c>
    </row>
    <row r="41" spans="1:39">
      <c r="A41" s="27">
        <v>2027</v>
      </c>
      <c r="B41" s="22">
        <v>33803639.765344739</v>
      </c>
      <c r="C41" s="22">
        <v>79379811.486276537</v>
      </c>
      <c r="D41" s="23">
        <v>45484138.713131391</v>
      </c>
      <c r="E41" s="3">
        <f t="shared" si="14"/>
        <v>0</v>
      </c>
    </row>
    <row r="42" spans="1:39">
      <c r="A42" s="27">
        <v>2028</v>
      </c>
      <c r="B42" s="22">
        <v>31931986.629886828</v>
      </c>
      <c r="C42" s="22">
        <v>69671583.942886829</v>
      </c>
      <c r="D42" s="23">
        <v>38137209.611649998</v>
      </c>
      <c r="E42" s="3">
        <f t="shared" si="14"/>
        <v>0</v>
      </c>
    </row>
    <row r="43" spans="1:39">
      <c r="A43" s="27">
        <v>2029</v>
      </c>
      <c r="B43" s="22">
        <v>29857676.009879056</v>
      </c>
      <c r="C43" s="22">
        <v>57320317.232617453</v>
      </c>
      <c r="D43" s="23">
        <v>27633717.289855201</v>
      </c>
      <c r="E43" s="3">
        <f t="shared" si="14"/>
        <v>0</v>
      </c>
    </row>
    <row r="44" spans="1:39">
      <c r="A44" s="27">
        <v>2030</v>
      </c>
      <c r="B44" s="22">
        <v>29320153.984766871</v>
      </c>
      <c r="C44" s="22">
        <v>52576747.799766868</v>
      </c>
      <c r="D44" s="23">
        <v>23743267.614999998</v>
      </c>
      <c r="E44" s="3">
        <f t="shared" si="14"/>
        <v>0</v>
      </c>
    </row>
    <row r="45" spans="1:39">
      <c r="A45" s="27">
        <v>2031</v>
      </c>
      <c r="B45" s="22">
        <v>27697407.639942378</v>
      </c>
      <c r="C45" s="22">
        <v>63437561.447817177</v>
      </c>
      <c r="D45" s="23">
        <v>35313320.454999998</v>
      </c>
      <c r="E45" s="3">
        <f t="shared" si="14"/>
        <v>0</v>
      </c>
    </row>
    <row r="46" spans="1:39">
      <c r="A46" s="27">
        <v>2032</v>
      </c>
      <c r="B46" s="22">
        <v>25483920.576928146</v>
      </c>
      <c r="C46" s="22">
        <v>53456547.576928146</v>
      </c>
      <c r="D46" s="23">
        <v>29468261.352874801</v>
      </c>
      <c r="E46" s="3">
        <f t="shared" si="14"/>
        <v>0</v>
      </c>
    </row>
    <row r="47" spans="1:39">
      <c r="A47" s="27">
        <v>2033</v>
      </c>
      <c r="B47" s="22">
        <v>23716416.384903491</v>
      </c>
      <c r="C47" s="22">
        <v>68198244.132399887</v>
      </c>
      <c r="D47" s="23">
        <v>44494168.243429199</v>
      </c>
      <c r="E47" s="3">
        <f t="shared" si="14"/>
        <v>0</v>
      </c>
    </row>
    <row r="48" spans="1:39">
      <c r="A48" s="27">
        <v>2034</v>
      </c>
      <c r="B48" s="22">
        <v>19556997.123557758</v>
      </c>
      <c r="C48" s="22">
        <v>47926600.323557757</v>
      </c>
      <c r="D48" s="94">
        <v>28434312.199999999</v>
      </c>
      <c r="E48" s="3">
        <f t="shared" si="14"/>
        <v>0</v>
      </c>
    </row>
    <row r="49" spans="1:5">
      <c r="A49" s="27">
        <v>2035</v>
      </c>
      <c r="B49" s="22">
        <v>17682382.782176986</v>
      </c>
      <c r="C49" s="22">
        <v>53924086.622960687</v>
      </c>
      <c r="D49" s="23">
        <v>36272347.464746103</v>
      </c>
      <c r="E49" s="3">
        <f t="shared" si="14"/>
        <v>0</v>
      </c>
    </row>
    <row r="50" spans="1:5">
      <c r="A50" s="27">
        <v>2036</v>
      </c>
      <c r="B50" s="22">
        <v>15430677.550072104</v>
      </c>
      <c r="C50" s="22">
        <v>35300062.650072105</v>
      </c>
      <c r="D50" s="23">
        <v>20208433.199999999</v>
      </c>
      <c r="E50" s="3">
        <f t="shared" si="14"/>
        <v>0</v>
      </c>
    </row>
    <row r="51" spans="1:5">
      <c r="A51" s="27">
        <v>2037</v>
      </c>
      <c r="B51" s="22">
        <v>14308937.171696767</v>
      </c>
      <c r="C51" s="22">
        <v>56107458.094638065</v>
      </c>
      <c r="D51" s="23">
        <v>41860696.183780201</v>
      </c>
      <c r="E51" s="3">
        <f t="shared" si="14"/>
        <v>0</v>
      </c>
    </row>
    <row r="52" spans="1:5">
      <c r="A52" s="27">
        <v>2038</v>
      </c>
      <c r="B52" s="22">
        <v>12076290.627449878</v>
      </c>
      <c r="C52" s="22">
        <v>12076290.627449878</v>
      </c>
      <c r="D52" s="23">
        <v>0</v>
      </c>
      <c r="E52" s="3">
        <f t="shared" si="14"/>
        <v>0</v>
      </c>
    </row>
    <row r="53" spans="1:5">
      <c r="A53" s="27">
        <v>2039</v>
      </c>
      <c r="B53" s="22">
        <v>12133010.307208374</v>
      </c>
      <c r="C53" s="22">
        <v>12133010.307208374</v>
      </c>
      <c r="D53" s="23">
        <v>0</v>
      </c>
      <c r="E53" s="3">
        <f t="shared" si="14"/>
        <v>0</v>
      </c>
    </row>
    <row r="54" spans="1:5">
      <c r="A54" s="27">
        <v>2040</v>
      </c>
      <c r="B54" s="22">
        <v>12191431.577359626</v>
      </c>
      <c r="C54" s="22">
        <v>12191431.577359626</v>
      </c>
      <c r="D54" s="23">
        <v>0</v>
      </c>
      <c r="E54" s="3">
        <f t="shared" si="14"/>
        <v>0</v>
      </c>
    </row>
    <row r="55" spans="1:5">
      <c r="A55" s="27">
        <v>2041</v>
      </c>
      <c r="B55" s="22">
        <v>12251605.485615415</v>
      </c>
      <c r="C55" s="22">
        <v>12251605.485615415</v>
      </c>
      <c r="D55" s="23">
        <v>0</v>
      </c>
      <c r="E55" s="3">
        <f t="shared" si="14"/>
        <v>0</v>
      </c>
    </row>
    <row r="56" spans="1:5">
      <c r="A56" s="27">
        <v>2042</v>
      </c>
      <c r="B56" s="22">
        <v>12313584.611118875</v>
      </c>
      <c r="C56" s="22">
        <v>62650645.511118874</v>
      </c>
      <c r="D56" s="23">
        <v>50337060.899999999</v>
      </c>
      <c r="E56" s="3">
        <f t="shared" si="14"/>
        <v>0</v>
      </c>
    </row>
    <row r="57" spans="1:5">
      <c r="A57" s="27">
        <v>2043</v>
      </c>
      <c r="B57" s="22">
        <v>7721244.9771374445</v>
      </c>
      <c r="C57" s="22">
        <v>7721244.9771374445</v>
      </c>
      <c r="D57" s="23">
        <v>0</v>
      </c>
      <c r="E57" s="3">
        <f t="shared" si="14"/>
        <v>0</v>
      </c>
    </row>
    <row r="58" spans="1:5">
      <c r="A58" s="27" t="e">
        <v>#REF!</v>
      </c>
      <c r="B58" s="22" t="e">
        <v>#REF!</v>
      </c>
      <c r="C58" s="22" t="e">
        <v>#REF!</v>
      </c>
      <c r="D58" s="23" t="e">
        <v>#REF!</v>
      </c>
      <c r="E58" s="3" t="e">
        <f t="shared" si="14"/>
        <v>#REF!</v>
      </c>
    </row>
    <row r="59" spans="1:5">
      <c r="A59" s="27" t="e">
        <v>#REF!</v>
      </c>
      <c r="B59" s="22" t="e">
        <v>#REF!</v>
      </c>
      <c r="C59" s="22" t="e">
        <v>#REF!</v>
      </c>
      <c r="D59" s="23" t="e">
        <v>#REF!</v>
      </c>
      <c r="E59" s="3" t="e">
        <f t="shared" si="14"/>
        <v>#REF!</v>
      </c>
    </row>
    <row r="60" spans="1:5">
      <c r="A60" s="27" t="e">
        <v>#REF!</v>
      </c>
      <c r="B60" s="22" t="e">
        <v>#REF!</v>
      </c>
      <c r="C60" s="22" t="e">
        <v>#REF!</v>
      </c>
      <c r="D60" s="23" t="e">
        <v>#REF!</v>
      </c>
      <c r="E60" s="3" t="e">
        <f t="shared" si="14"/>
        <v>#REF!</v>
      </c>
    </row>
    <row r="61" spans="1:5">
      <c r="A61" s="27" t="e">
        <v>#REF!</v>
      </c>
      <c r="B61" s="22" t="e">
        <v>#REF!</v>
      </c>
      <c r="C61" s="22" t="e">
        <v>#REF!</v>
      </c>
      <c r="D61" s="23" t="e">
        <v>#REF!</v>
      </c>
      <c r="E61" s="3" t="e">
        <f t="shared" si="14"/>
        <v>#REF!</v>
      </c>
    </row>
    <row r="62" spans="1:5">
      <c r="A62" s="27" t="e">
        <v>#REF!</v>
      </c>
      <c r="B62" s="22" t="e">
        <v>#REF!</v>
      </c>
      <c r="C62" s="22" t="e">
        <v>#REF!</v>
      </c>
      <c r="D62" s="23" t="e">
        <v>#REF!</v>
      </c>
      <c r="E62" s="3" t="e">
        <f t="shared" si="14"/>
        <v>#REF!</v>
      </c>
    </row>
    <row r="63" spans="1:5">
      <c r="A63" s="27" t="e">
        <v>#REF!</v>
      </c>
      <c r="B63" s="22" t="e">
        <v>#REF!</v>
      </c>
      <c r="C63" s="22" t="e">
        <v>#REF!</v>
      </c>
      <c r="D63" s="23" t="e">
        <v>#REF!</v>
      </c>
      <c r="E63" s="3" t="e">
        <f t="shared" si="14"/>
        <v>#REF!</v>
      </c>
    </row>
    <row r="64" spans="1:5">
      <c r="A64" s="27" t="e">
        <v>#REF!</v>
      </c>
      <c r="B64" s="22" t="e">
        <v>#REF!</v>
      </c>
      <c r="C64" s="22" t="e">
        <v>#REF!</v>
      </c>
      <c r="D64" s="23" t="e">
        <v>#REF!</v>
      </c>
      <c r="E64" s="3" t="e">
        <f t="shared" si="14"/>
        <v>#REF!</v>
      </c>
    </row>
    <row r="65" spans="1:5">
      <c r="A65" s="27" t="e">
        <v>#REF!</v>
      </c>
      <c r="B65" s="22" t="e">
        <v>#REF!</v>
      </c>
      <c r="C65" s="22" t="e">
        <v>#REF!</v>
      </c>
      <c r="D65" s="23" t="e">
        <v>#REF!</v>
      </c>
      <c r="E65" s="3" t="e">
        <f t="shared" si="14"/>
        <v>#REF!</v>
      </c>
    </row>
    <row r="66" spans="1:5">
      <c r="A66" s="27" t="e">
        <v>#REF!</v>
      </c>
      <c r="B66" s="22" t="e">
        <v>#REF!</v>
      </c>
      <c r="C66" s="22" t="e">
        <v>#REF!</v>
      </c>
      <c r="D66" s="23" t="e">
        <v>#REF!</v>
      </c>
      <c r="E66" s="3" t="e">
        <f t="shared" si="14"/>
        <v>#REF!</v>
      </c>
    </row>
    <row r="67" spans="1:5">
      <c r="A67" s="27" t="e">
        <v>#REF!</v>
      </c>
      <c r="B67" s="22" t="e">
        <v>#REF!</v>
      </c>
      <c r="C67" s="22" t="e">
        <v>#REF!</v>
      </c>
      <c r="D67" s="23" t="e">
        <v>#REF!</v>
      </c>
      <c r="E67" s="3" t="e">
        <f t="shared" si="14"/>
        <v>#REF!</v>
      </c>
    </row>
    <row r="68" spans="1:5">
      <c r="A68" s="27" t="e">
        <v>#REF!</v>
      </c>
      <c r="B68" s="22" t="e">
        <v>#REF!</v>
      </c>
      <c r="C68" s="22" t="e">
        <v>#REF!</v>
      </c>
      <c r="D68" s="23" t="e">
        <v>#REF!</v>
      </c>
      <c r="E68" s="3" t="e">
        <f t="shared" si="14"/>
        <v>#REF!</v>
      </c>
    </row>
    <row r="69" spans="1:5">
      <c r="A69" s="27" t="str">
        <v/>
      </c>
      <c r="B69" s="22" t="str">
        <v/>
      </c>
      <c r="C69" s="22" t="str">
        <v/>
      </c>
      <c r="D69" s="23" t="str">
        <v/>
      </c>
      <c r="E69" s="3" t="str">
        <f t="shared" si="14"/>
        <v/>
      </c>
    </row>
    <row r="70" spans="1:5">
      <c r="A70" s="27" t="str">
        <v/>
      </c>
      <c r="B70" s="22" t="str">
        <v/>
      </c>
      <c r="C70" s="22" t="str">
        <v/>
      </c>
      <c r="D70" s="23" t="str">
        <v/>
      </c>
      <c r="E70" s="3" t="str">
        <f t="shared" si="14"/>
        <v/>
      </c>
    </row>
    <row r="71" spans="1:5">
      <c r="A71" s="27" t="str">
        <v/>
      </c>
      <c r="B71" s="22" t="str">
        <v/>
      </c>
      <c r="C71" s="22" t="str">
        <v/>
      </c>
      <c r="D71" s="23" t="str">
        <v/>
      </c>
      <c r="E71" s="3" t="str">
        <f t="shared" si="14"/>
        <v/>
      </c>
    </row>
    <row r="72" spans="1:5">
      <c r="A72" s="27" t="str">
        <v/>
      </c>
      <c r="B72" s="22" t="str">
        <v/>
      </c>
      <c r="C72" s="22" t="str">
        <v/>
      </c>
      <c r="D72" s="23" t="str">
        <v/>
      </c>
      <c r="E72" s="3" t="str">
        <f t="shared" si="14"/>
        <v/>
      </c>
    </row>
  </sheetData>
  <phoneticPr fontId="15" type="noConversion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22AB-28B0-432E-89F5-06809BB5285E}">
  <sheetPr codeName="Hoja1">
    <tabColor rgb="FFB48C41"/>
    <pageSetUpPr fitToPage="1"/>
  </sheetPr>
  <dimension ref="A1:J305"/>
  <sheetViews>
    <sheetView showGridLines="0" tabSelected="1" zoomScale="85" zoomScaleNormal="85" workbookViewId="0">
      <pane ySplit="21" topLeftCell="A290" activePane="bottomLeft" state="frozen"/>
      <selection activeCell="Z846" sqref="Z846"/>
      <selection pane="bottomLeft" activeCell="B292" sqref="B292:D292"/>
    </sheetView>
  </sheetViews>
  <sheetFormatPr baseColWidth="10" defaultColWidth="0" defaultRowHeight="12.75"/>
  <cols>
    <col min="1" max="1" width="14.7109375" style="90" customWidth="1"/>
    <col min="2" max="2" width="18" style="90" bestFit="1" customWidth="1"/>
    <col min="3" max="3" width="15.7109375" style="90" bestFit="1" customWidth="1"/>
    <col min="4" max="4" width="12.42578125" style="90" bestFit="1" customWidth="1"/>
    <col min="5" max="5" width="16.7109375" style="90" customWidth="1"/>
    <col min="6" max="6" width="15.7109375" style="90" bestFit="1" customWidth="1"/>
    <col min="7" max="7" width="12.42578125" style="90" bestFit="1" customWidth="1"/>
    <col min="8" max="8" width="18" style="90" customWidth="1"/>
    <col min="9" max="9" width="15.7109375" style="90" bestFit="1" customWidth="1"/>
    <col min="10" max="10" width="11.42578125" style="3" customWidth="1"/>
    <col min="11" max="16384" width="0" style="3" hidden="1"/>
  </cols>
  <sheetData>
    <row r="1" spans="1:9" s="13" customFormat="1" ht="12.75" customHeight="1">
      <c r="A1" s="117"/>
    </row>
    <row r="2" spans="1:9" s="13" customFormat="1" ht="12.75" customHeight="1">
      <c r="E2" s="180" t="str">
        <f>Cambio_billones</f>
        <v>COP billones</v>
      </c>
    </row>
    <row r="3" spans="1:9" s="13" customFormat="1" ht="12.75" customHeight="1">
      <c r="E3" s="180" t="str">
        <f>SaldoTotal_GraficaTitulo</f>
        <v>Saldo Deuda Bruta GNC</v>
      </c>
    </row>
    <row r="4" spans="1:9" s="13" customFormat="1" ht="12.75" customHeight="1"/>
    <row r="5" spans="1:9" s="13" customFormat="1" ht="12.75" customHeight="1">
      <c r="A5" s="81"/>
      <c r="C5" s="83"/>
    </row>
    <row r="6" spans="1:9" ht="12.75" customHeight="1">
      <c r="A6" s="12"/>
      <c r="B6" s="3"/>
      <c r="C6" s="14"/>
      <c r="D6" s="3"/>
      <c r="E6" s="3"/>
      <c r="F6" s="3"/>
      <c r="G6" s="3"/>
      <c r="H6" s="3"/>
      <c r="I6" s="3"/>
    </row>
    <row r="7" spans="1:9" ht="12.75" customHeight="1">
      <c r="A7" s="12"/>
      <c r="B7" s="3"/>
      <c r="C7" s="14"/>
      <c r="D7" s="3"/>
      <c r="E7" s="3"/>
      <c r="F7" s="3"/>
      <c r="G7" s="3"/>
      <c r="H7" s="3"/>
      <c r="I7" s="3"/>
    </row>
    <row r="8" spans="1:9" ht="12.75" customHeight="1">
      <c r="A8" s="12"/>
      <c r="B8" s="3"/>
      <c r="C8" s="14"/>
      <c r="D8" s="3"/>
      <c r="E8" s="3"/>
      <c r="F8" s="3"/>
      <c r="G8" s="3"/>
      <c r="H8" s="3"/>
      <c r="I8" s="3"/>
    </row>
    <row r="9" spans="1:9" ht="12.75" customHeight="1">
      <c r="A9" s="12"/>
      <c r="B9" s="3"/>
      <c r="C9" s="14"/>
      <c r="D9" s="3"/>
      <c r="E9" s="3"/>
      <c r="F9" s="3"/>
      <c r="G9" s="3"/>
      <c r="H9" s="3"/>
      <c r="I9" s="3"/>
    </row>
    <row r="10" spans="1:9" ht="12" customHeight="1">
      <c r="A10" s="12"/>
      <c r="B10" s="3"/>
      <c r="C10" s="14"/>
      <c r="D10" s="3"/>
      <c r="E10" s="3"/>
      <c r="F10" s="3"/>
      <c r="G10" s="3"/>
      <c r="H10" s="3"/>
      <c r="I10" s="3"/>
    </row>
    <row r="11" spans="1:9" ht="12.75" customHeight="1">
      <c r="A11" s="12"/>
      <c r="B11" s="3"/>
      <c r="C11" s="14"/>
      <c r="D11" s="3"/>
      <c r="E11" s="3"/>
      <c r="F11" s="5"/>
      <c r="G11" s="3"/>
      <c r="H11" s="3"/>
      <c r="I11" s="3"/>
    </row>
    <row r="12" spans="1:9" ht="12.75" customHeight="1">
      <c r="A12" s="12"/>
      <c r="B12" s="3"/>
      <c r="C12" s="14"/>
      <c r="D12" s="3"/>
      <c r="E12" s="3"/>
      <c r="F12" s="5"/>
      <c r="G12" s="3"/>
      <c r="H12" s="3"/>
      <c r="I12" s="3"/>
    </row>
    <row r="13" spans="1:9" ht="12.75" customHeight="1">
      <c r="A13" s="12"/>
      <c r="B13" s="3"/>
      <c r="C13" s="14"/>
      <c r="D13" s="3"/>
      <c r="E13" s="3"/>
      <c r="F13" s="3"/>
      <c r="G13" s="3"/>
      <c r="H13" s="3"/>
      <c r="I13" s="3"/>
    </row>
    <row r="14" spans="1:9" ht="12.75" customHeight="1">
      <c r="A14" s="12"/>
      <c r="B14" s="3"/>
      <c r="C14" s="14"/>
      <c r="D14" s="3"/>
      <c r="E14" s="3"/>
      <c r="F14" s="3"/>
      <c r="G14" s="3"/>
      <c r="H14" s="3"/>
      <c r="I14" s="3"/>
    </row>
    <row r="15" spans="1:9" ht="12.75" customHeight="1">
      <c r="A15" s="12"/>
      <c r="B15" s="3"/>
      <c r="C15" s="14"/>
      <c r="D15" s="3"/>
      <c r="E15" s="3"/>
      <c r="F15" s="3"/>
      <c r="G15" s="3"/>
      <c r="H15" s="3"/>
      <c r="I15" s="3"/>
    </row>
    <row r="16" spans="1:9" ht="12.75" customHeight="1">
      <c r="A16" s="12"/>
      <c r="B16" s="3"/>
      <c r="C16" s="14"/>
      <c r="D16" s="3"/>
      <c r="E16" s="3"/>
      <c r="F16" s="3"/>
      <c r="G16" s="3"/>
      <c r="H16" s="3"/>
      <c r="I16" s="3"/>
    </row>
    <row r="17" spans="1:9" ht="12.75" customHeight="1">
      <c r="A17" s="12"/>
      <c r="B17" s="3"/>
      <c r="C17" s="14"/>
      <c r="D17" s="3"/>
      <c r="E17" s="3"/>
      <c r="F17" s="3"/>
      <c r="G17" s="3"/>
      <c r="H17" s="3"/>
      <c r="I17" s="3"/>
    </row>
    <row r="18" spans="1:9" ht="12.75" customHeight="1">
      <c r="A18" s="12"/>
      <c r="B18" s="3"/>
      <c r="C18" s="14"/>
      <c r="D18" s="3"/>
      <c r="E18" s="3"/>
      <c r="F18" s="3"/>
      <c r="G18" s="3"/>
      <c r="H18" s="3"/>
      <c r="I18" s="3"/>
    </row>
    <row r="19" spans="1:9" s="5" customFormat="1" ht="12.75" customHeight="1">
      <c r="A19" s="291"/>
      <c r="B19" s="294" t="str">
        <f>SaldosSección_título_etiqueta</f>
        <v>Saldos de deuda</v>
      </c>
      <c r="C19" s="289"/>
      <c r="D19" s="295"/>
      <c r="E19" s="294" t="str">
        <f>SaldosSección_título_etiqueta_2</f>
        <v>Saldos de deuda</v>
      </c>
      <c r="F19" s="289"/>
      <c r="G19" s="295"/>
      <c r="H19" s="294" t="str">
        <f>SaldosSección_título_etiqueta_3</f>
        <v>Composición interna y externa</v>
      </c>
      <c r="I19" s="295"/>
    </row>
    <row r="20" spans="1:9" s="5" customFormat="1" ht="16.5">
      <c r="A20" s="291"/>
      <c r="B20" s="294" t="str">
        <f>SaldosSección_subtítulo_etiqueta</f>
        <v>(COP millones)</v>
      </c>
      <c r="C20" s="289"/>
      <c r="D20" s="295"/>
      <c r="E20" s="294" t="str">
        <f>SaldosSección_subtítulo_etiqueta_2</f>
        <v>(USD millones)</v>
      </c>
      <c r="F20" s="289"/>
      <c r="G20" s="295"/>
      <c r="H20" s="294" t="str">
        <f>SaldosSección_subtítulo_etiqueta_3</f>
        <v>(% de deuda total)</v>
      </c>
      <c r="I20" s="295"/>
    </row>
    <row r="21" spans="1:9" ht="15">
      <c r="A21" s="120" t="str">
        <f>SaldosSección_fecha_etiqueta</f>
        <v>Corte a</v>
      </c>
      <c r="B21" s="182" t="str">
        <f>SaldosColumna_título_etiqueta</f>
        <v>Deuda interna</v>
      </c>
      <c r="C21" s="182" t="str">
        <f>SaldosColumna_título_etiqueta_2</f>
        <v>Deuda externa</v>
      </c>
      <c r="D21" s="296" t="str">
        <f>SaldosColumna_título_etiqueta_3</f>
        <v>Deuda total</v>
      </c>
      <c r="E21" s="182" t="str">
        <f>SaldosColumna_título_etiqueta</f>
        <v>Deuda interna</v>
      </c>
      <c r="F21" s="182" t="str">
        <f>SaldosColumna_título_etiqueta_2</f>
        <v>Deuda externa</v>
      </c>
      <c r="G21" s="296" t="str">
        <f>SaldosColumna_título_etiqueta_3</f>
        <v>Deuda total</v>
      </c>
      <c r="H21" s="182" t="str">
        <f>SaldosColumna_título_etiqueta</f>
        <v>Deuda interna</v>
      </c>
      <c r="I21" s="182" t="str">
        <f>SaldosColumna_título_etiqueta_2</f>
        <v>Deuda externa</v>
      </c>
    </row>
    <row r="22" spans="1:9">
      <c r="A22" s="121">
        <v>37072</v>
      </c>
      <c r="B22" s="183">
        <v>35573151.013195097</v>
      </c>
      <c r="C22" s="183">
        <v>37503877.553999975</v>
      </c>
      <c r="D22" s="297">
        <v>73077028.567195058</v>
      </c>
      <c r="E22" s="183">
        <v>15474.324559320998</v>
      </c>
      <c r="F22" s="183">
        <v>16319</v>
      </c>
      <c r="G22" s="297">
        <v>31793.324559320998</v>
      </c>
      <c r="H22" s="184">
        <v>0.48671615107279864</v>
      </c>
      <c r="I22" s="184">
        <v>0.51328384892720136</v>
      </c>
    </row>
    <row r="23" spans="1:9">
      <c r="A23" s="121">
        <v>37103</v>
      </c>
      <c r="B23" s="183">
        <v>35978082.920041367</v>
      </c>
      <c r="C23" s="183">
        <v>37925408.024400003</v>
      </c>
      <c r="D23" s="297">
        <v>73903490.944441378</v>
      </c>
      <c r="E23" s="183">
        <v>15122.588917283061</v>
      </c>
      <c r="F23" s="183">
        <v>16501.72</v>
      </c>
      <c r="G23" s="297">
        <v>31624.308917283062</v>
      </c>
      <c r="H23" s="184">
        <v>0.47819507951423995</v>
      </c>
      <c r="I23" s="184">
        <v>0.5218049204857601</v>
      </c>
    </row>
    <row r="24" spans="1:9">
      <c r="A24" s="121">
        <v>37134</v>
      </c>
      <c r="B24" s="183">
        <v>37271252</v>
      </c>
      <c r="C24" s="183">
        <v>39355635.460000001</v>
      </c>
      <c r="D24" s="297">
        <v>76626887.460000008</v>
      </c>
      <c r="E24" s="183">
        <v>15122.588917283061</v>
      </c>
      <c r="F24" s="183">
        <v>17102</v>
      </c>
      <c r="G24" s="297">
        <v>32224.588917283061</v>
      </c>
      <c r="H24" s="184">
        <v>0.46928725626573753</v>
      </c>
      <c r="I24" s="184">
        <v>0.53071274373426247</v>
      </c>
    </row>
    <row r="25" spans="1:9">
      <c r="A25" s="121">
        <v>37164</v>
      </c>
      <c r="B25" s="183">
        <v>37913586.902099565</v>
      </c>
      <c r="C25" s="183">
        <v>40240996.38797003</v>
      </c>
      <c r="D25" s="297">
        <v>78154583.290069595</v>
      </c>
      <c r="E25" s="183">
        <v>15122.588917283061</v>
      </c>
      <c r="F25" s="183">
        <v>17254.596061200002</v>
      </c>
      <c r="G25" s="297">
        <v>32377.184978483063</v>
      </c>
      <c r="H25" s="184">
        <v>0.46707547080862943</v>
      </c>
      <c r="I25" s="184">
        <v>0.53292452919137057</v>
      </c>
    </row>
    <row r="26" spans="1:9">
      <c r="A26" s="121">
        <v>37195</v>
      </c>
      <c r="B26" s="183">
        <v>39197352.372617163</v>
      </c>
      <c r="C26" s="183">
        <v>39716115.577779599</v>
      </c>
      <c r="D26" s="297">
        <v>78913467.950396761</v>
      </c>
      <c r="E26" s="183">
        <v>16968.403898068918</v>
      </c>
      <c r="F26" s="183">
        <v>17192.974769820001</v>
      </c>
      <c r="G26" s="297">
        <v>34161.378667888916</v>
      </c>
      <c r="H26" s="184">
        <v>0.49671308828115052</v>
      </c>
      <c r="I26" s="184">
        <v>0.50328691171884965</v>
      </c>
    </row>
    <row r="27" spans="1:9">
      <c r="A27" s="121">
        <v>37225</v>
      </c>
      <c r="B27" s="183">
        <v>40466912.222105563</v>
      </c>
      <c r="C27" s="183">
        <v>40313473.489161178</v>
      </c>
      <c r="D27" s="297">
        <v>80780385.711266741</v>
      </c>
      <c r="E27" s="183">
        <v>17528.843242890925</v>
      </c>
      <c r="F27" s="183">
        <v>17462.378979880003</v>
      </c>
      <c r="G27" s="297">
        <v>34991.222222770928</v>
      </c>
      <c r="H27" s="184">
        <v>0.50094972765723611</v>
      </c>
      <c r="I27" s="184">
        <v>0.49905027234276383</v>
      </c>
    </row>
    <row r="28" spans="1:9">
      <c r="A28" s="121">
        <v>37256</v>
      </c>
      <c r="B28" s="183">
        <v>44235677.489604302</v>
      </c>
      <c r="C28" s="183">
        <v>41742137.317556843</v>
      </c>
      <c r="D28" s="297">
        <v>85977814.807161152</v>
      </c>
      <c r="E28" s="183">
        <v>19306.941178608537</v>
      </c>
      <c r="F28" s="183">
        <v>18218.619801829995</v>
      </c>
      <c r="G28" s="297">
        <v>37525.560980438531</v>
      </c>
      <c r="H28" s="184">
        <v>0.51450106738372103</v>
      </c>
      <c r="I28" s="184">
        <v>0.48549893261627897</v>
      </c>
    </row>
    <row r="29" spans="1:9">
      <c r="A29" s="121">
        <v>37287</v>
      </c>
      <c r="B29" s="183">
        <v>44743163</v>
      </c>
      <c r="C29" s="183">
        <v>40909443.660000004</v>
      </c>
      <c r="D29" s="297">
        <v>85652606.659999996</v>
      </c>
      <c r="E29" s="183">
        <v>19755.725841347215</v>
      </c>
      <c r="F29" s="183">
        <v>18063</v>
      </c>
      <c r="G29" s="297">
        <v>37818.725841347215</v>
      </c>
      <c r="H29" s="184">
        <v>0.52237946683408032</v>
      </c>
      <c r="I29" s="184">
        <v>0.47762053316591963</v>
      </c>
    </row>
    <row r="30" spans="1:9">
      <c r="A30" s="121">
        <v>37315</v>
      </c>
      <c r="B30" s="183">
        <v>47124952.109454185</v>
      </c>
      <c r="C30" s="183">
        <v>41662513.746808432</v>
      </c>
      <c r="D30" s="297">
        <v>88787465.856262594</v>
      </c>
      <c r="E30" s="183">
        <v>20402.001934979427</v>
      </c>
      <c r="F30" s="183">
        <v>18037.125727029998</v>
      </c>
      <c r="G30" s="297">
        <v>38439.127662009429</v>
      </c>
      <c r="H30" s="184">
        <v>0.53076131473044208</v>
      </c>
      <c r="I30" s="184">
        <v>0.46923868526955786</v>
      </c>
    </row>
    <row r="31" spans="1:9">
      <c r="A31" s="121">
        <v>37346</v>
      </c>
      <c r="B31" s="183">
        <v>47080813.142619208</v>
      </c>
      <c r="C31" s="183">
        <v>40377232.270791769</v>
      </c>
      <c r="D31" s="297">
        <v>87458045.413410977</v>
      </c>
      <c r="E31" s="183">
        <v>20820.88648329414</v>
      </c>
      <c r="F31" s="183">
        <v>17254.596061200002</v>
      </c>
      <c r="G31" s="297">
        <v>38075.482544494138</v>
      </c>
      <c r="H31" s="184">
        <v>0.5383245523047071</v>
      </c>
      <c r="I31" s="184">
        <v>0.46167544769529284</v>
      </c>
    </row>
    <row r="32" spans="1:9">
      <c r="A32" s="121">
        <v>37376</v>
      </c>
      <c r="B32" s="183">
        <v>47515437.09266752</v>
      </c>
      <c r="C32" s="183">
        <v>40796325.503294006</v>
      </c>
      <c r="D32" s="297">
        <v>88311762.595961526</v>
      </c>
      <c r="E32" s="183">
        <v>20882.693692252851</v>
      </c>
      <c r="F32" s="183">
        <v>17929.692356469997</v>
      </c>
      <c r="G32" s="297">
        <v>38812.386048722852</v>
      </c>
      <c r="H32" s="184">
        <v>0.53804199685218812</v>
      </c>
      <c r="I32" s="184">
        <v>0.46195800314781177</v>
      </c>
    </row>
    <row r="33" spans="1:9">
      <c r="A33" s="121">
        <v>37407</v>
      </c>
      <c r="B33" s="183">
        <v>50152046.057376973</v>
      </c>
      <c r="C33" s="183">
        <v>40677530.02536913</v>
      </c>
      <c r="D33" s="297">
        <v>90829576.082746103</v>
      </c>
      <c r="E33" s="183">
        <v>21606.458002626692</v>
      </c>
      <c r="F33" s="183">
        <v>17524.655786490002</v>
      </c>
      <c r="G33" s="297">
        <v>39131.113789116695</v>
      </c>
      <c r="H33" s="184">
        <v>0.55215545662888765</v>
      </c>
      <c r="I33" s="184">
        <v>0.44784454337111229</v>
      </c>
    </row>
    <row r="34" spans="1:9">
      <c r="A34" s="121">
        <v>37437</v>
      </c>
      <c r="B34" s="183">
        <v>50930450.523260847</v>
      </c>
      <c r="C34" s="183">
        <v>41784906.414400764</v>
      </c>
      <c r="D34" s="297">
        <v>92715356.937661618</v>
      </c>
      <c r="E34" s="183">
        <v>21231.459852452808</v>
      </c>
      <c r="F34" s="183">
        <v>17418.941985810008</v>
      </c>
      <c r="G34" s="297">
        <v>38650.401838262813</v>
      </c>
      <c r="H34" s="184">
        <v>0.54932054629854477</v>
      </c>
      <c r="I34" s="184">
        <v>0.45067945370145529</v>
      </c>
    </row>
    <row r="35" spans="1:9">
      <c r="A35" s="121">
        <v>37468</v>
      </c>
      <c r="B35" s="183">
        <v>51029746.408880182</v>
      </c>
      <c r="C35" s="183">
        <v>46622671.376738898</v>
      </c>
      <c r="D35" s="297">
        <v>97652417.78561908</v>
      </c>
      <c r="E35" s="183">
        <v>19439.459063366241</v>
      </c>
      <c r="F35" s="183">
        <v>17760.611710490008</v>
      </c>
      <c r="G35" s="297">
        <v>37200.070773856249</v>
      </c>
      <c r="H35" s="184">
        <v>0.52256510966178193</v>
      </c>
      <c r="I35" s="184">
        <v>0.47743489033821801</v>
      </c>
    </row>
    <row r="36" spans="1:9">
      <c r="A36" s="121">
        <v>37499</v>
      </c>
      <c r="B36" s="183">
        <v>51184494.820911333</v>
      </c>
      <c r="C36" s="183">
        <v>48187963.442075603</v>
      </c>
      <c r="D36" s="297">
        <v>99372458.262986928</v>
      </c>
      <c r="E36" s="183">
        <v>18870.138111128395</v>
      </c>
      <c r="F36" s="183">
        <v>17765.409791139999</v>
      </c>
      <c r="G36" s="297">
        <v>36635.547902268394</v>
      </c>
      <c r="H36" s="184">
        <v>0.51507727307553097</v>
      </c>
      <c r="I36" s="184">
        <v>0.48492272692446897</v>
      </c>
    </row>
    <row r="37" spans="1:9">
      <c r="A37" s="121">
        <v>37529</v>
      </c>
      <c r="B37" s="183">
        <v>51113367.318832666</v>
      </c>
      <c r="C37" s="183">
        <v>50483958.86658825</v>
      </c>
      <c r="D37" s="297">
        <v>101597326.18542092</v>
      </c>
      <c r="E37" s="183">
        <v>18073.522431767371</v>
      </c>
      <c r="F37" s="183">
        <v>17850.965625649998</v>
      </c>
      <c r="G37" s="297">
        <v>35924.488057417373</v>
      </c>
      <c r="H37" s="184">
        <v>0.50309756405939121</v>
      </c>
      <c r="I37" s="184">
        <v>0.49690243594060868</v>
      </c>
    </row>
    <row r="38" spans="1:9">
      <c r="A38" s="121">
        <v>37560</v>
      </c>
      <c r="B38" s="183">
        <v>51234718.339557618</v>
      </c>
      <c r="C38" s="183">
        <v>49008610.168868423</v>
      </c>
      <c r="D38" s="297">
        <v>100243328.50842604</v>
      </c>
      <c r="E38" s="183">
        <v>18471.415148394983</v>
      </c>
      <c r="F38" s="183">
        <v>17668.846704210006</v>
      </c>
      <c r="G38" s="297">
        <v>36140.261852604992</v>
      </c>
      <c r="H38" s="184">
        <v>0.51110352281699256</v>
      </c>
      <c r="I38" s="184">
        <v>0.48889647718300733</v>
      </c>
    </row>
    <row r="39" spans="1:9">
      <c r="A39" s="121">
        <v>37590</v>
      </c>
      <c r="B39" s="183">
        <v>51558451.517464109</v>
      </c>
      <c r="C39" s="183">
        <v>48962459.796204217</v>
      </c>
      <c r="D39" s="297">
        <v>100520911.31366833</v>
      </c>
      <c r="E39" s="183">
        <v>18692.247167605936</v>
      </c>
      <c r="F39" s="183">
        <v>17751.083934989998</v>
      </c>
      <c r="G39" s="297">
        <v>36443.331102595934</v>
      </c>
      <c r="H39" s="184">
        <v>0.5129126949175743</v>
      </c>
      <c r="I39" s="184">
        <v>0.48708730508242565</v>
      </c>
    </row>
    <row r="40" spans="1:9">
      <c r="A40" s="121">
        <v>37621</v>
      </c>
      <c r="B40" s="183">
        <v>53401028.38812688</v>
      </c>
      <c r="C40" s="183">
        <v>51577033.983709432</v>
      </c>
      <c r="D40" s="297">
        <v>104978062.3718363</v>
      </c>
      <c r="E40" s="183">
        <v>18640.468721311816</v>
      </c>
      <c r="F40" s="183">
        <v>18003.774791070002</v>
      </c>
      <c r="G40" s="297">
        <v>36644.243512381814</v>
      </c>
      <c r="H40" s="184">
        <v>0.50868750271821939</v>
      </c>
      <c r="I40" s="184">
        <v>0.49131249728178072</v>
      </c>
    </row>
    <row r="41" spans="1:9">
      <c r="A41" s="121">
        <v>37652</v>
      </c>
      <c r="B41" s="183">
        <v>54107940.386258736</v>
      </c>
      <c r="C41" s="183">
        <v>55338476.14448221</v>
      </c>
      <c r="D41" s="297">
        <v>109446416.53074095</v>
      </c>
      <c r="E41" s="183">
        <v>18489.212354263764</v>
      </c>
      <c r="F41" s="183">
        <v>18909.698456319995</v>
      </c>
      <c r="G41" s="297">
        <v>37398.910810583759</v>
      </c>
      <c r="H41" s="184">
        <v>0.4943783643301019</v>
      </c>
      <c r="I41" s="184">
        <v>0.50562163566989815</v>
      </c>
    </row>
    <row r="42" spans="1:9">
      <c r="A42" s="121">
        <v>37680</v>
      </c>
      <c r="B42" s="183">
        <v>53287760.098062411</v>
      </c>
      <c r="C42" s="183">
        <v>55657339.257710725</v>
      </c>
      <c r="D42" s="297">
        <v>108945099.35577314</v>
      </c>
      <c r="E42" s="183">
        <v>18025.092124324721</v>
      </c>
      <c r="F42" s="183">
        <v>18826.624832209993</v>
      </c>
      <c r="G42" s="297">
        <v>36851.716956534714</v>
      </c>
      <c r="H42" s="184">
        <v>0.48912489330102787</v>
      </c>
      <c r="I42" s="184">
        <v>0.51087510669897218</v>
      </c>
    </row>
    <row r="43" spans="1:9">
      <c r="A43" s="121">
        <v>37711</v>
      </c>
      <c r="B43" s="183">
        <v>55633774.363829568</v>
      </c>
      <c r="C43" s="183">
        <v>55642669.373808101</v>
      </c>
      <c r="D43" s="297">
        <v>111276443.73763767</v>
      </c>
      <c r="E43" s="183">
        <v>18806.312638833624</v>
      </c>
      <c r="F43" s="183">
        <v>18809.319487469991</v>
      </c>
      <c r="G43" s="297">
        <v>37615.632126303615</v>
      </c>
      <c r="H43" s="184">
        <v>0.49996003192733446</v>
      </c>
      <c r="I43" s="184">
        <v>0.50003996807266549</v>
      </c>
    </row>
    <row r="44" spans="1:9">
      <c r="A44" s="121">
        <v>37741</v>
      </c>
      <c r="B44" s="183">
        <v>56448742.525843754</v>
      </c>
      <c r="C44" s="183">
        <v>57244026.141082197</v>
      </c>
      <c r="D44" s="297">
        <v>113692768.66692595</v>
      </c>
      <c r="E44" s="183">
        <v>19547.181793132451</v>
      </c>
      <c r="F44" s="183">
        <v>19822.574170510001</v>
      </c>
      <c r="G44" s="297">
        <v>39369.755963642456</v>
      </c>
      <c r="H44" s="184">
        <v>0.4965024881328719</v>
      </c>
      <c r="I44" s="184">
        <v>0.50349751186712799</v>
      </c>
    </row>
    <row r="45" spans="1:9">
      <c r="A45" s="121">
        <v>37772</v>
      </c>
      <c r="B45" s="183">
        <v>57306846.364099607</v>
      </c>
      <c r="C45" s="183">
        <v>56677472.811095297</v>
      </c>
      <c r="D45" s="297">
        <v>113984319.1751949</v>
      </c>
      <c r="E45" s="183">
        <v>20084.198590453823</v>
      </c>
      <c r="F45" s="183">
        <v>19863.62348943</v>
      </c>
      <c r="G45" s="297">
        <v>39947.822079883823</v>
      </c>
      <c r="H45" s="184">
        <v>0.50276079006989094</v>
      </c>
      <c r="I45" s="184">
        <v>0.49723920993010912</v>
      </c>
    </row>
    <row r="46" spans="1:9">
      <c r="A46" s="121">
        <v>37802</v>
      </c>
      <c r="B46" s="183">
        <v>57399640.554455832</v>
      </c>
      <c r="C46" s="183">
        <v>53664965.307349928</v>
      </c>
      <c r="D46" s="297">
        <v>111064605.86180577</v>
      </c>
      <c r="E46" s="183">
        <v>20410.357629558872</v>
      </c>
      <c r="F46" s="183">
        <v>19082.369219049997</v>
      </c>
      <c r="G46" s="297">
        <v>39492.726848608872</v>
      </c>
      <c r="H46" s="184">
        <v>0.51681307567846069</v>
      </c>
      <c r="I46" s="184">
        <v>0.48318692432153926</v>
      </c>
    </row>
    <row r="47" spans="1:9">
      <c r="A47" s="121">
        <v>37833</v>
      </c>
      <c r="B47" s="183">
        <v>58053385.139430732</v>
      </c>
      <c r="C47" s="183">
        <v>54782295.577930704</v>
      </c>
      <c r="D47" s="297">
        <v>112835680.71736144</v>
      </c>
      <c r="E47" s="183">
        <v>20154.626142004836</v>
      </c>
      <c r="F47" s="183">
        <v>19018.988882769998</v>
      </c>
      <c r="G47" s="297">
        <v>39173.61502477483</v>
      </c>
      <c r="H47" s="184">
        <v>0.51449492545577713</v>
      </c>
      <c r="I47" s="184">
        <v>0.48550507454422298</v>
      </c>
    </row>
    <row r="48" spans="1:9">
      <c r="A48" s="121">
        <v>37864</v>
      </c>
      <c r="B48" s="183">
        <v>58165183.100311443</v>
      </c>
      <c r="C48" s="183">
        <v>54703139.131215364</v>
      </c>
      <c r="D48" s="297">
        <v>112868322.23152681</v>
      </c>
      <c r="E48" s="183">
        <v>20435.653489249555</v>
      </c>
      <c r="F48" s="183">
        <v>19219.30502878</v>
      </c>
      <c r="G48" s="297">
        <v>39654.958518029554</v>
      </c>
      <c r="H48" s="184">
        <v>0.51533665026930398</v>
      </c>
      <c r="I48" s="184">
        <v>0.48466334973069597</v>
      </c>
    </row>
    <row r="49" spans="1:9">
      <c r="A49" s="121">
        <v>37894</v>
      </c>
      <c r="B49" s="183">
        <v>58787045.591995269</v>
      </c>
      <c r="C49" s="183">
        <v>57148920.614952177</v>
      </c>
      <c r="D49" s="297">
        <v>115935966.20694745</v>
      </c>
      <c r="E49" s="183">
        <v>20345.83271624643</v>
      </c>
      <c r="F49" s="183">
        <v>19778.887798100008</v>
      </c>
      <c r="G49" s="297">
        <v>40124.720514346438</v>
      </c>
      <c r="H49" s="184">
        <v>0.50706478339137229</v>
      </c>
      <c r="I49" s="184">
        <v>0.49293521660862766</v>
      </c>
    </row>
    <row r="50" spans="1:9">
      <c r="A50" s="121">
        <v>37925</v>
      </c>
      <c r="B50" s="183">
        <v>59031765.25977955</v>
      </c>
      <c r="C50" s="183">
        <v>57473243.967486814</v>
      </c>
      <c r="D50" s="297">
        <v>116505009.22726637</v>
      </c>
      <c r="E50" s="183">
        <v>20467.505472901925</v>
      </c>
      <c r="F50" s="183">
        <v>19927.134658320007</v>
      </c>
      <c r="G50" s="297">
        <v>40394.640131221931</v>
      </c>
      <c r="H50" s="184">
        <v>0.50668864498887134</v>
      </c>
      <c r="I50" s="184">
        <v>0.49331135501112866</v>
      </c>
    </row>
    <row r="51" spans="1:9">
      <c r="A51" s="121">
        <v>37955</v>
      </c>
      <c r="B51" s="183">
        <v>60130121.537857756</v>
      </c>
      <c r="C51" s="183">
        <v>57484833.450079121</v>
      </c>
      <c r="D51" s="297">
        <v>117614954.98793688</v>
      </c>
      <c r="E51" s="183">
        <v>21182.274117679841</v>
      </c>
      <c r="F51" s="183">
        <v>20250.408091760004</v>
      </c>
      <c r="G51" s="297">
        <v>41432.682209439845</v>
      </c>
      <c r="H51" s="184">
        <v>0.51124554308612347</v>
      </c>
      <c r="I51" s="184">
        <v>0.48875445691387648</v>
      </c>
    </row>
    <row r="52" spans="1:9">
      <c r="A52" s="121">
        <v>37986</v>
      </c>
      <c r="B52" s="183">
        <v>60949781.787039384</v>
      </c>
      <c r="C52" s="183">
        <v>56810879.610834986</v>
      </c>
      <c r="D52" s="297">
        <v>117760661.39787437</v>
      </c>
      <c r="E52" s="183">
        <v>21938.507811518706</v>
      </c>
      <c r="F52" s="183">
        <v>20448.734836759995</v>
      </c>
      <c r="G52" s="297">
        <v>42387.242648278698</v>
      </c>
      <c r="H52" s="184">
        <v>0.51757336502306328</v>
      </c>
      <c r="I52" s="184">
        <v>0.48242663497693677</v>
      </c>
    </row>
    <row r="53" spans="1:9">
      <c r="A53" s="121">
        <v>38017</v>
      </c>
      <c r="B53" s="183">
        <v>61673052.302487791</v>
      </c>
      <c r="C53" s="183">
        <v>57172994.551158346</v>
      </c>
      <c r="D53" s="297">
        <v>118846046.85364613</v>
      </c>
      <c r="E53" s="183">
        <v>22488.141092696656</v>
      </c>
      <c r="F53" s="183">
        <v>20847.263434479995</v>
      </c>
      <c r="G53" s="297">
        <v>43335.404527176652</v>
      </c>
      <c r="H53" s="184">
        <v>0.51893229884571201</v>
      </c>
      <c r="I53" s="184">
        <v>0.48106770115428799</v>
      </c>
    </row>
    <row r="54" spans="1:9">
      <c r="A54" s="121">
        <v>38046</v>
      </c>
      <c r="B54" s="183">
        <v>63061928.868710108</v>
      </c>
      <c r="C54" s="183">
        <v>55781080.204582401</v>
      </c>
      <c r="D54" s="297">
        <v>118843009.07329251</v>
      </c>
      <c r="E54" s="183">
        <v>23473.288642160602</v>
      </c>
      <c r="F54" s="183">
        <v>20763.167570399994</v>
      </c>
      <c r="G54" s="297">
        <v>44236.456212560603</v>
      </c>
      <c r="H54" s="184">
        <v>0.53063221270187411</v>
      </c>
      <c r="I54" s="184">
        <v>0.46936778729812589</v>
      </c>
    </row>
    <row r="55" spans="1:9">
      <c r="A55" s="121">
        <v>38077</v>
      </c>
      <c r="B55" s="183">
        <v>65169269.776981525</v>
      </c>
      <c r="C55" s="183">
        <v>55059715.900309302</v>
      </c>
      <c r="D55" s="297">
        <v>120228985.67729083</v>
      </c>
      <c r="E55" s="183">
        <v>24333.598357447474</v>
      </c>
      <c r="F55" s="183">
        <v>20558.785098839999</v>
      </c>
      <c r="G55" s="297">
        <v>44892.383456287462</v>
      </c>
      <c r="H55" s="184">
        <v>0.54204291427612761</v>
      </c>
      <c r="I55" s="184">
        <v>0.45795708572387239</v>
      </c>
    </row>
    <row r="56" spans="1:9">
      <c r="A56" s="121">
        <v>38107</v>
      </c>
      <c r="B56" s="183">
        <v>65390744.922556803</v>
      </c>
      <c r="C56" s="183">
        <v>54369582.968855627</v>
      </c>
      <c r="D56" s="297">
        <v>119760327.89141244</v>
      </c>
      <c r="E56" s="183">
        <v>24703.8126032047</v>
      </c>
      <c r="F56" s="183">
        <v>20540.154276689987</v>
      </c>
      <c r="G56" s="297">
        <v>45243.966879894688</v>
      </c>
      <c r="H56" s="184">
        <v>0.54601340923053476</v>
      </c>
      <c r="I56" s="184">
        <v>0.45398659076946518</v>
      </c>
    </row>
    <row r="57" spans="1:9">
      <c r="A57" s="121">
        <v>38138</v>
      </c>
      <c r="B57" s="183">
        <v>64772864.677130803</v>
      </c>
      <c r="C57" s="183">
        <v>56112731.736808762</v>
      </c>
      <c r="D57" s="297">
        <v>120885596.41393957</v>
      </c>
      <c r="E57" s="183">
        <v>23770.556448310705</v>
      </c>
      <c r="F57" s="183">
        <v>20592.432708779987</v>
      </c>
      <c r="G57" s="297">
        <v>44362.989157090691</v>
      </c>
      <c r="H57" s="184">
        <v>0.5358195401157132</v>
      </c>
      <c r="I57" s="184">
        <v>0.4641804598842868</v>
      </c>
    </row>
    <row r="58" spans="1:9">
      <c r="A58" s="121">
        <v>38168</v>
      </c>
      <c r="B58" s="183">
        <v>64037763.938743904</v>
      </c>
      <c r="C58" s="183">
        <v>56158872.611948997</v>
      </c>
      <c r="D58" s="297">
        <v>120196636.5506929</v>
      </c>
      <c r="E58" s="183">
        <v>23721.380340180291</v>
      </c>
      <c r="F58" s="183">
        <v>20802.818442849999</v>
      </c>
      <c r="G58" s="297">
        <v>44524.19878303029</v>
      </c>
      <c r="H58" s="184">
        <v>0.53277500749146167</v>
      </c>
      <c r="I58" s="184">
        <v>0.46722499250853833</v>
      </c>
    </row>
    <row r="59" spans="1:9">
      <c r="A59" s="121">
        <v>38199</v>
      </c>
      <c r="B59" s="183">
        <v>65714665.179974191</v>
      </c>
      <c r="C59" s="183">
        <v>54155372.566998266</v>
      </c>
      <c r="D59" s="297">
        <v>119870037.74697246</v>
      </c>
      <c r="E59" s="183">
        <v>25086.241980482977</v>
      </c>
      <c r="F59" s="183">
        <v>20673.540328299998</v>
      </c>
      <c r="G59" s="297">
        <v>45759.782308782975</v>
      </c>
      <c r="H59" s="184">
        <v>0.5482159379868381</v>
      </c>
      <c r="I59" s="184">
        <v>0.4517840620131619</v>
      </c>
    </row>
    <row r="60" spans="1:9">
      <c r="A60" s="121">
        <v>38230</v>
      </c>
      <c r="B60" s="183">
        <v>66967231.066724546</v>
      </c>
      <c r="C60" s="183">
        <v>53033058.572901748</v>
      </c>
      <c r="D60" s="297">
        <v>120000289.63962629</v>
      </c>
      <c r="E60" s="183">
        <v>26246.940369410313</v>
      </c>
      <c r="F60" s="183">
        <v>20785.62162116999</v>
      </c>
      <c r="G60" s="297">
        <v>47032.561990580303</v>
      </c>
      <c r="H60" s="184">
        <v>0.55805891192291535</v>
      </c>
      <c r="I60" s="184">
        <v>0.4419410880770846</v>
      </c>
    </row>
    <row r="61" spans="1:9">
      <c r="A61" s="121">
        <v>38260</v>
      </c>
      <c r="B61" s="183">
        <v>67591890.676543102</v>
      </c>
      <c r="C61" s="183">
        <v>55143120.846011259</v>
      </c>
      <c r="D61" s="297">
        <v>122735011.52255437</v>
      </c>
      <c r="E61" s="183">
        <v>26045.265118101357</v>
      </c>
      <c r="F61" s="183">
        <v>21248.365558329995</v>
      </c>
      <c r="G61" s="297">
        <v>47293.630676431349</v>
      </c>
      <c r="H61" s="184">
        <v>0.55071401255478025</v>
      </c>
      <c r="I61" s="184">
        <v>0.44928598744521969</v>
      </c>
    </row>
    <row r="62" spans="1:9">
      <c r="A62" s="121">
        <v>38291</v>
      </c>
      <c r="B62" s="183">
        <v>68362149.202702209</v>
      </c>
      <c r="C62" s="183">
        <v>55195478.316589572</v>
      </c>
      <c r="D62" s="297">
        <v>123557627.51929179</v>
      </c>
      <c r="E62" s="183">
        <v>26437.523862132493</v>
      </c>
      <c r="F62" s="183">
        <v>21345.609991719997</v>
      </c>
      <c r="G62" s="297">
        <v>47783.133853852487</v>
      </c>
      <c r="H62" s="184">
        <v>0.55328149767223733</v>
      </c>
      <c r="I62" s="184">
        <v>0.44671850232776261</v>
      </c>
    </row>
    <row r="63" spans="1:9">
      <c r="A63" s="121">
        <v>38321</v>
      </c>
      <c r="B63" s="183">
        <v>67885101.644675434</v>
      </c>
      <c r="C63" s="183">
        <v>54676330.974976055</v>
      </c>
      <c r="D63" s="297">
        <v>122561432.6196515</v>
      </c>
      <c r="E63" s="183">
        <v>27382.962222046484</v>
      </c>
      <c r="F63" s="183">
        <v>22054.911449709998</v>
      </c>
      <c r="G63" s="297">
        <v>49437.873671756483</v>
      </c>
      <c r="H63" s="184">
        <v>0.55388632617689182</v>
      </c>
      <c r="I63" s="184">
        <v>0.44611367382310813</v>
      </c>
    </row>
    <row r="64" spans="1:9">
      <c r="A64" s="121">
        <v>38352</v>
      </c>
      <c r="B64" s="183">
        <v>68632099.428202167</v>
      </c>
      <c r="C64" s="183">
        <v>53355003.402211376</v>
      </c>
      <c r="D64" s="297">
        <v>121987102.83041355</v>
      </c>
      <c r="E64" s="183">
        <v>28719.363710933012</v>
      </c>
      <c r="F64" s="183">
        <v>22326.604624839994</v>
      </c>
      <c r="G64" s="297">
        <v>51045.96833577301</v>
      </c>
      <c r="H64" s="184">
        <v>0.56261766888270559</v>
      </c>
      <c r="I64" s="184">
        <v>0.43738233111729435</v>
      </c>
    </row>
    <row r="65" spans="1:9">
      <c r="A65" s="121">
        <v>38383</v>
      </c>
      <c r="B65" s="183">
        <v>71664442.458041191</v>
      </c>
      <c r="C65" s="183">
        <v>52655034.964125529</v>
      </c>
      <c r="D65" s="297">
        <v>124319477.42216672</v>
      </c>
      <c r="E65" s="183">
        <v>30266.767940180249</v>
      </c>
      <c r="F65" s="183">
        <v>22238.332839529987</v>
      </c>
      <c r="G65" s="297">
        <v>52505.100779710236</v>
      </c>
      <c r="H65" s="184">
        <v>0.57645385859113252</v>
      </c>
      <c r="I65" s="184">
        <v>0.42354614140886743</v>
      </c>
    </row>
    <row r="66" spans="1:9">
      <c r="A66" s="121">
        <v>38411</v>
      </c>
      <c r="B66" s="183">
        <v>73547879.652086198</v>
      </c>
      <c r="C66" s="183">
        <v>52522543.20744402</v>
      </c>
      <c r="D66" s="297">
        <v>126070422.85953021</v>
      </c>
      <c r="E66" s="183">
        <v>31650.240622818179</v>
      </c>
      <c r="F66" s="183">
        <v>22602.298509509987</v>
      </c>
      <c r="G66" s="297">
        <v>54252.539132328166</v>
      </c>
      <c r="H66" s="184">
        <v>0.58338726866994395</v>
      </c>
      <c r="I66" s="184">
        <v>0.41661273133005605</v>
      </c>
    </row>
    <row r="67" spans="1:9">
      <c r="A67" s="121">
        <v>38442</v>
      </c>
      <c r="B67" s="183">
        <v>75209161.510763824</v>
      </c>
      <c r="C67" s="183">
        <v>53256922.54934676</v>
      </c>
      <c r="D67" s="297">
        <v>128466084.06011058</v>
      </c>
      <c r="E67" s="183">
        <v>31647.294111780375</v>
      </c>
      <c r="F67" s="183">
        <v>22410.002419269997</v>
      </c>
      <c r="G67" s="297">
        <v>54057.296531050371</v>
      </c>
      <c r="H67" s="184">
        <v>0.58543982297750041</v>
      </c>
      <c r="I67" s="184">
        <v>0.41456017702249964</v>
      </c>
    </row>
    <row r="68" spans="1:9">
      <c r="A68" s="121">
        <v>38472</v>
      </c>
      <c r="B68" s="183">
        <v>78715542.278377354</v>
      </c>
      <c r="C68" s="183">
        <v>49439938.87073911</v>
      </c>
      <c r="D68" s="297">
        <v>128155481.14911646</v>
      </c>
      <c r="E68" s="183">
        <v>33569.256410111164</v>
      </c>
      <c r="F68" s="183">
        <v>21084.298434769993</v>
      </c>
      <c r="G68" s="297">
        <v>54653.554844881161</v>
      </c>
      <c r="H68" s="184">
        <v>0.61421908429173766</v>
      </c>
      <c r="I68" s="184">
        <v>0.38578091570826245</v>
      </c>
    </row>
    <row r="69" spans="1:9">
      <c r="A69" s="121">
        <v>38503</v>
      </c>
      <c r="B69" s="183">
        <v>78699681.094199479</v>
      </c>
      <c r="C69" s="183">
        <v>49250193.677556969</v>
      </c>
      <c r="D69" s="297">
        <v>127949874.77175644</v>
      </c>
      <c r="E69" s="183">
        <v>33736.290490871223</v>
      </c>
      <c r="F69" s="183">
        <v>21112.141974869992</v>
      </c>
      <c r="G69" s="297">
        <v>54848.432465741214</v>
      </c>
      <c r="H69" s="184">
        <v>0.6150821267671267</v>
      </c>
      <c r="I69" s="184">
        <v>0.38491787323287335</v>
      </c>
    </row>
    <row r="70" spans="1:9">
      <c r="A70" s="121">
        <v>38533</v>
      </c>
      <c r="B70" s="183">
        <v>80210987.162045941</v>
      </c>
      <c r="C70" s="183">
        <v>47631539.79827977</v>
      </c>
      <c r="D70" s="297">
        <v>127842526.96032572</v>
      </c>
      <c r="E70" s="183">
        <v>34398.59472343199</v>
      </c>
      <c r="F70" s="183">
        <v>20426.852873209984</v>
      </c>
      <c r="G70" s="297">
        <v>54825.44759664197</v>
      </c>
      <c r="H70" s="184">
        <v>0.62742022603275349</v>
      </c>
      <c r="I70" s="184">
        <v>0.37257977396724645</v>
      </c>
    </row>
    <row r="71" spans="1:9">
      <c r="A71" s="121">
        <v>38564</v>
      </c>
      <c r="B71" s="183">
        <v>81662761.04490903</v>
      </c>
      <c r="C71" s="183">
        <v>48355990.950005665</v>
      </c>
      <c r="D71" s="297">
        <v>130018751.9949147</v>
      </c>
      <c r="E71" s="183">
        <v>35329.973672102999</v>
      </c>
      <c r="F71" s="183">
        <v>20920.378704959989</v>
      </c>
      <c r="G71" s="297">
        <v>56250.352377062984</v>
      </c>
      <c r="H71" s="184">
        <v>0.62808448621398116</v>
      </c>
      <c r="I71" s="184">
        <v>0.37191551378601889</v>
      </c>
    </row>
    <row r="72" spans="1:9">
      <c r="A72" s="121">
        <v>38595</v>
      </c>
      <c r="B72" s="183">
        <v>82361674.349427193</v>
      </c>
      <c r="C72" s="183">
        <v>48949286.399523795</v>
      </c>
      <c r="D72" s="297">
        <v>131310960.74895099</v>
      </c>
      <c r="E72" s="183">
        <v>35742.600507497802</v>
      </c>
      <c r="F72" s="183">
        <v>21242.584038329987</v>
      </c>
      <c r="G72" s="297">
        <v>56985.184545827789</v>
      </c>
      <c r="H72" s="184">
        <v>0.62722619558691461</v>
      </c>
      <c r="I72" s="184">
        <v>0.37277380441308544</v>
      </c>
    </row>
    <row r="73" spans="1:9">
      <c r="A73" s="121">
        <v>38625</v>
      </c>
      <c r="B73" s="183">
        <v>82265112.360757217</v>
      </c>
      <c r="C73" s="183">
        <v>46922700.935614213</v>
      </c>
      <c r="D73" s="297">
        <v>129187813.29637143</v>
      </c>
      <c r="E73" s="183">
        <v>35929.74889206337</v>
      </c>
      <c r="F73" s="183">
        <v>20493.752619709998</v>
      </c>
      <c r="G73" s="297">
        <v>56423.501511773371</v>
      </c>
      <c r="H73" s="184">
        <v>0.63678694035970529</v>
      </c>
      <c r="I73" s="184">
        <v>0.36321305964029471</v>
      </c>
    </row>
    <row r="74" spans="1:9">
      <c r="A74" s="121">
        <v>38656</v>
      </c>
      <c r="B74" s="183">
        <v>85102305.696274936</v>
      </c>
      <c r="C74" s="183">
        <v>46261504.714494951</v>
      </c>
      <c r="D74" s="297">
        <v>131363810.41076988</v>
      </c>
      <c r="E74" s="183">
        <v>37169.558343389777</v>
      </c>
      <c r="F74" s="183">
        <v>20205.324455899994</v>
      </c>
      <c r="G74" s="297">
        <v>57374.882799289771</v>
      </c>
      <c r="H74" s="184">
        <v>0.64783676288136827</v>
      </c>
      <c r="I74" s="184">
        <v>0.35216323711863184</v>
      </c>
    </row>
    <row r="75" spans="1:9">
      <c r="A75" s="121">
        <v>38686</v>
      </c>
      <c r="B75" s="183">
        <v>86420571.961226121</v>
      </c>
      <c r="C75" s="183">
        <v>45845348.870626427</v>
      </c>
      <c r="D75" s="297">
        <v>132265920.83185256</v>
      </c>
      <c r="E75" s="183">
        <v>38003.101071760444</v>
      </c>
      <c r="F75" s="183">
        <v>20160.308908649993</v>
      </c>
      <c r="G75" s="297">
        <v>58163.409980410433</v>
      </c>
      <c r="H75" s="184">
        <v>0.65338502478723259</v>
      </c>
      <c r="I75" s="184">
        <v>0.34661497521276741</v>
      </c>
    </row>
    <row r="76" spans="1:9">
      <c r="A76" s="121">
        <v>38717</v>
      </c>
      <c r="B76" s="183">
        <v>88455668.277352065</v>
      </c>
      <c r="C76" s="183">
        <v>47625679.841941655</v>
      </c>
      <c r="D76" s="297">
        <v>136081348.11929372</v>
      </c>
      <c r="E76" s="183">
        <v>38724.671125089561</v>
      </c>
      <c r="F76" s="183">
        <v>20849.865530440002</v>
      </c>
      <c r="G76" s="297">
        <v>59574.536655529562</v>
      </c>
      <c r="H76" s="184">
        <v>0.65002051713809228</v>
      </c>
      <c r="I76" s="184">
        <v>0.34997948286190772</v>
      </c>
    </row>
    <row r="77" spans="1:9">
      <c r="A77" s="121">
        <v>38748</v>
      </c>
      <c r="B77" s="183">
        <v>89922352.401209503</v>
      </c>
      <c r="C77" s="183">
        <v>47204990.381269716</v>
      </c>
      <c r="D77" s="297">
        <v>137127342.78247923</v>
      </c>
      <c r="E77" s="183">
        <v>39689.427935122148</v>
      </c>
      <c r="F77" s="183">
        <v>20835.076195029997</v>
      </c>
      <c r="G77" s="297">
        <v>60524.504130152141</v>
      </c>
      <c r="H77" s="184">
        <v>0.65575800257320305</v>
      </c>
      <c r="I77" s="184">
        <v>0.34424199742679695</v>
      </c>
    </row>
    <row r="78" spans="1:9">
      <c r="A78" s="121">
        <v>38776</v>
      </c>
      <c r="B78" s="183">
        <v>92527429.223105043</v>
      </c>
      <c r="C78" s="183">
        <v>46849595.46605704</v>
      </c>
      <c r="D78" s="297">
        <v>139377024.68916208</v>
      </c>
      <c r="E78" s="183">
        <v>41172.341459422561</v>
      </c>
      <c r="F78" s="183">
        <v>20846.872737739996</v>
      </c>
      <c r="G78" s="297">
        <v>62019.214197162553</v>
      </c>
      <c r="H78" s="184">
        <v>0.66386428774368833</v>
      </c>
      <c r="I78" s="184">
        <v>0.33613571225631173</v>
      </c>
    </row>
    <row r="79" spans="1:9">
      <c r="A79" s="121">
        <v>38807</v>
      </c>
      <c r="B79" s="183">
        <v>94792069.151071638</v>
      </c>
      <c r="C79" s="183">
        <v>46006732.730593413</v>
      </c>
      <c r="D79" s="297">
        <v>140798801.88166505</v>
      </c>
      <c r="E79" s="183">
        <v>41394.278181936803</v>
      </c>
      <c r="F79" s="183">
        <v>20090.451764029996</v>
      </c>
      <c r="G79" s="297">
        <v>61484.729945966799</v>
      </c>
      <c r="H79" s="184">
        <v>0.67324485637839471</v>
      </c>
      <c r="I79" s="184">
        <v>0.32675514362160529</v>
      </c>
    </row>
    <row r="80" spans="1:9">
      <c r="A80" s="121">
        <v>38837</v>
      </c>
      <c r="B80" s="183">
        <v>92337196.741848662</v>
      </c>
      <c r="C80" s="183">
        <v>47728982.721872941</v>
      </c>
      <c r="D80" s="297">
        <v>140066179.4637216</v>
      </c>
      <c r="E80" s="183">
        <v>38878.328586101503</v>
      </c>
      <c r="F80" s="183">
        <v>20096.159931399998</v>
      </c>
      <c r="G80" s="297">
        <v>58974.488517501501</v>
      </c>
      <c r="H80" s="184">
        <v>0.65923977576446158</v>
      </c>
      <c r="I80" s="184">
        <v>0.34076022423553842</v>
      </c>
    </row>
    <row r="81" spans="1:9">
      <c r="A81" s="121">
        <v>38868</v>
      </c>
      <c r="B81" s="183">
        <v>92790376.453396872</v>
      </c>
      <c r="C81" s="183">
        <v>49817594.352273434</v>
      </c>
      <c r="D81" s="297">
        <v>142607970.80567032</v>
      </c>
      <c r="E81" s="183">
        <v>37379.150282748167</v>
      </c>
      <c r="F81" s="183">
        <v>20068.237862509995</v>
      </c>
      <c r="G81" s="297">
        <v>57447.388145258163</v>
      </c>
      <c r="H81" s="184">
        <v>0.65066753232076269</v>
      </c>
      <c r="I81" s="184">
        <v>0.34933246767923726</v>
      </c>
    </row>
    <row r="82" spans="1:9">
      <c r="A82" s="121">
        <v>38898</v>
      </c>
      <c r="B82" s="183">
        <v>95349235.582001254</v>
      </c>
      <c r="C82" s="183">
        <v>51505701.145503394</v>
      </c>
      <c r="D82" s="297">
        <v>146854936.72750464</v>
      </c>
      <c r="E82" s="183">
        <v>36211.50406438038</v>
      </c>
      <c r="F82" s="183">
        <v>19560.71168253</v>
      </c>
      <c r="G82" s="297">
        <v>55772.215746910384</v>
      </c>
      <c r="H82" s="184">
        <v>0.64927497642742282</v>
      </c>
      <c r="I82" s="184">
        <v>0.35072502357257718</v>
      </c>
    </row>
    <row r="83" spans="1:9">
      <c r="A83" s="121">
        <v>38929</v>
      </c>
      <c r="B83" s="183">
        <v>92907582.605675474</v>
      </c>
      <c r="C83" s="183">
        <v>50046206.271806985</v>
      </c>
      <c r="D83" s="297">
        <v>142953788.87748247</v>
      </c>
      <c r="E83" s="183">
        <v>38296.612780575218</v>
      </c>
      <c r="F83" s="183">
        <v>20629.103986730002</v>
      </c>
      <c r="G83" s="297">
        <v>58925.716767305217</v>
      </c>
      <c r="H83" s="184">
        <v>0.6499133974357354</v>
      </c>
      <c r="I83" s="184">
        <v>0.35008660256426455</v>
      </c>
    </row>
    <row r="84" spans="1:9">
      <c r="A84" s="121">
        <v>38960</v>
      </c>
      <c r="B84" s="183">
        <v>94892849.417197928</v>
      </c>
      <c r="C84" s="183">
        <v>50562853.257410437</v>
      </c>
      <c r="D84" s="297">
        <v>145455702.67460835</v>
      </c>
      <c r="E84" s="183">
        <v>39594.284231273879</v>
      </c>
      <c r="F84" s="183">
        <v>21097.479901950002</v>
      </c>
      <c r="G84" s="297">
        <v>60691.764133223885</v>
      </c>
      <c r="H84" s="184">
        <v>0.65238314945600973</v>
      </c>
      <c r="I84" s="184">
        <v>0.34761685054399039</v>
      </c>
    </row>
    <row r="85" spans="1:9">
      <c r="A85" s="121">
        <v>38990</v>
      </c>
      <c r="B85" s="183">
        <v>92603065.40086107</v>
      </c>
      <c r="C85" s="183">
        <v>52473750.550375253</v>
      </c>
      <c r="D85" s="297">
        <v>145076815.95123631</v>
      </c>
      <c r="E85" s="183">
        <v>38631.773540556205</v>
      </c>
      <c r="F85" s="183">
        <v>21890.787732680001</v>
      </c>
      <c r="G85" s="297">
        <v>60522.561273236206</v>
      </c>
      <c r="H85" s="184">
        <v>0.63830367928661402</v>
      </c>
      <c r="I85" s="184">
        <v>0.36169632071338609</v>
      </c>
    </row>
    <row r="86" spans="1:9">
      <c r="A86" s="121">
        <v>39021</v>
      </c>
      <c r="B86" s="183">
        <v>93352074.441507667</v>
      </c>
      <c r="C86" s="183">
        <v>51382563.469179891</v>
      </c>
      <c r="D86" s="297">
        <v>144734637.91068757</v>
      </c>
      <c r="E86" s="183">
        <v>40318.252054309727</v>
      </c>
      <c r="F86" s="183">
        <v>22191.84905682</v>
      </c>
      <c r="G86" s="297">
        <v>62510.101111129727</v>
      </c>
      <c r="H86" s="184">
        <v>0.64498779137522766</v>
      </c>
      <c r="I86" s="184">
        <v>0.35501220862477229</v>
      </c>
    </row>
    <row r="87" spans="1:9">
      <c r="A87" s="121">
        <v>39051</v>
      </c>
      <c r="B87" s="183">
        <v>93849113.901732877</v>
      </c>
      <c r="C87" s="183">
        <v>52542515.560941406</v>
      </c>
      <c r="D87" s="297">
        <v>146391629.46267429</v>
      </c>
      <c r="E87" s="183">
        <v>40796.512767987093</v>
      </c>
      <c r="F87" s="183">
        <v>22840.401127159999</v>
      </c>
      <c r="G87" s="297">
        <v>63636.913895147096</v>
      </c>
      <c r="H87" s="184">
        <v>0.64108251439104136</v>
      </c>
      <c r="I87" s="184">
        <v>0.35891748560895864</v>
      </c>
    </row>
    <row r="88" spans="1:9">
      <c r="A88" s="121">
        <v>39082</v>
      </c>
      <c r="B88" s="183">
        <v>94398595.822057694</v>
      </c>
      <c r="C88" s="183">
        <v>52613000.833615869</v>
      </c>
      <c r="D88" s="297">
        <v>147011596.65567356</v>
      </c>
      <c r="E88" s="183">
        <v>42165.006910901728</v>
      </c>
      <c r="F88" s="183">
        <v>23500.641343590007</v>
      </c>
      <c r="G88" s="297">
        <v>65665.648254491738</v>
      </c>
      <c r="H88" s="184">
        <v>0.64211666269536161</v>
      </c>
      <c r="I88" s="184">
        <v>0.35788333730463839</v>
      </c>
    </row>
    <row r="89" spans="1:9">
      <c r="A89" s="121">
        <v>39113</v>
      </c>
      <c r="B89" s="183">
        <v>95889138.421525568</v>
      </c>
      <c r="C89" s="183">
        <v>52802085.785340279</v>
      </c>
      <c r="D89" s="297">
        <v>148691224.20686585</v>
      </c>
      <c r="E89" s="183">
        <v>42434.079630009728</v>
      </c>
      <c r="F89" s="183">
        <v>23366.64975543</v>
      </c>
      <c r="G89" s="297">
        <v>65800.729385439729</v>
      </c>
      <c r="H89" s="184">
        <v>0.64488767869797303</v>
      </c>
      <c r="I89" s="184">
        <v>0.35511232130202702</v>
      </c>
    </row>
    <row r="90" spans="1:9">
      <c r="A90" s="121">
        <v>39141</v>
      </c>
      <c r="B90" s="183">
        <v>97689127.118761957</v>
      </c>
      <c r="C90" s="183">
        <v>51142739.557212181</v>
      </c>
      <c r="D90" s="297">
        <v>148831866.67597413</v>
      </c>
      <c r="E90" s="183">
        <v>43922.597305344119</v>
      </c>
      <c r="F90" s="183">
        <v>22994.595416259996</v>
      </c>
      <c r="G90" s="297">
        <v>66917.192721604108</v>
      </c>
      <c r="H90" s="184">
        <v>0.65637238382183027</v>
      </c>
      <c r="I90" s="184">
        <v>0.34362761617816984</v>
      </c>
    </row>
    <row r="91" spans="1:9">
      <c r="A91" s="121">
        <v>39172</v>
      </c>
      <c r="B91" s="183">
        <v>94334998.742592841</v>
      </c>
      <c r="C91" s="183">
        <v>49512699.855404109</v>
      </c>
      <c r="D91" s="297">
        <v>143847698.59799695</v>
      </c>
      <c r="E91" s="183">
        <v>43773.722653936711</v>
      </c>
      <c r="F91" s="183">
        <v>22975.091113659997</v>
      </c>
      <c r="G91" s="297">
        <v>66748.813767596701</v>
      </c>
      <c r="H91" s="184">
        <v>0.65579776153545244</v>
      </c>
      <c r="I91" s="184">
        <v>0.34420223846454756</v>
      </c>
    </row>
    <row r="92" spans="1:9">
      <c r="A92" s="121">
        <v>39202</v>
      </c>
      <c r="B92" s="183">
        <v>96525054.177018374</v>
      </c>
      <c r="C92" s="183">
        <v>48683409.852604091</v>
      </c>
      <c r="D92" s="297">
        <v>145208464.02962247</v>
      </c>
      <c r="E92" s="183">
        <v>45731.949654383854</v>
      </c>
      <c r="F92" s="183">
        <v>23065.382012632999</v>
      </c>
      <c r="G92" s="297">
        <v>68797.331667016857</v>
      </c>
      <c r="H92" s="184">
        <v>0.66473435155492933</v>
      </c>
      <c r="I92" s="184">
        <v>0.33526564844507062</v>
      </c>
    </row>
    <row r="93" spans="1:9">
      <c r="A93" s="122">
        <v>39203</v>
      </c>
      <c r="B93" s="183">
        <v>99055793.67933856</v>
      </c>
      <c r="C93" s="183">
        <v>44881365.785009935</v>
      </c>
      <c r="D93" s="297">
        <v>143937159.4643485</v>
      </c>
      <c r="E93" s="183">
        <v>51307.231632691</v>
      </c>
      <c r="F93" s="183">
        <v>23246.88485943</v>
      </c>
      <c r="G93" s="297">
        <v>74554.116492121</v>
      </c>
      <c r="H93" s="184">
        <v>0.68818777616542792</v>
      </c>
      <c r="I93" s="184">
        <v>0.31181222383457213</v>
      </c>
    </row>
    <row r="94" spans="1:9">
      <c r="A94" s="121">
        <v>39234</v>
      </c>
      <c r="B94" s="183">
        <v>100814612.80950108</v>
      </c>
      <c r="C94" s="183">
        <v>46103605.056092039</v>
      </c>
      <c r="D94" s="297">
        <v>146918217.86559314</v>
      </c>
      <c r="E94" s="183">
        <v>51420.023772958972</v>
      </c>
      <c r="F94" s="183">
        <v>23514.929055800003</v>
      </c>
      <c r="G94" s="297">
        <v>74934.952828758978</v>
      </c>
      <c r="H94" s="184">
        <v>0.68619545127977566</v>
      </c>
      <c r="I94" s="184">
        <v>0.31380454872022423</v>
      </c>
    </row>
    <row r="95" spans="1:9">
      <c r="A95" s="121">
        <v>39264</v>
      </c>
      <c r="B95" s="183">
        <v>101306620.50291529</v>
      </c>
      <c r="C95" s="183">
        <v>45910505.405801535</v>
      </c>
      <c r="D95" s="297">
        <v>147217125.90871683</v>
      </c>
      <c r="E95" s="183">
        <v>51377.736333763714</v>
      </c>
      <c r="F95" s="183">
        <v>23283.550768740002</v>
      </c>
      <c r="G95" s="297">
        <v>74661.287102503717</v>
      </c>
      <c r="H95" s="184">
        <v>0.6881442622764643</v>
      </c>
      <c r="I95" s="184">
        <v>0.31185573772353575</v>
      </c>
    </row>
    <row r="96" spans="1:9">
      <c r="A96" s="121">
        <v>39325</v>
      </c>
      <c r="B96" s="183">
        <v>102607795.20206712</v>
      </c>
      <c r="C96" s="183">
        <v>49881389.751463614</v>
      </c>
      <c r="D96" s="297">
        <v>152489184.95353073</v>
      </c>
      <c r="E96" s="183">
        <v>47215.724127457637</v>
      </c>
      <c r="F96" s="183">
        <v>22953.284718390008</v>
      </c>
      <c r="G96" s="297">
        <v>70169.008845847653</v>
      </c>
      <c r="H96" s="184">
        <v>0.67288572126171198</v>
      </c>
      <c r="I96" s="184">
        <v>0.32711427873828808</v>
      </c>
    </row>
    <row r="97" spans="1:9">
      <c r="A97" s="121">
        <v>39355</v>
      </c>
      <c r="B97" s="183">
        <v>101882009.25166158</v>
      </c>
      <c r="C97" s="183">
        <v>47164331.701779902</v>
      </c>
      <c r="D97" s="297">
        <v>149046340.9534415</v>
      </c>
      <c r="E97" s="183">
        <v>50357.113890273075</v>
      </c>
      <c r="F97" s="183">
        <v>23311.864778779996</v>
      </c>
      <c r="G97" s="297">
        <v>73668.978669053075</v>
      </c>
      <c r="H97" s="184">
        <v>0.68355927827498342</v>
      </c>
      <c r="I97" s="184">
        <v>0.31644072172501642</v>
      </c>
    </row>
    <row r="98" spans="1:9">
      <c r="A98" s="121">
        <v>39386</v>
      </c>
      <c r="B98" s="183">
        <v>102202988.6865117</v>
      </c>
      <c r="C98" s="183">
        <v>46515923.238563418</v>
      </c>
      <c r="D98" s="297">
        <v>148718911.92507511</v>
      </c>
      <c r="E98" s="183">
        <v>51115.806769151211</v>
      </c>
      <c r="F98" s="183">
        <v>23264.475672470002</v>
      </c>
      <c r="G98" s="297">
        <v>74380.28244162121</v>
      </c>
      <c r="H98" s="184">
        <v>0.68722254193200238</v>
      </c>
      <c r="I98" s="184">
        <v>0.31277745806799767</v>
      </c>
    </row>
    <row r="99" spans="1:9">
      <c r="A99" s="121">
        <v>39416</v>
      </c>
      <c r="B99" s="183">
        <v>98259274.359050408</v>
      </c>
      <c r="C99" s="183">
        <v>47850179.700845599</v>
      </c>
      <c r="D99" s="297">
        <v>146109454.05989599</v>
      </c>
      <c r="E99" s="183">
        <v>47688.95388272799</v>
      </c>
      <c r="F99" s="183">
        <v>23223.507683310003</v>
      </c>
      <c r="G99" s="297">
        <v>70912.461566037993</v>
      </c>
      <c r="H99" s="184">
        <v>0.67250456167449701</v>
      </c>
      <c r="I99" s="184">
        <v>0.3274954383255031</v>
      </c>
    </row>
    <row r="100" spans="1:9">
      <c r="A100" s="121">
        <v>39447</v>
      </c>
      <c r="B100" s="183">
        <v>99061897.676175103</v>
      </c>
      <c r="C100" s="183">
        <v>47652802.320653297</v>
      </c>
      <c r="D100" s="297">
        <v>146714699.99682841</v>
      </c>
      <c r="E100" s="183">
        <v>49168.088346093384</v>
      </c>
      <c r="F100" s="183">
        <v>23651.850503610007</v>
      </c>
      <c r="G100" s="297">
        <v>72819.938849703394</v>
      </c>
      <c r="H100" s="184">
        <v>0.67520090132970023</v>
      </c>
      <c r="I100" s="184">
        <v>0.32479909867029977</v>
      </c>
    </row>
    <row r="101" spans="1:9">
      <c r="A101" s="121">
        <v>39478</v>
      </c>
      <c r="B101" s="183">
        <v>101159260.47012641</v>
      </c>
      <c r="C101" s="183">
        <v>46651303.743592858</v>
      </c>
      <c r="D101" s="297">
        <v>147810564.21371925</v>
      </c>
      <c r="E101" s="183">
        <v>52154.702242795633</v>
      </c>
      <c r="F101" s="183">
        <v>24052.022965349999</v>
      </c>
      <c r="G101" s="297">
        <v>76206.725208145624</v>
      </c>
      <c r="H101" s="184">
        <v>0.68438450937688233</v>
      </c>
      <c r="I101" s="184">
        <v>0.31561549062311778</v>
      </c>
    </row>
    <row r="102" spans="1:9">
      <c r="A102" s="121">
        <v>39507</v>
      </c>
      <c r="B102" s="183">
        <v>102825734.606897</v>
      </c>
      <c r="C102" s="183">
        <v>44314054.881832264</v>
      </c>
      <c r="D102" s="297">
        <v>147139789.48872927</v>
      </c>
      <c r="E102" s="183">
        <v>55774.73006845179</v>
      </c>
      <c r="F102" s="183">
        <v>24036.82753857</v>
      </c>
      <c r="G102" s="297">
        <v>79811.557607021794</v>
      </c>
      <c r="H102" s="184">
        <v>0.69883024139281735</v>
      </c>
      <c r="I102" s="184">
        <v>0.30116975860718265</v>
      </c>
    </row>
    <row r="103" spans="1:9">
      <c r="A103" s="121">
        <v>39538</v>
      </c>
      <c r="B103" s="183">
        <v>105246925.25979212</v>
      </c>
      <c r="C103" s="183">
        <v>44062277.015999079</v>
      </c>
      <c r="D103" s="297">
        <v>149309202.2757912</v>
      </c>
      <c r="E103" s="183">
        <v>57777.187779859531</v>
      </c>
      <c r="F103" s="183">
        <v>24188.777457179996</v>
      </c>
      <c r="G103" s="297">
        <v>81965.96523703952</v>
      </c>
      <c r="H103" s="184">
        <v>0.70489242227273441</v>
      </c>
      <c r="I103" s="184">
        <v>0.29510757772726565</v>
      </c>
    </row>
    <row r="104" spans="1:9">
      <c r="A104" s="121">
        <v>39568</v>
      </c>
      <c r="B104" s="183">
        <v>103856013.94427022</v>
      </c>
      <c r="C104" s="183">
        <v>43172097.83177837</v>
      </c>
      <c r="D104" s="297">
        <v>147028111.7760486</v>
      </c>
      <c r="E104" s="183">
        <v>58339.192535863869</v>
      </c>
      <c r="F104" s="183">
        <v>24251.126457989994</v>
      </c>
      <c r="G104" s="297">
        <v>82590.318993853871</v>
      </c>
      <c r="H104" s="184">
        <v>0.70636841274587281</v>
      </c>
      <c r="I104" s="184">
        <v>0.29363158725412714</v>
      </c>
    </row>
    <row r="105" spans="1:9">
      <c r="A105" s="121">
        <v>39599</v>
      </c>
      <c r="B105" s="183">
        <v>105744670.31282616</v>
      </c>
      <c r="C105" s="183">
        <v>42463357.220100753</v>
      </c>
      <c r="D105" s="297">
        <v>148208027.53292692</v>
      </c>
      <c r="E105" s="183">
        <v>60633.064209967924</v>
      </c>
      <c r="F105" s="183">
        <v>24348.115675999998</v>
      </c>
      <c r="G105" s="297">
        <v>84981.179885967926</v>
      </c>
      <c r="H105" s="184">
        <v>0.71348814280207051</v>
      </c>
      <c r="I105" s="184">
        <v>0.28651185719792943</v>
      </c>
    </row>
    <row r="106" spans="1:9">
      <c r="A106" s="121">
        <v>39629</v>
      </c>
      <c r="B106" s="183">
        <v>106183108.47583938</v>
      </c>
      <c r="C106" s="183">
        <v>43819346.217516854</v>
      </c>
      <c r="D106" s="297">
        <v>150002454.69335622</v>
      </c>
      <c r="E106" s="183">
        <v>57934.596862653183</v>
      </c>
      <c r="F106" s="183">
        <v>23908.286302190001</v>
      </c>
      <c r="G106" s="297">
        <v>81842.883164843181</v>
      </c>
      <c r="H106" s="184">
        <v>0.70787580571868036</v>
      </c>
      <c r="I106" s="184">
        <v>0.29212419428131975</v>
      </c>
    </row>
    <row r="107" spans="1:9">
      <c r="A107" s="121">
        <v>39660</v>
      </c>
      <c r="B107" s="183">
        <v>108529115.90136132</v>
      </c>
      <c r="C107" s="183">
        <v>43638631.636088416</v>
      </c>
      <c r="D107" s="297">
        <v>152167747.53744972</v>
      </c>
      <c r="E107" s="183">
        <v>60555.012666473973</v>
      </c>
      <c r="F107" s="183">
        <v>24348.653995050001</v>
      </c>
      <c r="G107" s="297">
        <v>84903.666661523981</v>
      </c>
      <c r="H107" s="184">
        <v>0.71322023002707202</v>
      </c>
      <c r="I107" s="184">
        <v>0.28677976997292803</v>
      </c>
    </row>
    <row r="108" spans="1:9">
      <c r="A108" s="121">
        <v>39691</v>
      </c>
      <c r="B108" s="183">
        <v>105503068.94769689</v>
      </c>
      <c r="C108" s="183">
        <v>46264849.150498301</v>
      </c>
      <c r="D108" s="297">
        <v>151767918.0981952</v>
      </c>
      <c r="E108" s="183">
        <v>54602.561301985763</v>
      </c>
      <c r="F108" s="183">
        <v>23944.130602680001</v>
      </c>
      <c r="G108" s="297">
        <v>78546.691904665757</v>
      </c>
      <c r="H108" s="184">
        <v>0.69516054690448803</v>
      </c>
      <c r="I108" s="184">
        <v>0.30483945309551214</v>
      </c>
    </row>
    <row r="109" spans="1:9">
      <c r="A109" s="121">
        <v>39721</v>
      </c>
      <c r="B109" s="183">
        <v>106592233.08056672</v>
      </c>
      <c r="C109" s="183">
        <v>51168866.095169611</v>
      </c>
      <c r="D109" s="297">
        <v>157761099.17573634</v>
      </c>
      <c r="E109" s="183">
        <v>49016.487055470257</v>
      </c>
      <c r="F109" s="183">
        <v>23530.026439180001</v>
      </c>
      <c r="G109" s="297">
        <v>72546.513494650251</v>
      </c>
      <c r="H109" s="184">
        <v>0.67565599908650109</v>
      </c>
      <c r="I109" s="184">
        <v>0.32434400091349885</v>
      </c>
    </row>
    <row r="110" spans="1:9">
      <c r="A110" s="121">
        <v>39752</v>
      </c>
      <c r="B110" s="183">
        <v>106973101.04841954</v>
      </c>
      <c r="C110" s="183">
        <v>56110588.763866521</v>
      </c>
      <c r="D110" s="297">
        <v>163083689.81228605</v>
      </c>
      <c r="E110" s="183">
        <v>45336.80623534428</v>
      </c>
      <c r="F110" s="183">
        <v>23780.50991891</v>
      </c>
      <c r="G110" s="297">
        <v>69117.31615425428</v>
      </c>
      <c r="H110" s="184">
        <v>0.65593991141326646</v>
      </c>
      <c r="I110" s="184">
        <v>0.34406008858673359</v>
      </c>
    </row>
    <row r="111" spans="1:9">
      <c r="A111" s="121">
        <v>39782</v>
      </c>
      <c r="B111" s="183">
        <v>108007111.78795101</v>
      </c>
      <c r="C111" s="183">
        <v>55222283.02305726</v>
      </c>
      <c r="D111" s="297">
        <v>163229394.81100827</v>
      </c>
      <c r="E111" s="183">
        <v>46594.957630694997</v>
      </c>
      <c r="F111" s="183">
        <v>23823.245480180009</v>
      </c>
      <c r="G111" s="297">
        <v>70418.203110874994</v>
      </c>
      <c r="H111" s="184">
        <v>0.66168910270729586</v>
      </c>
      <c r="I111" s="184">
        <v>0.33831089729270403</v>
      </c>
    </row>
    <row r="112" spans="1:9">
      <c r="A112" s="121">
        <v>39813</v>
      </c>
      <c r="B112" s="183">
        <v>108713710.01804797</v>
      </c>
      <c r="C112" s="183">
        <v>54593058.843084231</v>
      </c>
      <c r="D112" s="297">
        <v>163306768.8611322</v>
      </c>
      <c r="E112" s="183">
        <v>48455.248070301597</v>
      </c>
      <c r="F112" s="183">
        <v>24332.903446300006</v>
      </c>
      <c r="G112" s="297">
        <v>72788.151516601603</v>
      </c>
      <c r="H112" s="184">
        <v>0.66570241255886098</v>
      </c>
      <c r="I112" s="184">
        <v>0.33429758744113908</v>
      </c>
    </row>
    <row r="113" spans="1:9">
      <c r="A113" s="121">
        <v>39844</v>
      </c>
      <c r="B113" s="183">
        <v>111305817.61515965</v>
      </c>
      <c r="C113" s="183">
        <v>60497140.869270988</v>
      </c>
      <c r="D113" s="297">
        <v>171802958.48443064</v>
      </c>
      <c r="E113" s="183">
        <v>45989.198522125575</v>
      </c>
      <c r="F113" s="183">
        <v>24996.133006070002</v>
      </c>
      <c r="G113" s="297">
        <v>70985.331528195573</v>
      </c>
      <c r="H113" s="184">
        <v>0.64786903902616177</v>
      </c>
      <c r="I113" s="184">
        <v>0.35213096097383817</v>
      </c>
    </row>
    <row r="114" spans="1:9">
      <c r="A114" s="121">
        <v>39872</v>
      </c>
      <c r="B114" s="183">
        <v>113372391.7224758</v>
      </c>
      <c r="C114" s="183">
        <v>63350774.895530373</v>
      </c>
      <c r="D114" s="297">
        <v>176723166.61800617</v>
      </c>
      <c r="E114" s="183">
        <v>44357.30664755559</v>
      </c>
      <c r="F114" s="183">
        <v>24786.190938620002</v>
      </c>
      <c r="G114" s="297">
        <v>69143.497586175596</v>
      </c>
      <c r="H114" s="184">
        <v>0.64152535229031138</v>
      </c>
      <c r="I114" s="184">
        <v>0.35847464770968868</v>
      </c>
    </row>
    <row r="115" spans="1:9">
      <c r="A115" s="121">
        <v>39903</v>
      </c>
      <c r="B115" s="183">
        <v>115974564.05949976</v>
      </c>
      <c r="C115" s="183">
        <v>64875502.396956749</v>
      </c>
      <c r="D115" s="297">
        <v>180850066.45645651</v>
      </c>
      <c r="E115" s="183">
        <v>45281.16166167544</v>
      </c>
      <c r="F115" s="183">
        <v>25330.020731199998</v>
      </c>
      <c r="G115" s="297">
        <v>70611.182392875431</v>
      </c>
      <c r="H115" s="184">
        <v>0.64127465547502627</v>
      </c>
      <c r="I115" s="184">
        <v>0.35872534452497368</v>
      </c>
    </row>
    <row r="116" spans="1:9">
      <c r="A116" s="121">
        <v>39933</v>
      </c>
      <c r="B116" s="183">
        <v>118369561.34156573</v>
      </c>
      <c r="C116" s="183">
        <v>59730940.656664416</v>
      </c>
      <c r="D116" s="297">
        <v>178100501.99823016</v>
      </c>
      <c r="E116" s="183">
        <v>51695.859923032731</v>
      </c>
      <c r="F116" s="183">
        <v>26086.455895089995</v>
      </c>
      <c r="G116" s="297">
        <v>77782.315818122734</v>
      </c>
      <c r="H116" s="184">
        <v>0.66462227794698747</v>
      </c>
      <c r="I116" s="184">
        <v>0.33537772205301242</v>
      </c>
    </row>
    <row r="117" spans="1:9">
      <c r="A117" s="121">
        <v>39964</v>
      </c>
      <c r="B117" s="183">
        <v>116922434.1763466</v>
      </c>
      <c r="C117" s="183">
        <v>56210661.949987784</v>
      </c>
      <c r="D117" s="297">
        <v>173133096.12633437</v>
      </c>
      <c r="E117" s="183">
        <v>54619.806123507056</v>
      </c>
      <c r="F117" s="183">
        <v>26258.566026359997</v>
      </c>
      <c r="G117" s="297">
        <v>80878.372149867049</v>
      </c>
      <c r="H117" s="184">
        <v>0.67533265904878681</v>
      </c>
      <c r="I117" s="184">
        <v>0.3246673409512133</v>
      </c>
    </row>
    <row r="118" spans="1:9">
      <c r="A118" s="121">
        <v>39994</v>
      </c>
      <c r="B118" s="183">
        <v>118383672.05927682</v>
      </c>
      <c r="C118" s="183">
        <v>56582159.785788469</v>
      </c>
      <c r="D118" s="297">
        <v>174965831.8450653</v>
      </c>
      <c r="E118" s="183">
        <v>54841.023435391617</v>
      </c>
      <c r="F118" s="183">
        <v>26211.583885349992</v>
      </c>
      <c r="G118" s="297">
        <v>81052.607320741605</v>
      </c>
      <c r="H118" s="184">
        <v>0.67661023190006164</v>
      </c>
      <c r="I118" s="184">
        <v>0.3233897680999383</v>
      </c>
    </row>
    <row r="119" spans="1:9">
      <c r="A119" s="121">
        <v>40025</v>
      </c>
      <c r="B119" s="183">
        <v>115012801.18031743</v>
      </c>
      <c r="C119" s="183">
        <v>54145573.388653852</v>
      </c>
      <c r="D119" s="297">
        <v>169158374.56897128</v>
      </c>
      <c r="E119" s="183">
        <v>56285.842104130643</v>
      </c>
      <c r="F119" s="183">
        <v>26498.173795569994</v>
      </c>
      <c r="G119" s="297">
        <v>82784.015899700637</v>
      </c>
      <c r="H119" s="184">
        <v>0.67991195513304625</v>
      </c>
      <c r="I119" s="184">
        <v>0.3200880448669538</v>
      </c>
    </row>
    <row r="120" spans="1:9">
      <c r="A120" s="121">
        <v>40056</v>
      </c>
      <c r="B120" s="183">
        <v>118150262.93048888</v>
      </c>
      <c r="C120" s="183">
        <v>54433450.441749491</v>
      </c>
      <c r="D120" s="297">
        <v>172583713.37223837</v>
      </c>
      <c r="E120" s="183">
        <v>58059.097263139498</v>
      </c>
      <c r="F120" s="183">
        <v>26748.624295699996</v>
      </c>
      <c r="G120" s="297">
        <v>84807.72155883949</v>
      </c>
      <c r="H120" s="184">
        <v>0.68459682910898823</v>
      </c>
      <c r="I120" s="184">
        <v>0.31540317089101177</v>
      </c>
    </row>
    <row r="121" spans="1:9">
      <c r="A121" s="121">
        <v>40086</v>
      </c>
      <c r="B121" s="183">
        <v>118265101.54625696</v>
      </c>
      <c r="C121" s="183">
        <v>51882562.554750405</v>
      </c>
      <c r="D121" s="298">
        <v>170147664.10100737</v>
      </c>
      <c r="E121" s="183">
        <v>61532.310898156589</v>
      </c>
      <c r="F121" s="183">
        <v>26994.049196019983</v>
      </c>
      <c r="G121" s="298">
        <v>88526.360094176576</v>
      </c>
      <c r="H121" s="184">
        <v>0.69507331864426558</v>
      </c>
      <c r="I121" s="184">
        <v>0.30492668135573442</v>
      </c>
    </row>
    <row r="122" spans="1:9">
      <c r="A122" s="121">
        <v>40117</v>
      </c>
      <c r="B122" s="183">
        <v>120751981.74828909</v>
      </c>
      <c r="C122" s="183">
        <v>56235126.12390361</v>
      </c>
      <c r="D122" s="298">
        <v>176987107.87219271</v>
      </c>
      <c r="E122" s="183">
        <v>60563.738463381029</v>
      </c>
      <c r="F122" s="183">
        <v>28204.998557479994</v>
      </c>
      <c r="G122" s="297">
        <v>88768.737020861023</v>
      </c>
      <c r="H122" s="184">
        <v>0.68226428015020979</v>
      </c>
      <c r="I122" s="184">
        <v>0.31773571984979015</v>
      </c>
    </row>
    <row r="123" spans="1:9">
      <c r="A123" s="121">
        <v>40147</v>
      </c>
      <c r="B123" s="183">
        <v>125090866.3143288</v>
      </c>
      <c r="C123" s="183">
        <v>57694659.56747219</v>
      </c>
      <c r="D123" s="298">
        <v>182785525.88180101</v>
      </c>
      <c r="E123" s="183">
        <v>62624.65334364411</v>
      </c>
      <c r="F123" s="183">
        <v>28883.867876599994</v>
      </c>
      <c r="G123" s="297">
        <v>91508.521220244103</v>
      </c>
      <c r="H123" s="184">
        <v>0.68435870789473408</v>
      </c>
      <c r="I123" s="184">
        <v>0.31564129210526587</v>
      </c>
    </row>
    <row r="124" spans="1:9">
      <c r="A124" s="121">
        <v>40178</v>
      </c>
      <c r="B124" s="183">
        <v>125639747.22691907</v>
      </c>
      <c r="C124" s="183">
        <v>59694422.112222113</v>
      </c>
      <c r="D124" s="298">
        <v>185334169.33914119</v>
      </c>
      <c r="E124" s="183">
        <v>61460.67087701436</v>
      </c>
      <c r="F124" s="183">
        <v>29201.421617049997</v>
      </c>
      <c r="G124" s="297">
        <v>90662.09249406436</v>
      </c>
      <c r="H124" s="184">
        <v>0.67790924725279411</v>
      </c>
      <c r="I124" s="184">
        <v>0.32209075274720589</v>
      </c>
    </row>
    <row r="125" spans="1:9">
      <c r="A125" s="121">
        <v>40209</v>
      </c>
      <c r="B125" s="183">
        <v>127729021.42496493</v>
      </c>
      <c r="C125" s="183">
        <v>58026437.562987939</v>
      </c>
      <c r="D125" s="298">
        <v>185755458.98795289</v>
      </c>
      <c r="E125" s="183">
        <v>64435.083375774957</v>
      </c>
      <c r="F125" s="183">
        <v>29272.426114739992</v>
      </c>
      <c r="G125" s="297">
        <v>93707.509490514945</v>
      </c>
      <c r="H125" s="184">
        <v>0.68761920710631041</v>
      </c>
      <c r="I125" s="184">
        <v>0.31238079289368947</v>
      </c>
    </row>
    <row r="126" spans="1:9">
      <c r="A126" s="121">
        <v>40237</v>
      </c>
      <c r="B126" s="183">
        <v>128602245.84749272</v>
      </c>
      <c r="C126" s="183">
        <v>55559913.468568631</v>
      </c>
      <c r="D126" s="298">
        <v>184162159.31606135</v>
      </c>
      <c r="E126" s="183">
        <v>66553.286126258972</v>
      </c>
      <c r="F126" s="183">
        <v>28752.956792129997</v>
      </c>
      <c r="G126" s="298">
        <v>95306.242918388976</v>
      </c>
      <c r="H126" s="184">
        <v>0.69830982827902222</v>
      </c>
      <c r="I126" s="184">
        <v>0.30169017172097784</v>
      </c>
    </row>
    <row r="127" spans="1:9">
      <c r="A127" s="121">
        <v>40268</v>
      </c>
      <c r="B127" s="183">
        <v>129199888.264623</v>
      </c>
      <c r="C127" s="183">
        <v>55542310.58984866</v>
      </c>
      <c r="D127" s="298">
        <v>184742198.85447165</v>
      </c>
      <c r="E127" s="183">
        <v>66991.889548645908</v>
      </c>
      <c r="F127" s="183">
        <v>28799.439274209999</v>
      </c>
      <c r="G127" s="298">
        <v>95791.32882285591</v>
      </c>
      <c r="H127" s="184">
        <v>0.69935233566424415</v>
      </c>
      <c r="I127" s="184">
        <v>0.3006476643357559</v>
      </c>
    </row>
    <row r="128" spans="1:9">
      <c r="A128" s="121">
        <v>40298</v>
      </c>
      <c r="B128" s="183">
        <v>129492637.44384986</v>
      </c>
      <c r="C128" s="183">
        <v>59095461.735265672</v>
      </c>
      <c r="D128" s="298">
        <v>188588099.17911553</v>
      </c>
      <c r="E128" s="183">
        <v>65740.645992562437</v>
      </c>
      <c r="F128" s="183">
        <v>30001.503609730004</v>
      </c>
      <c r="G128" s="298">
        <v>95742.14960229244</v>
      </c>
      <c r="H128" s="184">
        <v>0.686642677918194</v>
      </c>
      <c r="I128" s="184">
        <v>0.31335732208180594</v>
      </c>
    </row>
    <row r="129" spans="1:9">
      <c r="A129" s="121">
        <v>40329</v>
      </c>
      <c r="B129" s="183">
        <v>129408467.99951814</v>
      </c>
      <c r="C129" s="183">
        <v>58694373.826705657</v>
      </c>
      <c r="D129" s="298">
        <v>188102841.82622379</v>
      </c>
      <c r="E129" s="183">
        <v>65637.933605294384</v>
      </c>
      <c r="F129" s="183">
        <v>29770.674761840004</v>
      </c>
      <c r="G129" s="298">
        <v>95408.60836713438</v>
      </c>
      <c r="H129" s="184">
        <v>0.68796657585359799</v>
      </c>
      <c r="I129" s="184">
        <v>0.31203342414640201</v>
      </c>
    </row>
    <row r="130" spans="1:9">
      <c r="A130" s="121">
        <v>40359</v>
      </c>
      <c r="B130" s="183">
        <v>131337880.40129557</v>
      </c>
      <c r="C130" s="183">
        <v>57356296.929828525</v>
      </c>
      <c r="D130" s="298">
        <v>188694177.3311241</v>
      </c>
      <c r="E130" s="183">
        <v>68531.500997305222</v>
      </c>
      <c r="F130" s="183">
        <v>29928.251531380003</v>
      </c>
      <c r="G130" s="298">
        <v>98459.752528685232</v>
      </c>
      <c r="H130" s="184">
        <v>0.69603568196395049</v>
      </c>
      <c r="I130" s="184">
        <v>0.30396431803604951</v>
      </c>
    </row>
    <row r="131" spans="1:9">
      <c r="A131" s="121">
        <v>40390</v>
      </c>
      <c r="B131" s="183">
        <v>133551850.98283531</v>
      </c>
      <c r="C131" s="183">
        <v>55065090.267541401</v>
      </c>
      <c r="D131" s="298">
        <v>188616941.2503767</v>
      </c>
      <c r="E131" s="183">
        <v>72529.313266264056</v>
      </c>
      <c r="F131" s="183">
        <v>29904.738516599995</v>
      </c>
      <c r="G131" s="298">
        <v>102434.05178286406</v>
      </c>
      <c r="H131" s="184">
        <v>0.70805861921784596</v>
      </c>
      <c r="I131" s="184">
        <v>0.29194138078215404</v>
      </c>
    </row>
    <row r="132" spans="1:9">
      <c r="A132" s="121">
        <v>40421</v>
      </c>
      <c r="B132" s="183">
        <v>136364647.58715189</v>
      </c>
      <c r="C132" s="183">
        <v>55597644.84294647</v>
      </c>
      <c r="D132" s="298">
        <v>191962292.43009835</v>
      </c>
      <c r="E132" s="183">
        <v>74771.978235467715</v>
      </c>
      <c r="F132" s="183">
        <v>30485.510458149995</v>
      </c>
      <c r="G132" s="298">
        <v>105257.48869361771</v>
      </c>
      <c r="H132" s="184">
        <v>0.71037205203625109</v>
      </c>
      <c r="I132" s="184">
        <v>0.28962794796374886</v>
      </c>
    </row>
    <row r="133" spans="1:9">
      <c r="A133" s="121">
        <v>40451</v>
      </c>
      <c r="B133" s="183">
        <v>134280437.14063859</v>
      </c>
      <c r="C133" s="183">
        <v>55240381.869982168</v>
      </c>
      <c r="D133" s="298">
        <v>189520819.01062077</v>
      </c>
      <c r="E133" s="183">
        <v>74604.802038257112</v>
      </c>
      <c r="F133" s="183">
        <v>30690.976598560002</v>
      </c>
      <c r="G133" s="298">
        <v>105295.77863681712</v>
      </c>
      <c r="H133" s="184">
        <v>0.70852604923110585</v>
      </c>
      <c r="I133" s="184">
        <v>0.2914739507688941</v>
      </c>
    </row>
    <row r="134" spans="1:9">
      <c r="A134" s="121">
        <v>40482</v>
      </c>
      <c r="B134" s="183">
        <v>136440575.15192899</v>
      </c>
      <c r="C134" s="183">
        <v>56811157.51996626</v>
      </c>
      <c r="D134" s="298">
        <v>193251732.671895</v>
      </c>
      <c r="E134" s="183">
        <v>74156.516741088635</v>
      </c>
      <c r="F134" s="183">
        <v>30877.30720146</v>
      </c>
      <c r="G134" s="298">
        <v>105033.82394254864</v>
      </c>
      <c r="H134" s="184">
        <v>0.70602510655663397</v>
      </c>
      <c r="I134" s="184">
        <v>0.29397489344336597</v>
      </c>
    </row>
    <row r="135" spans="1:9">
      <c r="A135" s="121">
        <v>40512</v>
      </c>
      <c r="B135" s="183">
        <v>137408431.98658863</v>
      </c>
      <c r="C135" s="183">
        <v>58523143.040842503</v>
      </c>
      <c r="D135" s="298">
        <v>195931575.02743113</v>
      </c>
      <c r="E135" s="183">
        <v>71680.385603553863</v>
      </c>
      <c r="F135" s="183">
        <v>30529.141474439999</v>
      </c>
      <c r="G135" s="298">
        <v>102209.527077994</v>
      </c>
      <c r="H135" s="184">
        <v>0.70130826012780711</v>
      </c>
      <c r="I135" s="184">
        <v>0.29869173987219289</v>
      </c>
    </row>
    <row r="136" spans="1:9">
      <c r="A136" s="121">
        <v>40543</v>
      </c>
      <c r="B136" s="183">
        <v>143534231.0976536</v>
      </c>
      <c r="C136" s="183">
        <v>59306054.904884927</v>
      </c>
      <c r="D136" s="298">
        <v>202840286.00253853</v>
      </c>
      <c r="E136" s="183">
        <v>74992.544905199422</v>
      </c>
      <c r="F136" s="183">
        <v>30985.723416590001</v>
      </c>
      <c r="G136" s="298">
        <v>105978.26832178942</v>
      </c>
      <c r="H136" s="184">
        <v>0.70762191242353734</v>
      </c>
      <c r="I136" s="184">
        <v>0.29237808757646255</v>
      </c>
    </row>
    <row r="137" spans="1:9">
      <c r="A137" s="121">
        <v>40574</v>
      </c>
      <c r="B137" s="183">
        <v>138256172.77755001</v>
      </c>
      <c r="C137" s="183">
        <v>57866641.587261178</v>
      </c>
      <c r="D137" s="298">
        <v>196122814.364811</v>
      </c>
      <c r="E137" s="183">
        <v>74412.088815568437</v>
      </c>
      <c r="F137" s="183">
        <v>31144.921682290002</v>
      </c>
      <c r="G137" s="298">
        <v>105557.01049785844</v>
      </c>
      <c r="H137" s="184">
        <v>0.70494691413298527</v>
      </c>
      <c r="I137" s="184">
        <v>0.29505308586701479</v>
      </c>
    </row>
    <row r="138" spans="1:9">
      <c r="A138" s="121">
        <v>40602</v>
      </c>
      <c r="B138" s="183">
        <v>140291720.31538704</v>
      </c>
      <c r="C138" s="183">
        <v>58814395.331597432</v>
      </c>
      <c r="D138" s="298">
        <v>199106115.64698446</v>
      </c>
      <c r="E138" s="183">
        <v>74010.698851730907</v>
      </c>
      <c r="F138" s="183">
        <v>31027.451165670005</v>
      </c>
      <c r="G138" s="298">
        <v>105038.15001740091</v>
      </c>
      <c r="H138" s="184">
        <v>0.70460779097375659</v>
      </c>
      <c r="I138" s="184">
        <v>0.29539220902624341</v>
      </c>
    </row>
    <row r="139" spans="1:9">
      <c r="A139" s="121">
        <v>40633</v>
      </c>
      <c r="B139" s="183">
        <v>141918757.21490705</v>
      </c>
      <c r="C139" s="183">
        <v>58372274.555211447</v>
      </c>
      <c r="D139" s="298">
        <v>200291031.77011901</v>
      </c>
      <c r="E139" s="183">
        <v>75509.988036471477</v>
      </c>
      <c r="F139" s="183">
        <v>31057.837877280002</v>
      </c>
      <c r="G139" s="298">
        <v>106567.82591375148</v>
      </c>
      <c r="H139" s="184">
        <v>0.70856271476893939</v>
      </c>
      <c r="I139" s="184">
        <v>0.29143728523106061</v>
      </c>
    </row>
    <row r="140" spans="1:9">
      <c r="A140" s="121">
        <v>40663</v>
      </c>
      <c r="B140" s="183">
        <v>145262271.19051355</v>
      </c>
      <c r="C140" s="183">
        <v>55506746.601131961</v>
      </c>
      <c r="D140" s="298">
        <v>200769017.79164553</v>
      </c>
      <c r="E140" s="183">
        <v>82183.300627150471</v>
      </c>
      <c r="F140" s="183">
        <v>31403.389230870001</v>
      </c>
      <c r="G140" s="298">
        <v>113586.68985802047</v>
      </c>
      <c r="H140" s="184">
        <v>0.72352932134809822</v>
      </c>
      <c r="I140" s="184">
        <v>0.27647067865190167</v>
      </c>
    </row>
    <row r="141" spans="1:9">
      <c r="A141" s="121">
        <v>40694</v>
      </c>
      <c r="B141" s="183">
        <v>140207402.15552816</v>
      </c>
      <c r="C141" s="183">
        <v>55810203.25900808</v>
      </c>
      <c r="D141" s="298">
        <v>196017605.41453624</v>
      </c>
      <c r="E141" s="183">
        <v>77149.791539023063</v>
      </c>
      <c r="F141" s="183">
        <v>30709.830443949995</v>
      </c>
      <c r="G141" s="298">
        <v>107859.62198297305</v>
      </c>
      <c r="H141" s="184">
        <v>0.71527963959675367</v>
      </c>
      <c r="I141" s="184">
        <v>0.28472036040324628</v>
      </c>
    </row>
    <row r="142" spans="1:9">
      <c r="A142" s="121">
        <v>40724</v>
      </c>
      <c r="B142" s="183">
        <v>140723785.57385731</v>
      </c>
      <c r="C142" s="183">
        <v>54770037.483688205</v>
      </c>
      <c r="D142" s="298">
        <v>195493823.05754551</v>
      </c>
      <c r="E142" s="183">
        <v>79051.200776254555</v>
      </c>
      <c r="F142" s="183">
        <v>30766.918413899988</v>
      </c>
      <c r="G142" s="298">
        <v>109818.11919015454</v>
      </c>
      <c r="H142" s="184">
        <v>0.7198375036761846</v>
      </c>
      <c r="I142" s="184">
        <v>0.28016249632381535</v>
      </c>
    </row>
    <row r="143" spans="1:9">
      <c r="A143" s="121">
        <v>40755</v>
      </c>
      <c r="B143" s="183">
        <v>142649913.94095564</v>
      </c>
      <c r="C143" s="183">
        <v>58062873.745896019</v>
      </c>
      <c r="D143" s="298">
        <v>200712787.68685165</v>
      </c>
      <c r="E143" s="183">
        <v>80540.842921805364</v>
      </c>
      <c r="F143" s="183">
        <v>32782.584053239996</v>
      </c>
      <c r="G143" s="298">
        <v>113323.42697504535</v>
      </c>
      <c r="H143" s="184">
        <v>0.71071661942892927</v>
      </c>
      <c r="I143" s="184">
        <v>0.28928338057107078</v>
      </c>
    </row>
    <row r="144" spans="1:9">
      <c r="A144" s="121">
        <v>40786</v>
      </c>
      <c r="B144" s="183">
        <v>145502171.72358668</v>
      </c>
      <c r="C144" s="183">
        <v>58420183.519118153</v>
      </c>
      <c r="D144" s="298">
        <v>203922355.24270484</v>
      </c>
      <c r="E144" s="183">
        <v>81575.060114364096</v>
      </c>
      <c r="F144" s="183">
        <v>32752.981800969999</v>
      </c>
      <c r="G144" s="298">
        <v>114328.04191533409</v>
      </c>
      <c r="H144" s="184">
        <v>0.71351751283184484</v>
      </c>
      <c r="I144" s="184">
        <v>0.28648248716815511</v>
      </c>
    </row>
    <row r="145" spans="1:9">
      <c r="A145" s="121">
        <v>40816</v>
      </c>
      <c r="B145" s="183">
        <v>145933902.1315977</v>
      </c>
      <c r="C145" s="183">
        <v>62443836.979088537</v>
      </c>
      <c r="D145" s="298">
        <v>208377739.11068624</v>
      </c>
      <c r="E145" s="183">
        <v>75652.61904178212</v>
      </c>
      <c r="F145" s="183">
        <v>32371.092264949995</v>
      </c>
      <c r="G145" s="298">
        <v>108023.71130673212</v>
      </c>
      <c r="H145" s="184">
        <v>0.70033345574442774</v>
      </c>
      <c r="I145" s="184">
        <v>0.29966654425557221</v>
      </c>
    </row>
    <row r="146" spans="1:9">
      <c r="A146" s="121">
        <v>40847</v>
      </c>
      <c r="B146" s="183">
        <v>147285977.359404</v>
      </c>
      <c r="C146" s="183">
        <v>60767253.275181584</v>
      </c>
      <c r="D146" s="298">
        <v>208053230.63458559</v>
      </c>
      <c r="E146" s="183">
        <v>79055.949545051684</v>
      </c>
      <c r="F146" s="183">
        <v>32616.906205480009</v>
      </c>
      <c r="G146" s="298">
        <v>111672.85575053169</v>
      </c>
      <c r="H146" s="184">
        <v>0.70792449081499631</v>
      </c>
      <c r="I146" s="184">
        <v>0.29207550918500363</v>
      </c>
    </row>
    <row r="147" spans="1:9">
      <c r="A147" s="121">
        <v>40877</v>
      </c>
      <c r="B147" s="183">
        <v>148031373.32259506</v>
      </c>
      <c r="C147" s="183">
        <v>63893220.653718755</v>
      </c>
      <c r="D147" s="298">
        <v>211924593.97631383</v>
      </c>
      <c r="E147" s="183">
        <v>75250.548156546458</v>
      </c>
      <c r="F147" s="183">
        <v>32479.600572249998</v>
      </c>
      <c r="G147" s="298">
        <v>107730.14872879646</v>
      </c>
      <c r="H147" s="184">
        <v>0.69850964696971451</v>
      </c>
      <c r="I147" s="184">
        <v>0.30149035303028543</v>
      </c>
    </row>
    <row r="148" spans="1:9">
      <c r="A148" s="121">
        <v>40878</v>
      </c>
      <c r="B148" s="183">
        <v>150713296.31648323</v>
      </c>
      <c r="C148" s="183">
        <v>63980291.740931503</v>
      </c>
      <c r="D148" s="298">
        <v>214693588.05741474</v>
      </c>
      <c r="E148" s="183">
        <v>77579.294958811559</v>
      </c>
      <c r="F148" s="183">
        <v>32933.696268559994</v>
      </c>
      <c r="G148" s="298">
        <v>110512.99122737156</v>
      </c>
      <c r="H148" s="184">
        <v>0.70199253587479526</v>
      </c>
      <c r="I148" s="184">
        <v>0.29800746412520474</v>
      </c>
    </row>
    <row r="149" spans="1:9">
      <c r="A149" s="121">
        <v>40909</v>
      </c>
      <c r="B149" s="183">
        <v>149309476.95885521</v>
      </c>
      <c r="C149" s="183">
        <v>61312289.135329708</v>
      </c>
      <c r="D149" s="298">
        <v>210621766.09418496</v>
      </c>
      <c r="E149" s="183">
        <v>82260.548823663528</v>
      </c>
      <c r="F149" s="183">
        <v>33779.386658069998</v>
      </c>
      <c r="G149" s="298">
        <v>116039.93548173351</v>
      </c>
      <c r="H149" s="184">
        <v>0.71211675593958901</v>
      </c>
      <c r="I149" s="184">
        <v>0.28788324406041105</v>
      </c>
    </row>
    <row r="150" spans="1:9">
      <c r="A150" s="121">
        <v>40940</v>
      </c>
      <c r="B150" s="183">
        <v>152133600.35957208</v>
      </c>
      <c r="C150" s="183">
        <v>58904732.470003232</v>
      </c>
      <c r="D150" s="298">
        <v>211038332.8295753</v>
      </c>
      <c r="E150" s="183">
        <v>86056.691174814376</v>
      </c>
      <c r="F150" s="183">
        <v>33320.360255229993</v>
      </c>
      <c r="G150" s="298">
        <v>119377.05143004438</v>
      </c>
      <c r="H150" s="184">
        <v>0.72088135989222424</v>
      </c>
      <c r="I150" s="184">
        <v>0.27911864010777576</v>
      </c>
    </row>
    <row r="151" spans="1:9">
      <c r="A151" s="121">
        <v>40969</v>
      </c>
      <c r="B151" s="183">
        <v>152389175.21561873</v>
      </c>
      <c r="C151" s="183">
        <v>59284387.376865819</v>
      </c>
      <c r="D151" s="298">
        <v>211673562.59248453</v>
      </c>
      <c r="E151" s="183">
        <v>85388.351403415058</v>
      </c>
      <c r="F151" s="183">
        <v>33218.869351509988</v>
      </c>
      <c r="G151" s="298">
        <v>118607.22075492505</v>
      </c>
      <c r="H151" s="184">
        <v>0.71992540470913446</v>
      </c>
      <c r="I151" s="184">
        <v>0.28007459529086565</v>
      </c>
    </row>
    <row r="152" spans="1:9">
      <c r="A152" s="121">
        <v>41000</v>
      </c>
      <c r="B152" s="183">
        <v>151928372.71537203</v>
      </c>
      <c r="C152" s="183">
        <v>58696879.440780565</v>
      </c>
      <c r="D152" s="298">
        <v>210625252.15615261</v>
      </c>
      <c r="E152" s="183">
        <v>86264.12259560074</v>
      </c>
      <c r="F152" s="183">
        <v>33327.776198489984</v>
      </c>
      <c r="G152" s="298">
        <v>119591.89879409072</v>
      </c>
      <c r="H152" s="184">
        <v>0.72132078732295546</v>
      </c>
      <c r="I152" s="184">
        <v>0.27867921267704443</v>
      </c>
    </row>
    <row r="153" spans="1:9">
      <c r="A153" s="121">
        <v>41030</v>
      </c>
      <c r="B153" s="183">
        <v>151917942.34102231</v>
      </c>
      <c r="C153" s="183">
        <v>60219982.160049155</v>
      </c>
      <c r="D153" s="298">
        <v>212137924.50107145</v>
      </c>
      <c r="E153" s="183">
        <v>83113.824776386376</v>
      </c>
      <c r="F153" s="183">
        <v>32946.161382650003</v>
      </c>
      <c r="G153" s="298">
        <v>116059.98615903637</v>
      </c>
      <c r="H153" s="184">
        <v>0.71612816377985733</v>
      </c>
      <c r="I153" s="184">
        <v>0.28387183622014273</v>
      </c>
    </row>
    <row r="154" spans="1:9">
      <c r="A154" s="121">
        <v>41061</v>
      </c>
      <c r="B154" s="183">
        <v>152228870.78817984</v>
      </c>
      <c r="C154" s="183">
        <v>59567472.480821647</v>
      </c>
      <c r="D154" s="298">
        <v>211796343.26900148</v>
      </c>
      <c r="E154" s="183">
        <v>84309.299284547989</v>
      </c>
      <c r="F154" s="183">
        <v>32990.40345636999</v>
      </c>
      <c r="G154" s="298">
        <v>117299.70274091797</v>
      </c>
      <c r="H154" s="184">
        <v>0.71875117595790927</v>
      </c>
      <c r="I154" s="184">
        <v>0.28124882404209073</v>
      </c>
    </row>
    <row r="155" spans="1:9">
      <c r="A155" s="121">
        <v>41091</v>
      </c>
      <c r="B155" s="183">
        <v>154044907.6774804</v>
      </c>
      <c r="C155" s="183">
        <v>58944256.902967967</v>
      </c>
      <c r="D155" s="298">
        <v>212989164.58044836</v>
      </c>
      <c r="E155" s="183">
        <v>86105.749336217821</v>
      </c>
      <c r="F155" s="183">
        <v>32947.790915119993</v>
      </c>
      <c r="G155" s="298">
        <v>119053.54025133781</v>
      </c>
      <c r="H155" s="184">
        <v>0.72325232121982397</v>
      </c>
      <c r="I155" s="184">
        <v>0.27674767878017603</v>
      </c>
    </row>
    <row r="156" spans="1:9">
      <c r="A156" s="121">
        <v>41122</v>
      </c>
      <c r="B156" s="183">
        <v>151933235.58677089</v>
      </c>
      <c r="C156" s="183">
        <v>60050770.712265857</v>
      </c>
      <c r="D156" s="298">
        <v>211984006.29903674</v>
      </c>
      <c r="E156" s="183">
        <v>83000.948149014424</v>
      </c>
      <c r="F156" s="183">
        <v>32805.665507929996</v>
      </c>
      <c r="G156" s="298">
        <v>115806.61365694442</v>
      </c>
      <c r="H156" s="184">
        <v>0.71672027639880154</v>
      </c>
      <c r="I156" s="184">
        <v>0.28327972360119852</v>
      </c>
    </row>
    <row r="157" spans="1:9">
      <c r="A157" s="121">
        <v>41182</v>
      </c>
      <c r="B157" s="183">
        <v>152577367.99065548</v>
      </c>
      <c r="C157" s="183">
        <v>60125045.113651752</v>
      </c>
      <c r="D157" s="298">
        <v>212702413.10430723</v>
      </c>
      <c r="E157" s="183">
        <v>84855.717204270943</v>
      </c>
      <c r="F157" s="183">
        <v>33438.470542829993</v>
      </c>
      <c r="G157" s="298">
        <v>118294.18774710094</v>
      </c>
      <c r="H157" s="184">
        <v>0.71732786555568129</v>
      </c>
      <c r="I157" s="184">
        <v>0.28267213444431871</v>
      </c>
    </row>
    <row r="158" spans="1:9">
      <c r="A158" s="121">
        <v>41213</v>
      </c>
      <c r="B158" s="183">
        <v>152143040.7909686</v>
      </c>
      <c r="C158" s="183">
        <v>61002777.01929675</v>
      </c>
      <c r="D158" s="298">
        <v>213145817.81026536</v>
      </c>
      <c r="E158" s="183">
        <v>83143.271339243671</v>
      </c>
      <c r="F158" s="183">
        <v>33336.854684869992</v>
      </c>
      <c r="G158" s="298">
        <v>116480.12602411366</v>
      </c>
      <c r="H158" s="184">
        <v>0.71379791709730278</v>
      </c>
      <c r="I158" s="184">
        <v>0.28620208290269716</v>
      </c>
    </row>
    <row r="159" spans="1:9">
      <c r="A159" s="121">
        <v>41243</v>
      </c>
      <c r="B159" s="183">
        <v>154961324.57608467</v>
      </c>
      <c r="C159" s="183">
        <v>60275410.638048492</v>
      </c>
      <c r="D159" s="298">
        <v>215236735.21413317</v>
      </c>
      <c r="E159" s="183">
        <v>85240.534330851384</v>
      </c>
      <c r="F159" s="183">
        <v>33156.067966340008</v>
      </c>
      <c r="G159" s="298">
        <v>118396.60229719139</v>
      </c>
      <c r="H159" s="184">
        <v>0.71995760585161206</v>
      </c>
      <c r="I159" s="184">
        <v>0.28004239414838794</v>
      </c>
    </row>
    <row r="160" spans="1:9">
      <c r="A160" s="121">
        <v>41274</v>
      </c>
      <c r="B160" s="183">
        <v>156770236.88398901</v>
      </c>
      <c r="C160" s="183">
        <v>59519174.609242201</v>
      </c>
      <c r="D160" s="298">
        <v>216289411.49323121</v>
      </c>
      <c r="E160" s="183">
        <v>88659.414716405299</v>
      </c>
      <c r="F160" s="183">
        <v>33660.312634239999</v>
      </c>
      <c r="G160" s="298">
        <v>122319.72735064532</v>
      </c>
      <c r="H160" s="184">
        <v>0.72481697463444827</v>
      </c>
      <c r="I160" s="184">
        <v>0.27518302536555167</v>
      </c>
    </row>
    <row r="161" spans="1:9">
      <c r="A161" s="123">
        <v>41275</v>
      </c>
      <c r="B161" s="183">
        <v>157088832.22751099</v>
      </c>
      <c r="C161" s="183">
        <v>60385932.630992703</v>
      </c>
      <c r="D161" s="298">
        <v>217474764.858504</v>
      </c>
      <c r="E161" s="183">
        <v>88588.590505239699</v>
      </c>
      <c r="F161" s="183">
        <v>34054.009965370002</v>
      </c>
      <c r="G161" s="298">
        <v>122642.60047061001</v>
      </c>
      <c r="H161" s="184">
        <v>0.72233131200173195</v>
      </c>
      <c r="I161" s="184">
        <v>0.27766868799826799</v>
      </c>
    </row>
    <row r="162" spans="1:9">
      <c r="A162" s="123">
        <v>41306</v>
      </c>
      <c r="B162" s="183">
        <v>160617065.76026973</v>
      </c>
      <c r="C162" s="183">
        <v>61469337.068306446</v>
      </c>
      <c r="D162" s="298">
        <v>222086402.82857618</v>
      </c>
      <c r="E162" s="183">
        <v>88425.070061037492</v>
      </c>
      <c r="F162" s="183">
        <v>33840.927246069987</v>
      </c>
      <c r="G162" s="298">
        <v>122265.99730710748</v>
      </c>
      <c r="H162" s="184">
        <v>0.72321881805725252</v>
      </c>
      <c r="I162" s="184">
        <v>0.27678118194274748</v>
      </c>
    </row>
    <row r="163" spans="1:9">
      <c r="A163" s="123">
        <v>41364</v>
      </c>
      <c r="B163" s="183">
        <v>162795308.24115944</v>
      </c>
      <c r="C163" s="183">
        <v>61714008.757807396</v>
      </c>
      <c r="D163" s="298">
        <v>224509316.99896684</v>
      </c>
      <c r="E163" s="183">
        <v>89010.256289761572</v>
      </c>
      <c r="F163" s="183">
        <v>33742.862712379996</v>
      </c>
      <c r="G163" s="298">
        <v>122753.11900214157</v>
      </c>
      <c r="H163" s="184">
        <v>0.72511604603878688</v>
      </c>
      <c r="I163" s="184">
        <v>0.27488395396121307</v>
      </c>
    </row>
    <row r="164" spans="1:9">
      <c r="A164" s="123">
        <v>41394</v>
      </c>
      <c r="B164" s="183">
        <v>161426030.29863778</v>
      </c>
      <c r="C164" s="183">
        <v>61697809.015302777</v>
      </c>
      <c r="D164" s="298">
        <v>223123839.31394055</v>
      </c>
      <c r="E164" s="183">
        <v>88269.30937868086</v>
      </c>
      <c r="F164" s="183">
        <v>33736.956684639998</v>
      </c>
      <c r="G164" s="298">
        <v>122006.26606332086</v>
      </c>
      <c r="H164" s="184">
        <v>0.72348177045980067</v>
      </c>
      <c r="I164" s="184">
        <v>0.27651822954019939</v>
      </c>
    </row>
    <row r="165" spans="1:9">
      <c r="A165" s="123">
        <v>41425</v>
      </c>
      <c r="B165" s="183">
        <v>161038520.98083526</v>
      </c>
      <c r="C165" s="183">
        <v>63062721.759932451</v>
      </c>
      <c r="D165" s="298">
        <v>224101242.74076772</v>
      </c>
      <c r="E165" s="183">
        <v>85138.897044026511</v>
      </c>
      <c r="F165" s="183">
        <v>33340.411614150005</v>
      </c>
      <c r="G165" s="298">
        <v>118479.30865817651</v>
      </c>
      <c r="H165" s="184">
        <v>0.71859717961099767</v>
      </c>
      <c r="I165" s="184">
        <v>0.28140282038900222</v>
      </c>
    </row>
    <row r="166" spans="1:9">
      <c r="A166" s="123">
        <v>41455</v>
      </c>
      <c r="B166" s="183">
        <v>161506406.54608756</v>
      </c>
      <c r="C166" s="183">
        <v>63775756.051844962</v>
      </c>
      <c r="D166" s="298">
        <v>225282162.59793252</v>
      </c>
      <c r="E166" s="183">
        <v>84002.853667157775</v>
      </c>
      <c r="F166" s="183">
        <v>33171.102111089996</v>
      </c>
      <c r="G166" s="298">
        <v>117173.95577824776</v>
      </c>
      <c r="H166" s="184">
        <v>0.71690720953497167</v>
      </c>
      <c r="I166" s="184">
        <v>0.28309279046502839</v>
      </c>
    </row>
    <row r="167" spans="1:9">
      <c r="A167" s="123">
        <v>41486</v>
      </c>
      <c r="B167" s="183">
        <v>165366330.55910441</v>
      </c>
      <c r="C167" s="183">
        <v>62830021.314390451</v>
      </c>
      <c r="D167" s="298">
        <v>228196351.87349486</v>
      </c>
      <c r="E167" s="183">
        <v>87480.138684306134</v>
      </c>
      <c r="F167" s="183">
        <v>33237.594131389997</v>
      </c>
      <c r="G167" s="298">
        <v>120717.73281569613</v>
      </c>
      <c r="H167" s="184">
        <v>0.7246668459046115</v>
      </c>
      <c r="I167" s="184">
        <v>0.27533315409538844</v>
      </c>
    </row>
    <row r="168" spans="1:9">
      <c r="A168" s="123">
        <v>41517</v>
      </c>
      <c r="B168" s="183">
        <v>169055200.0091067</v>
      </c>
      <c r="C168" s="183">
        <v>64693839.549436428</v>
      </c>
      <c r="D168" s="298">
        <v>233749039.55854312</v>
      </c>
      <c r="E168" s="183">
        <v>87005.517132486566</v>
      </c>
      <c r="F168" s="183">
        <v>33295.166105400007</v>
      </c>
      <c r="G168" s="298">
        <v>120300.68323788658</v>
      </c>
      <c r="H168" s="184">
        <v>0.7232337738301865</v>
      </c>
      <c r="I168" s="184">
        <v>0.2767662261698135</v>
      </c>
    </row>
    <row r="169" spans="1:9">
      <c r="A169" s="123">
        <v>41547</v>
      </c>
      <c r="B169" s="183">
        <v>173323596.39068246</v>
      </c>
      <c r="C169" s="183">
        <v>67951859.989899993</v>
      </c>
      <c r="D169" s="298">
        <v>241275456.38058245</v>
      </c>
      <c r="E169" s="183">
        <v>90524.950456053295</v>
      </c>
      <c r="F169" s="183">
        <v>35490.48650662</v>
      </c>
      <c r="G169" s="298">
        <v>126015.4369626733</v>
      </c>
      <c r="H169" s="184">
        <v>0.71836397696948395</v>
      </c>
      <c r="I169" s="184">
        <v>0.28163602303051605</v>
      </c>
    </row>
    <row r="170" spans="1:9">
      <c r="A170" s="123">
        <v>41578</v>
      </c>
      <c r="B170" s="183">
        <v>176578184.84857079</v>
      </c>
      <c r="C170" s="183">
        <v>67028443.222957551</v>
      </c>
      <c r="D170" s="298">
        <v>243606628.07152835</v>
      </c>
      <c r="E170" s="183">
        <v>93722.166411139129</v>
      </c>
      <c r="F170" s="183">
        <v>35576.596935850001</v>
      </c>
      <c r="G170" s="298">
        <v>129298.76334698913</v>
      </c>
      <c r="H170" s="184">
        <v>0.72484967361694075</v>
      </c>
      <c r="I170" s="184">
        <v>0.27515032638305925</v>
      </c>
    </row>
    <row r="171" spans="1:9">
      <c r="A171" s="123">
        <v>41608</v>
      </c>
      <c r="B171" s="183">
        <v>174537472.3792288</v>
      </c>
      <c r="C171" s="183">
        <v>67924833.736768171</v>
      </c>
      <c r="D171" s="298">
        <v>242462306.11599696</v>
      </c>
      <c r="E171" s="183">
        <v>90515.99760364517</v>
      </c>
      <c r="F171" s="183">
        <v>35226.155185669995</v>
      </c>
      <c r="G171" s="298">
        <v>125742.15278931517</v>
      </c>
      <c r="H171" s="184">
        <v>0.71985404731623692</v>
      </c>
      <c r="I171" s="184">
        <v>0.28014595268376313</v>
      </c>
    </row>
    <row r="172" spans="1:9">
      <c r="A172" s="123">
        <v>41639</v>
      </c>
      <c r="B172" s="183">
        <v>180640182.34028035</v>
      </c>
      <c r="C172" s="183">
        <v>68719143.631469116</v>
      </c>
      <c r="D172" s="298">
        <v>249359325.97174948</v>
      </c>
      <c r="E172" s="183">
        <v>93749.932448778753</v>
      </c>
      <c r="F172" s="183">
        <v>35664.352138729999</v>
      </c>
      <c r="G172" s="298">
        <v>129414.28458750875</v>
      </c>
      <c r="H172" s="184">
        <v>0.72441719047935471</v>
      </c>
      <c r="I172" s="184">
        <v>0.27558280952064523</v>
      </c>
    </row>
    <row r="173" spans="1:9">
      <c r="A173" s="123">
        <v>41670</v>
      </c>
      <c r="B173" s="183">
        <v>177564823.06683302</v>
      </c>
      <c r="C173" s="183">
        <v>75180629.918272331</v>
      </c>
      <c r="D173" s="298">
        <v>252745452.98510534</v>
      </c>
      <c r="E173" s="183">
        <v>88417.248297945989</v>
      </c>
      <c r="F173" s="183">
        <v>37435.705495440001</v>
      </c>
      <c r="G173" s="298">
        <v>125852.953793386</v>
      </c>
      <c r="H173" s="184">
        <v>0.70254408524333445</v>
      </c>
      <c r="I173" s="184">
        <v>0.29745591475666561</v>
      </c>
    </row>
    <row r="174" spans="1:9">
      <c r="A174" s="123">
        <v>41698</v>
      </c>
      <c r="B174" s="183">
        <v>180835085.05285269</v>
      </c>
      <c r="C174" s="183">
        <v>76678591.532125011</v>
      </c>
      <c r="D174" s="298">
        <v>257513676.58497769</v>
      </c>
      <c r="E174" s="183">
        <v>88001.890628669367</v>
      </c>
      <c r="F174" s="183">
        <v>37314.999042349998</v>
      </c>
      <c r="G174" s="298">
        <v>125316.88967101937</v>
      </c>
      <c r="H174" s="184">
        <v>0.70223487719565214</v>
      </c>
      <c r="I174" s="184">
        <v>0.29776512280434791</v>
      </c>
    </row>
    <row r="175" spans="1:9">
      <c r="A175" s="123">
        <v>41729</v>
      </c>
      <c r="B175" s="183">
        <v>186652561.58059865</v>
      </c>
      <c r="C175" s="183">
        <v>73623532.876875296</v>
      </c>
      <c r="D175" s="298">
        <v>260276094.45747393</v>
      </c>
      <c r="E175" s="183">
        <v>94973.114597418564</v>
      </c>
      <c r="F175" s="183">
        <v>37461.346181220004</v>
      </c>
      <c r="G175" s="298">
        <v>132434.46077863857</v>
      </c>
      <c r="H175" s="184">
        <v>0.71713294288383256</v>
      </c>
      <c r="I175" s="184">
        <v>0.28286705711616755</v>
      </c>
    </row>
    <row r="176" spans="1:9">
      <c r="A176" s="123">
        <v>41759</v>
      </c>
      <c r="B176" s="183">
        <v>190792944.83960074</v>
      </c>
      <c r="C176" s="183">
        <v>72620679.108229458</v>
      </c>
      <c r="D176" s="298">
        <v>263413623.9478302</v>
      </c>
      <c r="E176" s="183">
        <v>98593.871678328564</v>
      </c>
      <c r="F176" s="183">
        <v>37527.351565379999</v>
      </c>
      <c r="G176" s="298">
        <v>136121.22324370855</v>
      </c>
      <c r="H176" s="184">
        <v>0.72430932758963074</v>
      </c>
      <c r="I176" s="184">
        <v>0.27569067241036926</v>
      </c>
    </row>
    <row r="177" spans="1:9">
      <c r="A177" s="123">
        <v>41790</v>
      </c>
      <c r="B177" s="183">
        <v>184291347.86996517</v>
      </c>
      <c r="C177" s="183">
        <v>70899952.872108862</v>
      </c>
      <c r="D177" s="298">
        <v>255191300.74207401</v>
      </c>
      <c r="E177" s="183">
        <v>96692.138276755635</v>
      </c>
      <c r="F177" s="183">
        <v>37199.077038399999</v>
      </c>
      <c r="G177" s="298">
        <v>133891.21531515563</v>
      </c>
      <c r="H177" s="184">
        <v>0.72216939736606234</v>
      </c>
      <c r="I177" s="184">
        <v>0.27783060263393772</v>
      </c>
    </row>
    <row r="178" spans="1:9">
      <c r="A178" s="123">
        <v>41820</v>
      </c>
      <c r="B178" s="183">
        <v>190085916.22967842</v>
      </c>
      <c r="C178" s="183">
        <v>70064204.647701547</v>
      </c>
      <c r="D178" s="298">
        <v>260150120.87737995</v>
      </c>
      <c r="E178" s="183">
        <v>100787.33210835489</v>
      </c>
      <c r="F178" s="183">
        <v>37149.434333700003</v>
      </c>
      <c r="G178" s="298">
        <v>137936.76644205488</v>
      </c>
      <c r="H178" s="184">
        <v>0.7306777932241445</v>
      </c>
      <c r="I178" s="184">
        <v>0.26932220677585555</v>
      </c>
    </row>
    <row r="179" spans="1:9">
      <c r="A179" s="123">
        <v>41851</v>
      </c>
      <c r="B179" s="183">
        <v>190986328.36011529</v>
      </c>
      <c r="C179" s="183">
        <v>69533921.735763371</v>
      </c>
      <c r="D179" s="298">
        <v>260520250.09587866</v>
      </c>
      <c r="E179" s="183">
        <v>101999.18200419523</v>
      </c>
      <c r="F179" s="183">
        <v>37135.658868830003</v>
      </c>
      <c r="G179" s="298">
        <v>139134.84087302524</v>
      </c>
      <c r="H179" s="184">
        <v>0.73309590440599925</v>
      </c>
      <c r="I179" s="184">
        <v>0.26690409559400069</v>
      </c>
    </row>
    <row r="180" spans="1:9">
      <c r="A180" s="123">
        <v>41882</v>
      </c>
      <c r="B180" s="183">
        <v>194468674.84359205</v>
      </c>
      <c r="C180" s="183">
        <v>71558525.809544712</v>
      </c>
      <c r="D180" s="298">
        <v>266027200.65313676</v>
      </c>
      <c r="E180" s="183">
        <v>100498.52966532581</v>
      </c>
      <c r="F180" s="183">
        <v>36980.38583675</v>
      </c>
      <c r="G180" s="298">
        <v>137478.9155020758</v>
      </c>
      <c r="H180" s="184">
        <v>0.73101049203292834</v>
      </c>
      <c r="I180" s="184">
        <v>0.26898950796707172</v>
      </c>
    </row>
    <row r="181" spans="1:9">
      <c r="A181" s="123">
        <v>41912</v>
      </c>
      <c r="B181" s="183">
        <v>196047624.50696129</v>
      </c>
      <c r="C181" s="183">
        <v>74241185.730615795</v>
      </c>
      <c r="D181" s="298">
        <v>270288810.23757708</v>
      </c>
      <c r="E181" s="183">
        <v>96647.551125454178</v>
      </c>
      <c r="F181" s="183">
        <v>36599.417164880004</v>
      </c>
      <c r="G181" s="298">
        <v>133246.96829033419</v>
      </c>
      <c r="H181" s="184">
        <v>0.72532645481934799</v>
      </c>
      <c r="I181" s="184">
        <v>0.27467354518065196</v>
      </c>
    </row>
    <row r="182" spans="1:9">
      <c r="A182" s="123">
        <v>41943</v>
      </c>
      <c r="B182" s="183">
        <v>202000099.63423562</v>
      </c>
      <c r="C182" s="183">
        <v>77552283.370231301</v>
      </c>
      <c r="D182" s="298">
        <v>279552383.00446689</v>
      </c>
      <c r="E182" s="183">
        <v>98511.645648048114</v>
      </c>
      <c r="F182" s="183">
        <v>37820.788565940005</v>
      </c>
      <c r="G182" s="298">
        <v>136332.43421398813</v>
      </c>
      <c r="H182" s="184">
        <v>0.72258407337922037</v>
      </c>
      <c r="I182" s="184">
        <v>0.27741592662077974</v>
      </c>
    </row>
    <row r="183" spans="1:9">
      <c r="A183" s="123">
        <v>41973</v>
      </c>
      <c r="B183" s="183">
        <v>198444147.06839329</v>
      </c>
      <c r="C183" s="183">
        <v>80649797.76488477</v>
      </c>
      <c r="D183" s="298">
        <v>279093944.83327806</v>
      </c>
      <c r="E183" s="183">
        <v>91653.763974040266</v>
      </c>
      <c r="F183" s="183">
        <v>37249.057924340006</v>
      </c>
      <c r="G183" s="298">
        <v>128902.82189838027</v>
      </c>
      <c r="H183" s="184">
        <v>0.71102992645339391</v>
      </c>
      <c r="I183" s="184">
        <v>0.28897007354660603</v>
      </c>
    </row>
    <row r="184" spans="1:9">
      <c r="A184" s="123">
        <v>42004</v>
      </c>
      <c r="B184" s="183">
        <v>200098697.55529416</v>
      </c>
      <c r="C184" s="183">
        <v>89767232.003086373</v>
      </c>
      <c r="D184" s="298">
        <v>289865929.55838054</v>
      </c>
      <c r="E184" s="183">
        <v>83637.217573248519</v>
      </c>
      <c r="F184" s="183">
        <v>37520.891468649999</v>
      </c>
      <c r="G184" s="298">
        <v>121158.10904189851</v>
      </c>
      <c r="H184" s="184">
        <v>0.69031464946622234</v>
      </c>
      <c r="I184" s="184">
        <v>0.3096853505337776</v>
      </c>
    </row>
    <row r="185" spans="1:9">
      <c r="A185" s="123">
        <v>42035</v>
      </c>
      <c r="B185" s="183">
        <v>197892476.50707862</v>
      </c>
      <c r="C185" s="183">
        <v>93317433.437102348</v>
      </c>
      <c r="D185" s="298">
        <v>291209909.94418097</v>
      </c>
      <c r="E185" s="183">
        <v>82546.343465525948</v>
      </c>
      <c r="F185" s="183">
        <v>38925.243888919998</v>
      </c>
      <c r="G185" s="298">
        <v>121471.58735444595</v>
      </c>
      <c r="H185" s="184">
        <v>0.67955268605045271</v>
      </c>
      <c r="I185" s="184">
        <v>0.32044731394954729</v>
      </c>
    </row>
    <row r="186" spans="1:9">
      <c r="A186" s="123">
        <v>42063</v>
      </c>
      <c r="B186" s="183">
        <v>200231357.35978913</v>
      </c>
      <c r="C186" s="183">
        <v>96808713.176326931</v>
      </c>
      <c r="D186" s="298">
        <v>297040070.53611606</v>
      </c>
      <c r="E186" s="183">
        <v>80589.619718338363</v>
      </c>
      <c r="F186" s="183">
        <v>38963.81407575</v>
      </c>
      <c r="G186" s="298">
        <v>119553.43379408837</v>
      </c>
      <c r="H186" s="184">
        <v>0.67408870795916309</v>
      </c>
      <c r="I186" s="184">
        <v>0.32591129204083696</v>
      </c>
    </row>
    <row r="187" spans="1:9">
      <c r="A187" s="123">
        <v>42094</v>
      </c>
      <c r="B187" s="183">
        <v>202187868.82194659</v>
      </c>
      <c r="C187" s="183">
        <v>102449041.76554218</v>
      </c>
      <c r="D187" s="298">
        <v>304636910.58748877</v>
      </c>
      <c r="E187" s="183">
        <v>78487.556073036845</v>
      </c>
      <c r="F187" s="183">
        <v>39769.818817780004</v>
      </c>
      <c r="G187" s="298">
        <v>118257.37489081685</v>
      </c>
      <c r="H187" s="184">
        <v>0.66370115306129396</v>
      </c>
      <c r="I187" s="184">
        <v>0.3362988469387061</v>
      </c>
    </row>
    <row r="188" spans="1:9">
      <c r="A188" s="123">
        <v>42124</v>
      </c>
      <c r="B188" s="183">
        <v>203349923.29020673</v>
      </c>
      <c r="C188" s="183">
        <v>95629504.698379114</v>
      </c>
      <c r="D188" s="298">
        <v>298979427.98858583</v>
      </c>
      <c r="E188" s="183">
        <v>85152.769733677851</v>
      </c>
      <c r="F188" s="183">
        <v>40044.850086839993</v>
      </c>
      <c r="G188" s="298">
        <v>125197.61982051784</v>
      </c>
      <c r="H188" s="184">
        <v>0.68014687384434369</v>
      </c>
      <c r="I188" s="184">
        <v>0.31985312615565636</v>
      </c>
    </row>
    <row r="189" spans="1:9">
      <c r="A189" s="123">
        <v>42155</v>
      </c>
      <c r="B189" s="183">
        <v>211794182.91943687</v>
      </c>
      <c r="C189" s="183">
        <v>100897657.0419164</v>
      </c>
      <c r="D189" s="298">
        <v>312691839.9613533</v>
      </c>
      <c r="E189" s="183">
        <v>83057.51946863567</v>
      </c>
      <c r="F189" s="183">
        <v>39568.174151819985</v>
      </c>
      <c r="G189" s="298">
        <v>122625.69362045566</v>
      </c>
      <c r="H189" s="184">
        <v>0.67732558337823356</v>
      </c>
      <c r="I189" s="184">
        <v>0.32267441662176632</v>
      </c>
    </row>
    <row r="190" spans="1:9">
      <c r="A190" s="123">
        <v>42185</v>
      </c>
      <c r="B190" s="183">
        <v>208318158.98190579</v>
      </c>
      <c r="C190" s="183">
        <v>101862301.54981145</v>
      </c>
      <c r="D190" s="298">
        <v>310180460.53171724</v>
      </c>
      <c r="E190" s="183">
        <v>80583.866443557825</v>
      </c>
      <c r="F190" s="183">
        <v>39403.468923880006</v>
      </c>
      <c r="G190" s="298">
        <v>119987.33536743783</v>
      </c>
      <c r="H190" s="184">
        <v>0.67160310041710181</v>
      </c>
      <c r="I190" s="184">
        <v>0.32839689958289814</v>
      </c>
    </row>
    <row r="191" spans="1:9">
      <c r="A191" s="123">
        <v>42216</v>
      </c>
      <c r="B191" s="183">
        <v>206627454.6970925</v>
      </c>
      <c r="C191" s="183">
        <v>111895599.64530221</v>
      </c>
      <c r="D191" s="298">
        <v>318523054.34239471</v>
      </c>
      <c r="E191" s="183">
        <v>72095.104987052691</v>
      </c>
      <c r="F191" s="183">
        <v>39041.88345079001</v>
      </c>
      <c r="G191" s="298">
        <v>111136.98843784269</v>
      </c>
      <c r="H191" s="184">
        <v>0.64870486415397544</v>
      </c>
      <c r="I191" s="184">
        <v>0.35129513584602456</v>
      </c>
    </row>
    <row r="192" spans="1:9">
      <c r="A192" s="123">
        <v>42247</v>
      </c>
      <c r="B192" s="183">
        <v>209186491.68683568</v>
      </c>
      <c r="C192" s="183">
        <v>119322756.76222073</v>
      </c>
      <c r="D192" s="298">
        <v>328509248.44905639</v>
      </c>
      <c r="E192" s="183">
        <v>67455.577597251191</v>
      </c>
      <c r="F192" s="183">
        <v>38477.558531560004</v>
      </c>
      <c r="G192" s="298">
        <v>105933.13612881119</v>
      </c>
      <c r="H192" s="184">
        <v>0.63677504567812893</v>
      </c>
      <c r="I192" s="184">
        <v>0.36322495432187113</v>
      </c>
    </row>
    <row r="193" spans="1:9">
      <c r="A193" s="123">
        <v>42277</v>
      </c>
      <c r="B193" s="183">
        <v>218546792.54736164</v>
      </c>
      <c r="C193" s="183">
        <v>125390173.47975096</v>
      </c>
      <c r="D193" s="298">
        <v>343936966.0271126</v>
      </c>
      <c r="E193" s="183">
        <v>70003.521062980595</v>
      </c>
      <c r="F193" s="183">
        <v>40164.184282769995</v>
      </c>
      <c r="G193" s="298">
        <v>110167.70534575058</v>
      </c>
      <c r="H193" s="184">
        <v>0.63542687798825781</v>
      </c>
      <c r="I193" s="184">
        <v>0.36457312201174219</v>
      </c>
    </row>
    <row r="194" spans="1:9">
      <c r="A194" s="123">
        <v>42308</v>
      </c>
      <c r="B194" s="183">
        <v>208000714.17086363</v>
      </c>
      <c r="C194" s="183">
        <v>117680036.32568659</v>
      </c>
      <c r="D194" s="298">
        <v>325680750.4965502</v>
      </c>
      <c r="E194" s="183">
        <v>71200.93456754605</v>
      </c>
      <c r="F194" s="183">
        <v>40283.172102230012</v>
      </c>
      <c r="G194" s="298">
        <v>111484.10666977605</v>
      </c>
      <c r="H194" s="184">
        <v>0.63866444011116619</v>
      </c>
      <c r="I194" s="184">
        <v>0.36133555988883392</v>
      </c>
    </row>
    <row r="195" spans="1:9">
      <c r="A195" s="123">
        <v>42338</v>
      </c>
      <c r="B195" s="183">
        <v>207015568.29514915</v>
      </c>
      <c r="C195" s="183">
        <v>123239655.14920554</v>
      </c>
      <c r="D195" s="298">
        <v>330255223.44435465</v>
      </c>
      <c r="E195" s="183">
        <v>66755.52813361361</v>
      </c>
      <c r="F195" s="183">
        <v>39740.625955049996</v>
      </c>
      <c r="G195" s="298">
        <v>106496.15408866361</v>
      </c>
      <c r="H195" s="184">
        <v>0.62683510690945843</v>
      </c>
      <c r="I195" s="184">
        <v>0.37316489309054163</v>
      </c>
    </row>
    <row r="196" spans="1:9">
      <c r="A196" s="123">
        <v>42369</v>
      </c>
      <c r="B196" s="183">
        <v>211609269.76425281</v>
      </c>
      <c r="C196" s="183">
        <v>129590463.61165862</v>
      </c>
      <c r="D196" s="298">
        <v>341199733.37591141</v>
      </c>
      <c r="E196" s="183">
        <v>67188.85074766638</v>
      </c>
      <c r="F196" s="183">
        <v>41146.752822430004</v>
      </c>
      <c r="G196" s="298">
        <v>108335.60357009638</v>
      </c>
      <c r="H196" s="184">
        <v>0.62019177937374192</v>
      </c>
      <c r="I196" s="184">
        <v>0.37980822062625813</v>
      </c>
    </row>
    <row r="197" spans="1:9">
      <c r="A197" s="123">
        <v>42400</v>
      </c>
      <c r="B197" s="183">
        <v>212684390.72811937</v>
      </c>
      <c r="C197" s="183">
        <v>136367052.99618524</v>
      </c>
      <c r="D197" s="298">
        <v>349051443.72430462</v>
      </c>
      <c r="E197" s="183">
        <v>64392.837467489182</v>
      </c>
      <c r="F197" s="183">
        <v>41286.816815480008</v>
      </c>
      <c r="G197" s="298">
        <v>105679.65428296919</v>
      </c>
      <c r="H197" s="184">
        <v>0.60932104580007518</v>
      </c>
      <c r="I197" s="184">
        <v>0.39067895419992482</v>
      </c>
    </row>
    <row r="198" spans="1:9">
      <c r="A198" s="123">
        <v>42401</v>
      </c>
      <c r="B198" s="183">
        <v>218573911.62225527</v>
      </c>
      <c r="C198" s="183">
        <v>136020607.40089744</v>
      </c>
      <c r="D198" s="298">
        <v>354594519.02315271</v>
      </c>
      <c r="E198" s="183">
        <v>66114.310835527911</v>
      </c>
      <c r="F198" s="183">
        <v>41143.559407409994</v>
      </c>
      <c r="G198" s="298">
        <v>107257.8702429379</v>
      </c>
      <c r="H198" s="184">
        <v>0.61640521749853616</v>
      </c>
      <c r="I198" s="184">
        <v>0.38359478250146384</v>
      </c>
    </row>
    <row r="199" spans="1:9">
      <c r="A199" s="123">
        <v>42430</v>
      </c>
      <c r="B199" s="183">
        <v>222656794.23718953</v>
      </c>
      <c r="C199" s="183">
        <v>129404223.27700727</v>
      </c>
      <c r="D199" s="298">
        <v>352061017.51419681</v>
      </c>
      <c r="E199" s="183">
        <v>73670.089247502619</v>
      </c>
      <c r="F199" s="183">
        <v>42815.763653120011</v>
      </c>
      <c r="G199" s="298">
        <v>116485.85290062263</v>
      </c>
      <c r="H199" s="184">
        <v>0.63243808078868291</v>
      </c>
      <c r="I199" s="184">
        <v>0.36756191921131698</v>
      </c>
    </row>
    <row r="200" spans="1:9">
      <c r="A200" s="123">
        <v>42461</v>
      </c>
      <c r="B200" s="183">
        <v>227291506.87014025</v>
      </c>
      <c r="C200" s="183">
        <v>123851217.38012549</v>
      </c>
      <c r="D200" s="298">
        <v>351142724.25026572</v>
      </c>
      <c r="E200" s="183">
        <v>78764.227600092971</v>
      </c>
      <c r="F200" s="183">
        <v>42918.65370865001</v>
      </c>
      <c r="G200" s="298">
        <v>121682.88130874297</v>
      </c>
      <c r="H200" s="184">
        <v>0.64729094801960219</v>
      </c>
      <c r="I200" s="184">
        <v>0.35270905198039787</v>
      </c>
    </row>
    <row r="201" spans="1:9">
      <c r="A201" s="123">
        <v>42491</v>
      </c>
      <c r="B201" s="183">
        <v>233216996.56316924</v>
      </c>
      <c r="C201" s="183">
        <v>132583650.95916942</v>
      </c>
      <c r="D201" s="298">
        <v>365800647.52233863</v>
      </c>
      <c r="E201" s="183">
        <v>75986.992106390084</v>
      </c>
      <c r="F201" s="183">
        <v>43198.536073000003</v>
      </c>
      <c r="G201" s="298">
        <v>119185.52817939009</v>
      </c>
      <c r="H201" s="184">
        <v>0.6375521698575648</v>
      </c>
      <c r="I201" s="184">
        <v>0.36244783014243526</v>
      </c>
    </row>
    <row r="202" spans="1:9">
      <c r="A202" s="123">
        <v>42522</v>
      </c>
      <c r="B202" s="183">
        <v>232918011.10422453</v>
      </c>
      <c r="C202" s="183">
        <v>126126625.34540461</v>
      </c>
      <c r="D202" s="298">
        <v>359044636.44962913</v>
      </c>
      <c r="E202" s="183">
        <v>79871.752517608664</v>
      </c>
      <c r="F202" s="183">
        <v>43251.076023319998</v>
      </c>
      <c r="G202" s="298">
        <v>123122.82854092866</v>
      </c>
      <c r="H202" s="184">
        <v>0.64871602987140276</v>
      </c>
      <c r="I202" s="184">
        <v>0.35128397012859736</v>
      </c>
    </row>
    <row r="203" spans="1:9">
      <c r="A203" s="123">
        <v>42552</v>
      </c>
      <c r="B203" s="183">
        <v>233278203.870309</v>
      </c>
      <c r="C203" s="183">
        <v>133388137.45034657</v>
      </c>
      <c r="D203" s="298">
        <v>366666341.32065558</v>
      </c>
      <c r="E203" s="183">
        <v>75451.100618513927</v>
      </c>
      <c r="F203" s="183">
        <v>43142.829519029998</v>
      </c>
      <c r="G203" s="298">
        <v>118593.93013754392</v>
      </c>
      <c r="H203" s="184">
        <v>0.63621384779985424</v>
      </c>
      <c r="I203" s="184">
        <v>0.36378615220014565</v>
      </c>
    </row>
    <row r="204" spans="1:9">
      <c r="A204" s="123">
        <v>42583</v>
      </c>
      <c r="B204" s="183">
        <v>236432083.28324249</v>
      </c>
      <c r="C204" s="183">
        <v>126580652.166949</v>
      </c>
      <c r="D204" s="298">
        <v>363012735.45019114</v>
      </c>
      <c r="E204" s="183">
        <v>80588.476213006419</v>
      </c>
      <c r="F204" s="183">
        <v>43145.336853300003</v>
      </c>
      <c r="G204" s="298">
        <v>123733.81306630642</v>
      </c>
      <c r="H204" s="184">
        <v>0.65130520280515958</v>
      </c>
      <c r="I204" s="184">
        <v>0.34869479719484031</v>
      </c>
    </row>
    <row r="205" spans="1:9">
      <c r="A205" s="123">
        <v>42614</v>
      </c>
      <c r="B205" s="183">
        <v>239269688.37336314</v>
      </c>
      <c r="C205" s="183">
        <v>124198517.77009965</v>
      </c>
      <c r="D205" s="298">
        <v>363468206.14346278</v>
      </c>
      <c r="E205" s="183">
        <v>83081.195289280426</v>
      </c>
      <c r="F205" s="183">
        <v>43125.234038820003</v>
      </c>
      <c r="G205" s="298">
        <v>126206.42932810044</v>
      </c>
      <c r="H205" s="184">
        <v>0.65829606091852266</v>
      </c>
      <c r="I205" s="184">
        <v>0.34170393908147734</v>
      </c>
    </row>
    <row r="206" spans="1:9">
      <c r="A206" s="123">
        <v>42674</v>
      </c>
      <c r="B206" s="183">
        <v>241991639.48386723</v>
      </c>
      <c r="C206" s="183">
        <v>127416890.57074043</v>
      </c>
      <c r="D206" s="298">
        <v>369408530.05460763</v>
      </c>
      <c r="E206" s="183">
        <v>81542.912423885224</v>
      </c>
      <c r="F206" s="183">
        <v>42935.137640680012</v>
      </c>
      <c r="G206" s="298">
        <v>124478.05006456524</v>
      </c>
      <c r="H206" s="184">
        <v>0.65507864544463801</v>
      </c>
      <c r="I206" s="184">
        <v>0.34492135455536205</v>
      </c>
    </row>
    <row r="207" spans="1:9">
      <c r="A207" s="123">
        <v>42704</v>
      </c>
      <c r="B207" s="183">
        <v>244867318.63535088</v>
      </c>
      <c r="C207" s="183">
        <v>136876163.22487298</v>
      </c>
      <c r="D207" s="298">
        <v>381743481.86022389</v>
      </c>
      <c r="E207" s="183">
        <v>77365.041321210738</v>
      </c>
      <c r="F207" s="183">
        <v>43245.583293009986</v>
      </c>
      <c r="G207" s="298">
        <v>120610.62461422072</v>
      </c>
      <c r="H207" s="184">
        <v>0.64144466185020421</v>
      </c>
      <c r="I207" s="184">
        <v>0.35855533814979568</v>
      </c>
    </row>
    <row r="208" spans="1:9">
      <c r="A208" s="123">
        <v>42735</v>
      </c>
      <c r="B208" s="183">
        <v>243015611.75506231</v>
      </c>
      <c r="C208" s="183">
        <v>134069787.40932594</v>
      </c>
      <c r="D208" s="298">
        <v>377085399.16438824</v>
      </c>
      <c r="E208" s="183">
        <v>80986.037222878018</v>
      </c>
      <c r="F208" s="183">
        <v>44679.355022420008</v>
      </c>
      <c r="G208" s="298">
        <v>125665.39224529802</v>
      </c>
      <c r="H208" s="184">
        <v>0.64445776021447343</v>
      </c>
      <c r="I208" s="184">
        <v>0.35554223978552663</v>
      </c>
    </row>
    <row r="209" spans="1:9">
      <c r="A209" s="123">
        <v>42766</v>
      </c>
      <c r="B209" s="183">
        <v>243694978.92067796</v>
      </c>
      <c r="C209" s="183">
        <v>134875791.70467806</v>
      </c>
      <c r="D209" s="298">
        <v>378570770.62535602</v>
      </c>
      <c r="E209" s="183">
        <v>82983.722637512677</v>
      </c>
      <c r="F209" s="183">
        <v>45928.296671960001</v>
      </c>
      <c r="G209" s="298">
        <v>128912.01930947267</v>
      </c>
      <c r="H209" s="184">
        <v>0.64372370460118056</v>
      </c>
      <c r="I209" s="184">
        <v>0.35627629539881944</v>
      </c>
    </row>
    <row r="210" spans="1:9">
      <c r="A210" s="123">
        <v>42794</v>
      </c>
      <c r="B210" s="183">
        <v>248369274.38176462</v>
      </c>
      <c r="C210" s="183">
        <v>132635099.38497403</v>
      </c>
      <c r="D210" s="298">
        <v>381004373.76673865</v>
      </c>
      <c r="E210" s="183">
        <v>85754.875885799542</v>
      </c>
      <c r="F210" s="183">
        <v>45795.143196240002</v>
      </c>
      <c r="G210" s="298">
        <v>131550.01908203954</v>
      </c>
      <c r="H210" s="184">
        <v>0.65188037587679537</v>
      </c>
      <c r="I210" s="184">
        <v>0.34811962412320463</v>
      </c>
    </row>
    <row r="211" spans="1:9">
      <c r="A211" s="123">
        <v>42825</v>
      </c>
      <c r="B211" s="183">
        <v>253471755.6831139</v>
      </c>
      <c r="C211" s="183">
        <v>131754601.88097288</v>
      </c>
      <c r="D211" s="298">
        <v>385226357.56408679</v>
      </c>
      <c r="E211" s="183">
        <v>88003.692637805856</v>
      </c>
      <c r="F211" s="183">
        <v>45744.313626980002</v>
      </c>
      <c r="G211" s="298">
        <v>133748.00626478586</v>
      </c>
      <c r="H211" s="184">
        <v>0.65798134189441071</v>
      </c>
      <c r="I211" s="184">
        <v>0.34201865810558923</v>
      </c>
    </row>
    <row r="212" spans="1:9">
      <c r="A212" s="123">
        <v>42855</v>
      </c>
      <c r="B212" s="183">
        <v>255714577.11101821</v>
      </c>
      <c r="C212" s="183">
        <v>134693162.99358007</v>
      </c>
      <c r="D212" s="298">
        <v>390407740.10459828</v>
      </c>
      <c r="E212" s="183">
        <v>86850.425774126445</v>
      </c>
      <c r="F212" s="183">
        <v>45746.936631529992</v>
      </c>
      <c r="G212" s="298">
        <v>132597.36240565643</v>
      </c>
      <c r="H212" s="184">
        <v>0.65499361524570954</v>
      </c>
      <c r="I212" s="184">
        <v>0.34500638475429046</v>
      </c>
    </row>
    <row r="213" spans="1:9">
      <c r="A213" s="123">
        <v>42886</v>
      </c>
      <c r="B213" s="183">
        <v>252718358.56229156</v>
      </c>
      <c r="C213" s="183">
        <v>133981867.46012698</v>
      </c>
      <c r="D213" s="298">
        <v>386700226.02241856</v>
      </c>
      <c r="E213" s="183">
        <v>86534.936263377036</v>
      </c>
      <c r="F213" s="183">
        <v>45877.602351760012</v>
      </c>
      <c r="G213" s="298">
        <v>132412.53861513705</v>
      </c>
      <c r="H213" s="184">
        <v>0.65352524140402357</v>
      </c>
      <c r="I213" s="184">
        <v>0.34647475859597637</v>
      </c>
    </row>
    <row r="214" spans="1:9">
      <c r="A214" s="123">
        <v>42916</v>
      </c>
      <c r="B214" s="183">
        <v>250568580.48822618</v>
      </c>
      <c r="C214" s="183">
        <v>139056306.68307236</v>
      </c>
      <c r="D214" s="298">
        <v>389624887.1712985</v>
      </c>
      <c r="E214" s="183">
        <v>82471.07900187152</v>
      </c>
      <c r="F214" s="183">
        <v>45768.402534039997</v>
      </c>
      <c r="G214" s="298">
        <v>128239.48153591152</v>
      </c>
      <c r="H214" s="184">
        <v>0.64310209316291378</v>
      </c>
      <c r="I214" s="184">
        <v>0.35689790683708633</v>
      </c>
    </row>
    <row r="215" spans="1:9">
      <c r="A215" s="123">
        <v>42947</v>
      </c>
      <c r="B215" s="183">
        <v>255680551.0927217</v>
      </c>
      <c r="C215" s="183">
        <v>137569253.96246386</v>
      </c>
      <c r="D215" s="298">
        <v>393249805.05518556</v>
      </c>
      <c r="E215" s="183">
        <v>85362.576861450274</v>
      </c>
      <c r="F215" s="183">
        <v>45929.44580632</v>
      </c>
      <c r="G215" s="298">
        <v>131292.02266777027</v>
      </c>
      <c r="H215" s="184">
        <v>0.65017337022415445</v>
      </c>
      <c r="I215" s="184">
        <v>0.34982662977584561</v>
      </c>
    </row>
    <row r="216" spans="1:9">
      <c r="A216" s="123">
        <v>42978</v>
      </c>
      <c r="B216" s="183">
        <v>260374930.47211647</v>
      </c>
      <c r="C216" s="183">
        <v>140364356.41136405</v>
      </c>
      <c r="D216" s="298">
        <v>400739286.88348055</v>
      </c>
      <c r="E216" s="183">
        <v>88650.647570253699</v>
      </c>
      <c r="F216" s="183">
        <v>47790.280996280009</v>
      </c>
      <c r="G216" s="298">
        <v>136440.92856653372</v>
      </c>
      <c r="H216" s="184">
        <v>0.64973647205152463</v>
      </c>
      <c r="I216" s="184">
        <v>0.35026352794847532</v>
      </c>
    </row>
    <row r="217" spans="1:9">
      <c r="A217" s="123">
        <v>43008</v>
      </c>
      <c r="B217" s="183">
        <v>261562213.32989857</v>
      </c>
      <c r="C217" s="183">
        <v>140194808.71799496</v>
      </c>
      <c r="D217" s="298">
        <v>401757022.04789352</v>
      </c>
      <c r="E217" s="183">
        <v>88934.371956430332</v>
      </c>
      <c r="F217" s="183">
        <v>47667.960544289985</v>
      </c>
      <c r="G217" s="298">
        <v>136602.33250072031</v>
      </c>
      <c r="H217" s="184">
        <v>0.65104577885565296</v>
      </c>
      <c r="I217" s="184">
        <v>0.34895422114434704</v>
      </c>
    </row>
    <row r="218" spans="1:9">
      <c r="A218" s="123">
        <v>43039</v>
      </c>
      <c r="B218" s="183">
        <v>263093997.76348901</v>
      </c>
      <c r="C218" s="183">
        <v>143149490.53709531</v>
      </c>
      <c r="D218" s="298">
        <v>406243488.30058402</v>
      </c>
      <c r="E218" s="183">
        <v>87364.847967579961</v>
      </c>
      <c r="F218" s="183">
        <v>47535.229171790008</v>
      </c>
      <c r="G218" s="298">
        <v>134900.07713936997</v>
      </c>
      <c r="H218" s="184">
        <v>0.64762637516745292</v>
      </c>
      <c r="I218" s="184">
        <v>0.35237362483254703</v>
      </c>
    </row>
    <row r="219" spans="1:9">
      <c r="A219" s="123">
        <v>43069</v>
      </c>
      <c r="B219" s="183">
        <v>264923006.85490698</v>
      </c>
      <c r="C219" s="183">
        <v>142913657.06477386</v>
      </c>
      <c r="D219" s="298">
        <v>407836663.91968083</v>
      </c>
      <c r="E219" s="183">
        <v>88128.767553502039</v>
      </c>
      <c r="F219" s="183">
        <v>47541.376693570004</v>
      </c>
      <c r="G219" s="298">
        <v>135670.14424707205</v>
      </c>
      <c r="H219" s="184">
        <v>0.64958114434527836</v>
      </c>
      <c r="I219" s="184">
        <v>0.35041885565472164</v>
      </c>
    </row>
    <row r="220" spans="1:9">
      <c r="A220" s="123">
        <v>43100</v>
      </c>
      <c r="B220" s="183">
        <v>269333787.82399297</v>
      </c>
      <c r="C220" s="183">
        <v>142552124.44486585</v>
      </c>
      <c r="D220" s="298">
        <v>411885912.26885879</v>
      </c>
      <c r="E220" s="183">
        <v>90259.312273456089</v>
      </c>
      <c r="F220" s="183">
        <v>47772.159666510001</v>
      </c>
      <c r="G220" s="298">
        <v>138031.47193996608</v>
      </c>
      <c r="H220" s="194">
        <v>0.6539038597857777</v>
      </c>
      <c r="I220" s="194">
        <v>0.34609614021422236</v>
      </c>
    </row>
    <row r="221" spans="1:9">
      <c r="A221" s="123">
        <v>43131</v>
      </c>
      <c r="B221" s="183">
        <v>273577976.18843114</v>
      </c>
      <c r="C221" s="183">
        <v>137883895.08766097</v>
      </c>
      <c r="D221" s="298">
        <v>411461871.27609211</v>
      </c>
      <c r="E221" s="183">
        <v>96190.052595312169</v>
      </c>
      <c r="F221" s="183">
        <v>48479.995741299994</v>
      </c>
      <c r="G221" s="298">
        <v>144670.04833661218</v>
      </c>
      <c r="H221" s="194">
        <v>0.66489265539955589</v>
      </c>
      <c r="I221" s="194">
        <v>0.33510734460044411</v>
      </c>
    </row>
    <row r="222" spans="1:9">
      <c r="A222" s="123">
        <v>43159</v>
      </c>
      <c r="B222" s="183">
        <v>279079549.26033974</v>
      </c>
      <c r="C222" s="183">
        <v>138254707.90655193</v>
      </c>
      <c r="D222" s="298">
        <v>417334257.16689169</v>
      </c>
      <c r="E222" s="183">
        <v>97719.324094196898</v>
      </c>
      <c r="F222" s="183">
        <v>48409.697683960017</v>
      </c>
      <c r="G222" s="298">
        <v>146129.02177815692</v>
      </c>
      <c r="H222" s="194">
        <v>0.66871948436463002</v>
      </c>
      <c r="I222" s="194">
        <v>0.33128051563536987</v>
      </c>
    </row>
    <row r="223" spans="1:9">
      <c r="A223" s="123">
        <v>43190</v>
      </c>
      <c r="B223" s="183">
        <v>280562903.11011064</v>
      </c>
      <c r="C223" s="183">
        <v>136559326.66186175</v>
      </c>
      <c r="D223" s="298">
        <v>417122229.77197242</v>
      </c>
      <c r="E223" s="183">
        <v>100920.45550068008</v>
      </c>
      <c r="F223" s="183">
        <v>49121.353168250003</v>
      </c>
      <c r="G223" s="298">
        <v>150041.80866893008</v>
      </c>
      <c r="H223" s="194">
        <v>0.67261556226213481</v>
      </c>
      <c r="I223" s="194">
        <v>0.32738443773786507</v>
      </c>
    </row>
    <row r="224" spans="1:9">
      <c r="A224" s="123">
        <v>43220</v>
      </c>
      <c r="B224" s="183">
        <v>287751137.82814205</v>
      </c>
      <c r="C224" s="183">
        <v>138016098.67575094</v>
      </c>
      <c r="D224" s="298">
        <v>425767236.50389302</v>
      </c>
      <c r="E224" s="183">
        <v>102538.28478560301</v>
      </c>
      <c r="F224" s="183">
        <v>49181.157502370013</v>
      </c>
      <c r="G224" s="298">
        <v>151719.44228797301</v>
      </c>
      <c r="H224" s="194">
        <v>0.67584142967635552</v>
      </c>
      <c r="I224" s="194">
        <v>0.32415857032364442</v>
      </c>
    </row>
    <row r="225" spans="1:10">
      <c r="A225" s="123">
        <v>43251</v>
      </c>
      <c r="B225" s="183">
        <v>293744808.9562571</v>
      </c>
      <c r="C225" s="183">
        <v>140613575.40115675</v>
      </c>
      <c r="D225" s="298">
        <v>434358384.35741389</v>
      </c>
      <c r="E225" s="183">
        <v>102018.81310735072</v>
      </c>
      <c r="F225" s="183">
        <v>48835.688774139991</v>
      </c>
      <c r="G225" s="298">
        <v>150854.50188149072</v>
      </c>
      <c r="H225" s="194">
        <v>0.67627291088399433</v>
      </c>
      <c r="I225" s="194">
        <v>0.32372708911600562</v>
      </c>
    </row>
    <row r="226" spans="1:10">
      <c r="A226" s="123">
        <v>43281</v>
      </c>
      <c r="B226" s="183">
        <v>296260403.33331323</v>
      </c>
      <c r="C226" s="183">
        <v>143439062.63392922</v>
      </c>
      <c r="D226" s="298">
        <v>439699465.96724248</v>
      </c>
      <c r="E226" s="183">
        <v>100594.68584434201</v>
      </c>
      <c r="F226" s="183">
        <v>48704.475120940013</v>
      </c>
      <c r="G226" s="298">
        <v>149299.16096528203</v>
      </c>
      <c r="H226" s="194">
        <v>0.67377931124297652</v>
      </c>
      <c r="I226" s="194">
        <v>0.32622068875702342</v>
      </c>
    </row>
    <row r="227" spans="1:10">
      <c r="A227" s="123">
        <v>43312</v>
      </c>
      <c r="B227" s="183">
        <v>301661661.01779324</v>
      </c>
      <c r="C227" s="183">
        <v>140107593.37015706</v>
      </c>
      <c r="D227" s="298">
        <v>441769254.3879503</v>
      </c>
      <c r="E227" s="183">
        <v>104899.52464697302</v>
      </c>
      <c r="F227" s="183">
        <v>48720.874553210007</v>
      </c>
      <c r="G227" s="298">
        <v>153620.39920018302</v>
      </c>
      <c r="H227" s="194">
        <v>0.68284892626973492</v>
      </c>
      <c r="I227" s="194">
        <v>0.31715107373026513</v>
      </c>
    </row>
    <row r="228" spans="1:10">
      <c r="A228" s="123">
        <v>43343</v>
      </c>
      <c r="B228" s="183">
        <v>307983597.12410873</v>
      </c>
      <c r="C228" s="183">
        <v>146875765.03612724</v>
      </c>
      <c r="D228" s="298">
        <v>454859362.160236</v>
      </c>
      <c r="E228" s="183">
        <v>101732.38239014754</v>
      </c>
      <c r="F228" s="183">
        <v>48515.640547179995</v>
      </c>
      <c r="G228" s="298">
        <v>150248.02293732754</v>
      </c>
      <c r="H228" s="194">
        <v>0.67709631315802965</v>
      </c>
      <c r="I228" s="194">
        <v>0.32290368684197041</v>
      </c>
    </row>
    <row r="229" spans="1:10">
      <c r="A229" s="123">
        <v>43373</v>
      </c>
      <c r="B229" s="183">
        <v>311304097.02080071</v>
      </c>
      <c r="C229" s="183">
        <v>145816613.20145193</v>
      </c>
      <c r="D229" s="298">
        <v>457120710.22225261</v>
      </c>
      <c r="E229" s="183">
        <v>104129.70953137254</v>
      </c>
      <c r="F229" s="183">
        <v>48774.949391369999</v>
      </c>
      <c r="G229" s="298">
        <v>152904.65892274253</v>
      </c>
      <c r="H229" s="194">
        <v>0.68101070474239578</v>
      </c>
      <c r="I229" s="194">
        <v>0.31898929525760433</v>
      </c>
    </row>
    <row r="230" spans="1:10">
      <c r="A230" s="123">
        <v>43404</v>
      </c>
      <c r="B230" s="183">
        <v>310450473.15965354</v>
      </c>
      <c r="C230" s="183">
        <v>159009370.38801381</v>
      </c>
      <c r="D230" s="298">
        <v>469459843.54766738</v>
      </c>
      <c r="E230" s="183">
        <v>96941.854698184368</v>
      </c>
      <c r="F230" s="183">
        <v>49652.568163030002</v>
      </c>
      <c r="G230" s="298">
        <v>146594.42286121438</v>
      </c>
      <c r="H230" s="194">
        <v>0.66129292510645044</v>
      </c>
      <c r="I230" s="194">
        <v>0.33870707489354951</v>
      </c>
      <c r="J230" s="249"/>
    </row>
    <row r="231" spans="1:10">
      <c r="A231" s="123">
        <v>43434</v>
      </c>
      <c r="B231" s="183">
        <v>308263067.74220312</v>
      </c>
      <c r="C231" s="183">
        <v>161178582.56463969</v>
      </c>
      <c r="D231" s="298">
        <v>469441650.3068428</v>
      </c>
      <c r="E231" s="183">
        <v>95142.334844292054</v>
      </c>
      <c r="F231" s="183">
        <v>49746.169025079995</v>
      </c>
      <c r="G231" s="298">
        <v>144888.50386937204</v>
      </c>
      <c r="H231" s="194">
        <v>0.65665896398564561</v>
      </c>
      <c r="I231" s="194">
        <v>0.34334103601435439</v>
      </c>
      <c r="J231" s="249"/>
    </row>
    <row r="232" spans="1:10">
      <c r="A232" s="123">
        <v>43465</v>
      </c>
      <c r="B232" s="183">
        <v>309935579.36553746</v>
      </c>
      <c r="C232" s="183">
        <v>164090347.19709632</v>
      </c>
      <c r="D232" s="298">
        <v>474025926.5626334</v>
      </c>
      <c r="E232" s="183">
        <v>95372.129968624475</v>
      </c>
      <c r="F232" s="183">
        <v>50493.235720090008</v>
      </c>
      <c r="G232" s="298">
        <v>145865.36568871449</v>
      </c>
      <c r="H232" s="194">
        <v>0.65383670426710039</v>
      </c>
      <c r="I232" s="194">
        <v>0.33710810145387121</v>
      </c>
    </row>
    <row r="233" spans="1:10">
      <c r="A233" s="123">
        <v>43496</v>
      </c>
      <c r="B233" s="183">
        <v>314376105.39829493</v>
      </c>
      <c r="C233" s="183">
        <v>166260785.35409623</v>
      </c>
      <c r="D233" s="298">
        <v>480636890.75239116</v>
      </c>
      <c r="E233" s="183">
        <v>99377.297452250044</v>
      </c>
      <c r="F233" s="183">
        <v>52556.626400870009</v>
      </c>
      <c r="G233" s="298">
        <v>151933.92385312007</v>
      </c>
      <c r="H233" s="194">
        <v>0.6540823466675002</v>
      </c>
      <c r="I233" s="194">
        <v>0.3459176533324998</v>
      </c>
    </row>
    <row r="234" spans="1:10">
      <c r="A234" s="123">
        <v>43524</v>
      </c>
      <c r="B234" s="183">
        <v>320423404.14469355</v>
      </c>
      <c r="C234" s="183">
        <v>161145767.2076804</v>
      </c>
      <c r="D234" s="298">
        <v>481569171.35237384</v>
      </c>
      <c r="E234" s="183">
        <v>104304.13753233015</v>
      </c>
      <c r="F234" s="183">
        <v>52456.133673939978</v>
      </c>
      <c r="G234" s="298">
        <v>156759.90094232099</v>
      </c>
      <c r="H234" s="194">
        <v>0.66537358121338963</v>
      </c>
      <c r="I234" s="194">
        <v>0.33462641878661042</v>
      </c>
    </row>
    <row r="235" spans="1:10">
      <c r="A235" s="123">
        <v>43555</v>
      </c>
      <c r="B235" s="183">
        <v>324068396.07382751</v>
      </c>
      <c r="C235" s="183">
        <v>163417445.05729488</v>
      </c>
      <c r="D235" s="298">
        <v>487485841.13112235</v>
      </c>
      <c r="E235" s="183">
        <v>101558.91244392797</v>
      </c>
      <c r="F235" s="183">
        <v>51212.948240109457</v>
      </c>
      <c r="G235" s="298">
        <v>152771.86068403744</v>
      </c>
      <c r="H235" s="194">
        <v>0.66477499186824718</v>
      </c>
      <c r="I235" s="194">
        <v>0.33522500813175288</v>
      </c>
    </row>
    <row r="236" spans="1:10">
      <c r="A236" s="123">
        <v>43585</v>
      </c>
      <c r="B236" s="183">
        <v>323933778.32122874</v>
      </c>
      <c r="C236" s="183">
        <v>165921112.45995641</v>
      </c>
      <c r="D236" s="298">
        <v>489854890.78118515</v>
      </c>
      <c r="E236" s="183">
        <v>99741.904573432679</v>
      </c>
      <c r="F236" s="183">
        <v>51088.490528726747</v>
      </c>
      <c r="G236" s="298">
        <v>150830.39510215941</v>
      </c>
      <c r="H236" s="194">
        <v>0.66128517734025805</v>
      </c>
      <c r="I236" s="194">
        <v>0.33871482265974201</v>
      </c>
    </row>
    <row r="237" spans="1:10">
      <c r="A237" s="123">
        <v>43616</v>
      </c>
      <c r="B237" s="183">
        <v>324423344.80396718</v>
      </c>
      <c r="C237" s="183">
        <v>170961465.59626636</v>
      </c>
      <c r="D237" s="298">
        <v>495384810.40023351</v>
      </c>
      <c r="E237" s="183">
        <v>96617.253099918147</v>
      </c>
      <c r="F237" s="183">
        <v>50914.422332425907</v>
      </c>
      <c r="G237" s="298">
        <v>147531.67543234405</v>
      </c>
      <c r="H237" s="194">
        <v>0.65489158729323493</v>
      </c>
      <c r="I237" s="194">
        <v>0.34510841270676507</v>
      </c>
    </row>
    <row r="238" spans="1:10">
      <c r="A238" s="123">
        <v>43646</v>
      </c>
      <c r="B238" s="183">
        <v>332678152.96158701</v>
      </c>
      <c r="C238" s="183">
        <v>163262612.25119537</v>
      </c>
      <c r="D238" s="298">
        <v>495940765.21278292</v>
      </c>
      <c r="E238" s="183">
        <v>104051.99280676943</v>
      </c>
      <c r="F238" s="183">
        <v>51063.768403022448</v>
      </c>
      <c r="G238" s="298">
        <v>155115.76120979193</v>
      </c>
      <c r="H238" s="194">
        <v>0.67080219311847045</v>
      </c>
      <c r="I238" s="194">
        <v>0.32919780688152955</v>
      </c>
    </row>
    <row r="239" spans="1:10">
      <c r="A239" s="123">
        <v>43677</v>
      </c>
      <c r="B239" s="183">
        <v>340239053.44168985</v>
      </c>
      <c r="C239" s="183">
        <v>167530632.20393959</v>
      </c>
      <c r="D239" s="298">
        <v>507769685.64562941</v>
      </c>
      <c r="E239" s="183">
        <v>103201.253754854</v>
      </c>
      <c r="F239" s="183">
        <v>50815.363818171776</v>
      </c>
      <c r="G239" s="298">
        <v>154016.61757302555</v>
      </c>
      <c r="H239" s="194">
        <v>0.67006570707165325</v>
      </c>
      <c r="I239" s="194">
        <v>0.32993429292834675</v>
      </c>
    </row>
    <row r="240" spans="1:10">
      <c r="A240" s="123">
        <v>43708</v>
      </c>
      <c r="B240" s="183">
        <v>342936887.39506519</v>
      </c>
      <c r="C240" s="183">
        <v>175067999.25969523</v>
      </c>
      <c r="D240" s="298">
        <v>518004886.65476042</v>
      </c>
      <c r="E240" s="183">
        <v>98995.969399438589</v>
      </c>
      <c r="F240" s="183">
        <v>50537.072372644143</v>
      </c>
      <c r="G240" s="298">
        <v>149533.04177208271</v>
      </c>
      <c r="H240" s="194">
        <v>0.66203407772796841</v>
      </c>
      <c r="I240" s="194">
        <v>0.33796592227203165</v>
      </c>
    </row>
    <row r="241" spans="1:9">
      <c r="A241" s="123">
        <v>43738</v>
      </c>
      <c r="B241" s="183">
        <v>334736518.84807253</v>
      </c>
      <c r="C241" s="183">
        <v>176054321.49443451</v>
      </c>
      <c r="D241" s="298">
        <v>510790840.34250712</v>
      </c>
      <c r="E241" s="183">
        <v>96688.489879599583</v>
      </c>
      <c r="F241" s="183">
        <v>50853.20998334336</v>
      </c>
      <c r="G241" s="298">
        <v>147541.69986294289</v>
      </c>
      <c r="H241" s="194">
        <v>0.65532991669078744</v>
      </c>
      <c r="I241" s="194">
        <v>0.3446700833092125</v>
      </c>
    </row>
    <row r="242" spans="1:9">
      <c r="A242" s="123">
        <v>43769</v>
      </c>
      <c r="B242" s="183">
        <v>336864304.71226597</v>
      </c>
      <c r="C242" s="183">
        <v>172592048.50443509</v>
      </c>
      <c r="D242" s="298">
        <v>509456353.21670103</v>
      </c>
      <c r="E242" s="183">
        <v>99371.760182264567</v>
      </c>
      <c r="F242" s="183">
        <v>50913.009818591207</v>
      </c>
      <c r="G242" s="298">
        <v>150284.77000085579</v>
      </c>
      <c r="H242" s="194">
        <v>0.66122309121342582</v>
      </c>
      <c r="I242" s="194">
        <v>0.33877690878657429</v>
      </c>
    </row>
    <row r="243" spans="1:9">
      <c r="A243" s="123">
        <v>43799</v>
      </c>
      <c r="B243" s="183">
        <v>340030035.49273849</v>
      </c>
      <c r="C243" s="183">
        <v>178538620.54997858</v>
      </c>
      <c r="D243" s="298">
        <v>518568656.0427171</v>
      </c>
      <c r="E243" s="183">
        <v>97070.454218976869</v>
      </c>
      <c r="F243" s="183">
        <v>50968.512141293148</v>
      </c>
      <c r="G243" s="298">
        <v>148038.96636027002</v>
      </c>
      <c r="H243" s="194">
        <v>0.65570880833323741</v>
      </c>
      <c r="I243" s="194">
        <v>0.34429119166676259</v>
      </c>
    </row>
    <row r="244" spans="1:9">
      <c r="A244" s="123">
        <v>43830</v>
      </c>
      <c r="B244" s="183">
        <v>331298877.00313085</v>
      </c>
      <c r="C244" s="183">
        <v>169507573.76647875</v>
      </c>
      <c r="D244" s="298">
        <v>500806450.76960957</v>
      </c>
      <c r="E244" s="183">
        <v>101093.90413687876</v>
      </c>
      <c r="F244" s="183">
        <v>51724.239357024344</v>
      </c>
      <c r="G244" s="298">
        <v>152818.1434939031</v>
      </c>
      <c r="H244" s="194">
        <v>0.66153077000907323</v>
      </c>
      <c r="I244" s="194">
        <v>0.33846922999092682</v>
      </c>
    </row>
    <row r="245" spans="1:9">
      <c r="A245" s="123">
        <v>43861</v>
      </c>
      <c r="B245" s="183">
        <v>347651417.06229508</v>
      </c>
      <c r="C245" s="183">
        <v>182181203.32657391</v>
      </c>
      <c r="D245" s="298">
        <v>529832620.38886899</v>
      </c>
      <c r="E245" s="183">
        <v>101907.22920233187</v>
      </c>
      <c r="F245" s="183">
        <v>53402.864859978567</v>
      </c>
      <c r="G245" s="298">
        <v>155310.09406231038</v>
      </c>
      <c r="H245" s="194">
        <v>0.656153290084588</v>
      </c>
      <c r="I245" s="194">
        <v>0.34384670991541205</v>
      </c>
    </row>
    <row r="246" spans="1:9">
      <c r="A246" s="123">
        <v>43890</v>
      </c>
      <c r="B246" s="183">
        <v>351954238.27672714</v>
      </c>
      <c r="C246" s="183">
        <v>183968380.6477994</v>
      </c>
      <c r="D246" s="298">
        <v>535922618.92452657</v>
      </c>
      <c r="E246" s="183">
        <v>100354.49081344102</v>
      </c>
      <c r="F246" s="183">
        <v>52455.834190487156</v>
      </c>
      <c r="G246" s="298">
        <v>152810.32500392818</v>
      </c>
      <c r="H246" s="194">
        <v>0.6567258515474087</v>
      </c>
      <c r="I246" s="194">
        <v>0.34327414845259119</v>
      </c>
    </row>
    <row r="247" spans="1:9">
      <c r="A247" s="123">
        <v>43921</v>
      </c>
      <c r="B247" s="183">
        <v>352285242.52351195</v>
      </c>
      <c r="C247" s="183">
        <v>215454737.74830422</v>
      </c>
      <c r="D247" s="298">
        <v>567739980.27181613</v>
      </c>
      <c r="E247" s="183">
        <v>86667.087151308908</v>
      </c>
      <c r="F247" s="183">
        <v>53004.872982575871</v>
      </c>
      <c r="G247" s="298">
        <v>139671.96013388477</v>
      </c>
      <c r="H247" s="194">
        <v>0.6205045527264943</v>
      </c>
      <c r="I247" s="194">
        <v>0.37949544727350581</v>
      </c>
    </row>
    <row r="248" spans="1:9">
      <c r="A248" s="123">
        <v>43951</v>
      </c>
      <c r="B248" s="183">
        <v>350469690.42497772</v>
      </c>
      <c r="C248" s="183">
        <v>217474511.48852992</v>
      </c>
      <c r="D248" s="298">
        <v>567944201.9135077</v>
      </c>
      <c r="E248" s="183">
        <v>87984.979859607949</v>
      </c>
      <c r="F248" s="183">
        <v>54596.705609817494</v>
      </c>
      <c r="G248" s="298">
        <v>142581.68546942546</v>
      </c>
      <c r="H248" s="194">
        <v>0.61708472283752758</v>
      </c>
      <c r="I248" s="194">
        <v>0.38291527716247226</v>
      </c>
    </row>
    <row r="249" spans="1:9">
      <c r="A249" s="123">
        <v>43982</v>
      </c>
      <c r="B249" s="183">
        <v>367452406.29928088</v>
      </c>
      <c r="C249" s="183">
        <v>208492467.44221625</v>
      </c>
      <c r="D249" s="298">
        <v>575944873.74149716</v>
      </c>
      <c r="E249" s="183">
        <v>98686.800387622367</v>
      </c>
      <c r="F249" s="183">
        <v>55994.883048975469</v>
      </c>
      <c r="G249" s="298">
        <v>154681.68343659784</v>
      </c>
      <c r="H249" s="194">
        <v>0.63799926529809781</v>
      </c>
      <c r="I249" s="194">
        <v>0.36200073470190214</v>
      </c>
    </row>
    <row r="250" spans="1:9">
      <c r="A250" s="123">
        <v>44012</v>
      </c>
      <c r="B250" s="183">
        <v>365373950.15393728</v>
      </c>
      <c r="C250" s="183">
        <v>219728818.91332716</v>
      </c>
      <c r="D250" s="298">
        <v>585102769.06726444</v>
      </c>
      <c r="E250" s="183">
        <v>97202.101181974911</v>
      </c>
      <c r="F250" s="183">
        <v>58455.461533616704</v>
      </c>
      <c r="G250" s="298">
        <v>155657.56271559163</v>
      </c>
      <c r="H250" s="194">
        <v>0.62446115361305576</v>
      </c>
      <c r="I250" s="194">
        <v>0.37553884638694429</v>
      </c>
    </row>
    <row r="251" spans="1:9">
      <c r="A251" s="123">
        <v>44043</v>
      </c>
      <c r="B251" s="183">
        <v>370931558.44213754</v>
      </c>
      <c r="C251" s="183">
        <v>225351143.67614859</v>
      </c>
      <c r="D251" s="298">
        <v>596282702.11828613</v>
      </c>
      <c r="E251" s="183">
        <v>99193.087410886932</v>
      </c>
      <c r="F251" s="183">
        <v>60262.534109236447</v>
      </c>
      <c r="G251" s="298">
        <v>159455.62152012339</v>
      </c>
      <c r="H251" s="194">
        <v>0.62207331711016978</v>
      </c>
      <c r="I251" s="194">
        <v>0.37792668288983017</v>
      </c>
    </row>
    <row r="252" spans="1:9">
      <c r="A252" s="123">
        <v>44074</v>
      </c>
      <c r="B252" s="183">
        <v>376384401.65238076</v>
      </c>
      <c r="C252" s="183">
        <v>228617387.38408232</v>
      </c>
      <c r="D252" s="298">
        <v>605001789.03646302</v>
      </c>
      <c r="E252" s="183">
        <v>100092.11878915981</v>
      </c>
      <c r="F252" s="183">
        <v>60796.352332498929</v>
      </c>
      <c r="G252" s="298">
        <v>160888.47112165875</v>
      </c>
      <c r="H252" s="194">
        <v>0.62212113827269422</v>
      </c>
      <c r="I252" s="194">
        <v>0.37787886172730595</v>
      </c>
    </row>
    <row r="253" spans="1:9">
      <c r="A253" s="123">
        <v>44104</v>
      </c>
      <c r="B253" s="183">
        <v>381096820.58145112</v>
      </c>
      <c r="C253" s="183">
        <v>234887113.19756538</v>
      </c>
      <c r="D253" s="298">
        <v>615983933.77901649</v>
      </c>
      <c r="E253" s="183">
        <v>98247.670905312043</v>
      </c>
      <c r="F253" s="183">
        <v>60554.459001058378</v>
      </c>
      <c r="G253" s="298">
        <v>158802.12990637042</v>
      </c>
      <c r="H253" s="194">
        <v>0.61867980588949767</v>
      </c>
      <c r="I253" s="194">
        <v>0.38132019411050233</v>
      </c>
    </row>
    <row r="254" spans="1:9">
      <c r="A254" s="123">
        <v>44135</v>
      </c>
      <c r="B254" s="183">
        <v>386180461.83327019</v>
      </c>
      <c r="C254" s="183">
        <v>233180526.37496686</v>
      </c>
      <c r="D254" s="298">
        <v>619360988.20823705</v>
      </c>
      <c r="E254" s="183">
        <v>100318.8601811832</v>
      </c>
      <c r="F254" s="183">
        <v>60573.765206393211</v>
      </c>
      <c r="G254" s="298">
        <v>160892.62538757641</v>
      </c>
      <c r="H254" s="194">
        <v>0.62351434653716264</v>
      </c>
      <c r="I254" s="194">
        <v>0.37648565346283741</v>
      </c>
    </row>
    <row r="255" spans="1:9">
      <c r="A255" s="123">
        <v>44165</v>
      </c>
      <c r="B255" s="183">
        <v>392091792.56163651</v>
      </c>
      <c r="C255" s="183">
        <v>218991935.67227784</v>
      </c>
      <c r="D255" s="298">
        <v>611083728.23391438</v>
      </c>
      <c r="E255" s="183">
        <v>108569.37746761306</v>
      </c>
      <c r="F255" s="183">
        <v>60638.397889007661</v>
      </c>
      <c r="G255" s="298">
        <v>169207.77535662072</v>
      </c>
      <c r="H255" s="194">
        <v>0.64163350199949887</v>
      </c>
      <c r="I255" s="194">
        <v>0.35836649800050113</v>
      </c>
    </row>
    <row r="256" spans="1:9">
      <c r="A256" s="123">
        <v>44196</v>
      </c>
      <c r="B256" s="183">
        <v>389845971.68554145</v>
      </c>
      <c r="C256" s="183">
        <v>229745919.54330418</v>
      </c>
      <c r="D256" s="298">
        <v>619591891.2288456</v>
      </c>
      <c r="E256" s="183">
        <v>113574.9371261592</v>
      </c>
      <c r="F256" s="183">
        <v>66932.533006060941</v>
      </c>
      <c r="G256" s="298">
        <v>180507.47013222013</v>
      </c>
      <c r="H256" s="194">
        <v>0.62919798855397269</v>
      </c>
      <c r="I256" s="194">
        <v>0.37080201144602742</v>
      </c>
    </row>
    <row r="257" spans="1:10">
      <c r="A257" s="123">
        <v>44227</v>
      </c>
      <c r="B257" s="183">
        <v>388592268.10109806</v>
      </c>
      <c r="C257" s="183">
        <v>243591292.94700378</v>
      </c>
      <c r="D257" s="298">
        <v>632183561.0481019</v>
      </c>
      <c r="E257" s="183">
        <v>109171.69123999092</v>
      </c>
      <c r="F257" s="183">
        <v>68434.901065612139</v>
      </c>
      <c r="G257" s="298">
        <v>177606.59230560306</v>
      </c>
      <c r="H257" s="194">
        <v>0.61468265238793618</v>
      </c>
      <c r="I257" s="194">
        <v>0.38531734761206371</v>
      </c>
    </row>
    <row r="258" spans="1:10">
      <c r="A258" s="123">
        <v>44255</v>
      </c>
      <c r="B258" s="183">
        <v>395169322.78702408</v>
      </c>
      <c r="C258" s="183">
        <v>245304678.19802618</v>
      </c>
      <c r="D258" s="298">
        <v>640474000.9850502</v>
      </c>
      <c r="E258" s="183">
        <v>110129.31801668902</v>
      </c>
      <c r="F258" s="183">
        <v>68363.69970654785</v>
      </c>
      <c r="G258" s="298">
        <v>178493.01772323687</v>
      </c>
      <c r="H258" s="194">
        <v>0.61699510390625212</v>
      </c>
      <c r="I258" s="194">
        <v>0.38300489609374794</v>
      </c>
    </row>
    <row r="259" spans="1:10">
      <c r="A259" s="123">
        <v>44286</v>
      </c>
      <c r="B259" s="183">
        <v>395354161.14001</v>
      </c>
      <c r="C259" s="183">
        <v>250140159.59358084</v>
      </c>
      <c r="D259" s="298">
        <v>645494320.73359084</v>
      </c>
      <c r="E259" s="183">
        <v>105797.07863984148</v>
      </c>
      <c r="F259" s="183">
        <v>66937.699755568334</v>
      </c>
      <c r="G259" s="298">
        <v>172734.77839540981</v>
      </c>
      <c r="H259" s="194">
        <v>0.61248278790539668</v>
      </c>
      <c r="I259" s="194">
        <v>0.38751721209460332</v>
      </c>
    </row>
    <row r="260" spans="1:10">
      <c r="A260" s="123">
        <v>44316</v>
      </c>
      <c r="B260" s="183">
        <v>403017911.96624804</v>
      </c>
      <c r="C260" s="183">
        <v>258482085.82434815</v>
      </c>
      <c r="D260" s="298">
        <v>661499997.79059625</v>
      </c>
      <c r="E260" s="183">
        <v>108545.61055303228</v>
      </c>
      <c r="F260" s="183">
        <v>69617.490909870248</v>
      </c>
      <c r="G260" s="298">
        <v>178163.10146290253</v>
      </c>
      <c r="H260" s="194">
        <v>0.60924854620154811</v>
      </c>
      <c r="I260" s="194">
        <v>0.39075145379845183</v>
      </c>
      <c r="J260" s="249"/>
    </row>
    <row r="261" spans="1:10">
      <c r="A261" s="123">
        <v>44347</v>
      </c>
      <c r="B261" s="183">
        <v>410119718.45473051</v>
      </c>
      <c r="C261" s="183">
        <v>258375728.10373014</v>
      </c>
      <c r="D261" s="298">
        <v>668495446.55846071</v>
      </c>
      <c r="E261" s="183">
        <v>110387.29744588039</v>
      </c>
      <c r="F261" s="183">
        <v>69544.079612769463</v>
      </c>
      <c r="G261" s="298">
        <v>179931.37705864984</v>
      </c>
      <c r="H261" s="194">
        <v>0.61349665217033766</v>
      </c>
      <c r="I261" s="194">
        <v>0.38650334782966228</v>
      </c>
    </row>
    <row r="262" spans="1:10">
      <c r="A262" s="123">
        <v>44377</v>
      </c>
      <c r="B262" s="183">
        <v>413470961.50356305</v>
      </c>
      <c r="C262" s="183">
        <v>262777531.42584035</v>
      </c>
      <c r="D262" s="298">
        <v>676248492.92940342</v>
      </c>
      <c r="E262" s="183">
        <v>110063.15739832433</v>
      </c>
      <c r="F262" s="183">
        <v>69949.591373700736</v>
      </c>
      <c r="G262" s="298">
        <v>180012.74877202505</v>
      </c>
      <c r="H262" s="194">
        <v>0.61141868089416518</v>
      </c>
      <c r="I262" s="194">
        <v>0.38858131910583477</v>
      </c>
    </row>
    <row r="263" spans="1:10">
      <c r="A263" s="123">
        <v>44408</v>
      </c>
      <c r="B263" s="183">
        <v>422013042.97502315</v>
      </c>
      <c r="C263" s="183">
        <v>268563420.63419247</v>
      </c>
      <c r="D263" s="298">
        <v>690576463.60921562</v>
      </c>
      <c r="E263" s="183">
        <v>109986.58908117728</v>
      </c>
      <c r="F263" s="183">
        <v>69993.984970925463</v>
      </c>
      <c r="G263" s="298">
        <v>179980.57405210275</v>
      </c>
      <c r="H263" s="194">
        <v>0.61110255737564856</v>
      </c>
      <c r="I263" s="194">
        <v>0.38889744262435144</v>
      </c>
    </row>
    <row r="264" spans="1:10">
      <c r="A264" s="123">
        <v>44439</v>
      </c>
      <c r="B264" s="183">
        <v>415886465.23872101</v>
      </c>
      <c r="C264" s="183">
        <v>265529619.1486201</v>
      </c>
      <c r="D264" s="298">
        <v>681416084.38734066</v>
      </c>
      <c r="E264" s="183">
        <v>109246.30082947949</v>
      </c>
      <c r="F264" s="183">
        <v>69750.114700165781</v>
      </c>
      <c r="G264" s="298">
        <v>178996.41552964528</v>
      </c>
      <c r="H264" s="194">
        <v>0.61032675155098948</v>
      </c>
      <c r="I264" s="194">
        <v>0.38967324844901047</v>
      </c>
    </row>
    <row r="265" spans="1:10">
      <c r="A265" s="123">
        <v>44469</v>
      </c>
      <c r="B265" s="183">
        <v>427554297.34803301</v>
      </c>
      <c r="C265" s="183">
        <v>267862234.31793031</v>
      </c>
      <c r="D265" s="298">
        <v>695416531.66596293</v>
      </c>
      <c r="E265" s="183">
        <v>111496.73436845645</v>
      </c>
      <c r="F265" s="183">
        <v>69852.565094852849</v>
      </c>
      <c r="G265" s="298">
        <v>181349.29946330929</v>
      </c>
      <c r="H265" s="194">
        <v>0.61481756311396474</v>
      </c>
      <c r="I265" s="194">
        <v>0.38518243688603526</v>
      </c>
    </row>
    <row r="266" spans="1:10">
      <c r="A266" s="123">
        <v>44500</v>
      </c>
      <c r="B266" s="183">
        <v>426842206.87081403</v>
      </c>
      <c r="C266" s="183">
        <v>268726974.82190108</v>
      </c>
      <c r="D266" s="298">
        <v>695569181.69271553</v>
      </c>
      <c r="E266" s="183">
        <v>113337.9907253696</v>
      </c>
      <c r="F266" s="183">
        <v>71354.179342529693</v>
      </c>
      <c r="G266" s="298">
        <v>184692.17006789928</v>
      </c>
      <c r="H266" s="194">
        <v>0.6136588826895184</v>
      </c>
      <c r="I266" s="194">
        <v>0.3863411173104816</v>
      </c>
    </row>
    <row r="267" spans="1:10">
      <c r="A267" s="123">
        <v>44530</v>
      </c>
      <c r="B267" s="183">
        <v>433553899.9596113</v>
      </c>
      <c r="C267" s="183">
        <v>287923158.82022101</v>
      </c>
      <c r="D267" s="298">
        <v>721477058.77983189</v>
      </c>
      <c r="E267" s="183">
        <v>108091.76310019279</v>
      </c>
      <c r="F267" s="183">
        <v>71783.743329615332</v>
      </c>
      <c r="G267" s="298">
        <v>178436.36698497267</v>
      </c>
      <c r="H267" s="194">
        <v>0.6009254136130695</v>
      </c>
      <c r="I267" s="194">
        <v>0.39907458638693</v>
      </c>
    </row>
    <row r="268" spans="1:10">
      <c r="A268" s="123">
        <v>44561</v>
      </c>
      <c r="B268" s="183">
        <v>431911976.93860102</v>
      </c>
      <c r="C268" s="183">
        <v>292406808.27735585</v>
      </c>
      <c r="D268" s="298">
        <v>724318785.21595645</v>
      </c>
      <c r="E268" s="183">
        <v>108488.97731781706</v>
      </c>
      <c r="F268" s="183">
        <v>73447.640455886183</v>
      </c>
      <c r="G268" s="298">
        <v>181936.61777370324</v>
      </c>
      <c r="H268" s="194">
        <v>0.59630094615014784</v>
      </c>
      <c r="I268" s="194">
        <v>0.40369905384985211</v>
      </c>
    </row>
    <row r="269" spans="1:10">
      <c r="A269" s="123">
        <v>44592</v>
      </c>
      <c r="B269" s="183">
        <v>440175508.74623466</v>
      </c>
      <c r="C269" s="183">
        <v>291162922.51927221</v>
      </c>
      <c r="D269" s="298">
        <v>731338431.26550686</v>
      </c>
      <c r="E269" s="183">
        <v>110524.65945518874</v>
      </c>
      <c r="F269" s="183">
        <v>73108.753708449804</v>
      </c>
      <c r="G269" s="298">
        <v>183633.41316363856</v>
      </c>
      <c r="H269" s="194">
        <v>0.60187662773930206</v>
      </c>
      <c r="I269" s="194">
        <v>0.39812337226069788</v>
      </c>
    </row>
    <row r="270" spans="1:10">
      <c r="A270" s="123">
        <v>44620</v>
      </c>
      <c r="B270" s="183">
        <v>448526863.43583083</v>
      </c>
      <c r="C270" s="183">
        <v>286686755.37254226</v>
      </c>
      <c r="D270" s="298">
        <v>735213618.80837309</v>
      </c>
      <c r="E270" s="183">
        <v>114693.97935781121</v>
      </c>
      <c r="F270" s="183">
        <v>73309.421315319807</v>
      </c>
      <c r="G270" s="298">
        <v>188003.40067313102</v>
      </c>
      <c r="H270" s="194">
        <v>0.61006332304181021</v>
      </c>
      <c r="I270" s="194">
        <v>0.38993667695818979</v>
      </c>
    </row>
    <row r="271" spans="1:10">
      <c r="A271" s="123">
        <v>44651</v>
      </c>
      <c r="B271" s="183">
        <v>453346850.54077697</v>
      </c>
      <c r="C271" s="183">
        <v>274339150.04320383</v>
      </c>
      <c r="D271" s="298">
        <v>727686000.5839808</v>
      </c>
      <c r="E271" s="183">
        <v>120952.16321139148</v>
      </c>
      <c r="F271" s="183">
        <v>73193.215331084357</v>
      </c>
      <c r="G271" s="298">
        <v>194145.37854247584</v>
      </c>
      <c r="H271" s="194">
        <v>0.62299790043639447</v>
      </c>
      <c r="I271" s="194">
        <v>0.37700209956360553</v>
      </c>
    </row>
    <row r="272" spans="1:10">
      <c r="A272" s="123">
        <v>44681</v>
      </c>
      <c r="B272" s="183">
        <v>459674204.29042268</v>
      </c>
      <c r="C272" s="183">
        <v>287640476.37953138</v>
      </c>
      <c r="D272" s="298">
        <v>747314680.66995406</v>
      </c>
      <c r="E272" s="183">
        <v>115895.84276673617</v>
      </c>
      <c r="F272" s="183">
        <v>72521.657975763475</v>
      </c>
      <c r="G272" s="298">
        <v>188417.50074249966</v>
      </c>
      <c r="H272" s="194">
        <v>0.61510126347087557</v>
      </c>
      <c r="I272" s="194">
        <v>0.38489873652912437</v>
      </c>
    </row>
    <row r="273" spans="1:9">
      <c r="A273" s="123">
        <v>44712</v>
      </c>
      <c r="B273" s="183">
        <v>466798478.74760485</v>
      </c>
      <c r="C273" s="183">
        <v>286605667.35830963</v>
      </c>
      <c r="D273" s="298">
        <v>753404146.10591447</v>
      </c>
      <c r="E273" s="183">
        <v>119314.39464555863</v>
      </c>
      <c r="F273" s="183">
        <v>73256.840499115526</v>
      </c>
      <c r="G273" s="298">
        <v>192571.23514467414</v>
      </c>
      <c r="H273" s="194">
        <v>0.61958575773749691</v>
      </c>
      <c r="I273" s="194">
        <v>0.38041424226250314</v>
      </c>
    </row>
    <row r="274" spans="1:9">
      <c r="A274" s="123">
        <v>44742</v>
      </c>
      <c r="B274" s="183">
        <v>461856533.52132499</v>
      </c>
      <c r="C274" s="183">
        <v>302011059.22085047</v>
      </c>
      <c r="D274" s="298">
        <v>763867592.74217546</v>
      </c>
      <c r="E274" s="183">
        <v>111898.21695162532</v>
      </c>
      <c r="F274" s="183">
        <v>73170.988334464084</v>
      </c>
      <c r="G274" s="298">
        <v>185069.20528608939</v>
      </c>
      <c r="H274" s="194">
        <v>0.60462904554351637</v>
      </c>
      <c r="I274" s="194">
        <v>0.39537095445648368</v>
      </c>
    </row>
    <row r="275" spans="1:9">
      <c r="A275" s="123">
        <v>44773</v>
      </c>
      <c r="B275" s="183">
        <v>474058189.90676332</v>
      </c>
      <c r="C275" s="183">
        <v>315095026.24864733</v>
      </c>
      <c r="D275" s="298">
        <v>789153216.15541065</v>
      </c>
      <c r="E275" s="183">
        <v>110238.39962485485</v>
      </c>
      <c r="F275" s="183">
        <v>73272.801025195295</v>
      </c>
      <c r="G275" s="298">
        <v>183511.20065005013</v>
      </c>
      <c r="H275" s="194">
        <v>0.6007175542111779</v>
      </c>
      <c r="I275" s="194">
        <v>0.39928244578882205</v>
      </c>
    </row>
    <row r="276" spans="1:9">
      <c r="A276" s="123">
        <v>44804</v>
      </c>
      <c r="B276" s="183">
        <v>481587686.70462078</v>
      </c>
      <c r="C276" s="183">
        <v>323383804.6962167</v>
      </c>
      <c r="D276" s="298">
        <v>804971491.40083742</v>
      </c>
      <c r="E276" s="183">
        <v>109447.76705952075</v>
      </c>
      <c r="F276" s="183">
        <v>73493.646752894609</v>
      </c>
      <c r="G276" s="298">
        <v>182941.41381241533</v>
      </c>
      <c r="H276" s="194">
        <v>0.59826676080980989</v>
      </c>
      <c r="I276" s="194">
        <v>0.40173323919019016</v>
      </c>
    </row>
    <row r="277" spans="1:9">
      <c r="A277" s="123">
        <v>44834</v>
      </c>
      <c r="B277" s="183">
        <v>488647776.67771971</v>
      </c>
      <c r="C277" s="183">
        <v>332477514.83813965</v>
      </c>
      <c r="D277" s="298">
        <v>821125291.51585937</v>
      </c>
      <c r="E277" s="183">
        <v>107819.99763413181</v>
      </c>
      <c r="F277" s="183">
        <v>73361.07227782</v>
      </c>
      <c r="G277" s="298">
        <v>181181.06991195181</v>
      </c>
      <c r="H277" s="194">
        <v>0.59509526953632008</v>
      </c>
      <c r="I277" s="194">
        <v>0.40490473046367992</v>
      </c>
    </row>
    <row r="278" spans="1:9">
      <c r="A278" s="123">
        <v>44865</v>
      </c>
      <c r="B278" s="183">
        <v>495855480.24192357</v>
      </c>
      <c r="C278" s="183">
        <v>353038059.90845466</v>
      </c>
      <c r="D278" s="298">
        <v>848893540.15037823</v>
      </c>
      <c r="E278" s="183">
        <v>102886.96155178912</v>
      </c>
      <c r="F278" s="183">
        <v>73253.225472869075</v>
      </c>
      <c r="G278" s="298">
        <v>176140.1870246582</v>
      </c>
      <c r="H278" s="194">
        <v>0.58411974739975603</v>
      </c>
      <c r="I278" s="194">
        <v>0.41588025260024397</v>
      </c>
    </row>
    <row r="279" spans="1:9">
      <c r="A279" s="123">
        <v>44895</v>
      </c>
      <c r="B279" s="183">
        <v>497659565.62253475</v>
      </c>
      <c r="C279" s="183">
        <v>355095948.26274663</v>
      </c>
      <c r="D279" s="298">
        <v>852755513.88528132</v>
      </c>
      <c r="E279" s="183">
        <v>103474.06817379208</v>
      </c>
      <c r="F279" s="183">
        <v>73832.042819901952</v>
      </c>
      <c r="G279" s="298">
        <v>177306.11099369402</v>
      </c>
      <c r="H279" s="194">
        <v>0.583589971004847</v>
      </c>
      <c r="I279" s="194">
        <v>0.41641002899515306</v>
      </c>
    </row>
    <row r="280" spans="1:9">
      <c r="A280" s="123">
        <v>44926</v>
      </c>
      <c r="B280" s="183">
        <v>507274402.14266479</v>
      </c>
      <c r="C280" s="183">
        <v>365470273.52265549</v>
      </c>
      <c r="D280" s="298">
        <v>872744675.66532028</v>
      </c>
      <c r="E280" s="183">
        <v>105458.06871703148</v>
      </c>
      <c r="F280" s="183">
        <v>75978.186670544994</v>
      </c>
      <c r="G280" s="298">
        <v>181436.25538757647</v>
      </c>
      <c r="H280" s="194">
        <v>0.58124032868599718</v>
      </c>
      <c r="I280" s="194">
        <v>0.41875967131400277</v>
      </c>
    </row>
    <row r="281" spans="1:9">
      <c r="A281" s="123">
        <v>44957</v>
      </c>
      <c r="B281" s="183">
        <v>513946359.97277296</v>
      </c>
      <c r="C281" s="183">
        <v>353018742.60555553</v>
      </c>
      <c r="D281" s="298">
        <v>866965102.57832849</v>
      </c>
      <c r="E281" s="183">
        <v>110950.81386226263</v>
      </c>
      <c r="F281" s="183">
        <v>76209.736756952538</v>
      </c>
      <c r="G281" s="298">
        <v>187160.55061921518</v>
      </c>
      <c r="H281" s="194">
        <v>0.59281089682192711</v>
      </c>
      <c r="I281" s="194">
        <v>0.40718910317807289</v>
      </c>
    </row>
    <row r="282" spans="1:9">
      <c r="A282" s="123">
        <v>44985</v>
      </c>
      <c r="B282" s="183">
        <v>509550491.8739261</v>
      </c>
      <c r="C282" s="183">
        <v>373852531.2773602</v>
      </c>
      <c r="D282" s="298">
        <v>883403023.15128636</v>
      </c>
      <c r="E282" s="183">
        <v>105976.63376564036</v>
      </c>
      <c r="F282" s="183">
        <v>77754.08604519839</v>
      </c>
      <c r="G282" s="298">
        <v>183730.71981083875</v>
      </c>
      <c r="H282" s="194">
        <v>0.57680410698194262</v>
      </c>
      <c r="I282" s="194">
        <v>0.42319589301805732</v>
      </c>
    </row>
    <row r="283" spans="1:9">
      <c r="A283" s="123">
        <v>45016</v>
      </c>
      <c r="B283" s="183">
        <v>521861539.49655038</v>
      </c>
      <c r="C283" s="183">
        <v>356328664.45581001</v>
      </c>
      <c r="D283" s="298">
        <v>878190203.95236039</v>
      </c>
      <c r="E283" s="183">
        <v>112779.5740245437</v>
      </c>
      <c r="F283" s="183">
        <v>77006.240062890211</v>
      </c>
      <c r="G283" s="298">
        <v>189785.81408743392</v>
      </c>
      <c r="H283" s="194">
        <v>0.59424659617913489</v>
      </c>
      <c r="I283" s="194">
        <v>0.40575340382086517</v>
      </c>
    </row>
    <row r="284" spans="1:9">
      <c r="A284" s="123">
        <v>45046</v>
      </c>
      <c r="B284" s="183">
        <v>531976745.40691918</v>
      </c>
      <c r="C284" s="183">
        <v>359125228.88659579</v>
      </c>
      <c r="D284" s="298">
        <v>891101974.29351497</v>
      </c>
      <c r="E284" s="183">
        <v>113938.04784898675</v>
      </c>
      <c r="F284" s="183">
        <v>76916.947716126742</v>
      </c>
      <c r="G284" s="298">
        <v>190854.9955651135</v>
      </c>
      <c r="H284" s="194">
        <v>0.59698750620396945</v>
      </c>
      <c r="I284" s="194">
        <v>0.40301249379603055</v>
      </c>
    </row>
    <row r="285" spans="1:9">
      <c r="A285" s="123">
        <v>45077</v>
      </c>
      <c r="B285" s="183">
        <v>538927392.14540863</v>
      </c>
      <c r="C285" s="183">
        <v>337385404.89654762</v>
      </c>
      <c r="D285" s="298">
        <v>876312797.04195619</v>
      </c>
      <c r="E285" s="183">
        <v>122243.17923750097</v>
      </c>
      <c r="F285" s="183">
        <v>76528.053915948796</v>
      </c>
      <c r="G285" s="298">
        <v>198771.23315344975</v>
      </c>
      <c r="H285" s="194">
        <v>0.61499431933961113</v>
      </c>
      <c r="I285" s="194">
        <v>0.38500568066038893</v>
      </c>
    </row>
    <row r="286" spans="1:9">
      <c r="A286" s="123">
        <v>45107</v>
      </c>
      <c r="B286" s="183">
        <v>541204033.16541708</v>
      </c>
      <c r="C286" s="183">
        <v>321268837.82510805</v>
      </c>
      <c r="D286" s="298">
        <v>862472870.99052513</v>
      </c>
      <c r="E286" s="183">
        <v>129126.19370822687</v>
      </c>
      <c r="F286" s="183">
        <v>76651.724013930841</v>
      </c>
      <c r="G286" s="298">
        <v>205777.91772215773</v>
      </c>
      <c r="H286" s="194">
        <v>0.62750267442483132</v>
      </c>
      <c r="I286" s="194">
        <v>0.37249732557516863</v>
      </c>
    </row>
    <row r="287" spans="1:9">
      <c r="A287" s="123">
        <v>45138</v>
      </c>
      <c r="B287" s="183">
        <v>546003327.01656282</v>
      </c>
      <c r="C287" s="183">
        <v>301673923.92289931</v>
      </c>
      <c r="D287" s="298">
        <v>847677250.93946218</v>
      </c>
      <c r="E287" s="183">
        <v>139162.66564119264</v>
      </c>
      <c r="F287" s="183">
        <v>76889.178747212136</v>
      </c>
      <c r="G287" s="298">
        <v>216051.84438840477</v>
      </c>
      <c r="H287" s="194">
        <v>0.64411699902461605</v>
      </c>
      <c r="I287" s="194">
        <v>0.35588300097538383</v>
      </c>
    </row>
    <row r="288" spans="1:9">
      <c r="A288" s="123">
        <v>45169</v>
      </c>
      <c r="B288" s="183">
        <v>552383203.63442993</v>
      </c>
      <c r="C288" s="183">
        <v>312827193.05105203</v>
      </c>
      <c r="D288" s="298">
        <v>865210396.68548203</v>
      </c>
      <c r="E288" s="183">
        <v>135211.40364044765</v>
      </c>
      <c r="F288" s="183">
        <v>76573.298375174592</v>
      </c>
      <c r="G288" s="298">
        <v>211784.70201562226</v>
      </c>
      <c r="H288" s="194">
        <v>0.63843800970324005</v>
      </c>
      <c r="I288" s="194">
        <v>0.36156199029675989</v>
      </c>
    </row>
    <row r="289" spans="1:9">
      <c r="A289" s="123">
        <v>45199</v>
      </c>
      <c r="B289" s="183">
        <v>549730139.95509291</v>
      </c>
      <c r="C289" s="183">
        <v>312338043.02851456</v>
      </c>
      <c r="D289" s="298">
        <v>862068182.98360753</v>
      </c>
      <c r="E289" s="183">
        <v>135609.9374297178</v>
      </c>
      <c r="F289" s="183">
        <v>77048.972565843695</v>
      </c>
      <c r="G289" s="298">
        <v>212658.90999556152</v>
      </c>
      <c r="H289" s="194">
        <v>0.63768754120176852</v>
      </c>
      <c r="I289" s="194">
        <v>0.36231245879823148</v>
      </c>
    </row>
    <row r="290" spans="1:9">
      <c r="A290" s="123">
        <v>45230</v>
      </c>
      <c r="B290" s="183">
        <v>562865139.26452851</v>
      </c>
      <c r="C290" s="183">
        <v>309430485.88152635</v>
      </c>
      <c r="D290" s="298">
        <v>872295625.14605486</v>
      </c>
      <c r="E290" s="183">
        <v>138608.39760948587</v>
      </c>
      <c r="F290" s="183">
        <v>76198.827796663827</v>
      </c>
      <c r="G290" s="298">
        <v>214807.22540614969</v>
      </c>
      <c r="H290" s="194">
        <v>0.64526878622173978</v>
      </c>
      <c r="I290" s="194">
        <v>0.35473121377826022</v>
      </c>
    </row>
    <row r="291" spans="1:9">
      <c r="A291" s="123">
        <v>45260</v>
      </c>
      <c r="B291" s="183">
        <v>566145930.1444118</v>
      </c>
      <c r="C291" s="183">
        <v>315853047.89682388</v>
      </c>
      <c r="D291" s="298">
        <v>881998978.04123569</v>
      </c>
      <c r="E291" s="183">
        <v>142223.77894786853</v>
      </c>
      <c r="F291" s="183">
        <v>79346.70492575971</v>
      </c>
      <c r="G291" s="298">
        <v>221570.48387362823</v>
      </c>
      <c r="H291" s="194">
        <v>0.64188955343431597</v>
      </c>
      <c r="I291" s="194">
        <v>0.35811044656568408</v>
      </c>
    </row>
    <row r="292" spans="1:9">
      <c r="A292" s="123">
        <v>45291</v>
      </c>
      <c r="B292" s="183">
        <v>558650607.41749644</v>
      </c>
      <c r="C292" s="183">
        <v>306707695.71847492</v>
      </c>
      <c r="D292" s="298">
        <v>865358303.13597131</v>
      </c>
      <c r="E292" s="183">
        <v>146341.78184939924</v>
      </c>
      <c r="F292" s="183">
        <v>80246.908260874377</v>
      </c>
      <c r="G292" s="298">
        <v>226412.08334165468</v>
      </c>
      <c r="H292" s="194">
        <v>0.64584768894766664</v>
      </c>
      <c r="I292" s="194">
        <v>0.35442855821339803</v>
      </c>
    </row>
    <row r="293" spans="1:9">
      <c r="A293" s="123">
        <v>45322</v>
      </c>
      <c r="B293" s="183">
        <v>563415269.835742</v>
      </c>
      <c r="C293" s="183">
        <v>314575667.39401472</v>
      </c>
      <c r="D293" s="298">
        <v>877971326.7847569</v>
      </c>
      <c r="E293" s="183">
        <v>143518.3562743892</v>
      </c>
      <c r="F293" s="183">
        <v>80134.417004792835</v>
      </c>
      <c r="G293" s="298">
        <v>223652.773279182</v>
      </c>
      <c r="H293" s="194">
        <v>0.64170166177746257</v>
      </c>
      <c r="I293" s="194">
        <v>0.35829833822253737</v>
      </c>
    </row>
    <row r="294" spans="1:9">
      <c r="A294" s="123">
        <v>45350</v>
      </c>
      <c r="B294" s="183">
        <v>577611443.33286178</v>
      </c>
      <c r="C294" s="183">
        <v>314755135.65642297</v>
      </c>
      <c r="D294" s="298">
        <v>892366578.98928475</v>
      </c>
      <c r="E294" s="183">
        <v>146841.90487315861</v>
      </c>
      <c r="F294" s="183">
        <v>80017.880916122536</v>
      </c>
      <c r="G294" s="298">
        <v>226859.78578928116</v>
      </c>
      <c r="H294" s="194">
        <v>0.64728045282363444</v>
      </c>
      <c r="I294" s="194">
        <v>0.35271954717636556</v>
      </c>
    </row>
    <row r="295" spans="1:9">
      <c r="A295" s="123">
        <v>45382</v>
      </c>
      <c r="B295" s="183">
        <v>580752455.69863665</v>
      </c>
      <c r="C295" s="183">
        <v>306729066.39501399</v>
      </c>
      <c r="D295" s="298">
        <v>887481522.09365058</v>
      </c>
      <c r="E295" s="183">
        <v>151147.08786368492</v>
      </c>
      <c r="F295" s="183">
        <v>79829.546468264831</v>
      </c>
      <c r="G295" s="298">
        <v>230976.63433194975</v>
      </c>
      <c r="H295" s="194">
        <v>0.6543825885282526</v>
      </c>
      <c r="I295" s="194">
        <v>0.34561741147174746</v>
      </c>
    </row>
    <row r="296" spans="1:9">
      <c r="A296" s="123">
        <v>45412</v>
      </c>
      <c r="B296" s="183">
        <v>594626557.41270292</v>
      </c>
      <c r="C296" s="183">
        <v>313571353.82684374</v>
      </c>
      <c r="D296" s="298">
        <v>908197911.23954666</v>
      </c>
      <c r="E296" s="183">
        <v>153513.81647812878</v>
      </c>
      <c r="F296" s="183">
        <v>80954.23028804014</v>
      </c>
      <c r="G296" s="298">
        <v>234468.04676616893</v>
      </c>
      <c r="H296" s="194">
        <v>0.6547323551990244</v>
      </c>
      <c r="I296" s="194">
        <v>0.34526764480097555</v>
      </c>
    </row>
    <row r="297" spans="1:9">
      <c r="A297" s="123">
        <v>45443</v>
      </c>
      <c r="B297" s="183">
        <v>603935972.80373967</v>
      </c>
      <c r="C297" s="183">
        <v>309472104.12425333</v>
      </c>
      <c r="D297" s="298">
        <v>913408076.92799306</v>
      </c>
      <c r="E297" s="183">
        <v>155881.79933607436</v>
      </c>
      <c r="F297" s="183">
        <v>79877.786069362701</v>
      </c>
      <c r="G297" s="298">
        <v>235759.5854054371</v>
      </c>
      <c r="H297" s="194">
        <v>0.6611896566920219</v>
      </c>
      <c r="I297" s="194">
        <v>0.33881034330797805</v>
      </c>
    </row>
    <row r="298" spans="1:9">
      <c r="A298" s="123">
        <v>45473</v>
      </c>
      <c r="B298" s="183">
        <v>617766092.97960186</v>
      </c>
      <c r="C298" s="183">
        <v>330250843.96358514</v>
      </c>
      <c r="D298" s="298">
        <v>948016936.943187</v>
      </c>
      <c r="E298" s="183">
        <v>148929.63736598534</v>
      </c>
      <c r="F298" s="183">
        <v>79616.118447166649</v>
      </c>
      <c r="G298" s="298">
        <v>228545.75581315201</v>
      </c>
      <c r="H298" s="194">
        <v>0.65164035462440639</v>
      </c>
      <c r="I298" s="194">
        <v>0.34835964537559366</v>
      </c>
    </row>
    <row r="299" spans="1:9">
      <c r="A299" s="123">
        <v>45504</v>
      </c>
      <c r="B299" s="183">
        <v>618422117.49456656</v>
      </c>
      <c r="C299" s="183">
        <v>328918001.80090624</v>
      </c>
      <c r="D299" s="298">
        <v>947340119.29547286</v>
      </c>
      <c r="E299" s="183">
        <v>151238.58047579916</v>
      </c>
      <c r="F299" s="183">
        <v>80438.733153399007</v>
      </c>
      <c r="G299" s="298">
        <v>231677.31362919818</v>
      </c>
      <c r="H299" s="194">
        <v>0.65279840354959395</v>
      </c>
      <c r="I299" s="194">
        <v>0.34720159645040599</v>
      </c>
    </row>
    <row r="300" spans="1:9">
      <c r="A300" s="123">
        <v>45535</v>
      </c>
      <c r="B300" s="183">
        <v>627611433.96686423</v>
      </c>
      <c r="C300" s="183">
        <v>332431916.97267979</v>
      </c>
      <c r="D300" s="298">
        <v>960043350.93954396</v>
      </c>
      <c r="E300" s="183">
        <v>150856.8914256063</v>
      </c>
      <c r="F300" s="183">
        <v>79905.564001884413</v>
      </c>
      <c r="G300" s="298">
        <v>230762.4554274907</v>
      </c>
      <c r="H300" s="194">
        <v>0.65373238963912816</v>
      </c>
      <c r="I300" s="194">
        <v>0.34626761036087189</v>
      </c>
    </row>
    <row r="301" spans="1:9">
      <c r="A301" s="123">
        <v>45565</v>
      </c>
      <c r="B301" s="183">
        <v>636900884.74720132</v>
      </c>
      <c r="C301" s="183">
        <v>332953444.97665441</v>
      </c>
      <c r="D301" s="298">
        <v>969854329.72385573</v>
      </c>
      <c r="E301" s="183">
        <v>152946.38953059557</v>
      </c>
      <c r="F301" s="183">
        <v>79955.968833621358</v>
      </c>
      <c r="G301" s="298">
        <v>232902.35836421693</v>
      </c>
      <c r="H301" s="194">
        <v>0.65669747015363078</v>
      </c>
      <c r="I301" s="194">
        <v>0.34330252984636922</v>
      </c>
    </row>
    <row r="302" spans="1:9">
      <c r="A302" s="123">
        <v>45596</v>
      </c>
      <c r="B302" s="183">
        <v>640730085.60966134</v>
      </c>
      <c r="C302" s="183">
        <v>351153005.78934771</v>
      </c>
      <c r="D302" s="298">
        <v>991883091.39900899</v>
      </c>
      <c r="E302" s="183">
        <v>145176.36629983308</v>
      </c>
      <c r="F302" s="183">
        <v>79564.107477885307</v>
      </c>
      <c r="G302" s="298">
        <v>224740.47377771838</v>
      </c>
      <c r="H302" s="194">
        <v>0.64597339259603548</v>
      </c>
      <c r="I302" s="194">
        <v>0.35402660740396463</v>
      </c>
    </row>
    <row r="303" spans="1:9">
      <c r="A303" s="123">
        <v>45626</v>
      </c>
      <c r="B303" s="183">
        <v>649870608.27720511</v>
      </c>
      <c r="C303" s="183">
        <v>363087345.52202702</v>
      </c>
      <c r="D303" s="298">
        <v>1012957953.7992321</v>
      </c>
      <c r="E303" s="183">
        <v>147043.18913682154</v>
      </c>
      <c r="F303" s="183">
        <v>82154.0788901294</v>
      </c>
      <c r="G303" s="298">
        <v>229197.26802695094</v>
      </c>
      <c r="H303" s="194">
        <v>0.64155733793271463</v>
      </c>
      <c r="I303" s="194">
        <v>0.35844266206728537</v>
      </c>
    </row>
    <row r="304" spans="1:9">
      <c r="A304" s="123">
        <v>45657</v>
      </c>
      <c r="B304" s="183">
        <v>661813894.79990053</v>
      </c>
      <c r="C304" s="183">
        <v>360208169.17949432</v>
      </c>
      <c r="D304" s="298">
        <v>1022022063.9793949</v>
      </c>
      <c r="E304" s="183">
        <v>150100.10881913762</v>
      </c>
      <c r="F304" s="183">
        <v>81695.603274892972</v>
      </c>
      <c r="G304" s="298">
        <v>231795.7120940306</v>
      </c>
      <c r="H304" s="194">
        <v>0.64755343169699264</v>
      </c>
      <c r="I304" s="194">
        <v>0.3524465683030073</v>
      </c>
    </row>
    <row r="305" spans="1:1">
      <c r="A305" s="325"/>
    </row>
  </sheetData>
  <phoneticPr fontId="0" type="noConversion"/>
  <pageMargins left="0.23622047244094491" right="0.23622047244094491" top="0.74803149606299213" bottom="0.74803149606299213" header="0.31496062992125984" footer="0.31496062992125984"/>
  <pageSetup fitToHeight="99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Drop Down 2">
              <controlPr defaultSize="0" print="0" autoLine="0" autoPict="0">
                <anchor>
                  <from>
                    <xdr:col>0</xdr:col>
                    <xdr:colOff>447675</xdr:colOff>
                    <xdr:row>1</xdr:row>
                    <xdr:rowOff>219075</xdr:rowOff>
                  </from>
                  <to>
                    <xdr:col>1</xdr:col>
                    <xdr:colOff>1838325</xdr:colOff>
                    <xdr:row>2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83B8-6FB0-446E-8B15-2C26447A1BA5}">
  <sheetPr codeName="Hoja20">
    <tabColor theme="1" tint="4.9989318521683403E-2"/>
  </sheetPr>
  <dimension ref="A7:BC72"/>
  <sheetViews>
    <sheetView zoomScale="110" zoomScaleNormal="110" workbookViewId="0"/>
  </sheetViews>
  <sheetFormatPr baseColWidth="10" defaultColWidth="11.42578125" defaultRowHeight="12.75"/>
  <cols>
    <col min="1" max="1" width="16.28515625" style="3" bestFit="1" customWidth="1"/>
    <col min="2" max="2" width="15.42578125" style="3" bestFit="1" customWidth="1"/>
    <col min="3" max="3" width="14" style="3" bestFit="1" customWidth="1"/>
    <col min="4" max="7" width="11.42578125" style="3" bestFit="1" customWidth="1"/>
    <col min="8" max="13" width="13.7109375" style="3" bestFit="1" customWidth="1"/>
    <col min="14" max="17" width="12.7109375" style="3" bestFit="1" customWidth="1"/>
    <col min="18" max="18" width="13.7109375" style="3" bestFit="1" customWidth="1"/>
    <col min="19" max="22" width="12.7109375" style="3" bestFit="1" customWidth="1"/>
    <col min="23" max="23" width="11.42578125" style="3" bestFit="1" customWidth="1"/>
    <col min="24" max="25" width="12.28515625" style="3" bestFit="1" customWidth="1"/>
    <col min="26" max="36" width="11.42578125" style="3" bestFit="1" customWidth="1"/>
    <col min="37" max="42" width="11.42578125" style="3"/>
    <col min="43" max="43" width="12.28515625" style="3" bestFit="1" customWidth="1"/>
    <col min="44" max="16384" width="11.42578125" style="3"/>
  </cols>
  <sheetData>
    <row r="7" spans="2:55">
      <c r="B7" s="3" t="s">
        <v>60</v>
      </c>
    </row>
    <row r="8" spans="2:55">
      <c r="B8" s="3">
        <f>MAX(C9:BC9)</f>
        <v>756</v>
      </c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  <c r="J8" s="3">
        <v>8</v>
      </c>
      <c r="K8" s="3">
        <v>9</v>
      </c>
      <c r="L8" s="3">
        <v>10</v>
      </c>
      <c r="M8" s="3">
        <v>11</v>
      </c>
      <c r="N8" s="3">
        <v>12</v>
      </c>
      <c r="O8" s="3">
        <v>13</v>
      </c>
      <c r="P8" s="3">
        <v>14</v>
      </c>
      <c r="Q8" s="3">
        <v>15</v>
      </c>
      <c r="R8" s="3">
        <v>16</v>
      </c>
      <c r="S8" s="3">
        <v>17</v>
      </c>
      <c r="T8" s="3">
        <v>18</v>
      </c>
      <c r="U8" s="3">
        <v>19</v>
      </c>
      <c r="V8" s="3">
        <v>20</v>
      </c>
      <c r="W8" s="3">
        <v>21</v>
      </c>
      <c r="X8" s="3">
        <v>22</v>
      </c>
      <c r="Y8" s="3">
        <v>23</v>
      </c>
      <c r="Z8" s="3">
        <v>24</v>
      </c>
      <c r="AA8" s="3">
        <v>25</v>
      </c>
      <c r="AB8" s="3">
        <v>26</v>
      </c>
      <c r="AC8" s="3">
        <v>27</v>
      </c>
      <c r="AD8" s="3">
        <v>28</v>
      </c>
      <c r="AE8" s="3">
        <v>29</v>
      </c>
      <c r="AF8" s="3">
        <v>30</v>
      </c>
      <c r="AG8" s="3">
        <v>31</v>
      </c>
      <c r="AH8" s="3">
        <v>32</v>
      </c>
      <c r="AI8" s="3">
        <v>33</v>
      </c>
      <c r="AJ8" s="3">
        <v>34</v>
      </c>
      <c r="AK8" s="3">
        <v>35</v>
      </c>
      <c r="AL8" s="3">
        <v>36</v>
      </c>
      <c r="AM8" s="3">
        <v>37</v>
      </c>
      <c r="AN8" s="3">
        <v>38</v>
      </c>
      <c r="AO8" s="3">
        <v>39</v>
      </c>
      <c r="AP8" s="3">
        <v>40</v>
      </c>
      <c r="AQ8" s="3">
        <v>41</v>
      </c>
      <c r="AR8" s="3">
        <v>42</v>
      </c>
      <c r="AS8" s="3">
        <v>43</v>
      </c>
      <c r="AT8" s="3">
        <v>44</v>
      </c>
      <c r="AU8" s="3">
        <v>45</v>
      </c>
      <c r="AV8" s="3">
        <v>46</v>
      </c>
      <c r="AW8" s="3">
        <v>47</v>
      </c>
      <c r="AX8" s="3">
        <v>48</v>
      </c>
      <c r="AY8" s="3">
        <v>49</v>
      </c>
      <c r="AZ8" s="3">
        <v>50</v>
      </c>
      <c r="BA8" s="3">
        <v>51</v>
      </c>
      <c r="BB8" s="3">
        <v>52</v>
      </c>
      <c r="BC8" s="3">
        <v>53</v>
      </c>
    </row>
    <row r="9" spans="2:55">
      <c r="C9" s="3">
        <f>COUNT('Perfil - externa'!F113:F981)</f>
        <v>38</v>
      </c>
      <c r="D9" s="3">
        <f>COUNT('Perfil - externa'!G113:G981)</f>
        <v>72</v>
      </c>
      <c r="E9" s="3">
        <f>COUNT('Perfil - externa'!H113:H981)</f>
        <v>110</v>
      </c>
      <c r="F9" s="3">
        <f>COUNT('Perfil - externa'!I113:I981)</f>
        <v>144</v>
      </c>
      <c r="G9" s="3">
        <f>COUNT('Perfil - externa'!J113:J981)</f>
        <v>180</v>
      </c>
      <c r="H9" s="3">
        <f>COUNT('Perfil - externa'!K113:K981)</f>
        <v>216</v>
      </c>
      <c r="I9" s="3">
        <f>COUNT('Perfil - externa'!L113:L981)</f>
        <v>252</v>
      </c>
      <c r="J9" s="3">
        <f>COUNT('Perfil - externa'!M113:M981)</f>
        <v>285</v>
      </c>
      <c r="K9" s="3">
        <f>COUNT('Perfil - externa'!N113:N981)</f>
        <v>321</v>
      </c>
      <c r="L9" s="3">
        <f>COUNT('Perfil - externa'!O113:O981)</f>
        <v>357</v>
      </c>
      <c r="M9" s="3">
        <f>COUNT('Perfil - externa'!P113:P981)</f>
        <v>393</v>
      </c>
      <c r="N9" s="3">
        <f>COUNT('Perfil - externa'!Q113:Q981)</f>
        <v>429</v>
      </c>
      <c r="O9" s="3">
        <f>COUNT('Perfil - externa'!R113:R981)</f>
        <v>465</v>
      </c>
      <c r="P9" s="3">
        <f>COUNT('Perfil - externa'!S113:S981)</f>
        <v>501</v>
      </c>
      <c r="Q9" s="3">
        <f>COUNT('Perfil - externa'!T113:T979)</f>
        <v>537</v>
      </c>
      <c r="R9" s="3">
        <f>COUNT('Perfil - externa'!U113:U979)</f>
        <v>573</v>
      </c>
      <c r="S9" s="3">
        <f>COUNT('Perfil - externa'!V113:V979)</f>
        <v>609</v>
      </c>
      <c r="T9" s="3">
        <f>COUNT('Perfil - externa'!W113:W979)</f>
        <v>647</v>
      </c>
      <c r="U9" s="3">
        <f>COUNT('Perfil - externa'!X113:X979)</f>
        <v>681</v>
      </c>
      <c r="V9" s="3">
        <f>COUNT('Perfil - externa'!Y113:Y979)</f>
        <v>717</v>
      </c>
      <c r="W9" s="3">
        <f>COUNT('Perfil - externa'!Z113:Z979)</f>
        <v>753</v>
      </c>
      <c r="X9" s="3">
        <f>COUNT('Perfil - externa'!AA113:AA979)</f>
        <v>756</v>
      </c>
      <c r="Y9" s="3">
        <f>COUNT('Perfil - externa'!AB113:AB979)</f>
        <v>756</v>
      </c>
      <c r="Z9" s="3">
        <f>COUNT('Perfil - externa'!AC113:AC979)</f>
        <v>756</v>
      </c>
      <c r="AA9" s="3">
        <f>COUNT('Perfil - externa'!AD113:AD979)</f>
        <v>756</v>
      </c>
      <c r="AB9" s="3">
        <f>COUNT('Perfil - externa'!AE113:AE979)</f>
        <v>756</v>
      </c>
      <c r="AC9" s="3">
        <f>COUNT('Perfil - externa'!AF113:AF979)</f>
        <v>756</v>
      </c>
      <c r="AD9" s="3">
        <f>COUNT('Perfil - externa'!AG113:AG979)</f>
        <v>756</v>
      </c>
      <c r="AE9" s="3">
        <f>COUNT('Perfil - externa'!AH113:AH979)</f>
        <v>756</v>
      </c>
      <c r="AF9" s="3">
        <f>COUNT('Perfil - externa'!AI113:AI979)</f>
        <v>745</v>
      </c>
      <c r="AG9" s="3">
        <f>COUNT('Perfil - externa'!AJ113:AJ979)</f>
        <v>744</v>
      </c>
      <c r="AH9" s="3">
        <f>COUNT('Perfil - externa'!AK113:AK979)</f>
        <v>744</v>
      </c>
      <c r="AI9" s="3">
        <f>COUNT('Perfil - externa'!AL113:AL979)</f>
        <v>744</v>
      </c>
      <c r="AJ9" s="3">
        <f>COUNT('Perfil - externa'!AM113:AM979)</f>
        <v>744</v>
      </c>
      <c r="AK9" s="3">
        <f>COUNT('Perfil - externa'!AN113:AN979)</f>
        <v>744</v>
      </c>
      <c r="AL9" s="3">
        <f>COUNT('Perfil - externa'!AO113:AO979)</f>
        <v>427</v>
      </c>
      <c r="AM9" s="3">
        <f>COUNT('Perfil - externa'!AP113:AP979)</f>
        <v>427</v>
      </c>
      <c r="AN9" s="3">
        <f>COUNT('Perfil - externa'!AQ113:AQ979)</f>
        <v>427</v>
      </c>
      <c r="AO9" s="3">
        <f>COUNT('Perfil - externa'!AR113:AR979)</f>
        <v>421</v>
      </c>
      <c r="AP9" s="3">
        <f>COUNT('Perfil - externa'!AS113:AS979)</f>
        <v>418</v>
      </c>
      <c r="AQ9" s="3">
        <f>COUNT('Perfil - externa'!AT113:AT979)</f>
        <v>400</v>
      </c>
      <c r="AR9" s="3">
        <f>COUNT('Perfil - externa'!AU113:AU979)</f>
        <v>363</v>
      </c>
      <c r="AS9" s="3">
        <f>COUNT('Perfil - externa'!AV113:AV979)</f>
        <v>327</v>
      </c>
      <c r="AT9" s="3">
        <f>COUNT('Perfil - externa'!AW113:AW979)</f>
        <v>291</v>
      </c>
      <c r="AU9" s="3">
        <f>COUNT('Perfil - externa'!AX113:AX979)</f>
        <v>255</v>
      </c>
      <c r="AV9" s="3">
        <f>COUNT('Perfil - externa'!AY113:AY979)</f>
        <v>198</v>
      </c>
      <c r="AW9" s="3">
        <f>COUNT('Perfil - externa'!AZ113:AZ981)</f>
        <v>198</v>
      </c>
      <c r="AX9" s="3">
        <f>COUNT('Perfil - externa'!BA113:BA981)</f>
        <v>165</v>
      </c>
      <c r="AY9" s="3">
        <f>COUNT('Perfil - externa'!BB113:BB981)</f>
        <v>165</v>
      </c>
      <c r="AZ9" s="3">
        <f>COUNT('Perfil - externa'!BC113:BC981)</f>
        <v>165</v>
      </c>
      <c r="BA9" s="3">
        <f>COUNT('Perfil - externa'!BD113:BD981)</f>
        <v>165</v>
      </c>
      <c r="BB9" s="3">
        <f>COUNT('Perfil - externa'!BE113:BE981)</f>
        <v>165</v>
      </c>
      <c r="BC9" s="3">
        <f>COUNT('Perfil - externa'!BF113:BF981)</f>
        <v>165</v>
      </c>
    </row>
    <row r="11" spans="2:55">
      <c r="B11" s="3" t="s">
        <v>61</v>
      </c>
    </row>
    <row r="14" spans="2:55">
      <c r="G14" s="3">
        <f>INDEX('Perfil - externa'!K113:K379,208,1)</f>
        <v>334161.15128823998</v>
      </c>
    </row>
    <row r="15" spans="2:55" ht="16.5">
      <c r="B15" s="15" t="s">
        <v>68</v>
      </c>
      <c r="C15" s="15"/>
      <c r="D15" s="15"/>
      <c r="E15" s="15"/>
    </row>
    <row r="16" spans="2:55">
      <c r="B16" s="3">
        <f>B8</f>
        <v>756</v>
      </c>
    </row>
    <row r="17" spans="1:46">
      <c r="B17" s="6">
        <f>'Perfil - externa'!F19</f>
        <v>2004</v>
      </c>
      <c r="C17" s="6">
        <f>'Perfil - externa'!G19</f>
        <v>2005</v>
      </c>
      <c r="D17" s="6">
        <f>'Perfil - externa'!H19</f>
        <v>2006</v>
      </c>
      <c r="E17" s="6">
        <f>'Perfil - externa'!I19</f>
        <v>2007</v>
      </c>
      <c r="F17" s="6">
        <f>'Perfil - externa'!J19</f>
        <v>2008</v>
      </c>
      <c r="G17" s="6">
        <f>'Perfil - externa'!K19</f>
        <v>2009</v>
      </c>
      <c r="H17" s="6">
        <f>'Perfil - externa'!L19</f>
        <v>2010</v>
      </c>
      <c r="I17" s="6">
        <f>'Perfil - externa'!M19</f>
        <v>2011</v>
      </c>
      <c r="J17" s="6">
        <f>'Perfil - externa'!N19</f>
        <v>2012</v>
      </c>
      <c r="K17" s="6">
        <f>'Perfil - externa'!O19</f>
        <v>2013</v>
      </c>
      <c r="L17" s="6">
        <f>'Perfil - externa'!P19</f>
        <v>2014</v>
      </c>
      <c r="M17" s="6">
        <f>'Perfil - externa'!Q19</f>
        <v>2015</v>
      </c>
      <c r="N17" s="6">
        <f>'Perfil - externa'!R19</f>
        <v>2016</v>
      </c>
      <c r="O17" s="6">
        <f>'Perfil - externa'!S19</f>
        <v>2017</v>
      </c>
      <c r="P17" s="6">
        <f>'Perfil - externa'!T19</f>
        <v>2018</v>
      </c>
      <c r="Q17" s="6">
        <f>'Perfil - externa'!U19</f>
        <v>2019</v>
      </c>
      <c r="R17" s="6">
        <f>'Perfil - externa'!V19</f>
        <v>2020</v>
      </c>
      <c r="S17" s="6">
        <f>'Perfil - externa'!W19</f>
        <v>2021</v>
      </c>
      <c r="T17" s="6">
        <f>'Perfil - externa'!X19</f>
        <v>2022</v>
      </c>
      <c r="U17" s="6">
        <f>'Perfil - externa'!Y19</f>
        <v>2023</v>
      </c>
      <c r="V17" s="6">
        <f>'Perfil - externa'!Z19</f>
        <v>2024</v>
      </c>
      <c r="W17" s="6">
        <f>'Perfil - externa'!AA19</f>
        <v>2025</v>
      </c>
      <c r="X17" s="6">
        <f>'Perfil - externa'!AB19</f>
        <v>2026</v>
      </c>
      <c r="Y17" s="6">
        <f>'Perfil - externa'!AC19</f>
        <v>2027</v>
      </c>
      <c r="Z17" s="6">
        <f>'Perfil - externa'!AD19</f>
        <v>2028</v>
      </c>
      <c r="AA17" s="6">
        <f>'Perfil - externa'!AE19</f>
        <v>2029</v>
      </c>
      <c r="AB17" s="6">
        <f>'Perfil - externa'!AF19</f>
        <v>2030</v>
      </c>
      <c r="AC17" s="6">
        <f>'Perfil - externa'!AG19</f>
        <v>2031</v>
      </c>
      <c r="AD17" s="6">
        <f>'Perfil - externa'!AH19</f>
        <v>2032</v>
      </c>
      <c r="AE17" s="6">
        <f>'Perfil - externa'!AI19</f>
        <v>2033</v>
      </c>
      <c r="AF17" s="6">
        <f>'Perfil - externa'!AJ19</f>
        <v>2034</v>
      </c>
      <c r="AG17" s="6">
        <f>'Perfil - externa'!AK19</f>
        <v>2035</v>
      </c>
      <c r="AH17" s="6">
        <f>'Perfil - externa'!AL19</f>
        <v>2036</v>
      </c>
      <c r="AI17" s="6">
        <f>'Perfil - externa'!AM19</f>
        <v>2037</v>
      </c>
      <c r="AJ17" s="6">
        <f>'Perfil - externa'!AN19</f>
        <v>2038</v>
      </c>
      <c r="AK17" s="6">
        <f>'Perfil - externa'!AO19</f>
        <v>2039</v>
      </c>
      <c r="AL17" s="6">
        <f>'Perfil - externa'!AP19</f>
        <v>2040</v>
      </c>
      <c r="AM17" s="6">
        <f>'Perfil - externa'!AQ19</f>
        <v>2041</v>
      </c>
      <c r="AN17" s="6">
        <f>'Perfil - externa'!AR19</f>
        <v>2042</v>
      </c>
      <c r="AO17" s="6">
        <f>'Perfil - externa'!AS19</f>
        <v>2043</v>
      </c>
      <c r="AP17" s="6">
        <f>'Perfil - externa'!AT19</f>
        <v>2044</v>
      </c>
      <c r="AQ17" s="6">
        <f>'Perfil - externa'!AU19</f>
        <v>2045</v>
      </c>
      <c r="AR17" s="6">
        <f>'Perfil - externa'!AV19</f>
        <v>2046</v>
      </c>
      <c r="AS17" s="6">
        <f>'Perfil - externa'!AW19</f>
        <v>2047</v>
      </c>
      <c r="AT17" s="6">
        <f>'Perfil - externa'!AX19</f>
        <v>2048</v>
      </c>
    </row>
    <row r="18" spans="1:46">
      <c r="A18" s="9" t="str">
        <f>Servicio_internaColumna_título_amortizaciones</f>
        <v>Amortizaciones</v>
      </c>
      <c r="B18" s="17">
        <f>INDEX('Perfil - externa'!F113:F981,$B$16-2)</f>
        <v>0</v>
      </c>
      <c r="C18" s="17">
        <f>INDEX('Perfil - externa'!G113:G981,$B$16-2)</f>
        <v>0</v>
      </c>
      <c r="D18" s="17">
        <f>INDEX('Perfil - externa'!H113:H981,$B$16-2)</f>
        <v>0</v>
      </c>
      <c r="E18" s="17">
        <f>INDEX('Perfil - externa'!I113:I981,$B$16-2)</f>
        <v>0</v>
      </c>
      <c r="F18" s="17">
        <f>INDEX('Perfil - externa'!J113:J981,$B$16-2)</f>
        <v>0</v>
      </c>
      <c r="G18" s="17">
        <f>INDEX('Perfil - externa'!K113:K981,$B$16-2)</f>
        <v>0</v>
      </c>
      <c r="H18" s="17">
        <f>INDEX('Perfil - externa'!L113:L981,$B$16-2)</f>
        <v>0</v>
      </c>
      <c r="I18" s="17">
        <f>INDEX('Perfil - externa'!M113:M981,$B$16-2)</f>
        <v>0</v>
      </c>
      <c r="J18" s="17">
        <f>INDEX('Perfil - externa'!N113:N981,$B$16-2)</f>
        <v>0</v>
      </c>
      <c r="K18" s="17">
        <f>INDEX('Perfil - externa'!O113:O981,$B$16-2)</f>
        <v>0</v>
      </c>
      <c r="L18" s="17">
        <f>INDEX('Perfil - externa'!P113:P981,$B$16-2)</f>
        <v>0</v>
      </c>
      <c r="M18" s="17">
        <f>INDEX('Perfil - externa'!Q113:Q981,$B$16-2)</f>
        <v>0</v>
      </c>
      <c r="N18" s="17">
        <f>INDEX('Perfil - externa'!R113:R981,$B$16-2)</f>
        <v>0</v>
      </c>
      <c r="O18" s="17">
        <f>INDEX('Perfil - externa'!S113:S981,$B$16-2)</f>
        <v>0</v>
      </c>
      <c r="P18" s="17">
        <f>INDEX('Perfil - externa'!T113:T979,$B$16-2)</f>
        <v>0</v>
      </c>
      <c r="Q18" s="17">
        <f>INDEX('Perfil - externa'!U113:U979,$B$16-2)</f>
        <v>0</v>
      </c>
      <c r="R18" s="17">
        <f>INDEX('Perfil - externa'!V113:V979,$B$16-2)</f>
        <v>0</v>
      </c>
      <c r="S18" s="17">
        <f>INDEX('Perfil - externa'!W113:W979,$B$16-2)</f>
        <v>0</v>
      </c>
      <c r="T18" s="17">
        <f>INDEX('Perfil - externa'!X113:X979,$B$16-2)</f>
        <v>0</v>
      </c>
      <c r="U18" s="17">
        <f>INDEX('Perfil - externa'!Y113:Y979,$B$16-2)</f>
        <v>0</v>
      </c>
      <c r="V18" s="17">
        <f>INDEX('Perfil - externa'!Z113:Z979,$B$16-2)</f>
        <v>0</v>
      </c>
      <c r="W18" s="17">
        <f>INDEX('Perfil - externa'!AA113:AA979,$B$16-2)</f>
        <v>20501323.811367717</v>
      </c>
      <c r="X18" s="17">
        <f>INDEX('Perfil - externa'!AB113:AB979,$B$16-2)</f>
        <v>17960100.618875228</v>
      </c>
      <c r="Y18" s="17">
        <f>INDEX('Perfil - externa'!AC113:AC979,$B$16-2)</f>
        <v>20634175.773470312</v>
      </c>
      <c r="Z18" s="17">
        <f>INDEX('Perfil - externa'!AD113:AD979,$B$16-2)</f>
        <v>13217021.441621844</v>
      </c>
      <c r="AA18" s="17">
        <f>INDEX('Perfil - externa'!AE113:AE979,$B$16-2)</f>
        <v>21447937.380099177</v>
      </c>
      <c r="AB18" s="17">
        <f>INDEX('Perfil - externa'!AF113:AF979,$B$16-2)</f>
        <v>19187042.513885368</v>
      </c>
      <c r="AC18" s="17">
        <f>INDEX('Perfil - externa'!AG113:AG979,$B$16-2)</f>
        <v>23124355.988430232</v>
      </c>
      <c r="AD18" s="17">
        <f>INDEX('Perfil - externa'!AH113:AH979,$B$16-2)</f>
        <v>18375765.319380421</v>
      </c>
      <c r="AE18" s="17">
        <f>INDEX('Perfil - externa'!AI113:AI979,$B$16-2)</f>
        <v>18666032.722301178</v>
      </c>
      <c r="AF18" s="17">
        <f>INDEX('Perfil - externa'!AJ113:AJ979,$B$16-2)</f>
        <v>18246026.1937957</v>
      </c>
      <c r="AG18" s="17">
        <f>INDEX('Perfil - externa'!AK113:AK979,$B$16-2)</f>
        <v>18068194.484465666</v>
      </c>
      <c r="AH18" s="17">
        <f>INDEX('Perfil - externa'!AL113:AL979,$B$16-2)</f>
        <v>23381649.875141442</v>
      </c>
      <c r="AI18" s="17">
        <f>INDEX('Perfil - externa'!AM113:AM979,$B$16-2)</f>
        <v>12696322.321876287</v>
      </c>
      <c r="AJ18" s="17">
        <f>INDEX('Perfil - externa'!AN113:AN979,$B$16-2)</f>
        <v>10224728.437527904</v>
      </c>
      <c r="AK18" s="17">
        <f>INDEX('Perfil - externa'!AO113:AO979,$B$16-2)</f>
        <v>5521685.0267445948</v>
      </c>
      <c r="AL18" s="17">
        <f>INDEX('Perfil - externa'!AP113:AP979,$B$16-2)</f>
        <v>6199834.4831966907</v>
      </c>
      <c r="AM18" s="17">
        <f>INDEX('Perfil - externa'!AQ113:AQ979,$B$16-2)</f>
        <v>13067371.629007278</v>
      </c>
      <c r="AN18" s="17">
        <f>INDEX('Perfil - externa'!AR113:AR979,$B$16-2)</f>
        <v>5626520.8833113685</v>
      </c>
      <c r="AO18" s="17">
        <f>INDEX('Perfil - externa'!AS113:AS979,$B$16-2)</f>
        <v>400302.69097102969</v>
      </c>
      <c r="AP18" s="17">
        <f>INDEX('Perfil - externa'!AT113:AT979,$B$16-2)</f>
        <v>11283132.394504581</v>
      </c>
      <c r="AQ18" s="17">
        <f>INDEX('Perfil - externa'!AU113:AU979,$B$16-2)</f>
        <v>20088586.785734978</v>
      </c>
      <c r="AR18" s="17">
        <f>INDEX('Perfil - externa'!AV113:AV979,$B$16-2)</f>
        <v>243744.40145740288</v>
      </c>
      <c r="AS18" s="17">
        <f>INDEX('Perfil - externa'!AW113:AW979,$B$16-2)</f>
        <v>219699.19664809489</v>
      </c>
      <c r="AT18" s="17">
        <f>INDEX('Perfil - externa'!AX113:AX979,$B$16-2)</f>
        <v>219487.23508203006</v>
      </c>
    </row>
    <row r="19" spans="1:46">
      <c r="A19" s="10" t="str">
        <f>Servicio_internaColumna_título_intereses</f>
        <v>Intereses</v>
      </c>
      <c r="B19" s="17">
        <f>INDEX('Perfil - externa'!F113:F981,$B$16-1)</f>
        <v>0</v>
      </c>
      <c r="C19" s="17">
        <f>INDEX('Perfil - externa'!G113:G981,$B$16-1)</f>
        <v>0</v>
      </c>
      <c r="D19" s="17">
        <f>INDEX('Perfil - externa'!H113:H981,$B$16-1)</f>
        <v>0</v>
      </c>
      <c r="E19" s="17">
        <f>INDEX('Perfil - externa'!I113:I981,$B$16-1)</f>
        <v>0</v>
      </c>
      <c r="F19" s="17">
        <f>INDEX('Perfil - externa'!J113:J981,$B$16-1)</f>
        <v>0</v>
      </c>
      <c r="G19" s="17">
        <f>INDEX('Perfil - externa'!K113:K981,$B$16-1)</f>
        <v>0</v>
      </c>
      <c r="H19" s="17">
        <f>INDEX('Perfil - externa'!L113:L981,$B$16-1)</f>
        <v>0</v>
      </c>
      <c r="I19" s="17">
        <f>INDEX('Perfil - externa'!M113:M981,$B$16-1)</f>
        <v>0</v>
      </c>
      <c r="J19" s="17">
        <f>INDEX('Perfil - externa'!N113:N981,$B$16-1)</f>
        <v>0</v>
      </c>
      <c r="K19" s="17">
        <f>INDEX('Perfil - externa'!O113:O981,$B$16-1)</f>
        <v>0</v>
      </c>
      <c r="L19" s="17">
        <f>INDEX('Perfil - externa'!P113:P981,$B$16-1)</f>
        <v>0</v>
      </c>
      <c r="M19" s="17">
        <f>INDEX('Perfil - externa'!Q113:Q981,$B$16-1)</f>
        <v>0</v>
      </c>
      <c r="N19" s="17">
        <f>INDEX('Perfil - externa'!R113:R981,$B$16-1)</f>
        <v>0</v>
      </c>
      <c r="O19" s="17">
        <f>INDEX('Perfil - externa'!S113:S981,$B$16-1)</f>
        <v>0</v>
      </c>
      <c r="P19" s="17">
        <f>INDEX('Perfil - externa'!T113:T979,$B$16-1)</f>
        <v>0</v>
      </c>
      <c r="Q19" s="17">
        <f>INDEX('Perfil - externa'!U113:U979,$B$16-1)</f>
        <v>0</v>
      </c>
      <c r="R19" s="17">
        <f>INDEX('Perfil - externa'!V113:V979,$B$16-1)</f>
        <v>0</v>
      </c>
      <c r="S19" s="17">
        <f>INDEX('Perfil - externa'!W113:W979,$B$16-1)</f>
        <v>0</v>
      </c>
      <c r="T19" s="17">
        <f>INDEX('Perfil - externa'!X113:X979,$B$16-1)</f>
        <v>0</v>
      </c>
      <c r="U19" s="17">
        <f>INDEX('Perfil - externa'!Y113:Y979,$B$16-1)</f>
        <v>0</v>
      </c>
      <c r="V19" s="17">
        <f>INDEX('Perfil - externa'!Z113:Z979,$B$16-1)</f>
        <v>0</v>
      </c>
      <c r="W19" s="17">
        <f>INDEX('Perfil - externa'!AA113:AA979,$B$16-1)</f>
        <v>16790091.583929114</v>
      </c>
      <c r="X19" s="17">
        <f>INDEX('Perfil - externa'!AB113:AB979,$B$16-1)</f>
        <v>15653194.822356625</v>
      </c>
      <c r="Y19" s="17">
        <f>INDEX('Perfil - externa'!AC113:AC979,$B$16-1)</f>
        <v>14883834.971940974</v>
      </c>
      <c r="Z19" s="17">
        <f>INDEX('Perfil - externa'!AD113:AD979,$B$16-1)</f>
        <v>14172000.828609528</v>
      </c>
      <c r="AA19" s="17">
        <f>INDEX('Perfil - externa'!AE113:AE979,$B$16-1)</f>
        <v>13510027.331999365</v>
      </c>
      <c r="AB19" s="17">
        <f>INDEX('Perfil - externa'!AF113:AF979,$B$16-1)</f>
        <v>12727605.138876844</v>
      </c>
      <c r="AC19" s="17">
        <f>INDEX('Perfil - externa'!AG113:AG979,$B$16-1)</f>
        <v>11969083.166874317</v>
      </c>
      <c r="AD19" s="17">
        <f>INDEX('Perfil - externa'!AH113:AH979,$B$16-1)</f>
        <v>11237820.397774464</v>
      </c>
      <c r="AE19" s="17">
        <f>INDEX('Perfil - externa'!AI113:AI979,$B$16-1)</f>
        <v>10357123.196705304</v>
      </c>
      <c r="AF19" s="17">
        <f>INDEX('Perfil - externa'!AJ113:AJ979,$B$16-1)</f>
        <v>9325387.7604841162</v>
      </c>
      <c r="AG19" s="17">
        <f>INDEX('Perfil - externa'!AK113:AK979,$B$16-1)</f>
        <v>8614698.1106843352</v>
      </c>
      <c r="AH19" s="17">
        <f>INDEX('Perfil - externa'!AL113:AL979,$B$16-1)</f>
        <v>7684495.3835451053</v>
      </c>
      <c r="AI19" s="17">
        <f>INDEX('Perfil - externa'!AM113:AM979,$B$16-1)</f>
        <v>6672983.1146452297</v>
      </c>
      <c r="AJ19" s="17">
        <f>INDEX('Perfil - externa'!AN113:AN979,$B$16-1)</f>
        <v>5887499.7301184814</v>
      </c>
      <c r="AK19" s="17">
        <f>INDEX('Perfil - externa'!AO113:AO979,$B$16-1)</f>
        <v>5706135.6113937041</v>
      </c>
      <c r="AL19" s="17">
        <f>INDEX('Perfil - externa'!AP113:AP979,$B$16-1)</f>
        <v>5447864.9658919154</v>
      </c>
      <c r="AM19" s="17">
        <f>INDEX('Perfil - externa'!AQ113:AQ979,$B$16-1)</f>
        <v>4915699.3904800303</v>
      </c>
      <c r="AN19" s="17">
        <f>INDEX('Perfil - externa'!AR113:AR979,$B$16-1)</f>
        <v>4397408.9676321298</v>
      </c>
      <c r="AO19" s="17">
        <f>INDEX('Perfil - externa'!AS113:AS979,$B$16-1)</f>
        <v>4253940.7927491385</v>
      </c>
      <c r="AP19" s="17">
        <f>INDEX('Perfil - externa'!AT113:AT979,$B$16-1)</f>
        <v>3937022.2584771514</v>
      </c>
      <c r="AQ19" s="17">
        <f>INDEX('Perfil - externa'!AU113:AU979,$B$16-1)</f>
        <v>3113784.1734583471</v>
      </c>
      <c r="AR19" s="17">
        <f>INDEX('Perfil - externa'!AV113:AV979,$B$16-1)</f>
        <v>2608063.4057268389</v>
      </c>
      <c r="AS19" s="17">
        <f>INDEX('Perfil - externa'!AW113:AW979,$B$16-1)</f>
        <v>2598676.9822694184</v>
      </c>
      <c r="AT19" s="17">
        <f>INDEX('Perfil - externa'!AX113:AX979,$B$16-1)</f>
        <v>2596845.2882925333</v>
      </c>
    </row>
    <row r="20" spans="1:46">
      <c r="A20" s="16" t="str">
        <f>Servicio_internaColumna_título_total</f>
        <v>Total</v>
      </c>
      <c r="B20" s="18">
        <f>INDEX('Perfil - externa'!F113:F981,$B$16)</f>
        <v>0</v>
      </c>
      <c r="C20" s="18">
        <f>INDEX('Perfil - externa'!G113:G981,$B$16)</f>
        <v>0</v>
      </c>
      <c r="D20" s="18">
        <f>INDEX('Perfil - externa'!H113:H981,$B$16)</f>
        <v>0</v>
      </c>
      <c r="E20" s="18">
        <f>INDEX('Perfil - externa'!I113:I981,$B$16)</f>
        <v>0</v>
      </c>
      <c r="F20" s="18">
        <f>INDEX('Perfil - externa'!J113:J981,$B$16)</f>
        <v>0</v>
      </c>
      <c r="G20" s="18">
        <f>INDEX('Perfil - externa'!K113:K981,$B$16)</f>
        <v>0</v>
      </c>
      <c r="H20" s="18">
        <f>INDEX('Perfil - externa'!L113:L981,$B$16)</f>
        <v>0</v>
      </c>
      <c r="I20" s="18">
        <f>INDEX('Perfil - externa'!M113:M981,$B$16)</f>
        <v>0</v>
      </c>
      <c r="J20" s="18">
        <f>INDEX('Perfil - externa'!N113:N981,$B$16)</f>
        <v>0</v>
      </c>
      <c r="K20" s="18">
        <f>INDEX('Perfil - externa'!O113:O981,$B$16)</f>
        <v>0</v>
      </c>
      <c r="L20" s="18">
        <f>INDEX('Perfil - externa'!P113:P981,$B$16)</f>
        <v>0</v>
      </c>
      <c r="M20" s="18">
        <f>INDEX('Perfil - externa'!Q113:Q981,$B$16)</f>
        <v>0</v>
      </c>
      <c r="N20" s="18">
        <f>INDEX('Perfil - externa'!R113:R981,$B$16)</f>
        <v>0</v>
      </c>
      <c r="O20" s="18">
        <f>INDEX('Perfil - externa'!S113:S981,$B$16)</f>
        <v>0</v>
      </c>
      <c r="P20" s="18">
        <f>INDEX('Perfil - externa'!T113:T979,$B$16)</f>
        <v>0</v>
      </c>
      <c r="Q20" s="18">
        <f>INDEX('Perfil - externa'!U113:U979,$B$16)</f>
        <v>0</v>
      </c>
      <c r="R20" s="18">
        <f>INDEX('Perfil - externa'!V113:V979,$B$16)</f>
        <v>0</v>
      </c>
      <c r="S20" s="18">
        <f>INDEX('Perfil - externa'!W113:W979,$B$16)</f>
        <v>0</v>
      </c>
      <c r="T20" s="18">
        <f>INDEX('Perfil - externa'!X113:X979,$B$16)</f>
        <v>0</v>
      </c>
      <c r="U20" s="18">
        <f>INDEX('Perfil - externa'!Y113:Y979,$B$16)</f>
        <v>0</v>
      </c>
      <c r="V20" s="18">
        <f>INDEX('Perfil - externa'!Z113:Z979,$B$16)</f>
        <v>0</v>
      </c>
      <c r="W20" s="18">
        <f>INDEX('Perfil - externa'!AA113:AA979,$B$16)</f>
        <v>37291415.395296827</v>
      </c>
      <c r="X20" s="18">
        <f>INDEX('Perfil - externa'!AB113:AB979,$B$16)</f>
        <v>33613295.441231854</v>
      </c>
      <c r="Y20" s="18">
        <f>INDEX('Perfil - externa'!AC113:AC979,$B$16)</f>
        <v>35518010.745411284</v>
      </c>
      <c r="Z20" s="18">
        <f>INDEX('Perfil - externa'!AD113:AD979,$B$16)</f>
        <v>27389022.270231374</v>
      </c>
      <c r="AA20" s="18">
        <f>INDEX('Perfil - externa'!AE113:AE979,$B$16)</f>
        <v>34957964.712098539</v>
      </c>
      <c r="AB20" s="18">
        <f>INDEX('Perfil - externa'!AF113:AF979,$B$16)</f>
        <v>31914647.652762212</v>
      </c>
      <c r="AC20" s="18">
        <f>INDEX('Perfil - externa'!AG113:AG979,$B$16)</f>
        <v>35093439.155304551</v>
      </c>
      <c r="AD20" s="18">
        <f>INDEX('Perfil - externa'!AH113:AH979,$B$16)</f>
        <v>29613585.717154883</v>
      </c>
      <c r="AE20" s="18">
        <f>INDEX('Perfil - externa'!AI113:AI979,$B$16)</f>
        <v>29023155.919006482</v>
      </c>
      <c r="AF20" s="18">
        <f>INDEX('Perfil - externa'!AJ113:AJ979,$B$16)</f>
        <v>27571413.954279818</v>
      </c>
      <c r="AG20" s="18">
        <f>INDEX('Perfil - externa'!AK113:AK979,$B$16)</f>
        <v>26682892.595150001</v>
      </c>
      <c r="AH20" s="18">
        <f>INDEX('Perfil - externa'!AL113:AL979,$B$16)</f>
        <v>31066145.258686546</v>
      </c>
      <c r="AI20" s="18">
        <f>INDEX('Perfil - externa'!AM113:AM979,$B$16)</f>
        <v>19369305.436521515</v>
      </c>
      <c r="AJ20" s="18">
        <f>INDEX('Perfil - externa'!AN113:AN979,$B$16)</f>
        <v>16112228.167646386</v>
      </c>
      <c r="AK20" s="18">
        <f>INDEX('Perfil - externa'!AO113:AO979,$B$16)</f>
        <v>11227820.638138298</v>
      </c>
      <c r="AL20" s="18">
        <f>INDEX('Perfil - externa'!AP113:AP979,$B$16)</f>
        <v>11647699.449088607</v>
      </c>
      <c r="AM20" s="18">
        <f>INDEX('Perfil - externa'!AQ113:AQ979,$B$16)</f>
        <v>17983071.019487306</v>
      </c>
      <c r="AN20" s="18">
        <f>INDEX('Perfil - externa'!AR113:AR979,$B$16)</f>
        <v>10023929.850943498</v>
      </c>
      <c r="AO20" s="18">
        <f>INDEX('Perfil - externa'!AS113:AS979,$B$16)</f>
        <v>4654243.4837201685</v>
      </c>
      <c r="AP20" s="18">
        <f>INDEX('Perfil - externa'!AT113:AT979,$B$16)</f>
        <v>15220154.652981732</v>
      </c>
      <c r="AQ20" s="18">
        <f>INDEX('Perfil - externa'!AU113:AU979,$B$16)</f>
        <v>23202370.959193327</v>
      </c>
      <c r="AR20" s="18">
        <f>INDEX('Perfil - externa'!AV113:AV979,$B$16)</f>
        <v>2851807.8071842417</v>
      </c>
      <c r="AS20" s="18">
        <f>INDEX('Perfil - externa'!AW113:AW979,$B$16)</f>
        <v>2818376.1789175132</v>
      </c>
      <c r="AT20" s="18">
        <f>INDEX('Perfil - externa'!AX113:AX979,$B$16)</f>
        <v>2816332.5233745631</v>
      </c>
    </row>
    <row r="21" spans="1:46">
      <c r="B21" s="28" t="str">
        <f>IF(B20=0,"",1)</f>
        <v/>
      </c>
      <c r="C21" s="28" t="str">
        <f t="shared" ref="C21:AO21" si="0">IF(C20=0,"",1)</f>
        <v/>
      </c>
      <c r="D21" s="28" t="str">
        <f t="shared" si="0"/>
        <v/>
      </c>
      <c r="E21" s="28" t="str">
        <f t="shared" si="0"/>
        <v/>
      </c>
      <c r="F21" s="28" t="str">
        <f t="shared" si="0"/>
        <v/>
      </c>
      <c r="G21" s="28" t="str">
        <f t="shared" si="0"/>
        <v/>
      </c>
      <c r="H21" s="28" t="str">
        <f t="shared" si="0"/>
        <v/>
      </c>
      <c r="I21" s="28" t="str">
        <f t="shared" si="0"/>
        <v/>
      </c>
      <c r="J21" s="28" t="str">
        <f t="shared" si="0"/>
        <v/>
      </c>
      <c r="K21" s="28" t="str">
        <f t="shared" si="0"/>
        <v/>
      </c>
      <c r="L21" s="28" t="str">
        <f t="shared" si="0"/>
        <v/>
      </c>
      <c r="M21" s="28" t="str">
        <f t="shared" si="0"/>
        <v/>
      </c>
      <c r="N21" s="28" t="str">
        <f t="shared" si="0"/>
        <v/>
      </c>
      <c r="O21" s="28" t="str">
        <f t="shared" si="0"/>
        <v/>
      </c>
      <c r="P21" s="28" t="str">
        <f t="shared" si="0"/>
        <v/>
      </c>
      <c r="Q21" s="28" t="str">
        <f t="shared" si="0"/>
        <v/>
      </c>
      <c r="R21" s="28" t="str">
        <f t="shared" si="0"/>
        <v/>
      </c>
      <c r="S21" s="28" t="str">
        <f t="shared" si="0"/>
        <v/>
      </c>
      <c r="T21" s="28" t="str">
        <f t="shared" si="0"/>
        <v/>
      </c>
      <c r="U21" s="28" t="str">
        <f t="shared" si="0"/>
        <v/>
      </c>
      <c r="V21" s="28" t="str">
        <f t="shared" si="0"/>
        <v/>
      </c>
      <c r="W21" s="28">
        <f t="shared" si="0"/>
        <v>1</v>
      </c>
      <c r="X21" s="28">
        <f t="shared" si="0"/>
        <v>1</v>
      </c>
      <c r="Y21" s="28">
        <f t="shared" si="0"/>
        <v>1</v>
      </c>
      <c r="Z21" s="28">
        <f t="shared" si="0"/>
        <v>1</v>
      </c>
      <c r="AA21" s="28">
        <f t="shared" si="0"/>
        <v>1</v>
      </c>
      <c r="AB21" s="28">
        <f t="shared" si="0"/>
        <v>1</v>
      </c>
      <c r="AC21" s="28">
        <f t="shared" si="0"/>
        <v>1</v>
      </c>
      <c r="AD21" s="28">
        <f t="shared" si="0"/>
        <v>1</v>
      </c>
      <c r="AE21" s="28">
        <f t="shared" si="0"/>
        <v>1</v>
      </c>
      <c r="AF21" s="28">
        <f t="shared" si="0"/>
        <v>1</v>
      </c>
      <c r="AG21" s="28">
        <f t="shared" si="0"/>
        <v>1</v>
      </c>
      <c r="AH21" s="28">
        <f t="shared" si="0"/>
        <v>1</v>
      </c>
      <c r="AI21" s="28">
        <f t="shared" si="0"/>
        <v>1</v>
      </c>
      <c r="AJ21" s="28">
        <f t="shared" si="0"/>
        <v>1</v>
      </c>
      <c r="AK21" s="28">
        <f t="shared" si="0"/>
        <v>1</v>
      </c>
      <c r="AL21" s="28">
        <f t="shared" si="0"/>
        <v>1</v>
      </c>
      <c r="AM21" s="28">
        <f t="shared" si="0"/>
        <v>1</v>
      </c>
      <c r="AN21" s="28">
        <f t="shared" si="0"/>
        <v>1</v>
      </c>
      <c r="AO21" s="28">
        <f t="shared" si="0"/>
        <v>1</v>
      </c>
      <c r="AP21" s="28">
        <f>IF(AP20=0,"",1)</f>
        <v>1</v>
      </c>
      <c r="AQ21" s="28">
        <f>IF(AQ20=0,"",1)</f>
        <v>1</v>
      </c>
      <c r="AR21" s="28">
        <f>IF(AR20=0,"",1)</f>
        <v>1</v>
      </c>
      <c r="AS21" s="28">
        <f>IF(AS20=0,"",1)</f>
        <v>1</v>
      </c>
      <c r="AT21" s="28">
        <f>IF(AT20=0,"",1)</f>
        <v>1</v>
      </c>
    </row>
    <row r="22" spans="1:46">
      <c r="B22" s="3" t="s">
        <v>62</v>
      </c>
      <c r="C22" s="19">
        <f>MATCH(1,B21:AJ21,)</f>
        <v>22</v>
      </c>
    </row>
    <row r="23" spans="1:46">
      <c r="B23" s="20" t="s">
        <v>63</v>
      </c>
      <c r="C23" s="3">
        <f>COUNT(B21:AT21)</f>
        <v>24</v>
      </c>
    </row>
    <row r="24" spans="1:46">
      <c r="C24" s="21"/>
    </row>
    <row r="27" spans="1:46">
      <c r="B27" s="3" t="e">
        <f ca="1">OFFSET('Perfil - externa'!$B$113,0,0,COUNT('Perfil - externa'!$A:$A))</f>
        <v>#VALUE!</v>
      </c>
    </row>
    <row r="28" spans="1:46">
      <c r="B28" s="3" t="s">
        <v>64</v>
      </c>
      <c r="C28" s="3">
        <v>1</v>
      </c>
      <c r="D28" s="3">
        <f>IF(C28="","",IF(C28+1&gt;$C$23,"",C28+1))</f>
        <v>2</v>
      </c>
      <c r="E28" s="3">
        <f t="shared" ref="E28:AJ28" si="1">IF(D28="","",IF(D28+1&gt;$C$23,"",D28+1))</f>
        <v>3</v>
      </c>
      <c r="F28" s="3">
        <f t="shared" si="1"/>
        <v>4</v>
      </c>
      <c r="G28" s="3">
        <f t="shared" si="1"/>
        <v>5</v>
      </c>
      <c r="H28" s="3">
        <f t="shared" si="1"/>
        <v>6</v>
      </c>
      <c r="I28" s="3">
        <f t="shared" si="1"/>
        <v>7</v>
      </c>
      <c r="J28" s="3">
        <f t="shared" si="1"/>
        <v>8</v>
      </c>
      <c r="K28" s="3">
        <f t="shared" si="1"/>
        <v>9</v>
      </c>
      <c r="L28" s="3">
        <f t="shared" si="1"/>
        <v>10</v>
      </c>
      <c r="M28" s="3">
        <f t="shared" si="1"/>
        <v>11</v>
      </c>
      <c r="N28" s="3">
        <f t="shared" si="1"/>
        <v>12</v>
      </c>
      <c r="O28" s="3">
        <f t="shared" si="1"/>
        <v>13</v>
      </c>
      <c r="P28" s="3">
        <f t="shared" si="1"/>
        <v>14</v>
      </c>
      <c r="Q28" s="3">
        <f t="shared" si="1"/>
        <v>15</v>
      </c>
      <c r="R28" s="3">
        <f t="shared" si="1"/>
        <v>16</v>
      </c>
      <c r="S28" s="3">
        <f t="shared" si="1"/>
        <v>17</v>
      </c>
      <c r="T28" s="3">
        <f t="shared" si="1"/>
        <v>18</v>
      </c>
      <c r="U28" s="3">
        <f t="shared" si="1"/>
        <v>19</v>
      </c>
      <c r="V28" s="3">
        <f t="shared" si="1"/>
        <v>20</v>
      </c>
      <c r="W28" s="3">
        <f t="shared" si="1"/>
        <v>21</v>
      </c>
      <c r="X28" s="3">
        <f t="shared" si="1"/>
        <v>22</v>
      </c>
      <c r="Y28" s="3">
        <f>IF(X28="","",IF(X28+1&gt;$C$23,"",X28+1))</f>
        <v>23</v>
      </c>
      <c r="Z28" s="3">
        <f t="shared" si="1"/>
        <v>24</v>
      </c>
      <c r="AA28" s="3" t="str">
        <f t="shared" si="1"/>
        <v/>
      </c>
      <c r="AB28" s="3" t="str">
        <f t="shared" si="1"/>
        <v/>
      </c>
      <c r="AC28" s="3" t="str">
        <f t="shared" si="1"/>
        <v/>
      </c>
      <c r="AD28" s="3" t="str">
        <f t="shared" si="1"/>
        <v/>
      </c>
      <c r="AE28" s="3" t="str">
        <f>IF(AD28="","",IF(AD28+1&gt;$C$23,"",AD28+1))</f>
        <v/>
      </c>
      <c r="AF28" s="3" t="str">
        <f>IF(AE28="","",IF(AE28+1&gt;$C$23,"",AE28+1))</f>
        <v/>
      </c>
      <c r="AG28" s="3" t="str">
        <f>IF(AF28="","",IF(AF28+1&gt;$C$23,"",AF28+1))</f>
        <v/>
      </c>
      <c r="AH28" s="3" t="str">
        <f t="shared" si="1"/>
        <v/>
      </c>
      <c r="AI28" s="3" t="str">
        <f t="shared" si="1"/>
        <v/>
      </c>
      <c r="AJ28" s="3" t="str">
        <f t="shared" si="1"/>
        <v/>
      </c>
    </row>
    <row r="29" spans="1:46">
      <c r="B29" s="3" t="s">
        <v>65</v>
      </c>
      <c r="C29" s="21">
        <f>C22</f>
        <v>22</v>
      </c>
      <c r="D29" s="3">
        <f>IF(D28="","",C29+1)</f>
        <v>23</v>
      </c>
      <c r="E29" s="3">
        <f t="shared" ref="E29:AJ29" si="2">IF(E28="","",D29+1)</f>
        <v>24</v>
      </c>
      <c r="F29" s="3">
        <f t="shared" si="2"/>
        <v>25</v>
      </c>
      <c r="G29" s="3">
        <f t="shared" si="2"/>
        <v>26</v>
      </c>
      <c r="H29" s="3">
        <f t="shared" si="2"/>
        <v>27</v>
      </c>
      <c r="I29" s="3">
        <f t="shared" si="2"/>
        <v>28</v>
      </c>
      <c r="J29" s="3">
        <f t="shared" si="2"/>
        <v>29</v>
      </c>
      <c r="K29" s="3">
        <f t="shared" si="2"/>
        <v>30</v>
      </c>
      <c r="L29" s="3">
        <f t="shared" si="2"/>
        <v>31</v>
      </c>
      <c r="M29" s="3">
        <f t="shared" si="2"/>
        <v>32</v>
      </c>
      <c r="N29" s="3">
        <f t="shared" si="2"/>
        <v>33</v>
      </c>
      <c r="O29" s="3">
        <f t="shared" si="2"/>
        <v>34</v>
      </c>
      <c r="P29" s="3">
        <f t="shared" si="2"/>
        <v>35</v>
      </c>
      <c r="Q29" s="3">
        <f t="shared" si="2"/>
        <v>36</v>
      </c>
      <c r="R29" s="3">
        <f t="shared" si="2"/>
        <v>37</v>
      </c>
      <c r="S29" s="3">
        <f t="shared" si="2"/>
        <v>38</v>
      </c>
      <c r="T29" s="3">
        <f t="shared" si="2"/>
        <v>39</v>
      </c>
      <c r="U29" s="3">
        <f t="shared" si="2"/>
        <v>40</v>
      </c>
      <c r="V29" s="3">
        <f t="shared" si="2"/>
        <v>41</v>
      </c>
      <c r="W29" s="3">
        <f t="shared" si="2"/>
        <v>42</v>
      </c>
      <c r="X29" s="3">
        <f t="shared" si="2"/>
        <v>43</v>
      </c>
      <c r="Y29" s="3">
        <f t="shared" si="2"/>
        <v>44</v>
      </c>
      <c r="Z29" s="3">
        <f t="shared" ref="Z29:AG29" si="3">IF(Z28="","",Y29+1)</f>
        <v>45</v>
      </c>
      <c r="AA29" s="3" t="str">
        <f t="shared" si="3"/>
        <v/>
      </c>
      <c r="AB29" s="3" t="str">
        <f t="shared" si="3"/>
        <v/>
      </c>
      <c r="AC29" s="3" t="str">
        <f t="shared" si="3"/>
        <v/>
      </c>
      <c r="AD29" s="3" t="str">
        <f t="shared" si="3"/>
        <v/>
      </c>
      <c r="AE29" s="3" t="str">
        <f t="shared" si="3"/>
        <v/>
      </c>
      <c r="AF29" s="3" t="str">
        <f t="shared" si="3"/>
        <v/>
      </c>
      <c r="AG29" s="3" t="str">
        <f t="shared" si="3"/>
        <v/>
      </c>
      <c r="AH29" s="3" t="str">
        <f t="shared" si="2"/>
        <v/>
      </c>
      <c r="AI29" s="3" t="str">
        <f t="shared" si="2"/>
        <v/>
      </c>
      <c r="AJ29" s="3" t="str">
        <f t="shared" si="2"/>
        <v/>
      </c>
    </row>
    <row r="30" spans="1:46">
      <c r="B30" s="3" t="s">
        <v>66</v>
      </c>
      <c r="C30" s="241">
        <f>IF(C28="","",INDEX($B$17:$AT$17,1,C29))</f>
        <v>2025</v>
      </c>
      <c r="D30" s="241">
        <f t="shared" ref="D30:AH30" si="4">IF(D28="","",INDEX($B$17:$AT$17,1,D29))</f>
        <v>2026</v>
      </c>
      <c r="E30" s="241">
        <f t="shared" si="4"/>
        <v>2027</v>
      </c>
      <c r="F30" s="241">
        <f t="shared" si="4"/>
        <v>2028</v>
      </c>
      <c r="G30" s="241">
        <f t="shared" si="4"/>
        <v>2029</v>
      </c>
      <c r="H30" s="241">
        <f t="shared" si="4"/>
        <v>2030</v>
      </c>
      <c r="I30" s="241">
        <f t="shared" si="4"/>
        <v>2031</v>
      </c>
      <c r="J30" s="241">
        <f t="shared" si="4"/>
        <v>2032</v>
      </c>
      <c r="K30" s="241">
        <f t="shared" si="4"/>
        <v>2033</v>
      </c>
      <c r="L30" s="241">
        <f t="shared" si="4"/>
        <v>2034</v>
      </c>
      <c r="M30" s="241">
        <f t="shared" si="4"/>
        <v>2035</v>
      </c>
      <c r="N30" s="241">
        <f t="shared" si="4"/>
        <v>2036</v>
      </c>
      <c r="O30" s="241">
        <f t="shared" si="4"/>
        <v>2037</v>
      </c>
      <c r="P30" s="241">
        <f t="shared" si="4"/>
        <v>2038</v>
      </c>
      <c r="Q30" s="241">
        <f t="shared" si="4"/>
        <v>2039</v>
      </c>
      <c r="R30" s="241">
        <f t="shared" si="4"/>
        <v>2040</v>
      </c>
      <c r="S30" s="241">
        <f t="shared" si="4"/>
        <v>2041</v>
      </c>
      <c r="T30" s="241">
        <f t="shared" si="4"/>
        <v>2042</v>
      </c>
      <c r="U30" s="241">
        <f t="shared" si="4"/>
        <v>2043</v>
      </c>
      <c r="V30" s="241">
        <f t="shared" si="4"/>
        <v>2044</v>
      </c>
      <c r="W30" s="241">
        <f t="shared" si="4"/>
        <v>2045</v>
      </c>
      <c r="X30" s="241">
        <f t="shared" si="4"/>
        <v>2046</v>
      </c>
      <c r="Y30" s="241">
        <f t="shared" si="4"/>
        <v>2047</v>
      </c>
      <c r="Z30" s="241">
        <f t="shared" si="4"/>
        <v>2048</v>
      </c>
      <c r="AA30" s="241" t="str">
        <f t="shared" si="4"/>
        <v/>
      </c>
      <c r="AB30" s="241" t="str">
        <f t="shared" si="4"/>
        <v/>
      </c>
      <c r="AC30" s="241" t="str">
        <f t="shared" si="4"/>
        <v/>
      </c>
      <c r="AD30" s="241" t="str">
        <f>IF(AD28="","",INDEX($B$17:$AT$17,1,AD29))</f>
        <v/>
      </c>
      <c r="AE30" s="241" t="str">
        <f t="shared" si="4"/>
        <v/>
      </c>
      <c r="AF30" s="241" t="str">
        <f t="shared" si="4"/>
        <v/>
      </c>
      <c r="AG30" s="241" t="str">
        <f t="shared" si="4"/>
        <v/>
      </c>
      <c r="AH30" s="241" t="str">
        <f t="shared" si="4"/>
        <v/>
      </c>
      <c r="AI30" s="241" t="str">
        <f>IF(AI28="","",INDEX($B$17:$AJ$17,1,AI29))</f>
        <v/>
      </c>
      <c r="AJ30" s="241" t="str">
        <f>IF(AJ28="","",INDEX($B$17:$AJ$17,1,AJ29))</f>
        <v/>
      </c>
    </row>
    <row r="31" spans="1:46">
      <c r="B31" s="9" t="str">
        <f>Servicio_internaColumna_título_amortizaciones</f>
        <v>Amortizaciones</v>
      </c>
      <c r="C31" s="19">
        <f>IF(C28="","",INDEX($B$18:$AT$18,1,C29))</f>
        <v>20501323.811367717</v>
      </c>
      <c r="D31" s="19">
        <f>IF(D28="","",INDEX($B$18:$AT$18,1,D29))</f>
        <v>17960100.618875228</v>
      </c>
      <c r="E31" s="19">
        <f t="shared" ref="E31:AG31" si="5">IF(E28="","",INDEX($B$18:$AT$18,1,E29))</f>
        <v>20634175.773470312</v>
      </c>
      <c r="F31" s="19">
        <f t="shared" si="5"/>
        <v>13217021.441621844</v>
      </c>
      <c r="G31" s="19">
        <f t="shared" si="5"/>
        <v>21447937.380099177</v>
      </c>
      <c r="H31" s="19">
        <f t="shared" si="5"/>
        <v>19187042.513885368</v>
      </c>
      <c r="I31" s="19">
        <f t="shared" si="5"/>
        <v>23124355.988430232</v>
      </c>
      <c r="J31" s="19">
        <f t="shared" si="5"/>
        <v>18375765.319380421</v>
      </c>
      <c r="K31" s="19">
        <f t="shared" si="5"/>
        <v>18666032.722301178</v>
      </c>
      <c r="L31" s="19">
        <f t="shared" si="5"/>
        <v>18246026.1937957</v>
      </c>
      <c r="M31" s="19">
        <f t="shared" si="5"/>
        <v>18068194.484465666</v>
      </c>
      <c r="N31" s="19">
        <f t="shared" si="5"/>
        <v>23381649.875141442</v>
      </c>
      <c r="O31" s="19">
        <f t="shared" si="5"/>
        <v>12696322.321876287</v>
      </c>
      <c r="P31" s="19">
        <f t="shared" si="5"/>
        <v>10224728.437527904</v>
      </c>
      <c r="Q31" s="19">
        <f t="shared" si="5"/>
        <v>5521685.0267445948</v>
      </c>
      <c r="R31" s="19">
        <f t="shared" si="5"/>
        <v>6199834.4831966907</v>
      </c>
      <c r="S31" s="19">
        <f t="shared" si="5"/>
        <v>13067371.629007278</v>
      </c>
      <c r="T31" s="19">
        <f t="shared" si="5"/>
        <v>5626520.8833113685</v>
      </c>
      <c r="U31" s="19">
        <f t="shared" si="5"/>
        <v>400302.69097102969</v>
      </c>
      <c r="V31" s="19">
        <f t="shared" si="5"/>
        <v>11283132.394504581</v>
      </c>
      <c r="W31" s="19">
        <f t="shared" si="5"/>
        <v>20088586.785734978</v>
      </c>
      <c r="X31" s="19">
        <f t="shared" si="5"/>
        <v>243744.40145740288</v>
      </c>
      <c r="Y31" s="19">
        <f t="shared" si="5"/>
        <v>219699.19664809489</v>
      </c>
      <c r="Z31" s="19">
        <f t="shared" si="5"/>
        <v>219487.23508203006</v>
      </c>
      <c r="AA31" s="19" t="str">
        <f t="shared" si="5"/>
        <v/>
      </c>
      <c r="AB31" s="19" t="str">
        <f t="shared" si="5"/>
        <v/>
      </c>
      <c r="AC31" s="19" t="str">
        <f t="shared" si="5"/>
        <v/>
      </c>
      <c r="AD31" s="19" t="str">
        <f t="shared" si="5"/>
        <v/>
      </c>
      <c r="AE31" s="19" t="str">
        <f t="shared" si="5"/>
        <v/>
      </c>
      <c r="AF31" s="19" t="str">
        <f t="shared" si="5"/>
        <v/>
      </c>
      <c r="AG31" s="19" t="str">
        <f t="shared" si="5"/>
        <v/>
      </c>
      <c r="AH31" s="19" t="str">
        <f>IF(AH28="","",INDEX($B$18:$AJ$18,1,AH29))</f>
        <v/>
      </c>
      <c r="AI31" s="19" t="str">
        <f>IF(AI28="","",INDEX($B$18:$AJ$18,1,AI29))</f>
        <v/>
      </c>
      <c r="AJ31" s="19" t="str">
        <f>IF(AJ28="","",INDEX($B$18:$AJ$18,1,AJ29))</f>
        <v/>
      </c>
    </row>
    <row r="32" spans="1:46">
      <c r="B32" s="10" t="str">
        <f>Servicio_internaColumna_título_intereses</f>
        <v>Intereses</v>
      </c>
      <c r="C32" s="19">
        <f>IF(C28="","",INDEX($B$19:$AT$19,1,C29))</f>
        <v>16790091.583929114</v>
      </c>
      <c r="D32" s="19">
        <f>IF(D28="","",INDEX($B$19:$AT$19,1,D29))</f>
        <v>15653194.822356625</v>
      </c>
      <c r="E32" s="19">
        <f t="shared" ref="E32:AG32" si="6">IF(E28="","",INDEX($B$19:$AT$19,1,E29))</f>
        <v>14883834.971940974</v>
      </c>
      <c r="F32" s="19">
        <f t="shared" si="6"/>
        <v>14172000.828609528</v>
      </c>
      <c r="G32" s="19">
        <f t="shared" si="6"/>
        <v>13510027.331999365</v>
      </c>
      <c r="H32" s="19">
        <f t="shared" si="6"/>
        <v>12727605.138876844</v>
      </c>
      <c r="I32" s="19">
        <f t="shared" si="6"/>
        <v>11969083.166874317</v>
      </c>
      <c r="J32" s="19">
        <f t="shared" si="6"/>
        <v>11237820.397774464</v>
      </c>
      <c r="K32" s="19">
        <f t="shared" si="6"/>
        <v>10357123.196705304</v>
      </c>
      <c r="L32" s="19">
        <f t="shared" si="6"/>
        <v>9325387.7604841162</v>
      </c>
      <c r="M32" s="19">
        <f t="shared" si="6"/>
        <v>8614698.1106843352</v>
      </c>
      <c r="N32" s="19">
        <f t="shared" si="6"/>
        <v>7684495.3835451053</v>
      </c>
      <c r="O32" s="19">
        <f t="shared" si="6"/>
        <v>6672983.1146452297</v>
      </c>
      <c r="P32" s="19">
        <f t="shared" si="6"/>
        <v>5887499.7301184814</v>
      </c>
      <c r="Q32" s="19">
        <f t="shared" si="6"/>
        <v>5706135.6113937041</v>
      </c>
      <c r="R32" s="19">
        <f t="shared" si="6"/>
        <v>5447864.9658919154</v>
      </c>
      <c r="S32" s="19">
        <f t="shared" si="6"/>
        <v>4915699.3904800303</v>
      </c>
      <c r="T32" s="19">
        <f t="shared" si="6"/>
        <v>4397408.9676321298</v>
      </c>
      <c r="U32" s="19">
        <f t="shared" si="6"/>
        <v>4253940.7927491385</v>
      </c>
      <c r="V32" s="19">
        <f t="shared" si="6"/>
        <v>3937022.2584771514</v>
      </c>
      <c r="W32" s="19">
        <f t="shared" si="6"/>
        <v>3113784.1734583471</v>
      </c>
      <c r="X32" s="19">
        <f t="shared" si="6"/>
        <v>2608063.4057268389</v>
      </c>
      <c r="Y32" s="19">
        <f t="shared" si="6"/>
        <v>2598676.9822694184</v>
      </c>
      <c r="Z32" s="19">
        <f t="shared" si="6"/>
        <v>2596845.2882925333</v>
      </c>
      <c r="AA32" s="19" t="str">
        <f t="shared" si="6"/>
        <v/>
      </c>
      <c r="AB32" s="19" t="str">
        <f t="shared" si="6"/>
        <v/>
      </c>
      <c r="AC32" s="19" t="str">
        <f t="shared" si="6"/>
        <v/>
      </c>
      <c r="AD32" s="19" t="str">
        <f t="shared" si="6"/>
        <v/>
      </c>
      <c r="AE32" s="19" t="str">
        <f t="shared" si="6"/>
        <v/>
      </c>
      <c r="AF32" s="19" t="str">
        <f t="shared" si="6"/>
        <v/>
      </c>
      <c r="AG32" s="19" t="str">
        <f t="shared" si="6"/>
        <v/>
      </c>
      <c r="AH32" s="19" t="str">
        <f>IF(AH28="","",INDEX($B$19:$AJ$19,1,AH29))</f>
        <v/>
      </c>
      <c r="AI32" s="19" t="str">
        <f>IF(AI28="","",INDEX($B$19:$AJ$19,1,AI29))</f>
        <v/>
      </c>
      <c r="AJ32" s="19" t="str">
        <f>IF(AJ28="","",INDEX($B$19:$AJ$19,1,AJ29))</f>
        <v/>
      </c>
    </row>
    <row r="33" spans="1:36">
      <c r="B33" s="16" t="str">
        <f>Servicio_internaColumna_título_total</f>
        <v>Total</v>
      </c>
      <c r="C33" s="19">
        <f>IF(C28="","",INDEX($B$20:$AT$20,1,C29))</f>
        <v>37291415.395296827</v>
      </c>
      <c r="D33" s="19">
        <f>IF(D28="","",INDEX($B$20:$AT$20,1,D29))</f>
        <v>33613295.441231854</v>
      </c>
      <c r="E33" s="19">
        <f t="shared" ref="E33:AG33" si="7">IF(E28="","",INDEX($B$20:$AT$20,1,E29))</f>
        <v>35518010.745411284</v>
      </c>
      <c r="F33" s="19">
        <f t="shared" si="7"/>
        <v>27389022.270231374</v>
      </c>
      <c r="G33" s="19">
        <f t="shared" si="7"/>
        <v>34957964.712098539</v>
      </c>
      <c r="H33" s="19">
        <f t="shared" si="7"/>
        <v>31914647.652762212</v>
      </c>
      <c r="I33" s="19">
        <f t="shared" si="7"/>
        <v>35093439.155304551</v>
      </c>
      <c r="J33" s="19">
        <f t="shared" si="7"/>
        <v>29613585.717154883</v>
      </c>
      <c r="K33" s="19">
        <f t="shared" si="7"/>
        <v>29023155.919006482</v>
      </c>
      <c r="L33" s="19">
        <f t="shared" si="7"/>
        <v>27571413.954279818</v>
      </c>
      <c r="M33" s="19">
        <f t="shared" si="7"/>
        <v>26682892.595150001</v>
      </c>
      <c r="N33" s="19">
        <f t="shared" si="7"/>
        <v>31066145.258686546</v>
      </c>
      <c r="O33" s="19">
        <f t="shared" si="7"/>
        <v>19369305.436521515</v>
      </c>
      <c r="P33" s="19">
        <f t="shared" si="7"/>
        <v>16112228.167646386</v>
      </c>
      <c r="Q33" s="19">
        <f t="shared" si="7"/>
        <v>11227820.638138298</v>
      </c>
      <c r="R33" s="19">
        <f t="shared" si="7"/>
        <v>11647699.449088607</v>
      </c>
      <c r="S33" s="19">
        <f t="shared" si="7"/>
        <v>17983071.019487306</v>
      </c>
      <c r="T33" s="19">
        <f t="shared" si="7"/>
        <v>10023929.850943498</v>
      </c>
      <c r="U33" s="19">
        <f t="shared" si="7"/>
        <v>4654243.4837201685</v>
      </c>
      <c r="V33" s="19">
        <f t="shared" si="7"/>
        <v>15220154.652981732</v>
      </c>
      <c r="W33" s="19">
        <f t="shared" si="7"/>
        <v>23202370.959193327</v>
      </c>
      <c r="X33" s="19">
        <f t="shared" si="7"/>
        <v>2851807.8071842417</v>
      </c>
      <c r="Y33" s="19">
        <f t="shared" si="7"/>
        <v>2818376.1789175132</v>
      </c>
      <c r="Z33" s="19">
        <f t="shared" si="7"/>
        <v>2816332.5233745631</v>
      </c>
      <c r="AA33" s="19" t="str">
        <f t="shared" si="7"/>
        <v/>
      </c>
      <c r="AB33" s="19" t="str">
        <f t="shared" si="7"/>
        <v/>
      </c>
      <c r="AC33" s="19" t="str">
        <f t="shared" si="7"/>
        <v/>
      </c>
      <c r="AD33" s="19" t="str">
        <f t="shared" si="7"/>
        <v/>
      </c>
      <c r="AE33" s="19" t="str">
        <f t="shared" si="7"/>
        <v/>
      </c>
      <c r="AF33" s="19" t="str">
        <f t="shared" si="7"/>
        <v/>
      </c>
      <c r="AG33" s="19" t="str">
        <f t="shared" si="7"/>
        <v/>
      </c>
      <c r="AH33" s="19" t="str">
        <f>IF(AH28="","",INDEX($B$20:$AJ$20,1,AH29))</f>
        <v/>
      </c>
      <c r="AI33" s="19" t="str">
        <f>IF(AI28="","",INDEX($B$20:$AJ$20,1,AI29))</f>
        <v/>
      </c>
      <c r="AJ33" s="19" t="str">
        <f>IF(AJ28="","",INDEX($B$20:$AJ$20,1,AJ29))</f>
        <v/>
      </c>
    </row>
    <row r="37" spans="1:36" ht="13.5" thickBot="1"/>
    <row r="38" spans="1:36" ht="13.5" thickBot="1">
      <c r="A38" s="27" t="str">
        <f t="array" ref="A38:A72">TRANSPOSE(B30:AJ30)</f>
        <v>Year</v>
      </c>
      <c r="B38" s="242" t="str">
        <f t="array" ref="B38:D72">TRANSPOSE(B31:AJ33)</f>
        <v>Amortizaciones</v>
      </c>
      <c r="C38" s="243" t="str">
        <v>Intereses</v>
      </c>
      <c r="D38" s="244" t="str">
        <v>Total</v>
      </c>
      <c r="E38" s="3" t="s">
        <v>67</v>
      </c>
    </row>
    <row r="39" spans="1:36">
      <c r="A39" s="27">
        <v>2025</v>
      </c>
      <c r="B39" s="22">
        <v>20501323.811367717</v>
      </c>
      <c r="C39" s="22">
        <v>16790091.583929114</v>
      </c>
      <c r="D39" s="23">
        <v>37291415.395296827</v>
      </c>
      <c r="E39" s="3">
        <f>IF(D39="","",0)</f>
        <v>0</v>
      </c>
    </row>
    <row r="40" spans="1:36">
      <c r="A40" s="27">
        <v>2026</v>
      </c>
      <c r="B40" s="22">
        <v>17960100.618875228</v>
      </c>
      <c r="C40" s="22">
        <v>15653194.822356625</v>
      </c>
      <c r="D40" s="23">
        <v>33613295.441231854</v>
      </c>
      <c r="E40" s="3">
        <f t="shared" ref="E40:E72" si="8">IF(D40="","",0)</f>
        <v>0</v>
      </c>
    </row>
    <row r="41" spans="1:36">
      <c r="A41" s="27">
        <v>2027</v>
      </c>
      <c r="B41" s="22">
        <v>20634175.773470312</v>
      </c>
      <c r="C41" s="22">
        <v>14883834.971940974</v>
      </c>
      <c r="D41" s="23">
        <v>35518010.745411284</v>
      </c>
      <c r="E41" s="3">
        <f t="shared" si="8"/>
        <v>0</v>
      </c>
    </row>
    <row r="42" spans="1:36">
      <c r="A42" s="27">
        <v>2028</v>
      </c>
      <c r="B42" s="22">
        <v>13217021.441621844</v>
      </c>
      <c r="C42" s="22">
        <v>14172000.828609528</v>
      </c>
      <c r="D42" s="23">
        <v>27389022.270231374</v>
      </c>
      <c r="E42" s="3">
        <f t="shared" si="8"/>
        <v>0</v>
      </c>
    </row>
    <row r="43" spans="1:36">
      <c r="A43" s="27">
        <v>2029</v>
      </c>
      <c r="B43" s="22">
        <v>21447937.380099177</v>
      </c>
      <c r="C43" s="22">
        <v>13510027.331999365</v>
      </c>
      <c r="D43" s="23">
        <v>34957964.712098539</v>
      </c>
      <c r="E43" s="3">
        <f t="shared" si="8"/>
        <v>0</v>
      </c>
    </row>
    <row r="44" spans="1:36">
      <c r="A44" s="27">
        <v>2030</v>
      </c>
      <c r="B44" s="22">
        <v>19187042.513885368</v>
      </c>
      <c r="C44" s="22">
        <v>12727605.138876844</v>
      </c>
      <c r="D44" s="23">
        <v>31914647.652762212</v>
      </c>
      <c r="E44" s="3">
        <f t="shared" si="8"/>
        <v>0</v>
      </c>
    </row>
    <row r="45" spans="1:36">
      <c r="A45" s="27">
        <v>2031</v>
      </c>
      <c r="B45" s="22">
        <v>23124355.988430232</v>
      </c>
      <c r="C45" s="22">
        <v>11969083.166874317</v>
      </c>
      <c r="D45" s="23">
        <v>35093439.155304551</v>
      </c>
      <c r="E45" s="3">
        <f t="shared" si="8"/>
        <v>0</v>
      </c>
    </row>
    <row r="46" spans="1:36">
      <c r="A46" s="27">
        <v>2032</v>
      </c>
      <c r="B46" s="22">
        <v>18375765.319380421</v>
      </c>
      <c r="C46" s="22">
        <v>11237820.397774464</v>
      </c>
      <c r="D46" s="23">
        <v>29613585.717154883</v>
      </c>
      <c r="E46" s="3">
        <f t="shared" si="8"/>
        <v>0</v>
      </c>
    </row>
    <row r="47" spans="1:36">
      <c r="A47" s="27">
        <v>2033</v>
      </c>
      <c r="B47" s="22">
        <v>18666032.722301178</v>
      </c>
      <c r="C47" s="22">
        <v>10357123.196705304</v>
      </c>
      <c r="D47" s="23">
        <v>29023155.919006482</v>
      </c>
      <c r="E47" s="3">
        <f t="shared" si="8"/>
        <v>0</v>
      </c>
    </row>
    <row r="48" spans="1:36">
      <c r="A48" s="27">
        <v>2034</v>
      </c>
      <c r="B48" s="22">
        <v>18246026.1937957</v>
      </c>
      <c r="C48" s="22">
        <v>9325387.7604841162</v>
      </c>
      <c r="D48" s="94">
        <v>27571413.954279818</v>
      </c>
      <c r="E48" s="3">
        <f t="shared" si="8"/>
        <v>0</v>
      </c>
    </row>
    <row r="49" spans="1:5">
      <c r="A49" s="27">
        <v>2035</v>
      </c>
      <c r="B49" s="22">
        <v>18068194.484465666</v>
      </c>
      <c r="C49" s="22">
        <v>8614698.1106843352</v>
      </c>
      <c r="D49" s="23">
        <v>26682892.595150001</v>
      </c>
      <c r="E49" s="3">
        <f t="shared" si="8"/>
        <v>0</v>
      </c>
    </row>
    <row r="50" spans="1:5">
      <c r="A50" s="27">
        <v>2036</v>
      </c>
      <c r="B50" s="22">
        <v>23381649.875141442</v>
      </c>
      <c r="C50" s="22">
        <v>7684495.3835451053</v>
      </c>
      <c r="D50" s="23">
        <v>31066145.258686546</v>
      </c>
      <c r="E50" s="3">
        <f t="shared" si="8"/>
        <v>0</v>
      </c>
    </row>
    <row r="51" spans="1:5">
      <c r="A51" s="27">
        <v>2037</v>
      </c>
      <c r="B51" s="22">
        <v>12696322.321876287</v>
      </c>
      <c r="C51" s="22">
        <v>6672983.1146452297</v>
      </c>
      <c r="D51" s="23">
        <v>19369305.436521515</v>
      </c>
      <c r="E51" s="3">
        <f t="shared" si="8"/>
        <v>0</v>
      </c>
    </row>
    <row r="52" spans="1:5">
      <c r="A52" s="27">
        <v>2038</v>
      </c>
      <c r="B52" s="22">
        <v>10224728.437527904</v>
      </c>
      <c r="C52" s="22">
        <v>5887499.7301184814</v>
      </c>
      <c r="D52" s="23">
        <v>16112228.167646386</v>
      </c>
      <c r="E52" s="3">
        <f t="shared" si="8"/>
        <v>0</v>
      </c>
    </row>
    <row r="53" spans="1:5">
      <c r="A53" s="27">
        <v>2039</v>
      </c>
      <c r="B53" s="22">
        <v>5521685.0267445948</v>
      </c>
      <c r="C53" s="22">
        <v>5706135.6113937041</v>
      </c>
      <c r="D53" s="23">
        <v>11227820.638138298</v>
      </c>
      <c r="E53" s="3">
        <f t="shared" si="8"/>
        <v>0</v>
      </c>
    </row>
    <row r="54" spans="1:5">
      <c r="A54" s="27">
        <v>2040</v>
      </c>
      <c r="B54" s="22">
        <v>6199834.4831966907</v>
      </c>
      <c r="C54" s="22">
        <v>5447864.9658919154</v>
      </c>
      <c r="D54" s="23">
        <v>11647699.449088607</v>
      </c>
      <c r="E54" s="3">
        <f t="shared" si="8"/>
        <v>0</v>
      </c>
    </row>
    <row r="55" spans="1:5">
      <c r="A55" s="27">
        <v>2041</v>
      </c>
      <c r="B55" s="22">
        <v>13067371.629007278</v>
      </c>
      <c r="C55" s="22">
        <v>4915699.3904800303</v>
      </c>
      <c r="D55" s="23">
        <v>17983071.019487306</v>
      </c>
      <c r="E55" s="3">
        <f t="shared" si="8"/>
        <v>0</v>
      </c>
    </row>
    <row r="56" spans="1:5">
      <c r="A56" s="27">
        <v>2042</v>
      </c>
      <c r="B56" s="22">
        <v>5626520.8833113685</v>
      </c>
      <c r="C56" s="22">
        <v>4397408.9676321298</v>
      </c>
      <c r="D56" s="23">
        <v>10023929.850943498</v>
      </c>
      <c r="E56" s="3">
        <f t="shared" si="8"/>
        <v>0</v>
      </c>
    </row>
    <row r="57" spans="1:5">
      <c r="A57" s="27">
        <v>2043</v>
      </c>
      <c r="B57" s="22">
        <v>400302.69097102969</v>
      </c>
      <c r="C57" s="22">
        <v>4253940.7927491385</v>
      </c>
      <c r="D57" s="23">
        <v>4654243.4837201685</v>
      </c>
      <c r="E57" s="3">
        <f t="shared" si="8"/>
        <v>0</v>
      </c>
    </row>
    <row r="58" spans="1:5">
      <c r="A58" s="27">
        <v>2044</v>
      </c>
      <c r="B58" s="22">
        <v>11283132.394504581</v>
      </c>
      <c r="C58" s="22">
        <v>3937022.2584771514</v>
      </c>
      <c r="D58" s="23">
        <v>15220154.652981732</v>
      </c>
      <c r="E58" s="3">
        <f t="shared" si="8"/>
        <v>0</v>
      </c>
    </row>
    <row r="59" spans="1:5">
      <c r="A59" s="27">
        <v>2045</v>
      </c>
      <c r="B59" s="22">
        <v>20088586.785734978</v>
      </c>
      <c r="C59" s="22">
        <v>3113784.1734583471</v>
      </c>
      <c r="D59" s="23">
        <v>23202370.959193327</v>
      </c>
      <c r="E59" s="3">
        <f t="shared" si="8"/>
        <v>0</v>
      </c>
    </row>
    <row r="60" spans="1:5">
      <c r="A60" s="27">
        <v>2046</v>
      </c>
      <c r="B60" s="22">
        <v>243744.40145740288</v>
      </c>
      <c r="C60" s="22">
        <v>2608063.4057268389</v>
      </c>
      <c r="D60" s="23">
        <v>2851807.8071842417</v>
      </c>
      <c r="E60" s="3">
        <f t="shared" si="8"/>
        <v>0</v>
      </c>
    </row>
    <row r="61" spans="1:5">
      <c r="A61" s="27">
        <v>2047</v>
      </c>
      <c r="B61" s="22">
        <v>219699.19664809489</v>
      </c>
      <c r="C61" s="22">
        <v>2598676.9822694184</v>
      </c>
      <c r="D61" s="23">
        <v>2818376.1789175132</v>
      </c>
      <c r="E61" s="3">
        <f t="shared" si="8"/>
        <v>0</v>
      </c>
    </row>
    <row r="62" spans="1:5">
      <c r="A62" s="27">
        <v>2048</v>
      </c>
      <c r="B62" s="22">
        <v>219487.23508203006</v>
      </c>
      <c r="C62" s="22">
        <v>2596845.2882925333</v>
      </c>
      <c r="D62" s="23">
        <v>2816332.5233745631</v>
      </c>
      <c r="E62" s="3">
        <f t="shared" si="8"/>
        <v>0</v>
      </c>
    </row>
    <row r="63" spans="1:5">
      <c r="A63" s="27" t="str">
        <v/>
      </c>
      <c r="B63" s="22" t="str">
        <v/>
      </c>
      <c r="C63" s="22" t="str">
        <v/>
      </c>
      <c r="D63" s="23" t="str">
        <v/>
      </c>
      <c r="E63" s="3" t="str">
        <f t="shared" si="8"/>
        <v/>
      </c>
    </row>
    <row r="64" spans="1:5">
      <c r="A64" s="27" t="str">
        <v/>
      </c>
      <c r="B64" s="22" t="str">
        <v/>
      </c>
      <c r="C64" s="22" t="str">
        <v/>
      </c>
      <c r="D64" s="23" t="str">
        <v/>
      </c>
      <c r="E64" s="3" t="str">
        <f t="shared" si="8"/>
        <v/>
      </c>
    </row>
    <row r="65" spans="1:5">
      <c r="A65" s="27" t="str">
        <v/>
      </c>
      <c r="B65" s="22" t="str">
        <v/>
      </c>
      <c r="C65" s="22" t="str">
        <v/>
      </c>
      <c r="D65" s="23" t="str">
        <v/>
      </c>
      <c r="E65" s="3" t="str">
        <f t="shared" si="8"/>
        <v/>
      </c>
    </row>
    <row r="66" spans="1:5">
      <c r="A66" s="27" t="str">
        <v/>
      </c>
      <c r="B66" s="22" t="str">
        <v/>
      </c>
      <c r="C66" s="22" t="str">
        <v/>
      </c>
      <c r="D66" s="23" t="str">
        <v/>
      </c>
      <c r="E66" s="3" t="str">
        <f t="shared" si="8"/>
        <v/>
      </c>
    </row>
    <row r="67" spans="1:5">
      <c r="A67" s="27" t="str">
        <v/>
      </c>
      <c r="B67" s="22" t="str">
        <v/>
      </c>
      <c r="C67" s="22" t="str">
        <v/>
      </c>
      <c r="D67" s="23" t="str">
        <v/>
      </c>
      <c r="E67" s="3" t="str">
        <f t="shared" si="8"/>
        <v/>
      </c>
    </row>
    <row r="68" spans="1:5">
      <c r="A68" s="27" t="str">
        <v/>
      </c>
      <c r="B68" s="22" t="str">
        <v/>
      </c>
      <c r="C68" s="22" t="str">
        <v/>
      </c>
      <c r="D68" s="23" t="str">
        <v/>
      </c>
      <c r="E68" s="3" t="str">
        <f t="shared" si="8"/>
        <v/>
      </c>
    </row>
    <row r="69" spans="1:5">
      <c r="A69" s="27" t="str">
        <v/>
      </c>
      <c r="B69" s="22" t="str">
        <v/>
      </c>
      <c r="C69" s="22" t="str">
        <v/>
      </c>
      <c r="D69" s="23" t="str">
        <v/>
      </c>
      <c r="E69" s="3" t="str">
        <f t="shared" si="8"/>
        <v/>
      </c>
    </row>
    <row r="70" spans="1:5">
      <c r="A70" s="27" t="str">
        <v/>
      </c>
      <c r="B70" s="22" t="str">
        <v/>
      </c>
      <c r="C70" s="22" t="str">
        <v/>
      </c>
      <c r="D70" s="23" t="str">
        <v/>
      </c>
      <c r="E70" s="3" t="str">
        <f t="shared" si="8"/>
        <v/>
      </c>
    </row>
    <row r="71" spans="1:5">
      <c r="A71" s="27" t="str">
        <v/>
      </c>
      <c r="B71" s="22" t="str">
        <v/>
      </c>
      <c r="C71" s="22" t="str">
        <v/>
      </c>
      <c r="D71" s="23" t="str">
        <v/>
      </c>
      <c r="E71" s="3" t="str">
        <f t="shared" si="8"/>
        <v/>
      </c>
    </row>
    <row r="72" spans="1:5">
      <c r="A72" s="27" t="str">
        <v/>
      </c>
      <c r="B72" s="22" t="str">
        <v/>
      </c>
      <c r="C72" s="22" t="str">
        <v/>
      </c>
      <c r="D72" s="23" t="str">
        <v/>
      </c>
      <c r="E72" s="3" t="str">
        <f t="shared" si="8"/>
        <v/>
      </c>
    </row>
  </sheetData>
  <phoneticPr fontId="15" type="noConversion"/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318D-C0CF-4C53-8C9B-9F97E7DBD441}">
  <sheetPr codeName="Hoja21">
    <tabColor theme="1" tint="4.9989318521683403E-2"/>
  </sheetPr>
  <dimension ref="A7:BC72"/>
  <sheetViews>
    <sheetView zoomScale="85" zoomScaleNormal="85" workbookViewId="0"/>
  </sheetViews>
  <sheetFormatPr baseColWidth="10" defaultColWidth="11.42578125" defaultRowHeight="12.75"/>
  <cols>
    <col min="1" max="1" width="14.7109375" style="3" customWidth="1"/>
    <col min="2" max="2" width="15.42578125" style="3" bestFit="1" customWidth="1"/>
    <col min="3" max="3" width="14" style="3" bestFit="1" customWidth="1"/>
    <col min="4" max="7" width="11.42578125" style="3" bestFit="1" customWidth="1"/>
    <col min="8" max="13" width="13.7109375" style="3" bestFit="1" customWidth="1"/>
    <col min="14" max="17" width="12.7109375" style="3" bestFit="1" customWidth="1"/>
    <col min="18" max="18" width="13.7109375" style="3" bestFit="1" customWidth="1"/>
    <col min="19" max="22" width="12.7109375" style="3" bestFit="1" customWidth="1"/>
    <col min="23" max="27" width="12.28515625" style="3" bestFit="1" customWidth="1"/>
    <col min="28" max="28" width="11.28515625" style="3" bestFit="1" customWidth="1"/>
    <col min="29" max="29" width="12.28515625" style="3" bestFit="1" customWidth="1"/>
    <col min="30" max="30" width="11.28515625" style="3" bestFit="1" customWidth="1"/>
    <col min="31" max="31" width="12.28515625" style="3" bestFit="1" customWidth="1"/>
    <col min="32" max="33" width="11.28515625" style="3" bestFit="1" customWidth="1"/>
    <col min="34" max="34" width="12.28515625" style="3" bestFit="1" customWidth="1"/>
    <col min="35" max="36" width="11.42578125" style="3" bestFit="1" customWidth="1"/>
    <col min="37" max="16384" width="11.42578125" style="3"/>
  </cols>
  <sheetData>
    <row r="7" spans="2:55">
      <c r="B7" s="3" t="s">
        <v>60</v>
      </c>
    </row>
    <row r="8" spans="2:55">
      <c r="B8" s="3">
        <f>MAX(C9:BC9)</f>
        <v>849</v>
      </c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  <c r="J8" s="3">
        <v>8</v>
      </c>
      <c r="K8" s="3">
        <v>9</v>
      </c>
      <c r="L8" s="3">
        <v>10</v>
      </c>
      <c r="M8" s="3">
        <v>11</v>
      </c>
      <c r="N8" s="3">
        <v>12</v>
      </c>
      <c r="O8" s="3">
        <v>13</v>
      </c>
      <c r="P8" s="3">
        <v>14</v>
      </c>
      <c r="Q8" s="3">
        <v>15</v>
      </c>
      <c r="R8" s="3">
        <v>16</v>
      </c>
      <c r="S8" s="3">
        <v>17</v>
      </c>
      <c r="T8" s="3">
        <v>18</v>
      </c>
      <c r="U8" s="3">
        <v>19</v>
      </c>
      <c r="V8" s="3">
        <v>20</v>
      </c>
      <c r="W8" s="3">
        <v>21</v>
      </c>
      <c r="X8" s="3">
        <v>22</v>
      </c>
      <c r="Y8" s="3">
        <v>23</v>
      </c>
      <c r="Z8" s="3">
        <v>24</v>
      </c>
      <c r="AA8" s="3">
        <v>25</v>
      </c>
      <c r="AB8" s="3">
        <v>26</v>
      </c>
      <c r="AC8" s="3">
        <v>27</v>
      </c>
      <c r="AD8" s="3">
        <v>28</v>
      </c>
      <c r="AE8" s="3">
        <v>29</v>
      </c>
      <c r="AF8" s="3">
        <v>30</v>
      </c>
      <c r="AG8" s="3">
        <v>31</v>
      </c>
      <c r="AH8" s="3">
        <v>32</v>
      </c>
      <c r="AI8" s="3">
        <v>33</v>
      </c>
      <c r="AJ8" s="3">
        <v>34</v>
      </c>
      <c r="AK8" s="3">
        <v>35</v>
      </c>
      <c r="AL8" s="3">
        <v>36</v>
      </c>
      <c r="AM8" s="3">
        <v>37</v>
      </c>
      <c r="AN8" s="3">
        <v>38</v>
      </c>
      <c r="AO8" s="3">
        <v>39</v>
      </c>
      <c r="AP8" s="3">
        <v>40</v>
      </c>
      <c r="AQ8" s="3">
        <v>41</v>
      </c>
      <c r="AR8" s="3">
        <v>42</v>
      </c>
      <c r="AS8" s="3">
        <v>43</v>
      </c>
      <c r="AT8" s="3">
        <v>44</v>
      </c>
      <c r="AU8" s="3">
        <v>45</v>
      </c>
      <c r="AV8" s="3">
        <v>46</v>
      </c>
      <c r="AW8" s="3">
        <v>47</v>
      </c>
      <c r="AX8" s="3">
        <v>48</v>
      </c>
      <c r="AY8" s="3">
        <v>49</v>
      </c>
      <c r="AZ8" s="3">
        <v>50</v>
      </c>
      <c r="BA8" s="3">
        <v>51</v>
      </c>
      <c r="BB8" s="3">
        <v>52</v>
      </c>
      <c r="BC8" s="3">
        <v>53</v>
      </c>
    </row>
    <row r="9" spans="2:55">
      <c r="C9" s="3">
        <f>COUNT('Perfil - total'!C22:C984)</f>
        <v>93</v>
      </c>
      <c r="D9" s="3">
        <f>COUNT('Perfil - total'!D22:D984)</f>
        <v>93</v>
      </c>
      <c r="E9" s="3">
        <f>COUNT('Perfil - total'!E22:E984)</f>
        <v>93</v>
      </c>
      <c r="F9" s="3">
        <f>COUNT('Perfil - total'!F22:F984)</f>
        <v>378</v>
      </c>
      <c r="G9" s="3">
        <f>COUNT('Perfil - total'!G22:G984)</f>
        <v>378</v>
      </c>
      <c r="H9" s="3">
        <f>COUNT('Perfil - total'!H22:H984)</f>
        <v>378</v>
      </c>
      <c r="I9" s="3">
        <f>COUNT('Perfil - total'!I22:I984)</f>
        <v>378</v>
      </c>
      <c r="J9" s="3">
        <f>COUNT('Perfil - total'!J22:J984)</f>
        <v>378</v>
      </c>
      <c r="K9" s="3">
        <f>COUNT('Perfil - total'!K22:K984)</f>
        <v>378</v>
      </c>
      <c r="L9" s="3">
        <f>COUNT('Perfil - total'!L22:L984)</f>
        <v>378</v>
      </c>
      <c r="M9" s="3">
        <f>COUNT('Perfil - total'!M22:M984)</f>
        <v>387</v>
      </c>
      <c r="N9" s="3">
        <f>COUNT('Perfil - total'!N22:N984)</f>
        <v>414</v>
      </c>
      <c r="O9" s="3">
        <f>COUNT('Perfil - total'!O22:O984)</f>
        <v>450</v>
      </c>
      <c r="P9" s="3">
        <f>COUNT('Perfil - total'!P22:P984)</f>
        <v>486</v>
      </c>
      <c r="Q9" s="3">
        <f>COUNT('Perfil - total'!Q22:Q984)</f>
        <v>522</v>
      </c>
      <c r="R9" s="3">
        <f>COUNT('Perfil - total'!R22:R984)</f>
        <v>558</v>
      </c>
      <c r="S9" s="3">
        <f>COUNT('Perfil - total'!S22:S984)</f>
        <v>594</v>
      </c>
      <c r="T9" s="3">
        <f>COUNT('Perfil - total'!T22:T984)</f>
        <v>630</v>
      </c>
      <c r="U9" s="3">
        <f>COUNT('Perfil - total'!U22:U984)</f>
        <v>666</v>
      </c>
      <c r="V9" s="3">
        <f>COUNT('Perfil - total'!V22:V984)</f>
        <v>702</v>
      </c>
      <c r="W9" s="3">
        <f>COUNT('Perfil - total'!W22:W984)</f>
        <v>738</v>
      </c>
      <c r="X9" s="3">
        <f>COUNT('Perfil - total'!X22:X984)</f>
        <v>774</v>
      </c>
      <c r="Y9" s="3">
        <f>COUNT('Perfil - total'!Y22:Y984)</f>
        <v>810</v>
      </c>
      <c r="Z9" s="3">
        <f>COUNT('Perfil - total'!Z22:Z984)</f>
        <v>849</v>
      </c>
      <c r="AA9" s="3">
        <f>COUNT('Perfil - total'!AA22:AA984)</f>
        <v>849</v>
      </c>
      <c r="AB9" s="3">
        <f>COUNT('Perfil - total'!AB22:AB984)</f>
        <v>849</v>
      </c>
      <c r="AC9" s="3">
        <f>COUNT('Perfil - total'!AC22:AC984)</f>
        <v>849</v>
      </c>
      <c r="AD9" s="3">
        <f>COUNT('Perfil - total'!AD22:AD984)</f>
        <v>849</v>
      </c>
      <c r="AE9" s="3">
        <f>COUNT('Perfil - total'!AE22:AE984)</f>
        <v>849</v>
      </c>
      <c r="AF9" s="3">
        <f>COUNT('Perfil - total'!AF22:AF984)</f>
        <v>849</v>
      </c>
      <c r="AG9" s="3">
        <f>COUNT('Perfil - total'!AG22:AG984)</f>
        <v>849</v>
      </c>
      <c r="AH9" s="3">
        <f>COUNT('Perfil - total'!AH22:AH984)</f>
        <v>849</v>
      </c>
      <c r="AI9" s="3">
        <f>COUNT('Perfil - total'!AI22:AI984)</f>
        <v>849</v>
      </c>
      <c r="AJ9" s="3">
        <f>COUNT('Perfil - total'!AJ22:AJ984)</f>
        <v>849</v>
      </c>
      <c r="AK9" s="3">
        <f>COUNT('Perfil - total'!AK22:AK984)</f>
        <v>849</v>
      </c>
      <c r="AL9" s="3">
        <f>COUNT('Perfil - total'!AL22:AL984)</f>
        <v>849</v>
      </c>
      <c r="AM9" s="3">
        <f>COUNT('Perfil - total'!AM22:AM984)</f>
        <v>849</v>
      </c>
      <c r="AN9" s="3">
        <f>COUNT('Perfil - total'!AN22:AN984)</f>
        <v>849</v>
      </c>
      <c r="AO9" s="3">
        <f>COUNT('Perfil - total'!AO22:AO984)</f>
        <v>414</v>
      </c>
      <c r="AP9" s="3">
        <f>COUNT('Perfil - total'!AP22:AP984)</f>
        <v>414</v>
      </c>
      <c r="AQ9" s="3">
        <f>COUNT('Perfil - total'!AQ22:AQ984)</f>
        <v>414</v>
      </c>
      <c r="AR9" s="3">
        <f>COUNT('Perfil - total'!AR22:AR984)</f>
        <v>414</v>
      </c>
      <c r="AS9" s="3">
        <f>COUNT('Perfil - total'!AS22:AS984)</f>
        <v>414</v>
      </c>
      <c r="AT9" s="3">
        <f>COUNT('Perfil - total'!AT22:AT984)</f>
        <v>396</v>
      </c>
      <c r="AU9" s="3">
        <f>COUNT('Perfil - total'!AU22:AU984)</f>
        <v>363</v>
      </c>
      <c r="AV9" s="3">
        <f>COUNT('Perfil - total'!AV22:AV984)</f>
        <v>363</v>
      </c>
      <c r="AW9" s="3">
        <f>COUNT('Perfil - total'!AW22:AW984)</f>
        <v>363</v>
      </c>
      <c r="AX9" s="3">
        <f>COUNT('Perfil - total'!AX22:AX984)</f>
        <v>255</v>
      </c>
      <c r="AY9" s="3">
        <f>COUNT('Perfil - total'!AY22:AY984)</f>
        <v>198</v>
      </c>
      <c r="AZ9" s="3">
        <f>COUNT('Perfil - total'!AZ22:AZ984)</f>
        <v>198</v>
      </c>
      <c r="BA9" s="3">
        <f>COUNT('Perfil - total'!BA22:BA984)</f>
        <v>165</v>
      </c>
      <c r="BB9" s="3">
        <f>COUNT('Perfil - total'!BB22:BB984)</f>
        <v>165</v>
      </c>
      <c r="BC9" s="3">
        <f>COUNT('Perfil - total'!BC22:BC984)</f>
        <v>165</v>
      </c>
    </row>
    <row r="11" spans="2:55">
      <c r="B11" s="3" t="s">
        <v>61</v>
      </c>
    </row>
    <row r="15" spans="2:55" ht="16.5">
      <c r="B15" s="15" t="s">
        <v>69</v>
      </c>
      <c r="C15" s="15"/>
      <c r="D15" s="15"/>
      <c r="E15" s="15"/>
    </row>
    <row r="16" spans="2:55">
      <c r="B16" s="3">
        <f>B8</f>
        <v>849</v>
      </c>
    </row>
    <row r="17" spans="1:55">
      <c r="B17" s="6">
        <f>'Perfil - total'!C21</f>
        <v>2001</v>
      </c>
      <c r="C17" s="6">
        <f>'Perfil - total'!D21</f>
        <v>2002</v>
      </c>
      <c r="D17" s="6">
        <f>'Perfil - total'!E21</f>
        <v>2003</v>
      </c>
      <c r="E17" s="6">
        <f>'Perfil - total'!F21</f>
        <v>2004</v>
      </c>
      <c r="F17" s="6">
        <f>'Perfil - total'!G21</f>
        <v>2005</v>
      </c>
      <c r="G17" s="6">
        <f>'Perfil - total'!H21</f>
        <v>2006</v>
      </c>
      <c r="H17" s="6">
        <f>'Perfil - total'!I21</f>
        <v>2007</v>
      </c>
      <c r="I17" s="6">
        <f>'Perfil - total'!J21</f>
        <v>2008</v>
      </c>
      <c r="J17" s="6">
        <f>'Perfil - total'!K21</f>
        <v>2009</v>
      </c>
      <c r="K17" s="6">
        <f>'Perfil - total'!L21</f>
        <v>2010</v>
      </c>
      <c r="L17" s="6">
        <f>'Perfil - total'!M21</f>
        <v>2011</v>
      </c>
      <c r="M17" s="6">
        <f>'Perfil - total'!N21</f>
        <v>2012</v>
      </c>
      <c r="N17" s="6">
        <f>'Perfil - total'!O21</f>
        <v>2013</v>
      </c>
      <c r="O17" s="6">
        <f>'Perfil - total'!P21</f>
        <v>2014</v>
      </c>
      <c r="P17" s="6">
        <f>'Perfil - total'!Q21</f>
        <v>2015</v>
      </c>
      <c r="Q17" s="6">
        <f>'Perfil - total'!R21</f>
        <v>2016</v>
      </c>
      <c r="R17" s="6">
        <f>'Perfil - total'!S21</f>
        <v>2017</v>
      </c>
      <c r="S17" s="6">
        <f>'Perfil - total'!T21</f>
        <v>2018</v>
      </c>
      <c r="T17" s="6">
        <f>'Perfil - total'!U21</f>
        <v>2019</v>
      </c>
      <c r="U17" s="6">
        <f>'Perfil - total'!V21</f>
        <v>2020</v>
      </c>
      <c r="V17" s="6">
        <f>'Perfil - total'!W21</f>
        <v>2021</v>
      </c>
      <c r="W17" s="6">
        <f>'Perfil - total'!X21</f>
        <v>2022</v>
      </c>
      <c r="X17" s="6">
        <f>'Perfil - total'!Y21</f>
        <v>2023</v>
      </c>
      <c r="Y17" s="6">
        <f>'Perfil - total'!Z21</f>
        <v>2024</v>
      </c>
      <c r="Z17" s="6">
        <f>'Perfil - total'!AA21</f>
        <v>2025</v>
      </c>
      <c r="AA17" s="6">
        <f>'Perfil - total'!AB21</f>
        <v>2026</v>
      </c>
      <c r="AB17" s="6">
        <f>'Perfil - total'!AC21</f>
        <v>2027</v>
      </c>
      <c r="AC17" s="6">
        <f>'Perfil - total'!AD21</f>
        <v>2028</v>
      </c>
      <c r="AD17" s="6">
        <f>'Perfil - total'!AE21</f>
        <v>2029</v>
      </c>
      <c r="AE17" s="6">
        <f>'Perfil - total'!AF21</f>
        <v>2030</v>
      </c>
      <c r="AF17" s="6">
        <f>'Perfil - total'!AG21</f>
        <v>2031</v>
      </c>
      <c r="AG17" s="6">
        <f>'Perfil - total'!AH21</f>
        <v>2032</v>
      </c>
      <c r="AH17" s="6">
        <f>'Perfil - total'!AI21</f>
        <v>2033</v>
      </c>
      <c r="AI17" s="6">
        <f>'Perfil - total'!AJ21</f>
        <v>2034</v>
      </c>
      <c r="AJ17" s="6">
        <f>'Perfil - total'!AK21</f>
        <v>2035</v>
      </c>
      <c r="AK17" s="6">
        <f>'Perfil - total'!AL21</f>
        <v>2036</v>
      </c>
      <c r="AL17" s="6">
        <f>'Perfil - total'!AM21</f>
        <v>2037</v>
      </c>
      <c r="AM17" s="6">
        <f>'Perfil - total'!AN21</f>
        <v>2038</v>
      </c>
      <c r="AN17" s="6">
        <f>'Perfil - total'!AO21</f>
        <v>2039</v>
      </c>
      <c r="AO17" s="6">
        <f>'Perfil - total'!AP21</f>
        <v>2040</v>
      </c>
      <c r="AP17" s="6">
        <f>'Perfil - total'!AQ21</f>
        <v>2041</v>
      </c>
      <c r="AQ17" s="6">
        <f>'Perfil - total'!AR21</f>
        <v>2042</v>
      </c>
      <c r="AR17" s="6">
        <f>'Perfil - total'!AS21</f>
        <v>2043</v>
      </c>
      <c r="AS17" s="6">
        <f>'Perfil - total'!AT21</f>
        <v>2044</v>
      </c>
      <c r="AT17" s="6">
        <f>'Perfil - total'!AU21</f>
        <v>2045</v>
      </c>
      <c r="AU17" s="6">
        <f>'Perfil - total'!AV21</f>
        <v>2046</v>
      </c>
      <c r="AV17" s="6">
        <f>'Perfil - total'!AW21</f>
        <v>2047</v>
      </c>
      <c r="AW17" s="6">
        <f>'Perfil - total'!AX21</f>
        <v>2048</v>
      </c>
      <c r="AX17" s="6">
        <f>'Perfil - total'!AY21</f>
        <v>2049</v>
      </c>
    </row>
    <row r="18" spans="1:55">
      <c r="A18" s="9" t="str">
        <f>Servicio_internaColumna_título_amortizaciones</f>
        <v>Amortizaciones</v>
      </c>
      <c r="B18" s="17">
        <f>INDEX('Perfil - total'!C22:C984,$B$16-2)</f>
        <v>0</v>
      </c>
      <c r="C18" s="17">
        <f>INDEX('Perfil - total'!D22:D984,$B$16-2)</f>
        <v>0</v>
      </c>
      <c r="D18" s="17">
        <f>INDEX('Perfil - total'!E22:E984,$B$16-2)</f>
        <v>0</v>
      </c>
      <c r="E18" s="17">
        <f>INDEX('Perfil - total'!F22:F984,$B$16-2)</f>
        <v>0</v>
      </c>
      <c r="F18" s="17">
        <f>INDEX('Perfil - total'!G22:G984,$B$16-2)</f>
        <v>0</v>
      </c>
      <c r="G18" s="17">
        <f>INDEX('Perfil - total'!H22:H984,$B$16-2)</f>
        <v>0</v>
      </c>
      <c r="H18" s="17">
        <f>INDEX('Perfil - total'!I22:I984,$B$16-2)</f>
        <v>0</v>
      </c>
      <c r="I18" s="17">
        <f>INDEX('Perfil - total'!J22:J984,$B$16-2)</f>
        <v>0</v>
      </c>
      <c r="J18" s="17">
        <f>INDEX('Perfil - total'!K22:K984,$B$16-2)</f>
        <v>0</v>
      </c>
      <c r="K18" s="17">
        <f>INDEX('Perfil - total'!L22:L984,$B$16-2)</f>
        <v>0</v>
      </c>
      <c r="L18" s="17">
        <f>INDEX('Perfil - total'!M22:M984,$B$16-2)</f>
        <v>0</v>
      </c>
      <c r="M18" s="17">
        <f>INDEX('Perfil - total'!N22:N984,$B$16-2)</f>
        <v>0</v>
      </c>
      <c r="N18" s="17">
        <f>INDEX('Perfil - total'!O22:O984,$B$16-2)</f>
        <v>0</v>
      </c>
      <c r="O18" s="17">
        <f>INDEX('Perfil - total'!P22:P984,$B$16-2)</f>
        <v>0</v>
      </c>
      <c r="P18" s="17">
        <f>INDEX('Perfil - total'!Q22:Q984,$B$16-2)</f>
        <v>0</v>
      </c>
      <c r="Q18" s="17">
        <f>INDEX('Perfil - total'!R22:R984,$B$16-2)</f>
        <v>0</v>
      </c>
      <c r="R18" s="17">
        <f>INDEX('Perfil - total'!S22:S984,$B$16-2)</f>
        <v>0</v>
      </c>
      <c r="S18" s="17">
        <f>INDEX('Perfil - total'!T22:T984,$B$16-2)</f>
        <v>0</v>
      </c>
      <c r="T18" s="17">
        <f>INDEX('Perfil - total'!U22:U984,$B$16-2)</f>
        <v>0</v>
      </c>
      <c r="U18" s="17">
        <f>INDEX('Perfil - total'!V22:V984,$B$16-2)</f>
        <v>0</v>
      </c>
      <c r="V18" s="17">
        <f>INDEX('Perfil - total'!W22:W984,$B$16-2)</f>
        <v>0</v>
      </c>
      <c r="W18" s="17">
        <f>INDEX('Perfil - total'!X22:X984,$B$16-2)</f>
        <v>0</v>
      </c>
      <c r="X18" s="17">
        <f>INDEX('Perfil - total'!Y22:Y984,$B$16-2)</f>
        <v>0</v>
      </c>
      <c r="Y18" s="17">
        <f>INDEX('Perfil - total'!Z22:Z984,$B$16-2)</f>
        <v>0</v>
      </c>
      <c r="Z18" s="17">
        <f>INDEX('Perfil - total'!AA22:AA984,$B$16-2)</f>
        <v>129523942.63727753</v>
      </c>
      <c r="AA18" s="17">
        <f>INDEX('Perfil - total'!AB22:AB984,$B$16-2)</f>
        <v>51477289.96187523</v>
      </c>
      <c r="AB18" s="17">
        <f>INDEX('Perfil - total'!AC22:AC984,$B$16-2)</f>
        <v>66118314.486601703</v>
      </c>
      <c r="AC18" s="17">
        <f>INDEX('Perfil - total'!AD22:AD984,$B$16-2)</f>
        <v>51354231.053271845</v>
      </c>
      <c r="AD18" s="17">
        <f>INDEX('Perfil - total'!AE22:AE984,$B$16-2)</f>
        <v>49081654.669954374</v>
      </c>
      <c r="AE18" s="17">
        <f>INDEX('Perfil - total'!AF22:AF984,$B$16-2)</f>
        <v>42930310.128885366</v>
      </c>
      <c r="AF18" s="17">
        <f>INDEX('Perfil - total'!AG22:AG984,$B$16-2)</f>
        <v>58437676.44343023</v>
      </c>
      <c r="AG18" s="17">
        <f>INDEX('Perfil - total'!AH22:AH984,$B$16-2)</f>
        <v>47844026.672255218</v>
      </c>
      <c r="AH18" s="17">
        <f>INDEX('Perfil - total'!AI22:AI984,$B$16-2)</f>
        <v>63160200.965730377</v>
      </c>
      <c r="AI18" s="17">
        <f>INDEX('Perfil - total'!AJ22:AJ984,$B$16-2)</f>
        <v>46680338.393795699</v>
      </c>
      <c r="AJ18" s="17">
        <f>INDEX('Perfil - total'!AK22:AK984,$B$16-2)</f>
        <v>54340541.949211769</v>
      </c>
      <c r="AK18" s="17">
        <f>INDEX('Perfil - total'!AL22:AL984,$B$16-2)</f>
        <v>43590083.075141445</v>
      </c>
      <c r="AL18" s="17">
        <f>INDEX('Perfil - total'!AM22:AM984,$B$16-2)</f>
        <v>54557018.505656488</v>
      </c>
      <c r="AM18" s="17">
        <f>INDEX('Perfil - total'!AN22:AN984,$B$16-2)</f>
        <v>10224728.437527904</v>
      </c>
      <c r="AN18" s="17">
        <f>INDEX('Perfil - total'!AO22:AO984,$B$16-2)</f>
        <v>5521685.0267445948</v>
      </c>
      <c r="AO18" s="17">
        <f>INDEX('Perfil - total'!AP22:AP984,$B$16-2)</f>
        <v>6199834.4831966907</v>
      </c>
      <c r="AP18" s="17">
        <f>INDEX('Perfil - total'!AQ22:AQ984,$B$16-2)</f>
        <v>13067371.629007278</v>
      </c>
      <c r="AQ18" s="17">
        <f>INDEX('Perfil - total'!AR22:AR984,$B$16-2)</f>
        <v>55963581.783311367</v>
      </c>
      <c r="AR18" s="17">
        <f>INDEX('Perfil - total'!AS22:AS984,$B$16-2)</f>
        <v>400302.69097102969</v>
      </c>
      <c r="AS18" s="17">
        <f>INDEX('Perfil - total'!AT22:AT984,$B$16-2)</f>
        <v>11283132.394504581</v>
      </c>
      <c r="AT18" s="17">
        <f>INDEX('Perfil - total'!AU22:AU984,$B$16-2)</f>
        <v>20088586.785734978</v>
      </c>
      <c r="AU18" s="17">
        <f>INDEX('Perfil - total'!AV22:AV984,$B$16-2)</f>
        <v>22957778.001457404</v>
      </c>
      <c r="AV18" s="17">
        <f>INDEX('Perfil - total'!AW22:AW984,$B$16-2)</f>
        <v>219699.19664809489</v>
      </c>
      <c r="AW18" s="17">
        <f>INDEX('Perfil - total'!AX22:AX984,$B$16-2)</f>
        <v>219487.23508203006</v>
      </c>
      <c r="AX18" s="17">
        <f>INDEX('Perfil - total'!AY22:AY984,$B$16-2)</f>
        <v>46387781.302581541</v>
      </c>
    </row>
    <row r="19" spans="1:55">
      <c r="A19" s="10" t="str">
        <f>Servicio_internaColumna_título_intereses</f>
        <v>Intereses</v>
      </c>
      <c r="B19" s="17">
        <f>INDEX('Perfil - total'!C22:C984,$B$16-1)</f>
        <v>0</v>
      </c>
      <c r="C19" s="17">
        <f>INDEX('Perfil - total'!D22:D984,$B$16-1)</f>
        <v>0</v>
      </c>
      <c r="D19" s="17">
        <f>INDEX('Perfil - total'!E22:E984,$B$16-1)</f>
        <v>0</v>
      </c>
      <c r="E19" s="17">
        <f>INDEX('Perfil - total'!F22:F984,$B$16-1)</f>
        <v>0</v>
      </c>
      <c r="F19" s="17">
        <f>INDEX('Perfil - total'!G22:G984,$B$16-1)</f>
        <v>0</v>
      </c>
      <c r="G19" s="17">
        <f>INDEX('Perfil - total'!H22:H984,$B$16-1)</f>
        <v>0</v>
      </c>
      <c r="H19" s="17">
        <f>INDEX('Perfil - total'!I22:I984,$B$16-1)</f>
        <v>0</v>
      </c>
      <c r="I19" s="17">
        <f>INDEX('Perfil - total'!J22:J984,$B$16-1)</f>
        <v>0</v>
      </c>
      <c r="J19" s="17">
        <f>INDEX('Perfil - total'!K22:K984,$B$16-1)</f>
        <v>0</v>
      </c>
      <c r="K19" s="17">
        <f>INDEX('Perfil - total'!L22:L984,$B$16-1)</f>
        <v>0</v>
      </c>
      <c r="L19" s="17">
        <f>INDEX('Perfil - total'!M22:M984,$B$16-1)</f>
        <v>0</v>
      </c>
      <c r="M19" s="17">
        <f>INDEX('Perfil - total'!N22:N984,$B$16-1)</f>
        <v>0</v>
      </c>
      <c r="N19" s="17">
        <f>INDEX('Perfil - total'!O22:O984,$B$16-1)</f>
        <v>0</v>
      </c>
      <c r="O19" s="17">
        <f>INDEX('Perfil - total'!P22:P984,$B$16-1)</f>
        <v>0</v>
      </c>
      <c r="P19" s="17">
        <f>INDEX('Perfil - total'!Q22:Q984,$B$16-1)</f>
        <v>0</v>
      </c>
      <c r="Q19" s="17">
        <f>INDEX('Perfil - total'!R22:R984,$B$16-1)</f>
        <v>0</v>
      </c>
      <c r="R19" s="17">
        <f>INDEX('Perfil - total'!S22:S984,$B$16-1)</f>
        <v>0</v>
      </c>
      <c r="S19" s="17">
        <f>INDEX('Perfil - total'!T22:T984,$B$16-1)</f>
        <v>0</v>
      </c>
      <c r="T19" s="17">
        <f>INDEX('Perfil - total'!U22:U984,$B$16-1)</f>
        <v>0</v>
      </c>
      <c r="U19" s="17">
        <f>INDEX('Perfil - total'!V22:V984,$B$16-1)</f>
        <v>0</v>
      </c>
      <c r="V19" s="17">
        <f>INDEX('Perfil - total'!W22:W984,$B$16-1)</f>
        <v>0</v>
      </c>
      <c r="W19" s="17">
        <f>INDEX('Perfil - total'!X22:X984,$B$16-1)</f>
        <v>0</v>
      </c>
      <c r="X19" s="17">
        <f>INDEX('Perfil - total'!Y22:Y984,$B$16-1)</f>
        <v>0</v>
      </c>
      <c r="Y19" s="17">
        <f>INDEX('Perfil - total'!Z22:Z984,$B$16-1)</f>
        <v>0</v>
      </c>
      <c r="Z19" s="17">
        <f>INDEX('Perfil - total'!AA22:AA984,$B$16-1)</f>
        <v>53604923.443450697</v>
      </c>
      <c r="AA19" s="17">
        <f>INDEX('Perfil - total'!AB22:AB984,$B$16-1)</f>
        <v>52016017.796824194</v>
      </c>
      <c r="AB19" s="17">
        <f>INDEX('Perfil - total'!AC22:AC984,$B$16-1)</f>
        <v>48938562.879620366</v>
      </c>
      <c r="AC19" s="17">
        <f>INDEX('Perfil - total'!AD22:AD984,$B$16-1)</f>
        <v>46340201.305101059</v>
      </c>
      <c r="AD19" s="17">
        <f>INDEX('Perfil - total'!AE22:AE984,$B$16-1)</f>
        <v>43603209.73888126</v>
      </c>
      <c r="AE19" s="17">
        <f>INDEX('Perfil - total'!AF22:AF984,$B$16-1)</f>
        <v>42279751.670862466</v>
      </c>
      <c r="AF19" s="17">
        <f>INDEX('Perfil - total'!AG22:AG984,$B$16-1)</f>
        <v>39861168.045952015</v>
      </c>
      <c r="AG19" s="17">
        <f>INDEX('Perfil - total'!AH22:AH984,$B$16-1)</f>
        <v>36843416.112596996</v>
      </c>
      <c r="AH19" s="17">
        <f>INDEX('Perfil - total'!AI22:AI984,$B$16-1)</f>
        <v>34194241.10732501</v>
      </c>
      <c r="AI19" s="17">
        <f>INDEX('Perfil - total'!AJ22:AJ984,$B$16-1)</f>
        <v>29003525.589214571</v>
      </c>
      <c r="AJ19" s="17">
        <f>INDEX('Perfil - total'!AK22:AK984,$B$16-1)</f>
        <v>26413982.550374202</v>
      </c>
      <c r="AK19" s="17">
        <f>INDEX('Perfil - total'!AL22:AL984,$B$16-1)</f>
        <v>23232287.104365297</v>
      </c>
      <c r="AL19" s="17">
        <f>INDEX('Perfil - total'!AM22:AM984,$B$16-1)</f>
        <v>21078316.251722522</v>
      </c>
      <c r="AM19" s="17">
        <f>INDEX('Perfil - total'!AN22:AN984,$B$16-1)</f>
        <v>18058916.43518047</v>
      </c>
      <c r="AN19" s="17">
        <f>INDEX('Perfil - total'!AO22:AO984,$B$16-1)</f>
        <v>17934720.369490054</v>
      </c>
      <c r="AO19" s="17">
        <f>INDEX('Perfil - total'!AP22:AP984,$B$16-1)</f>
        <v>17735332.818613656</v>
      </c>
      <c r="AP19" s="17">
        <f>INDEX('Perfil - total'!AQ22:AQ984,$B$16-1)</f>
        <v>17263816.830665924</v>
      </c>
      <c r="AQ19" s="17">
        <f>INDEX('Perfil - total'!AR22:AR984,$B$16-1)</f>
        <v>16807995.482906096</v>
      </c>
      <c r="AR19" s="17">
        <f>INDEX('Perfil - total'!AS22:AS984,$B$16-1)</f>
        <v>12072692.322113827</v>
      </c>
      <c r="AS19" s="17">
        <f>INDEX('Perfil - total'!AT22:AT984,$B$16-1)</f>
        <v>11822047.22960278</v>
      </c>
      <c r="AT19" s="17">
        <f>INDEX('Perfil - total'!AU22:AU984,$B$16-1)</f>
        <v>11067070.789597746</v>
      </c>
      <c r="AU19" s="17">
        <f>INDEX('Perfil - total'!AV22:AV984,$B$16-1)</f>
        <v>10631659.516230419</v>
      </c>
      <c r="AV19" s="17">
        <f>INDEX('Perfil - total'!AW22:AW984,$B$16-1)</f>
        <v>8082578.0079681063</v>
      </c>
      <c r="AW19" s="17">
        <f>INDEX('Perfil - total'!AX22:AX984,$B$16-1)</f>
        <v>8155337.6565621812</v>
      </c>
      <c r="AX19" s="17">
        <f>INDEX('Perfil - total'!AY22:AY984,$B$16-1)</f>
        <v>7888040.0904254243</v>
      </c>
    </row>
    <row r="20" spans="1:55">
      <c r="A20" s="16" t="str">
        <f>Servicio_internaColumna_título_total</f>
        <v>Total</v>
      </c>
      <c r="B20" s="18">
        <f>INDEX('Perfil - total'!C22:C984,$B$16)</f>
        <v>0</v>
      </c>
      <c r="C20" s="18">
        <f>INDEX('Perfil - total'!D22:D984,$B$16)</f>
        <v>0</v>
      </c>
      <c r="D20" s="18">
        <f>INDEX('Perfil - total'!E22:E984,$B$16)</f>
        <v>0</v>
      </c>
      <c r="E20" s="18">
        <f>INDEX('Perfil - total'!F22:F984,$B$16)</f>
        <v>0</v>
      </c>
      <c r="F20" s="18">
        <f>INDEX('Perfil - total'!G22:G984,$B$16)</f>
        <v>0</v>
      </c>
      <c r="G20" s="18">
        <f>INDEX('Perfil - total'!H22:H984,$B$16)</f>
        <v>0</v>
      </c>
      <c r="H20" s="18">
        <f>INDEX('Perfil - total'!I22:I984,$B$16)</f>
        <v>0</v>
      </c>
      <c r="I20" s="18">
        <f>INDEX('Perfil - total'!J22:J984,$B$16)</f>
        <v>0</v>
      </c>
      <c r="J20" s="18">
        <f>INDEX('Perfil - total'!K22:K984,$B$16)</f>
        <v>0</v>
      </c>
      <c r="K20" s="18">
        <f>INDEX('Perfil - total'!L22:L984,$B$16)</f>
        <v>0</v>
      </c>
      <c r="L20" s="18">
        <f>INDEX('Perfil - total'!M22:M984,$B$16)</f>
        <v>0</v>
      </c>
      <c r="M20" s="18">
        <f>INDEX('Perfil - total'!N22:N984,$B$16)</f>
        <v>0</v>
      </c>
      <c r="N20" s="18">
        <f>INDEX('Perfil - total'!O22:O984,$B$16)</f>
        <v>0</v>
      </c>
      <c r="O20" s="18">
        <f>INDEX('Perfil - total'!P22:P984,$B$16)</f>
        <v>0</v>
      </c>
      <c r="P20" s="18">
        <f>INDEX('Perfil - total'!Q22:Q984,$B$16)</f>
        <v>0</v>
      </c>
      <c r="Q20" s="18">
        <f>INDEX('Perfil - total'!R22:R984,$B$16)</f>
        <v>0</v>
      </c>
      <c r="R20" s="18">
        <f>INDEX('Perfil - total'!S22:S984,$B$16)</f>
        <v>0</v>
      </c>
      <c r="S20" s="18">
        <f>INDEX('Perfil - total'!T22:T984,$B$16)</f>
        <v>0</v>
      </c>
      <c r="T20" s="18">
        <f>INDEX('Perfil - total'!U22:U984,$B$16)</f>
        <v>0</v>
      </c>
      <c r="U20" s="18">
        <f>INDEX('Perfil - total'!V22:V984,$B$16)</f>
        <v>0</v>
      </c>
      <c r="V20" s="18">
        <f>INDEX('Perfil - total'!W22:W984,$B$16)</f>
        <v>0</v>
      </c>
      <c r="W20" s="18">
        <f>INDEX('Perfil - total'!X22:X984,$B$16)</f>
        <v>0</v>
      </c>
      <c r="X20" s="18">
        <f>INDEX('Perfil - total'!Y22:Y984,$B$16)</f>
        <v>0</v>
      </c>
      <c r="Y20" s="18">
        <f>INDEX('Perfil - total'!Z22:Z984,$B$16)</f>
        <v>0</v>
      </c>
      <c r="Z20" s="18">
        <f>INDEX('Perfil - total'!AA22:AA984,$B$16)</f>
        <v>183128866.08072823</v>
      </c>
      <c r="AA20" s="18">
        <f>INDEX('Perfil - total'!AB22:AB984,$B$16)</f>
        <v>103493307.75869942</v>
      </c>
      <c r="AB20" s="18">
        <f>INDEX('Perfil - total'!AC22:AC984,$B$16)</f>
        <v>115056877.36622207</v>
      </c>
      <c r="AC20" s="18">
        <f>INDEX('Perfil - total'!AD22:AD984,$B$16)</f>
        <v>97694432.358372897</v>
      </c>
      <c r="AD20" s="18">
        <f>INDEX('Perfil - total'!AE22:AE984,$B$16)</f>
        <v>92684864.408835635</v>
      </c>
      <c r="AE20" s="18">
        <f>INDEX('Perfil - total'!AF22:AF984,$B$16)</f>
        <v>85210061.799747825</v>
      </c>
      <c r="AF20" s="18">
        <f>INDEX('Perfil - total'!AG22:AG984,$B$16)</f>
        <v>98298844.489382237</v>
      </c>
      <c r="AG20" s="18">
        <f>INDEX('Perfil - total'!AH22:AH984,$B$16)</f>
        <v>84687442.784852207</v>
      </c>
      <c r="AH20" s="18">
        <f>INDEX('Perfil - total'!AI22:AI984,$B$16)</f>
        <v>97354442.073055387</v>
      </c>
      <c r="AI20" s="18">
        <f>INDEX('Perfil - total'!AJ22:AJ984,$B$16)</f>
        <v>75683863.983010262</v>
      </c>
      <c r="AJ20" s="18">
        <f>INDEX('Perfil - total'!AK22:AK984,$B$16)</f>
        <v>80754524.499585971</v>
      </c>
      <c r="AK20" s="18">
        <f>INDEX('Perfil - total'!AL22:AL984,$B$16)</f>
        <v>66822370.179506741</v>
      </c>
      <c r="AL20" s="18">
        <f>INDEX('Perfil - total'!AM22:AM984,$B$16)</f>
        <v>75635334.75737901</v>
      </c>
      <c r="AM20" s="18">
        <f>INDEX('Perfil - total'!AN22:AN984,$B$16)</f>
        <v>28283644.872708373</v>
      </c>
      <c r="AN20" s="18">
        <f>INDEX('Perfil - total'!AO22:AO984,$B$16)</f>
        <v>23456405.396234646</v>
      </c>
      <c r="AO20" s="18">
        <f>INDEX('Perfil - total'!AP22:AP984,$B$16)</f>
        <v>23935167.301810347</v>
      </c>
      <c r="AP20" s="18">
        <f>INDEX('Perfil - total'!AQ22:AQ984,$B$16)</f>
        <v>30331188.459673204</v>
      </c>
      <c r="AQ20" s="18">
        <f>INDEX('Perfil - total'!AR22:AR984,$B$16)</f>
        <v>72771577.26621747</v>
      </c>
      <c r="AR20" s="18">
        <f>INDEX('Perfil - total'!AS22:AS984,$B$16)</f>
        <v>12472995.013084857</v>
      </c>
      <c r="AS20" s="18">
        <f>INDEX('Perfil - total'!AT22:AT984,$B$16)</f>
        <v>23105179.624107361</v>
      </c>
      <c r="AT20" s="18">
        <f>INDEX('Perfil - total'!AU22:AU984,$B$16)</f>
        <v>31155657.575332724</v>
      </c>
      <c r="AU20" s="18">
        <f>INDEX('Perfil - total'!AV22:AV984,$B$16)</f>
        <v>33589437.517687827</v>
      </c>
      <c r="AV20" s="18">
        <f>INDEX('Perfil - total'!AW22:AW984,$B$16)</f>
        <v>8302277.2046162011</v>
      </c>
      <c r="AW20" s="18">
        <f>INDEX('Perfil - total'!AX22:AX984,$B$16)</f>
        <v>8374824.8916442115</v>
      </c>
      <c r="AX20" s="18">
        <f>INDEX('Perfil - total'!AY22:AY984,$B$16)</f>
        <v>54275821.393006966</v>
      </c>
    </row>
    <row r="21" spans="1:55">
      <c r="B21" s="28" t="str">
        <f>IF(B20=0,"",1)</f>
        <v/>
      </c>
      <c r="C21" s="28" t="str">
        <f t="shared" ref="C21:AX21" si="0">IF(C20=0,"",1)</f>
        <v/>
      </c>
      <c r="D21" s="28" t="str">
        <f t="shared" si="0"/>
        <v/>
      </c>
      <c r="E21" s="28" t="str">
        <f t="shared" si="0"/>
        <v/>
      </c>
      <c r="F21" s="28" t="str">
        <f t="shared" si="0"/>
        <v/>
      </c>
      <c r="G21" s="28" t="str">
        <f t="shared" si="0"/>
        <v/>
      </c>
      <c r="H21" s="28" t="str">
        <f t="shared" si="0"/>
        <v/>
      </c>
      <c r="I21" s="28" t="str">
        <f t="shared" si="0"/>
        <v/>
      </c>
      <c r="J21" s="28" t="str">
        <f t="shared" si="0"/>
        <v/>
      </c>
      <c r="K21" s="28" t="str">
        <f t="shared" si="0"/>
        <v/>
      </c>
      <c r="L21" s="28" t="str">
        <f t="shared" si="0"/>
        <v/>
      </c>
      <c r="M21" s="28" t="str">
        <f t="shared" si="0"/>
        <v/>
      </c>
      <c r="N21" s="28" t="str">
        <f t="shared" si="0"/>
        <v/>
      </c>
      <c r="O21" s="28" t="str">
        <f t="shared" si="0"/>
        <v/>
      </c>
      <c r="P21" s="28" t="str">
        <f t="shared" si="0"/>
        <v/>
      </c>
      <c r="Q21" s="28" t="str">
        <f t="shared" si="0"/>
        <v/>
      </c>
      <c r="R21" s="28" t="str">
        <f t="shared" si="0"/>
        <v/>
      </c>
      <c r="S21" s="28" t="str">
        <f t="shared" si="0"/>
        <v/>
      </c>
      <c r="T21" s="28" t="str">
        <f t="shared" si="0"/>
        <v/>
      </c>
      <c r="U21" s="28" t="str">
        <f t="shared" si="0"/>
        <v/>
      </c>
      <c r="V21" s="28" t="str">
        <f t="shared" si="0"/>
        <v/>
      </c>
      <c r="W21" s="28" t="str">
        <f t="shared" si="0"/>
        <v/>
      </c>
      <c r="X21" s="28" t="str">
        <f t="shared" si="0"/>
        <v/>
      </c>
      <c r="Y21" s="28" t="str">
        <f t="shared" si="0"/>
        <v/>
      </c>
      <c r="Z21" s="28">
        <f t="shared" si="0"/>
        <v>1</v>
      </c>
      <c r="AA21" s="28">
        <f t="shared" si="0"/>
        <v>1</v>
      </c>
      <c r="AB21" s="28">
        <f t="shared" si="0"/>
        <v>1</v>
      </c>
      <c r="AC21" s="28">
        <f t="shared" si="0"/>
        <v>1</v>
      </c>
      <c r="AD21" s="28">
        <f t="shared" si="0"/>
        <v>1</v>
      </c>
      <c r="AE21" s="28">
        <f t="shared" si="0"/>
        <v>1</v>
      </c>
      <c r="AF21" s="28">
        <f t="shared" si="0"/>
        <v>1</v>
      </c>
      <c r="AG21" s="28">
        <f t="shared" si="0"/>
        <v>1</v>
      </c>
      <c r="AH21" s="28">
        <f t="shared" si="0"/>
        <v>1</v>
      </c>
      <c r="AI21" s="28">
        <f t="shared" si="0"/>
        <v>1</v>
      </c>
      <c r="AJ21" s="28">
        <f t="shared" si="0"/>
        <v>1</v>
      </c>
      <c r="AK21" s="28">
        <f t="shared" si="0"/>
        <v>1</v>
      </c>
      <c r="AL21" s="28">
        <f t="shared" si="0"/>
        <v>1</v>
      </c>
      <c r="AM21" s="28">
        <f t="shared" si="0"/>
        <v>1</v>
      </c>
      <c r="AN21" s="28">
        <f t="shared" si="0"/>
        <v>1</v>
      </c>
      <c r="AO21" s="28">
        <f t="shared" si="0"/>
        <v>1</v>
      </c>
      <c r="AP21" s="28">
        <f t="shared" si="0"/>
        <v>1</v>
      </c>
      <c r="AQ21" s="28">
        <f t="shared" si="0"/>
        <v>1</v>
      </c>
      <c r="AR21" s="28">
        <f t="shared" si="0"/>
        <v>1</v>
      </c>
      <c r="AS21" s="28">
        <f t="shared" si="0"/>
        <v>1</v>
      </c>
      <c r="AT21" s="28">
        <f t="shared" si="0"/>
        <v>1</v>
      </c>
      <c r="AU21" s="28">
        <f t="shared" si="0"/>
        <v>1</v>
      </c>
      <c r="AV21" s="28">
        <f t="shared" si="0"/>
        <v>1</v>
      </c>
      <c r="AW21" s="28">
        <f t="shared" si="0"/>
        <v>1</v>
      </c>
      <c r="AX21" s="28">
        <f t="shared" si="0"/>
        <v>1</v>
      </c>
    </row>
    <row r="22" spans="1:55">
      <c r="B22" s="3" t="s">
        <v>62</v>
      </c>
      <c r="C22" s="19">
        <f>MATCH(1,B21:AX21,)</f>
        <v>25</v>
      </c>
    </row>
    <row r="23" spans="1:55">
      <c r="B23" s="20" t="s">
        <v>63</v>
      </c>
      <c r="C23" s="3">
        <f>COUNT(B21:AX21)</f>
        <v>25</v>
      </c>
    </row>
    <row r="24" spans="1:55">
      <c r="C24" s="21"/>
    </row>
    <row r="27" spans="1:55">
      <c r="B27" s="3" t="e">
        <f ca="1">OFFSET('Perfil - total'!$B$115,0,0,COUNT('Perfil - total'!$A:$A))</f>
        <v>#VALUE!</v>
      </c>
    </row>
    <row r="28" spans="1:55">
      <c r="B28" s="3" t="s">
        <v>64</v>
      </c>
      <c r="C28" s="3">
        <v>1</v>
      </c>
      <c r="D28" s="3">
        <f>IF(C28="","",IF(C28+1&gt;$C$23,"",C28+1))</f>
        <v>2</v>
      </c>
      <c r="E28" s="3">
        <f t="shared" ref="E28:BC28" si="1">IF(D28="","",IF(D28+1&gt;$C$23,"",D28+1))</f>
        <v>3</v>
      </c>
      <c r="F28" s="3">
        <f t="shared" si="1"/>
        <v>4</v>
      </c>
      <c r="G28" s="3">
        <f t="shared" si="1"/>
        <v>5</v>
      </c>
      <c r="H28" s="3">
        <f t="shared" si="1"/>
        <v>6</v>
      </c>
      <c r="I28" s="3">
        <f t="shared" si="1"/>
        <v>7</v>
      </c>
      <c r="J28" s="3">
        <f t="shared" si="1"/>
        <v>8</v>
      </c>
      <c r="K28" s="3">
        <f t="shared" si="1"/>
        <v>9</v>
      </c>
      <c r="L28" s="3">
        <f t="shared" si="1"/>
        <v>10</v>
      </c>
      <c r="M28" s="3">
        <f t="shared" si="1"/>
        <v>11</v>
      </c>
      <c r="N28" s="3">
        <f t="shared" si="1"/>
        <v>12</v>
      </c>
      <c r="O28" s="3">
        <f t="shared" si="1"/>
        <v>13</v>
      </c>
      <c r="P28" s="3">
        <f t="shared" si="1"/>
        <v>14</v>
      </c>
      <c r="Q28" s="3">
        <f t="shared" si="1"/>
        <v>15</v>
      </c>
      <c r="R28" s="3">
        <f t="shared" si="1"/>
        <v>16</v>
      </c>
      <c r="S28" s="3">
        <f t="shared" si="1"/>
        <v>17</v>
      </c>
      <c r="T28" s="3">
        <f t="shared" si="1"/>
        <v>18</v>
      </c>
      <c r="U28" s="3">
        <f t="shared" si="1"/>
        <v>19</v>
      </c>
      <c r="V28" s="3">
        <f t="shared" si="1"/>
        <v>20</v>
      </c>
      <c r="W28" s="3">
        <f t="shared" si="1"/>
        <v>21</v>
      </c>
      <c r="X28" s="3">
        <f t="shared" si="1"/>
        <v>22</v>
      </c>
      <c r="Y28" s="3">
        <f t="shared" si="1"/>
        <v>23</v>
      </c>
      <c r="Z28" s="3">
        <f t="shared" si="1"/>
        <v>24</v>
      </c>
      <c r="AA28" s="3">
        <f t="shared" si="1"/>
        <v>25</v>
      </c>
      <c r="AB28" s="3" t="str">
        <f t="shared" si="1"/>
        <v/>
      </c>
      <c r="AC28" s="3" t="str">
        <f t="shared" si="1"/>
        <v/>
      </c>
      <c r="AD28" s="3" t="str">
        <f t="shared" si="1"/>
        <v/>
      </c>
      <c r="AE28" s="3" t="str">
        <f t="shared" si="1"/>
        <v/>
      </c>
      <c r="AF28" s="3" t="str">
        <f t="shared" si="1"/>
        <v/>
      </c>
      <c r="AG28" s="3" t="str">
        <f t="shared" si="1"/>
        <v/>
      </c>
      <c r="AH28" s="3" t="str">
        <f t="shared" si="1"/>
        <v/>
      </c>
      <c r="AI28" s="3" t="str">
        <f t="shared" si="1"/>
        <v/>
      </c>
      <c r="AJ28" s="3" t="str">
        <f t="shared" si="1"/>
        <v/>
      </c>
      <c r="AK28" s="3" t="str">
        <f t="shared" si="1"/>
        <v/>
      </c>
      <c r="AL28" s="3" t="str">
        <f t="shared" si="1"/>
        <v/>
      </c>
      <c r="AM28" s="3" t="str">
        <f t="shared" si="1"/>
        <v/>
      </c>
      <c r="AN28" s="3" t="str">
        <f t="shared" si="1"/>
        <v/>
      </c>
      <c r="AO28" s="3" t="str">
        <f t="shared" si="1"/>
        <v/>
      </c>
      <c r="AP28" s="3" t="str">
        <f t="shared" si="1"/>
        <v/>
      </c>
      <c r="AQ28" s="3" t="str">
        <f t="shared" si="1"/>
        <v/>
      </c>
      <c r="AR28" s="3" t="str">
        <f t="shared" si="1"/>
        <v/>
      </c>
      <c r="AS28" s="3" t="str">
        <f t="shared" si="1"/>
        <v/>
      </c>
      <c r="AT28" s="3" t="str">
        <f t="shared" si="1"/>
        <v/>
      </c>
      <c r="AU28" s="3" t="str">
        <f t="shared" si="1"/>
        <v/>
      </c>
      <c r="AV28" s="3" t="str">
        <f t="shared" si="1"/>
        <v/>
      </c>
      <c r="AW28" s="3" t="str">
        <f t="shared" si="1"/>
        <v/>
      </c>
      <c r="AX28" s="3" t="str">
        <f t="shared" si="1"/>
        <v/>
      </c>
      <c r="AY28" s="3" t="str">
        <f t="shared" si="1"/>
        <v/>
      </c>
      <c r="AZ28" s="3" t="str">
        <f t="shared" si="1"/>
        <v/>
      </c>
      <c r="BA28" s="3" t="str">
        <f t="shared" si="1"/>
        <v/>
      </c>
      <c r="BB28" s="3" t="str">
        <f t="shared" si="1"/>
        <v/>
      </c>
      <c r="BC28" s="3" t="str">
        <f t="shared" si="1"/>
        <v/>
      </c>
    </row>
    <row r="29" spans="1:55">
      <c r="B29" s="3" t="s">
        <v>65</v>
      </c>
      <c r="C29" s="21">
        <f>C22</f>
        <v>25</v>
      </c>
      <c r="D29" s="3">
        <f>IF(D28="","",C29+1)</f>
        <v>26</v>
      </c>
      <c r="E29" s="3">
        <f t="shared" ref="E29:BC29" si="2">IF(E28="","",D29+1)</f>
        <v>27</v>
      </c>
      <c r="F29" s="3">
        <f t="shared" si="2"/>
        <v>28</v>
      </c>
      <c r="G29" s="3">
        <f t="shared" si="2"/>
        <v>29</v>
      </c>
      <c r="H29" s="3">
        <f t="shared" si="2"/>
        <v>30</v>
      </c>
      <c r="I29" s="3">
        <f t="shared" si="2"/>
        <v>31</v>
      </c>
      <c r="J29" s="3">
        <f t="shared" si="2"/>
        <v>32</v>
      </c>
      <c r="K29" s="3">
        <f t="shared" si="2"/>
        <v>33</v>
      </c>
      <c r="L29" s="3">
        <f t="shared" si="2"/>
        <v>34</v>
      </c>
      <c r="M29" s="3">
        <f t="shared" si="2"/>
        <v>35</v>
      </c>
      <c r="N29" s="3">
        <f t="shared" si="2"/>
        <v>36</v>
      </c>
      <c r="O29" s="3">
        <f t="shared" si="2"/>
        <v>37</v>
      </c>
      <c r="P29" s="3">
        <f t="shared" si="2"/>
        <v>38</v>
      </c>
      <c r="Q29" s="3">
        <f t="shared" si="2"/>
        <v>39</v>
      </c>
      <c r="R29" s="3">
        <f t="shared" si="2"/>
        <v>40</v>
      </c>
      <c r="S29" s="3">
        <f t="shared" si="2"/>
        <v>41</v>
      </c>
      <c r="T29" s="3">
        <f t="shared" si="2"/>
        <v>42</v>
      </c>
      <c r="U29" s="3">
        <f t="shared" si="2"/>
        <v>43</v>
      </c>
      <c r="V29" s="3">
        <f t="shared" si="2"/>
        <v>44</v>
      </c>
      <c r="W29" s="3">
        <f t="shared" si="2"/>
        <v>45</v>
      </c>
      <c r="X29" s="3">
        <f t="shared" si="2"/>
        <v>46</v>
      </c>
      <c r="Y29" s="3">
        <f t="shared" si="2"/>
        <v>47</v>
      </c>
      <c r="Z29" s="3">
        <f t="shared" si="2"/>
        <v>48</v>
      </c>
      <c r="AA29" s="3">
        <f t="shared" si="2"/>
        <v>49</v>
      </c>
      <c r="AB29" s="3" t="str">
        <f t="shared" si="2"/>
        <v/>
      </c>
      <c r="AC29" s="3" t="str">
        <f t="shared" si="2"/>
        <v/>
      </c>
      <c r="AD29" s="3" t="str">
        <f t="shared" si="2"/>
        <v/>
      </c>
      <c r="AE29" s="3" t="str">
        <f t="shared" si="2"/>
        <v/>
      </c>
      <c r="AF29" s="3" t="str">
        <f t="shared" si="2"/>
        <v/>
      </c>
      <c r="AG29" s="3" t="str">
        <f t="shared" si="2"/>
        <v/>
      </c>
      <c r="AH29" s="3" t="str">
        <f t="shared" si="2"/>
        <v/>
      </c>
      <c r="AI29" s="3" t="str">
        <f t="shared" si="2"/>
        <v/>
      </c>
      <c r="AJ29" s="3" t="str">
        <f t="shared" si="2"/>
        <v/>
      </c>
      <c r="AK29" s="3" t="str">
        <f t="shared" si="2"/>
        <v/>
      </c>
      <c r="AL29" s="3" t="str">
        <f t="shared" si="2"/>
        <v/>
      </c>
      <c r="AM29" s="3" t="str">
        <f t="shared" si="2"/>
        <v/>
      </c>
      <c r="AN29" s="3" t="str">
        <f t="shared" si="2"/>
        <v/>
      </c>
      <c r="AO29" s="3" t="str">
        <f t="shared" si="2"/>
        <v/>
      </c>
      <c r="AP29" s="3" t="str">
        <f t="shared" si="2"/>
        <v/>
      </c>
      <c r="AQ29" s="3" t="str">
        <f t="shared" si="2"/>
        <v/>
      </c>
      <c r="AR29" s="3" t="str">
        <f t="shared" si="2"/>
        <v/>
      </c>
      <c r="AS29" s="3" t="str">
        <f t="shared" si="2"/>
        <v/>
      </c>
      <c r="AT29" s="3" t="str">
        <f t="shared" si="2"/>
        <v/>
      </c>
      <c r="AU29" s="3" t="str">
        <f t="shared" si="2"/>
        <v/>
      </c>
      <c r="AV29" s="3" t="str">
        <f t="shared" si="2"/>
        <v/>
      </c>
      <c r="AW29" s="3" t="str">
        <f t="shared" si="2"/>
        <v/>
      </c>
      <c r="AX29" s="3" t="str">
        <f t="shared" si="2"/>
        <v/>
      </c>
      <c r="AY29" s="3" t="str">
        <f t="shared" si="2"/>
        <v/>
      </c>
      <c r="AZ29" s="3" t="str">
        <f t="shared" si="2"/>
        <v/>
      </c>
      <c r="BA29" s="3" t="str">
        <f t="shared" si="2"/>
        <v/>
      </c>
      <c r="BB29" s="3" t="str">
        <f t="shared" si="2"/>
        <v/>
      </c>
      <c r="BC29" s="3" t="str">
        <f t="shared" si="2"/>
        <v/>
      </c>
    </row>
    <row r="30" spans="1:55">
      <c r="B30" s="3" t="s">
        <v>66</v>
      </c>
      <c r="C30" s="26">
        <f t="shared" ref="C30:AH30" si="3">IF(C28="","",INDEX($B$17:$AX$17,1,C29))</f>
        <v>2025</v>
      </c>
      <c r="D30" s="26">
        <f t="shared" si="3"/>
        <v>2026</v>
      </c>
      <c r="E30" s="26">
        <f t="shared" si="3"/>
        <v>2027</v>
      </c>
      <c r="F30" s="26">
        <f t="shared" si="3"/>
        <v>2028</v>
      </c>
      <c r="G30" s="26">
        <f t="shared" si="3"/>
        <v>2029</v>
      </c>
      <c r="H30" s="26">
        <f t="shared" si="3"/>
        <v>2030</v>
      </c>
      <c r="I30" s="26">
        <f t="shared" si="3"/>
        <v>2031</v>
      </c>
      <c r="J30" s="26">
        <f t="shared" si="3"/>
        <v>2032</v>
      </c>
      <c r="K30" s="26">
        <f t="shared" si="3"/>
        <v>2033</v>
      </c>
      <c r="L30" s="26">
        <f t="shared" si="3"/>
        <v>2034</v>
      </c>
      <c r="M30" s="26">
        <f t="shared" si="3"/>
        <v>2035</v>
      </c>
      <c r="N30" s="26">
        <f t="shared" si="3"/>
        <v>2036</v>
      </c>
      <c r="O30" s="26">
        <f t="shared" si="3"/>
        <v>2037</v>
      </c>
      <c r="P30" s="26">
        <f t="shared" si="3"/>
        <v>2038</v>
      </c>
      <c r="Q30" s="26">
        <f t="shared" si="3"/>
        <v>2039</v>
      </c>
      <c r="R30" s="26">
        <f t="shared" si="3"/>
        <v>2040</v>
      </c>
      <c r="S30" s="26">
        <f t="shared" si="3"/>
        <v>2041</v>
      </c>
      <c r="T30" s="26">
        <f t="shared" si="3"/>
        <v>2042</v>
      </c>
      <c r="U30" s="26">
        <f t="shared" si="3"/>
        <v>2043</v>
      </c>
      <c r="V30" s="26">
        <f t="shared" si="3"/>
        <v>2044</v>
      </c>
      <c r="W30" s="26">
        <f t="shared" si="3"/>
        <v>2045</v>
      </c>
      <c r="X30" s="26">
        <f t="shared" si="3"/>
        <v>2046</v>
      </c>
      <c r="Y30" s="26">
        <f t="shared" si="3"/>
        <v>2047</v>
      </c>
      <c r="Z30" s="26">
        <f t="shared" si="3"/>
        <v>2048</v>
      </c>
      <c r="AA30" s="26">
        <f t="shared" si="3"/>
        <v>2049</v>
      </c>
      <c r="AB30" s="26" t="str">
        <f t="shared" si="3"/>
        <v/>
      </c>
      <c r="AC30" s="26" t="str">
        <f t="shared" si="3"/>
        <v/>
      </c>
      <c r="AD30" s="26" t="str">
        <f t="shared" si="3"/>
        <v/>
      </c>
      <c r="AE30" s="26" t="str">
        <f t="shared" si="3"/>
        <v/>
      </c>
      <c r="AF30" s="26" t="str">
        <f t="shared" si="3"/>
        <v/>
      </c>
      <c r="AG30" s="26" t="str">
        <f t="shared" si="3"/>
        <v/>
      </c>
      <c r="AH30" s="26" t="str">
        <f t="shared" si="3"/>
        <v/>
      </c>
      <c r="AI30" s="26" t="str">
        <f t="shared" ref="AI30:BC30" si="4">IF(AI28="","",INDEX($B$17:$AX$17,1,AI29))</f>
        <v/>
      </c>
      <c r="AJ30" s="26" t="str">
        <f t="shared" si="4"/>
        <v/>
      </c>
      <c r="AK30" s="26" t="str">
        <f t="shared" si="4"/>
        <v/>
      </c>
      <c r="AL30" s="26" t="str">
        <f t="shared" si="4"/>
        <v/>
      </c>
      <c r="AM30" s="26" t="str">
        <f t="shared" si="4"/>
        <v/>
      </c>
      <c r="AN30" s="26" t="str">
        <f t="shared" si="4"/>
        <v/>
      </c>
      <c r="AO30" s="26" t="str">
        <f t="shared" si="4"/>
        <v/>
      </c>
      <c r="AP30" s="26" t="str">
        <f t="shared" si="4"/>
        <v/>
      </c>
      <c r="AQ30" s="26" t="str">
        <f t="shared" si="4"/>
        <v/>
      </c>
      <c r="AR30" s="26" t="str">
        <f t="shared" si="4"/>
        <v/>
      </c>
      <c r="AS30" s="26" t="str">
        <f t="shared" si="4"/>
        <v/>
      </c>
      <c r="AT30" s="26" t="str">
        <f t="shared" si="4"/>
        <v/>
      </c>
      <c r="AU30" s="26" t="str">
        <f t="shared" si="4"/>
        <v/>
      </c>
      <c r="AV30" s="26" t="str">
        <f t="shared" si="4"/>
        <v/>
      </c>
      <c r="AW30" s="26" t="str">
        <f t="shared" si="4"/>
        <v/>
      </c>
      <c r="AX30" s="26" t="str">
        <f t="shared" si="4"/>
        <v/>
      </c>
      <c r="AY30" s="26" t="str">
        <f t="shared" si="4"/>
        <v/>
      </c>
      <c r="AZ30" s="26" t="str">
        <f t="shared" si="4"/>
        <v/>
      </c>
      <c r="BA30" s="26" t="str">
        <f t="shared" si="4"/>
        <v/>
      </c>
      <c r="BB30" s="26" t="str">
        <f t="shared" si="4"/>
        <v/>
      </c>
      <c r="BC30" s="26" t="str">
        <f t="shared" si="4"/>
        <v/>
      </c>
    </row>
    <row r="31" spans="1:55">
      <c r="B31" s="9" t="str">
        <f>Servicio_internaColumna_título_amortizaciones</f>
        <v>Amortizaciones</v>
      </c>
      <c r="C31" s="19">
        <f>IF(C28="","",INDEX($B$18:$AX$18,1,C29))</f>
        <v>129523942.63727753</v>
      </c>
      <c r="D31" s="19">
        <f t="shared" ref="D31:AH31" si="5">IF(D28="","",INDEX($B$18:$AX$18,1,D29))</f>
        <v>51477289.96187523</v>
      </c>
      <c r="E31" s="19">
        <f t="shared" si="5"/>
        <v>66118314.486601703</v>
      </c>
      <c r="F31" s="19">
        <f t="shared" si="5"/>
        <v>51354231.053271845</v>
      </c>
      <c r="G31" s="19">
        <f t="shared" si="5"/>
        <v>49081654.669954374</v>
      </c>
      <c r="H31" s="19">
        <f t="shared" si="5"/>
        <v>42930310.128885366</v>
      </c>
      <c r="I31" s="19">
        <f t="shared" si="5"/>
        <v>58437676.44343023</v>
      </c>
      <c r="J31" s="19">
        <f t="shared" si="5"/>
        <v>47844026.672255218</v>
      </c>
      <c r="K31" s="19">
        <f t="shared" si="5"/>
        <v>63160200.965730377</v>
      </c>
      <c r="L31" s="19">
        <f t="shared" si="5"/>
        <v>46680338.393795699</v>
      </c>
      <c r="M31" s="19">
        <f t="shared" si="5"/>
        <v>54340541.949211769</v>
      </c>
      <c r="N31" s="19">
        <f t="shared" si="5"/>
        <v>43590083.075141445</v>
      </c>
      <c r="O31" s="19">
        <f t="shared" si="5"/>
        <v>54557018.505656488</v>
      </c>
      <c r="P31" s="19">
        <f t="shared" si="5"/>
        <v>10224728.437527904</v>
      </c>
      <c r="Q31" s="19">
        <f t="shared" si="5"/>
        <v>5521685.0267445948</v>
      </c>
      <c r="R31" s="19">
        <f t="shared" si="5"/>
        <v>6199834.4831966907</v>
      </c>
      <c r="S31" s="19">
        <f t="shared" si="5"/>
        <v>13067371.629007278</v>
      </c>
      <c r="T31" s="19">
        <f t="shared" si="5"/>
        <v>55963581.783311367</v>
      </c>
      <c r="U31" s="19">
        <f t="shared" si="5"/>
        <v>400302.69097102969</v>
      </c>
      <c r="V31" s="19">
        <f t="shared" si="5"/>
        <v>11283132.394504581</v>
      </c>
      <c r="W31" s="19">
        <f t="shared" si="5"/>
        <v>20088586.785734978</v>
      </c>
      <c r="X31" s="19">
        <f t="shared" si="5"/>
        <v>22957778.001457404</v>
      </c>
      <c r="Y31" s="19">
        <f t="shared" si="5"/>
        <v>219699.19664809489</v>
      </c>
      <c r="Z31" s="19">
        <f t="shared" si="5"/>
        <v>219487.23508203006</v>
      </c>
      <c r="AA31" s="19">
        <f t="shared" si="5"/>
        <v>46387781.302581541</v>
      </c>
      <c r="AB31" s="19" t="str">
        <f t="shared" si="5"/>
        <v/>
      </c>
      <c r="AC31" s="19" t="str">
        <f t="shared" si="5"/>
        <v/>
      </c>
      <c r="AD31" s="19" t="str">
        <f t="shared" si="5"/>
        <v/>
      </c>
      <c r="AE31" s="19" t="str">
        <f t="shared" si="5"/>
        <v/>
      </c>
      <c r="AF31" s="19" t="str">
        <f t="shared" si="5"/>
        <v/>
      </c>
      <c r="AG31" s="19" t="str">
        <f t="shared" si="5"/>
        <v/>
      </c>
      <c r="AH31" s="19" t="str">
        <f t="shared" si="5"/>
        <v/>
      </c>
      <c r="AI31" s="19" t="str">
        <f t="shared" ref="AI31:BC31" si="6">IF(AI28="","",INDEX($B$18:$AX$18,1,AI29))</f>
        <v/>
      </c>
      <c r="AJ31" s="19" t="str">
        <f t="shared" si="6"/>
        <v/>
      </c>
      <c r="AK31" s="19" t="str">
        <f t="shared" si="6"/>
        <v/>
      </c>
      <c r="AL31" s="19" t="str">
        <f t="shared" si="6"/>
        <v/>
      </c>
      <c r="AM31" s="19" t="str">
        <f t="shared" si="6"/>
        <v/>
      </c>
      <c r="AN31" s="19" t="str">
        <f t="shared" si="6"/>
        <v/>
      </c>
      <c r="AO31" s="19" t="str">
        <f t="shared" si="6"/>
        <v/>
      </c>
      <c r="AP31" s="19" t="str">
        <f t="shared" si="6"/>
        <v/>
      </c>
      <c r="AQ31" s="19" t="str">
        <f t="shared" si="6"/>
        <v/>
      </c>
      <c r="AR31" s="19" t="str">
        <f t="shared" si="6"/>
        <v/>
      </c>
      <c r="AS31" s="19" t="str">
        <f t="shared" si="6"/>
        <v/>
      </c>
      <c r="AT31" s="19" t="str">
        <f t="shared" si="6"/>
        <v/>
      </c>
      <c r="AU31" s="19" t="str">
        <f t="shared" si="6"/>
        <v/>
      </c>
      <c r="AV31" s="19" t="str">
        <f t="shared" si="6"/>
        <v/>
      </c>
      <c r="AW31" s="19" t="str">
        <f t="shared" si="6"/>
        <v/>
      </c>
      <c r="AX31" s="19" t="str">
        <f t="shared" si="6"/>
        <v/>
      </c>
      <c r="AY31" s="19" t="str">
        <f t="shared" si="6"/>
        <v/>
      </c>
      <c r="AZ31" s="19" t="str">
        <f t="shared" si="6"/>
        <v/>
      </c>
      <c r="BA31" s="19" t="str">
        <f t="shared" si="6"/>
        <v/>
      </c>
      <c r="BB31" s="19" t="str">
        <f t="shared" si="6"/>
        <v/>
      </c>
      <c r="BC31" s="19" t="str">
        <f t="shared" si="6"/>
        <v/>
      </c>
    </row>
    <row r="32" spans="1:55">
      <c r="B32" s="10" t="str">
        <f>Servicio_internaColumna_título_intereses</f>
        <v>Intereses</v>
      </c>
      <c r="C32" s="19">
        <f t="shared" ref="C32:AH32" si="7">IF(C28="","",INDEX($B$19:$AX$19,1,C29))</f>
        <v>53604923.443450697</v>
      </c>
      <c r="D32" s="19">
        <f t="shared" si="7"/>
        <v>52016017.796824194</v>
      </c>
      <c r="E32" s="19">
        <f t="shared" si="7"/>
        <v>48938562.879620366</v>
      </c>
      <c r="F32" s="19">
        <f t="shared" si="7"/>
        <v>46340201.305101059</v>
      </c>
      <c r="G32" s="19">
        <f t="shared" si="7"/>
        <v>43603209.73888126</v>
      </c>
      <c r="H32" s="19">
        <f t="shared" si="7"/>
        <v>42279751.670862466</v>
      </c>
      <c r="I32" s="19">
        <f t="shared" si="7"/>
        <v>39861168.045952015</v>
      </c>
      <c r="J32" s="19">
        <f t="shared" si="7"/>
        <v>36843416.112596996</v>
      </c>
      <c r="K32" s="19">
        <f t="shared" si="7"/>
        <v>34194241.10732501</v>
      </c>
      <c r="L32" s="19">
        <f t="shared" si="7"/>
        <v>29003525.589214571</v>
      </c>
      <c r="M32" s="19">
        <f t="shared" si="7"/>
        <v>26413982.550374202</v>
      </c>
      <c r="N32" s="19">
        <f t="shared" si="7"/>
        <v>23232287.104365297</v>
      </c>
      <c r="O32" s="19">
        <f t="shared" si="7"/>
        <v>21078316.251722522</v>
      </c>
      <c r="P32" s="19">
        <f t="shared" si="7"/>
        <v>18058916.43518047</v>
      </c>
      <c r="Q32" s="19">
        <f t="shared" si="7"/>
        <v>17934720.369490054</v>
      </c>
      <c r="R32" s="19">
        <f t="shared" si="7"/>
        <v>17735332.818613656</v>
      </c>
      <c r="S32" s="19">
        <f t="shared" si="7"/>
        <v>17263816.830665924</v>
      </c>
      <c r="T32" s="19">
        <f t="shared" si="7"/>
        <v>16807995.482906096</v>
      </c>
      <c r="U32" s="19">
        <f t="shared" si="7"/>
        <v>12072692.322113827</v>
      </c>
      <c r="V32" s="19">
        <f t="shared" si="7"/>
        <v>11822047.22960278</v>
      </c>
      <c r="W32" s="19">
        <f t="shared" si="7"/>
        <v>11067070.789597746</v>
      </c>
      <c r="X32" s="19">
        <f t="shared" si="7"/>
        <v>10631659.516230419</v>
      </c>
      <c r="Y32" s="19">
        <f t="shared" si="7"/>
        <v>8082578.0079681063</v>
      </c>
      <c r="Z32" s="19">
        <f t="shared" si="7"/>
        <v>8155337.6565621812</v>
      </c>
      <c r="AA32" s="19">
        <f t="shared" si="7"/>
        <v>7888040.0904254243</v>
      </c>
      <c r="AB32" s="19" t="str">
        <f t="shared" si="7"/>
        <v/>
      </c>
      <c r="AC32" s="19" t="str">
        <f t="shared" si="7"/>
        <v/>
      </c>
      <c r="AD32" s="19" t="str">
        <f t="shared" si="7"/>
        <v/>
      </c>
      <c r="AE32" s="19" t="str">
        <f t="shared" si="7"/>
        <v/>
      </c>
      <c r="AF32" s="19" t="str">
        <f t="shared" si="7"/>
        <v/>
      </c>
      <c r="AG32" s="19" t="str">
        <f t="shared" si="7"/>
        <v/>
      </c>
      <c r="AH32" s="19" t="str">
        <f t="shared" si="7"/>
        <v/>
      </c>
      <c r="AI32" s="19" t="str">
        <f t="shared" ref="AI32:BC32" si="8">IF(AI28="","",INDEX($B$19:$AX$19,1,AI29))</f>
        <v/>
      </c>
      <c r="AJ32" s="19" t="str">
        <f t="shared" si="8"/>
        <v/>
      </c>
      <c r="AK32" s="19" t="str">
        <f t="shared" si="8"/>
        <v/>
      </c>
      <c r="AL32" s="19" t="str">
        <f t="shared" si="8"/>
        <v/>
      </c>
      <c r="AM32" s="19" t="str">
        <f t="shared" si="8"/>
        <v/>
      </c>
      <c r="AN32" s="19" t="str">
        <f t="shared" si="8"/>
        <v/>
      </c>
      <c r="AO32" s="19" t="str">
        <f t="shared" si="8"/>
        <v/>
      </c>
      <c r="AP32" s="19" t="str">
        <f t="shared" si="8"/>
        <v/>
      </c>
      <c r="AQ32" s="19" t="str">
        <f t="shared" si="8"/>
        <v/>
      </c>
      <c r="AR32" s="19" t="str">
        <f t="shared" si="8"/>
        <v/>
      </c>
      <c r="AS32" s="19" t="str">
        <f t="shared" si="8"/>
        <v/>
      </c>
      <c r="AT32" s="19" t="str">
        <f t="shared" si="8"/>
        <v/>
      </c>
      <c r="AU32" s="19" t="str">
        <f t="shared" si="8"/>
        <v/>
      </c>
      <c r="AV32" s="19" t="str">
        <f t="shared" si="8"/>
        <v/>
      </c>
      <c r="AW32" s="19" t="str">
        <f t="shared" si="8"/>
        <v/>
      </c>
      <c r="AX32" s="19" t="str">
        <f t="shared" si="8"/>
        <v/>
      </c>
      <c r="AY32" s="19" t="str">
        <f t="shared" si="8"/>
        <v/>
      </c>
      <c r="AZ32" s="19" t="str">
        <f t="shared" si="8"/>
        <v/>
      </c>
      <c r="BA32" s="19" t="str">
        <f t="shared" si="8"/>
        <v/>
      </c>
      <c r="BB32" s="19" t="str">
        <f t="shared" si="8"/>
        <v/>
      </c>
      <c r="BC32" s="19" t="str">
        <f t="shared" si="8"/>
        <v/>
      </c>
    </row>
    <row r="33" spans="1:55">
      <c r="B33" s="16" t="str">
        <f>Servicio_internaColumna_título_total</f>
        <v>Total</v>
      </c>
      <c r="C33" s="19">
        <f t="shared" ref="C33:AH33" si="9">IF(C28="","",INDEX($B$20:$AX$20,1,C29))</f>
        <v>183128866.08072823</v>
      </c>
      <c r="D33" s="19">
        <f t="shared" si="9"/>
        <v>103493307.75869942</v>
      </c>
      <c r="E33" s="19">
        <f t="shared" si="9"/>
        <v>115056877.36622207</v>
      </c>
      <c r="F33" s="19">
        <f t="shared" si="9"/>
        <v>97694432.358372897</v>
      </c>
      <c r="G33" s="19">
        <f t="shared" si="9"/>
        <v>92684864.408835635</v>
      </c>
      <c r="H33" s="19">
        <f t="shared" si="9"/>
        <v>85210061.799747825</v>
      </c>
      <c r="I33" s="19">
        <f t="shared" si="9"/>
        <v>98298844.489382237</v>
      </c>
      <c r="J33" s="19">
        <f t="shared" si="9"/>
        <v>84687442.784852207</v>
      </c>
      <c r="K33" s="19">
        <f t="shared" si="9"/>
        <v>97354442.073055387</v>
      </c>
      <c r="L33" s="19">
        <f t="shared" si="9"/>
        <v>75683863.983010262</v>
      </c>
      <c r="M33" s="19">
        <f t="shared" si="9"/>
        <v>80754524.499585971</v>
      </c>
      <c r="N33" s="19">
        <f t="shared" si="9"/>
        <v>66822370.179506741</v>
      </c>
      <c r="O33" s="19">
        <f t="shared" si="9"/>
        <v>75635334.75737901</v>
      </c>
      <c r="P33" s="19">
        <f t="shared" si="9"/>
        <v>28283644.872708373</v>
      </c>
      <c r="Q33" s="19">
        <f t="shared" si="9"/>
        <v>23456405.396234646</v>
      </c>
      <c r="R33" s="19">
        <f t="shared" si="9"/>
        <v>23935167.301810347</v>
      </c>
      <c r="S33" s="19">
        <f t="shared" si="9"/>
        <v>30331188.459673204</v>
      </c>
      <c r="T33" s="19">
        <f t="shared" si="9"/>
        <v>72771577.26621747</v>
      </c>
      <c r="U33" s="19">
        <f t="shared" si="9"/>
        <v>12472995.013084857</v>
      </c>
      <c r="V33" s="19">
        <f t="shared" si="9"/>
        <v>23105179.624107361</v>
      </c>
      <c r="W33" s="19">
        <f t="shared" si="9"/>
        <v>31155657.575332724</v>
      </c>
      <c r="X33" s="19">
        <f t="shared" si="9"/>
        <v>33589437.517687827</v>
      </c>
      <c r="Y33" s="19">
        <f t="shared" si="9"/>
        <v>8302277.2046162011</v>
      </c>
      <c r="Z33" s="19">
        <f t="shared" si="9"/>
        <v>8374824.8916442115</v>
      </c>
      <c r="AA33" s="19">
        <f t="shared" si="9"/>
        <v>54275821.393006966</v>
      </c>
      <c r="AB33" s="19" t="str">
        <f t="shared" si="9"/>
        <v/>
      </c>
      <c r="AC33" s="19" t="str">
        <f t="shared" si="9"/>
        <v/>
      </c>
      <c r="AD33" s="19" t="str">
        <f t="shared" si="9"/>
        <v/>
      </c>
      <c r="AE33" s="19" t="str">
        <f t="shared" si="9"/>
        <v/>
      </c>
      <c r="AF33" s="19" t="str">
        <f t="shared" si="9"/>
        <v/>
      </c>
      <c r="AG33" s="19" t="str">
        <f t="shared" si="9"/>
        <v/>
      </c>
      <c r="AH33" s="19" t="str">
        <f t="shared" si="9"/>
        <v/>
      </c>
      <c r="AI33" s="19" t="str">
        <f t="shared" ref="AI33:BC33" si="10">IF(AI28="","",INDEX($B$20:$AX$20,1,AI29))</f>
        <v/>
      </c>
      <c r="AJ33" s="19" t="str">
        <f t="shared" si="10"/>
        <v/>
      </c>
      <c r="AK33" s="19" t="str">
        <f t="shared" si="10"/>
        <v/>
      </c>
      <c r="AL33" s="19" t="str">
        <f t="shared" si="10"/>
        <v/>
      </c>
      <c r="AM33" s="19" t="str">
        <f t="shared" si="10"/>
        <v/>
      </c>
      <c r="AN33" s="19" t="str">
        <f t="shared" si="10"/>
        <v/>
      </c>
      <c r="AO33" s="19" t="str">
        <f t="shared" si="10"/>
        <v/>
      </c>
      <c r="AP33" s="19" t="str">
        <f t="shared" si="10"/>
        <v/>
      </c>
      <c r="AQ33" s="19" t="str">
        <f t="shared" si="10"/>
        <v/>
      </c>
      <c r="AR33" s="19" t="str">
        <f t="shared" si="10"/>
        <v/>
      </c>
      <c r="AS33" s="19" t="str">
        <f t="shared" si="10"/>
        <v/>
      </c>
      <c r="AT33" s="19" t="str">
        <f t="shared" si="10"/>
        <v/>
      </c>
      <c r="AU33" s="19" t="str">
        <f t="shared" si="10"/>
        <v/>
      </c>
      <c r="AV33" s="19" t="str">
        <f t="shared" si="10"/>
        <v/>
      </c>
      <c r="AW33" s="19" t="str">
        <f t="shared" si="10"/>
        <v/>
      </c>
      <c r="AX33" s="19" t="str">
        <f t="shared" si="10"/>
        <v/>
      </c>
      <c r="AY33" s="19" t="str">
        <f t="shared" si="10"/>
        <v/>
      </c>
      <c r="AZ33" s="19" t="str">
        <f t="shared" si="10"/>
        <v/>
      </c>
      <c r="BA33" s="19" t="str">
        <f t="shared" si="10"/>
        <v/>
      </c>
      <c r="BB33" s="19" t="str">
        <f t="shared" si="10"/>
        <v/>
      </c>
      <c r="BC33" s="19" t="str">
        <f t="shared" si="10"/>
        <v/>
      </c>
    </row>
    <row r="38" spans="1:55">
      <c r="A38" s="27" t="str">
        <f t="array" ref="A38:A72">TRANSPOSE(B30:BC30)</f>
        <v>Year</v>
      </c>
      <c r="B38" s="24" t="str">
        <f t="array" ref="B38:D72">TRANSPOSE(B31:BC33)</f>
        <v>Amortizaciones</v>
      </c>
      <c r="C38" s="10" t="str">
        <v>Intereses</v>
      </c>
      <c r="D38" s="25" t="str">
        <v>Total</v>
      </c>
      <c r="E38" s="3" t="s">
        <v>67</v>
      </c>
    </row>
    <row r="39" spans="1:55">
      <c r="A39" s="27">
        <v>2025</v>
      </c>
      <c r="B39" s="22">
        <v>129523942.63727753</v>
      </c>
      <c r="C39" s="22">
        <v>53604923.443450697</v>
      </c>
      <c r="D39" s="23">
        <v>183128866.08072823</v>
      </c>
      <c r="E39" s="3">
        <f>IF(D39="","",0)</f>
        <v>0</v>
      </c>
    </row>
    <row r="40" spans="1:55">
      <c r="A40" s="27">
        <v>2026</v>
      </c>
      <c r="B40" s="22">
        <v>51477289.96187523</v>
      </c>
      <c r="C40" s="22">
        <v>52016017.796824194</v>
      </c>
      <c r="D40" s="23">
        <v>103493307.75869942</v>
      </c>
      <c r="E40" s="3">
        <f t="shared" ref="E40:E72" si="11">IF(D40="","",0)</f>
        <v>0</v>
      </c>
    </row>
    <row r="41" spans="1:55">
      <c r="A41" s="27">
        <v>2027</v>
      </c>
      <c r="B41" s="22">
        <v>66118314.486601703</v>
      </c>
      <c r="C41" s="22">
        <v>48938562.879620366</v>
      </c>
      <c r="D41" s="23">
        <v>115056877.36622207</v>
      </c>
      <c r="E41" s="3">
        <f t="shared" si="11"/>
        <v>0</v>
      </c>
    </row>
    <row r="42" spans="1:55">
      <c r="A42" s="27">
        <v>2028</v>
      </c>
      <c r="B42" s="22">
        <v>51354231.053271845</v>
      </c>
      <c r="C42" s="22">
        <v>46340201.305101059</v>
      </c>
      <c r="D42" s="23">
        <v>97694432.358372897</v>
      </c>
      <c r="E42" s="3">
        <f t="shared" si="11"/>
        <v>0</v>
      </c>
    </row>
    <row r="43" spans="1:55">
      <c r="A43" s="27">
        <v>2029</v>
      </c>
      <c r="B43" s="22">
        <v>49081654.669954374</v>
      </c>
      <c r="C43" s="22">
        <v>43603209.73888126</v>
      </c>
      <c r="D43" s="23">
        <v>92684864.408835635</v>
      </c>
      <c r="E43" s="3">
        <f t="shared" si="11"/>
        <v>0</v>
      </c>
    </row>
    <row r="44" spans="1:55">
      <c r="A44" s="27">
        <v>2030</v>
      </c>
      <c r="B44" s="22">
        <v>42930310.128885366</v>
      </c>
      <c r="C44" s="22">
        <v>42279751.670862466</v>
      </c>
      <c r="D44" s="23">
        <v>85210061.799747825</v>
      </c>
      <c r="E44" s="3">
        <f t="shared" si="11"/>
        <v>0</v>
      </c>
    </row>
    <row r="45" spans="1:55">
      <c r="A45" s="27">
        <v>2031</v>
      </c>
      <c r="B45" s="22">
        <v>58437676.44343023</v>
      </c>
      <c r="C45" s="22">
        <v>39861168.045952015</v>
      </c>
      <c r="D45" s="23">
        <v>98298844.489382237</v>
      </c>
      <c r="E45" s="3">
        <f t="shared" si="11"/>
        <v>0</v>
      </c>
    </row>
    <row r="46" spans="1:55">
      <c r="A46" s="27">
        <v>2032</v>
      </c>
      <c r="B46" s="22">
        <v>47844026.672255218</v>
      </c>
      <c r="C46" s="22">
        <v>36843416.112596996</v>
      </c>
      <c r="D46" s="23">
        <v>84687442.784852207</v>
      </c>
      <c r="E46" s="3">
        <f t="shared" si="11"/>
        <v>0</v>
      </c>
    </row>
    <row r="47" spans="1:55">
      <c r="A47" s="27">
        <v>2033</v>
      </c>
      <c r="B47" s="22">
        <v>63160200.965730377</v>
      </c>
      <c r="C47" s="22">
        <v>34194241.10732501</v>
      </c>
      <c r="D47" s="23">
        <v>97354442.073055387</v>
      </c>
      <c r="E47" s="3">
        <f t="shared" si="11"/>
        <v>0</v>
      </c>
    </row>
    <row r="48" spans="1:55">
      <c r="A48" s="27">
        <v>2034</v>
      </c>
      <c r="B48" s="22">
        <v>46680338.393795699</v>
      </c>
      <c r="C48" s="22">
        <v>29003525.589214571</v>
      </c>
      <c r="D48" s="94">
        <v>75683863.983010262</v>
      </c>
      <c r="E48" s="3">
        <f t="shared" si="11"/>
        <v>0</v>
      </c>
    </row>
    <row r="49" spans="1:5">
      <c r="A49" s="27">
        <v>2035</v>
      </c>
      <c r="B49" s="22">
        <v>54340541.949211769</v>
      </c>
      <c r="C49" s="22">
        <v>26413982.550374202</v>
      </c>
      <c r="D49" s="23">
        <v>80754524.499585971</v>
      </c>
      <c r="E49" s="3">
        <f t="shared" si="11"/>
        <v>0</v>
      </c>
    </row>
    <row r="50" spans="1:5">
      <c r="A50" s="27">
        <v>2036</v>
      </c>
      <c r="B50" s="22">
        <v>43590083.075141445</v>
      </c>
      <c r="C50" s="22">
        <v>23232287.104365297</v>
      </c>
      <c r="D50" s="23">
        <v>66822370.179506741</v>
      </c>
      <c r="E50" s="3">
        <f t="shared" si="11"/>
        <v>0</v>
      </c>
    </row>
    <row r="51" spans="1:5">
      <c r="A51" s="27">
        <v>2037</v>
      </c>
      <c r="B51" s="22">
        <v>54557018.505656488</v>
      </c>
      <c r="C51" s="22">
        <v>21078316.251722522</v>
      </c>
      <c r="D51" s="23">
        <v>75635334.75737901</v>
      </c>
      <c r="E51" s="3">
        <f t="shared" si="11"/>
        <v>0</v>
      </c>
    </row>
    <row r="52" spans="1:5">
      <c r="A52" s="27">
        <v>2038</v>
      </c>
      <c r="B52" s="22">
        <v>10224728.437527904</v>
      </c>
      <c r="C52" s="22">
        <v>18058916.43518047</v>
      </c>
      <c r="D52" s="23">
        <v>28283644.872708373</v>
      </c>
      <c r="E52" s="3">
        <f t="shared" si="11"/>
        <v>0</v>
      </c>
    </row>
    <row r="53" spans="1:5">
      <c r="A53" s="27">
        <v>2039</v>
      </c>
      <c r="B53" s="22">
        <v>5521685.0267445948</v>
      </c>
      <c r="C53" s="22">
        <v>17934720.369490054</v>
      </c>
      <c r="D53" s="23">
        <v>23456405.396234646</v>
      </c>
      <c r="E53" s="3">
        <f t="shared" si="11"/>
        <v>0</v>
      </c>
    </row>
    <row r="54" spans="1:5">
      <c r="A54" s="27">
        <v>2040</v>
      </c>
      <c r="B54" s="22">
        <v>6199834.4831966907</v>
      </c>
      <c r="C54" s="22">
        <v>17735332.818613656</v>
      </c>
      <c r="D54" s="23">
        <v>23935167.301810347</v>
      </c>
      <c r="E54" s="3">
        <f t="shared" si="11"/>
        <v>0</v>
      </c>
    </row>
    <row r="55" spans="1:5">
      <c r="A55" s="27">
        <v>2041</v>
      </c>
      <c r="B55" s="22">
        <v>13067371.629007278</v>
      </c>
      <c r="C55" s="22">
        <v>17263816.830665924</v>
      </c>
      <c r="D55" s="23">
        <v>30331188.459673204</v>
      </c>
      <c r="E55" s="3">
        <f t="shared" si="11"/>
        <v>0</v>
      </c>
    </row>
    <row r="56" spans="1:5">
      <c r="A56" s="27">
        <v>2042</v>
      </c>
      <c r="B56" s="22">
        <v>55963581.783311367</v>
      </c>
      <c r="C56" s="22">
        <v>16807995.482906096</v>
      </c>
      <c r="D56" s="23">
        <v>72771577.26621747</v>
      </c>
      <c r="E56" s="3">
        <f t="shared" si="11"/>
        <v>0</v>
      </c>
    </row>
    <row r="57" spans="1:5">
      <c r="A57" s="27">
        <v>2043</v>
      </c>
      <c r="B57" s="22">
        <v>400302.69097102969</v>
      </c>
      <c r="C57" s="22">
        <v>12072692.322113827</v>
      </c>
      <c r="D57" s="23">
        <v>12472995.013084857</v>
      </c>
      <c r="E57" s="3">
        <f t="shared" si="11"/>
        <v>0</v>
      </c>
    </row>
    <row r="58" spans="1:5">
      <c r="A58" s="27">
        <v>2044</v>
      </c>
      <c r="B58" s="22">
        <v>11283132.394504581</v>
      </c>
      <c r="C58" s="22">
        <v>11822047.22960278</v>
      </c>
      <c r="D58" s="23">
        <v>23105179.624107361</v>
      </c>
      <c r="E58" s="3">
        <f t="shared" si="11"/>
        <v>0</v>
      </c>
    </row>
    <row r="59" spans="1:5">
      <c r="A59" s="27">
        <v>2045</v>
      </c>
      <c r="B59" s="22">
        <v>20088586.785734978</v>
      </c>
      <c r="C59" s="22">
        <v>11067070.789597746</v>
      </c>
      <c r="D59" s="23">
        <v>31155657.575332724</v>
      </c>
      <c r="E59" s="3">
        <f t="shared" si="11"/>
        <v>0</v>
      </c>
    </row>
    <row r="60" spans="1:5">
      <c r="A60" s="27">
        <v>2046</v>
      </c>
      <c r="B60" s="22">
        <v>22957778.001457404</v>
      </c>
      <c r="C60" s="22">
        <v>10631659.516230419</v>
      </c>
      <c r="D60" s="23">
        <v>33589437.517687827</v>
      </c>
      <c r="E60" s="3">
        <f t="shared" si="11"/>
        <v>0</v>
      </c>
    </row>
    <row r="61" spans="1:5">
      <c r="A61" s="27">
        <v>2047</v>
      </c>
      <c r="B61" s="22">
        <v>219699.19664809489</v>
      </c>
      <c r="C61" s="22">
        <v>8082578.0079681063</v>
      </c>
      <c r="D61" s="23">
        <v>8302277.2046162011</v>
      </c>
      <c r="E61" s="3">
        <f t="shared" si="11"/>
        <v>0</v>
      </c>
    </row>
    <row r="62" spans="1:5">
      <c r="A62" s="27">
        <v>2048</v>
      </c>
      <c r="B62" s="22">
        <v>219487.23508203006</v>
      </c>
      <c r="C62" s="22">
        <v>8155337.6565621812</v>
      </c>
      <c r="D62" s="23">
        <v>8374824.8916442115</v>
      </c>
      <c r="E62" s="3">
        <f t="shared" si="11"/>
        <v>0</v>
      </c>
    </row>
    <row r="63" spans="1:5">
      <c r="A63" s="27">
        <v>2049</v>
      </c>
      <c r="B63" s="22">
        <v>46387781.302581541</v>
      </c>
      <c r="C63" s="22">
        <v>7888040.0904254243</v>
      </c>
      <c r="D63" s="23">
        <v>54275821.393006966</v>
      </c>
      <c r="E63" s="3">
        <f t="shared" si="11"/>
        <v>0</v>
      </c>
    </row>
    <row r="64" spans="1:5">
      <c r="A64" s="27" t="str">
        <v/>
      </c>
      <c r="B64" s="22" t="str">
        <v/>
      </c>
      <c r="C64" s="22" t="str">
        <v/>
      </c>
      <c r="D64" s="23" t="str">
        <v/>
      </c>
      <c r="E64" s="3" t="str">
        <f t="shared" si="11"/>
        <v/>
      </c>
    </row>
    <row r="65" spans="1:5">
      <c r="A65" s="27" t="str">
        <v/>
      </c>
      <c r="B65" s="22" t="str">
        <v/>
      </c>
      <c r="C65" s="22" t="str">
        <v/>
      </c>
      <c r="D65" s="23" t="str">
        <v/>
      </c>
      <c r="E65" s="3" t="str">
        <f t="shared" si="11"/>
        <v/>
      </c>
    </row>
    <row r="66" spans="1:5">
      <c r="A66" s="27" t="str">
        <v/>
      </c>
      <c r="B66" s="22" t="str">
        <v/>
      </c>
      <c r="C66" s="22" t="str">
        <v/>
      </c>
      <c r="D66" s="23" t="str">
        <v/>
      </c>
      <c r="E66" s="3" t="str">
        <f t="shared" si="11"/>
        <v/>
      </c>
    </row>
    <row r="67" spans="1:5">
      <c r="A67" s="27" t="str">
        <v/>
      </c>
      <c r="B67" s="22" t="str">
        <v/>
      </c>
      <c r="C67" s="22" t="str">
        <v/>
      </c>
      <c r="D67" s="23" t="str">
        <v/>
      </c>
      <c r="E67" s="3" t="str">
        <f t="shared" si="11"/>
        <v/>
      </c>
    </row>
    <row r="68" spans="1:5">
      <c r="A68" s="27" t="str">
        <v/>
      </c>
      <c r="B68" s="22" t="str">
        <v/>
      </c>
      <c r="C68" s="22" t="str">
        <v/>
      </c>
      <c r="D68" s="23" t="str">
        <v/>
      </c>
      <c r="E68" s="3" t="str">
        <f t="shared" si="11"/>
        <v/>
      </c>
    </row>
    <row r="69" spans="1:5">
      <c r="A69" s="27" t="str">
        <v/>
      </c>
      <c r="B69" s="22" t="str">
        <v/>
      </c>
      <c r="C69" s="22" t="str">
        <v/>
      </c>
      <c r="D69" s="23" t="str">
        <v/>
      </c>
      <c r="E69" s="3" t="str">
        <f t="shared" si="11"/>
        <v/>
      </c>
    </row>
    <row r="70" spans="1:5">
      <c r="A70" s="27" t="str">
        <v/>
      </c>
      <c r="B70" s="22" t="str">
        <v/>
      </c>
      <c r="C70" s="22" t="str">
        <v/>
      </c>
      <c r="D70" s="23" t="str">
        <v/>
      </c>
      <c r="E70" s="3" t="str">
        <f t="shared" si="11"/>
        <v/>
      </c>
    </row>
    <row r="71" spans="1:5">
      <c r="A71" s="27" t="str">
        <v/>
      </c>
      <c r="B71" s="22" t="str">
        <v/>
      </c>
      <c r="C71" s="22" t="str">
        <v/>
      </c>
      <c r="D71" s="23" t="str">
        <v/>
      </c>
      <c r="E71" s="3" t="str">
        <f t="shared" si="11"/>
        <v/>
      </c>
    </row>
    <row r="72" spans="1:5">
      <c r="A72" s="27" t="str">
        <v/>
      </c>
      <c r="B72" s="22" t="str">
        <v/>
      </c>
      <c r="C72" s="22" t="str">
        <v/>
      </c>
      <c r="D72" s="23" t="str">
        <v/>
      </c>
      <c r="E72" s="3" t="str">
        <f t="shared" si="11"/>
        <v/>
      </c>
    </row>
  </sheetData>
  <phoneticPr fontId="15" type="noConversion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0FA77-78FD-47B5-A863-EFA0BCAC669C}">
  <sheetPr codeName="Hoja17"/>
  <dimension ref="A1:C89"/>
  <sheetViews>
    <sheetView topLeftCell="A76" workbookViewId="0">
      <selection activeCell="K120" sqref="K120"/>
    </sheetView>
  </sheetViews>
  <sheetFormatPr baseColWidth="10" defaultRowHeight="12.75"/>
  <cols>
    <col min="1" max="1" width="10.140625" bestFit="1" customWidth="1"/>
    <col min="2" max="2" width="12.42578125" bestFit="1" customWidth="1"/>
    <col min="3" max="3" width="12.7109375" bestFit="1" customWidth="1"/>
  </cols>
  <sheetData>
    <row r="1" spans="1:3">
      <c r="A1" s="80" t="s">
        <v>388</v>
      </c>
      <c r="B1" t="s">
        <v>21</v>
      </c>
      <c r="C1" t="s">
        <v>22</v>
      </c>
    </row>
    <row r="2" spans="1:3">
      <c r="A2" s="323">
        <v>42766</v>
      </c>
      <c r="B2" s="324">
        <v>0.64372370460118056</v>
      </c>
      <c r="C2" s="324">
        <v>0.35627629539881944</v>
      </c>
    </row>
    <row r="3" spans="1:3">
      <c r="A3" s="323">
        <v>42794</v>
      </c>
      <c r="B3" s="324">
        <v>0.65188037587679537</v>
      </c>
      <c r="C3" s="324">
        <v>0.34811962412320463</v>
      </c>
    </row>
    <row r="4" spans="1:3">
      <c r="A4" s="323">
        <v>42825</v>
      </c>
      <c r="B4" s="324">
        <v>0.65798134189441071</v>
      </c>
      <c r="C4" s="324">
        <v>0.34201865810558923</v>
      </c>
    </row>
    <row r="5" spans="1:3">
      <c r="A5" s="323">
        <v>42855</v>
      </c>
      <c r="B5" s="324">
        <v>0.65499361524570954</v>
      </c>
      <c r="C5" s="324">
        <v>0.34500638475429046</v>
      </c>
    </row>
    <row r="6" spans="1:3">
      <c r="A6" s="323">
        <v>42886</v>
      </c>
      <c r="B6" s="324">
        <v>0.65352524140402357</v>
      </c>
      <c r="C6" s="324">
        <v>0.34647475859597637</v>
      </c>
    </row>
    <row r="7" spans="1:3">
      <c r="A7" s="323">
        <v>42916</v>
      </c>
      <c r="B7" s="324">
        <v>0.64310209316291378</v>
      </c>
      <c r="C7" s="324">
        <v>0.35689790683708633</v>
      </c>
    </row>
    <row r="8" spans="1:3">
      <c r="A8" s="323">
        <v>42947</v>
      </c>
      <c r="B8" s="324">
        <v>0.65017337022415445</v>
      </c>
      <c r="C8" s="324">
        <v>0.34982662977584561</v>
      </c>
    </row>
    <row r="9" spans="1:3">
      <c r="A9" s="323">
        <v>42978</v>
      </c>
      <c r="B9" s="324">
        <v>0.64973647205152463</v>
      </c>
      <c r="C9" s="324">
        <v>0.35026352794847532</v>
      </c>
    </row>
    <row r="10" spans="1:3">
      <c r="A10" s="323">
        <v>43008</v>
      </c>
      <c r="B10" s="324">
        <v>0.65104577885565296</v>
      </c>
      <c r="C10" s="324">
        <v>0.34895422114434704</v>
      </c>
    </row>
    <row r="11" spans="1:3">
      <c r="A11" s="323">
        <v>43039</v>
      </c>
      <c r="B11" s="324">
        <v>0.64762637516745292</v>
      </c>
      <c r="C11" s="324">
        <v>0.35237362483254703</v>
      </c>
    </row>
    <row r="12" spans="1:3">
      <c r="A12" s="323">
        <v>43069</v>
      </c>
      <c r="B12" s="324">
        <v>0.64958114434527836</v>
      </c>
      <c r="C12" s="324">
        <v>0.35041885565472164</v>
      </c>
    </row>
    <row r="13" spans="1:3">
      <c r="A13" s="323">
        <v>43100</v>
      </c>
      <c r="B13" s="324">
        <v>0.6539038597857777</v>
      </c>
      <c r="C13" s="324">
        <v>0.34609614021422236</v>
      </c>
    </row>
    <row r="14" spans="1:3">
      <c r="A14" s="323">
        <v>43131</v>
      </c>
      <c r="B14" s="324">
        <v>0.66489265539955589</v>
      </c>
      <c r="C14" s="324">
        <v>0.33510734460044411</v>
      </c>
    </row>
    <row r="15" spans="1:3">
      <c r="A15" s="323">
        <v>43159</v>
      </c>
      <c r="B15" s="324">
        <v>0.66871948436463002</v>
      </c>
      <c r="C15" s="324">
        <v>0.33128051563536987</v>
      </c>
    </row>
    <row r="16" spans="1:3">
      <c r="A16" s="323">
        <v>43190</v>
      </c>
      <c r="B16" s="324">
        <v>0.67261556226213481</v>
      </c>
      <c r="C16" s="324">
        <v>0.32738443773786507</v>
      </c>
    </row>
    <row r="17" spans="1:3">
      <c r="A17" s="323">
        <v>43220</v>
      </c>
      <c r="B17" s="324">
        <v>0.67584142967635552</v>
      </c>
      <c r="C17" s="324">
        <v>0.32415857032364442</v>
      </c>
    </row>
    <row r="18" spans="1:3">
      <c r="A18" s="323">
        <v>43251</v>
      </c>
      <c r="B18" s="324">
        <v>0.67627291088399433</v>
      </c>
      <c r="C18" s="324">
        <v>0.32372708911600562</v>
      </c>
    </row>
    <row r="19" spans="1:3">
      <c r="A19" s="323">
        <v>43281</v>
      </c>
      <c r="B19" s="324">
        <v>0.67377931124297652</v>
      </c>
      <c r="C19" s="324">
        <v>0.32622068875702342</v>
      </c>
    </row>
    <row r="20" spans="1:3">
      <c r="A20" s="323">
        <v>43312</v>
      </c>
      <c r="B20" s="324">
        <v>0.68284892626973492</v>
      </c>
      <c r="C20" s="324">
        <v>0.31715107373026513</v>
      </c>
    </row>
    <row r="21" spans="1:3">
      <c r="A21" s="323">
        <v>43343</v>
      </c>
      <c r="B21" s="324">
        <v>0.67709631315802965</v>
      </c>
      <c r="C21" s="324">
        <v>0.32290368684197041</v>
      </c>
    </row>
    <row r="22" spans="1:3">
      <c r="A22" s="323">
        <v>43373</v>
      </c>
      <c r="B22" s="324">
        <v>0.68101070474239578</v>
      </c>
      <c r="C22" s="324">
        <v>0.31898929525760433</v>
      </c>
    </row>
    <row r="23" spans="1:3">
      <c r="A23" s="323">
        <v>43404</v>
      </c>
      <c r="B23" s="324">
        <v>0.66129292510645044</v>
      </c>
      <c r="C23" s="324">
        <v>0.33870707489354951</v>
      </c>
    </row>
    <row r="24" spans="1:3">
      <c r="A24" s="323">
        <v>43434</v>
      </c>
      <c r="B24" s="324">
        <v>0.65665896398564561</v>
      </c>
      <c r="C24" s="324">
        <v>0.34334103601435439</v>
      </c>
    </row>
    <row r="25" spans="1:3">
      <c r="A25" s="323">
        <v>43465</v>
      </c>
      <c r="B25" s="324">
        <v>0.65383670426710039</v>
      </c>
      <c r="C25" s="324">
        <v>0.33710810145387121</v>
      </c>
    </row>
    <row r="26" spans="1:3">
      <c r="A26" s="323">
        <v>43496</v>
      </c>
      <c r="B26" s="324">
        <v>0.6540823466675002</v>
      </c>
      <c r="C26" s="324">
        <v>0.3459176533324998</v>
      </c>
    </row>
    <row r="27" spans="1:3">
      <c r="A27" s="323">
        <v>43524</v>
      </c>
      <c r="B27" s="324">
        <v>0.66537358121338963</v>
      </c>
      <c r="C27" s="324">
        <v>0.33462641878661042</v>
      </c>
    </row>
    <row r="28" spans="1:3">
      <c r="A28" s="323">
        <v>43555</v>
      </c>
      <c r="B28" s="324">
        <v>0.66477499186824718</v>
      </c>
      <c r="C28" s="324">
        <v>0.33522500813175288</v>
      </c>
    </row>
    <row r="29" spans="1:3">
      <c r="A29" s="323">
        <v>43585</v>
      </c>
      <c r="B29" s="324">
        <v>0.66128517734025805</v>
      </c>
      <c r="C29" s="324">
        <v>0.33871482265974201</v>
      </c>
    </row>
    <row r="30" spans="1:3">
      <c r="A30" s="323">
        <v>43616</v>
      </c>
      <c r="B30" s="324">
        <v>0.65489158729323493</v>
      </c>
      <c r="C30" s="324">
        <v>0.34510841270676507</v>
      </c>
    </row>
    <row r="31" spans="1:3">
      <c r="A31" s="323">
        <v>43646</v>
      </c>
      <c r="B31" s="324">
        <v>0.67080219311847045</v>
      </c>
      <c r="C31" s="324">
        <v>0.32919780688152955</v>
      </c>
    </row>
    <row r="32" spans="1:3">
      <c r="A32" s="323">
        <v>43677</v>
      </c>
      <c r="B32" s="324">
        <v>0.67006570707165325</v>
      </c>
      <c r="C32" s="324">
        <v>0.32993429292834675</v>
      </c>
    </row>
    <row r="33" spans="1:3">
      <c r="A33" s="323">
        <v>43708</v>
      </c>
      <c r="B33" s="324">
        <v>0.66203407772796841</v>
      </c>
      <c r="C33" s="324">
        <v>0.33796592227203165</v>
      </c>
    </row>
    <row r="34" spans="1:3">
      <c r="A34" s="323">
        <v>43738</v>
      </c>
      <c r="B34" s="324">
        <v>0.65532991669078744</v>
      </c>
      <c r="C34" s="324">
        <v>0.3446700833092125</v>
      </c>
    </row>
    <row r="35" spans="1:3">
      <c r="A35" s="323">
        <v>43769</v>
      </c>
      <c r="B35" s="324">
        <v>0.66122309121342582</v>
      </c>
      <c r="C35" s="324">
        <v>0.33877690878657429</v>
      </c>
    </row>
    <row r="36" spans="1:3">
      <c r="A36" s="323">
        <v>43799</v>
      </c>
      <c r="B36" s="324">
        <v>0.65570880833323741</v>
      </c>
      <c r="C36" s="324">
        <v>0.34429119166676259</v>
      </c>
    </row>
    <row r="37" spans="1:3">
      <c r="A37" s="323">
        <v>43830</v>
      </c>
      <c r="B37" s="324">
        <v>0.66153077000907323</v>
      </c>
      <c r="C37" s="324">
        <v>0.33846922999092682</v>
      </c>
    </row>
    <row r="38" spans="1:3">
      <c r="A38" s="323">
        <v>43861</v>
      </c>
      <c r="B38" s="324">
        <v>0.656153290084588</v>
      </c>
      <c r="C38" s="324">
        <v>0.34384670991541205</v>
      </c>
    </row>
    <row r="39" spans="1:3">
      <c r="A39" s="323">
        <v>43890</v>
      </c>
      <c r="B39" s="324">
        <v>0.6567258515474087</v>
      </c>
      <c r="C39" s="324">
        <v>0.34327414845259119</v>
      </c>
    </row>
    <row r="40" spans="1:3">
      <c r="A40" s="323">
        <v>43921</v>
      </c>
      <c r="B40" s="324">
        <v>0.6205045527264943</v>
      </c>
      <c r="C40" s="324">
        <v>0.37949544727350581</v>
      </c>
    </row>
    <row r="41" spans="1:3">
      <c r="A41" s="323">
        <v>43951</v>
      </c>
      <c r="B41" s="324">
        <v>0.61708472283752758</v>
      </c>
      <c r="C41" s="324">
        <v>0.38291527716247226</v>
      </c>
    </row>
    <row r="42" spans="1:3">
      <c r="A42" s="323">
        <v>43982</v>
      </c>
      <c r="B42" s="324">
        <v>0.63799926529809781</v>
      </c>
      <c r="C42" s="324">
        <v>0.36200073470190214</v>
      </c>
    </row>
    <row r="43" spans="1:3">
      <c r="A43" s="323">
        <v>44012</v>
      </c>
      <c r="B43" s="324">
        <v>0.62446115361305576</v>
      </c>
      <c r="C43" s="324">
        <v>0.37553884638694429</v>
      </c>
    </row>
    <row r="44" spans="1:3">
      <c r="A44" s="323">
        <v>44043</v>
      </c>
      <c r="B44" s="324">
        <v>0.62207331711016978</v>
      </c>
      <c r="C44" s="324">
        <v>0.37792668288983017</v>
      </c>
    </row>
    <row r="45" spans="1:3">
      <c r="A45" s="323">
        <v>44074</v>
      </c>
      <c r="B45" s="324">
        <v>0.62212113827269422</v>
      </c>
      <c r="C45" s="324">
        <v>0.37787886172730595</v>
      </c>
    </row>
    <row r="46" spans="1:3">
      <c r="A46" s="323">
        <v>44104</v>
      </c>
      <c r="B46" s="324">
        <v>0.61867980588949767</v>
      </c>
      <c r="C46" s="324">
        <v>0.38132019411050233</v>
      </c>
    </row>
    <row r="47" spans="1:3">
      <c r="A47" s="323">
        <v>44135</v>
      </c>
      <c r="B47" s="324">
        <v>0.62351434653716264</v>
      </c>
      <c r="C47" s="324">
        <v>0.37648565346283741</v>
      </c>
    </row>
    <row r="48" spans="1:3">
      <c r="A48" s="323">
        <v>44165</v>
      </c>
      <c r="B48" s="324">
        <v>0.64163350199949887</v>
      </c>
      <c r="C48" s="324">
        <v>0.35836649800050113</v>
      </c>
    </row>
    <row r="49" spans="1:3">
      <c r="A49" s="323">
        <v>44196</v>
      </c>
      <c r="B49" s="324">
        <v>0.62919798855397269</v>
      </c>
      <c r="C49" s="324">
        <v>0.37080201144602742</v>
      </c>
    </row>
    <row r="50" spans="1:3">
      <c r="A50" s="323">
        <v>44227</v>
      </c>
      <c r="B50" s="324">
        <v>0.61468265238793618</v>
      </c>
      <c r="C50" s="324">
        <v>0.38531734761206371</v>
      </c>
    </row>
    <row r="51" spans="1:3">
      <c r="A51" s="323">
        <v>44255</v>
      </c>
      <c r="B51" s="324">
        <v>0.61699510390625212</v>
      </c>
      <c r="C51" s="324">
        <v>0.38300489609374794</v>
      </c>
    </row>
    <row r="52" spans="1:3">
      <c r="A52" s="323">
        <v>44286</v>
      </c>
      <c r="B52" s="324">
        <v>0.61248278790539668</v>
      </c>
      <c r="C52" s="324">
        <v>0.38751721209460332</v>
      </c>
    </row>
    <row r="53" spans="1:3">
      <c r="A53" s="323">
        <v>44316</v>
      </c>
      <c r="B53" s="324">
        <v>0.60924854620154811</v>
      </c>
      <c r="C53" s="324">
        <v>0.39075145379845183</v>
      </c>
    </row>
    <row r="54" spans="1:3">
      <c r="A54" s="323">
        <v>44347</v>
      </c>
      <c r="B54" s="324">
        <v>0.61349665217033766</v>
      </c>
      <c r="C54" s="324">
        <v>0.38650334782966228</v>
      </c>
    </row>
    <row r="55" spans="1:3">
      <c r="A55" s="323">
        <v>44377</v>
      </c>
      <c r="B55" s="324">
        <v>0.61141868089416518</v>
      </c>
      <c r="C55" s="324">
        <v>0.38858131910583477</v>
      </c>
    </row>
    <row r="56" spans="1:3">
      <c r="A56" s="323">
        <v>44408</v>
      </c>
      <c r="B56" s="324">
        <v>0.61110255737564856</v>
      </c>
      <c r="C56" s="324">
        <v>0.38889744262435144</v>
      </c>
    </row>
    <row r="57" spans="1:3">
      <c r="A57" s="323">
        <v>44439</v>
      </c>
      <c r="B57" s="324">
        <v>0.61032675155098948</v>
      </c>
      <c r="C57" s="324">
        <v>0.38967324844901047</v>
      </c>
    </row>
    <row r="58" spans="1:3">
      <c r="A58" s="323">
        <v>44469</v>
      </c>
      <c r="B58" s="324">
        <v>0.61481756311396474</v>
      </c>
      <c r="C58" s="324">
        <v>0.38518243688603526</v>
      </c>
    </row>
    <row r="59" spans="1:3">
      <c r="A59" s="323">
        <v>44500</v>
      </c>
      <c r="B59" s="324">
        <v>0.6136588826895184</v>
      </c>
      <c r="C59" s="324">
        <v>0.3863411173104816</v>
      </c>
    </row>
    <row r="60" spans="1:3">
      <c r="A60" s="323">
        <v>44530</v>
      </c>
      <c r="B60" s="324">
        <v>0.6009254136130695</v>
      </c>
      <c r="C60" s="324">
        <v>0.39907458638693</v>
      </c>
    </row>
    <row r="61" spans="1:3">
      <c r="A61" s="323">
        <v>44561</v>
      </c>
      <c r="B61" s="324">
        <v>0.59630094615014784</v>
      </c>
      <c r="C61" s="324">
        <v>0.40369905384985211</v>
      </c>
    </row>
    <row r="62" spans="1:3">
      <c r="A62" s="323">
        <v>44592</v>
      </c>
      <c r="B62" s="324">
        <v>0.60187662773930206</v>
      </c>
      <c r="C62" s="324">
        <v>0.39812337226069788</v>
      </c>
    </row>
    <row r="63" spans="1:3">
      <c r="A63" s="323">
        <v>44620</v>
      </c>
      <c r="B63" s="324">
        <v>0.61006332304181021</v>
      </c>
      <c r="C63" s="324">
        <v>0.38993667695818979</v>
      </c>
    </row>
    <row r="64" spans="1:3">
      <c r="A64" s="323">
        <v>44651</v>
      </c>
      <c r="B64" s="324">
        <v>0.62299790043639447</v>
      </c>
      <c r="C64" s="324">
        <v>0.37700209956360553</v>
      </c>
    </row>
    <row r="65" spans="1:3">
      <c r="A65" s="323">
        <v>44681</v>
      </c>
      <c r="B65" s="324">
        <v>0.61510126347087557</v>
      </c>
      <c r="C65" s="324">
        <v>0.38489873652912437</v>
      </c>
    </row>
    <row r="66" spans="1:3">
      <c r="A66" s="323">
        <v>44712</v>
      </c>
      <c r="B66" s="324">
        <v>0.61958575773749691</v>
      </c>
      <c r="C66" s="324">
        <v>0.38041424226250314</v>
      </c>
    </row>
    <row r="67" spans="1:3">
      <c r="A67" s="323">
        <v>44742</v>
      </c>
      <c r="B67" s="324">
        <v>0.60462904554351637</v>
      </c>
      <c r="C67" s="324">
        <v>0.39537095445648368</v>
      </c>
    </row>
    <row r="68" spans="1:3">
      <c r="A68" s="323">
        <v>44773</v>
      </c>
      <c r="B68" s="324">
        <v>0.6007175542111779</v>
      </c>
      <c r="C68" s="324">
        <v>0.39928244578882205</v>
      </c>
    </row>
    <row r="69" spans="1:3">
      <c r="A69" s="323">
        <v>44804</v>
      </c>
      <c r="B69" s="324">
        <v>0.59826676080980989</v>
      </c>
      <c r="C69" s="324">
        <v>0.40173323919019016</v>
      </c>
    </row>
    <row r="70" spans="1:3">
      <c r="A70" s="323">
        <v>44834</v>
      </c>
      <c r="B70" s="324">
        <v>0.59509526953632008</v>
      </c>
      <c r="C70" s="324">
        <v>0.40490473046367992</v>
      </c>
    </row>
    <row r="71" spans="1:3">
      <c r="A71" s="323">
        <v>44865</v>
      </c>
      <c r="B71" s="324">
        <v>0.58411974739975603</v>
      </c>
      <c r="C71" s="324">
        <v>0.41588025260024397</v>
      </c>
    </row>
    <row r="72" spans="1:3">
      <c r="A72" s="323">
        <v>44895</v>
      </c>
      <c r="B72" s="324">
        <v>0.583589971004847</v>
      </c>
      <c r="C72" s="324">
        <v>0.41641002899515306</v>
      </c>
    </row>
    <row r="73" spans="1:3">
      <c r="A73" s="323">
        <v>44926</v>
      </c>
      <c r="B73" s="324">
        <v>0.58124032868599718</v>
      </c>
      <c r="C73" s="324">
        <v>0.41875967131400277</v>
      </c>
    </row>
    <row r="74" spans="1:3">
      <c r="A74" s="323">
        <v>44957</v>
      </c>
      <c r="B74" s="324">
        <v>0.59281089682192711</v>
      </c>
      <c r="C74" s="324">
        <v>0.40718910317807289</v>
      </c>
    </row>
    <row r="75" spans="1:3">
      <c r="A75" s="323">
        <v>44985</v>
      </c>
      <c r="B75" s="324">
        <v>0.57680410698194262</v>
      </c>
      <c r="C75" s="324">
        <v>0.42319589301805732</v>
      </c>
    </row>
    <row r="76" spans="1:3">
      <c r="A76" s="323">
        <v>45016</v>
      </c>
      <c r="B76" s="324">
        <v>0.59424659617913489</v>
      </c>
      <c r="C76" s="324">
        <v>0.40575340382086517</v>
      </c>
    </row>
    <row r="77" spans="1:3">
      <c r="A77" s="323">
        <v>45046</v>
      </c>
      <c r="B77" s="324">
        <v>0.59698750620396945</v>
      </c>
      <c r="C77" s="324">
        <v>0.40301249379603055</v>
      </c>
    </row>
    <row r="78" spans="1:3">
      <c r="A78" s="323">
        <v>45077</v>
      </c>
      <c r="B78" s="324">
        <v>0.61499431933961113</v>
      </c>
      <c r="C78" s="324">
        <v>0.38500568066038893</v>
      </c>
    </row>
    <row r="79" spans="1:3">
      <c r="A79" s="323">
        <v>45107</v>
      </c>
      <c r="B79" s="324">
        <v>0.62750267442483132</v>
      </c>
      <c r="C79" s="324">
        <v>0.37249732557516863</v>
      </c>
    </row>
    <row r="80" spans="1:3">
      <c r="A80" s="323">
        <v>45138</v>
      </c>
      <c r="B80" s="324">
        <v>0.64411699902461605</v>
      </c>
      <c r="C80" s="324">
        <v>0.35588300097538383</v>
      </c>
    </row>
    <row r="81" spans="1:3">
      <c r="A81" s="323">
        <v>45169</v>
      </c>
      <c r="B81" s="324">
        <v>0.63843800970324005</v>
      </c>
      <c r="C81" s="324">
        <v>0.36156199029675989</v>
      </c>
    </row>
    <row r="82" spans="1:3">
      <c r="A82" s="323">
        <v>45199</v>
      </c>
      <c r="B82" s="324">
        <v>0.63768754120176852</v>
      </c>
      <c r="C82" s="324">
        <v>0.36231245879823148</v>
      </c>
    </row>
    <row r="83" spans="1:3">
      <c r="A83" s="323">
        <v>45230</v>
      </c>
      <c r="B83" s="324">
        <v>0.64526878622173978</v>
      </c>
      <c r="C83" s="324">
        <v>0.35473121377826022</v>
      </c>
    </row>
    <row r="84" spans="1:3">
      <c r="A84" s="323">
        <v>45260</v>
      </c>
      <c r="B84" s="324">
        <v>0.64188955343431597</v>
      </c>
      <c r="C84" s="324">
        <v>0.35811044656568408</v>
      </c>
    </row>
    <row r="85" spans="1:3">
      <c r="A85" s="323">
        <v>45291</v>
      </c>
      <c r="B85" s="324">
        <v>0.64557144178660208</v>
      </c>
      <c r="C85" s="324">
        <v>0.35442855821339803</v>
      </c>
    </row>
    <row r="86" spans="1:3">
      <c r="A86" s="323">
        <v>45322</v>
      </c>
      <c r="B86" s="324">
        <v>0.64170166177746257</v>
      </c>
      <c r="C86" s="324">
        <v>0.35829833822253737</v>
      </c>
    </row>
    <row r="87" spans="1:3">
      <c r="A87" s="323">
        <v>45350</v>
      </c>
      <c r="B87" s="324">
        <v>0.64728045282363444</v>
      </c>
      <c r="C87" s="324">
        <v>0.35271954717636556</v>
      </c>
    </row>
    <row r="88" spans="1:3">
      <c r="A88" s="323"/>
      <c r="B88" t="s">
        <v>21</v>
      </c>
      <c r="C88" t="s">
        <v>22</v>
      </c>
    </row>
    <row r="89" spans="1:3">
      <c r="A89" s="323">
        <v>45382</v>
      </c>
      <c r="B89" s="324">
        <v>0.6543825885282526</v>
      </c>
      <c r="C89" s="324">
        <v>0.34561741147174746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B0B65-930B-4065-89EA-7B3322915916}">
  <sheetPr codeName="Hoja10">
    <tabColor theme="0" tint="-0.14999847407452621"/>
    <pageSetUpPr fitToPage="1"/>
  </sheetPr>
  <dimension ref="A1:M305"/>
  <sheetViews>
    <sheetView showGridLines="0" zoomScale="90" zoomScaleNormal="90" workbookViewId="0">
      <pane xSplit="1" ySplit="22" topLeftCell="B297" activePane="bottomRight" state="frozen"/>
      <selection pane="topRight" activeCell="B1" sqref="B1"/>
      <selection pane="bottomLeft" activeCell="A23" sqref="A23"/>
      <selection pane="bottomRight" activeCell="B305" sqref="B305:J305"/>
    </sheetView>
  </sheetViews>
  <sheetFormatPr baseColWidth="10" defaultColWidth="0" defaultRowHeight="12.75"/>
  <cols>
    <col min="1" max="2" width="14.7109375" style="93" customWidth="1"/>
    <col min="3" max="3" width="14.7109375" style="93" hidden="1" customWidth="1"/>
    <col min="4" max="8" width="14.7109375" style="93" customWidth="1"/>
    <col min="9" max="9" width="16.5703125" style="93" customWidth="1"/>
    <col min="10" max="10" width="22" style="93" bestFit="1" customWidth="1"/>
    <col min="11" max="11" width="5" style="8" hidden="1" customWidth="1"/>
    <col min="12" max="12" width="12.28515625" style="8" customWidth="1"/>
    <col min="13" max="16384" width="0" style="8" hidden="1"/>
  </cols>
  <sheetData>
    <row r="1" spans="1:10" s="82" customFormat="1" ht="12.75" customHeight="1">
      <c r="A1" s="115"/>
    </row>
    <row r="2" spans="1:10" s="82" customFormat="1" ht="12.75" customHeight="1">
      <c r="A2" s="124"/>
    </row>
    <row r="3" spans="1:10" s="82" customFormat="1" ht="12.75" customHeight="1">
      <c r="A3" s="124"/>
    </row>
    <row r="4" spans="1:10" s="82" customFormat="1" ht="12.75" customHeight="1">
      <c r="A4" s="124"/>
    </row>
    <row r="5" spans="1:10" s="82" customFormat="1" ht="12.75" customHeight="1">
      <c r="A5" s="81"/>
    </row>
    <row r="6" spans="1:10" ht="12.75" customHeight="1">
      <c r="A6" s="12"/>
      <c r="B6" s="8"/>
      <c r="C6" s="8"/>
      <c r="D6" s="8"/>
      <c r="E6" s="8"/>
      <c r="F6" s="8"/>
      <c r="G6" s="8"/>
      <c r="H6" s="8"/>
      <c r="I6" s="8"/>
      <c r="J6" s="8"/>
    </row>
    <row r="7" spans="1:10" ht="12.75" customHeight="1">
      <c r="A7" s="12"/>
      <c r="B7" s="8"/>
      <c r="C7" s="8"/>
      <c r="D7" s="8"/>
      <c r="E7" s="8"/>
      <c r="F7" s="8"/>
      <c r="G7" s="8"/>
      <c r="H7" s="8"/>
      <c r="I7" s="8"/>
      <c r="J7" s="8"/>
    </row>
    <row r="8" spans="1:10" ht="12.75" customHeight="1">
      <c r="A8" s="12"/>
      <c r="B8" s="8"/>
      <c r="C8" s="8"/>
      <c r="D8" s="8"/>
      <c r="E8" s="8"/>
      <c r="F8" s="8"/>
      <c r="G8" s="8"/>
      <c r="H8" s="8"/>
      <c r="I8" s="8"/>
      <c r="J8" s="8"/>
    </row>
    <row r="9" spans="1:10" ht="12.75" customHeight="1">
      <c r="A9" s="12"/>
      <c r="B9" s="8"/>
      <c r="C9" s="8"/>
      <c r="D9" s="8"/>
      <c r="E9" s="8"/>
      <c r="F9" s="8"/>
      <c r="G9" s="8"/>
      <c r="H9" s="8"/>
      <c r="I9" s="8"/>
      <c r="J9" s="8"/>
    </row>
    <row r="10" spans="1:10" ht="12.75" customHeight="1">
      <c r="A10" s="12"/>
      <c r="B10" s="8"/>
      <c r="C10" s="8"/>
      <c r="D10" s="8"/>
      <c r="E10" s="8"/>
      <c r="F10" s="8"/>
      <c r="G10" s="8"/>
      <c r="H10" s="8"/>
      <c r="I10" s="8"/>
      <c r="J10" s="8"/>
    </row>
    <row r="11" spans="1:10" ht="12.75" customHeight="1">
      <c r="A11" s="12"/>
      <c r="B11" s="8"/>
      <c r="C11" s="8"/>
      <c r="D11" s="8"/>
      <c r="E11" s="8"/>
      <c r="F11" s="8"/>
      <c r="G11" s="8"/>
      <c r="H11" s="8"/>
      <c r="I11" s="8"/>
      <c r="J11" s="8"/>
    </row>
    <row r="12" spans="1:10" ht="12.75" customHeight="1">
      <c r="A12" s="12"/>
      <c r="B12" s="8"/>
      <c r="C12" s="8"/>
      <c r="D12" s="8"/>
      <c r="E12" s="8"/>
      <c r="F12" s="8"/>
      <c r="G12" s="8"/>
      <c r="H12" s="8"/>
      <c r="I12" s="8"/>
      <c r="J12" s="8"/>
    </row>
    <row r="13" spans="1:10" ht="12.75" customHeight="1">
      <c r="A13" s="12"/>
      <c r="B13" s="8"/>
      <c r="C13" s="8"/>
      <c r="D13" s="8"/>
      <c r="E13" s="8"/>
      <c r="F13" s="8"/>
      <c r="G13" s="8"/>
      <c r="H13" s="8"/>
      <c r="I13" s="8"/>
      <c r="J13" s="8"/>
    </row>
    <row r="14" spans="1:10" ht="12.75" customHeight="1">
      <c r="A14" s="12"/>
      <c r="B14" s="8"/>
      <c r="C14" s="8"/>
      <c r="D14" s="8"/>
      <c r="E14" s="8"/>
      <c r="F14" s="8"/>
      <c r="G14" s="8"/>
      <c r="H14" s="8"/>
      <c r="I14" s="8"/>
      <c r="J14" s="8"/>
    </row>
    <row r="15" spans="1:10" ht="12.75" customHeight="1">
      <c r="A15" s="12"/>
      <c r="B15" s="8"/>
      <c r="C15" s="8"/>
      <c r="D15" s="8"/>
      <c r="E15" s="8"/>
      <c r="F15" s="8"/>
      <c r="G15" s="8"/>
      <c r="H15" s="8"/>
      <c r="I15" s="8"/>
      <c r="J15" s="8"/>
    </row>
    <row r="16" spans="1:10" ht="12.75" customHeight="1">
      <c r="A16" s="12"/>
      <c r="B16" s="8"/>
      <c r="C16" s="8"/>
      <c r="D16" s="8"/>
      <c r="E16" s="8"/>
      <c r="F16" s="8"/>
      <c r="G16" s="8"/>
      <c r="H16" s="8"/>
      <c r="I16" s="8"/>
      <c r="J16" s="8"/>
    </row>
    <row r="17" spans="1:11" ht="12.75" customHeight="1">
      <c r="A17" s="12"/>
      <c r="B17" s="8"/>
      <c r="C17" s="8"/>
      <c r="D17" s="8"/>
      <c r="E17" s="8"/>
      <c r="F17" s="8"/>
      <c r="G17" s="8"/>
      <c r="H17" s="8"/>
      <c r="I17" s="8"/>
      <c r="J17" s="8"/>
    </row>
    <row r="18" spans="1:11" ht="12.75" customHeight="1">
      <c r="A18" s="12"/>
      <c r="B18" s="8"/>
      <c r="C18" s="8"/>
      <c r="D18" s="8"/>
      <c r="E18" s="8"/>
      <c r="F18" s="8"/>
      <c r="G18" s="8"/>
      <c r="H18" s="8"/>
      <c r="I18" s="8"/>
      <c r="J18" s="8"/>
    </row>
    <row r="19" spans="1:11" ht="12.75" customHeight="1">
      <c r="A19" s="12"/>
      <c r="B19" s="8"/>
      <c r="C19" s="8"/>
      <c r="D19" s="8"/>
      <c r="E19" s="8"/>
      <c r="F19" s="8"/>
      <c r="G19" s="8"/>
      <c r="H19" s="8"/>
      <c r="I19" s="8"/>
      <c r="J19" s="8"/>
    </row>
    <row r="20" spans="1:11" s="7" customFormat="1" ht="12.75" customHeight="1">
      <c r="A20" s="299"/>
      <c r="B20" s="300" t="str">
        <f>Fuente_internaSección_título_etiqueta</f>
        <v>Composición por fuente - deuda interna</v>
      </c>
      <c r="C20" s="301"/>
      <c r="D20" s="301"/>
      <c r="E20" s="301"/>
      <c r="F20" s="301"/>
      <c r="G20" s="301"/>
      <c r="H20" s="301"/>
      <c r="I20" s="301"/>
      <c r="J20" s="301"/>
      <c r="K20" s="2"/>
    </row>
    <row r="21" spans="1:11" s="7" customFormat="1" ht="12.75" customHeight="1">
      <c r="A21" s="299"/>
      <c r="B21" s="300" t="str">
        <f>Fuente_internaSección_subtítulo_etiqueta</f>
        <v>(% de deuda interna)</v>
      </c>
      <c r="C21" s="301"/>
      <c r="D21" s="301"/>
      <c r="E21" s="301"/>
      <c r="F21" s="301"/>
      <c r="G21" s="301"/>
      <c r="H21" s="301"/>
      <c r="I21" s="301"/>
      <c r="J21" s="301"/>
      <c r="K21" s="2"/>
    </row>
    <row r="22" spans="1:11" ht="38.25">
      <c r="A22" s="192" t="str">
        <f>SaldosSección_fecha_etiqueta</f>
        <v>Corte a</v>
      </c>
      <c r="B22" s="193" t="str">
        <f>Fuente_internaColumna_título_etiqueta</f>
        <v>TES</v>
      </c>
      <c r="C22" s="193" t="str">
        <f>Fuente_internaColumna_título_etiqueta_2</f>
        <v>Bonos Fogafin</v>
      </c>
      <c r="D22" s="193" t="str">
        <f>Fuente_internaColumna_título_etiqueta_3</f>
        <v xml:space="preserve">Bonos Ley 546/99 </v>
      </c>
      <c r="E22" s="193" t="str">
        <f>Fuente_internaColumna_título_etiqueta_4</f>
        <v>Títulos de reducción de deuda</v>
      </c>
      <c r="F22" s="193" t="str">
        <f>Fuente_internaColumna_título_etiqueta_5</f>
        <v>Bonos agrarios</v>
      </c>
      <c r="G22" s="193" t="str">
        <f>Fuente_internaColumna_título_etiqueta_6</f>
        <v>Bonos de paz</v>
      </c>
      <c r="H22" s="193" t="str">
        <f>Fuente_internaColumna_título_etiqueta_7</f>
        <v>Bono de seguridad</v>
      </c>
      <c r="I22" s="193" t="str">
        <f>Fuente_internaColumna_título_etiqueta_9</f>
        <v>Titulos de Tesorería</v>
      </c>
      <c r="J22" s="193" t="str">
        <f>Fuente_internaColumna_título_etiqueta_8</f>
        <v>Otros</v>
      </c>
      <c r="K22" s="4"/>
    </row>
    <row r="23" spans="1:11">
      <c r="A23" s="118">
        <v>37072</v>
      </c>
      <c r="B23" s="194">
        <v>0.81411560770013014</v>
      </c>
      <c r="C23" s="194">
        <v>0</v>
      </c>
      <c r="D23" s="194">
        <v>6.3394943799928438E-2</v>
      </c>
      <c r="E23" s="194">
        <v>1.753554817325113E-2</v>
      </c>
      <c r="F23" s="194">
        <v>3.473940187583395E-2</v>
      </c>
      <c r="G23" s="194">
        <v>2.1399537897682227E-2</v>
      </c>
      <c r="H23" s="194">
        <v>1.1580700180105281E-2</v>
      </c>
      <c r="I23" s="194" t="s">
        <v>345</v>
      </c>
      <c r="J23" s="195">
        <v>3.7234260373068817E-2</v>
      </c>
      <c r="K23" s="11"/>
    </row>
    <row r="24" spans="1:11">
      <c r="A24" s="118">
        <v>37103</v>
      </c>
      <c r="B24" s="194">
        <v>0.8142561639729986</v>
      </c>
      <c r="C24" s="194">
        <v>0</v>
      </c>
      <c r="D24" s="194">
        <v>6.234018982569621E-2</v>
      </c>
      <c r="E24" s="194">
        <v>1.8360306697498729E-2</v>
      </c>
      <c r="F24" s="194">
        <v>3.4348411580084809E-2</v>
      </c>
      <c r="G24" s="194">
        <v>2.199019335628043E-2</v>
      </c>
      <c r="H24" s="194">
        <v>1.1455085055975135E-2</v>
      </c>
      <c r="I24" s="194" t="s">
        <v>345</v>
      </c>
      <c r="J24" s="195">
        <v>3.724964951146606E-2</v>
      </c>
      <c r="K24" s="11"/>
    </row>
    <row r="25" spans="1:11">
      <c r="A25" s="118">
        <v>37134</v>
      </c>
      <c r="B25" s="194">
        <v>0.8200696822058583</v>
      </c>
      <c r="C25" s="194">
        <v>0</v>
      </c>
      <c r="D25" s="194">
        <v>5.9765174585737102E-2</v>
      </c>
      <c r="E25" s="194">
        <v>1.8695249694253117E-2</v>
      </c>
      <c r="F25" s="194">
        <v>3.3156653756061333E-2</v>
      </c>
      <c r="G25" s="194">
        <v>2.1297486826322751E-2</v>
      </c>
      <c r="H25" s="194">
        <v>1.1058523046283771E-2</v>
      </c>
      <c r="I25" s="194" t="s">
        <v>345</v>
      </c>
      <c r="J25" s="195">
        <v>3.595722988548368E-2</v>
      </c>
      <c r="K25" s="11"/>
    </row>
    <row r="26" spans="1:11">
      <c r="A26" s="118">
        <v>37164</v>
      </c>
      <c r="B26" s="194">
        <v>0.82246807457056292</v>
      </c>
      <c r="C26" s="194">
        <v>0</v>
      </c>
      <c r="D26" s="194">
        <v>5.8398979186994486E-2</v>
      </c>
      <c r="E26" s="194">
        <v>1.9352965291695137E-2</v>
      </c>
      <c r="F26" s="194">
        <v>3.2594911243588119E-2</v>
      </c>
      <c r="G26" s="194">
        <v>2.0965861184608227E-2</v>
      </c>
      <c r="H26" s="194">
        <v>1.0871168720181824E-2</v>
      </c>
      <c r="I26" s="194" t="s">
        <v>345</v>
      </c>
      <c r="J26" s="195">
        <v>3.5348039802369335E-2</v>
      </c>
      <c r="K26" s="11"/>
    </row>
    <row r="27" spans="1:11">
      <c r="A27" s="118">
        <v>37195</v>
      </c>
      <c r="B27" s="194">
        <v>0.8270402236044353</v>
      </c>
      <c r="C27" s="194">
        <v>0</v>
      </c>
      <c r="D27" s="194">
        <v>5.6667649755643701E-2</v>
      </c>
      <c r="E27" s="194">
        <v>1.9701368599055673E-2</v>
      </c>
      <c r="F27" s="194">
        <v>3.1527384509350422E-2</v>
      </c>
      <c r="G27" s="194">
        <v>2.0356834115087531E-2</v>
      </c>
      <c r="H27" s="194">
        <v>1.0516194973616722E-2</v>
      </c>
      <c r="I27" s="194" t="s">
        <v>345</v>
      </c>
      <c r="J27" s="195">
        <v>3.4190344442810702E-2</v>
      </c>
      <c r="K27" s="11"/>
    </row>
    <row r="28" spans="1:11">
      <c r="A28" s="118">
        <v>37225</v>
      </c>
      <c r="B28" s="194">
        <v>0.82339685658640116</v>
      </c>
      <c r="C28" s="194">
        <v>0</v>
      </c>
      <c r="D28" s="194">
        <v>5.417449542400371E-2</v>
      </c>
      <c r="E28" s="194">
        <v>2.0034228664403311E-2</v>
      </c>
      <c r="F28" s="194">
        <v>3.0538282565699047E-2</v>
      </c>
      <c r="G28" s="194">
        <v>2.8543492363843615E-2</v>
      </c>
      <c r="H28" s="194">
        <v>1.0194946373364138E-2</v>
      </c>
      <c r="I28" s="194" t="s">
        <v>345</v>
      </c>
      <c r="J28" s="195">
        <v>3.3117698022284953E-2</v>
      </c>
      <c r="K28" s="11"/>
    </row>
    <row r="29" spans="1:11">
      <c r="A29" s="118">
        <v>37256</v>
      </c>
      <c r="B29" s="194">
        <v>0.75705641728152739</v>
      </c>
      <c r="C29" s="194">
        <v>9.0876871976126705E-2</v>
      </c>
      <c r="D29" s="194">
        <v>4.9236011852918066E-2</v>
      </c>
      <c r="E29" s="194">
        <v>1.9193234343466922E-2</v>
      </c>
      <c r="F29" s="194">
        <v>2.7936499905317814E-2</v>
      </c>
      <c r="G29" s="194">
        <v>2.7605274052533185E-2</v>
      </c>
      <c r="H29" s="194">
        <v>9.3277422979894092E-3</v>
      </c>
      <c r="I29" s="194" t="s">
        <v>345</v>
      </c>
      <c r="J29" s="195">
        <v>1.8767948290120476E-2</v>
      </c>
      <c r="K29" s="11"/>
    </row>
    <row r="30" spans="1:11">
      <c r="A30" s="118">
        <v>37287</v>
      </c>
      <c r="B30" s="194">
        <v>0.75953624360683003</v>
      </c>
      <c r="C30" s="194">
        <v>9.0100648269746814E-2</v>
      </c>
      <c r="D30" s="194">
        <v>4.842044230881451E-2</v>
      </c>
      <c r="E30" s="194">
        <v>1.9876519452794835E-2</v>
      </c>
      <c r="F30" s="194">
        <v>2.763465284445199E-2</v>
      </c>
      <c r="G30" s="194">
        <v>2.7388649222524462E-2</v>
      </c>
      <c r="H30" s="194">
        <v>9.2269806817321543E-3</v>
      </c>
      <c r="I30" s="194" t="s">
        <v>345</v>
      </c>
      <c r="J30" s="195">
        <v>1.7815863613105078E-2</v>
      </c>
      <c r="K30" s="11"/>
    </row>
    <row r="31" spans="1:11">
      <c r="A31" s="118">
        <v>37315</v>
      </c>
      <c r="B31" s="194">
        <v>0.77096173074458008</v>
      </c>
      <c r="C31" s="194">
        <v>8.5516635782090664E-2</v>
      </c>
      <c r="D31" s="194">
        <v>4.5821408332886351E-2</v>
      </c>
      <c r="E31" s="194">
        <v>1.9755710903127985E-2</v>
      </c>
      <c r="F31" s="194">
        <v>2.6228696326228523E-2</v>
      </c>
      <c r="G31" s="194">
        <v>2.6047908299697466E-2</v>
      </c>
      <c r="H31" s="194">
        <v>8.7584561390450164E-3</v>
      </c>
      <c r="I31" s="194" t="s">
        <v>345</v>
      </c>
      <c r="J31" s="195">
        <v>1.6909453472343922E-2</v>
      </c>
      <c r="K31" s="11"/>
    </row>
    <row r="32" spans="1:11">
      <c r="A32" s="118">
        <v>37346</v>
      </c>
      <c r="B32" s="194">
        <v>0.76970376082337388</v>
      </c>
      <c r="C32" s="194">
        <v>8.558046149001719E-2</v>
      </c>
      <c r="D32" s="194">
        <v>4.6350346456200057E-2</v>
      </c>
      <c r="E32" s="194">
        <v>2.0777016914232088E-2</v>
      </c>
      <c r="F32" s="194">
        <v>2.6248272226235596E-2</v>
      </c>
      <c r="G32" s="194">
        <v>2.6110317939415505E-2</v>
      </c>
      <c r="H32" s="194">
        <v>8.7660975342500128E-3</v>
      </c>
      <c r="I32" s="194" t="s">
        <v>345</v>
      </c>
      <c r="J32" s="195">
        <v>1.6463726616275431E-2</v>
      </c>
      <c r="K32" s="11"/>
    </row>
    <row r="33" spans="1:11">
      <c r="A33" s="118">
        <v>37376</v>
      </c>
      <c r="B33" s="194">
        <v>0.77356623589933693</v>
      </c>
      <c r="C33" s="194">
        <v>8.479765656396325E-2</v>
      </c>
      <c r="D33" s="194">
        <v>4.5586174206409188E-2</v>
      </c>
      <c r="E33" s="194">
        <v>2.15764397284311E-2</v>
      </c>
      <c r="F33" s="194">
        <v>2.6008179143756728E-2</v>
      </c>
      <c r="G33" s="194">
        <v>2.5907959082838151E-2</v>
      </c>
      <c r="H33" s="194">
        <v>8.6879975279382342E-3</v>
      </c>
      <c r="I33" s="194" t="s">
        <v>345</v>
      </c>
      <c r="J33" s="195">
        <v>1.3869357847326565E-2</v>
      </c>
      <c r="K33" s="11"/>
    </row>
    <row r="34" spans="1:11">
      <c r="A34" s="118">
        <v>37407</v>
      </c>
      <c r="B34" s="194">
        <v>0.78670934176247054</v>
      </c>
      <c r="C34" s="194">
        <v>8.0339647787469604E-2</v>
      </c>
      <c r="D34" s="194">
        <v>4.5300196889292037E-2</v>
      </c>
      <c r="E34" s="194">
        <v>2.1377395362363275E-2</v>
      </c>
      <c r="F34" s="194">
        <v>2.4640869060181144E-2</v>
      </c>
      <c r="G34" s="194">
        <v>2.457556763666089E-2</v>
      </c>
      <c r="H34" s="194">
        <v>4.0724161037485312E-3</v>
      </c>
      <c r="I34" s="194" t="s">
        <v>345</v>
      </c>
      <c r="J34" s="195">
        <v>1.298456539781398E-2</v>
      </c>
      <c r="K34" s="11"/>
    </row>
    <row r="35" spans="1:11">
      <c r="A35" s="118">
        <v>37437</v>
      </c>
      <c r="B35" s="194">
        <v>0.79114300988072139</v>
      </c>
      <c r="C35" s="194">
        <v>7.911176270138065E-2</v>
      </c>
      <c r="D35" s="194">
        <v>4.4706076757756473E-2</v>
      </c>
      <c r="E35" s="194">
        <v>2.1980306011294262E-2</v>
      </c>
      <c r="F35" s="194">
        <v>2.4264266019708439E-2</v>
      </c>
      <c r="G35" s="194">
        <v>2.4232912384003394E-2</v>
      </c>
      <c r="H35" s="194">
        <v>3.9660872174642463E-3</v>
      </c>
      <c r="I35" s="194" t="s">
        <v>345</v>
      </c>
      <c r="J35" s="195">
        <v>1.0595579027671234E-2</v>
      </c>
      <c r="K35" s="11"/>
    </row>
    <row r="36" spans="1:11">
      <c r="A36" s="118">
        <v>37468</v>
      </c>
      <c r="B36" s="194">
        <v>0.79278010876501859</v>
      </c>
      <c r="C36" s="194">
        <v>7.8957823615001546E-2</v>
      </c>
      <c r="D36" s="194">
        <v>4.445138976126782E-2</v>
      </c>
      <c r="E36" s="194">
        <v>2.2838492586715557E-2</v>
      </c>
      <c r="F36" s="194">
        <v>2.4217051562399068E-2</v>
      </c>
      <c r="G36" s="194">
        <v>2.4202663487919586E-2</v>
      </c>
      <c r="H36" s="194">
        <v>2.1781834287277063E-3</v>
      </c>
      <c r="I36" s="194" t="s">
        <v>345</v>
      </c>
      <c r="J36" s="195">
        <v>1.0374286792950133E-2</v>
      </c>
      <c r="K36" s="11"/>
    </row>
    <row r="37" spans="1:11">
      <c r="A37" s="118">
        <v>37499</v>
      </c>
      <c r="B37" s="194">
        <v>0.78995407078950697</v>
      </c>
      <c r="C37" s="194">
        <v>7.8950963708330671E-2</v>
      </c>
      <c r="D37" s="194">
        <v>4.434518327119933E-2</v>
      </c>
      <c r="E37" s="194">
        <v>2.3615089413835364E-2</v>
      </c>
      <c r="F37" s="194">
        <v>2.4143835048560842E-2</v>
      </c>
      <c r="G37" s="194">
        <v>2.4151173524974732E-2</v>
      </c>
      <c r="H37" s="194">
        <v>9.5987332046359813E-4</v>
      </c>
      <c r="I37" s="194" t="s">
        <v>345</v>
      </c>
      <c r="J37" s="195">
        <v>1.3879810923128521E-2</v>
      </c>
      <c r="K37" s="11"/>
    </row>
    <row r="38" spans="1:11">
      <c r="A38" s="118">
        <v>37529</v>
      </c>
      <c r="B38" s="194">
        <v>0.79173785308487821</v>
      </c>
      <c r="C38" s="194">
        <v>7.6082322884600734E-2</v>
      </c>
      <c r="D38" s="194">
        <v>4.4785757864487449E-2</v>
      </c>
      <c r="E38" s="194">
        <v>2.4448518755170418E-2</v>
      </c>
      <c r="F38" s="194">
        <v>2.4177432730883189E-2</v>
      </c>
      <c r="G38" s="194">
        <v>2.4215396698232392E-2</v>
      </c>
      <c r="H38" s="194">
        <v>8.1730154343809063E-4</v>
      </c>
      <c r="I38" s="194" t="s">
        <v>345</v>
      </c>
      <c r="J38" s="195">
        <v>1.3735416438309386E-2</v>
      </c>
      <c r="K38" s="11"/>
    </row>
    <row r="39" spans="1:11">
      <c r="A39" s="118">
        <v>37560</v>
      </c>
      <c r="B39" s="194">
        <v>0.79249212065819141</v>
      </c>
      <c r="C39" s="194">
        <v>7.5902119541235352E-2</v>
      </c>
      <c r="D39" s="194">
        <v>4.4689710285484886E-2</v>
      </c>
      <c r="E39" s="194">
        <v>2.522515207647371E-2</v>
      </c>
      <c r="F39" s="194">
        <v>2.412016773098689E-2</v>
      </c>
      <c r="G39" s="194">
        <v>2.4182618981070752E-2</v>
      </c>
      <c r="H39" s="194">
        <v>6.8530186439789769E-4</v>
      </c>
      <c r="I39" s="194" t="s">
        <v>345</v>
      </c>
      <c r="J39" s="195">
        <v>1.2702808862158941E-2</v>
      </c>
      <c r="K39" s="11"/>
    </row>
    <row r="40" spans="1:11">
      <c r="A40" s="118">
        <v>37590</v>
      </c>
      <c r="B40" s="194">
        <v>0.79288291638428798</v>
      </c>
      <c r="C40" s="194">
        <v>7.5425533576263165E-2</v>
      </c>
      <c r="D40" s="194">
        <v>4.4864080512901139E-2</v>
      </c>
      <c r="E40" s="194">
        <v>2.5956527002242668E-2</v>
      </c>
      <c r="F40" s="194">
        <v>2.396871829211953E-2</v>
      </c>
      <c r="G40" s="194">
        <v>2.4084671778542118E-2</v>
      </c>
      <c r="H40" s="194">
        <v>6.0492402471465888E-4</v>
      </c>
      <c r="I40" s="194" t="s">
        <v>345</v>
      </c>
      <c r="J40" s="195">
        <v>1.2212628428928816E-2</v>
      </c>
      <c r="K40" s="11"/>
    </row>
    <row r="41" spans="1:11">
      <c r="A41" s="118">
        <v>37621</v>
      </c>
      <c r="B41" s="194">
        <v>0.8006307922746041</v>
      </c>
      <c r="C41" s="194">
        <v>7.2823011718165021E-2</v>
      </c>
      <c r="D41" s="194">
        <v>4.2395464123505068E-2</v>
      </c>
      <c r="E41" s="194">
        <v>2.5989500479518413E-2</v>
      </c>
      <c r="F41" s="194">
        <v>2.314168916407543E-2</v>
      </c>
      <c r="G41" s="194">
        <v>2.3293337708166027E-2</v>
      </c>
      <c r="H41" s="194">
        <v>5.1792547512342284E-4</v>
      </c>
      <c r="I41" s="194" t="s">
        <v>345</v>
      </c>
      <c r="J41" s="195">
        <v>1.1208279056842605E-2</v>
      </c>
      <c r="K41" s="11"/>
    </row>
    <row r="42" spans="1:11">
      <c r="A42" s="118">
        <v>37652</v>
      </c>
      <c r="B42" s="194">
        <v>0.80176340408913038</v>
      </c>
      <c r="C42" s="194">
        <v>7.1871590164208701E-2</v>
      </c>
      <c r="D42" s="194">
        <v>4.2445987174832861E-2</v>
      </c>
      <c r="E42" s="194">
        <v>2.6547893680233605E-2</v>
      </c>
      <c r="F42" s="194">
        <v>2.2839346520641932E-2</v>
      </c>
      <c r="G42" s="194">
        <v>2.302947523621604E-2</v>
      </c>
      <c r="H42" s="194">
        <v>4.6295229168178689E-4</v>
      </c>
      <c r="I42" s="194" t="s">
        <v>345</v>
      </c>
      <c r="J42" s="195">
        <v>1.1039350843054532E-2</v>
      </c>
      <c r="K42" s="11"/>
    </row>
    <row r="43" spans="1:11">
      <c r="A43" s="118">
        <v>37680</v>
      </c>
      <c r="B43" s="194">
        <v>0.80055124954549162</v>
      </c>
      <c r="C43" s="194">
        <v>7.2977804075724698E-2</v>
      </c>
      <c r="D43" s="194">
        <v>4.2968507303278884E-2</v>
      </c>
      <c r="E43" s="194">
        <v>2.7874702516460865E-2</v>
      </c>
      <c r="F43" s="194">
        <v>2.0614114723128355E-2</v>
      </c>
      <c r="G43" s="194">
        <v>2.3406417494612464E-2</v>
      </c>
      <c r="H43" s="194">
        <v>3.9558420097238201E-4</v>
      </c>
      <c r="I43" s="194" t="s">
        <v>345</v>
      </c>
      <c r="J43" s="195">
        <v>1.1211620140330749E-2</v>
      </c>
      <c r="K43" s="11"/>
    </row>
    <row r="44" spans="1:11">
      <c r="A44" s="118">
        <v>37711</v>
      </c>
      <c r="B44" s="194">
        <v>0.80849341709903821</v>
      </c>
      <c r="C44" s="194">
        <v>6.9900411405467155E-2</v>
      </c>
      <c r="D44" s="194">
        <v>4.1033304745327973E-2</v>
      </c>
      <c r="E44" s="194">
        <v>2.7734590979092616E-2</v>
      </c>
      <c r="F44" s="194">
        <v>1.9744840477948576E-2</v>
      </c>
      <c r="G44" s="194">
        <v>2.2447489595815294E-2</v>
      </c>
      <c r="H44" s="194">
        <v>3.2357813586891848E-4</v>
      </c>
      <c r="I44" s="194" t="s">
        <v>345</v>
      </c>
      <c r="J44" s="195">
        <v>1.0322367561441136E-2</v>
      </c>
      <c r="K44" s="11"/>
    </row>
    <row r="45" spans="1:11">
      <c r="A45" s="118">
        <v>37741</v>
      </c>
      <c r="B45" s="194">
        <v>0.81028305170870218</v>
      </c>
      <c r="C45" s="194">
        <v>6.8891237290010676E-2</v>
      </c>
      <c r="D45" s="194">
        <v>4.0505423447103901E-2</v>
      </c>
      <c r="E45" s="194">
        <v>2.8338727770332688E-2</v>
      </c>
      <c r="F45" s="194">
        <v>1.945977803663361E-2</v>
      </c>
      <c r="G45" s="194">
        <v>2.2164359775334052E-2</v>
      </c>
      <c r="H45" s="194">
        <v>2.9273769902730002E-4</v>
      </c>
      <c r="I45" s="194" t="s">
        <v>345</v>
      </c>
      <c r="J45" s="195">
        <v>1.0064684272855336E-2</v>
      </c>
      <c r="K45" s="11"/>
    </row>
    <row r="46" spans="1:11">
      <c r="A46" s="118">
        <v>37772</v>
      </c>
      <c r="B46" s="194">
        <v>0.81195925755017817</v>
      </c>
      <c r="C46" s="194">
        <v>6.8372541234885287E-2</v>
      </c>
      <c r="D46" s="194">
        <v>3.984841282275664E-2</v>
      </c>
      <c r="E46" s="194">
        <v>2.8935767969608797E-2</v>
      </c>
      <c r="F46" s="194">
        <v>1.9168390335437352E-2</v>
      </c>
      <c r="G46" s="194">
        <v>2.1863216692114086E-2</v>
      </c>
      <c r="H46" s="194">
        <v>2.6279606985029421E-4</v>
      </c>
      <c r="I46" s="194" t="s">
        <v>345</v>
      </c>
      <c r="J46" s="195">
        <v>9.5896173251693861E-3</v>
      </c>
      <c r="K46" s="11"/>
    </row>
    <row r="47" spans="1:11">
      <c r="A47" s="118">
        <v>37802</v>
      </c>
      <c r="B47" s="194">
        <v>0.81193222625366779</v>
      </c>
      <c r="C47" s="194">
        <v>6.7739356527534933E-2</v>
      </c>
      <c r="D47" s="194">
        <v>4.0082986867739215E-2</v>
      </c>
      <c r="E47" s="194">
        <v>2.9812941989712734E-2</v>
      </c>
      <c r="F47" s="194">
        <v>1.9137402070625458E-2</v>
      </c>
      <c r="G47" s="194">
        <v>2.1846209786250258E-2</v>
      </c>
      <c r="H47" s="194">
        <v>2.4953318281516874E-4</v>
      </c>
      <c r="I47" s="194" t="s">
        <v>345</v>
      </c>
      <c r="J47" s="195">
        <v>9.1993433216544657E-3</v>
      </c>
      <c r="K47" s="11"/>
    </row>
    <row r="48" spans="1:11">
      <c r="A48" s="118">
        <v>37833</v>
      </c>
      <c r="B48" s="194">
        <v>0.81385171982480253</v>
      </c>
      <c r="C48" s="194">
        <v>6.7004348557987176E-2</v>
      </c>
      <c r="D48" s="194">
        <v>3.9350019482634307E-2</v>
      </c>
      <c r="E48" s="194">
        <v>3.0272299124718745E-2</v>
      </c>
      <c r="F48" s="194">
        <v>1.8929751101389697E-2</v>
      </c>
      <c r="G48" s="194">
        <v>2.162077148636786E-2</v>
      </c>
      <c r="H48" s="194">
        <v>2.3133145690868771E-4</v>
      </c>
      <c r="I48" s="194" t="s">
        <v>345</v>
      </c>
      <c r="J48" s="195">
        <v>8.7397589651909934E-3</v>
      </c>
      <c r="K48" s="11"/>
    </row>
    <row r="49" spans="1:11">
      <c r="A49" s="118">
        <v>37864</v>
      </c>
      <c r="B49" s="194">
        <v>0.82245460813176463</v>
      </c>
      <c r="C49" s="194">
        <v>5.8130144955708583E-2</v>
      </c>
      <c r="D49" s="194">
        <v>3.8923024685189975E-2</v>
      </c>
      <c r="E49" s="194">
        <v>3.0883971273777035E-2</v>
      </c>
      <c r="F49" s="194">
        <v>1.8885524663535672E-2</v>
      </c>
      <c r="G49" s="194">
        <v>2.1590854409143528E-2</v>
      </c>
      <c r="H49" s="194">
        <v>2.2016607388503917E-4</v>
      </c>
      <c r="I49" s="194" t="s">
        <v>345</v>
      </c>
      <c r="J49" s="195">
        <v>8.9117058069954659E-3</v>
      </c>
      <c r="K49" s="11"/>
    </row>
    <row r="50" spans="1:11">
      <c r="A50" s="118">
        <v>37894</v>
      </c>
      <c r="B50" s="194">
        <v>0.8248049477349676</v>
      </c>
      <c r="C50" s="194">
        <v>5.7515231305599566E-2</v>
      </c>
      <c r="D50" s="194">
        <v>3.7148490420096582E-2</v>
      </c>
      <c r="E50" s="194">
        <v>3.1298068842747433E-2</v>
      </c>
      <c r="F50" s="194">
        <v>1.86857493677072E-2</v>
      </c>
      <c r="G50" s="194">
        <v>2.1709731917090601E-2</v>
      </c>
      <c r="H50" s="194">
        <v>1.86857493677072E-2</v>
      </c>
      <c r="I50" s="194" t="s">
        <v>345</v>
      </c>
      <c r="J50" s="195">
        <v>8.6271047454893265E-3</v>
      </c>
      <c r="K50" s="11"/>
    </row>
    <row r="51" spans="1:11">
      <c r="A51" s="118">
        <v>37925</v>
      </c>
      <c r="B51" s="194">
        <v>0.81695191640804377</v>
      </c>
      <c r="C51" s="194">
        <v>6.5445107624707594E-2</v>
      </c>
      <c r="D51" s="194">
        <v>3.6688474829344835E-2</v>
      </c>
      <c r="E51" s="194">
        <v>3.2031175570709412E-2</v>
      </c>
      <c r="F51" s="194">
        <v>1.8608286490602945E-2</v>
      </c>
      <c r="G51" s="194">
        <v>2.1619732941809137E-2</v>
      </c>
      <c r="H51" s="194">
        <v>2.0644817152881993E-4</v>
      </c>
      <c r="I51" s="194" t="s">
        <v>345</v>
      </c>
      <c r="J51" s="195">
        <v>8.4488579632535053E-3</v>
      </c>
      <c r="K51" s="11"/>
    </row>
    <row r="52" spans="1:11">
      <c r="A52" s="118">
        <v>37955</v>
      </c>
      <c r="B52" s="194">
        <v>0.81989387474124586</v>
      </c>
      <c r="C52" s="194">
        <v>6.4249666089073162E-2</v>
      </c>
      <c r="D52" s="194">
        <v>3.613503684049351E-2</v>
      </c>
      <c r="E52" s="194">
        <v>3.2207116238832635E-2</v>
      </c>
      <c r="F52" s="194">
        <v>1.8268381501747009E-2</v>
      </c>
      <c r="G52" s="194">
        <v>2.1250248083990873E-2</v>
      </c>
      <c r="H52" s="194">
        <v>1.9639075554778458E-4</v>
      </c>
      <c r="I52" s="194" t="s">
        <v>345</v>
      </c>
      <c r="J52" s="195">
        <v>7.7992857490689835E-3</v>
      </c>
      <c r="K52" s="11"/>
    </row>
    <row r="53" spans="1:11">
      <c r="A53" s="118">
        <v>37986</v>
      </c>
      <c r="B53" s="194">
        <v>0.8222443639165482</v>
      </c>
      <c r="C53" s="194">
        <v>6.3385628585207895E-2</v>
      </c>
      <c r="D53" s="194">
        <v>3.5130265231816275E-2</v>
      </c>
      <c r="E53" s="194">
        <v>3.2553094397163342E-2</v>
      </c>
      <c r="F53" s="194">
        <v>1.802270603425828E-2</v>
      </c>
      <c r="G53" s="194">
        <v>2.0987031659430892E-2</v>
      </c>
      <c r="H53" s="194">
        <v>1.8649779649280263E-4</v>
      </c>
      <c r="I53" s="194" t="s">
        <v>345</v>
      </c>
      <c r="J53" s="195">
        <v>-1.3683117076841472E-2</v>
      </c>
      <c r="K53" s="11"/>
    </row>
    <row r="54" spans="1:11">
      <c r="A54" s="118">
        <v>38017</v>
      </c>
      <c r="B54" s="194">
        <v>0.82398730360448069</v>
      </c>
      <c r="C54" s="194">
        <v>6.2642273837108367E-2</v>
      </c>
      <c r="D54" s="194">
        <v>3.4518998501297506E-2</v>
      </c>
      <c r="E54" s="194">
        <v>3.2992934904859904E-2</v>
      </c>
      <c r="F54" s="194">
        <v>1.7811344809274002E-2</v>
      </c>
      <c r="G54" s="194">
        <v>2.0740906315551387E-2</v>
      </c>
      <c r="H54" s="194">
        <v>1.8041915528074415E-4</v>
      </c>
      <c r="I54" s="194" t="s">
        <v>345</v>
      </c>
      <c r="J54" s="195">
        <v>3.6758517948503621E-3</v>
      </c>
      <c r="K54" s="11">
        <v>3.6758517948503621E-3</v>
      </c>
    </row>
    <row r="55" spans="1:11">
      <c r="A55" s="118">
        <v>38046</v>
      </c>
      <c r="B55" s="194">
        <v>0.82958965221194014</v>
      </c>
      <c r="C55" s="194">
        <v>6.1262639757593065E-2</v>
      </c>
      <c r="D55" s="194">
        <v>3.4003384267936344E-2</v>
      </c>
      <c r="E55" s="194">
        <v>3.2266298169157465E-2</v>
      </c>
      <c r="F55" s="194">
        <v>1.5241684122936973E-2</v>
      </c>
      <c r="G55" s="194">
        <v>2.0318376284804054E-2</v>
      </c>
      <c r="H55" s="194">
        <v>1.7114922098989644E-4</v>
      </c>
      <c r="I55" s="194" t="s">
        <v>345</v>
      </c>
      <c r="J55" s="195">
        <v>3.5887738301054769E-3</v>
      </c>
      <c r="K55" s="11">
        <v>3.5887738301054769E-3</v>
      </c>
    </row>
    <row r="56" spans="1:11">
      <c r="A56" s="118">
        <v>38077</v>
      </c>
      <c r="B56" s="194">
        <v>0.83378513726221348</v>
      </c>
      <c r="C56" s="194">
        <v>5.9281625280191805E-2</v>
      </c>
      <c r="D56" s="194">
        <v>3.2484820027057715E-2</v>
      </c>
      <c r="E56" s="194">
        <v>3.312644145603915E-2</v>
      </c>
      <c r="F56" s="194">
        <v>1.4748822616691273E-2</v>
      </c>
      <c r="G56" s="194">
        <v>1.9675638600647683E-2</v>
      </c>
      <c r="H56" s="194">
        <v>1.4001998228961354E-4</v>
      </c>
      <c r="I56" s="194" t="s">
        <v>345</v>
      </c>
      <c r="J56" s="195">
        <v>3.6191137449771843E-3</v>
      </c>
      <c r="K56" s="11">
        <v>3.6191137449771843E-3</v>
      </c>
    </row>
    <row r="57" spans="1:11">
      <c r="A57" s="118">
        <v>38107</v>
      </c>
      <c r="B57" s="194">
        <v>0.83216676168442605</v>
      </c>
      <c r="C57" s="194">
        <v>5.9080841413844669E-2</v>
      </c>
      <c r="D57" s="194">
        <v>3.2328779898495745E-2</v>
      </c>
      <c r="E57" s="194">
        <v>3.436800189658621E-2</v>
      </c>
      <c r="F57" s="194">
        <v>1.469886910048704E-2</v>
      </c>
      <c r="G57" s="194">
        <v>1.9631294941207817E-2</v>
      </c>
      <c r="H57" s="194">
        <v>1.3556964384637226E-4</v>
      </c>
      <c r="I57" s="194" t="s">
        <v>345</v>
      </c>
      <c r="J57" s="195">
        <v>4.5126722497117258E-3</v>
      </c>
      <c r="K57" s="11">
        <v>4.5126722497117258E-3</v>
      </c>
    </row>
    <row r="58" spans="1:11">
      <c r="A58" s="118">
        <v>38138</v>
      </c>
      <c r="B58" s="194">
        <v>0.82227797517926082</v>
      </c>
      <c r="C58" s="194">
        <v>5.8464467692170313E-2</v>
      </c>
      <c r="D58" s="194">
        <v>3.2538548518823623E-2</v>
      </c>
      <c r="E58" s="194">
        <v>3.492095798941422E-2</v>
      </c>
      <c r="F58" s="194">
        <v>1.4839084310862014E-2</v>
      </c>
      <c r="G58" s="194">
        <v>1.9847246318470929E-2</v>
      </c>
      <c r="H58" s="194">
        <v>1.3121235323409621E-4</v>
      </c>
      <c r="I58" s="194" t="s">
        <v>345</v>
      </c>
      <c r="J58" s="195">
        <v>1.3949530709820289E-2</v>
      </c>
      <c r="K58" s="11">
        <v>1.3949530709820289E-2</v>
      </c>
    </row>
    <row r="59" spans="1:11">
      <c r="A59" s="118">
        <v>38168</v>
      </c>
      <c r="B59" s="194">
        <v>0.82068554426416518</v>
      </c>
      <c r="C59" s="194">
        <v>5.9135591584176007E-2</v>
      </c>
      <c r="D59" s="194">
        <v>3.2551714360201711E-2</v>
      </c>
      <c r="E59" s="194">
        <v>3.5451950366524425E-2</v>
      </c>
      <c r="F59" s="194">
        <v>1.5009424765665127E-2</v>
      </c>
      <c r="G59" s="194">
        <v>2.0090629667061353E-2</v>
      </c>
      <c r="H59" s="194">
        <v>1.291893953060828E-4</v>
      </c>
      <c r="I59" s="194" t="s">
        <v>345</v>
      </c>
      <c r="J59" s="195">
        <v>1.3811034427022468E-2</v>
      </c>
      <c r="K59" s="11">
        <v>1.3811034427022468E-2</v>
      </c>
    </row>
    <row r="60" spans="1:11">
      <c r="A60" s="118">
        <v>38199</v>
      </c>
      <c r="B60" s="194">
        <v>0.82573865936505642</v>
      </c>
      <c r="C60" s="194">
        <v>5.7626574583833592E-2</v>
      </c>
      <c r="D60" s="194">
        <v>3.1537100498407064E-2</v>
      </c>
      <c r="E60" s="194">
        <v>3.4695529291099814E-2</v>
      </c>
      <c r="F60" s="194">
        <v>1.4626415540087178E-2</v>
      </c>
      <c r="G60" s="194">
        <v>1.961499760319568E-2</v>
      </c>
      <c r="H60" s="194">
        <v>1.2111451801820058E-4</v>
      </c>
      <c r="I60" s="194" t="s">
        <v>345</v>
      </c>
      <c r="J60" s="195">
        <v>1.3004524922450893E-2</v>
      </c>
      <c r="K60" s="11">
        <v>1.3004524922450893E-2</v>
      </c>
    </row>
    <row r="61" spans="1:11">
      <c r="A61" s="118">
        <v>38230</v>
      </c>
      <c r="B61" s="194">
        <v>0.82574104671041637</v>
      </c>
      <c r="C61" s="194">
        <v>5.6548717841898626E-2</v>
      </c>
      <c r="D61" s="194">
        <v>3.0633863268976824E-2</v>
      </c>
      <c r="E61" s="194">
        <v>3.7538241557323035E-2</v>
      </c>
      <c r="F61" s="194">
        <v>1.4352840705662645E-2</v>
      </c>
      <c r="G61" s="194">
        <v>1.9258269745616341E-2</v>
      </c>
      <c r="H61" s="194">
        <v>1.1556398370852525E-4</v>
      </c>
      <c r="I61" s="194" t="s">
        <v>345</v>
      </c>
      <c r="J61" s="195">
        <v>1.2759519544048597E-2</v>
      </c>
      <c r="K61" s="11">
        <v>1.2759519544048597E-2</v>
      </c>
    </row>
    <row r="62" spans="1:11">
      <c r="A62" s="118">
        <v>38260</v>
      </c>
      <c r="B62" s="194">
        <v>0.84045992166621697</v>
      </c>
      <c r="C62" s="194">
        <v>5.1612287037324005E-2</v>
      </c>
      <c r="D62" s="194">
        <v>3.0027729357545156E-2</v>
      </c>
      <c r="E62" s="194">
        <v>3.7191472518868063E-2</v>
      </c>
      <c r="F62" s="194">
        <v>1.4220196984866436E-2</v>
      </c>
      <c r="G62" s="194">
        <v>1.9091032771595726E-2</v>
      </c>
      <c r="H62" s="194">
        <v>1.1141869127524697E-4</v>
      </c>
      <c r="I62" s="194" t="s">
        <v>345</v>
      </c>
      <c r="J62" s="195">
        <v>4.3819164193062907E-3</v>
      </c>
      <c r="K62" s="11">
        <v>4.3819164193062907E-3</v>
      </c>
    </row>
    <row r="63" spans="1:11">
      <c r="A63" s="118">
        <v>38291</v>
      </c>
      <c r="B63" s="194">
        <v>0.84112706427407846</v>
      </c>
      <c r="C63" s="194">
        <v>5.1030754645368465E-2</v>
      </c>
      <c r="D63" s="194">
        <v>2.9334932025816818E-2</v>
      </c>
      <c r="E63" s="194">
        <v>3.8302351211256219E-2</v>
      </c>
      <c r="F63" s="194">
        <v>1.4059973409408363E-2</v>
      </c>
      <c r="G63" s="194">
        <v>1.8889853743055754E-2</v>
      </c>
      <c r="H63" s="194">
        <v>1.0772042842253003E-4</v>
      </c>
      <c r="I63" s="194" t="s">
        <v>345</v>
      </c>
      <c r="J63" s="195">
        <v>4.3267137112248423E-3</v>
      </c>
      <c r="K63" s="11">
        <v>4.3267137112248423E-3</v>
      </c>
    </row>
    <row r="64" spans="1:11">
      <c r="A64" s="118">
        <v>38321</v>
      </c>
      <c r="B64" s="194">
        <v>0.83955834027694509</v>
      </c>
      <c r="C64" s="194">
        <v>5.1389362002476915E-2</v>
      </c>
      <c r="D64" s="194">
        <v>2.9182087851457143E-2</v>
      </c>
      <c r="E64" s="194">
        <v>3.9406034807355307E-2</v>
      </c>
      <c r="F64" s="194">
        <v>1.4158776767116903E-2</v>
      </c>
      <c r="G64" s="194">
        <v>1.9034205866897289E-2</v>
      </c>
      <c r="H64" s="194">
        <v>1.0640037099460594E-4</v>
      </c>
      <c r="I64" s="194" t="s">
        <v>345</v>
      </c>
      <c r="J64" s="195">
        <v>4.2894280019764742E-3</v>
      </c>
      <c r="K64" s="11">
        <v>4.2894280019764742E-3</v>
      </c>
    </row>
    <row r="65" spans="1:11">
      <c r="A65" s="118">
        <v>38352</v>
      </c>
      <c r="B65" s="194">
        <v>0.84158782249064634</v>
      </c>
      <c r="C65" s="194">
        <v>5.0456878843182035E-2</v>
      </c>
      <c r="D65" s="194">
        <v>2.8390169316692113E-2</v>
      </c>
      <c r="E65" s="194">
        <v>3.9514536747765054E-2</v>
      </c>
      <c r="F65" s="194">
        <v>1.3901859374546126E-2</v>
      </c>
      <c r="G65" s="194">
        <v>1.8696574036841988E-2</v>
      </c>
      <c r="H65" s="194">
        <v>1.0354402578355099E-4</v>
      </c>
      <c r="I65" s="194" t="s">
        <v>345</v>
      </c>
      <c r="J65" s="195">
        <v>4.5157796760025579E-3</v>
      </c>
      <c r="K65" s="11">
        <v>4.5157796760025579E-3</v>
      </c>
    </row>
    <row r="66" spans="1:11">
      <c r="A66" s="118">
        <v>38383</v>
      </c>
      <c r="B66" s="194">
        <v>0.85492825708262588</v>
      </c>
      <c r="C66" s="194">
        <v>4.8679260499873311E-2</v>
      </c>
      <c r="D66" s="194">
        <v>2.7084045217213994E-2</v>
      </c>
      <c r="E66" s="194">
        <v>3.7994853606713258E-2</v>
      </c>
      <c r="F66" s="194">
        <v>1.3412090669131429E-2</v>
      </c>
      <c r="G66" s="194">
        <v>1.7802566464491437E-2</v>
      </c>
      <c r="H66" s="194">
        <v>9.1942388358882388E-5</v>
      </c>
      <c r="I66" s="194" t="s">
        <v>345</v>
      </c>
      <c r="J66" s="195">
        <v>4.2500164980451184E-6</v>
      </c>
      <c r="K66" s="11">
        <v>4.2500164980451184E-6</v>
      </c>
    </row>
    <row r="67" spans="1:11">
      <c r="A67" s="118">
        <v>38411</v>
      </c>
      <c r="B67" s="194">
        <v>0.86169024297483643</v>
      </c>
      <c r="C67" s="194">
        <v>4.7432666713107814E-2</v>
      </c>
      <c r="D67" s="194">
        <v>2.6167511682240938E-2</v>
      </c>
      <c r="E67" s="194">
        <v>3.7922955946438172E-2</v>
      </c>
      <c r="F67" s="194">
        <v>9.334735457333149E-3</v>
      </c>
      <c r="G67" s="194">
        <v>1.7356557470298076E-2</v>
      </c>
      <c r="H67" s="194">
        <v>8.8513768592584377E-5</v>
      </c>
      <c r="I67" s="194" t="s">
        <v>345</v>
      </c>
      <c r="J67" s="195">
        <v>4.1409176392801881E-6</v>
      </c>
      <c r="K67" s="11">
        <v>4.1409176392801881E-6</v>
      </c>
    </row>
    <row r="68" spans="1:11">
      <c r="A68" s="118">
        <v>38442</v>
      </c>
      <c r="B68" s="194">
        <v>0.86202062408678914</v>
      </c>
      <c r="C68" s="194">
        <v>4.6384934932347154E-2</v>
      </c>
      <c r="D68" s="194">
        <v>2.543164903821292E-2</v>
      </c>
      <c r="E68" s="194">
        <v>3.8139542342716756E-2</v>
      </c>
      <c r="F68" s="194">
        <v>1.0954250565366169E-2</v>
      </c>
      <c r="G68" s="194">
        <v>1.697886234002546E-2</v>
      </c>
      <c r="H68" s="194">
        <v>8.4019019399593161E-5</v>
      </c>
      <c r="I68" s="194" t="s">
        <v>345</v>
      </c>
      <c r="J68" s="195">
        <v>3.8330637569451109E-6</v>
      </c>
      <c r="K68" s="11">
        <v>3.8330637569451109E-6</v>
      </c>
    </row>
    <row r="69" spans="1:11">
      <c r="A69" s="118">
        <v>38472</v>
      </c>
      <c r="B69" s="194">
        <v>0.86728963773001322</v>
      </c>
      <c r="C69" s="194">
        <v>4.4318719810832768E-2</v>
      </c>
      <c r="D69" s="194">
        <v>2.414826786402215E-2</v>
      </c>
      <c r="E69" s="194">
        <v>3.7444536551324119E-2</v>
      </c>
      <c r="F69" s="194">
        <v>1.0466293900211228E-2</v>
      </c>
      <c r="G69" s="194">
        <v>1.6245762437582498E-2</v>
      </c>
      <c r="H69" s="194">
        <v>7.9577677021488039E-5</v>
      </c>
      <c r="I69" s="194" t="s">
        <v>345</v>
      </c>
      <c r="J69" s="195">
        <v>4.9850918584613609E-6</v>
      </c>
      <c r="K69" s="11">
        <v>4.9850918584613609E-6</v>
      </c>
    </row>
    <row r="70" spans="1:11">
      <c r="A70" s="118">
        <v>38503</v>
      </c>
      <c r="B70" s="194">
        <v>0.86657991758192821</v>
      </c>
      <c r="C70" s="194">
        <v>4.4327651834033796E-2</v>
      </c>
      <c r="D70" s="194">
        <v>2.3906373873968396E-2</v>
      </c>
      <c r="E70" s="194">
        <v>3.8377830227606997E-2</v>
      </c>
      <c r="F70" s="194">
        <v>1.0468403283793256E-2</v>
      </c>
      <c r="G70" s="194">
        <v>1.6254500427629871E-2</v>
      </c>
      <c r="H70" s="194">
        <v>7.8170583596601497E-5</v>
      </c>
      <c r="I70" s="194" t="s">
        <v>345</v>
      </c>
      <c r="J70" s="195">
        <v>4.9279666902382748E-6</v>
      </c>
      <c r="K70" s="11">
        <v>4.9279666902382748E-6</v>
      </c>
    </row>
    <row r="71" spans="1:11">
      <c r="A71" s="118">
        <v>38533</v>
      </c>
      <c r="B71" s="194">
        <v>0.86893802847143053</v>
      </c>
      <c r="C71" s="194">
        <v>4.3060178679131388E-2</v>
      </c>
      <c r="D71" s="194">
        <v>2.3190239464852012E-2</v>
      </c>
      <c r="E71" s="194">
        <v>3.8506221021319974E-2</v>
      </c>
      <c r="F71" s="194">
        <v>1.0271161459908229E-2</v>
      </c>
      <c r="G71" s="194">
        <v>1.5951555332626877E-2</v>
      </c>
      <c r="H71" s="194">
        <v>7.5600615508561526E-5</v>
      </c>
      <c r="I71" s="194" t="s">
        <v>345</v>
      </c>
      <c r="J71" s="195">
        <v>4.8346357964046362E-6</v>
      </c>
      <c r="K71" s="11">
        <v>4.8346357964046362E-6</v>
      </c>
    </row>
    <row r="72" spans="1:11">
      <c r="A72" s="118">
        <v>38564</v>
      </c>
      <c r="B72" s="194">
        <v>0.87105058090330056</v>
      </c>
      <c r="C72" s="194">
        <v>4.1938487757609777E-2</v>
      </c>
      <c r="D72" s="194">
        <v>2.2489210216515294E-2</v>
      </c>
      <c r="E72" s="194">
        <v>3.867229027761216E-2</v>
      </c>
      <c r="F72" s="194">
        <v>1.0088564107536512E-2</v>
      </c>
      <c r="G72" s="194">
        <v>1.568015805020136E-2</v>
      </c>
      <c r="H72" s="194">
        <v>7.3925984411426609E-5</v>
      </c>
      <c r="I72" s="194" t="s">
        <v>345</v>
      </c>
      <c r="J72" s="195">
        <v>4.6311563634444018E-6</v>
      </c>
      <c r="K72" s="11">
        <v>4.6311563634444018E-6</v>
      </c>
    </row>
    <row r="73" spans="1:11">
      <c r="A73" s="118">
        <v>38595</v>
      </c>
      <c r="B73" s="194">
        <v>0.87871113260368872</v>
      </c>
      <c r="C73" s="194">
        <v>3.4538389286176037E-2</v>
      </c>
      <c r="D73" s="194">
        <v>2.198794541641819E-2</v>
      </c>
      <c r="E73" s="194">
        <v>3.912838131880951E-2</v>
      </c>
      <c r="F73" s="194">
        <v>1.000295351579056E-2</v>
      </c>
      <c r="G73" s="194">
        <v>1.5552549290893676E-2</v>
      </c>
      <c r="H73" s="194">
        <v>7.1938799773091383E-5</v>
      </c>
      <c r="I73" s="194" t="s">
        <v>345</v>
      </c>
      <c r="J73" s="195">
        <v>4.5919121212251094E-6</v>
      </c>
      <c r="K73" s="11">
        <v>4.5919121212251094E-6</v>
      </c>
    </row>
    <row r="74" spans="1:11">
      <c r="A74" s="118">
        <v>38625</v>
      </c>
      <c r="B74" s="194">
        <v>0.87819451961490491</v>
      </c>
      <c r="C74" s="194">
        <v>3.4578930111554197E-2</v>
      </c>
      <c r="D74" s="194">
        <v>2.1657686337154071E-2</v>
      </c>
      <c r="E74" s="194">
        <v>3.9898407791705941E-2</v>
      </c>
      <c r="F74" s="194">
        <v>1.0014694885325467E-2</v>
      </c>
      <c r="G74" s="194">
        <v>1.5578997745481273E-2</v>
      </c>
      <c r="H74" s="194">
        <v>7.013908854456819E-5</v>
      </c>
      <c r="I74" s="194" t="s">
        <v>345</v>
      </c>
      <c r="J74" s="195">
        <v>4.398199033439084E-6</v>
      </c>
      <c r="K74" s="11">
        <v>4.398199033439084E-6</v>
      </c>
    </row>
    <row r="75" spans="1:11">
      <c r="A75" s="118">
        <v>38656</v>
      </c>
      <c r="B75" s="194">
        <v>0.88177415830865546</v>
      </c>
      <c r="C75" s="194">
        <v>3.3426116339246144E-2</v>
      </c>
      <c r="D75" s="194">
        <v>2.0626350668626472E-2</v>
      </c>
      <c r="E75" s="194">
        <v>3.9361741995042381E-2</v>
      </c>
      <c r="F75" s="194">
        <v>9.6808187893323034E-3</v>
      </c>
      <c r="G75" s="194">
        <v>1.5064632967472191E-2</v>
      </c>
      <c r="H75" s="194">
        <v>6.1420192522807204E-5</v>
      </c>
      <c r="I75" s="194" t="s">
        <v>345</v>
      </c>
      <c r="J75" s="195">
        <v>2.5859447032161054E-6</v>
      </c>
      <c r="K75" s="11">
        <v>2.5859447032161054E-6</v>
      </c>
    </row>
    <row r="76" spans="1:11">
      <c r="A76" s="118">
        <v>38686</v>
      </c>
      <c r="B76" s="194">
        <v>0.88301311428136076</v>
      </c>
      <c r="C76" s="194">
        <v>3.2916231707168821E-2</v>
      </c>
      <c r="D76" s="194">
        <v>2.0028379362920578E-2</v>
      </c>
      <c r="E76" s="194">
        <v>3.9606981559156026E-2</v>
      </c>
      <c r="F76" s="194">
        <v>9.5331468110351897E-3</v>
      </c>
      <c r="G76" s="194">
        <v>1.4841651367170633E-2</v>
      </c>
      <c r="H76" s="194">
        <v>5.5901041735381006E-5</v>
      </c>
      <c r="I76" s="194" t="s">
        <v>345</v>
      </c>
      <c r="J76" s="195">
        <v>2.4943142500497935E-6</v>
      </c>
      <c r="K76" s="11">
        <v>2.4943142500497935E-6</v>
      </c>
    </row>
    <row r="77" spans="1:11">
      <c r="A77" s="118">
        <v>38717</v>
      </c>
      <c r="B77" s="194">
        <v>0.88074382939950457</v>
      </c>
      <c r="C77" s="194">
        <v>3.2158929171417612E-2</v>
      </c>
      <c r="D77" s="194">
        <v>1.9258166640703261E-2</v>
      </c>
      <c r="E77" s="194">
        <v>3.9487316844954601E-2</v>
      </c>
      <c r="F77" s="194">
        <v>9.3138180519624081E-3</v>
      </c>
      <c r="G77" s="194">
        <v>1.450640784236255E-2</v>
      </c>
      <c r="H77" s="194">
        <v>5.5801963809975531E-5</v>
      </c>
      <c r="I77" s="194" t="s">
        <v>345</v>
      </c>
      <c r="J77" s="195">
        <v>2.4372248763144346E-3</v>
      </c>
      <c r="K77" s="11">
        <v>2.4372248763144346E-3</v>
      </c>
    </row>
    <row r="78" spans="1:11">
      <c r="A78" s="118">
        <v>38748</v>
      </c>
      <c r="B78" s="194">
        <v>0.88279547854342666</v>
      </c>
      <c r="C78" s="194">
        <v>3.1495921032722994E-2</v>
      </c>
      <c r="D78" s="194">
        <v>1.8517530348799171E-2</v>
      </c>
      <c r="E78" s="194">
        <v>3.9425732380173974E-2</v>
      </c>
      <c r="F78" s="194">
        <v>9.1217986865831553E-3</v>
      </c>
      <c r="G78" s="194">
        <v>1.4207334872257001E-2</v>
      </c>
      <c r="H78" s="194">
        <v>5.4374715788859599E-5</v>
      </c>
      <c r="I78" s="194" t="s">
        <v>345</v>
      </c>
      <c r="J78" s="195">
        <v>2.2841374281879581E-3</v>
      </c>
      <c r="K78" s="11">
        <v>2.2841374281879581E-3</v>
      </c>
    </row>
    <row r="79" spans="1:11">
      <c r="A79" s="118">
        <v>38776</v>
      </c>
      <c r="B79" s="194">
        <v>0.88724004557656688</v>
      </c>
      <c r="C79" s="194">
        <v>3.0743743718229671E-2</v>
      </c>
      <c r="D79" s="194">
        <v>1.7794982675135868E-2</v>
      </c>
      <c r="E79" s="194">
        <v>3.859357540831572E-2</v>
      </c>
      <c r="F79" s="194">
        <v>7.419961904967326E-3</v>
      </c>
      <c r="G79" s="194">
        <v>1.3883072411993814E-2</v>
      </c>
      <c r="H79" s="194">
        <v>5.287080859238243E-5</v>
      </c>
      <c r="I79" s="194" t="s">
        <v>345</v>
      </c>
      <c r="J79" s="195">
        <v>2.2221332296376763E-3</v>
      </c>
      <c r="K79" s="11">
        <v>2.2221332296376763E-3</v>
      </c>
    </row>
    <row r="80" spans="1:11">
      <c r="A80" s="118">
        <v>38807</v>
      </c>
      <c r="B80" s="194">
        <v>0.89013888542028385</v>
      </c>
      <c r="C80" s="194">
        <v>3.0009257065675279E-2</v>
      </c>
      <c r="D80" s="194">
        <v>1.7152015084815061E-2</v>
      </c>
      <c r="E80" s="194">
        <v>3.7908892075454823E-2</v>
      </c>
      <c r="F80" s="194">
        <v>7.2426945223216322E-3</v>
      </c>
      <c r="G80" s="194">
        <v>1.3556629911221555E-2</v>
      </c>
      <c r="H80" s="194">
        <v>4.5446840000235363E-5</v>
      </c>
      <c r="I80" s="194" t="s">
        <v>345</v>
      </c>
      <c r="J80" s="195">
        <v>1.9979095013364723E-3</v>
      </c>
      <c r="K80" s="11">
        <v>1.9979095013364723E-3</v>
      </c>
    </row>
    <row r="81" spans="1:11">
      <c r="A81" s="118">
        <v>38837</v>
      </c>
      <c r="B81" s="194">
        <v>0.88715711139834696</v>
      </c>
      <c r="C81" s="194">
        <v>3.0807081775448157E-2</v>
      </c>
      <c r="D81" s="194">
        <v>1.7332310883060188E-2</v>
      </c>
      <c r="E81" s="194">
        <v>3.9177201528506331E-2</v>
      </c>
      <c r="F81" s="194">
        <v>7.4352484613478083E-3</v>
      </c>
      <c r="G81" s="194">
        <v>1.3920338123254425E-2</v>
      </c>
      <c r="H81" s="194">
        <v>4.6395170648043126E-5</v>
      </c>
      <c r="I81" s="194" t="s">
        <v>345</v>
      </c>
      <c r="J81" s="195">
        <v>2.0479038983160724E-3</v>
      </c>
      <c r="K81" s="11">
        <v>2.0479038983160724E-3</v>
      </c>
    </row>
    <row r="82" spans="1:11">
      <c r="A82" s="118">
        <v>38868</v>
      </c>
      <c r="B82" s="194">
        <v>0.89101619373774443</v>
      </c>
      <c r="C82" s="194">
        <v>2.8530656326954909E-2</v>
      </c>
      <c r="D82" s="194">
        <v>1.7084123893932057E-2</v>
      </c>
      <c r="E82" s="194">
        <v>3.9389558081839103E-2</v>
      </c>
      <c r="F82" s="194">
        <v>7.432276065408353E-3</v>
      </c>
      <c r="G82" s="194">
        <v>1.2358633948349506E-2</v>
      </c>
      <c r="H82" s="194">
        <v>6.6858549238893003E-5</v>
      </c>
      <c r="I82" s="194" t="s">
        <v>345</v>
      </c>
      <c r="J82" s="195">
        <v>2.0489250424808223E-3</v>
      </c>
      <c r="K82" s="11">
        <v>2.0489250424808223E-3</v>
      </c>
    </row>
    <row r="83" spans="1:11">
      <c r="A83" s="118">
        <v>38898</v>
      </c>
      <c r="B83" s="194">
        <v>0.89493936089226256</v>
      </c>
      <c r="C83" s="194">
        <v>2.7640435755097684E-2</v>
      </c>
      <c r="D83" s="194">
        <v>1.6280287833718488E-2</v>
      </c>
      <c r="E83" s="194">
        <v>3.8306568054963859E-2</v>
      </c>
      <c r="F83" s="194">
        <v>7.2003723554716955E-3</v>
      </c>
      <c r="G83" s="194">
        <v>1.1573370182406645E-2</v>
      </c>
      <c r="H83" s="194">
        <v>6.3041931729284636E-5</v>
      </c>
      <c r="I83" s="194" t="s">
        <v>345</v>
      </c>
      <c r="J83" s="195">
        <v>1.9870072583674033E-3</v>
      </c>
      <c r="K83" s="11">
        <v>1.9870072583674033E-3</v>
      </c>
    </row>
    <row r="84" spans="1:11">
      <c r="A84" s="118">
        <v>38929</v>
      </c>
      <c r="B84" s="194">
        <v>0.89237102575741778</v>
      </c>
      <c r="C84" s="194">
        <v>2.8366838814305601E-2</v>
      </c>
      <c r="D84" s="194">
        <v>1.6416033624222656E-2</v>
      </c>
      <c r="E84" s="194">
        <v>3.9439000193235312E-2</v>
      </c>
      <c r="F84" s="194">
        <v>7.3896013731613369E-3</v>
      </c>
      <c r="G84" s="194">
        <v>1.1851411576096021E-2</v>
      </c>
      <c r="H84" s="194">
        <v>6.449419769569984E-5</v>
      </c>
      <c r="I84" s="194" t="s">
        <v>345</v>
      </c>
      <c r="J84" s="195">
        <v>2.0392267010684909E-3</v>
      </c>
      <c r="K84" s="11">
        <v>2.0392267010684909E-3</v>
      </c>
    </row>
    <row r="85" spans="1:11">
      <c r="A85" s="118">
        <v>38960</v>
      </c>
      <c r="B85" s="194">
        <v>0.89490588022329953</v>
      </c>
      <c r="C85" s="194">
        <v>2.7773372141192493E-2</v>
      </c>
      <c r="D85" s="194">
        <v>1.5788738717432801E-2</v>
      </c>
      <c r="E85" s="194">
        <v>3.8751657382643953E-2</v>
      </c>
      <c r="F85" s="194">
        <v>7.2350024708560693E-3</v>
      </c>
      <c r="G85" s="194">
        <v>1.1591431880858361E-2</v>
      </c>
      <c r="H85" s="194">
        <v>6.2820096947364129E-5</v>
      </c>
      <c r="I85" s="194" t="s">
        <v>345</v>
      </c>
      <c r="J85" s="195">
        <v>1.8983112205252521E-3</v>
      </c>
      <c r="K85" s="11">
        <v>1.8983112205252521E-3</v>
      </c>
    </row>
    <row r="86" spans="1:11">
      <c r="A86" s="118">
        <v>38990</v>
      </c>
      <c r="B86" s="194">
        <v>0.89555845619846719</v>
      </c>
      <c r="C86" s="194">
        <v>2.5238424009319894E-2</v>
      </c>
      <c r="D86" s="194">
        <v>1.5890381097323023E-2</v>
      </c>
      <c r="E86" s="194">
        <v>3.9866077610317345E-2</v>
      </c>
      <c r="F86" s="194">
        <v>7.4139014408222386E-3</v>
      </c>
      <c r="G86" s="194">
        <v>1.1893342787654184E-2</v>
      </c>
      <c r="H86" s="194">
        <v>6.4555098409781281E-5</v>
      </c>
      <c r="I86" s="194" t="s">
        <v>345</v>
      </c>
      <c r="J86" s="195">
        <v>1.945525318048432E-3</v>
      </c>
      <c r="K86" s="11">
        <v>1.945525318048432E-3</v>
      </c>
    </row>
    <row r="87" spans="1:11">
      <c r="A87" s="118">
        <v>39021</v>
      </c>
      <c r="B87" s="194">
        <v>0.89689102148447286</v>
      </c>
      <c r="C87" s="194">
        <v>2.5035923873487385E-2</v>
      </c>
      <c r="D87" s="194">
        <v>1.5464860548209652E-2</v>
      </c>
      <c r="E87" s="194">
        <v>3.9682509403721804E-2</v>
      </c>
      <c r="F87" s="194">
        <v>7.3544161081302703E-3</v>
      </c>
      <c r="G87" s="194">
        <v>1.176708719727792E-2</v>
      </c>
      <c r="H87" s="194">
        <v>6.3394413411863577E-5</v>
      </c>
      <c r="I87" s="194" t="s">
        <v>345</v>
      </c>
      <c r="J87" s="195">
        <v>3.7407869712881145E-3</v>
      </c>
      <c r="K87" s="11">
        <v>1.7518714493104392E-3</v>
      </c>
    </row>
    <row r="88" spans="1:11">
      <c r="A88" s="118">
        <v>39051</v>
      </c>
      <c r="B88" s="194">
        <v>0.89778139548961144</v>
      </c>
      <c r="C88" s="194">
        <v>2.4903329738380817E-2</v>
      </c>
      <c r="D88" s="194">
        <v>1.504143543275133E-2</v>
      </c>
      <c r="E88" s="194">
        <v>3.9500006752735246E-2</v>
      </c>
      <c r="F88" s="194">
        <v>7.3154659799864472E-3</v>
      </c>
      <c r="G88" s="194">
        <v>1.1646076926676435E-2</v>
      </c>
      <c r="H88" s="194">
        <v>6.1986488291101332E-5</v>
      </c>
      <c r="I88" s="194" t="s">
        <v>345</v>
      </c>
      <c r="J88" s="195">
        <v>3.7503031915670669E-3</v>
      </c>
      <c r="K88" s="11">
        <v>1.6681249121824615E-3</v>
      </c>
    </row>
    <row r="89" spans="1:11">
      <c r="A89" s="118">
        <v>39082</v>
      </c>
      <c r="B89" s="194">
        <v>0.89861345747484023</v>
      </c>
      <c r="C89" s="194">
        <v>2.4758370702412508E-2</v>
      </c>
      <c r="D89" s="194">
        <v>1.4606424979897299E-2</v>
      </c>
      <c r="E89" s="194">
        <v>3.9291174689709212E-2</v>
      </c>
      <c r="F89" s="194">
        <v>7.2728836061730587E-3</v>
      </c>
      <c r="G89" s="194">
        <v>1.1585414999832577E-2</v>
      </c>
      <c r="H89" s="194">
        <v>6.2968235366601356E-5</v>
      </c>
      <c r="I89" s="194" t="s">
        <v>345</v>
      </c>
      <c r="J89" s="195">
        <v>3.809305311768266E-3</v>
      </c>
      <c r="K89" s="11">
        <v>1.6584726445460318E-3</v>
      </c>
    </row>
    <row r="90" spans="1:11">
      <c r="A90" s="118">
        <v>39113</v>
      </c>
      <c r="B90" s="194">
        <v>0.90046251263054644</v>
      </c>
      <c r="C90" s="194">
        <v>2.4373515787321529E-2</v>
      </c>
      <c r="D90" s="194">
        <v>1.4064328493867241E-2</v>
      </c>
      <c r="E90" s="194">
        <v>3.8771257014522983E-2</v>
      </c>
      <c r="F90" s="194">
        <v>7.1598307305875278E-3</v>
      </c>
      <c r="G90" s="194">
        <v>1.1410441495367362E-2</v>
      </c>
      <c r="H90" s="194">
        <v>6.2706132300070969E-5</v>
      </c>
      <c r="I90" s="194" t="s">
        <v>345</v>
      </c>
      <c r="J90" s="195">
        <v>3.6954077154866191E-3</v>
      </c>
      <c r="K90" s="11">
        <v>1.6307400698062522E-3</v>
      </c>
    </row>
    <row r="91" spans="1:11">
      <c r="A91" s="118">
        <v>39141</v>
      </c>
      <c r="B91" s="194">
        <v>0.90370419965403492</v>
      </c>
      <c r="C91" s="194">
        <v>2.3924417159633362E-2</v>
      </c>
      <c r="D91" s="194">
        <v>1.3523777302195585E-2</v>
      </c>
      <c r="E91" s="194">
        <v>3.8235134354669166E-2</v>
      </c>
      <c r="F91" s="194">
        <v>5.6223247786038851E-3</v>
      </c>
      <c r="G91" s="194">
        <v>1.1350602024030583E-2</v>
      </c>
      <c r="H91" s="194">
        <v>6.3200482818258659E-5</v>
      </c>
      <c r="I91" s="194" t="s">
        <v>345</v>
      </c>
      <c r="J91" s="195">
        <v>3.5763442440142428E-3</v>
      </c>
      <c r="K91" s="11">
        <v>1.5059549225258186E-3</v>
      </c>
    </row>
    <row r="92" spans="1:11">
      <c r="A92" s="118">
        <v>39172</v>
      </c>
      <c r="B92" s="194">
        <v>0.90010096092702185</v>
      </c>
      <c r="C92" s="194">
        <v>2.4775061857232765E-2</v>
      </c>
      <c r="D92" s="194">
        <v>1.3783909490536768E-2</v>
      </c>
      <c r="E92" s="194">
        <v>3.9997053315426273E-2</v>
      </c>
      <c r="F92" s="194">
        <v>5.8222293668406516E-3</v>
      </c>
      <c r="G92" s="194">
        <v>1.1752188189042091E-2</v>
      </c>
      <c r="H92" s="194">
        <v>6.5093889668198685E-5</v>
      </c>
      <c r="I92" s="194" t="s">
        <v>345</v>
      </c>
      <c r="J92" s="195">
        <v>3.7035029642314204E-3</v>
      </c>
      <c r="K92" s="11">
        <v>1.5594999080158619E-3</v>
      </c>
    </row>
    <row r="93" spans="1:11">
      <c r="A93" s="118">
        <v>39202</v>
      </c>
      <c r="B93" s="194">
        <v>0.90203659017256699</v>
      </c>
      <c r="C93" s="194">
        <v>2.4212940868839891E-2</v>
      </c>
      <c r="D93" s="194">
        <v>1.3263820393879508E-2</v>
      </c>
      <c r="E93" s="194">
        <v>3.9547283547015998E-2</v>
      </c>
      <c r="F93" s="194">
        <v>5.6901288964079999E-3</v>
      </c>
      <c r="G93" s="194">
        <v>1.1482890815096746E-2</v>
      </c>
      <c r="H93" s="194">
        <v>6.2894810593594307E-5</v>
      </c>
      <c r="I93" s="194" t="s">
        <v>345</v>
      </c>
      <c r="J93" s="195">
        <v>3.7034504955992167E-3</v>
      </c>
      <c r="K93" s="11">
        <v>1.5238646604710309E-3</v>
      </c>
    </row>
    <row r="94" spans="1:11">
      <c r="A94" s="118">
        <v>39203</v>
      </c>
      <c r="B94" s="194">
        <v>0.90480595196220159</v>
      </c>
      <c r="C94" s="194">
        <v>2.3594333479528783E-2</v>
      </c>
      <c r="D94" s="194">
        <v>1.2706751374248077E-2</v>
      </c>
      <c r="E94" s="194">
        <v>3.8949050028878197E-2</v>
      </c>
      <c r="F94" s="194">
        <v>5.5447539169489555E-3</v>
      </c>
      <c r="G94" s="194">
        <v>1.1188468810049725E-2</v>
      </c>
      <c r="H94" s="194">
        <v>6.125396379783484E-5</v>
      </c>
      <c r="I94" s="194" t="s">
        <v>345</v>
      </c>
      <c r="J94" s="195">
        <v>3.1494364643468789E-3</v>
      </c>
      <c r="K94" s="11">
        <v>1.0146718273510193E-3</v>
      </c>
    </row>
    <row r="95" spans="1:11">
      <c r="A95" s="118">
        <v>39263</v>
      </c>
      <c r="B95" s="194">
        <v>0.90556193168054089</v>
      </c>
      <c r="C95" s="194">
        <v>2.2838780422978176E-2</v>
      </c>
      <c r="D95" s="194">
        <v>1.2197062713111438E-2</v>
      </c>
      <c r="E95" s="194">
        <v>3.8493436403007009E-2</v>
      </c>
      <c r="F95" s="194">
        <v>5.4480197333876771E-3</v>
      </c>
      <c r="G95" s="194">
        <v>1.0990387476165356E-2</v>
      </c>
      <c r="H95" s="194">
        <v>6.0376197759164139E-5</v>
      </c>
      <c r="I95" s="194" t="s">
        <v>345</v>
      </c>
      <c r="J95" s="195">
        <v>4.4100053730502468E-3</v>
      </c>
      <c r="K95" s="11">
        <v>9.2538019471298224E-4</v>
      </c>
    </row>
    <row r="96" spans="1:11">
      <c r="A96" s="118">
        <v>39294</v>
      </c>
      <c r="B96" s="194">
        <v>0.90669362867325987</v>
      </c>
      <c r="C96" s="194">
        <v>2.2329512772672751E-2</v>
      </c>
      <c r="D96" s="194">
        <v>1.1809024919040068E-2</v>
      </c>
      <c r="E96" s="194">
        <v>3.8387644358884608E-2</v>
      </c>
      <c r="F96" s="194">
        <v>5.4215607753315062E-3</v>
      </c>
      <c r="G96" s="194">
        <v>1.093626769387809E-2</v>
      </c>
      <c r="H96" s="194">
        <v>6.027411604184629E-5</v>
      </c>
      <c r="I96" s="194" t="s">
        <v>345</v>
      </c>
      <c r="J96" s="195">
        <v>4.3620866908915716E-3</v>
      </c>
      <c r="K96" s="11">
        <v>9.2116334573093934E-4</v>
      </c>
    </row>
    <row r="97" spans="1:11">
      <c r="A97" s="118">
        <v>39325</v>
      </c>
      <c r="B97" s="194">
        <v>0.91306647140303687</v>
      </c>
      <c r="C97" s="194">
        <v>1.7018452692657709E-2</v>
      </c>
      <c r="D97" s="194">
        <v>1.1324289385172171E-2</v>
      </c>
      <c r="E97" s="194">
        <v>3.7956103852853654E-2</v>
      </c>
      <c r="F97" s="194">
        <v>5.3528096858369584E-3</v>
      </c>
      <c r="G97" s="194">
        <v>1.0793401805398979E-2</v>
      </c>
      <c r="H97" s="194">
        <v>5.923616220415143E-5</v>
      </c>
      <c r="I97" s="194" t="s">
        <v>345</v>
      </c>
      <c r="J97" s="195">
        <v>4.3620866908915716E-3</v>
      </c>
      <c r="K97" s="11">
        <v>9.2116334573093934E-4</v>
      </c>
    </row>
    <row r="98" spans="1:11">
      <c r="A98" s="118">
        <v>39355</v>
      </c>
      <c r="B98" s="194">
        <v>0.91288993869890467</v>
      </c>
      <c r="C98" s="194">
        <v>1.7139688561018551E-2</v>
      </c>
      <c r="D98" s="194">
        <v>1.1050786302367449E-2</v>
      </c>
      <c r="E98" s="194">
        <v>3.8233070154987954E-2</v>
      </c>
      <c r="F98" s="194">
        <v>5.3909419733105873E-3</v>
      </c>
      <c r="G98" s="194">
        <v>1.0869772152279565E-2</v>
      </c>
      <c r="H98" s="194">
        <v>5.9227738482214792E-5</v>
      </c>
      <c r="I98" s="194" t="s">
        <v>345</v>
      </c>
      <c r="J98" s="195">
        <v>4.3665744186491351E-3</v>
      </c>
      <c r="K98" s="11">
        <v>9.1807941171953827E-4</v>
      </c>
    </row>
    <row r="99" spans="1:11">
      <c r="A99" s="118">
        <v>39386</v>
      </c>
      <c r="B99" s="194">
        <v>0.91576295585468726</v>
      </c>
      <c r="C99" s="194">
        <v>1.7085859532938973E-2</v>
      </c>
      <c r="D99" s="194">
        <v>1.0671316534867544E-2</v>
      </c>
      <c r="E99" s="194">
        <v>3.8103923306599743E-2</v>
      </c>
      <c r="F99" s="194">
        <v>5.3740111425184403E-3</v>
      </c>
      <c r="G99" s="194">
        <v>8.5899127438908568E-3</v>
      </c>
      <c r="H99" s="194">
        <v>5.925574269237841E-5</v>
      </c>
      <c r="I99" s="194" t="s">
        <v>345</v>
      </c>
      <c r="J99" s="195">
        <v>4.3527651418049122E-3</v>
      </c>
      <c r="K99" s="11">
        <v>9.1333864672921627E-4</v>
      </c>
    </row>
    <row r="100" spans="1:11">
      <c r="A100" s="118">
        <v>39416</v>
      </c>
      <c r="B100" s="194">
        <v>0.91504196856240139</v>
      </c>
      <c r="C100" s="194">
        <v>1.7771614129404055E-2</v>
      </c>
      <c r="D100" s="194">
        <v>1.0731319924592251E-2</v>
      </c>
      <c r="E100" s="194">
        <v>3.965059311749182E-2</v>
      </c>
      <c r="F100" s="194">
        <v>5.5897013649115236E-3</v>
      </c>
      <c r="G100" s="194">
        <v>7.5556702390161502E-3</v>
      </c>
      <c r="H100" s="194">
        <v>6.1487305289096252E-5</v>
      </c>
      <c r="I100" s="194" t="s">
        <v>345</v>
      </c>
      <c r="J100" s="195">
        <v>3.5976453568937819E-3</v>
      </c>
      <c r="K100" s="11">
        <v>1.5304720895503802E-5</v>
      </c>
    </row>
    <row r="101" spans="1:11">
      <c r="A101" s="118">
        <v>39447</v>
      </c>
      <c r="B101" s="194">
        <v>0.91613898662472504</v>
      </c>
      <c r="C101" s="194">
        <v>1.7627624238055216E-2</v>
      </c>
      <c r="D101" s="194">
        <v>1.0300429695817945E-2</v>
      </c>
      <c r="E101" s="194">
        <v>3.9426602535463602E-2</v>
      </c>
      <c r="F101" s="194">
        <v>5.5444122602558918E-3</v>
      </c>
      <c r="G101" s="194">
        <v>7.3920760469957693E-3</v>
      </c>
      <c r="H101" s="194">
        <v>5.9994631027842354E-5</v>
      </c>
      <c r="I101" s="194" t="s">
        <v>345</v>
      </c>
      <c r="J101" s="195">
        <v>3.5098739676587315E-3</v>
      </c>
      <c r="K101" s="11">
        <v>1.5723732237915892E-5</v>
      </c>
    </row>
    <row r="102" spans="1:11">
      <c r="A102" s="118">
        <v>39478</v>
      </c>
      <c r="B102" s="194">
        <v>0.91942803050690436</v>
      </c>
      <c r="C102" s="194">
        <v>1.7262145852281831E-2</v>
      </c>
      <c r="D102" s="194">
        <v>9.7668567230135318E-3</v>
      </c>
      <c r="E102" s="194">
        <v>3.8794602830898188E-2</v>
      </c>
      <c r="F102" s="194">
        <v>5.4294584346254431E-3</v>
      </c>
      <c r="G102" s="194">
        <v>7.216400145566306E-3</v>
      </c>
      <c r="H102" s="194">
        <v>5.8152323105774566E-5</v>
      </c>
      <c r="I102" s="194" t="s">
        <v>345</v>
      </c>
      <c r="J102" s="195">
        <v>2.0443531836047005E-3</v>
      </c>
      <c r="K102" s="11">
        <v>1.1233940263883188E-5</v>
      </c>
    </row>
    <row r="103" spans="1:11">
      <c r="A103" s="118">
        <v>39507</v>
      </c>
      <c r="B103" s="194">
        <v>0.92204150303757071</v>
      </c>
      <c r="C103" s="194">
        <v>1.69823820390889E-2</v>
      </c>
      <c r="D103" s="194">
        <v>9.3191194190618571E-3</v>
      </c>
      <c r="E103" s="194">
        <v>3.8451476087675754E-2</v>
      </c>
      <c r="F103" s="194">
        <v>4.0060982941168295E-3</v>
      </c>
      <c r="G103" s="194">
        <v>7.0877424875028863E-3</v>
      </c>
      <c r="H103" s="194">
        <v>5.6110690792118132E-5</v>
      </c>
      <c r="I103" s="194" t="s">
        <v>345</v>
      </c>
      <c r="J103" s="195">
        <v>2.0555679441911102E-3</v>
      </c>
      <c r="K103" s="11">
        <v>1.1051874257008955E-5</v>
      </c>
    </row>
    <row r="104" spans="1:11">
      <c r="A104" s="118">
        <v>39538</v>
      </c>
      <c r="B104" s="194">
        <v>0.92374401383923666</v>
      </c>
      <c r="C104" s="194">
        <v>1.6591704738488994E-2</v>
      </c>
      <c r="D104" s="194">
        <v>8.8611406912446899E-3</v>
      </c>
      <c r="E104" s="194">
        <v>3.8065650818259175E-2</v>
      </c>
      <c r="F104" s="194">
        <v>3.9139385685918104E-3</v>
      </c>
      <c r="G104" s="194">
        <v>6.8137538575292382E-3</v>
      </c>
      <c r="H104" s="194">
        <v>5.4464659996959637E-5</v>
      </c>
      <c r="I104" s="194" t="s">
        <v>345</v>
      </c>
      <c r="J104" s="195">
        <v>1.9553328266522746E-3</v>
      </c>
      <c r="K104" s="11">
        <v>1.0294487211247011E-5</v>
      </c>
    </row>
    <row r="105" spans="1:11">
      <c r="A105" s="118">
        <v>39568</v>
      </c>
      <c r="B105" s="194">
        <v>0.92547202983570998</v>
      </c>
      <c r="C105" s="194">
        <v>1.3928801483333184E-2</v>
      </c>
      <c r="D105" s="194">
        <v>8.695245575892999E-3</v>
      </c>
      <c r="E105" s="194">
        <v>3.9013274523412356E-2</v>
      </c>
      <c r="F105" s="194">
        <v>3.9663567313592855E-3</v>
      </c>
      <c r="G105" s="194">
        <v>6.8877611879640732E-3</v>
      </c>
      <c r="H105" s="194">
        <v>5.5010670860772028E-5</v>
      </c>
      <c r="I105" s="194" t="s">
        <v>345</v>
      </c>
      <c r="J105" s="195">
        <v>1.9815199914674144E-3</v>
      </c>
      <c r="K105" s="11">
        <v>1.0432358078862845E-5</v>
      </c>
    </row>
    <row r="106" spans="1:11">
      <c r="A106" s="118">
        <v>39599</v>
      </c>
      <c r="B106" s="194">
        <v>0.92901156575707278</v>
      </c>
      <c r="C106" s="194">
        <v>1.2943905892653259E-2</v>
      </c>
      <c r="D106" s="194">
        <v>8.2246470945390622E-3</v>
      </c>
      <c r="E106" s="194">
        <v>3.8612088247234964E-2</v>
      </c>
      <c r="F106" s="194">
        <v>3.8955154787601197E-3</v>
      </c>
      <c r="G106" s="194">
        <v>5.2960127761074744E-3</v>
      </c>
      <c r="H106" s="194">
        <v>5.396553777243022E-5</v>
      </c>
      <c r="I106" s="194" t="s">
        <v>345</v>
      </c>
      <c r="J106" s="195">
        <v>1.9622992158601607E-3</v>
      </c>
      <c r="K106" s="11">
        <v>9.4267526271637631E-6</v>
      </c>
    </row>
    <row r="107" spans="1:11">
      <c r="A107" s="118">
        <v>39629</v>
      </c>
      <c r="B107" s="194">
        <v>0.92923252937734613</v>
      </c>
      <c r="C107" s="194">
        <v>1.2890459516828968E-2</v>
      </c>
      <c r="D107" s="194">
        <v>8.2545399634055931E-3</v>
      </c>
      <c r="E107" s="194">
        <v>3.8763506411427291E-2</v>
      </c>
      <c r="F107" s="194">
        <v>3.8794305978876991E-3</v>
      </c>
      <c r="G107" s="194">
        <v>4.9445150035465615E-3</v>
      </c>
      <c r="H107" s="194">
        <v>5.3741462478454627E-5</v>
      </c>
      <c r="I107" s="194" t="s">
        <v>345</v>
      </c>
      <c r="J107" s="195">
        <v>1.9812776670794009E-3</v>
      </c>
      <c r="K107" s="11">
        <v>9.3878288457416524E-6</v>
      </c>
    </row>
    <row r="108" spans="1:11">
      <c r="A108" s="118">
        <v>39660</v>
      </c>
      <c r="B108" s="194">
        <v>0.93136128499726833</v>
      </c>
      <c r="C108" s="194">
        <v>1.2611814348721677E-2</v>
      </c>
      <c r="D108" s="194">
        <v>7.4083843594546688E-3</v>
      </c>
      <c r="E108" s="194">
        <v>3.8270289668872783E-2</v>
      </c>
      <c r="F108" s="194">
        <v>3.7955713227627338E-3</v>
      </c>
      <c r="G108" s="194">
        <v>4.814951837043808E-3</v>
      </c>
      <c r="H108" s="194">
        <v>5.3742726010051639E-5</v>
      </c>
      <c r="I108" s="194" t="s">
        <v>345</v>
      </c>
      <c r="J108" s="195">
        <v>1.6839607398660065E-3</v>
      </c>
      <c r="K108" s="11">
        <v>9.2584533500046349E-6</v>
      </c>
    </row>
    <row r="109" spans="1:11">
      <c r="A109" s="118">
        <v>39691</v>
      </c>
      <c r="B109" s="194">
        <v>0.92948564553671353</v>
      </c>
      <c r="C109" s="194">
        <v>1.2973547355834961E-2</v>
      </c>
      <c r="D109" s="194">
        <v>7.2834889828660857E-3</v>
      </c>
      <c r="E109" s="194">
        <v>3.9629251263439164E-2</v>
      </c>
      <c r="F109" s="194">
        <v>3.9044361847351962E-3</v>
      </c>
      <c r="G109" s="194">
        <v>4.9366965262423275E-3</v>
      </c>
      <c r="H109" s="194">
        <v>5.4673921787617532E-5</v>
      </c>
      <c r="I109" s="194" t="s">
        <v>345</v>
      </c>
      <c r="J109" s="195">
        <v>1.7322602283812482E-3</v>
      </c>
      <c r="K109" s="11">
        <v>9.5240050048983417E-6</v>
      </c>
    </row>
    <row r="110" spans="1:11">
      <c r="A110" s="118">
        <v>39721</v>
      </c>
      <c r="B110" s="194">
        <v>0.93119983811840179</v>
      </c>
      <c r="C110" s="194">
        <v>1.2094133498034145E-2</v>
      </c>
      <c r="D110" s="194">
        <v>6.8459061466126349E-3</v>
      </c>
      <c r="E110" s="194">
        <v>3.9352638600824552E-2</v>
      </c>
      <c r="F110" s="194">
        <v>3.8645404838141125E-3</v>
      </c>
      <c r="G110" s="194">
        <v>4.8747848503113214E-3</v>
      </c>
      <c r="H110" s="194">
        <v>5.3598384937500594E-5</v>
      </c>
      <c r="I110" s="194" t="s">
        <v>345</v>
      </c>
      <c r="J110" s="195">
        <v>1.7145599170637835E-3</v>
      </c>
      <c r="K110" s="11">
        <v>9.4266883022379553E-6</v>
      </c>
    </row>
    <row r="111" spans="1:11">
      <c r="A111" s="118">
        <v>39752</v>
      </c>
      <c r="B111" s="194">
        <v>0.93462981246712451</v>
      </c>
      <c r="C111" s="194">
        <v>1.2051073438980124E-2</v>
      </c>
      <c r="D111" s="194">
        <v>6.4421010886102871E-3</v>
      </c>
      <c r="E111" s="194">
        <v>3.9211248698662146E-2</v>
      </c>
      <c r="F111" s="194">
        <v>3.8507811399572959E-3</v>
      </c>
      <c r="G111" s="194">
        <v>2.0633869152030262E-3</v>
      </c>
      <c r="H111" s="194">
        <v>5.2188321038511045E-5</v>
      </c>
      <c r="I111" s="194" t="s">
        <v>345</v>
      </c>
      <c r="J111" s="195">
        <v>1.6994079304240742E-3</v>
      </c>
      <c r="K111" s="11">
        <v>1.0031967559809795E-5</v>
      </c>
    </row>
    <row r="112" spans="1:11">
      <c r="A112" s="118">
        <v>39782</v>
      </c>
      <c r="B112" s="194">
        <v>0.93672289991027002</v>
      </c>
      <c r="C112" s="194">
        <v>1.1935701968041688E-2</v>
      </c>
      <c r="D112" s="194">
        <v>5.99982578367404E-3</v>
      </c>
      <c r="E112" s="194">
        <v>3.8867963376425882E-2</v>
      </c>
      <c r="F112" s="194">
        <v>3.8139155207551237E-3</v>
      </c>
      <c r="G112" s="194">
        <v>9.2537673054553303E-4</v>
      </c>
      <c r="H112" s="194">
        <v>5.1178134925524831E-5</v>
      </c>
      <c r="I112" s="194" t="s">
        <v>345</v>
      </c>
      <c r="J112" s="195">
        <v>1.6831385753620356E-3</v>
      </c>
      <c r="K112" s="11">
        <v>9.9359260860238821E-6</v>
      </c>
    </row>
    <row r="113" spans="1:11">
      <c r="A113" s="118">
        <v>39813</v>
      </c>
      <c r="B113" s="194">
        <v>0.93745932376562524</v>
      </c>
      <c r="C113" s="194">
        <v>1.1858124394024731E-2</v>
      </c>
      <c r="D113" s="194">
        <v>5.5937956929087576E-3</v>
      </c>
      <c r="E113" s="194">
        <v>3.8738722286292382E-2</v>
      </c>
      <c r="F113" s="194">
        <v>3.7891265042064516E-3</v>
      </c>
      <c r="G113" s="194">
        <v>8.3900539285116532E-4</v>
      </c>
      <c r="H113" s="194">
        <v>4.9703156474955716E-5</v>
      </c>
      <c r="I113" s="194" t="s">
        <v>345</v>
      </c>
      <c r="J113" s="195">
        <v>1.672198807616447E-3</v>
      </c>
      <c r="K113" s="11">
        <v>9.8713463031649103E-6</v>
      </c>
    </row>
    <row r="114" spans="1:11">
      <c r="A114" s="118">
        <v>39814</v>
      </c>
      <c r="B114" s="194">
        <v>0.93914825093335264</v>
      </c>
      <c r="C114" s="194">
        <v>1.1581970505685112E-2</v>
      </c>
      <c r="D114" s="194">
        <v>5.1029411967126806E-3</v>
      </c>
      <c r="E114" s="194">
        <v>3.7973741147205468E-2</v>
      </c>
      <c r="F114" s="194">
        <v>3.7008847230631716E-3</v>
      </c>
      <c r="G114" s="194">
        <v>7.9905920362141559E-4</v>
      </c>
      <c r="H114" s="194">
        <v>4.8241355708514897E-5</v>
      </c>
      <c r="I114" s="194" t="s">
        <v>345</v>
      </c>
      <c r="J114" s="195">
        <v>1.6449109346510361E-3</v>
      </c>
      <c r="K114" s="11">
        <v>1.0277154711670722E-5</v>
      </c>
    </row>
    <row r="115" spans="1:11">
      <c r="A115" s="118">
        <v>39846</v>
      </c>
      <c r="B115" s="194">
        <v>0.94104411745430772</v>
      </c>
      <c r="C115" s="194">
        <v>1.1370852084391338E-2</v>
      </c>
      <c r="D115" s="194">
        <v>5.0340192661588422E-3</v>
      </c>
      <c r="E115" s="194">
        <v>3.7463019233606808E-2</v>
      </c>
      <c r="F115" s="194">
        <v>2.4222828488283292E-3</v>
      </c>
      <c r="G115" s="194">
        <v>7.7072670563301958E-4</v>
      </c>
      <c r="H115" s="194">
        <v>4.7241012195548659E-5</v>
      </c>
      <c r="I115" s="194" t="s">
        <v>345</v>
      </c>
      <c r="J115" s="195">
        <v>1.8477413948785957E-3</v>
      </c>
      <c r="K115" s="11">
        <v>2.8127787465365828E-4</v>
      </c>
    </row>
    <row r="116" spans="1:11">
      <c r="A116" s="118">
        <v>39875</v>
      </c>
      <c r="B116" s="194">
        <v>0.94281727232474843</v>
      </c>
      <c r="C116" s="194">
        <v>1.1115719271585818E-2</v>
      </c>
      <c r="D116" s="194">
        <v>4.2139879366285913E-3</v>
      </c>
      <c r="E116" s="194">
        <v>3.6896977912316879E-2</v>
      </c>
      <c r="F116" s="194">
        <v>2.3679330224436845E-3</v>
      </c>
      <c r="G116" s="194">
        <v>7.3602763394054686E-4</v>
      </c>
      <c r="H116" s="194">
        <v>4.57990903701519E-5</v>
      </c>
      <c r="I116" s="194" t="s">
        <v>345</v>
      </c>
      <c r="J116" s="195">
        <v>1.8062828079658624E-3</v>
      </c>
      <c r="K116" s="11">
        <v>2.7496671918283343E-4</v>
      </c>
    </row>
    <row r="117" spans="1:11">
      <c r="A117" s="118">
        <v>39933</v>
      </c>
      <c r="B117" s="194">
        <v>0.94409202114321844</v>
      </c>
      <c r="C117" s="194">
        <v>1.0890812486919818E-2</v>
      </c>
      <c r="D117" s="194">
        <v>3.7864292302633939E-3</v>
      </c>
      <c r="E117" s="194">
        <v>3.638766910549647E-2</v>
      </c>
      <c r="F117" s="194">
        <v>2.3200221145329748E-3</v>
      </c>
      <c r="G117" s="194">
        <v>7.1008080987527479E-4</v>
      </c>
      <c r="H117" s="194">
        <v>4.3229217731359E-5</v>
      </c>
      <c r="I117" s="194" t="s">
        <v>345</v>
      </c>
      <c r="J117" s="195">
        <v>1.7697358919623678E-3</v>
      </c>
      <c r="K117" s="11">
        <v>2.6940325727896445E-4</v>
      </c>
    </row>
    <row r="118" spans="1:11">
      <c r="A118" s="118">
        <v>39964</v>
      </c>
      <c r="B118" s="194">
        <v>0.94361814253857845</v>
      </c>
      <c r="C118" s="194">
        <v>1.1025586477433317E-2</v>
      </c>
      <c r="D118" s="194">
        <v>3.4718506909287884E-3</v>
      </c>
      <c r="E118" s="194">
        <v>3.6990891934065767E-2</v>
      </c>
      <c r="F118" s="194">
        <v>2.3487324278205013E-3</v>
      </c>
      <c r="G118" s="194">
        <v>7.096318198769973E-4</v>
      </c>
      <c r="H118" s="194">
        <v>4.3527707448190393E-5</v>
      </c>
      <c r="I118" s="194" t="s">
        <v>345</v>
      </c>
      <c r="J118" s="195">
        <v>1.7916364038480692E-3</v>
      </c>
      <c r="K118" s="11">
        <v>2.7273712718852615E-4</v>
      </c>
    </row>
    <row r="119" spans="1:11">
      <c r="A119" s="118">
        <v>39994</v>
      </c>
      <c r="B119" s="194">
        <v>0.945160561029733</v>
      </c>
      <c r="C119" s="194">
        <v>1.0596630862538682E-2</v>
      </c>
      <c r="D119" s="194">
        <v>3.0595747549858146E-3</v>
      </c>
      <c r="E119" s="194">
        <v>3.6592716748575518E-2</v>
      </c>
      <c r="F119" s="194">
        <v>2.3197455799689407E-3</v>
      </c>
      <c r="G119" s="194">
        <v>6.9095918853608594E-4</v>
      </c>
      <c r="H119" s="194">
        <v>4.3548939671049038E-5</v>
      </c>
      <c r="I119" s="194" t="s">
        <v>345</v>
      </c>
      <c r="J119" s="195">
        <v>1.5371927527071474E-3</v>
      </c>
      <c r="K119" s="11">
        <v>8.3985493738710916E-6</v>
      </c>
    </row>
    <row r="120" spans="1:11">
      <c r="A120" s="118">
        <v>40025</v>
      </c>
      <c r="B120" s="194">
        <v>0.94430220155698497</v>
      </c>
      <c r="C120" s="194">
        <v>1.056343821046693E-2</v>
      </c>
      <c r="D120" s="194">
        <v>2.7610688571596412E-3</v>
      </c>
      <c r="E120" s="194">
        <v>3.7655425723201907E-2</v>
      </c>
      <c r="F120" s="194">
        <v>2.3877342102941214E-3</v>
      </c>
      <c r="G120" s="194">
        <v>7.0433669253038911E-4</v>
      </c>
      <c r="H120" s="194">
        <v>4.3548939671049038E-5</v>
      </c>
      <c r="I120" s="194" t="s">
        <v>345</v>
      </c>
      <c r="J120" s="195">
        <v>1.582245809690988E-3</v>
      </c>
      <c r="K120" s="11">
        <v>8.6446995868852032E-6</v>
      </c>
    </row>
    <row r="121" spans="1:11">
      <c r="A121" s="118">
        <v>40056</v>
      </c>
      <c r="B121" s="194">
        <v>0.93014862419507294</v>
      </c>
      <c r="C121" s="194">
        <v>6.0735684386843515E-3</v>
      </c>
      <c r="D121" s="194">
        <v>2.3062892834474938E-3</v>
      </c>
      <c r="E121" s="194">
        <v>3.6637285965742297E-2</v>
      </c>
      <c r="F121" s="194">
        <v>2.3243283018470019E-3</v>
      </c>
      <c r="G121" s="194">
        <v>6.7183168291973911E-4</v>
      </c>
      <c r="H121" s="194">
        <v>4.1954418187933269E-5</v>
      </c>
      <c r="I121" s="194">
        <v>2.0236960273644872E-2</v>
      </c>
      <c r="J121" s="195">
        <v>1.5591574404531694E-3</v>
      </c>
      <c r="K121" s="11">
        <v>8.0326845673492984E-6</v>
      </c>
    </row>
    <row r="122" spans="1:11">
      <c r="A122" s="118">
        <v>40086</v>
      </c>
      <c r="B122" s="194">
        <v>0.94624557477031335</v>
      </c>
      <c r="C122" s="194">
        <v>6.0676708392813821E-3</v>
      </c>
      <c r="D122" s="194">
        <v>1.924342203555726E-3</v>
      </c>
      <c r="E122" s="194">
        <v>3.6601928925675035E-2</v>
      </c>
      <c r="F122" s="194">
        <v>2.3220713161319867E-3</v>
      </c>
      <c r="G122" s="194">
        <v>6.6164252141105565E-4</v>
      </c>
      <c r="H122" s="194">
        <v>4.1779184860103653E-5</v>
      </c>
      <c r="I122" s="194">
        <v>4.5773467824087206E-3</v>
      </c>
      <c r="J122" s="195">
        <v>1.5576434563624683E-3</v>
      </c>
      <c r="K122" s="11">
        <v>8.024884613140023E-6</v>
      </c>
    </row>
    <row r="123" spans="1:11">
      <c r="A123" s="118">
        <v>40117</v>
      </c>
      <c r="B123" s="194">
        <v>0.93462358849426175</v>
      </c>
      <c r="C123" s="194">
        <v>5.9427075031589904E-3</v>
      </c>
      <c r="D123" s="194">
        <v>1.5105326692241962E-3</v>
      </c>
      <c r="E123" s="194">
        <v>3.5834926879252306E-2</v>
      </c>
      <c r="F123" s="194">
        <v>2.2742483893345381E-3</v>
      </c>
      <c r="G123" s="194">
        <v>6.6091534752911636E-4</v>
      </c>
      <c r="H123" s="194">
        <v>4.0652405607989561E-5</v>
      </c>
      <c r="I123" s="194">
        <v>1.7586864433735E-2</v>
      </c>
      <c r="J123" s="195">
        <v>1.5255638778961913E-3</v>
      </c>
      <c r="K123" s="11">
        <v>7.8596125705692381E-6</v>
      </c>
    </row>
    <row r="124" spans="1:11">
      <c r="A124" s="118">
        <v>40147</v>
      </c>
      <c r="B124" s="194">
        <v>0.90713663783339804</v>
      </c>
      <c r="C124" s="194">
        <v>5.7365795689167491E-3</v>
      </c>
      <c r="D124" s="194">
        <v>1.0948230064703444E-3</v>
      </c>
      <c r="E124" s="194">
        <v>3.4551066234624304E-2</v>
      </c>
      <c r="F124" s="194">
        <v>2.1953641228283916E-3</v>
      </c>
      <c r="G124" s="194">
        <v>6.2098538662931971E-4</v>
      </c>
      <c r="H124" s="194">
        <v>3.9082490065383737E-5</v>
      </c>
      <c r="I124" s="194">
        <v>4.7224871527613101E-2</v>
      </c>
      <c r="J124" s="195">
        <v>1.400589829454249E-3</v>
      </c>
      <c r="K124" s="11">
        <v>6.6903287259761793E-6</v>
      </c>
    </row>
    <row r="125" spans="1:11">
      <c r="A125" s="118">
        <v>40178</v>
      </c>
      <c r="B125" s="194">
        <v>0.9061317194609968</v>
      </c>
      <c r="C125" s="194">
        <v>5.7115182400106455E-3</v>
      </c>
      <c r="D125" s="194">
        <v>7.2758077509798105E-4</v>
      </c>
      <c r="E125" s="194">
        <v>3.4365328830491926E-2</v>
      </c>
      <c r="F125" s="194">
        <v>2.1857732609411131E-3</v>
      </c>
      <c r="G125" s="194">
        <v>7.6291138033635867E-4</v>
      </c>
      <c r="H125" s="194">
        <v>4.2344263319722228E-5</v>
      </c>
      <c r="I125" s="194">
        <v>4.8606608951498716E-2</v>
      </c>
      <c r="J125" s="195">
        <v>1.466214837306684E-3</v>
      </c>
      <c r="K125" s="11">
        <v>7.5538499130843337E-6</v>
      </c>
    </row>
    <row r="126" spans="1:11">
      <c r="A126" s="118">
        <v>40209</v>
      </c>
      <c r="B126" s="194">
        <v>0.91762377029967801</v>
      </c>
      <c r="C126" s="194">
        <v>5.6180944624118099E-3</v>
      </c>
      <c r="D126" s="194">
        <v>3.5952454507723005E-4</v>
      </c>
      <c r="E126" s="194">
        <v>3.3803974474371112E-2</v>
      </c>
      <c r="F126" s="194">
        <v>1.0750101932054921E-3</v>
      </c>
      <c r="G126" s="194">
        <v>5.7760455814139747E-4</v>
      </c>
      <c r="H126" s="194">
        <v>3.780783322478449E-5</v>
      </c>
      <c r="I126" s="194">
        <v>3.9568044178824202E-2</v>
      </c>
      <c r="J126" s="195">
        <v>1.3716616095770585E-3</v>
      </c>
      <c r="K126" s="11">
        <v>6.5521445864332439E-6</v>
      </c>
    </row>
    <row r="127" spans="1:11">
      <c r="A127" s="118">
        <v>40237</v>
      </c>
      <c r="B127" s="194">
        <v>0.91061676882469844</v>
      </c>
      <c r="C127" s="194">
        <v>5.5799469381573432E-3</v>
      </c>
      <c r="D127" s="194">
        <v>3.5838225080893577E-4</v>
      </c>
      <c r="E127" s="194">
        <v>3.3696571275295101E-2</v>
      </c>
      <c r="F127" s="194">
        <v>1.067710747157819E-3</v>
      </c>
      <c r="G127" s="194">
        <v>5.6563658358084695E-4</v>
      </c>
      <c r="H127" s="194">
        <v>3.7342330286323122E-5</v>
      </c>
      <c r="I127" s="194">
        <v>4.6790073370824498E-2</v>
      </c>
      <c r="J127" s="195">
        <v>1.3231062200292623E-3</v>
      </c>
      <c r="K127" s="11">
        <v>6.9215104438034518E-6</v>
      </c>
    </row>
    <row r="128" spans="1:11">
      <c r="A128" s="118">
        <v>40268</v>
      </c>
      <c r="B128" s="194">
        <v>0.92759232620646037</v>
      </c>
      <c r="C128" s="194">
        <v>5.5541356698941002E-3</v>
      </c>
      <c r="D128" s="194">
        <v>0</v>
      </c>
      <c r="E128" s="194">
        <v>3.287160013324144E-2</v>
      </c>
      <c r="F128" s="194">
        <v>1.0627718169443467E-3</v>
      </c>
      <c r="G128" s="194">
        <v>5.4491195732153999E-4</v>
      </c>
      <c r="H128" s="194">
        <v>3.6668526603495682E-5</v>
      </c>
      <c r="I128" s="194">
        <v>3.1020599787487699E-2</v>
      </c>
      <c r="J128" s="195">
        <v>1.3169859020469522E-3</v>
      </c>
      <c r="K128" s="11">
        <v>6.8894934793355348E-6</v>
      </c>
    </row>
    <row r="129" spans="1:12">
      <c r="A129" s="118">
        <v>40298</v>
      </c>
      <c r="B129" s="194">
        <v>0.9420558586348442</v>
      </c>
      <c r="C129" s="194">
        <v>3.2276553226730067E-3</v>
      </c>
      <c r="D129" s="194">
        <v>0</v>
      </c>
      <c r="E129" s="194">
        <v>3.296988093783635E-2</v>
      </c>
      <c r="F129" s="194">
        <v>1.060369166235724E-3</v>
      </c>
      <c r="G129" s="194">
        <v>5.2730550823484662E-4</v>
      </c>
      <c r="H129" s="194">
        <v>3.6398127592727114E-5</v>
      </c>
      <c r="I129" s="194">
        <v>1.8808523763183843E-2</v>
      </c>
      <c r="J129" s="195">
        <v>6.8739181261635149E-6</v>
      </c>
      <c r="K129" s="11">
        <v>6.8739181261635149E-6</v>
      </c>
    </row>
    <row r="130" spans="1:12">
      <c r="A130" s="118">
        <v>40329</v>
      </c>
      <c r="B130" s="194">
        <v>0.96153404627131689</v>
      </c>
      <c r="C130" s="194">
        <v>2.021276848228695E-3</v>
      </c>
      <c r="D130" s="194">
        <v>0</v>
      </c>
      <c r="E130" s="194">
        <v>3.2172944245723201E-2</v>
      </c>
      <c r="F130" s="194">
        <v>1.0610588481776268E-3</v>
      </c>
      <c r="G130" s="194">
        <v>5.2170605249921801E-4</v>
      </c>
      <c r="H130" s="194">
        <v>3.6375042628721384E-5</v>
      </c>
      <c r="I130" s="194">
        <v>1.3155882554736209E-3</v>
      </c>
      <c r="J130" s="195">
        <v>1.3155882554736209E-3</v>
      </c>
    </row>
    <row r="131" spans="1:12">
      <c r="A131" s="118">
        <v>40359</v>
      </c>
      <c r="B131" s="194">
        <v>0.96042479213790866</v>
      </c>
      <c r="C131" s="194">
        <v>1.9915833842677859E-3</v>
      </c>
      <c r="D131" s="194">
        <v>0</v>
      </c>
      <c r="E131" s="194">
        <v>3.1388556725198961E-2</v>
      </c>
      <c r="F131" s="194">
        <v>1.04547141754121E-3</v>
      </c>
      <c r="G131" s="194">
        <v>5.0770450837382491E-4</v>
      </c>
      <c r="H131" s="194">
        <v>3.5597266574692494E-5</v>
      </c>
      <c r="I131" s="194">
        <v>3.2889313193357949E-3</v>
      </c>
      <c r="J131" s="195">
        <v>1.178926845430974E-3</v>
      </c>
    </row>
    <row r="132" spans="1:12">
      <c r="A132" s="118">
        <v>40390</v>
      </c>
      <c r="B132" s="194">
        <v>0.96346668041818717</v>
      </c>
      <c r="C132" s="194">
        <v>1.9585593662340547E-3</v>
      </c>
      <c r="D132" s="194">
        <v>0</v>
      </c>
      <c r="E132" s="194">
        <v>3.047106642786282E-2</v>
      </c>
      <c r="F132" s="194">
        <v>1.028135629735704E-3</v>
      </c>
      <c r="G132" s="194">
        <v>4.9433246280436861E-4</v>
      </c>
      <c r="H132" s="194">
        <v>3.4804615211972397E-5</v>
      </c>
      <c r="I132" s="194">
        <v>1.2509020801667868E-3</v>
      </c>
      <c r="J132" s="195">
        <v>1.1593781277064201E-3</v>
      </c>
    </row>
    <row r="133" spans="1:12">
      <c r="A133" s="118">
        <v>40421</v>
      </c>
      <c r="B133" s="194">
        <v>0.96438317411353203</v>
      </c>
      <c r="C133" s="194">
        <v>1.9181682713255877E-3</v>
      </c>
      <c r="D133" s="194">
        <v>0</v>
      </c>
      <c r="E133" s="194">
        <v>2.9416995340840378E-2</v>
      </c>
      <c r="F133" s="194">
        <v>4.7416507242960937E-4</v>
      </c>
      <c r="G133" s="194">
        <v>3.4020845007024425E-5</v>
      </c>
      <c r="H133" s="194">
        <v>1.0069325329517241E-3</v>
      </c>
      <c r="I133" s="194">
        <v>1.5037602322453447E-3</v>
      </c>
      <c r="J133" s="195">
        <v>1.262783591668699E-3</v>
      </c>
    </row>
    <row r="134" spans="1:12">
      <c r="A134" s="118">
        <v>40451</v>
      </c>
      <c r="B134" s="194">
        <v>0.96614776256633428</v>
      </c>
      <c r="C134" s="194">
        <v>0</v>
      </c>
      <c r="D134" s="194">
        <v>0</v>
      </c>
      <c r="E134" s="194">
        <v>2.9454084712594527E-2</v>
      </c>
      <c r="F134" s="194">
        <v>1.0225614611023971E-3</v>
      </c>
      <c r="G134" s="194">
        <v>4.7182761204182588E-4</v>
      </c>
      <c r="H134" s="194">
        <v>3.4437231799869673E-5</v>
      </c>
      <c r="I134" s="194">
        <v>1.5869427486061474E-3</v>
      </c>
      <c r="J134" s="195">
        <v>1.2823836675210352E-3</v>
      </c>
    </row>
    <row r="135" spans="1:12">
      <c r="A135" s="118">
        <v>40482</v>
      </c>
      <c r="B135" s="194">
        <v>0.96758192143239818</v>
      </c>
      <c r="C135" s="194">
        <v>0</v>
      </c>
      <c r="D135" s="194">
        <v>0</v>
      </c>
      <c r="E135" s="194">
        <v>2.8567626969181612E-2</v>
      </c>
      <c r="F135" s="194">
        <v>1.0063721869180257E-3</v>
      </c>
      <c r="G135" s="194">
        <v>4.5603879880097613E-4</v>
      </c>
      <c r="H135" s="194">
        <v>3.3784909913103882E-5</v>
      </c>
      <c r="I135" s="194">
        <v>1.0797132905293043E-3</v>
      </c>
      <c r="J135" s="195">
        <v>1.2745424122588905E-3</v>
      </c>
    </row>
    <row r="136" spans="1:12">
      <c r="A136" s="118">
        <v>40512</v>
      </c>
      <c r="B136" s="194">
        <v>0.94762775023047618</v>
      </c>
      <c r="C136" s="194">
        <v>0</v>
      </c>
      <c r="D136" s="194">
        <v>0</v>
      </c>
      <c r="E136" s="194">
        <v>2.7919100675790804E-2</v>
      </c>
      <c r="F136" s="194">
        <v>9.9928365395656198E-4</v>
      </c>
      <c r="G136" s="194">
        <v>4.409514330671772E-4</v>
      </c>
      <c r="H136" s="194">
        <v>3.271416080520256E-5</v>
      </c>
      <c r="I136" s="194">
        <v>2.1714634863683063E-2</v>
      </c>
      <c r="J136" s="195">
        <v>1.2655649822210543E-3</v>
      </c>
    </row>
    <row r="137" spans="1:12">
      <c r="A137" s="118">
        <v>40543</v>
      </c>
      <c r="B137" s="194">
        <v>0.91513364848315271</v>
      </c>
      <c r="C137" s="194">
        <v>0</v>
      </c>
      <c r="D137" s="194">
        <v>0</v>
      </c>
      <c r="E137" s="194">
        <v>2.633497434467573E-2</v>
      </c>
      <c r="F137" s="194">
        <v>9.5663591151703043E-4</v>
      </c>
      <c r="G137" s="194">
        <v>4.1081415596174099E-4</v>
      </c>
      <c r="H137" s="194">
        <v>2.9950984563920345E-5</v>
      </c>
      <c r="I137" s="194">
        <v>5.5821029458969842E-2</v>
      </c>
      <c r="J137" s="195">
        <v>1.307906675006244E-3</v>
      </c>
    </row>
    <row r="138" spans="1:12">
      <c r="A138" s="118">
        <v>40574</v>
      </c>
      <c r="B138" s="194">
        <v>0.96345299428913866</v>
      </c>
      <c r="C138" s="194">
        <v>0</v>
      </c>
      <c r="D138" s="194">
        <v>0</v>
      </c>
      <c r="E138" s="194">
        <v>3.1235103923187527E-2</v>
      </c>
      <c r="F138" s="194">
        <v>9.9315637950522307E-4</v>
      </c>
      <c r="G138" s="194">
        <v>5.4672166503276715E-4</v>
      </c>
      <c r="H138" s="194">
        <v>3.0942911654897714E-5</v>
      </c>
      <c r="I138" s="194">
        <v>2.4938035899016026E-3</v>
      </c>
      <c r="J138" s="195">
        <v>1.2472772415791302E-3</v>
      </c>
    </row>
    <row r="139" spans="1:12">
      <c r="A139" s="118">
        <v>40602</v>
      </c>
      <c r="B139" s="194">
        <v>0.96552447227503735</v>
      </c>
      <c r="C139" s="194">
        <v>0</v>
      </c>
      <c r="D139" s="194">
        <v>0</v>
      </c>
      <c r="E139" s="194">
        <v>3.0589681630586299E-2</v>
      </c>
      <c r="F139" s="194">
        <v>0</v>
      </c>
      <c r="G139" s="194">
        <v>5.3383787591765514E-4</v>
      </c>
      <c r="H139" s="194">
        <v>3.0279260461346622E-5</v>
      </c>
      <c r="I139" s="194">
        <v>1.2879505590458725E-3</v>
      </c>
      <c r="J139" s="195">
        <v>2.033778398951218E-3</v>
      </c>
    </row>
    <row r="140" spans="1:12">
      <c r="A140" s="118">
        <v>40633</v>
      </c>
      <c r="B140" s="194">
        <v>0.97027588669322051</v>
      </c>
      <c r="C140" s="194">
        <v>0</v>
      </c>
      <c r="D140" s="194">
        <v>0</v>
      </c>
      <c r="E140" s="194">
        <v>2.5869320290901748E-2</v>
      </c>
      <c r="F140" s="194">
        <v>0</v>
      </c>
      <c r="G140" s="194">
        <v>3.9637471539309108E-4</v>
      </c>
      <c r="H140" s="194">
        <v>2.9448232369110769E-5</v>
      </c>
      <c r="I140" s="194">
        <v>1.3482914504701631E-3</v>
      </c>
      <c r="J140" s="195">
        <v>2.0806786176450756E-3</v>
      </c>
    </row>
    <row r="141" spans="1:12">
      <c r="A141" s="118">
        <v>40663</v>
      </c>
      <c r="B141" s="194">
        <v>0.97120210474282531</v>
      </c>
      <c r="C141" s="194">
        <v>0</v>
      </c>
      <c r="D141" s="194">
        <v>0</v>
      </c>
      <c r="E141" s="194">
        <v>2.4977887770789863E-2</v>
      </c>
      <c r="F141" s="194">
        <v>0</v>
      </c>
      <c r="G141" s="194">
        <v>3.7756251881859417E-4</v>
      </c>
      <c r="H141" s="194">
        <v>2.8595439861684263E-5</v>
      </c>
      <c r="I141" s="194">
        <v>1.3810620656901267E-3</v>
      </c>
      <c r="J141" s="195">
        <v>2.0327874620144587E-3</v>
      </c>
      <c r="L141" s="96"/>
    </row>
    <row r="142" spans="1:12">
      <c r="A142" s="118">
        <v>40694</v>
      </c>
      <c r="B142" s="194">
        <v>0.97112556125480554</v>
      </c>
      <c r="C142" s="194">
        <v>0</v>
      </c>
      <c r="D142" s="194">
        <v>0</v>
      </c>
      <c r="E142" s="194">
        <v>2.5516043537682918E-2</v>
      </c>
      <c r="F142" s="194">
        <v>0</v>
      </c>
      <c r="G142" s="194">
        <v>3.7848072344379922E-4</v>
      </c>
      <c r="H142" s="194">
        <v>1.480895807267572E-5</v>
      </c>
      <c r="I142" s="194">
        <v>1.5171301012214286E-3</v>
      </c>
      <c r="J142" s="195">
        <v>1.4479754247735011E-3</v>
      </c>
      <c r="L142" s="96"/>
    </row>
    <row r="143" spans="1:12">
      <c r="A143" s="118">
        <v>40724</v>
      </c>
      <c r="B143" s="194">
        <v>0.97144430759773082</v>
      </c>
      <c r="C143" s="194">
        <v>0</v>
      </c>
      <c r="D143" s="194">
        <v>0</v>
      </c>
      <c r="E143" s="194">
        <v>2.5063901552208286E-2</v>
      </c>
      <c r="F143" s="194">
        <v>0</v>
      </c>
      <c r="G143" s="194">
        <v>3.6094396404182604E-4</v>
      </c>
      <c r="H143" s="194">
        <v>1.4060810913600001E-5</v>
      </c>
      <c r="I143" s="194">
        <v>1.6741239702975704E-3</v>
      </c>
      <c r="J143" s="195">
        <v>1.4231641564686867E-3</v>
      </c>
      <c r="L143" s="96"/>
    </row>
    <row r="144" spans="1:12">
      <c r="A144" s="118">
        <v>40755</v>
      </c>
      <c r="B144" s="194">
        <v>0.97206649619808061</v>
      </c>
      <c r="C144" s="194">
        <v>0</v>
      </c>
      <c r="D144" s="194">
        <v>0</v>
      </c>
      <c r="E144" s="194">
        <v>2.4381422682338741E-2</v>
      </c>
      <c r="F144" s="194">
        <v>0</v>
      </c>
      <c r="G144" s="194">
        <v>3.5272103298166857E-4</v>
      </c>
      <c r="H144" s="194">
        <v>1.4384646182466906E-5</v>
      </c>
      <c r="I144" s="194">
        <v>1.761792859482088E-3</v>
      </c>
      <c r="J144" s="195">
        <v>1.4231825809342647E-3</v>
      </c>
    </row>
    <row r="145" spans="1:13">
      <c r="A145" s="118">
        <v>40786</v>
      </c>
      <c r="B145" s="194">
        <v>0.97275564980409368</v>
      </c>
      <c r="C145" s="194">
        <v>0</v>
      </c>
      <c r="D145" s="194">
        <v>0</v>
      </c>
      <c r="E145" s="194">
        <v>2.3568365561905953E-2</v>
      </c>
      <c r="F145" s="194">
        <v>0</v>
      </c>
      <c r="G145" s="194">
        <v>3.4065059931999062E-4</v>
      </c>
      <c r="H145" s="194">
        <v>1.3833474209744143E-5</v>
      </c>
      <c r="I145" s="194">
        <v>1.8330187078209441E-3</v>
      </c>
      <c r="J145" s="195">
        <v>1.4884818526497065E-3</v>
      </c>
    </row>
    <row r="146" spans="1:13">
      <c r="A146" s="118">
        <v>40816</v>
      </c>
      <c r="B146" s="194">
        <v>0.97300670620097673</v>
      </c>
      <c r="C146" s="194">
        <v>0</v>
      </c>
      <c r="D146" s="194">
        <v>0</v>
      </c>
      <c r="E146" s="194">
        <v>2.3110687577372752E-2</v>
      </c>
      <c r="F146" s="194">
        <v>0</v>
      </c>
      <c r="G146" s="194">
        <v>3.3509953674713415E-4</v>
      </c>
      <c r="H146" s="194">
        <v>1.3392861504090598E-5</v>
      </c>
      <c r="I146" s="194">
        <v>1.9703635460944823E-3</v>
      </c>
      <c r="J146" s="195">
        <v>1.5637502773049551E-3</v>
      </c>
    </row>
    <row r="147" spans="1:13">
      <c r="A147" s="118">
        <v>40847</v>
      </c>
      <c r="B147" s="194">
        <v>0.97391358675212769</v>
      </c>
      <c r="C147" s="194">
        <v>0</v>
      </c>
      <c r="D147" s="194">
        <v>0</v>
      </c>
      <c r="E147" s="194">
        <v>2.2530180215671835E-2</v>
      </c>
      <c r="F147" s="194">
        <v>0</v>
      </c>
      <c r="G147" s="194">
        <v>3.2613961533340069E-4</v>
      </c>
      <c r="H147" s="194">
        <v>1.2863855568386378E-5</v>
      </c>
      <c r="I147" s="194">
        <v>1.6678344048973077E-3</v>
      </c>
      <c r="J147" s="195">
        <v>1.549395156401218E-3</v>
      </c>
    </row>
    <row r="148" spans="1:13">
      <c r="A148" s="118">
        <v>40877</v>
      </c>
      <c r="B148" s="194">
        <v>0.97348198536872743</v>
      </c>
      <c r="C148" s="194">
        <v>0</v>
      </c>
      <c r="D148" s="194">
        <v>0</v>
      </c>
      <c r="E148" s="194">
        <v>2.2471641985311111E-2</v>
      </c>
      <c r="F148" s="194">
        <v>0</v>
      </c>
      <c r="G148" s="194">
        <v>3.2007108990839833E-4</v>
      </c>
      <c r="H148" s="194">
        <v>1.2418999423816005E-5</v>
      </c>
      <c r="I148" s="194">
        <v>2.1722892118916587E-3</v>
      </c>
      <c r="J148" s="195">
        <v>1.5415933447376026E-3</v>
      </c>
    </row>
    <row r="149" spans="1:13">
      <c r="A149" s="118">
        <v>40878</v>
      </c>
      <c r="B149" s="194">
        <v>0.96172469904204205</v>
      </c>
      <c r="C149" s="194">
        <v>0</v>
      </c>
      <c r="D149" s="194">
        <v>0</v>
      </c>
      <c r="E149" s="194">
        <v>2.210868294852554E-2</v>
      </c>
      <c r="F149" s="194">
        <v>0</v>
      </c>
      <c r="G149" s="194">
        <v>4.0473175553077393E-4</v>
      </c>
      <c r="H149" s="194">
        <v>1.0951791118243087E-5</v>
      </c>
      <c r="I149" s="194">
        <v>1.4270768754163008E-2</v>
      </c>
      <c r="J149" s="195">
        <v>1.480165708620242E-3</v>
      </c>
    </row>
    <row r="150" spans="1:13">
      <c r="A150" s="118">
        <v>40909</v>
      </c>
      <c r="B150" s="194">
        <v>0.97470034093780589</v>
      </c>
      <c r="C150" s="194">
        <v>0</v>
      </c>
      <c r="D150" s="194">
        <v>0</v>
      </c>
      <c r="E150" s="194">
        <v>2.1159932851663722E-2</v>
      </c>
      <c r="F150" s="194">
        <v>0</v>
      </c>
      <c r="G150" s="194">
        <v>3.0800965844032124E-4</v>
      </c>
      <c r="H150" s="194">
        <v>9.1931776063903253E-6</v>
      </c>
      <c r="I150" s="194">
        <v>2.3759020100240255E-3</v>
      </c>
      <c r="J150" s="195">
        <v>1.4466213644598121E-3</v>
      </c>
    </row>
    <row r="151" spans="1:13">
      <c r="A151" s="118">
        <v>40940</v>
      </c>
      <c r="B151" s="194">
        <v>0.97532467806605561</v>
      </c>
      <c r="C151" s="194">
        <v>0</v>
      </c>
      <c r="D151" s="194">
        <v>0</v>
      </c>
      <c r="E151" s="194">
        <v>2.0482171982945607E-2</v>
      </c>
      <c r="F151" s="194">
        <v>0</v>
      </c>
      <c r="G151" s="194">
        <v>2.999975935107646E-4</v>
      </c>
      <c r="H151" s="194">
        <v>9.1931776063903253E-6</v>
      </c>
      <c r="I151" s="194">
        <v>2.4496837586196756E-3</v>
      </c>
      <c r="J151" s="195">
        <v>1.1625639742761922E-3</v>
      </c>
    </row>
    <row r="152" spans="1:13">
      <c r="A152" s="118">
        <v>40969</v>
      </c>
      <c r="B152" s="194">
        <v>0.97561403800650981</v>
      </c>
      <c r="C152" s="194">
        <v>0</v>
      </c>
      <c r="D152" s="194">
        <v>0</v>
      </c>
      <c r="E152" s="194">
        <v>2.0190187768205654E-2</v>
      </c>
      <c r="F152" s="194">
        <v>0</v>
      </c>
      <c r="G152" s="194">
        <v>2.9556537028480251E-4</v>
      </c>
      <c r="H152" s="194">
        <v>8.8601407422120859E-6</v>
      </c>
      <c r="I152" s="194">
        <v>2.4591957932702984E-3</v>
      </c>
      <c r="J152" s="195">
        <v>1.4321529209872091E-3</v>
      </c>
    </row>
    <row r="153" spans="1:13">
      <c r="A153" s="118">
        <v>41000</v>
      </c>
      <c r="B153" s="194">
        <v>0.97590597457220607</v>
      </c>
      <c r="C153" s="194">
        <v>0</v>
      </c>
      <c r="D153" s="194">
        <v>0</v>
      </c>
      <c r="E153" s="194">
        <v>1.9896610690937941E-2</v>
      </c>
      <c r="F153" s="194">
        <v>0</v>
      </c>
      <c r="G153" s="194">
        <v>2.85501478260823E-4</v>
      </c>
      <c r="H153" s="194">
        <v>8.7619877459880826E-6</v>
      </c>
      <c r="I153" s="194">
        <v>2.4666545947428717E-3</v>
      </c>
      <c r="J153" s="195">
        <v>1.1641343871056605E-3</v>
      </c>
    </row>
    <row r="154" spans="1:13">
      <c r="A154" s="118">
        <v>41030</v>
      </c>
      <c r="B154" s="194">
        <v>0.97623400088554013</v>
      </c>
      <c r="C154" s="194">
        <v>0</v>
      </c>
      <c r="D154" s="194">
        <v>0</v>
      </c>
      <c r="E154" s="194">
        <v>1.9551704161285637E-2</v>
      </c>
      <c r="F154" s="194">
        <v>0</v>
      </c>
      <c r="G154" s="194">
        <v>2.8308678984856453E-4</v>
      </c>
      <c r="H154" s="194">
        <v>8.2815478711684892E-6</v>
      </c>
      <c r="I154" s="194">
        <v>2.4858079523737905E-3</v>
      </c>
      <c r="J154" s="195">
        <v>1.4371186630806651E-3</v>
      </c>
    </row>
    <row r="155" spans="1:13">
      <c r="A155" s="118">
        <v>41061</v>
      </c>
      <c r="B155" s="194">
        <v>0.97668257893282373</v>
      </c>
      <c r="C155" s="194">
        <v>0</v>
      </c>
      <c r="D155" s="194">
        <v>0</v>
      </c>
      <c r="E155" s="194">
        <v>1.9130884635420082E-2</v>
      </c>
      <c r="F155" s="194">
        <v>0</v>
      </c>
      <c r="G155" s="194">
        <v>2.7722633546117635E-4</v>
      </c>
      <c r="H155" s="194">
        <v>7.4818169122780915E-6</v>
      </c>
      <c r="I155" s="194">
        <v>2.4854158294627384E-3</v>
      </c>
      <c r="J155" s="195">
        <v>1.4164124499200792E-3</v>
      </c>
    </row>
    <row r="156" spans="1:13">
      <c r="A156" s="118">
        <v>41091</v>
      </c>
      <c r="B156" s="194">
        <v>0.97733866095193878</v>
      </c>
      <c r="C156" s="194">
        <v>0</v>
      </c>
      <c r="D156" s="194">
        <v>0</v>
      </c>
      <c r="E156" s="194">
        <v>1.852766303594635E-2</v>
      </c>
      <c r="F156" s="194">
        <v>0</v>
      </c>
      <c r="G156" s="194">
        <v>2.708219351680575E-4</v>
      </c>
      <c r="H156" s="194">
        <v>6.9319561165610961E-6</v>
      </c>
      <c r="I156" s="194">
        <v>2.4562077708232656E-3</v>
      </c>
      <c r="J156" s="195">
        <v>1.1610858287554883E-3</v>
      </c>
    </row>
    <row r="157" spans="1:13">
      <c r="A157" s="118">
        <v>41122</v>
      </c>
      <c r="B157" s="194">
        <v>0.97699206498070634</v>
      </c>
      <c r="C157" s="194">
        <v>0</v>
      </c>
      <c r="D157" s="194">
        <v>0</v>
      </c>
      <c r="E157" s="194">
        <v>1.8790504369678596E-2</v>
      </c>
      <c r="F157" s="194">
        <v>0</v>
      </c>
      <c r="G157" s="194">
        <v>2.7458600377251833E-4</v>
      </c>
      <c r="H157" s="194">
        <v>7.0634021309123103E-6</v>
      </c>
      <c r="I157" s="194">
        <v>2.4903458274413586E-3</v>
      </c>
      <c r="J157" s="195">
        <v>1.2048132484943836E-3</v>
      </c>
    </row>
    <row r="158" spans="1:13">
      <c r="A158" s="118">
        <v>41182</v>
      </c>
      <c r="B158" s="194">
        <v>0.97795871609789564</v>
      </c>
      <c r="C158" s="194">
        <v>0</v>
      </c>
      <c r="D158" s="194">
        <v>0</v>
      </c>
      <c r="E158" s="194">
        <v>1.7868555708046335E-2</v>
      </c>
      <c r="F158" s="194">
        <v>6.5993106399742563E-6</v>
      </c>
      <c r="G158" s="194">
        <v>2.6607646032068382E-4</v>
      </c>
      <c r="H158" s="194">
        <v>6.6008151357131923E-6</v>
      </c>
      <c r="I158" s="194">
        <v>2.4541183535104144E-3</v>
      </c>
      <c r="J158" s="195">
        <v>1.1997269158081879E-3</v>
      </c>
    </row>
    <row r="159" spans="1:13">
      <c r="A159" s="118">
        <v>41213</v>
      </c>
      <c r="B159" s="194">
        <v>0.97881348937707535</v>
      </c>
      <c r="C159" s="194">
        <v>0</v>
      </c>
      <c r="D159" s="194">
        <v>0</v>
      </c>
      <c r="E159" s="194">
        <v>1.7007756833211152E-2</v>
      </c>
      <c r="F159" s="194">
        <v>4.4127785175689328E-6</v>
      </c>
      <c r="G159" s="194">
        <v>2.6394911519596651E-4</v>
      </c>
      <c r="H159" s="194">
        <v>5.8255375690677853E-6</v>
      </c>
      <c r="I159" s="194">
        <v>2.4611241971338816E-3</v>
      </c>
      <c r="J159" s="195">
        <v>1.4434421612969928E-3</v>
      </c>
      <c r="M159" s="102"/>
    </row>
    <row r="160" spans="1:13">
      <c r="A160" s="118">
        <v>41243</v>
      </c>
      <c r="B160" s="194">
        <v>0.97906000657653824</v>
      </c>
      <c r="C160" s="194">
        <v>0</v>
      </c>
      <c r="D160" s="194">
        <v>0</v>
      </c>
      <c r="E160" s="194">
        <v>1.6842762434815649E-2</v>
      </c>
      <c r="F160" s="194">
        <v>3.8215687341342846E-6</v>
      </c>
      <c r="G160" s="194">
        <v>2.5446097023157165E-4</v>
      </c>
      <c r="H160" s="194">
        <v>5.3944944152149511E-6</v>
      </c>
      <c r="I160" s="194">
        <v>2.4163636968160514E-3</v>
      </c>
      <c r="J160" s="195">
        <v>1.4171902584492191E-3</v>
      </c>
      <c r="M160" s="102"/>
    </row>
    <row r="161" spans="1:12">
      <c r="A161" s="118">
        <v>41274</v>
      </c>
      <c r="B161" s="194">
        <v>0.95804771370156061</v>
      </c>
      <c r="C161" s="194">
        <v>0</v>
      </c>
      <c r="D161" s="194">
        <v>0</v>
      </c>
      <c r="E161" s="194">
        <v>1.62401240148368E-2</v>
      </c>
      <c r="F161" s="194">
        <v>1.768231939364445E-6</v>
      </c>
      <c r="G161" s="194">
        <v>2.491377048112941E-4</v>
      </c>
      <c r="H161" s="194">
        <v>5.2472460101513802E-6</v>
      </c>
      <c r="I161" s="194">
        <v>2.4055171263311765E-2</v>
      </c>
      <c r="J161" s="195">
        <v>1.4008378375299137E-3</v>
      </c>
    </row>
    <row r="162" spans="1:12">
      <c r="A162" s="118">
        <v>41275</v>
      </c>
      <c r="B162" s="194">
        <v>0.98048196806572097</v>
      </c>
      <c r="C162" s="194">
        <v>0</v>
      </c>
      <c r="D162" s="194">
        <v>0</v>
      </c>
      <c r="E162" s="194">
        <v>1.5793982539521498E-2</v>
      </c>
      <c r="F162" s="194">
        <v>1.76464574896402E-6</v>
      </c>
      <c r="G162" s="194">
        <v>2.4296888237555799E-4</v>
      </c>
      <c r="H162" s="194">
        <v>5.1588772321274703E-6</v>
      </c>
      <c r="I162" s="194">
        <v>2.0761602221469801E-3</v>
      </c>
      <c r="J162" s="195">
        <v>1.1652717289058899E-3</v>
      </c>
    </row>
    <row r="163" spans="1:12">
      <c r="A163" s="118">
        <v>41306</v>
      </c>
      <c r="B163" s="194">
        <v>0.98129200798694749</v>
      </c>
      <c r="C163" s="194">
        <v>0</v>
      </c>
      <c r="D163" s="194">
        <v>0</v>
      </c>
      <c r="E163" s="194">
        <v>1.5093515263640658E-2</v>
      </c>
      <c r="F163" s="194">
        <v>1.725882232301181E-6</v>
      </c>
      <c r="G163" s="194">
        <v>2.3506927374923663E-4</v>
      </c>
      <c r="H163" s="194">
        <v>4.8796309177369425E-6</v>
      </c>
      <c r="I163" s="194">
        <v>2.0055146285911014E-3</v>
      </c>
      <c r="J163" s="195">
        <v>1.3672873339212912E-3</v>
      </c>
    </row>
    <row r="164" spans="1:12">
      <c r="A164" s="118">
        <v>41334</v>
      </c>
      <c r="B164" s="194">
        <v>0.95522808826055805</v>
      </c>
      <c r="C164" s="194">
        <v>0</v>
      </c>
      <c r="D164" s="194">
        <v>0</v>
      </c>
      <c r="E164" s="194">
        <v>1.4563076292602511E-2</v>
      </c>
      <c r="F164" s="194">
        <v>1.7027894906489329E-6</v>
      </c>
      <c r="G164" s="194">
        <v>2.2808365548837231E-4</v>
      </c>
      <c r="H164" s="194">
        <v>4.685098165545066E-6</v>
      </c>
      <c r="I164" s="194">
        <v>2.8546839235914945E-2</v>
      </c>
      <c r="J164" s="195">
        <v>1.4275246677796071E-3</v>
      </c>
      <c r="L164" s="103"/>
    </row>
    <row r="165" spans="1:12">
      <c r="A165" s="118">
        <v>41365</v>
      </c>
      <c r="B165" s="194">
        <v>0.97416814441085364</v>
      </c>
      <c r="C165" s="194">
        <v>0</v>
      </c>
      <c r="D165" s="194">
        <v>0</v>
      </c>
      <c r="E165" s="194">
        <v>1.4357611125824949E-2</v>
      </c>
      <c r="F165" s="194">
        <v>1.7172332088397974E-6</v>
      </c>
      <c r="G165" s="194">
        <v>2.2864798776081583E-4</v>
      </c>
      <c r="H165" s="194">
        <v>4.2825311303330365E-6</v>
      </c>
      <c r="I165" s="194">
        <v>9.7115110936675849E-3</v>
      </c>
      <c r="J165" s="195">
        <v>1.5280856175540955E-3</v>
      </c>
      <c r="L165" s="103"/>
    </row>
    <row r="166" spans="1:12">
      <c r="A166" s="118">
        <v>41425</v>
      </c>
      <c r="B166" s="194">
        <v>0.98218790746811468</v>
      </c>
      <c r="C166" s="194">
        <v>0</v>
      </c>
      <c r="D166" s="194">
        <v>0</v>
      </c>
      <c r="E166" s="194">
        <v>1.4042167821783885E-2</v>
      </c>
      <c r="F166" s="194">
        <v>1.6739707888405242E-6</v>
      </c>
      <c r="G166" s="194">
        <v>2.256839716276653E-4</v>
      </c>
      <c r="H166" s="194">
        <v>3.891155955627369E-6</v>
      </c>
      <c r="I166" s="194">
        <v>1.9866549888577518E-3</v>
      </c>
      <c r="J166" s="195">
        <v>1.552020622871805E-3</v>
      </c>
    </row>
    <row r="167" spans="1:12">
      <c r="A167" s="118">
        <v>41455</v>
      </c>
      <c r="B167" s="194">
        <v>0.9827456210718255</v>
      </c>
      <c r="C167" s="194">
        <v>0</v>
      </c>
      <c r="D167" s="194">
        <v>0</v>
      </c>
      <c r="E167" s="194">
        <v>1.3654937633626067E-2</v>
      </c>
      <c r="F167" s="194">
        <v>1.6691212798612686E-6</v>
      </c>
      <c r="G167" s="194">
        <v>2.2271978412036176E-4</v>
      </c>
      <c r="H167" s="194">
        <v>2.2786526421475581E-6</v>
      </c>
      <c r="I167" s="194">
        <v>1.9065568006633934E-3</v>
      </c>
      <c r="J167" s="195">
        <v>1.4662169358428253E-3</v>
      </c>
    </row>
    <row r="168" spans="1:12">
      <c r="A168" s="118">
        <v>41486</v>
      </c>
      <c r="B168" s="194">
        <v>0.98343195965983665</v>
      </c>
      <c r="C168" s="194">
        <v>0</v>
      </c>
      <c r="D168" s="194">
        <v>0</v>
      </c>
      <c r="E168" s="194">
        <v>1.2999098586633605E-2</v>
      </c>
      <c r="F168" s="194">
        <v>1.6301612250121872E-6</v>
      </c>
      <c r="G168" s="194">
        <v>2.1574207324657717E-4</v>
      </c>
      <c r="H168" s="194">
        <v>2.2626673684717598E-6</v>
      </c>
      <c r="I168" s="194">
        <v>1.8428563050315672E-3</v>
      </c>
      <c r="J168" s="195">
        <v>1.5037415803115515E-3</v>
      </c>
    </row>
    <row r="169" spans="1:12">
      <c r="A169" s="118">
        <v>41517</v>
      </c>
      <c r="B169" s="194">
        <v>0.98411178885510997</v>
      </c>
      <c r="C169" s="194">
        <v>0</v>
      </c>
      <c r="D169" s="194">
        <v>0</v>
      </c>
      <c r="E169" s="194">
        <v>1.2360332618606749E-2</v>
      </c>
      <c r="F169" s="194">
        <v>1.5945902875834551E-6</v>
      </c>
      <c r="G169" s="194">
        <v>1.9533097472435731E-4</v>
      </c>
      <c r="H169" s="194">
        <v>2.1669845114510874E-6</v>
      </c>
      <c r="I169" s="194">
        <v>1.8552069383381271E-3</v>
      </c>
      <c r="J169" s="195">
        <v>1.4709291830826542E-3</v>
      </c>
    </row>
    <row r="170" spans="1:12">
      <c r="A170" s="118">
        <v>41547</v>
      </c>
      <c r="B170" s="194">
        <v>0.98490272180006289</v>
      </c>
      <c r="C170" s="194">
        <v>0</v>
      </c>
      <c r="D170" s="194">
        <v>0</v>
      </c>
      <c r="E170" s="194">
        <v>1.1695543340802864E-2</v>
      </c>
      <c r="F170" s="194">
        <v>1.5553207157804608E-6</v>
      </c>
      <c r="G170" s="194">
        <v>1.8699358699518837E-4</v>
      </c>
      <c r="H170" s="194">
        <v>2.0355162675297798E-6</v>
      </c>
      <c r="I170" s="194">
        <v>1.7966210651730089E-3</v>
      </c>
      <c r="J170" s="195">
        <v>1.4145293699827125E-3</v>
      </c>
    </row>
    <row r="171" spans="1:12">
      <c r="A171" s="118">
        <v>41578</v>
      </c>
      <c r="B171" s="194">
        <v>0.98566647811916941</v>
      </c>
      <c r="C171" s="194">
        <v>0</v>
      </c>
      <c r="D171" s="194">
        <v>0</v>
      </c>
      <c r="E171" s="194">
        <v>1.1106382345960064E-2</v>
      </c>
      <c r="F171" s="194">
        <v>1.5266539308419098E-6</v>
      </c>
      <c r="G171" s="194">
        <v>1.7970025021613999E-4</v>
      </c>
      <c r="H171" s="194">
        <v>1.874620017664539E-6</v>
      </c>
      <c r="I171" s="194">
        <v>1.655922529857496E-3</v>
      </c>
      <c r="J171" s="195">
        <v>1.3881154808483916E-3</v>
      </c>
    </row>
    <row r="172" spans="1:12">
      <c r="A172" s="118">
        <v>41608</v>
      </c>
      <c r="B172" s="194">
        <v>0.9806531599225583</v>
      </c>
      <c r="C172" s="194">
        <v>0</v>
      </c>
      <c r="D172" s="194">
        <v>0</v>
      </c>
      <c r="E172" s="194">
        <v>1.0862982280771457E-2</v>
      </c>
      <c r="F172" s="194">
        <v>1.5445037465323187E-6</v>
      </c>
      <c r="G172" s="194">
        <v>1.7747012476895631E-4</v>
      </c>
      <c r="H172" s="194">
        <v>1.9536377796231881E-6</v>
      </c>
      <c r="I172" s="194">
        <v>5.9663037495323408E-3</v>
      </c>
      <c r="J172" s="195">
        <v>2.3365857808427259E-3</v>
      </c>
    </row>
    <row r="173" spans="1:12">
      <c r="A173" s="118">
        <v>41639</v>
      </c>
      <c r="B173" s="194">
        <v>0.95279015130025368</v>
      </c>
      <c r="C173" s="194">
        <v>0</v>
      </c>
      <c r="D173" s="194">
        <v>0</v>
      </c>
      <c r="E173" s="194">
        <v>1.0105041288701331E-2</v>
      </c>
      <c r="F173" s="194">
        <v>1.4923245565163973E-6</v>
      </c>
      <c r="G173" s="194">
        <v>1.6880690444919021E-4</v>
      </c>
      <c r="H173" s="194">
        <v>1.8151332430696172E-6</v>
      </c>
      <c r="I173" s="194">
        <v>3.4674992198467675E-2</v>
      </c>
      <c r="J173" s="195">
        <v>2.2577008503285034E-3</v>
      </c>
    </row>
    <row r="174" spans="1:12">
      <c r="A174" s="118">
        <v>41670</v>
      </c>
      <c r="B174" s="194">
        <v>0.9863623188653603</v>
      </c>
      <c r="C174" s="194">
        <v>0</v>
      </c>
      <c r="D174" s="194">
        <v>0</v>
      </c>
      <c r="E174" s="194">
        <v>9.9388576755026874E-3</v>
      </c>
      <c r="F174" s="194">
        <v>1.518171084475082E-6</v>
      </c>
      <c r="G174" s="194">
        <v>8.8213040902276321E-5</v>
      </c>
      <c r="H174" s="194">
        <v>1.7987346507240634E-6</v>
      </c>
      <c r="I174" s="194">
        <v>1.3104900903509243E-3</v>
      </c>
      <c r="J174" s="195">
        <v>2.2968034221486967E-3</v>
      </c>
    </row>
    <row r="175" spans="1:12">
      <c r="A175" s="118">
        <v>41698</v>
      </c>
      <c r="B175" s="194">
        <v>0.98150512795146583</v>
      </c>
      <c r="C175" s="194">
        <v>0</v>
      </c>
      <c r="D175" s="194">
        <v>0</v>
      </c>
      <c r="E175" s="194">
        <v>9.4385186004409972E-3</v>
      </c>
      <c r="F175" s="194">
        <v>1.371849721128475E-6</v>
      </c>
      <c r="G175" s="194">
        <v>8.6071815076432071E-5</v>
      </c>
      <c r="H175" s="194">
        <v>1.66077285230476E-6</v>
      </c>
      <c r="I175" s="194">
        <v>6.7521815677843103E-3</v>
      </c>
      <c r="J175" s="195">
        <v>2.2150674426588608E-3</v>
      </c>
    </row>
    <row r="176" spans="1:12">
      <c r="A176" s="118">
        <v>41729</v>
      </c>
      <c r="B176" s="194">
        <v>0.9804917383426397</v>
      </c>
      <c r="C176" s="194">
        <v>0</v>
      </c>
      <c r="D176" s="194">
        <v>0</v>
      </c>
      <c r="E176" s="194">
        <v>8.8491026635457888E-3</v>
      </c>
      <c r="F176" s="194">
        <v>1.3290927212529944E-6</v>
      </c>
      <c r="G176" s="194">
        <v>8.2280590579349183E-5</v>
      </c>
      <c r="H176" s="194">
        <v>1.6051534330035263E-6</v>
      </c>
      <c r="I176" s="194">
        <v>8.4279146249971043E-3</v>
      </c>
      <c r="J176" s="195">
        <v>2.1460295320838707E-3</v>
      </c>
    </row>
    <row r="177" spans="1:10">
      <c r="A177" s="118">
        <v>41759</v>
      </c>
      <c r="B177" s="194">
        <v>0.98841820833351268</v>
      </c>
      <c r="C177" s="194">
        <v>0</v>
      </c>
      <c r="D177" s="194">
        <v>0</v>
      </c>
      <c r="E177" s="194">
        <v>8.3573714496271139E-3</v>
      </c>
      <c r="F177" s="194">
        <v>1.3002501806791609E-6</v>
      </c>
      <c r="G177" s="194">
        <v>7.9849252354733383E-5</v>
      </c>
      <c r="H177" s="194">
        <v>1.5016016459144014E-6</v>
      </c>
      <c r="I177" s="194">
        <v>1.0423104050847679E-3</v>
      </c>
      <c r="J177" s="195">
        <v>2.0994587075940973E-3</v>
      </c>
    </row>
    <row r="178" spans="1:10">
      <c r="A178" s="118">
        <v>41790</v>
      </c>
      <c r="B178" s="194">
        <v>0.98825788046497287</v>
      </c>
      <c r="C178" s="194">
        <v>0</v>
      </c>
      <c r="D178" s="194">
        <v>0</v>
      </c>
      <c r="E178" s="194">
        <v>8.3321280845581359E-3</v>
      </c>
      <c r="F178" s="194">
        <v>1.3461215833911134E-6</v>
      </c>
      <c r="G178" s="194">
        <v>8.1296751980843997E-5</v>
      </c>
      <c r="H178" s="194">
        <v>1.452092043891407E-6</v>
      </c>
      <c r="I178" s="194">
        <v>1.1523711727899099E-3</v>
      </c>
      <c r="J178" s="195">
        <v>2.1714007716450026E-3</v>
      </c>
    </row>
    <row r="179" spans="1:10">
      <c r="A179" s="118">
        <v>41820</v>
      </c>
      <c r="B179" s="194">
        <v>0.97350784403143353</v>
      </c>
      <c r="C179" s="194">
        <v>0</v>
      </c>
      <c r="D179" s="194">
        <v>0</v>
      </c>
      <c r="E179" s="194">
        <v>7.7608833716915271E-3</v>
      </c>
      <c r="F179" s="194">
        <v>1.3050864888919483E-6</v>
      </c>
      <c r="G179" s="194">
        <v>7.7730687749359297E-5</v>
      </c>
      <c r="H179" s="194">
        <v>1.3677762411700787E-6</v>
      </c>
      <c r="I179" s="194">
        <v>1.6543601357467651E-2</v>
      </c>
      <c r="J179" s="195">
        <v>2.1085727754165985E-3</v>
      </c>
    </row>
    <row r="180" spans="1:10">
      <c r="A180" s="118">
        <v>41851</v>
      </c>
      <c r="B180" s="194">
        <v>0.97696518528763077</v>
      </c>
      <c r="C180" s="194">
        <v>0</v>
      </c>
      <c r="D180" s="194">
        <v>0</v>
      </c>
      <c r="E180" s="194">
        <v>7.3880252386583365E-3</v>
      </c>
      <c r="F180" s="194">
        <v>0</v>
      </c>
      <c r="G180" s="194">
        <v>7.6191663167440033E-5</v>
      </c>
      <c r="H180" s="194">
        <v>1.2297843621410213E-6</v>
      </c>
      <c r="I180" s="194">
        <v>1.3486349551718731E-2</v>
      </c>
      <c r="J180" s="195">
        <v>2.0830184744627545E-3</v>
      </c>
    </row>
    <row r="181" spans="1:10">
      <c r="A181" s="118">
        <v>41882</v>
      </c>
      <c r="B181" s="194">
        <v>0.98184424356212074</v>
      </c>
      <c r="C181" s="194">
        <v>0</v>
      </c>
      <c r="D181" s="194">
        <v>0</v>
      </c>
      <c r="E181" s="194">
        <v>6.9079757476453322E-3</v>
      </c>
      <c r="F181" s="194">
        <v>0</v>
      </c>
      <c r="G181" s="194">
        <v>7.3229572893699656E-5</v>
      </c>
      <c r="H181" s="194">
        <v>1.1543298692221066E-6</v>
      </c>
      <c r="I181" s="194">
        <v>9.0662737542984099E-3</v>
      </c>
      <c r="J181" s="195">
        <v>2.1071230331724676E-3</v>
      </c>
    </row>
    <row r="182" spans="1:10">
      <c r="A182" s="118">
        <v>41912</v>
      </c>
      <c r="B182" s="194">
        <v>0.96269846295393013</v>
      </c>
      <c r="C182" s="194">
        <v>0</v>
      </c>
      <c r="D182" s="194">
        <v>0</v>
      </c>
      <c r="E182" s="194">
        <v>6.5027120961825419E-3</v>
      </c>
      <c r="F182" s="194">
        <v>0</v>
      </c>
      <c r="G182" s="194">
        <v>7.1432520721528779E-5</v>
      </c>
      <c r="H182" s="194">
        <v>1.1339948676200666E-6</v>
      </c>
      <c r="I182" s="194">
        <v>2.8636105977598258E-2</v>
      </c>
      <c r="J182" s="195">
        <v>2.0901524567001829E-3</v>
      </c>
    </row>
    <row r="183" spans="1:10">
      <c r="A183" s="118">
        <v>41943</v>
      </c>
      <c r="B183" s="194">
        <v>0.95041741188978057</v>
      </c>
      <c r="C183" s="194">
        <v>0</v>
      </c>
      <c r="D183" s="194">
        <v>0</v>
      </c>
      <c r="E183" s="194">
        <v>5.963434418270545E-3</v>
      </c>
      <c r="F183" s="194">
        <v>0</v>
      </c>
      <c r="G183" s="194">
        <v>6.7672110185846692E-5</v>
      </c>
      <c r="H183" s="194">
        <v>1.0462222562398279E-6</v>
      </c>
      <c r="I183" s="194">
        <v>4.1521874855153504E-2</v>
      </c>
      <c r="J183" s="195">
        <v>2.0285605043533902E-3</v>
      </c>
    </row>
    <row r="184" spans="1:10">
      <c r="A184" s="118">
        <v>41973</v>
      </c>
      <c r="B184" s="194">
        <v>0.96925462852768607</v>
      </c>
      <c r="C184" s="194">
        <v>0</v>
      </c>
      <c r="D184" s="194">
        <v>0</v>
      </c>
      <c r="E184" s="194">
        <v>5.7094353044877802E-3</v>
      </c>
      <c r="F184" s="194">
        <v>0</v>
      </c>
      <c r="G184" s="194">
        <v>6.7886446635067669E-5</v>
      </c>
      <c r="H184" s="194">
        <v>9.9833128326894346E-7</v>
      </c>
      <c r="I184" s="194">
        <v>2.368380103364055E-2</v>
      </c>
      <c r="J184" s="195">
        <v>1.2832503562672187E-3</v>
      </c>
    </row>
    <row r="185" spans="1:10">
      <c r="A185" s="118">
        <v>42004</v>
      </c>
      <c r="B185" s="194">
        <v>0.9638952337912664</v>
      </c>
      <c r="C185" s="194">
        <v>0</v>
      </c>
      <c r="D185" s="194">
        <v>0</v>
      </c>
      <c r="E185" s="194">
        <v>5.29907022869273E-3</v>
      </c>
      <c r="F185" s="194">
        <v>0</v>
      </c>
      <c r="G185" s="194">
        <v>6.6665191542857543E-5</v>
      </c>
      <c r="H185" s="194">
        <v>9.8404438612394325E-7</v>
      </c>
      <c r="I185" s="194">
        <v>2.9465407164065205E-2</v>
      </c>
      <c r="J185" s="195">
        <v>1.2726395800466944E-3</v>
      </c>
    </row>
    <row r="186" spans="1:10">
      <c r="A186" s="118">
        <v>42035</v>
      </c>
      <c r="B186" s="194">
        <v>0.99294672704259024</v>
      </c>
      <c r="C186" s="194">
        <v>0</v>
      </c>
      <c r="D186" s="194">
        <v>0</v>
      </c>
      <c r="E186" s="194">
        <v>4.9809200665177989E-3</v>
      </c>
      <c r="F186" s="194">
        <v>0</v>
      </c>
      <c r="G186" s="194">
        <v>6.6103791467444074E-5</v>
      </c>
      <c r="H186" s="194">
        <v>9.7615636233189584E-7</v>
      </c>
      <c r="I186" s="194">
        <v>7.1844523278526162E-4</v>
      </c>
      <c r="J186" s="195">
        <v>1.2868277102770559E-3</v>
      </c>
    </row>
    <row r="187" spans="1:10">
      <c r="A187" s="118">
        <v>42063</v>
      </c>
      <c r="B187" s="194">
        <v>0.96702360339701399</v>
      </c>
      <c r="C187" s="194">
        <v>0</v>
      </c>
      <c r="D187" s="194">
        <v>0</v>
      </c>
      <c r="E187" s="194">
        <v>4.562086813410202E-3</v>
      </c>
      <c r="F187" s="194">
        <v>0</v>
      </c>
      <c r="G187" s="194">
        <v>6.375863984710612E-5</v>
      </c>
      <c r="H187" s="194">
        <v>9.5159420838179076E-7</v>
      </c>
      <c r="I187" s="194">
        <v>2.704074036344175E-2</v>
      </c>
      <c r="J187" s="195">
        <v>1.3088591920783249E-3</v>
      </c>
    </row>
    <row r="188" spans="1:10">
      <c r="A188" s="118">
        <v>42094</v>
      </c>
      <c r="B188" s="194">
        <v>0.9770504574893466</v>
      </c>
      <c r="C188" s="194">
        <v>0</v>
      </c>
      <c r="D188" s="194">
        <v>0</v>
      </c>
      <c r="E188" s="194">
        <v>4.1795460899707211E-3</v>
      </c>
      <c r="F188" s="194">
        <v>0</v>
      </c>
      <c r="G188" s="194">
        <v>5.7300277546337418E-5</v>
      </c>
      <c r="H188" s="194">
        <v>9.2268146989712116E-7</v>
      </c>
      <c r="I188" s="194">
        <v>1.7407011302376395E-2</v>
      </c>
      <c r="J188" s="195">
        <v>1.3047621592899199E-3</v>
      </c>
    </row>
    <row r="189" spans="1:10">
      <c r="A189" s="118">
        <v>42124</v>
      </c>
      <c r="B189" s="194">
        <v>0.992904409550731</v>
      </c>
      <c r="C189" s="194">
        <v>0</v>
      </c>
      <c r="D189" s="194">
        <v>0</v>
      </c>
      <c r="E189" s="194">
        <v>3.8019333607815695E-3</v>
      </c>
      <c r="F189" s="194">
        <v>0</v>
      </c>
      <c r="G189" s="194">
        <v>5.537860953076808E-5</v>
      </c>
      <c r="H189" s="194">
        <v>8.7894304117796408E-7</v>
      </c>
      <c r="I189" s="194">
        <v>1.9269920094725779E-3</v>
      </c>
      <c r="J189" s="195">
        <v>1.3104075264428838E-3</v>
      </c>
    </row>
    <row r="190" spans="1:10">
      <c r="A190" s="118">
        <v>42155</v>
      </c>
      <c r="B190" s="194">
        <v>0.96678604085166153</v>
      </c>
      <c r="C190" s="194">
        <v>0</v>
      </c>
      <c r="D190" s="194">
        <v>0</v>
      </c>
      <c r="E190" s="194">
        <v>3.2898346853790571E-3</v>
      </c>
      <c r="F190" s="194">
        <v>0</v>
      </c>
      <c r="G190" s="194">
        <v>5.1276469685340664E-5</v>
      </c>
      <c r="H190" s="194">
        <v>7.924910764137728E-7</v>
      </c>
      <c r="I190" s="194">
        <v>2.8613894081954958E-2</v>
      </c>
      <c r="J190" s="195">
        <v>1.2581614202427428E-3</v>
      </c>
    </row>
    <row r="191" spans="1:10">
      <c r="A191" s="118">
        <v>42185</v>
      </c>
      <c r="B191" s="194">
        <v>0.99498267015160635</v>
      </c>
      <c r="C191" s="194">
        <v>0</v>
      </c>
      <c r="D191" s="194">
        <v>0</v>
      </c>
      <c r="E191" s="194">
        <v>2.9663504485033096E-3</v>
      </c>
      <c r="F191" s="194">
        <v>0</v>
      </c>
      <c r="G191" s="194">
        <v>4.0911018231205914E-5</v>
      </c>
      <c r="H191" s="194">
        <v>7.8302823333883392E-7</v>
      </c>
      <c r="I191" s="194">
        <v>7.3013008782950664E-4</v>
      </c>
      <c r="J191" s="195">
        <v>1.2791552655964824E-3</v>
      </c>
    </row>
    <row r="192" spans="1:10">
      <c r="A192" s="118">
        <v>42216</v>
      </c>
      <c r="B192" s="194">
        <v>0.99527712131415047</v>
      </c>
      <c r="C192" s="194">
        <v>0</v>
      </c>
      <c r="D192" s="194">
        <v>0</v>
      </c>
      <c r="E192" s="194">
        <v>2.5934829678246072E-3</v>
      </c>
      <c r="F192" s="194">
        <v>0</v>
      </c>
      <c r="G192" s="194">
        <v>4.0633714490207791E-5</v>
      </c>
      <c r="H192" s="194">
        <v>6.6240471383944284E-7</v>
      </c>
      <c r="I192" s="194">
        <v>7.3620353029156527E-4</v>
      </c>
      <c r="J192" s="195">
        <v>1.3518960685292253E-3</v>
      </c>
    </row>
    <row r="193" spans="1:10">
      <c r="A193" s="118">
        <v>42247</v>
      </c>
      <c r="B193" s="194">
        <v>0.99437120262677925</v>
      </c>
      <c r="C193" s="194">
        <v>0</v>
      </c>
      <c r="D193" s="194">
        <v>0</v>
      </c>
      <c r="E193" s="194">
        <v>2.1576543493687932E-3</v>
      </c>
      <c r="F193" s="194">
        <v>0</v>
      </c>
      <c r="G193" s="194">
        <v>3.9714844553334127E-5</v>
      </c>
      <c r="H193" s="194">
        <v>5.9876715264918982E-7</v>
      </c>
      <c r="I193" s="194">
        <v>2.0910407666436194E-3</v>
      </c>
      <c r="J193" s="195">
        <v>1.3397886455023301E-3</v>
      </c>
    </row>
    <row r="194" spans="1:10">
      <c r="A194" s="118">
        <v>42277</v>
      </c>
      <c r="B194" s="194">
        <v>0.96321007425564775</v>
      </c>
      <c r="C194" s="194">
        <v>0</v>
      </c>
      <c r="D194" s="194">
        <v>0</v>
      </c>
      <c r="E194" s="194">
        <v>1.6808428262972675E-3</v>
      </c>
      <c r="F194" s="194">
        <v>0</v>
      </c>
      <c r="G194" s="194">
        <v>3.745244624547025E-5</v>
      </c>
      <c r="H194" s="194">
        <v>5.5443961719886986E-7</v>
      </c>
      <c r="I194" s="194">
        <v>3.378867017719079E-2</v>
      </c>
      <c r="J194" s="195">
        <v>1.2808831126173827E-3</v>
      </c>
    </row>
    <row r="195" spans="1:10">
      <c r="A195" s="118">
        <v>42308</v>
      </c>
      <c r="B195" s="194">
        <v>0.96176861792260926</v>
      </c>
      <c r="C195" s="194">
        <v>0</v>
      </c>
      <c r="D195" s="194">
        <v>0</v>
      </c>
      <c r="E195" s="194">
        <v>1.3486788097563931E-3</v>
      </c>
      <c r="F195" s="194">
        <v>0</v>
      </c>
      <c r="G195" s="194">
        <v>3.8695506561522412E-5</v>
      </c>
      <c r="H195" s="194">
        <v>5.6599324896207985E-7</v>
      </c>
      <c r="I195" s="194">
        <v>3.5496015209834919E-2</v>
      </c>
      <c r="J195" s="195">
        <v>1.3474265579889494E-3</v>
      </c>
    </row>
    <row r="196" spans="1:10">
      <c r="A196" s="118">
        <v>42338</v>
      </c>
      <c r="B196" s="194">
        <v>0.96095794345423069</v>
      </c>
      <c r="C196" s="194">
        <v>0</v>
      </c>
      <c r="D196" s="194">
        <v>0</v>
      </c>
      <c r="E196" s="194">
        <v>9.1983142289058428E-4</v>
      </c>
      <c r="F196" s="194">
        <v>0</v>
      </c>
      <c r="G196" s="194">
        <v>3.8227463109041131E-5</v>
      </c>
      <c r="H196" s="194">
        <v>5.4742259692482981E-7</v>
      </c>
      <c r="I196" s="194">
        <v>3.6651338846496545E-2</v>
      </c>
      <c r="J196" s="195">
        <v>1.4308923452598659E-3</v>
      </c>
    </row>
    <row r="197" spans="1:10">
      <c r="A197" s="118">
        <v>42369</v>
      </c>
      <c r="B197" s="194">
        <v>0.9425015598970703</v>
      </c>
      <c r="C197" s="194">
        <v>0</v>
      </c>
      <c r="D197" s="194">
        <v>0</v>
      </c>
      <c r="E197" s="194">
        <v>4.5533678266828465E-4</v>
      </c>
      <c r="F197" s="194">
        <v>0</v>
      </c>
      <c r="G197" s="194">
        <v>3.616841080982228E-5</v>
      </c>
      <c r="H197" s="194">
        <v>5.0825750743254445E-7</v>
      </c>
      <c r="I197" s="194">
        <v>5.5605404127112942E-2</v>
      </c>
      <c r="J197" s="195">
        <v>1.3998299429564495E-3</v>
      </c>
    </row>
    <row r="198" spans="1:10">
      <c r="A198" s="118">
        <v>42400</v>
      </c>
      <c r="B198" s="194">
        <v>0.95617218060566589</v>
      </c>
      <c r="C198" s="194">
        <v>0</v>
      </c>
      <c r="D198" s="194">
        <v>0</v>
      </c>
      <c r="E198" s="194">
        <v>0</v>
      </c>
      <c r="F198" s="194">
        <v>0</v>
      </c>
      <c r="G198" s="194">
        <v>3.5522080271785268E-5</v>
      </c>
      <c r="H198" s="194">
        <v>4.9953360298929284E-7</v>
      </c>
      <c r="I198" s="194">
        <v>4.2397857433507512E-2</v>
      </c>
      <c r="J198" s="195">
        <v>1.3939403469519084E-3</v>
      </c>
    </row>
    <row r="199" spans="1:10">
      <c r="A199" s="118">
        <v>42429</v>
      </c>
      <c r="B199" s="194">
        <v>0.95323757998263892</v>
      </c>
      <c r="C199" s="194">
        <v>0</v>
      </c>
      <c r="D199" s="194">
        <v>0</v>
      </c>
      <c r="E199" s="194">
        <v>0</v>
      </c>
      <c r="F199" s="194">
        <v>0</v>
      </c>
      <c r="G199" s="194">
        <v>3.4170866708502086E-5</v>
      </c>
      <c r="H199" s="194">
        <v>4.5680200010582482E-7</v>
      </c>
      <c r="I199" s="194">
        <v>4.5333589226937858E-2</v>
      </c>
      <c r="J199" s="195">
        <v>1.3942031217145112E-3</v>
      </c>
    </row>
    <row r="200" spans="1:10">
      <c r="A200" s="118">
        <v>42460</v>
      </c>
      <c r="B200" s="194">
        <v>0.96007983824724796</v>
      </c>
      <c r="C200" s="194">
        <v>0</v>
      </c>
      <c r="D200" s="194">
        <v>0</v>
      </c>
      <c r="E200" s="194">
        <v>0</v>
      </c>
      <c r="F200" s="194">
        <v>0</v>
      </c>
      <c r="G200" s="194">
        <v>3.287428989120611E-5</v>
      </c>
      <c r="H200" s="194">
        <v>4.3836524429622551E-7</v>
      </c>
      <c r="I200" s="194">
        <v>3.8538002413185141E-2</v>
      </c>
      <c r="J200" s="195">
        <v>1.3488466844311417E-3</v>
      </c>
    </row>
    <row r="201" spans="1:10">
      <c r="A201" s="118">
        <v>42490</v>
      </c>
      <c r="B201" s="194">
        <v>0.96326448244240803</v>
      </c>
      <c r="C201" s="194">
        <v>0</v>
      </c>
      <c r="D201" s="194">
        <v>0</v>
      </c>
      <c r="E201" s="194">
        <v>0</v>
      </c>
      <c r="F201" s="194">
        <v>0</v>
      </c>
      <c r="G201" s="194">
        <v>3.1752145512957176E-5</v>
      </c>
      <c r="H201" s="194">
        <v>4.2544044575870398E-7</v>
      </c>
      <c r="I201" s="194">
        <v>3.5394492353108903E-2</v>
      </c>
      <c r="J201" s="195">
        <v>1.3088476185245084E-3</v>
      </c>
    </row>
    <row r="202" spans="1:10">
      <c r="A202" s="118">
        <v>42521</v>
      </c>
      <c r="B202" s="194">
        <v>0.95795374075629214</v>
      </c>
      <c r="C202" s="194">
        <v>0</v>
      </c>
      <c r="D202" s="194">
        <v>0</v>
      </c>
      <c r="E202" s="194">
        <v>0</v>
      </c>
      <c r="F202" s="194">
        <v>0</v>
      </c>
      <c r="G202" s="194">
        <v>3.0465553989224426E-5</v>
      </c>
      <c r="H202" s="194">
        <v>4.0831929663499798E-7</v>
      </c>
      <c r="I202" s="194">
        <v>4.0739792459691539E-2</v>
      </c>
      <c r="J202" s="195">
        <v>1.2755929107304657E-3</v>
      </c>
    </row>
    <row r="203" spans="1:10">
      <c r="A203" s="118">
        <v>42551</v>
      </c>
      <c r="B203" s="194">
        <v>0.9417551943445639</v>
      </c>
      <c r="C203" s="194">
        <v>0</v>
      </c>
      <c r="D203" s="194">
        <v>0</v>
      </c>
      <c r="E203" s="194">
        <v>0</v>
      </c>
      <c r="F203" s="194">
        <v>0</v>
      </c>
      <c r="G203" s="194">
        <v>3.0077639624293255E-5</v>
      </c>
      <c r="H203" s="194">
        <v>3.1427797126107406E-7</v>
      </c>
      <c r="I203" s="194">
        <v>5.6937183410879194E-2</v>
      </c>
      <c r="J203" s="195">
        <v>1.2772303269613244E-3</v>
      </c>
    </row>
    <row r="204" spans="1:10">
      <c r="A204" s="118">
        <v>42582</v>
      </c>
      <c r="B204" s="194">
        <v>0.94306690841422547</v>
      </c>
      <c r="C204" s="194">
        <v>0</v>
      </c>
      <c r="D204" s="194">
        <v>0</v>
      </c>
      <c r="E204" s="194">
        <v>0</v>
      </c>
      <c r="F204" s="194">
        <v>0</v>
      </c>
      <c r="G204" s="194">
        <v>2.9342214087885476E-5</v>
      </c>
      <c r="H204" s="194">
        <v>3.1351836042367905E-7</v>
      </c>
      <c r="I204" s="194">
        <v>5.558858050241508E-2</v>
      </c>
      <c r="J204" s="195">
        <v>1.3148553509111588E-3</v>
      </c>
    </row>
    <row r="205" spans="1:10">
      <c r="A205" s="118">
        <v>42613</v>
      </c>
      <c r="B205" s="194">
        <v>0.94901153991229514</v>
      </c>
      <c r="C205" s="194">
        <v>0</v>
      </c>
      <c r="D205" s="194">
        <v>0</v>
      </c>
      <c r="E205" s="194">
        <v>0</v>
      </c>
      <c r="F205" s="194">
        <v>0</v>
      </c>
      <c r="G205" s="194">
        <v>2.8592853838289318E-5</v>
      </c>
      <c r="H205" s="194">
        <v>3.0674347995790916E-7</v>
      </c>
      <c r="I205" s="194">
        <v>4.9634452902358149E-2</v>
      </c>
      <c r="J205" s="195">
        <v>1.3251075880286653E-3</v>
      </c>
    </row>
    <row r="206" spans="1:10">
      <c r="A206" s="118">
        <v>42643</v>
      </c>
      <c r="B206" s="194">
        <v>0.94955903011503684</v>
      </c>
      <c r="C206" s="194">
        <v>0</v>
      </c>
      <c r="D206" s="194">
        <v>0</v>
      </c>
      <c r="E206" s="194">
        <v>0</v>
      </c>
      <c r="F206" s="194">
        <v>0</v>
      </c>
      <c r="G206" s="194">
        <v>2.7365936088747555E-5</v>
      </c>
      <c r="H206" s="194">
        <v>2.9590877340684533E-7</v>
      </c>
      <c r="I206" s="194">
        <v>4.9045824168405382E-2</v>
      </c>
      <c r="J206" s="195">
        <v>1.3674838716957408E-3</v>
      </c>
    </row>
    <row r="207" spans="1:10">
      <c r="A207" s="118">
        <v>42674</v>
      </c>
      <c r="B207" s="194">
        <v>0.94602270297372038</v>
      </c>
      <c r="C207" s="194">
        <v>0</v>
      </c>
      <c r="D207" s="194">
        <v>0</v>
      </c>
      <c r="E207" s="194">
        <v>0</v>
      </c>
      <c r="F207" s="194">
        <v>0</v>
      </c>
      <c r="G207" s="194">
        <v>1.3434600496670207E-5</v>
      </c>
      <c r="H207" s="194">
        <v>2.8879510114091802E-7</v>
      </c>
      <c r="I207" s="194">
        <v>5.2680004191612388E-2</v>
      </c>
      <c r="J207" s="195">
        <v>1.2835694390694874E-3</v>
      </c>
    </row>
    <row r="208" spans="1:10">
      <c r="A208" s="118">
        <v>42704</v>
      </c>
      <c r="B208" s="194">
        <v>0.94665667191784442</v>
      </c>
      <c r="C208" s="194">
        <v>0</v>
      </c>
      <c r="D208" s="194">
        <v>0</v>
      </c>
      <c r="E208" s="194">
        <v>0</v>
      </c>
      <c r="F208" s="194">
        <v>0</v>
      </c>
      <c r="G208" s="194">
        <v>1.2861953230639568E-5</v>
      </c>
      <c r="H208" s="194">
        <v>2.6872103785311135E-7</v>
      </c>
      <c r="I208" s="194">
        <v>5.2061701984803054E-2</v>
      </c>
      <c r="J208" s="195">
        <v>1.2684954230841878E-3</v>
      </c>
    </row>
    <row r="209" spans="1:10">
      <c r="A209" s="118">
        <v>42735</v>
      </c>
      <c r="B209" s="194">
        <v>0.94774099283094304</v>
      </c>
      <c r="C209" s="194">
        <v>0</v>
      </c>
      <c r="D209" s="194">
        <v>0</v>
      </c>
      <c r="E209" s="194">
        <v>0</v>
      </c>
      <c r="F209" s="194">
        <v>0</v>
      </c>
      <c r="G209" s="194">
        <v>1.2535149400485145E-5</v>
      </c>
      <c r="H209" s="194">
        <v>2.7022132251399301E-7</v>
      </c>
      <c r="I209" s="194">
        <v>5.0968040816376584E-2</v>
      </c>
      <c r="J209" s="195">
        <v>1.2781609819574463E-3</v>
      </c>
    </row>
    <row r="210" spans="1:10">
      <c r="A210" s="118">
        <v>42766</v>
      </c>
      <c r="B210" s="194">
        <v>0.96326170065362071</v>
      </c>
      <c r="C210" s="194">
        <v>0</v>
      </c>
      <c r="D210" s="194">
        <v>0</v>
      </c>
      <c r="E210" s="194">
        <v>0</v>
      </c>
      <c r="F210" s="194">
        <v>0</v>
      </c>
      <c r="G210" s="194">
        <v>1.2873071960260278E-5</v>
      </c>
      <c r="H210" s="194">
        <v>3.0500012896939176E-7</v>
      </c>
      <c r="I210" s="194">
        <v>3.5382285404757283E-2</v>
      </c>
      <c r="J210" s="195">
        <v>1.3428358695328892E-3</v>
      </c>
    </row>
    <row r="211" spans="1:10">
      <c r="A211" s="118">
        <v>42794</v>
      </c>
      <c r="B211" s="194">
        <v>0.9652909505204631</v>
      </c>
      <c r="C211" s="194">
        <v>0</v>
      </c>
      <c r="D211" s="194">
        <v>0</v>
      </c>
      <c r="E211" s="194">
        <v>0</v>
      </c>
      <c r="F211" s="194">
        <v>0</v>
      </c>
      <c r="G211" s="194">
        <v>1.2090122691200598E-5</v>
      </c>
      <c r="H211" s="194">
        <v>2.9827360966610427E-7</v>
      </c>
      <c r="I211" s="194">
        <v>3.3379102028236789E-2</v>
      </c>
      <c r="J211" s="195">
        <v>1.3175590549993181E-3</v>
      </c>
    </row>
    <row r="212" spans="1:10">
      <c r="A212" s="118">
        <v>42825</v>
      </c>
      <c r="B212" s="194">
        <v>0.95752927517097697</v>
      </c>
      <c r="C212" s="194">
        <v>0</v>
      </c>
      <c r="D212" s="194">
        <v>0</v>
      </c>
      <c r="E212" s="194">
        <v>0</v>
      </c>
      <c r="F212" s="194">
        <v>0</v>
      </c>
      <c r="G212" s="194">
        <v>1.1423655437255098E-5</v>
      </c>
      <c r="H212" s="194">
        <v>2.880084205171398E-7</v>
      </c>
      <c r="I212" s="194">
        <v>4.1117721215829246E-2</v>
      </c>
      <c r="J212" s="195">
        <v>1.3412919493360704E-3</v>
      </c>
    </row>
    <row r="213" spans="1:10">
      <c r="A213" s="118">
        <v>42855</v>
      </c>
      <c r="B213" s="194">
        <v>0.96969705127132022</v>
      </c>
      <c r="C213" s="194">
        <v>0</v>
      </c>
      <c r="D213" s="194">
        <v>0</v>
      </c>
      <c r="E213" s="194">
        <v>0</v>
      </c>
      <c r="F213" s="194">
        <v>0</v>
      </c>
      <c r="G213" s="194">
        <v>1.0666814660377336E-5</v>
      </c>
      <c r="H213" s="194">
        <v>2.8527118330187996E-7</v>
      </c>
      <c r="I213" s="194">
        <v>2.8990869931202812E-2</v>
      </c>
      <c r="J213" s="195">
        <v>1.3011267116333821E-3</v>
      </c>
    </row>
    <row r="214" spans="1:10">
      <c r="A214" s="118">
        <v>42886</v>
      </c>
      <c r="B214" s="194">
        <v>0.96937466134936368</v>
      </c>
      <c r="C214" s="194">
        <v>0</v>
      </c>
      <c r="D214" s="194">
        <v>0</v>
      </c>
      <c r="E214" s="194">
        <v>0</v>
      </c>
      <c r="F214" s="194">
        <v>0</v>
      </c>
      <c r="G214" s="194">
        <v>1.0381133428236251E-5</v>
      </c>
      <c r="H214" s="194">
        <v>2.847201145549714E-7</v>
      </c>
      <c r="I214" s="194">
        <v>2.933381595897902E-2</v>
      </c>
      <c r="J214" s="195">
        <v>1.2808568381146455E-3</v>
      </c>
    </row>
    <row r="215" spans="1:10">
      <c r="A215" s="118">
        <v>42916</v>
      </c>
      <c r="B215" s="194">
        <v>0.9690788205018519</v>
      </c>
      <c r="C215" s="194">
        <v>0</v>
      </c>
      <c r="D215" s="194">
        <v>0</v>
      </c>
      <c r="E215" s="194">
        <v>0</v>
      </c>
      <c r="F215" s="194">
        <v>0</v>
      </c>
      <c r="G215" s="194">
        <v>1.0053104004866898E-5</v>
      </c>
      <c r="H215" s="194">
        <v>2.8219419953701063E-7</v>
      </c>
      <c r="I215" s="194">
        <v>2.9586293221373756E-2</v>
      </c>
      <c r="J215" s="195">
        <v>1.3245509785698574E-3</v>
      </c>
    </row>
    <row r="216" spans="1:10">
      <c r="A216" s="118">
        <v>42947</v>
      </c>
      <c r="B216" s="194">
        <v>0.96460563470051086</v>
      </c>
      <c r="C216" s="194">
        <v>0</v>
      </c>
      <c r="D216" s="194">
        <v>0</v>
      </c>
      <c r="E216" s="194">
        <v>0</v>
      </c>
      <c r="F216" s="194">
        <v>0</v>
      </c>
      <c r="G216" s="194">
        <v>9.5185065488904858E-6</v>
      </c>
      <c r="H216" s="194">
        <v>2.6560878295108299E-7</v>
      </c>
      <c r="I216" s="194">
        <v>3.410111952371464E-2</v>
      </c>
      <c r="J216" s="195">
        <v>1.2834616604425078E-3</v>
      </c>
    </row>
    <row r="217" spans="1:10">
      <c r="A217" s="118">
        <v>42978</v>
      </c>
      <c r="B217" s="194">
        <v>0.9652432595780176</v>
      </c>
      <c r="C217" s="194">
        <v>0</v>
      </c>
      <c r="D217" s="194">
        <v>0</v>
      </c>
      <c r="E217" s="194">
        <v>0</v>
      </c>
      <c r="F217" s="194">
        <v>0</v>
      </c>
      <c r="G217" s="194">
        <v>8.9607513126147835E-6</v>
      </c>
      <c r="H217" s="194">
        <v>2.5988677126981146E-7</v>
      </c>
      <c r="I217" s="194">
        <v>3.3487198046881335E-2</v>
      </c>
      <c r="J217" s="195">
        <v>1.260321737017083E-3</v>
      </c>
    </row>
    <row r="218" spans="1:10">
      <c r="A218" s="118">
        <v>43008</v>
      </c>
      <c r="B218" s="194">
        <v>0.96547296173724628</v>
      </c>
      <c r="C218" s="194">
        <v>0</v>
      </c>
      <c r="D218" s="194">
        <v>0</v>
      </c>
      <c r="E218" s="194">
        <v>0</v>
      </c>
      <c r="F218" s="194">
        <v>0</v>
      </c>
      <c r="G218" s="194">
        <v>8.6344352697134887E-6</v>
      </c>
      <c r="H218" s="194">
        <v>2.5368343215657911E-7</v>
      </c>
      <c r="I218" s="194">
        <v>3.3263549257820491E-2</v>
      </c>
      <c r="J218" s="195">
        <v>1.2546008862313342E-3</v>
      </c>
    </row>
    <row r="219" spans="1:10">
      <c r="A219" s="118">
        <v>43039</v>
      </c>
      <c r="B219" s="194">
        <v>0.96564765269690167</v>
      </c>
      <c r="C219" s="194">
        <v>0</v>
      </c>
      <c r="D219" s="194">
        <v>0</v>
      </c>
      <c r="E219" s="194">
        <v>0</v>
      </c>
      <c r="F219" s="194">
        <v>0</v>
      </c>
      <c r="G219" s="194">
        <v>8.1873133492630643E-6</v>
      </c>
      <c r="H219" s="194">
        <v>2.4949257891853441E-7</v>
      </c>
      <c r="I219" s="194">
        <v>3.3053236953951889E-2</v>
      </c>
      <c r="J219" s="195">
        <v>1.2906735432183384E-3</v>
      </c>
    </row>
    <row r="220" spans="1:10">
      <c r="A220" s="118">
        <v>43069</v>
      </c>
      <c r="B220" s="194">
        <v>0.96605698633343995</v>
      </c>
      <c r="C220" s="194">
        <v>0</v>
      </c>
      <c r="D220" s="194">
        <v>0</v>
      </c>
      <c r="E220" s="194">
        <v>0</v>
      </c>
      <c r="F220" s="194">
        <v>0</v>
      </c>
      <c r="G220" s="194">
        <v>7.875250340725009E-6</v>
      </c>
      <c r="H220" s="194">
        <v>2.4756626756814724E-7</v>
      </c>
      <c r="I220" s="194">
        <v>3.2702933183805662E-2</v>
      </c>
      <c r="J220" s="195">
        <v>1.2319576661460308E-3</v>
      </c>
    </row>
    <row r="221" spans="1:10">
      <c r="A221" s="118">
        <v>43100</v>
      </c>
      <c r="B221" s="194">
        <v>0.94687902904469767</v>
      </c>
      <c r="C221" s="194"/>
      <c r="D221" s="194">
        <v>0</v>
      </c>
      <c r="E221" s="194">
        <v>0</v>
      </c>
      <c r="F221" s="194">
        <v>0</v>
      </c>
      <c r="G221" s="194">
        <v>7.5633986231657348E-6</v>
      </c>
      <c r="H221" s="194">
        <v>2.3862212208591955E-7</v>
      </c>
      <c r="I221" s="194">
        <v>5.1837177443196505E-2</v>
      </c>
      <c r="J221" s="195">
        <v>1.2759914913606887E-3</v>
      </c>
    </row>
    <row r="222" spans="1:10">
      <c r="A222" s="118">
        <v>43131</v>
      </c>
      <c r="B222" s="194">
        <v>0.95193405853624413</v>
      </c>
      <c r="C222" s="194"/>
      <c r="D222" s="194">
        <v>0</v>
      </c>
      <c r="E222" s="194">
        <v>0</v>
      </c>
      <c r="F222" s="194">
        <v>0</v>
      </c>
      <c r="G222" s="194">
        <v>7.1842544761215107E-6</v>
      </c>
      <c r="H222" s="194">
        <v>2.3492022601897501E-7</v>
      </c>
      <c r="I222" s="194">
        <v>4.6768552614961288E-2</v>
      </c>
      <c r="J222" s="195">
        <v>1.2899696740925506E-3</v>
      </c>
    </row>
    <row r="223" spans="1:10">
      <c r="A223" s="118">
        <v>43159</v>
      </c>
      <c r="B223" s="194">
        <v>0.9515292208157895</v>
      </c>
      <c r="C223" s="194"/>
      <c r="D223" s="194">
        <v>0</v>
      </c>
      <c r="E223" s="194">
        <v>0</v>
      </c>
      <c r="F223" s="194">
        <v>0</v>
      </c>
      <c r="G223" s="194">
        <v>6.8093803542274174E-6</v>
      </c>
      <c r="H223" s="194">
        <v>2.1459831133714327E-7</v>
      </c>
      <c r="I223" s="194">
        <v>4.7199215063789712E-2</v>
      </c>
      <c r="J223" s="195">
        <v>1.2645401417553533E-3</v>
      </c>
    </row>
    <row r="224" spans="1:10">
      <c r="A224" s="118">
        <v>43190</v>
      </c>
      <c r="B224" s="194">
        <v>0.95317102813559496</v>
      </c>
      <c r="C224" s="194"/>
      <c r="D224" s="194">
        <v>0</v>
      </c>
      <c r="E224" s="194">
        <v>0</v>
      </c>
      <c r="F224" s="194">
        <v>0</v>
      </c>
      <c r="G224" s="194">
        <v>6.5107174888445639E-6</v>
      </c>
      <c r="H224" s="194">
        <v>1.8511713210928899E-7</v>
      </c>
      <c r="I224" s="194">
        <v>4.5610124405863955E-2</v>
      </c>
      <c r="J224" s="195">
        <v>1.2121516239202133E-3</v>
      </c>
    </row>
    <row r="225" spans="1:12">
      <c r="A225" s="118">
        <v>43220</v>
      </c>
      <c r="B225" s="194">
        <v>0.95011913847686991</v>
      </c>
      <c r="C225" s="194"/>
      <c r="D225" s="194">
        <v>0</v>
      </c>
      <c r="E225" s="194">
        <v>0</v>
      </c>
      <c r="F225" s="194">
        <v>0</v>
      </c>
      <c r="G225" s="194">
        <v>6.2716346271333608E-6</v>
      </c>
      <c r="H225" s="194">
        <v>1.7190896402134791E-7</v>
      </c>
      <c r="I225" s="194">
        <v>4.8653279412622111E-2</v>
      </c>
      <c r="J225" s="195">
        <v>1.2211385669167463E-3</v>
      </c>
    </row>
    <row r="226" spans="1:12">
      <c r="A226" s="118">
        <v>43251</v>
      </c>
      <c r="B226" s="194">
        <v>0.95269581386732383</v>
      </c>
      <c r="C226" s="194"/>
      <c r="D226" s="194">
        <v>0</v>
      </c>
      <c r="E226" s="194">
        <v>0</v>
      </c>
      <c r="F226" s="194">
        <v>0</v>
      </c>
      <c r="G226" s="194">
        <v>5.8968122914401647E-6</v>
      </c>
      <c r="H226" s="194">
        <v>1.652318560878048E-7</v>
      </c>
      <c r="I226" s="194">
        <v>4.6070320331461162E-2</v>
      </c>
      <c r="J226" s="195">
        <v>1.2278037570672019E-3</v>
      </c>
    </row>
    <row r="227" spans="1:12">
      <c r="A227" s="118">
        <v>43281</v>
      </c>
      <c r="B227" s="194">
        <v>0.95316469724327069</v>
      </c>
      <c r="C227" s="194"/>
      <c r="D227" s="194">
        <v>0</v>
      </c>
      <c r="E227" s="194">
        <v>0</v>
      </c>
      <c r="F227" s="194">
        <v>0</v>
      </c>
      <c r="G227" s="194">
        <v>4.7413727389672049E-6</v>
      </c>
      <c r="H227" s="194">
        <v>1.6346430186120817E-7</v>
      </c>
      <c r="I227" s="194">
        <v>4.5613019640318178E-2</v>
      </c>
      <c r="J227" s="195">
        <v>1.2173782793703676E-3</v>
      </c>
    </row>
    <row r="228" spans="1:12">
      <c r="A228" s="118">
        <v>43312</v>
      </c>
      <c r="B228" s="194">
        <v>0.95233564840378426</v>
      </c>
      <c r="C228" s="194"/>
      <c r="D228" s="194">
        <v>0</v>
      </c>
      <c r="E228" s="194">
        <v>0</v>
      </c>
      <c r="F228" s="194">
        <v>0</v>
      </c>
      <c r="G228" s="194">
        <v>4.4596552159163784E-6</v>
      </c>
      <c r="H228" s="194">
        <v>1.446388641260793E-7</v>
      </c>
      <c r="I228" s="194">
        <v>4.6464166203633847E-2</v>
      </c>
      <c r="J228" s="195">
        <v>1.1955810985016314E-3</v>
      </c>
    </row>
    <row r="229" spans="1:12">
      <c r="A229" s="118">
        <v>43343</v>
      </c>
      <c r="B229" s="194">
        <v>0.95455103940204578</v>
      </c>
      <c r="C229" s="194"/>
      <c r="D229" s="194">
        <v>0</v>
      </c>
      <c r="E229" s="194">
        <v>0</v>
      </c>
      <c r="F229" s="194">
        <v>0</v>
      </c>
      <c r="G229" s="194">
        <v>0</v>
      </c>
      <c r="H229" s="194">
        <v>1.2012652733934806E-7</v>
      </c>
      <c r="I229" s="194">
        <v>4.4269037134636202E-2</v>
      </c>
      <c r="J229" s="195">
        <v>1.1755076372396201E-3</v>
      </c>
    </row>
    <row r="230" spans="1:12">
      <c r="A230" s="118">
        <v>43373</v>
      </c>
      <c r="B230" s="194">
        <v>0.95503634478162802</v>
      </c>
      <c r="C230" s="194"/>
      <c r="D230" s="194">
        <v>0</v>
      </c>
      <c r="E230" s="194">
        <v>0</v>
      </c>
      <c r="F230" s="194">
        <v>0</v>
      </c>
      <c r="G230" s="194">
        <v>0</v>
      </c>
      <c r="H230" s="194">
        <v>1.2012652733934806E-7</v>
      </c>
      <c r="I230" s="194">
        <v>4.3796845041313398E-2</v>
      </c>
      <c r="J230" s="195">
        <v>1.1629691803886843E-3</v>
      </c>
    </row>
    <row r="231" spans="1:12">
      <c r="A231" s="118">
        <v>43404</v>
      </c>
      <c r="B231" s="194">
        <v>0.95774404274388525</v>
      </c>
      <c r="C231" s="194"/>
      <c r="D231" s="194">
        <v>0</v>
      </c>
      <c r="E231" s="194">
        <v>0</v>
      </c>
      <c r="F231" s="194">
        <v>0</v>
      </c>
      <c r="G231" s="194">
        <v>3.7708591263701148E-6</v>
      </c>
      <c r="H231" s="194">
        <v>4.9895237209170065E-8</v>
      </c>
      <c r="I231" s="194">
        <v>4.1085969586689849E-2</v>
      </c>
      <c r="J231" s="195">
        <v>1.166166915061319E-3</v>
      </c>
      <c r="L231" s="103"/>
    </row>
    <row r="232" spans="1:12">
      <c r="A232" s="118">
        <v>43434</v>
      </c>
      <c r="B232" s="194">
        <v>0.95741782107652829</v>
      </c>
      <c r="C232" s="194"/>
      <c r="D232" s="194">
        <v>0</v>
      </c>
      <c r="E232" s="194">
        <v>0</v>
      </c>
      <c r="F232" s="194">
        <v>0</v>
      </c>
      <c r="G232" s="194">
        <v>3.7760799842991944E-6</v>
      </c>
      <c r="H232" s="194">
        <v>4.9467489283382346E-8</v>
      </c>
      <c r="I232" s="194">
        <v>4.1377546091885396E-2</v>
      </c>
      <c r="J232" s="195">
        <v>1.2008072841125242E-3</v>
      </c>
      <c r="L232" s="248"/>
    </row>
    <row r="233" spans="1:12">
      <c r="A233" s="118">
        <v>43435</v>
      </c>
      <c r="B233" s="194">
        <v>0.94667619672502301</v>
      </c>
      <c r="C233" s="194"/>
      <c r="D233" s="194">
        <v>0</v>
      </c>
      <c r="E233" s="194">
        <v>0</v>
      </c>
      <c r="F233" s="194">
        <v>0</v>
      </c>
      <c r="G233" s="194">
        <v>3.7557030476554295E-6</v>
      </c>
      <c r="H233" s="194">
        <v>4.9200546872404607E-8</v>
      </c>
      <c r="I233" s="194">
        <v>5.2151894111442214E-2</v>
      </c>
      <c r="J233" s="195">
        <v>1.168104259940206E-3</v>
      </c>
      <c r="L233" s="248"/>
    </row>
    <row r="234" spans="1:12">
      <c r="A234" s="118">
        <v>43496</v>
      </c>
      <c r="B234" s="194">
        <v>0.9500903985551995</v>
      </c>
      <c r="C234" s="194"/>
      <c r="D234" s="194">
        <v>0</v>
      </c>
      <c r="E234" s="194">
        <v>0</v>
      </c>
      <c r="F234" s="194">
        <v>0</v>
      </c>
      <c r="G234" s="194">
        <v>3.7026542504047894E-6</v>
      </c>
      <c r="H234" s="194">
        <v>2.8850793754754136E-8</v>
      </c>
      <c r="I234" s="194">
        <v>4.8703984309059908E-2</v>
      </c>
      <c r="J234" s="195">
        <v>1.2018856306964532E-3</v>
      </c>
    </row>
    <row r="235" spans="1:12">
      <c r="A235" s="118">
        <v>43524</v>
      </c>
      <c r="B235" s="194">
        <v>0.9510323160173384</v>
      </c>
      <c r="C235" s="194"/>
      <c r="D235" s="194">
        <v>0</v>
      </c>
      <c r="E235" s="194">
        <v>0</v>
      </c>
      <c r="F235" s="194">
        <v>0</v>
      </c>
      <c r="G235" s="194">
        <v>3.6327745880708551E-6</v>
      </c>
      <c r="H235" s="194">
        <v>4.7590156657576785E-8</v>
      </c>
      <c r="I235" s="194">
        <v>4.7784801002257161E-2</v>
      </c>
      <c r="J235" s="195">
        <v>1.1792026156597357E-3</v>
      </c>
      <c r="L235" s="260"/>
    </row>
    <row r="236" spans="1:12">
      <c r="A236" s="118">
        <v>43555</v>
      </c>
      <c r="B236" s="194">
        <v>0.95154513930902496</v>
      </c>
      <c r="C236" s="194"/>
      <c r="D236" s="194">
        <v>0</v>
      </c>
      <c r="E236" s="194">
        <v>0</v>
      </c>
      <c r="F236" s="194">
        <v>0</v>
      </c>
      <c r="G236" s="194">
        <v>3.3830852168325453E-6</v>
      </c>
      <c r="H236" s="194">
        <v>2.7324478743625164E-8</v>
      </c>
      <c r="I236" s="194">
        <v>4.7247336639490906E-2</v>
      </c>
      <c r="J236" s="195">
        <v>1.2041136417885786E-3</v>
      </c>
    </row>
    <row r="237" spans="1:12">
      <c r="A237" s="118">
        <v>43585</v>
      </c>
      <c r="B237" s="194">
        <v>0.95160746352149339</v>
      </c>
      <c r="C237" s="194"/>
      <c r="D237" s="194">
        <v>0</v>
      </c>
      <c r="E237" s="194">
        <v>0</v>
      </c>
      <c r="F237" s="194">
        <v>0</v>
      </c>
      <c r="G237" s="194">
        <v>3.3379939739650747E-6</v>
      </c>
      <c r="H237" s="194">
        <v>2.6888211674432839E-9</v>
      </c>
      <c r="I237" s="194">
        <v>4.7266971301574152E-2</v>
      </c>
      <c r="J237" s="195">
        <v>1.1222244941374079E-3</v>
      </c>
    </row>
    <row r="238" spans="1:12">
      <c r="A238" s="118">
        <v>43616</v>
      </c>
      <c r="B238" s="194">
        <v>0.95162732746623924</v>
      </c>
      <c r="C238" s="194"/>
      <c r="D238" s="194">
        <v>0</v>
      </c>
      <c r="E238" s="194">
        <v>0</v>
      </c>
      <c r="F238" s="194">
        <v>0</v>
      </c>
      <c r="G238" s="194">
        <v>3.2924911758290272E-6</v>
      </c>
      <c r="H238" s="194">
        <v>2.6847636397013963E-9</v>
      </c>
      <c r="I238" s="194">
        <v>4.7195643743738282E-2</v>
      </c>
      <c r="J238" s="195">
        <v>1.173733614082921E-3</v>
      </c>
    </row>
    <row r="239" spans="1:12">
      <c r="A239" s="118">
        <v>43646</v>
      </c>
      <c r="B239" s="194">
        <v>0.95029610904182238</v>
      </c>
      <c r="C239" s="194"/>
      <c r="D239" s="194">
        <v>0</v>
      </c>
      <c r="E239" s="194">
        <v>0</v>
      </c>
      <c r="F239" s="194">
        <v>0</v>
      </c>
      <c r="G239" s="194">
        <v>3.1589240611220476E-6</v>
      </c>
      <c r="H239" s="194">
        <v>5.2242685145624127E-9</v>
      </c>
      <c r="I239" s="194">
        <v>4.8556117277782765E-2</v>
      </c>
      <c r="J239" s="195">
        <v>1.1446095320650569E-3</v>
      </c>
    </row>
    <row r="240" spans="1:12">
      <c r="A240" s="118">
        <v>43677</v>
      </c>
      <c r="B240" s="194">
        <v>0.94153800557363221</v>
      </c>
      <c r="C240" s="194"/>
      <c r="D240" s="194">
        <v>0</v>
      </c>
      <c r="E240" s="194">
        <v>0</v>
      </c>
      <c r="F240" s="194">
        <v>0</v>
      </c>
      <c r="G240" s="194">
        <v>3.0418025547951043E-6</v>
      </c>
      <c r="H240" s="194">
        <v>5.1081731577232323E-9</v>
      </c>
      <c r="I240" s="194">
        <v>5.7340410606654624E-2</v>
      </c>
      <c r="J240" s="195">
        <v>1.118536908985353E-3</v>
      </c>
    </row>
    <row r="241" spans="1:10">
      <c r="A241" s="118">
        <v>43708</v>
      </c>
      <c r="B241" s="194">
        <v>0.94197759423556249</v>
      </c>
      <c r="C241" s="194"/>
      <c r="D241" s="194">
        <v>0</v>
      </c>
      <c r="E241" s="194">
        <v>0</v>
      </c>
      <c r="F241" s="194">
        <v>0</v>
      </c>
      <c r="G241" s="194">
        <v>2.941127242570622E-6</v>
      </c>
      <c r="H241" s="194">
        <v>5.0679879123000679E-9</v>
      </c>
      <c r="I241" s="194">
        <v>5.6889322046861084E-2</v>
      </c>
      <c r="J241" s="195">
        <v>1.1301375223460636E-3</v>
      </c>
    </row>
    <row r="242" spans="1:10">
      <c r="A242" s="118">
        <v>43738</v>
      </c>
      <c r="B242" s="194">
        <v>0.93812545934511804</v>
      </c>
      <c r="C242" s="194"/>
      <c r="D242" s="194">
        <v>0</v>
      </c>
      <c r="E242" s="194">
        <v>0</v>
      </c>
      <c r="F242" s="194">
        <v>0</v>
      </c>
      <c r="G242" s="194">
        <v>2.9797436665483906E-6</v>
      </c>
      <c r="H242" s="194">
        <v>5.1921433788609996E-9</v>
      </c>
      <c r="I242" s="194">
        <v>6.0713732110296223E-2</v>
      </c>
      <c r="J242" s="195">
        <v>1.1578236087758183E-3</v>
      </c>
    </row>
    <row r="243" spans="1:10">
      <c r="A243" s="118">
        <v>43769</v>
      </c>
      <c r="B243" s="194">
        <v>0.93825599879542876</v>
      </c>
      <c r="C243" s="194"/>
      <c r="D243" s="194">
        <v>0</v>
      </c>
      <c r="E243" s="194">
        <v>0</v>
      </c>
      <c r="F243" s="194">
        <v>0</v>
      </c>
      <c r="G243" s="194">
        <v>2.9279446002522273E-6</v>
      </c>
      <c r="H243" s="194">
        <v>5.1593474751933712E-9</v>
      </c>
      <c r="I243" s="194">
        <v>6.0618123549498353E-2</v>
      </c>
      <c r="J243" s="195">
        <v>1.1229445511252356E-3</v>
      </c>
    </row>
    <row r="244" spans="1:10">
      <c r="A244" s="118">
        <v>43799</v>
      </c>
      <c r="B244" s="194">
        <v>0.93881472658073328</v>
      </c>
      <c r="C244" s="194"/>
      <c r="D244" s="194">
        <v>0</v>
      </c>
      <c r="E244" s="194">
        <v>0</v>
      </c>
      <c r="F244" s="194">
        <v>0</v>
      </c>
      <c r="G244" s="194">
        <v>2.8573711748494908E-6</v>
      </c>
      <c r="H244" s="194">
        <v>5.1113131740890462E-9</v>
      </c>
      <c r="I244" s="194">
        <v>6.0053759700589994E-2</v>
      </c>
      <c r="J244" s="195">
        <v>1.1286512361888862E-3</v>
      </c>
    </row>
    <row r="245" spans="1:10">
      <c r="A245" s="118">
        <v>43830</v>
      </c>
      <c r="B245" s="194">
        <v>0.94291624434200694</v>
      </c>
      <c r="C245" s="194"/>
      <c r="D245" s="194">
        <v>0</v>
      </c>
      <c r="E245" s="194">
        <v>0</v>
      </c>
      <c r="F245" s="194">
        <v>0</v>
      </c>
      <c r="G245" s="194">
        <v>2.9150688065594424E-6</v>
      </c>
      <c r="H245" s="194">
        <v>5.2460183859409078E-9</v>
      </c>
      <c r="I245" s="194">
        <v>5.5922869258587651E-2</v>
      </c>
      <c r="J245" s="195">
        <v>1.1579660845804939E-3</v>
      </c>
    </row>
    <row r="246" spans="1:10">
      <c r="A246" s="118">
        <v>43861</v>
      </c>
      <c r="B246" s="194">
        <v>0.91433198548901684</v>
      </c>
      <c r="C246" s="194"/>
      <c r="D246" s="194">
        <v>0</v>
      </c>
      <c r="E246" s="194">
        <v>0</v>
      </c>
      <c r="F246" s="194">
        <v>0</v>
      </c>
      <c r="G246" s="194">
        <v>2.7197732429509172E-6</v>
      </c>
      <c r="H246" s="194">
        <v>4.9992605083746016E-9</v>
      </c>
      <c r="I246" s="194">
        <v>8.4554496896052267E-2</v>
      </c>
      <c r="J246" s="195">
        <v>1.1107928424276005E-3</v>
      </c>
    </row>
    <row r="247" spans="1:10">
      <c r="A247" s="118">
        <v>43890</v>
      </c>
      <c r="B247" s="194">
        <v>0.91847972499690511</v>
      </c>
      <c r="C247" s="194"/>
      <c r="D247" s="194">
        <v>0</v>
      </c>
      <c r="E247" s="194">
        <v>0</v>
      </c>
      <c r="F247" s="194">
        <v>0</v>
      </c>
      <c r="G247" s="194">
        <v>2.6192098907903867E-6</v>
      </c>
      <c r="H247" s="194">
        <v>4.9381419826332147E-9</v>
      </c>
      <c r="I247" s="194">
        <v>8.0420438025282384E-2</v>
      </c>
      <c r="J247" s="195">
        <v>1.0972128297798232E-3</v>
      </c>
    </row>
    <row r="248" spans="1:10">
      <c r="A248" s="118">
        <v>43921</v>
      </c>
      <c r="B248" s="194">
        <v>0.91551289517711454</v>
      </c>
      <c r="C248" s="194"/>
      <c r="D248" s="194">
        <v>0</v>
      </c>
      <c r="E248" s="194">
        <v>0</v>
      </c>
      <c r="F248" s="194">
        <v>0</v>
      </c>
      <c r="G248" s="194">
        <v>5.2170225208265379E-6</v>
      </c>
      <c r="H248" s="194">
        <v>4.9335021460173824E-9</v>
      </c>
      <c r="I248" s="194">
        <v>8.3360285794316355E-2</v>
      </c>
      <c r="J248" s="195">
        <v>1.121597072546231E-3</v>
      </c>
    </row>
    <row r="249" spans="1:10">
      <c r="A249" s="118">
        <v>43951</v>
      </c>
      <c r="B249" s="194">
        <v>0.93037229487532624</v>
      </c>
      <c r="C249" s="194"/>
      <c r="D249" s="194">
        <v>0</v>
      </c>
      <c r="E249" s="194">
        <v>0</v>
      </c>
      <c r="F249" s="194">
        <v>0</v>
      </c>
      <c r="G249" s="194">
        <v>2.5133300997638079E-6</v>
      </c>
      <c r="H249" s="194">
        <v>4.959059363714192E-9</v>
      </c>
      <c r="I249" s="194">
        <v>6.6497547454991104E-2</v>
      </c>
      <c r="J249" s="195">
        <v>3.127639380523406E-3</v>
      </c>
    </row>
    <row r="250" spans="1:10">
      <c r="A250" s="118">
        <v>43982</v>
      </c>
      <c r="B250" s="194">
        <v>0.92220710596598932</v>
      </c>
      <c r="D250" s="194">
        <v>0</v>
      </c>
      <c r="E250" s="194">
        <v>0</v>
      </c>
      <c r="F250" s="194">
        <v>0</v>
      </c>
      <c r="G250" s="194">
        <v>2.3753973128950696E-6</v>
      </c>
      <c r="H250" s="194">
        <v>3.5945545133525872E-9</v>
      </c>
      <c r="I250" s="194">
        <v>7.3358561183750837E-2</v>
      </c>
      <c r="J250" s="195">
        <v>4.431953858392474E-3</v>
      </c>
    </row>
    <row r="251" spans="1:10">
      <c r="A251" s="118">
        <v>44012</v>
      </c>
      <c r="B251" s="194">
        <v>0.92390864447093557</v>
      </c>
      <c r="D251" s="194">
        <v>0</v>
      </c>
      <c r="E251" s="194">
        <v>0</v>
      </c>
      <c r="F251" s="194">
        <v>0</v>
      </c>
      <c r="G251" s="194">
        <v>2.3352756271148476E-6</v>
      </c>
      <c r="H251" s="194">
        <v>3.6155429902064101E-9</v>
      </c>
      <c r="I251" s="194">
        <v>7.1147344633596662E-2</v>
      </c>
      <c r="J251" s="195">
        <v>4.9416720042976155E-3</v>
      </c>
    </row>
    <row r="252" spans="1:10">
      <c r="A252" s="118">
        <v>44043</v>
      </c>
      <c r="B252" s="194">
        <v>0.92073907882258532</v>
      </c>
      <c r="D252" s="194">
        <v>0</v>
      </c>
      <c r="E252" s="194">
        <v>0</v>
      </c>
      <c r="F252" s="194">
        <v>0</v>
      </c>
      <c r="G252" s="194">
        <v>2.1766025654182546E-6</v>
      </c>
      <c r="H252" s="194">
        <v>2.4203548496762408E-9</v>
      </c>
      <c r="I252" s="194">
        <v>7.435162148658199E-2</v>
      </c>
      <c r="J252" s="195">
        <v>4.90712066791238E-3</v>
      </c>
    </row>
    <row r="253" spans="1:10">
      <c r="A253" s="118">
        <v>44074</v>
      </c>
      <c r="B253" s="194">
        <v>0.91992249923524283</v>
      </c>
      <c r="D253" s="194">
        <v>0</v>
      </c>
      <c r="E253" s="194">
        <v>0</v>
      </c>
      <c r="F253" s="194">
        <v>0</v>
      </c>
      <c r="G253" s="194">
        <v>2.9081975441854659E-6</v>
      </c>
      <c r="H253" s="194">
        <v>2.3840636930655825E-9</v>
      </c>
      <c r="I253" s="194">
        <v>7.5213723871547331E-2</v>
      </c>
      <c r="J253" s="195">
        <v>4.8608663116018937E-3</v>
      </c>
    </row>
    <row r="254" spans="1:10">
      <c r="A254" s="118">
        <v>44104</v>
      </c>
      <c r="B254" s="194">
        <v>0.91993197864678211</v>
      </c>
      <c r="D254" s="194">
        <v>0</v>
      </c>
      <c r="E254" s="194">
        <v>0</v>
      </c>
      <c r="F254" s="194">
        <v>0</v>
      </c>
      <c r="G254" s="194">
        <v>2.4195064814344694E-6</v>
      </c>
      <c r="H254" s="194">
        <v>2.353565858541415E-9</v>
      </c>
      <c r="I254" s="194">
        <v>7.5255816385805752E-2</v>
      </c>
      <c r="J254" s="195">
        <v>4.8097831073648954E-3</v>
      </c>
    </row>
    <row r="255" spans="1:10">
      <c r="A255" s="118">
        <v>44135</v>
      </c>
      <c r="B255" s="194">
        <v>0.9200705519198199</v>
      </c>
      <c r="D255" s="194">
        <v>0</v>
      </c>
      <c r="E255" s="194">
        <v>0</v>
      </c>
      <c r="F255" s="194">
        <v>0</v>
      </c>
      <c r="G255" s="194">
        <v>2.4791140616891136E-6</v>
      </c>
      <c r="H255" s="194">
        <v>2.3215285384822126E-9</v>
      </c>
      <c r="I255" s="194">
        <v>7.4974132907700011E-2</v>
      </c>
      <c r="J255" s="195">
        <v>4.9528337368900067E-3</v>
      </c>
    </row>
    <row r="256" spans="1:10">
      <c r="A256" s="118">
        <v>44165</v>
      </c>
      <c r="B256" s="194">
        <v>0.89168215019506936</v>
      </c>
      <c r="D256" s="194">
        <v>0</v>
      </c>
      <c r="E256" s="194">
        <v>0</v>
      </c>
      <c r="F256" s="194">
        <v>0</v>
      </c>
      <c r="G256" s="194">
        <v>4.7101522629032913E-6</v>
      </c>
      <c r="H256" s="194">
        <v>4.4224338098773554E-9</v>
      </c>
      <c r="I256" s="194">
        <v>7.1185533874436727E-2</v>
      </c>
      <c r="J256" s="195">
        <v>3.7127601355797096E-2</v>
      </c>
    </row>
    <row r="257" spans="1:12">
      <c r="A257" s="118">
        <v>44196</v>
      </c>
      <c r="B257" s="194">
        <v>0.89202756287064533</v>
      </c>
      <c r="D257" s="194">
        <v>0</v>
      </c>
      <c r="E257" s="194">
        <v>0</v>
      </c>
      <c r="F257" s="194">
        <v>0</v>
      </c>
      <c r="G257" s="194">
        <v>2.3551122460759584E-6</v>
      </c>
      <c r="H257" s="194">
        <v>2.2239552617446098E-9</v>
      </c>
      <c r="I257" s="194">
        <v>7.0557383472761317E-2</v>
      </c>
      <c r="J257" s="195">
        <v>3.2627298789327838E-2</v>
      </c>
    </row>
    <row r="258" spans="1:12">
      <c r="A258" s="118">
        <v>44227</v>
      </c>
      <c r="B258" s="194">
        <v>0.90870740227815328</v>
      </c>
      <c r="D258" s="194">
        <v>0</v>
      </c>
      <c r="E258" s="194">
        <v>0</v>
      </c>
      <c r="F258" s="194">
        <v>0</v>
      </c>
      <c r="G258" s="194">
        <v>2.3331550739041538E-6</v>
      </c>
      <c r="H258" s="194">
        <v>2.2311303419306249E-9</v>
      </c>
      <c r="I258" s="194">
        <v>5.3728942437246609E-2</v>
      </c>
      <c r="J258" s="195">
        <v>3.7561319898395854E-2</v>
      </c>
    </row>
    <row r="259" spans="1:12">
      <c r="A259" s="118">
        <v>44255</v>
      </c>
      <c r="B259" s="194">
        <v>0.90513877103942941</v>
      </c>
      <c r="D259" s="194">
        <v>0</v>
      </c>
      <c r="E259" s="194">
        <v>0</v>
      </c>
      <c r="F259" s="194">
        <v>0</v>
      </c>
      <c r="G259" s="194">
        <v>2.2001936179357433E-6</v>
      </c>
      <c r="H259" s="194">
        <v>2.1939962188493779E-9</v>
      </c>
      <c r="I259" s="194">
        <v>5.7922863640959235E-2</v>
      </c>
      <c r="J259" s="195">
        <v>3.6936162931997293E-2</v>
      </c>
    </row>
    <row r="260" spans="1:12">
      <c r="A260" s="118">
        <v>44286</v>
      </c>
      <c r="B260" s="194">
        <v>0.89656479967079561</v>
      </c>
      <c r="D260" s="194">
        <v>0</v>
      </c>
      <c r="E260" s="194">
        <v>0</v>
      </c>
      <c r="F260" s="194">
        <v>0</v>
      </c>
      <c r="G260" s="194">
        <v>2.1950623195607889E-6</v>
      </c>
      <c r="H260" s="194">
        <v>2.1929704685540477E-9</v>
      </c>
      <c r="I260" s="194">
        <v>6.6514108758750023E-2</v>
      </c>
      <c r="J260" s="195">
        <v>3.6918896508134992E-2</v>
      </c>
      <c r="L260" s="103"/>
    </row>
    <row r="261" spans="1:12">
      <c r="A261" s="118">
        <v>44316</v>
      </c>
      <c r="B261" s="194">
        <v>0.8965661252080539</v>
      </c>
      <c r="D261" s="194">
        <v>0</v>
      </c>
      <c r="E261" s="194">
        <v>0</v>
      </c>
      <c r="F261" s="194">
        <v>0</v>
      </c>
      <c r="G261" s="194">
        <v>2.0960433690866468E-6</v>
      </c>
      <c r="H261" s="194">
        <v>2.1512691477410304E-9</v>
      </c>
      <c r="I261" s="194">
        <v>6.7233801663466194E-2</v>
      </c>
      <c r="J261" s="195">
        <v>3.6197974933841658E-2</v>
      </c>
      <c r="L261" s="103"/>
    </row>
    <row r="262" spans="1:12">
      <c r="A262" s="118">
        <v>44347</v>
      </c>
      <c r="B262" s="194">
        <v>0.89819799054722349</v>
      </c>
      <c r="D262" s="194">
        <v>0</v>
      </c>
      <c r="E262" s="194">
        <v>0</v>
      </c>
      <c r="F262" s="194">
        <v>0</v>
      </c>
      <c r="G262" s="194">
        <v>2.0597473956698909E-6</v>
      </c>
      <c r="H262" s="194">
        <v>2.1140168613855625E-9</v>
      </c>
      <c r="I262" s="194">
        <v>6.6174431533168723E-2</v>
      </c>
      <c r="J262" s="195">
        <v>3.5625516058195084E-2</v>
      </c>
    </row>
    <row r="263" spans="1:12">
      <c r="A263" s="118">
        <v>44377</v>
      </c>
      <c r="B263" s="194">
        <v>0.90071907769397919</v>
      </c>
      <c r="D263" s="194">
        <v>0</v>
      </c>
      <c r="E263" s="194">
        <v>0</v>
      </c>
      <c r="F263" s="194">
        <v>0</v>
      </c>
      <c r="G263" s="194">
        <v>2.0430528396193561E-6</v>
      </c>
      <c r="H263" s="194">
        <v>2.0968824433213035E-9</v>
      </c>
      <c r="I263" s="194">
        <v>6.3942113572075285E-2</v>
      </c>
      <c r="J263" s="195">
        <v>3.5336763584223198E-2</v>
      </c>
    </row>
    <row r="264" spans="1:12">
      <c r="A264" s="280">
        <v>44408</v>
      </c>
      <c r="B264" s="194">
        <v>0.89955684124802193</v>
      </c>
      <c r="D264" s="194">
        <v>0</v>
      </c>
      <c r="E264" s="194">
        <v>0</v>
      </c>
      <c r="F264" s="194">
        <v>0</v>
      </c>
      <c r="G264" s="194">
        <v>2.0016988480851199E-6</v>
      </c>
      <c r="H264" s="194">
        <v>2.054438872050012E-9</v>
      </c>
      <c r="I264" s="194">
        <v>6.5936560130500241E-2</v>
      </c>
      <c r="J264" s="194">
        <v>3.4504594868190866E-2</v>
      </c>
    </row>
    <row r="265" spans="1:12">
      <c r="A265" s="280">
        <v>44439</v>
      </c>
      <c r="B265" s="194">
        <v>0.91277150231574311</v>
      </c>
      <c r="D265" s="194">
        <v>0</v>
      </c>
      <c r="E265" s="194">
        <v>0</v>
      </c>
      <c r="F265" s="194">
        <v>0</v>
      </c>
      <c r="G265" s="194">
        <v>2.0016988480851199E-6</v>
      </c>
      <c r="H265" s="194">
        <v>2.054438872050012E-9</v>
      </c>
      <c r="I265" s="194">
        <v>5.2113950079371613E-2</v>
      </c>
      <c r="J265" s="194">
        <v>3.5112514333565679E-2</v>
      </c>
      <c r="L265" s="103"/>
    </row>
    <row r="266" spans="1:12">
      <c r="A266" s="280">
        <v>44469</v>
      </c>
      <c r="B266" s="194">
        <v>0.91634167281860646</v>
      </c>
      <c r="D266" s="194">
        <v>0</v>
      </c>
      <c r="E266" s="194">
        <v>0</v>
      </c>
      <c r="F266" s="194">
        <v>0</v>
      </c>
      <c r="G266" s="194">
        <v>1.952018789605648E-6</v>
      </c>
      <c r="H266" s="194">
        <v>2.0278126202395647E-9</v>
      </c>
      <c r="I266" s="194">
        <v>4.9475597316623106E-2</v>
      </c>
      <c r="J266" s="194">
        <v>3.4180775818168224E-2</v>
      </c>
      <c r="L266" s="103"/>
    </row>
    <row r="267" spans="1:12">
      <c r="A267" s="280">
        <v>44500</v>
      </c>
      <c r="B267" s="194">
        <v>0.91789394366523624</v>
      </c>
      <c r="D267" s="194">
        <v>0</v>
      </c>
      <c r="E267" s="194">
        <v>0</v>
      </c>
      <c r="F267" s="194">
        <v>0</v>
      </c>
      <c r="G267" s="194">
        <v>1.9512597596799389E-6</v>
      </c>
      <c r="H267" s="194">
        <v>2.0311955707379263E-9</v>
      </c>
      <c r="I267" s="194">
        <v>5.4838818799021402E-2</v>
      </c>
      <c r="J267" s="194">
        <v>2.7265284244787115E-2</v>
      </c>
    </row>
    <row r="268" spans="1:12">
      <c r="A268" s="280">
        <v>44530</v>
      </c>
      <c r="B268" s="194">
        <v>0.9202932900694788</v>
      </c>
      <c r="D268" s="194">
        <v>0</v>
      </c>
      <c r="E268" s="194">
        <v>0</v>
      </c>
      <c r="F268" s="194">
        <v>0</v>
      </c>
      <c r="G268" s="194">
        <v>1.9037725691705022E-6</v>
      </c>
      <c r="H268" s="194">
        <v>1.9997513575146421E-9</v>
      </c>
      <c r="I268" s="194">
        <v>5.2845134091964917E-2</v>
      </c>
      <c r="J268" s="194">
        <v>2.6859670066235842E-2</v>
      </c>
      <c r="L268" s="103"/>
    </row>
    <row r="269" spans="1:12">
      <c r="A269" s="280">
        <v>44561</v>
      </c>
      <c r="B269" s="194">
        <v>0.92120205312058034</v>
      </c>
      <c r="D269" s="194">
        <v>0</v>
      </c>
      <c r="E269" s="194">
        <v>0</v>
      </c>
      <c r="F269" s="194">
        <v>0</v>
      </c>
      <c r="G269" s="194">
        <v>1.9031239370258328E-6</v>
      </c>
      <c r="H269" s="194">
        <v>2.0073534569365517E-9</v>
      </c>
      <c r="I269" s="194">
        <v>5.1885200417803472E-2</v>
      </c>
      <c r="J269" s="194">
        <v>2.6910841330325716E-2</v>
      </c>
      <c r="L269" s="103"/>
    </row>
    <row r="270" spans="1:12">
      <c r="A270" s="280">
        <v>44592</v>
      </c>
      <c r="B270" s="194">
        <v>0.91381398776862943</v>
      </c>
      <c r="D270" s="194">
        <v>0</v>
      </c>
      <c r="E270" s="194">
        <v>0</v>
      </c>
      <c r="F270" s="194">
        <v>0</v>
      </c>
      <c r="G270" s="194">
        <v>1.8511298466397697E-6</v>
      </c>
      <c r="H270" s="194">
        <v>1.9696688770111324E-9</v>
      </c>
      <c r="I270" s="194">
        <v>5.9712349953022763E-2</v>
      </c>
      <c r="J270" s="194">
        <v>2.6471809178832132E-2</v>
      </c>
      <c r="L270" s="103"/>
    </row>
    <row r="271" spans="1:12">
      <c r="A271" s="280">
        <v>44620</v>
      </c>
      <c r="B271" s="194">
        <v>0.91541873790981931</v>
      </c>
      <c r="D271" s="194">
        <v>0</v>
      </c>
      <c r="E271" s="194">
        <v>0</v>
      </c>
      <c r="F271" s="194">
        <v>0</v>
      </c>
      <c r="G271" s="194">
        <v>1.8086587184226933E-6</v>
      </c>
      <c r="H271" s="194">
        <v>1.9329945889050159E-9</v>
      </c>
      <c r="I271" s="194">
        <v>5.8600534687406405E-2</v>
      </c>
      <c r="J271" s="194">
        <v>2.5978916811061237E-2</v>
      </c>
      <c r="L271" s="103"/>
    </row>
    <row r="272" spans="1:12">
      <c r="A272" s="280">
        <v>44651</v>
      </c>
      <c r="B272" s="194">
        <v>0.91514437389430026</v>
      </c>
      <c r="D272" s="194">
        <v>0</v>
      </c>
      <c r="E272" s="194">
        <v>0</v>
      </c>
      <c r="F272" s="194">
        <v>0</v>
      </c>
      <c r="G272" s="194">
        <v>1.7893628709063572E-6</v>
      </c>
      <c r="H272" s="194">
        <v>1.9124429759814032E-9</v>
      </c>
      <c r="I272" s="194">
        <v>5.9151126057122562E-2</v>
      </c>
      <c r="J272" s="194">
        <v>2.5702708773263305E-2</v>
      </c>
    </row>
    <row r="273" spans="1:10">
      <c r="A273" s="280">
        <v>44681</v>
      </c>
      <c r="B273" s="194">
        <v>0.91445510898591498</v>
      </c>
      <c r="D273" s="194">
        <v>0</v>
      </c>
      <c r="E273" s="194">
        <v>0</v>
      </c>
      <c r="F273" s="194">
        <v>0</v>
      </c>
      <c r="G273" s="194">
        <v>1.7287172049898249E-6</v>
      </c>
      <c r="H273" s="194">
        <v>1.8919794935559613E-9</v>
      </c>
      <c r="I273" s="194">
        <v>6.0165369314712752E-2</v>
      </c>
      <c r="J273" s="194">
        <v>2.5377796451328039E-2</v>
      </c>
    </row>
    <row r="274" spans="1:10">
      <c r="A274" s="280">
        <v>44712</v>
      </c>
      <c r="B274" s="194">
        <v>0.89552600047400499</v>
      </c>
      <c r="D274" s="194">
        <v>0</v>
      </c>
      <c r="E274" s="194">
        <v>0</v>
      </c>
      <c r="F274" s="194">
        <v>0</v>
      </c>
      <c r="G274" s="194">
        <v>1.6790500776755617E-6</v>
      </c>
      <c r="H274" s="194">
        <v>1.8573325310016311E-9</v>
      </c>
      <c r="I274" s="194">
        <v>7.9518591315868678E-2</v>
      </c>
      <c r="J274" s="194">
        <v>2.4953727302716167E-2</v>
      </c>
    </row>
    <row r="275" spans="1:10">
      <c r="A275" s="280">
        <v>44742</v>
      </c>
      <c r="B275" s="194">
        <v>0.91443874113850365</v>
      </c>
      <c r="D275" s="194">
        <v>0</v>
      </c>
      <c r="E275" s="194">
        <v>0</v>
      </c>
      <c r="F275" s="194">
        <v>0</v>
      </c>
      <c r="G275" s="194">
        <v>1.6937381312672956E-6</v>
      </c>
      <c r="H275" s="194">
        <v>1.8772063120764937E-9</v>
      </c>
      <c r="I275" s="194">
        <v>6.0317164924656712E-2</v>
      </c>
      <c r="J275" s="194">
        <v>2.5242398321502227E-2</v>
      </c>
    </row>
    <row r="276" spans="1:10">
      <c r="A276" s="280">
        <v>44773</v>
      </c>
      <c r="B276" s="194">
        <v>0.91159473401322089</v>
      </c>
      <c r="D276" s="194">
        <v>0</v>
      </c>
      <c r="E276" s="194">
        <v>0</v>
      </c>
      <c r="F276" s="194">
        <v>0</v>
      </c>
      <c r="G276" s="194">
        <v>1.6489853748835057E-6</v>
      </c>
      <c r="H276" s="194">
        <v>1.8288894031564347E-9</v>
      </c>
      <c r="I276" s="194">
        <v>6.3804696502095956E-2</v>
      </c>
      <c r="J276" s="194">
        <v>2.4598918670418822E-2</v>
      </c>
    </row>
    <row r="277" spans="1:10">
      <c r="A277" s="280">
        <v>44804</v>
      </c>
      <c r="B277" s="194">
        <v>0.91423640386217941</v>
      </c>
      <c r="D277" s="194">
        <v>0</v>
      </c>
      <c r="E277" s="194">
        <v>0</v>
      </c>
      <c r="F277" s="194">
        <v>0</v>
      </c>
      <c r="G277" s="194">
        <v>1.6006659706663212E-6</v>
      </c>
      <c r="H277" s="194">
        <v>1.8002951984355235E-9</v>
      </c>
      <c r="I277" s="194">
        <v>6.155268078665263E-2</v>
      </c>
      <c r="J277" s="194">
        <v>2.4209312884902221E-2</v>
      </c>
    </row>
    <row r="278" spans="1:10">
      <c r="A278" s="280">
        <v>44834</v>
      </c>
      <c r="B278" s="194">
        <v>0.91282901178829357</v>
      </c>
      <c r="D278" s="194">
        <v>0</v>
      </c>
      <c r="E278" s="194">
        <v>0</v>
      </c>
      <c r="F278" s="194">
        <v>0</v>
      </c>
      <c r="G278" s="194">
        <v>1.5775391985634876E-6</v>
      </c>
      <c r="H278" s="194">
        <v>1.7742841395793698E-9</v>
      </c>
      <c r="I278" s="194">
        <v>6.328363315105405E-2</v>
      </c>
      <c r="J278" s="194">
        <v>2.3885775747169651E-2</v>
      </c>
    </row>
    <row r="279" spans="1:10">
      <c r="A279" s="280">
        <v>44865</v>
      </c>
      <c r="B279" s="194">
        <v>0.90912953384428241</v>
      </c>
      <c r="D279" s="194">
        <v>0</v>
      </c>
      <c r="E279" s="194">
        <v>0</v>
      </c>
      <c r="F279" s="194">
        <v>0</v>
      </c>
      <c r="G279" s="194">
        <v>1.5546082532432707E-6</v>
      </c>
      <c r="H279" s="194">
        <v>1.7484933303086579E-9</v>
      </c>
      <c r="I279" s="194">
        <v>6.7330789643754857E-2</v>
      </c>
      <c r="J279" s="194">
        <v>2.3538120155216117E-2</v>
      </c>
    </row>
    <row r="280" spans="1:10">
      <c r="A280" s="280">
        <v>44895</v>
      </c>
      <c r="B280" s="194">
        <v>0.90945740348763637</v>
      </c>
      <c r="D280" s="194">
        <v>0</v>
      </c>
      <c r="E280" s="194">
        <v>0</v>
      </c>
      <c r="F280" s="194">
        <v>0</v>
      </c>
      <c r="G280" s="194">
        <v>1.5489725813583244E-6</v>
      </c>
      <c r="H280" s="194">
        <v>1.7421547979600236E-9</v>
      </c>
      <c r="I280" s="194">
        <v>6.7086706134359533E-2</v>
      </c>
      <c r="J280" s="194">
        <v>2.345433966326808E-2</v>
      </c>
    </row>
    <row r="281" spans="1:10">
      <c r="A281" s="280">
        <v>44926</v>
      </c>
      <c r="B281" s="194">
        <v>0.88830972739723213</v>
      </c>
      <c r="D281" s="194">
        <v>0</v>
      </c>
      <c r="E281" s="194">
        <v>0</v>
      </c>
      <c r="F281" s="194">
        <v>0</v>
      </c>
      <c r="G281" s="194">
        <v>1.5133703154690136E-6</v>
      </c>
      <c r="H281" s="194">
        <v>0</v>
      </c>
      <c r="I281" s="194">
        <v>8.8686437795433185E-2</v>
      </c>
      <c r="J281" s="194">
        <v>2.3002321437019326E-2</v>
      </c>
    </row>
    <row r="282" spans="1:10">
      <c r="A282" s="280">
        <v>44957</v>
      </c>
      <c r="B282" s="194">
        <v>0.8918935499527314</v>
      </c>
      <c r="D282" s="194">
        <v>0</v>
      </c>
      <c r="E282" s="194">
        <v>0</v>
      </c>
      <c r="F282" s="194">
        <v>0</v>
      </c>
      <c r="G282" s="194">
        <v>1.4680034353000759E-6</v>
      </c>
      <c r="H282" s="194">
        <v>0</v>
      </c>
      <c r="I282" s="194">
        <v>8.5401272068233391E-2</v>
      </c>
      <c r="J282" s="194">
        <v>2.2703709975600051E-2</v>
      </c>
    </row>
    <row r="283" spans="1:10">
      <c r="A283" s="280">
        <v>44985</v>
      </c>
      <c r="B283" s="194">
        <v>0.88997514810083311</v>
      </c>
      <c r="D283" s="194">
        <v>0</v>
      </c>
      <c r="E283" s="194">
        <v>0</v>
      </c>
      <c r="F283" s="194">
        <v>0</v>
      </c>
      <c r="G283" s="194">
        <v>1.4806678318086555E-6</v>
      </c>
      <c r="H283" s="194">
        <v>0</v>
      </c>
      <c r="I283" s="194">
        <v>8.7131287862108442E-2</v>
      </c>
      <c r="J283" s="194">
        <v>2.2892083369226685E-2</v>
      </c>
    </row>
    <row r="284" spans="1:10">
      <c r="A284" s="280">
        <v>45016</v>
      </c>
      <c r="B284" s="194">
        <v>0.88347350757957066</v>
      </c>
      <c r="D284" s="194">
        <v>0</v>
      </c>
      <c r="E284" s="194">
        <v>0</v>
      </c>
      <c r="F284" s="194">
        <v>0</v>
      </c>
      <c r="G284" s="194">
        <v>1.4457379302714208E-6</v>
      </c>
      <c r="H284" s="194">
        <v>0</v>
      </c>
      <c r="I284" s="194">
        <v>9.4173002207135953E-2</v>
      </c>
      <c r="J284" s="194">
        <v>2.2352044475363157E-2</v>
      </c>
    </row>
    <row r="285" spans="1:10">
      <c r="A285" s="280">
        <v>45046</v>
      </c>
      <c r="B285" s="194">
        <v>0.87906771312717302</v>
      </c>
      <c r="D285" s="194">
        <v>0</v>
      </c>
      <c r="E285" s="194">
        <v>0</v>
      </c>
      <c r="F285" s="194">
        <v>0</v>
      </c>
      <c r="G285" s="194">
        <v>1.4182481255320432E-6</v>
      </c>
      <c r="H285" s="194">
        <v>0</v>
      </c>
      <c r="I285" s="194">
        <v>9.900958873991024E-2</v>
      </c>
      <c r="J285" s="194">
        <v>2.1921279884791242E-2</v>
      </c>
    </row>
    <row r="286" spans="1:10">
      <c r="A286" s="280">
        <v>45077</v>
      </c>
      <c r="B286" s="194">
        <v>0.88154633047548403</v>
      </c>
      <c r="D286" s="194">
        <v>0</v>
      </c>
      <c r="E286" s="194">
        <v>0</v>
      </c>
      <c r="F286" s="194">
        <v>0</v>
      </c>
      <c r="G286" s="194">
        <v>1.3996820963156277E-6</v>
      </c>
      <c r="H286" s="194">
        <v>0</v>
      </c>
      <c r="I286" s="194">
        <v>9.6813712778467301E-2</v>
      </c>
      <c r="J286" s="194">
        <v>2.1638557063952277E-2</v>
      </c>
    </row>
    <row r="287" spans="1:10">
      <c r="A287" s="280">
        <v>45107</v>
      </c>
      <c r="B287" s="194">
        <v>0.88456346991144508</v>
      </c>
      <c r="D287" s="194">
        <v>0</v>
      </c>
      <c r="E287" s="194">
        <v>0</v>
      </c>
      <c r="F287" s="194">
        <v>0</v>
      </c>
      <c r="G287" s="194">
        <v>1.3937941622276169E-6</v>
      </c>
      <c r="H287" s="194">
        <v>0</v>
      </c>
      <c r="I287" s="194">
        <v>9.3887110691177098E-2</v>
      </c>
      <c r="J287" s="194">
        <v>2.1548025603215431E-2</v>
      </c>
    </row>
    <row r="288" spans="1:10">
      <c r="A288" s="280">
        <v>45138</v>
      </c>
      <c r="B288" s="194">
        <v>0.88607052761250338</v>
      </c>
      <c r="D288" s="194">
        <v>0</v>
      </c>
      <c r="E288" s="194">
        <v>0</v>
      </c>
      <c r="F288" s="194">
        <v>0</v>
      </c>
      <c r="G288" s="194">
        <v>1.381542903999773E-6</v>
      </c>
      <c r="H288" s="194">
        <v>0</v>
      </c>
      <c r="I288" s="194">
        <v>9.2575157385556897E-2</v>
      </c>
      <c r="J288" s="194">
        <v>2.1352933459035727E-2</v>
      </c>
    </row>
    <row r="289" spans="1:10">
      <c r="A289" s="280">
        <v>45169</v>
      </c>
      <c r="B289" s="194">
        <v>0.88558764515390209</v>
      </c>
      <c r="D289" s="194">
        <v>0</v>
      </c>
      <c r="E289" s="194">
        <v>0</v>
      </c>
      <c r="F289" s="194">
        <v>0</v>
      </c>
      <c r="G289" s="194">
        <v>1.3655864570770285E-6</v>
      </c>
      <c r="H289" s="194">
        <v>0</v>
      </c>
      <c r="I289" s="194">
        <v>9.3348088474978802E-2</v>
      </c>
      <c r="J289" s="194">
        <v>2.1062900784662084E-2</v>
      </c>
    </row>
    <row r="290" spans="1:10">
      <c r="A290" s="280">
        <v>45199</v>
      </c>
      <c r="B290" s="194">
        <v>0.8946652443028229</v>
      </c>
      <c r="D290" s="194">
        <v>0</v>
      </c>
      <c r="E290" s="194">
        <v>0</v>
      </c>
      <c r="F290" s="194">
        <v>0</v>
      </c>
      <c r="G290" s="194">
        <v>1.3842828811645002E-6</v>
      </c>
      <c r="H290" s="194">
        <v>0</v>
      </c>
      <c r="I290" s="194">
        <v>8.4177487974496298E-2</v>
      </c>
      <c r="J290" s="194">
        <v>2.1155883439799825E-2</v>
      </c>
    </row>
    <row r="291" spans="1:10">
      <c r="A291" s="280">
        <v>45230</v>
      </c>
      <c r="B291" s="194">
        <v>0.88039303993892459</v>
      </c>
      <c r="D291" s="194">
        <v>0</v>
      </c>
      <c r="E291" s="194">
        <v>0</v>
      </c>
      <c r="F291" s="194">
        <v>0</v>
      </c>
      <c r="G291" s="194">
        <v>1.3519793089235232E-6</v>
      </c>
      <c r="H291" s="194">
        <v>0</v>
      </c>
      <c r="I291" s="194">
        <v>9.8960665990892135E-2</v>
      </c>
      <c r="J291" s="194">
        <v>2.0644942090874373E-2</v>
      </c>
    </row>
    <row r="292" spans="1:10">
      <c r="A292" s="280">
        <v>45260</v>
      </c>
      <c r="B292" s="194">
        <v>0.88024170933244794</v>
      </c>
      <c r="D292" s="194">
        <v>0</v>
      </c>
      <c r="E292" s="194">
        <v>0</v>
      </c>
      <c r="F292" s="194">
        <v>0</v>
      </c>
      <c r="G292" s="194">
        <v>1.3441446480166158E-6</v>
      </c>
      <c r="H292" s="194">
        <v>0</v>
      </c>
      <c r="I292" s="194">
        <v>9.9206427168677905E-2</v>
      </c>
      <c r="J292" s="194">
        <v>2.0550519354226204E-2</v>
      </c>
    </row>
    <row r="293" spans="1:10">
      <c r="A293" s="280">
        <v>45291</v>
      </c>
      <c r="B293" s="194">
        <v>0.89043392829834223</v>
      </c>
      <c r="D293" s="194">
        <v>0</v>
      </c>
      <c r="E293" s="194">
        <v>0</v>
      </c>
      <c r="F293" s="194">
        <v>0</v>
      </c>
      <c r="G293" s="194">
        <v>1.3103763039119363E-6</v>
      </c>
      <c r="H293" s="194">
        <v>0</v>
      </c>
      <c r="I293" s="194">
        <v>8.8782442535252803E-2</v>
      </c>
      <c r="J293" s="194">
        <v>2.078231879010118E-2</v>
      </c>
    </row>
    <row r="294" spans="1:10">
      <c r="A294" s="280">
        <v>45322</v>
      </c>
      <c r="B294" s="194">
        <v>0.89552501714691757</v>
      </c>
      <c r="D294" s="194">
        <v>0</v>
      </c>
      <c r="E294" s="194">
        <v>0</v>
      </c>
      <c r="F294" s="194">
        <v>0</v>
      </c>
      <c r="G294" s="194">
        <v>1.3054815638618801E-6</v>
      </c>
      <c r="H294" s="194">
        <v>0</v>
      </c>
      <c r="I294" s="194">
        <v>8.3829773302807317E-2</v>
      </c>
      <c r="J294" s="194">
        <v>2.0609152100075852E-2</v>
      </c>
    </row>
    <row r="295" spans="1:10">
      <c r="A295" s="280">
        <v>45350</v>
      </c>
      <c r="B295" s="194">
        <v>0.88302678967868897</v>
      </c>
      <c r="D295" s="194">
        <v>0</v>
      </c>
      <c r="E295" s="194">
        <v>0</v>
      </c>
      <c r="F295" s="194">
        <v>0</v>
      </c>
      <c r="G295" s="194">
        <v>1.2688928352439755E-6</v>
      </c>
      <c r="H295" s="194">
        <v>0</v>
      </c>
      <c r="I295" s="194">
        <v>9.6818084562415682E-2</v>
      </c>
      <c r="J295" s="194">
        <v>2.0153856866060128E-2</v>
      </c>
    </row>
    <row r="296" spans="1:10">
      <c r="A296" s="280">
        <v>45382</v>
      </c>
      <c r="B296" s="194">
        <v>0.88922324416050347</v>
      </c>
      <c r="D296" s="194">
        <v>0</v>
      </c>
      <c r="E296" s="194">
        <v>0</v>
      </c>
      <c r="F296" s="194">
        <v>0</v>
      </c>
      <c r="G296" s="194">
        <v>1.2620300005762345E-6</v>
      </c>
      <c r="H296" s="194">
        <v>0</v>
      </c>
      <c r="I296" s="194">
        <v>9.0730639519340905E-2</v>
      </c>
      <c r="J296" s="194">
        <v>2.0044854290155054E-2</v>
      </c>
    </row>
    <row r="297" spans="1:10">
      <c r="A297" s="280">
        <v>45412</v>
      </c>
      <c r="B297" s="194">
        <v>0.88412280072552374</v>
      </c>
      <c r="D297" s="194">
        <v>0</v>
      </c>
      <c r="E297" s="194">
        <v>0</v>
      </c>
      <c r="F297" s="194">
        <v>0</v>
      </c>
      <c r="G297" s="194">
        <v>1.2797646060598625E-6</v>
      </c>
      <c r="H297" s="194">
        <v>0</v>
      </c>
      <c r="I297" s="194">
        <v>9.6321331930467255E-2</v>
      </c>
      <c r="J297" s="194">
        <v>1.9554587579402906E-2</v>
      </c>
    </row>
    <row r="298" spans="1:10">
      <c r="A298" s="280">
        <v>45443</v>
      </c>
      <c r="B298" s="194">
        <v>0.88665979066617628</v>
      </c>
      <c r="D298" s="194">
        <v>0</v>
      </c>
      <c r="E298" s="194">
        <v>0</v>
      </c>
      <c r="F298" s="194">
        <v>0</v>
      </c>
      <c r="G298" s="194">
        <v>1.260037580585211E-6</v>
      </c>
      <c r="H298" s="194">
        <v>0</v>
      </c>
      <c r="I298" s="194">
        <v>9.4109759207382099E-2</v>
      </c>
      <c r="J298" s="194">
        <v>1.9229190088861023E-2</v>
      </c>
    </row>
    <row r="299" spans="1:10">
      <c r="A299" s="280">
        <v>45473</v>
      </c>
      <c r="B299" s="194">
        <v>0.88919716701084428</v>
      </c>
      <c r="D299" s="194">
        <v>0</v>
      </c>
      <c r="E299" s="194">
        <v>0</v>
      </c>
      <c r="F299" s="194">
        <v>0</v>
      </c>
      <c r="G299" s="194">
        <v>1.231828730401244E-6</v>
      </c>
      <c r="H299" s="194">
        <v>0</v>
      </c>
      <c r="I299" s="194">
        <v>9.2002894984255276E-2</v>
      </c>
      <c r="J299" s="194">
        <v>1.8798706176170479E-2</v>
      </c>
    </row>
    <row r="300" spans="1:10">
      <c r="A300" s="280">
        <v>45504</v>
      </c>
      <c r="B300" s="194">
        <v>0.88931471132355822</v>
      </c>
      <c r="D300" s="194">
        <v>0</v>
      </c>
      <c r="E300" s="194">
        <v>0</v>
      </c>
      <c r="F300" s="194">
        <v>0</v>
      </c>
      <c r="G300" s="194">
        <v>1.2262724772398895E-6</v>
      </c>
      <c r="H300" s="194">
        <v>0</v>
      </c>
      <c r="I300" s="194">
        <v>9.190529796621541E-2</v>
      </c>
      <c r="J300" s="194">
        <v>1.8778764437749243E-2</v>
      </c>
    </row>
    <row r="301" spans="1:10">
      <c r="A301" s="280">
        <v>45535</v>
      </c>
      <c r="B301" s="194">
        <v>0.89093537915429533</v>
      </c>
      <c r="D301" s="194">
        <v>0</v>
      </c>
      <c r="E301" s="194">
        <v>0</v>
      </c>
      <c r="F301" s="194">
        <v>0</v>
      </c>
      <c r="G301" s="194">
        <v>1.1591105872606206E-6</v>
      </c>
      <c r="H301" s="194">
        <v>0</v>
      </c>
      <c r="I301" s="194">
        <v>9.0559649964870523E-2</v>
      </c>
      <c r="J301" s="194">
        <v>1.8503811770246854E-2</v>
      </c>
    </row>
    <row r="302" spans="1:10">
      <c r="A302" s="280">
        <v>45565</v>
      </c>
      <c r="B302" s="194">
        <v>0.89251038551235573</v>
      </c>
      <c r="D302" s="194">
        <v>0</v>
      </c>
      <c r="E302" s="194">
        <v>0</v>
      </c>
      <c r="F302" s="194">
        <v>0</v>
      </c>
      <c r="G302" s="194">
        <v>1.18625368576758E-6</v>
      </c>
      <c r="H302" s="194">
        <v>0</v>
      </c>
      <c r="I302" s="194">
        <v>8.9254502758829485E-2</v>
      </c>
      <c r="J302" s="194">
        <v>1.8233925475129253E-2</v>
      </c>
    </row>
    <row r="303" spans="1:10">
      <c r="A303" s="280">
        <v>45596</v>
      </c>
      <c r="B303" s="194">
        <v>0.89316838820569644</v>
      </c>
      <c r="D303" s="194">
        <v>0</v>
      </c>
      <c r="E303" s="194">
        <v>0</v>
      </c>
      <c r="F303" s="194">
        <v>0</v>
      </c>
      <c r="G303" s="194">
        <v>1.1791642674014741E-6</v>
      </c>
      <c r="H303" s="194">
        <v>0</v>
      </c>
      <c r="I303" s="194">
        <v>8.8705478724564205E-2</v>
      </c>
      <c r="J303" s="194">
        <v>1.8124953905472176E-2</v>
      </c>
    </row>
    <row r="304" spans="1:10">
      <c r="A304" s="280">
        <v>45626</v>
      </c>
      <c r="B304" s="194">
        <v>0.89203134471578649</v>
      </c>
      <c r="D304" s="194">
        <v>0</v>
      </c>
      <c r="E304" s="194">
        <v>0</v>
      </c>
      <c r="F304" s="194">
        <v>0</v>
      </c>
      <c r="G304" s="194">
        <v>1.1625791540301932E-6</v>
      </c>
      <c r="H304" s="194">
        <v>0</v>
      </c>
      <c r="I304" s="194">
        <v>9.0125556319810896E-2</v>
      </c>
      <c r="J304" s="194">
        <v>1.7841936385248749E-2</v>
      </c>
    </row>
    <row r="305" spans="1:10">
      <c r="A305" s="280">
        <v>45657</v>
      </c>
      <c r="B305" s="194">
        <v>0.87968578060309299</v>
      </c>
      <c r="D305" s="194">
        <v>0</v>
      </c>
      <c r="E305" s="194">
        <v>0</v>
      </c>
      <c r="F305" s="194">
        <v>0</v>
      </c>
      <c r="G305" s="194">
        <v>1.0992078403248859E-6</v>
      </c>
      <c r="H305" s="194">
        <v>0</v>
      </c>
      <c r="I305" s="194">
        <v>0.10279316459032468</v>
      </c>
      <c r="J305" s="194">
        <v>1.7519955598742053E-2</v>
      </c>
    </row>
  </sheetData>
  <phoneticPr fontId="15" type="noConversion"/>
  <pageMargins left="0.23622047244094491" right="0.23622047244094491" top="0.74803149606299213" bottom="0.74803149606299213" header="0.31496062992125984" footer="0.31496062992125984"/>
  <pageSetup fitToHeight="99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Drop Down 1">
              <controlPr defaultSize="0" print="0" autoLine="0" autoPict="0">
                <anchor>
                  <from>
                    <xdr:col>0</xdr:col>
                    <xdr:colOff>685800</xdr:colOff>
                    <xdr:row>1</xdr:row>
                    <xdr:rowOff>142875</xdr:rowOff>
                  </from>
                  <to>
                    <xdr:col>1</xdr:col>
                    <xdr:colOff>2228850</xdr:colOff>
                    <xdr:row>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F5830-D01B-4251-9CB0-BDA733B21592}">
  <sheetPr codeName="Hoja13"/>
  <dimension ref="A1:K305"/>
  <sheetViews>
    <sheetView showGridLines="0" zoomScaleNormal="100" workbookViewId="0">
      <pane ySplit="22" topLeftCell="A290" activePane="bottomLeft" state="frozen"/>
      <selection activeCell="Z846" sqref="Z846"/>
      <selection pane="bottomLeft" activeCell="G289" sqref="G289"/>
    </sheetView>
  </sheetViews>
  <sheetFormatPr baseColWidth="10" defaultColWidth="0" defaultRowHeight="12.75"/>
  <cols>
    <col min="1" max="9" width="14.7109375" style="93" customWidth="1"/>
    <col min="10" max="10" width="7.7109375" style="93" customWidth="1"/>
    <col min="11" max="11" width="10.42578125" customWidth="1"/>
    <col min="12" max="16384" width="9.28515625" hidden="1"/>
  </cols>
  <sheetData>
    <row r="1" spans="1:1" s="82" customFormat="1" ht="12.75" customHeight="1">
      <c r="A1" s="115"/>
    </row>
    <row r="2" spans="1:1" s="82" customFormat="1" ht="12.75" customHeight="1">
      <c r="A2" s="124"/>
    </row>
    <row r="3" spans="1:1" s="82" customFormat="1" ht="12.75" customHeight="1">
      <c r="A3" s="124"/>
    </row>
    <row r="4" spans="1:1" s="82" customFormat="1" ht="12.75" customHeight="1">
      <c r="A4" s="124"/>
    </row>
    <row r="5" spans="1:1" s="82" customFormat="1" ht="12.75" customHeight="1">
      <c r="A5" s="81"/>
    </row>
    <row r="6" spans="1:1" s="8" customFormat="1" ht="12.75" customHeight="1">
      <c r="A6" s="12"/>
    </row>
    <row r="7" spans="1:1" s="8" customFormat="1" ht="12.75" customHeight="1">
      <c r="A7" s="12"/>
    </row>
    <row r="8" spans="1:1" s="8" customFormat="1" ht="12.75" customHeight="1">
      <c r="A8" s="12"/>
    </row>
    <row r="9" spans="1:1" s="8" customFormat="1" ht="12.75" customHeight="1">
      <c r="A9" s="12"/>
    </row>
    <row r="10" spans="1:1" s="8" customFormat="1" ht="12.75" customHeight="1">
      <c r="A10" s="12"/>
    </row>
    <row r="11" spans="1:1" s="8" customFormat="1" ht="12.75" customHeight="1">
      <c r="A11" s="12"/>
    </row>
    <row r="12" spans="1:1" s="8" customFormat="1" ht="12.75" customHeight="1">
      <c r="A12" s="12"/>
    </row>
    <row r="13" spans="1:1" s="8" customFormat="1" ht="12.75" customHeight="1">
      <c r="A13" s="12"/>
    </row>
    <row r="14" spans="1:1" s="8" customFormat="1" ht="12.75" customHeight="1">
      <c r="A14" s="12"/>
    </row>
    <row r="15" spans="1:1" s="8" customFormat="1" ht="12.75" customHeight="1">
      <c r="A15" s="12"/>
    </row>
    <row r="16" spans="1:1" s="8" customFormat="1" ht="12.75" customHeight="1">
      <c r="A16" s="12"/>
    </row>
    <row r="17" spans="1:11" s="8" customFormat="1" ht="12.75" customHeight="1">
      <c r="A17" s="12"/>
      <c r="K17"/>
    </row>
    <row r="18" spans="1:11" s="8" customFormat="1" ht="12.75" customHeight="1">
      <c r="A18" s="12"/>
      <c r="K18"/>
    </row>
    <row r="19" spans="1:11" s="8" customFormat="1" ht="12.75" customHeight="1">
      <c r="A19" s="12"/>
      <c r="K19"/>
    </row>
    <row r="20" spans="1:11" s="7" customFormat="1" ht="12.75" customHeight="1">
      <c r="A20" s="291"/>
      <c r="B20" s="293" t="str">
        <f>Title!B156</f>
        <v>Composición por fuente - deuda externa</v>
      </c>
      <c r="C20" s="289"/>
      <c r="D20" s="289"/>
      <c r="E20" s="289"/>
      <c r="F20" s="289"/>
      <c r="G20" s="97"/>
      <c r="H20" s="97"/>
      <c r="I20" s="97"/>
      <c r="J20" s="97"/>
      <c r="K20"/>
    </row>
    <row r="21" spans="1:11" s="7" customFormat="1" ht="12.75" customHeight="1">
      <c r="A21" s="291"/>
      <c r="B21" s="290" t="s">
        <v>347</v>
      </c>
      <c r="C21" s="289"/>
      <c r="D21" s="289"/>
      <c r="E21" s="289"/>
      <c r="F21" s="289"/>
      <c r="G21" s="97"/>
      <c r="H21" s="97"/>
      <c r="I21" s="97"/>
      <c r="J21" s="97"/>
      <c r="K21"/>
    </row>
    <row r="22" spans="1:11" s="8" customFormat="1">
      <c r="A22" s="192" t="s">
        <v>15</v>
      </c>
      <c r="B22" s="196" t="str">
        <f>Title!B158</f>
        <v>Bonos</v>
      </c>
      <c r="C22" s="196" t="str">
        <f>Title!B159</f>
        <v xml:space="preserve">BID                            </v>
      </c>
      <c r="D22" s="196" t="str">
        <f>Title!B160</f>
        <v xml:space="preserve">BIRF                          </v>
      </c>
      <c r="E22" s="196" t="str">
        <f>Title!B161</f>
        <v xml:space="preserve">CAF                </v>
      </c>
      <c r="F22" s="196" t="str">
        <f>Title!B162</f>
        <v>Otros</v>
      </c>
      <c r="G22" s="98"/>
      <c r="H22" s="98"/>
      <c r="I22" s="98"/>
      <c r="J22" s="98"/>
      <c r="K22"/>
    </row>
    <row r="23" spans="1:11" s="8" customFormat="1">
      <c r="A23" s="118">
        <v>37072</v>
      </c>
      <c r="B23" s="194" t="s">
        <v>345</v>
      </c>
      <c r="C23" s="194" t="s">
        <v>345</v>
      </c>
      <c r="D23" s="194" t="s">
        <v>345</v>
      </c>
      <c r="E23" s="194" t="s">
        <v>345</v>
      </c>
      <c r="F23" s="194" t="s">
        <v>345</v>
      </c>
      <c r="G23" s="99"/>
      <c r="H23" s="101"/>
      <c r="I23" s="99"/>
      <c r="J23" s="100"/>
      <c r="K23"/>
    </row>
    <row r="24" spans="1:11" s="8" customFormat="1">
      <c r="A24" s="118">
        <v>37103</v>
      </c>
      <c r="B24" s="194" t="s">
        <v>345</v>
      </c>
      <c r="C24" s="194" t="s">
        <v>345</v>
      </c>
      <c r="D24" s="194" t="s">
        <v>345</v>
      </c>
      <c r="E24" s="194" t="s">
        <v>345</v>
      </c>
      <c r="F24" s="194" t="s">
        <v>345</v>
      </c>
      <c r="G24" s="99"/>
      <c r="H24" s="101"/>
      <c r="I24" s="99"/>
      <c r="J24" s="100"/>
      <c r="K24"/>
    </row>
    <row r="25" spans="1:11" s="8" customFormat="1">
      <c r="A25" s="118">
        <v>37134</v>
      </c>
      <c r="B25" s="194" t="s">
        <v>345</v>
      </c>
      <c r="C25" s="194" t="s">
        <v>345</v>
      </c>
      <c r="D25" s="194" t="s">
        <v>345</v>
      </c>
      <c r="E25" s="194" t="s">
        <v>345</v>
      </c>
      <c r="F25" s="194" t="s">
        <v>345</v>
      </c>
      <c r="G25" s="99"/>
      <c r="H25" s="101"/>
      <c r="I25" s="99"/>
      <c r="J25" s="100"/>
      <c r="K25"/>
    </row>
    <row r="26" spans="1:11" s="8" customFormat="1">
      <c r="A26" s="118">
        <v>37164</v>
      </c>
      <c r="B26" s="194" t="s">
        <v>345</v>
      </c>
      <c r="C26" s="194" t="s">
        <v>345</v>
      </c>
      <c r="D26" s="194" t="s">
        <v>345</v>
      </c>
      <c r="E26" s="194" t="s">
        <v>345</v>
      </c>
      <c r="F26" s="194" t="s">
        <v>345</v>
      </c>
      <c r="G26" s="99"/>
      <c r="H26" s="101"/>
      <c r="I26" s="99"/>
      <c r="J26" s="100"/>
      <c r="K26"/>
    </row>
    <row r="27" spans="1:11" s="8" customFormat="1">
      <c r="A27" s="118">
        <v>37195</v>
      </c>
      <c r="B27" s="194" t="s">
        <v>345</v>
      </c>
      <c r="C27" s="194" t="s">
        <v>345</v>
      </c>
      <c r="D27" s="194" t="s">
        <v>345</v>
      </c>
      <c r="E27" s="194" t="s">
        <v>345</v>
      </c>
      <c r="F27" s="194" t="s">
        <v>345</v>
      </c>
      <c r="G27" s="99"/>
      <c r="H27" s="101"/>
      <c r="I27" s="99"/>
      <c r="J27" s="100"/>
      <c r="K27"/>
    </row>
    <row r="28" spans="1:11" s="8" customFormat="1">
      <c r="A28" s="118">
        <v>37225</v>
      </c>
      <c r="B28" s="194" t="s">
        <v>345</v>
      </c>
      <c r="C28" s="194" t="s">
        <v>345</v>
      </c>
      <c r="D28" s="194" t="s">
        <v>345</v>
      </c>
      <c r="E28" s="194" t="s">
        <v>345</v>
      </c>
      <c r="F28" s="194" t="s">
        <v>345</v>
      </c>
      <c r="G28" s="99"/>
      <c r="H28" s="101"/>
      <c r="I28" s="99"/>
      <c r="J28" s="100"/>
      <c r="K28"/>
    </row>
    <row r="29" spans="1:11" s="8" customFormat="1">
      <c r="A29" s="118">
        <v>37256</v>
      </c>
      <c r="B29" s="194" t="s">
        <v>345</v>
      </c>
      <c r="C29" s="194" t="s">
        <v>345</v>
      </c>
      <c r="D29" s="194" t="s">
        <v>345</v>
      </c>
      <c r="E29" s="194" t="s">
        <v>345</v>
      </c>
      <c r="F29" s="194" t="s">
        <v>345</v>
      </c>
      <c r="G29" s="99"/>
      <c r="H29" s="101"/>
      <c r="I29" s="99"/>
      <c r="J29" s="100"/>
      <c r="K29"/>
    </row>
    <row r="30" spans="1:11" s="8" customFormat="1">
      <c r="A30" s="118">
        <v>37287</v>
      </c>
      <c r="B30" s="194">
        <v>0.62107600065164426</v>
      </c>
      <c r="C30" s="194">
        <v>0.17439929132986376</v>
      </c>
      <c r="D30" s="194">
        <v>6.8486324880965552E-2</v>
      </c>
      <c r="E30" s="194">
        <v>4.6838666814306269E-2</v>
      </c>
      <c r="F30" s="194">
        <v>8.9199716323220074E-2</v>
      </c>
      <c r="G30" s="99"/>
      <c r="H30" s="101"/>
      <c r="I30" s="99"/>
      <c r="J30" s="100"/>
      <c r="K30"/>
    </row>
    <row r="31" spans="1:11" s="8" customFormat="1">
      <c r="A31" s="118">
        <v>37315</v>
      </c>
      <c r="B31" s="194">
        <v>0.62073574979486601</v>
      </c>
      <c r="C31" s="194">
        <v>0.17476507021954868</v>
      </c>
      <c r="D31" s="194">
        <v>6.839068601596715E-2</v>
      </c>
      <c r="E31" s="194">
        <v>4.6926490455175461E-2</v>
      </c>
      <c r="F31" s="194">
        <v>8.9182003514442568E-2</v>
      </c>
      <c r="G31" s="99"/>
      <c r="H31" s="101"/>
      <c r="I31" s="99"/>
      <c r="J31" s="100"/>
      <c r="K31"/>
    </row>
    <row r="32" spans="1:11" s="8" customFormat="1">
      <c r="A32" s="118">
        <v>37346</v>
      </c>
      <c r="B32" s="194">
        <v>0.61761878609519261</v>
      </c>
      <c r="C32" s="194">
        <v>0.17674440069782218</v>
      </c>
      <c r="D32" s="194">
        <v>6.8158887448965935E-2</v>
      </c>
      <c r="E32" s="194">
        <v>4.7873817902801277E-2</v>
      </c>
      <c r="F32" s="194">
        <v>8.9604107855218038E-2</v>
      </c>
      <c r="G32" s="99"/>
      <c r="H32" s="101"/>
      <c r="I32" s="99"/>
      <c r="J32" s="100"/>
      <c r="K32"/>
    </row>
    <row r="33" spans="1:11" s="8" customFormat="1">
      <c r="A33" s="118">
        <v>37376</v>
      </c>
      <c r="B33" s="194">
        <v>0.61636714044355079</v>
      </c>
      <c r="C33" s="194">
        <v>0.17745393256465294</v>
      </c>
      <c r="D33" s="194">
        <v>6.7814304715676926E-2</v>
      </c>
      <c r="E33" s="194">
        <v>4.8584952488359652E-2</v>
      </c>
      <c r="F33" s="194">
        <v>8.9779669787759905E-2</v>
      </c>
      <c r="G33" s="99"/>
      <c r="H33" s="101"/>
      <c r="I33" s="99"/>
      <c r="J33" s="100"/>
      <c r="K33"/>
    </row>
    <row r="34" spans="1:11" s="8" customFormat="1">
      <c r="A34" s="118">
        <v>37407</v>
      </c>
      <c r="B34" s="194">
        <v>0.59994382962921944</v>
      </c>
      <c r="C34" s="194">
        <v>0.18373741437665553</v>
      </c>
      <c r="D34" s="194">
        <v>7.0764982262138038E-2</v>
      </c>
      <c r="E34" s="194">
        <v>5.3784387182975298E-2</v>
      </c>
      <c r="F34" s="194">
        <v>9.1769386549011733E-2</v>
      </c>
      <c r="G34" s="99"/>
      <c r="H34" s="101"/>
      <c r="I34" s="99"/>
      <c r="J34" s="100"/>
      <c r="K34"/>
    </row>
    <row r="35" spans="1:11" s="8" customFormat="1">
      <c r="A35" s="118">
        <v>37437</v>
      </c>
      <c r="B35" s="194">
        <v>0.60935344932544933</v>
      </c>
      <c r="C35" s="194">
        <v>0.17643671339571734</v>
      </c>
      <c r="D35" s="194">
        <v>7.5286420682587979E-2</v>
      </c>
      <c r="E35" s="194">
        <v>5.7172422757908042E-2</v>
      </c>
      <c r="F35" s="194">
        <v>8.1750993838337463E-2</v>
      </c>
      <c r="G35" s="99"/>
      <c r="H35" s="101"/>
      <c r="I35" s="99"/>
      <c r="J35" s="100"/>
      <c r="K35"/>
    </row>
    <row r="36" spans="1:11" s="8" customFormat="1">
      <c r="A36" s="118">
        <v>37468</v>
      </c>
      <c r="B36" s="194">
        <v>0.60045671556465641</v>
      </c>
      <c r="C36" s="194">
        <v>0.1709618930566795</v>
      </c>
      <c r="D36" s="194">
        <v>7.3635574441817384E-2</v>
      </c>
      <c r="E36" s="194">
        <v>5.9832310363069269E-2</v>
      </c>
      <c r="F36" s="194">
        <v>9.5113506573777512E-2</v>
      </c>
      <c r="G36" s="99"/>
      <c r="H36" s="101"/>
      <c r="I36" s="99"/>
      <c r="J36" s="100"/>
      <c r="K36"/>
    </row>
    <row r="37" spans="1:11" s="8" customFormat="1">
      <c r="A37" s="118">
        <v>37499</v>
      </c>
      <c r="B37" s="194">
        <v>0.60066136885616128</v>
      </c>
      <c r="C37" s="194">
        <v>0.17171284300379641</v>
      </c>
      <c r="D37" s="194">
        <v>7.1822005679026441E-2</v>
      </c>
      <c r="E37" s="194">
        <v>6.0243202480222642E-2</v>
      </c>
      <c r="F37" s="194">
        <v>9.5560579980793287E-2</v>
      </c>
      <c r="G37" s="99"/>
      <c r="H37" s="101"/>
      <c r="I37" s="99"/>
      <c r="J37" s="100"/>
      <c r="K37"/>
    </row>
    <row r="38" spans="1:11" s="8" customFormat="1">
      <c r="A38" s="118">
        <v>37529</v>
      </c>
      <c r="B38" s="194">
        <v>0.59791786407584613</v>
      </c>
      <c r="C38" s="194">
        <v>0.16925386941077511</v>
      </c>
      <c r="D38" s="194">
        <v>7.947319103855717E-2</v>
      </c>
      <c r="E38" s="194">
        <v>6.0129766553226195E-2</v>
      </c>
      <c r="F38" s="194">
        <v>9.3225308921595307E-2</v>
      </c>
      <c r="G38" s="99"/>
      <c r="H38" s="101"/>
      <c r="I38" s="99"/>
      <c r="J38" s="100"/>
      <c r="K38"/>
    </row>
    <row r="39" spans="1:11" s="8" customFormat="1">
      <c r="A39" s="118">
        <v>37560</v>
      </c>
      <c r="B39" s="194">
        <v>0.60211862003201833</v>
      </c>
      <c r="C39" s="194">
        <v>0.17171742023214634</v>
      </c>
      <c r="D39" s="194">
        <v>8.9725609141673449E-2</v>
      </c>
      <c r="E39" s="194">
        <v>6.0749579261448736E-2</v>
      </c>
      <c r="F39" s="194">
        <v>7.5688771332713164E-2</v>
      </c>
      <c r="G39" s="99"/>
      <c r="H39" s="101"/>
      <c r="I39" s="99"/>
      <c r="J39" s="100"/>
      <c r="K39"/>
    </row>
    <row r="40" spans="1:11" s="8" customFormat="1">
      <c r="A40" s="118">
        <v>37590</v>
      </c>
      <c r="B40" s="194">
        <v>0.59961332071461504</v>
      </c>
      <c r="C40" s="194">
        <v>0.17160723322803947</v>
      </c>
      <c r="D40" s="194">
        <v>8.9656637930672731E-2</v>
      </c>
      <c r="E40" s="194">
        <v>6.013670307495126E-2</v>
      </c>
      <c r="F40" s="194">
        <v>7.8986105051721767E-2</v>
      </c>
      <c r="G40" s="99"/>
      <c r="H40" s="101"/>
      <c r="I40" s="99"/>
      <c r="J40" s="100"/>
      <c r="K40"/>
    </row>
    <row r="41" spans="1:11" s="8" customFormat="1">
      <c r="A41" s="118">
        <v>37621</v>
      </c>
      <c r="B41" s="194">
        <v>0.61862195872763215</v>
      </c>
      <c r="C41" s="194">
        <v>0.16153967780162989</v>
      </c>
      <c r="D41" s="194">
        <v>9.0088842950617615E-2</v>
      </c>
      <c r="E41" s="194">
        <v>5.8990936503562234E-2</v>
      </c>
      <c r="F41" s="194">
        <v>7.0758584016558171E-2</v>
      </c>
      <c r="G41" s="99"/>
      <c r="H41" s="101"/>
      <c r="I41" s="99"/>
      <c r="J41" s="100"/>
      <c r="K41"/>
    </row>
    <row r="42" spans="1:11" s="8" customFormat="1">
      <c r="A42" s="118">
        <v>37652</v>
      </c>
      <c r="B42" s="194">
        <v>0.61712647200832338</v>
      </c>
      <c r="C42" s="194">
        <v>0.17435306887445837</v>
      </c>
      <c r="D42" s="194">
        <v>8.6394937911026509E-2</v>
      </c>
      <c r="E42" s="194">
        <v>5.5283641919239984E-2</v>
      </c>
      <c r="F42" s="194">
        <v>6.6841879286951789E-2</v>
      </c>
      <c r="G42" s="99"/>
      <c r="H42" s="101"/>
      <c r="I42" s="99"/>
      <c r="J42" s="100"/>
      <c r="K42"/>
    </row>
    <row r="43" spans="1:11" s="8" customFormat="1">
      <c r="A43" s="118">
        <v>37680</v>
      </c>
      <c r="B43" s="194">
        <v>0.61224385008456872</v>
      </c>
      <c r="C43" s="194">
        <v>0.1752880579828611</v>
      </c>
      <c r="D43" s="194">
        <v>9.0142371210187061E-2</v>
      </c>
      <c r="E43" s="194">
        <v>5.55546689139194E-2</v>
      </c>
      <c r="F43" s="194">
        <v>6.6771051808463516E-2</v>
      </c>
      <c r="G43" s="99"/>
      <c r="H43" s="101"/>
      <c r="I43" s="99"/>
      <c r="J43" s="100"/>
      <c r="K43"/>
    </row>
    <row r="44" spans="1:11" s="8" customFormat="1">
      <c r="A44" s="118">
        <v>37711</v>
      </c>
      <c r="B44" s="194">
        <v>0.59855676876932817</v>
      </c>
      <c r="C44" s="194">
        <v>0.17363415856781189</v>
      </c>
      <c r="D44" s="194">
        <v>0.1055250756281868</v>
      </c>
      <c r="E44" s="194">
        <v>5.5901493634070362E-2</v>
      </c>
      <c r="F44" s="194">
        <v>6.6382503400602699E-2</v>
      </c>
      <c r="G44" s="99"/>
      <c r="H44" s="101"/>
      <c r="I44" s="99"/>
      <c r="J44" s="100"/>
      <c r="K44"/>
    </row>
    <row r="45" spans="1:11" s="8" customFormat="1">
      <c r="A45" s="118">
        <v>37741</v>
      </c>
      <c r="B45" s="194">
        <v>0.58062851845865382</v>
      </c>
      <c r="C45" s="194">
        <v>0.20321171674830776</v>
      </c>
      <c r="D45" s="194">
        <v>0.10003131187824854</v>
      </c>
      <c r="E45" s="194">
        <v>5.3324368913323851E-2</v>
      </c>
      <c r="F45" s="194">
        <v>6.280408400146599E-2</v>
      </c>
      <c r="G45" s="99"/>
      <c r="H45" s="101"/>
      <c r="I45" s="99"/>
      <c r="J45" s="100"/>
      <c r="K45"/>
    </row>
    <row r="46" spans="1:11" s="8" customFormat="1">
      <c r="A46" s="118">
        <v>37772</v>
      </c>
      <c r="B46" s="194">
        <v>0.5759520347497431</v>
      </c>
      <c r="C46" s="194">
        <v>0.20486916335055724</v>
      </c>
      <c r="D46" s="194">
        <v>0.10222307411940716</v>
      </c>
      <c r="E46" s="194">
        <v>5.4288891638720083E-2</v>
      </c>
      <c r="F46" s="194">
        <v>6.266683614157248E-2</v>
      </c>
      <c r="G46" s="99"/>
      <c r="H46" s="101"/>
      <c r="I46" s="99"/>
      <c r="J46" s="100"/>
      <c r="K46"/>
    </row>
    <row r="47" spans="1:11" s="8" customFormat="1">
      <c r="A47" s="118">
        <v>37802</v>
      </c>
      <c r="B47" s="194">
        <v>0.57548710386585389</v>
      </c>
      <c r="C47" s="194">
        <v>0.1977727081447743</v>
      </c>
      <c r="D47" s="194">
        <v>0.11291205283194214</v>
      </c>
      <c r="E47" s="194">
        <v>5.4883000383646213E-2</v>
      </c>
      <c r="F47" s="194">
        <v>5.8945134773783499E-2</v>
      </c>
      <c r="G47" s="99"/>
      <c r="H47" s="101"/>
      <c r="I47" s="99"/>
      <c r="J47" s="100"/>
      <c r="K47"/>
    </row>
    <row r="48" spans="1:11" s="8" customFormat="1">
      <c r="A48" s="118">
        <v>37833</v>
      </c>
      <c r="B48" s="194">
        <v>0.5691388921903342</v>
      </c>
      <c r="C48" s="194">
        <v>0.19837570891626172</v>
      </c>
      <c r="D48" s="194">
        <v>0.11390706021194526</v>
      </c>
      <c r="E48" s="194">
        <v>6.0248721837052314E-2</v>
      </c>
      <c r="F48" s="194">
        <v>5.8329616844406434E-2</v>
      </c>
      <c r="G48" s="99"/>
      <c r="H48" s="101"/>
      <c r="I48" s="99"/>
      <c r="J48" s="100"/>
      <c r="K48"/>
    </row>
    <row r="49" spans="1:11" s="8" customFormat="1">
      <c r="A49" s="118">
        <v>37864</v>
      </c>
      <c r="B49" s="194">
        <v>0.57351178155580196</v>
      </c>
      <c r="C49" s="194">
        <v>0.19572291206196557</v>
      </c>
      <c r="D49" s="194">
        <v>0.1125064095227203</v>
      </c>
      <c r="E49" s="194">
        <v>6.0062238274558248E-2</v>
      </c>
      <c r="F49" s="194">
        <v>5.8196658584954056E-2</v>
      </c>
      <c r="G49" s="99"/>
      <c r="H49" s="101"/>
      <c r="I49" s="99"/>
      <c r="J49" s="100"/>
      <c r="K49"/>
    </row>
    <row r="50" spans="1:11" s="8" customFormat="1">
      <c r="A50" s="118">
        <v>37894</v>
      </c>
      <c r="B50" s="194">
        <v>0.5630653536162209</v>
      </c>
      <c r="C50" s="194">
        <v>0.19126427620795858</v>
      </c>
      <c r="D50" s="194">
        <v>0.12031245345098154</v>
      </c>
      <c r="E50" s="194">
        <v>5.6272252001089318E-2</v>
      </c>
      <c r="F50" s="194">
        <v>6.9085664723749801E-2</v>
      </c>
      <c r="G50" s="99"/>
      <c r="H50" s="101"/>
      <c r="I50" s="99"/>
      <c r="J50" s="100"/>
      <c r="K50"/>
    </row>
    <row r="51" spans="1:11" s="8" customFormat="1">
      <c r="A51" s="118">
        <v>37925</v>
      </c>
      <c r="B51" s="194">
        <v>0.55703367299349682</v>
      </c>
      <c r="C51" s="194">
        <v>0.20318955484899398</v>
      </c>
      <c r="D51" s="194">
        <v>0.11993733839913213</v>
      </c>
      <c r="E51" s="194">
        <v>5.6254466616552069E-2</v>
      </c>
      <c r="F51" s="194">
        <v>6.358496714182503E-2</v>
      </c>
      <c r="G51" s="99"/>
      <c r="H51" s="101"/>
      <c r="I51" s="99"/>
      <c r="J51" s="100"/>
      <c r="K51"/>
    </row>
    <row r="52" spans="1:11" s="8" customFormat="1">
      <c r="A52" s="118">
        <v>37955</v>
      </c>
      <c r="B52" s="194">
        <v>0.55102582624003771</v>
      </c>
      <c r="C52" s="194">
        <v>0.20010935700841023</v>
      </c>
      <c r="D52" s="194">
        <v>0.12600922397303768</v>
      </c>
      <c r="E52" s="194">
        <v>6.0915840475923376E-2</v>
      </c>
      <c r="F52" s="194">
        <v>6.1939752302591064E-2</v>
      </c>
      <c r="G52" s="99"/>
      <c r="H52" s="101"/>
      <c r="I52" s="99"/>
      <c r="J52" s="100"/>
      <c r="K52"/>
    </row>
    <row r="53" spans="1:11" s="8" customFormat="1">
      <c r="A53" s="118">
        <v>37986</v>
      </c>
      <c r="B53" s="194">
        <v>0.54370918478405073</v>
      </c>
      <c r="C53" s="194">
        <v>0.2108337359155224</v>
      </c>
      <c r="D53" s="194">
        <v>0.12690318677980209</v>
      </c>
      <c r="E53" s="194">
        <v>6.016588596807966E-2</v>
      </c>
      <c r="F53" s="194">
        <v>5.8388006552545099E-2</v>
      </c>
      <c r="G53" s="99"/>
      <c r="H53" s="101"/>
      <c r="I53" s="99"/>
      <c r="J53" s="100"/>
      <c r="K53"/>
    </row>
    <row r="54" spans="1:11" s="8" customFormat="1">
      <c r="A54" s="118">
        <v>38017</v>
      </c>
      <c r="B54" s="194">
        <v>0.55713310291124596</v>
      </c>
      <c r="C54" s="194">
        <v>0.20490842043396243</v>
      </c>
      <c r="D54" s="194">
        <v>0.12411593864835432</v>
      </c>
      <c r="E54" s="194">
        <v>5.8216253923414417E-2</v>
      </c>
      <c r="F54" s="194">
        <v>5.5626284083022892E-2</v>
      </c>
      <c r="G54" s="99"/>
      <c r="H54" s="101"/>
      <c r="I54" s="99"/>
      <c r="J54" s="100"/>
      <c r="K54"/>
    </row>
    <row r="55" spans="1:11" s="8" customFormat="1">
      <c r="A55" s="118">
        <v>38046</v>
      </c>
      <c r="B55" s="194">
        <v>0.57550753173901348</v>
      </c>
      <c r="C55" s="194">
        <v>0.21289333927646359</v>
      </c>
      <c r="D55" s="194">
        <v>0.1297400588305509</v>
      </c>
      <c r="E55" s="194">
        <v>6.314565087441637E-2</v>
      </c>
      <c r="F55" s="194">
        <v>5.8234881316868263E-2</v>
      </c>
      <c r="G55" s="99"/>
      <c r="H55" s="101"/>
      <c r="I55" s="99"/>
      <c r="J55" s="100"/>
      <c r="K55"/>
    </row>
    <row r="56" spans="1:11" s="8" customFormat="1">
      <c r="A56" s="118">
        <v>38077</v>
      </c>
      <c r="B56" s="194">
        <v>0.55323780049638027</v>
      </c>
      <c r="C56" s="194">
        <v>0.20628426811510808</v>
      </c>
      <c r="D56" s="194">
        <v>0.12516235406561976</v>
      </c>
      <c r="E56" s="194">
        <v>5.9603740703488374E-2</v>
      </c>
      <c r="F56" s="194">
        <v>5.5711836619403432E-2</v>
      </c>
      <c r="G56" s="99"/>
      <c r="H56" s="101"/>
      <c r="I56" s="99"/>
      <c r="J56" s="100"/>
      <c r="K56"/>
    </row>
    <row r="57" spans="1:11" s="8" customFormat="1">
      <c r="A57" s="118">
        <v>38107</v>
      </c>
      <c r="B57" s="194">
        <v>0.54844105143621835</v>
      </c>
      <c r="C57" s="194">
        <v>0.20570506806489691</v>
      </c>
      <c r="D57" s="194">
        <v>0.12501443498426332</v>
      </c>
      <c r="E57" s="194">
        <v>6.5443475641051421E-2</v>
      </c>
      <c r="F57" s="194">
        <v>5.5395969873570039E-2</v>
      </c>
      <c r="G57" s="99"/>
      <c r="H57" s="101"/>
      <c r="I57" s="99"/>
      <c r="J57" s="100"/>
      <c r="K57"/>
    </row>
    <row r="58" spans="1:11" s="8" customFormat="1">
      <c r="A58" s="118">
        <v>38138</v>
      </c>
      <c r="B58" s="194">
        <v>0.54895652813521945</v>
      </c>
      <c r="C58" s="194">
        <v>0.2053599620562043</v>
      </c>
      <c r="D58" s="194">
        <v>0.12517018355538956</v>
      </c>
      <c r="E58" s="194">
        <v>6.5443419107321238E-2</v>
      </c>
      <c r="F58" s="194">
        <v>5.5069907145865592E-2</v>
      </c>
      <c r="G58" s="99"/>
      <c r="H58" s="101"/>
      <c r="I58" s="99"/>
      <c r="J58" s="100"/>
      <c r="K58"/>
    </row>
    <row r="59" spans="1:11" s="8" customFormat="1">
      <c r="A59" s="118">
        <v>38168</v>
      </c>
      <c r="B59" s="194">
        <v>0.54318578834416431</v>
      </c>
      <c r="C59" s="194">
        <v>0.19950626841847333</v>
      </c>
      <c r="D59" s="194">
        <v>0.12533366023612705</v>
      </c>
      <c r="E59" s="194">
        <v>6.6371036269585529E-2</v>
      </c>
      <c r="F59" s="194">
        <v>6.560324673164962E-2</v>
      </c>
      <c r="G59" s="99"/>
      <c r="H59" s="101"/>
      <c r="I59" s="99"/>
      <c r="J59" s="100"/>
      <c r="K59"/>
    </row>
    <row r="60" spans="1:11" s="8" customFormat="1">
      <c r="A60" s="118">
        <v>38199</v>
      </c>
      <c r="B60" s="194">
        <v>0.54485057946174453</v>
      </c>
      <c r="C60" s="194">
        <v>0.19897808363083894</v>
      </c>
      <c r="D60" s="194">
        <v>0.12558481858261833</v>
      </c>
      <c r="E60" s="194">
        <v>6.6264265382486087E-2</v>
      </c>
      <c r="F60" s="194">
        <v>6.4322252942311975E-2</v>
      </c>
      <c r="G60" s="99"/>
      <c r="H60" s="101"/>
      <c r="I60" s="99"/>
      <c r="J60" s="100"/>
      <c r="K60"/>
    </row>
    <row r="61" spans="1:11" s="8" customFormat="1">
      <c r="A61" s="118">
        <v>38230</v>
      </c>
      <c r="B61" s="194">
        <v>0.54302812665867517</v>
      </c>
      <c r="C61" s="194">
        <v>0.19770567712560352</v>
      </c>
      <c r="D61" s="194">
        <v>0.12553692978093969</v>
      </c>
      <c r="E61" s="194">
        <v>6.94180974448423E-2</v>
      </c>
      <c r="F61" s="194">
        <v>6.4311168989939299E-2</v>
      </c>
      <c r="G61" s="99"/>
      <c r="H61" s="101"/>
      <c r="I61" s="99"/>
      <c r="J61" s="100"/>
      <c r="K61"/>
    </row>
    <row r="62" spans="1:11" s="8" customFormat="1">
      <c r="A62" s="118">
        <v>38260</v>
      </c>
      <c r="B62" s="194">
        <v>0.53305009582017915</v>
      </c>
      <c r="C62" s="194">
        <v>0.19247532611922147</v>
      </c>
      <c r="D62" s="194">
        <v>0.12216354541172593</v>
      </c>
      <c r="E62" s="194">
        <v>6.6267197552895757E-2</v>
      </c>
      <c r="F62" s="194">
        <v>8.6043835095977766E-2</v>
      </c>
      <c r="G62" s="99"/>
      <c r="H62" s="101"/>
      <c r="I62" s="99"/>
      <c r="J62" s="100"/>
      <c r="K62"/>
    </row>
    <row r="63" spans="1:11" s="8" customFormat="1">
      <c r="A63" s="118">
        <v>38291</v>
      </c>
      <c r="B63" s="194">
        <v>0.55132894962734735</v>
      </c>
      <c r="C63" s="194">
        <v>0.19297951427285848</v>
      </c>
      <c r="D63" s="194">
        <v>0.12790644055002715</v>
      </c>
      <c r="E63" s="194">
        <v>6.5627828667037313E-2</v>
      </c>
      <c r="F63" s="194">
        <v>6.2157266882729628E-2</v>
      </c>
      <c r="G63" s="99"/>
      <c r="H63" s="101"/>
      <c r="I63" s="99"/>
      <c r="J63" s="100"/>
      <c r="K63"/>
    </row>
    <row r="64" spans="1:11" s="8" customFormat="1">
      <c r="A64" s="118">
        <v>38321</v>
      </c>
      <c r="B64" s="194">
        <v>0.55451587849656991</v>
      </c>
      <c r="C64" s="194">
        <v>0.18855581941521157</v>
      </c>
      <c r="D64" s="194">
        <v>0.1338463068560094</v>
      </c>
      <c r="E64" s="194">
        <v>6.3009502633857684E-2</v>
      </c>
      <c r="F64" s="194">
        <v>6.0072492598351422E-2</v>
      </c>
      <c r="G64" s="99"/>
      <c r="H64" s="101"/>
      <c r="I64" s="99"/>
      <c r="J64" s="100"/>
      <c r="K64"/>
    </row>
    <row r="65" spans="1:11" s="8" customFormat="1">
      <c r="A65" s="118">
        <v>38352</v>
      </c>
      <c r="B65" s="194">
        <v>0.55167590190433025</v>
      </c>
      <c r="C65" s="194">
        <v>0.19317182407492497</v>
      </c>
      <c r="D65" s="194">
        <v>0.13342565450528499</v>
      </c>
      <c r="E65" s="194">
        <v>6.2866564767237121E-2</v>
      </c>
      <c r="F65" s="194">
        <v>5.8860054748222493E-2</v>
      </c>
      <c r="G65" s="99"/>
      <c r="H65" s="101"/>
      <c r="I65" s="99"/>
      <c r="J65" s="100"/>
      <c r="K65"/>
    </row>
    <row r="66" spans="1:11" s="8" customFormat="1">
      <c r="A66" s="118">
        <v>38383</v>
      </c>
      <c r="B66" s="194">
        <v>0.55558878232083908</v>
      </c>
      <c r="C66" s="194">
        <v>0.19140337787434425</v>
      </c>
      <c r="D66" s="194">
        <v>0.13325576239161235</v>
      </c>
      <c r="E66" s="194">
        <v>6.2355946014310458E-2</v>
      </c>
      <c r="F66" s="194">
        <v>5.7396131398893838E-2</v>
      </c>
      <c r="G66" s="99"/>
      <c r="H66" s="101"/>
      <c r="I66" s="99"/>
      <c r="J66" s="100"/>
      <c r="K66"/>
    </row>
    <row r="67" spans="1:11" s="8" customFormat="1">
      <c r="A67" s="118">
        <v>38411</v>
      </c>
      <c r="B67" s="194">
        <v>0.56313243558988535</v>
      </c>
      <c r="C67" s="194">
        <v>0.18845985699851486</v>
      </c>
      <c r="D67" s="194">
        <v>0.13110124126062789</v>
      </c>
      <c r="E67" s="194">
        <v>6.1024404441860532E-2</v>
      </c>
      <c r="F67" s="194">
        <v>5.6282061709111451E-2</v>
      </c>
      <c r="G67" s="99"/>
      <c r="H67" s="101"/>
      <c r="I67" s="99"/>
      <c r="J67" s="100"/>
      <c r="K67"/>
    </row>
    <row r="68" spans="1:11" s="8" customFormat="1">
      <c r="A68" s="118">
        <v>38442</v>
      </c>
      <c r="B68" s="194">
        <v>0.56498282312735404</v>
      </c>
      <c r="C68" s="194">
        <v>0.18817563841777435</v>
      </c>
      <c r="D68" s="194">
        <v>0.13121330916017745</v>
      </c>
      <c r="E68" s="194">
        <v>5.9637060514584936E-2</v>
      </c>
      <c r="F68" s="194">
        <v>5.5991168780109103E-2</v>
      </c>
      <c r="G68" s="99"/>
      <c r="H68" s="101"/>
      <c r="I68" s="99"/>
      <c r="J68" s="100"/>
      <c r="K68"/>
    </row>
    <row r="69" spans="1:11" s="8" customFormat="1">
      <c r="A69" s="118">
        <v>38472</v>
      </c>
      <c r="B69" s="194">
        <v>0.5860887393474612</v>
      </c>
      <c r="C69" s="194">
        <v>0.14151247915745738</v>
      </c>
      <c r="D69" s="194">
        <v>0.1445141325335845</v>
      </c>
      <c r="E69" s="194">
        <v>6.8584699594524318E-2</v>
      </c>
      <c r="F69" s="194">
        <v>5.9299949366972575E-2</v>
      </c>
      <c r="G69" s="99"/>
      <c r="H69" s="101"/>
      <c r="I69" s="99"/>
      <c r="J69" s="100"/>
      <c r="K69"/>
    </row>
    <row r="70" spans="1:11" s="8" customFormat="1">
      <c r="A70" s="118">
        <v>38503</v>
      </c>
      <c r="B70" s="194">
        <v>0.58939326207693432</v>
      </c>
      <c r="C70" s="194">
        <v>0.14113396904287101</v>
      </c>
      <c r="D70" s="194">
        <v>0.14274456760177015</v>
      </c>
      <c r="E70" s="194">
        <v>6.7842956977785265E-2</v>
      </c>
      <c r="F70" s="194">
        <v>5.8885244300639239E-2</v>
      </c>
      <c r="G70" s="99"/>
      <c r="H70" s="101"/>
      <c r="I70" s="99"/>
      <c r="J70" s="100"/>
      <c r="K70"/>
    </row>
    <row r="71" spans="1:11" s="8" customFormat="1">
      <c r="A71" s="118">
        <v>38533</v>
      </c>
      <c r="B71" s="194">
        <v>0.57865192032748647</v>
      </c>
      <c r="C71" s="194">
        <v>0.14519754892051151</v>
      </c>
      <c r="D71" s="194">
        <v>0.14723604078553157</v>
      </c>
      <c r="E71" s="194">
        <v>6.9301806621253709E-2</v>
      </c>
      <c r="F71" s="194">
        <v>5.961268334521682E-2</v>
      </c>
      <c r="G71" s="99"/>
      <c r="H71" s="101"/>
      <c r="I71" s="99"/>
      <c r="J71" s="100"/>
      <c r="K71"/>
    </row>
    <row r="72" spans="1:11" s="8" customFormat="1">
      <c r="A72" s="118">
        <v>38564</v>
      </c>
      <c r="B72" s="194">
        <v>0.58574921623549192</v>
      </c>
      <c r="C72" s="194">
        <v>0.14719964909812502</v>
      </c>
      <c r="D72" s="194">
        <v>0.14253082461279951</v>
      </c>
      <c r="E72" s="194">
        <v>6.6934103161717939E-2</v>
      </c>
      <c r="F72" s="194">
        <v>5.7586206891865312E-2</v>
      </c>
      <c r="G72" s="99"/>
      <c r="H72" s="101"/>
      <c r="I72" s="99"/>
      <c r="J72" s="100"/>
      <c r="K72"/>
    </row>
    <row r="73" spans="1:11" s="8" customFormat="1">
      <c r="A73" s="118">
        <v>38595</v>
      </c>
      <c r="B73" s="194">
        <v>0.58492923360640414</v>
      </c>
      <c r="C73" s="194">
        <v>0.14542952833636841</v>
      </c>
      <c r="D73" s="194">
        <v>0.14225901766316243</v>
      </c>
      <c r="E73" s="194">
        <v>7.0421191527394011E-2</v>
      </c>
      <c r="F73" s="194">
        <v>5.6961028866671017E-2</v>
      </c>
      <c r="G73" s="99"/>
      <c r="H73" s="101"/>
      <c r="I73" s="99"/>
      <c r="J73" s="100"/>
      <c r="K73"/>
    </row>
    <row r="74" spans="1:11" s="8" customFormat="1">
      <c r="A74" s="118">
        <v>38625</v>
      </c>
      <c r="B74" s="194">
        <v>0.5737716656904972</v>
      </c>
      <c r="C74" s="194">
        <v>0.15091630088456515</v>
      </c>
      <c r="D74" s="194">
        <v>0.14548163298568154</v>
      </c>
      <c r="E74" s="194">
        <v>7.1488026888788081E-2</v>
      </c>
      <c r="F74" s="194">
        <v>5.8342373550467855E-2</v>
      </c>
      <c r="G74" s="99"/>
      <c r="H74" s="101"/>
      <c r="I74" s="99"/>
      <c r="J74" s="100"/>
      <c r="K74"/>
    </row>
    <row r="75" spans="1:11" s="8" customFormat="1">
      <c r="A75" s="118">
        <v>38656</v>
      </c>
      <c r="B75" s="194">
        <v>0.55939530862666098</v>
      </c>
      <c r="C75" s="194">
        <v>0.15364497292957324</v>
      </c>
      <c r="D75" s="194">
        <v>0.15563453041417288</v>
      </c>
      <c r="E75" s="194">
        <v>7.2574226770796141E-2</v>
      </c>
      <c r="F75" s="194">
        <v>5.8750961258796773E-2</v>
      </c>
      <c r="G75" s="99"/>
      <c r="H75" s="101"/>
      <c r="I75" s="99"/>
      <c r="J75" s="100"/>
      <c r="K75"/>
    </row>
    <row r="76" spans="1:11" s="8" customFormat="1">
      <c r="A76" s="118">
        <v>38686</v>
      </c>
      <c r="B76" s="194">
        <v>0.57564555869978096</v>
      </c>
      <c r="C76" s="194">
        <v>0.15437872256732257</v>
      </c>
      <c r="D76" s="194">
        <v>0.15626862452530557</v>
      </c>
      <c r="E76" s="194">
        <v>7.5068142020912207E-2</v>
      </c>
      <c r="F76" s="194">
        <v>3.8638952186678698E-2</v>
      </c>
      <c r="G76" s="99"/>
      <c r="H76" s="101"/>
      <c r="I76" s="99"/>
      <c r="J76" s="100"/>
      <c r="K76"/>
    </row>
    <row r="77" spans="1:11" s="8" customFormat="1">
      <c r="A77" s="118">
        <v>38717</v>
      </c>
      <c r="B77" s="194">
        <v>0.57749286410845757</v>
      </c>
      <c r="C77" s="194">
        <v>0.1503480361105162</v>
      </c>
      <c r="D77" s="194">
        <v>0.16446596814514969</v>
      </c>
      <c r="E77" s="194">
        <v>7.3918782519719964E-2</v>
      </c>
      <c r="F77" s="194">
        <v>3.3774349116156586E-2</v>
      </c>
      <c r="G77" s="99"/>
      <c r="H77" s="101"/>
      <c r="I77" s="99"/>
      <c r="J77" s="100"/>
      <c r="K77"/>
    </row>
    <row r="78" spans="1:11" s="8" customFormat="1">
      <c r="A78" s="118">
        <v>38748</v>
      </c>
      <c r="B78" s="194">
        <v>0.58008122455693267</v>
      </c>
      <c r="C78" s="194">
        <v>0.14985130895344462</v>
      </c>
      <c r="D78" s="194">
        <v>0.16518247152179633</v>
      </c>
      <c r="E78" s="194">
        <v>7.2263239629483486E-2</v>
      </c>
      <c r="F78" s="194">
        <v>3.2621755338342849E-2</v>
      </c>
      <c r="G78" s="99"/>
      <c r="H78" s="101"/>
      <c r="I78" s="99"/>
      <c r="J78" s="100"/>
      <c r="K78"/>
    </row>
    <row r="79" spans="1:11" s="8" customFormat="1">
      <c r="A79" s="118">
        <v>38776</v>
      </c>
      <c r="B79" s="194">
        <v>0.57931783077499899</v>
      </c>
      <c r="C79" s="194">
        <v>0.14957513901425773</v>
      </c>
      <c r="D79" s="194">
        <v>0.1662674897091431</v>
      </c>
      <c r="E79" s="194">
        <v>7.2431599455511197E-2</v>
      </c>
      <c r="F79" s="194">
        <v>3.24079410460891E-2</v>
      </c>
      <c r="G79" s="99"/>
      <c r="H79" s="101"/>
      <c r="I79" s="99"/>
      <c r="J79" s="100"/>
      <c r="K79"/>
    </row>
    <row r="80" spans="1:11" s="8" customFormat="1">
      <c r="A80" s="118">
        <v>38807</v>
      </c>
      <c r="B80" s="194">
        <v>0.58237050878158281</v>
      </c>
      <c r="C80" s="194">
        <v>0.15497596000028657</v>
      </c>
      <c r="D80" s="194">
        <v>0.17308421439361751</v>
      </c>
      <c r="E80" s="194">
        <v>7.3103047520291037E-2</v>
      </c>
      <c r="F80" s="194">
        <v>1.6466269304222007E-2</v>
      </c>
      <c r="G80" s="99"/>
      <c r="H80" s="101"/>
      <c r="I80" s="99"/>
      <c r="J80" s="100"/>
      <c r="K80"/>
    </row>
    <row r="81" spans="1:11" s="8" customFormat="1">
      <c r="A81" s="118">
        <v>38837</v>
      </c>
      <c r="B81" s="194">
        <v>0.58109199807937995</v>
      </c>
      <c r="C81" s="194">
        <v>0.15660469489957693</v>
      </c>
      <c r="D81" s="194">
        <v>0.17346139098760419</v>
      </c>
      <c r="E81" s="194">
        <v>7.2343606469732105E-2</v>
      </c>
      <c r="F81" s="194">
        <v>1.6498309563706903E-2</v>
      </c>
      <c r="G81" s="99"/>
      <c r="H81" s="101"/>
      <c r="I81" s="99"/>
      <c r="J81" s="100"/>
      <c r="K81"/>
    </row>
    <row r="82" spans="1:11" s="8" customFormat="1">
      <c r="A82" s="118">
        <v>38868</v>
      </c>
      <c r="B82" s="194">
        <v>0.58019990942611332</v>
      </c>
      <c r="C82" s="194">
        <v>0.16740061181833249</v>
      </c>
      <c r="D82" s="194">
        <v>0.17266742359344373</v>
      </c>
      <c r="E82" s="194">
        <v>6.3283979285621086E-2</v>
      </c>
      <c r="F82" s="194">
        <v>1.6448075876489304E-2</v>
      </c>
      <c r="G82" s="99"/>
      <c r="H82" s="101"/>
      <c r="I82" s="99"/>
      <c r="J82" s="100"/>
      <c r="K82"/>
    </row>
    <row r="83" spans="1:11" s="8" customFormat="1">
      <c r="A83" s="118">
        <v>38898</v>
      </c>
      <c r="B83" s="194">
        <v>0.57275275717426943</v>
      </c>
      <c r="C83" s="194">
        <v>0.17108764912213803</v>
      </c>
      <c r="D83" s="194">
        <v>0.17828132164508997</v>
      </c>
      <c r="E83" s="194">
        <v>6.2410957560931658E-2</v>
      </c>
      <c r="F83" s="194">
        <v>1.5467314497570859E-2</v>
      </c>
      <c r="G83" s="99"/>
      <c r="H83" s="101"/>
      <c r="I83" s="99"/>
      <c r="J83" s="100"/>
      <c r="K83"/>
    </row>
    <row r="84" spans="1:11" s="8" customFormat="1">
      <c r="A84" s="118">
        <v>38929</v>
      </c>
      <c r="B84" s="194">
        <v>0.59650148610116915</v>
      </c>
      <c r="C84" s="194">
        <v>0.16135511397543889</v>
      </c>
      <c r="D84" s="194">
        <v>0.17023009879338208</v>
      </c>
      <c r="E84" s="194">
        <v>5.7596378719807884E-2</v>
      </c>
      <c r="F84" s="194">
        <v>1.4316922410201893E-2</v>
      </c>
      <c r="G84" s="99"/>
      <c r="H84" s="101"/>
      <c r="I84" s="99"/>
      <c r="J84" s="100"/>
      <c r="K84"/>
    </row>
    <row r="85" spans="1:11" s="8" customFormat="1">
      <c r="A85" s="118">
        <v>38960</v>
      </c>
      <c r="B85" s="194">
        <v>0.5981975229701969</v>
      </c>
      <c r="C85" s="194">
        <v>0.15808038785816039</v>
      </c>
      <c r="D85" s="194">
        <v>0.16685729298619351</v>
      </c>
      <c r="E85" s="194">
        <v>6.3196151423600494E-2</v>
      </c>
      <c r="F85" s="194">
        <v>1.3668644761848838E-2</v>
      </c>
      <c r="G85" s="99"/>
      <c r="H85" s="101"/>
      <c r="I85" s="99"/>
      <c r="J85" s="100"/>
      <c r="K85"/>
    </row>
    <row r="86" spans="1:11" s="8" customFormat="1">
      <c r="A86" s="118">
        <v>38990</v>
      </c>
      <c r="B86" s="194">
        <v>0.60033483110345354</v>
      </c>
      <c r="C86" s="194">
        <v>0.16060160302827015</v>
      </c>
      <c r="D86" s="194">
        <v>0.16068536570151845</v>
      </c>
      <c r="E86" s="194">
        <v>6.5569947816778371E-2</v>
      </c>
      <c r="F86" s="194">
        <v>1.2808252349979454E-2</v>
      </c>
      <c r="G86" s="99"/>
      <c r="H86" s="101"/>
      <c r="I86" s="99"/>
      <c r="J86" s="100"/>
      <c r="K86"/>
    </row>
    <row r="87" spans="1:11" s="8" customFormat="1">
      <c r="A87" s="118">
        <v>39021</v>
      </c>
      <c r="B87" s="194">
        <v>0.59401544067635115</v>
      </c>
      <c r="C87" s="194">
        <v>0.16022277478528904</v>
      </c>
      <c r="D87" s="194">
        <v>0.16942219228616018</v>
      </c>
      <c r="E87" s="194">
        <v>6.3762683224683273E-2</v>
      </c>
      <c r="F87" s="194">
        <v>1.2576909027516365E-2</v>
      </c>
      <c r="G87" s="99"/>
      <c r="H87" s="101"/>
      <c r="I87" s="99"/>
      <c r="J87" s="100"/>
      <c r="K87"/>
    </row>
    <row r="88" spans="1:11" s="8" customFormat="1">
      <c r="A88" s="118">
        <v>39051</v>
      </c>
      <c r="B88" s="194">
        <v>0.60004043156198794</v>
      </c>
      <c r="C88" s="194">
        <v>0.15795744783614485</v>
      </c>
      <c r="D88" s="194">
        <v>0.16672106199272727</v>
      </c>
      <c r="E88" s="194">
        <v>6.2286224388953759E-2</v>
      </c>
      <c r="F88" s="194">
        <v>1.2994834220186277E-2</v>
      </c>
      <c r="G88" s="99"/>
      <c r="H88" s="101"/>
      <c r="I88" s="99"/>
      <c r="J88" s="100"/>
      <c r="K88"/>
    </row>
    <row r="89" spans="1:11" s="8" customFormat="1">
      <c r="A89" s="118">
        <v>39082</v>
      </c>
      <c r="B89" s="194">
        <v>0.58454086334826372</v>
      </c>
      <c r="C89" s="194">
        <v>0.16450747449045655</v>
      </c>
      <c r="D89" s="194">
        <v>0.17808775096308349</v>
      </c>
      <c r="E89" s="194">
        <v>6.0834050660066183E-2</v>
      </c>
      <c r="F89" s="194">
        <v>1.2029860538130013E-2</v>
      </c>
      <c r="G89" s="99"/>
      <c r="H89" s="101"/>
      <c r="I89" s="99"/>
      <c r="J89" s="100"/>
      <c r="K89"/>
    </row>
    <row r="90" spans="1:11" s="8" customFormat="1">
      <c r="A90" s="118">
        <v>39113</v>
      </c>
      <c r="B90" s="194">
        <v>0.58659721807850418</v>
      </c>
      <c r="C90" s="194">
        <v>0.16333283922369327</v>
      </c>
      <c r="D90" s="194">
        <v>0.17946965158988953</v>
      </c>
      <c r="E90" s="194">
        <v>5.969299572592203E-2</v>
      </c>
      <c r="F90" s="194">
        <v>1.0907295381990881E-2</v>
      </c>
      <c r="G90" s="99"/>
      <c r="H90" s="101"/>
      <c r="I90" s="99"/>
      <c r="J90" s="100"/>
      <c r="K90"/>
    </row>
    <row r="91" spans="1:11" s="8" customFormat="1">
      <c r="A91" s="118">
        <v>39141</v>
      </c>
      <c r="B91" s="194">
        <v>0.57914876310426588</v>
      </c>
      <c r="C91" s="194">
        <v>0.1665017636484564</v>
      </c>
      <c r="D91" s="194">
        <v>0.18334221199338241</v>
      </c>
      <c r="E91" s="194">
        <v>5.9815144213296575E-2</v>
      </c>
      <c r="F91" s="194">
        <v>1.1192117040598863E-2</v>
      </c>
      <c r="G91" s="99"/>
      <c r="H91" s="101"/>
      <c r="I91" s="99"/>
      <c r="J91" s="100"/>
      <c r="K91"/>
    </row>
    <row r="92" spans="1:11" s="8" customFormat="1">
      <c r="A92" s="118">
        <v>39172</v>
      </c>
      <c r="B92" s="194">
        <v>0.58141074713466234</v>
      </c>
      <c r="C92" s="194">
        <v>0.1649836812815216</v>
      </c>
      <c r="D92" s="194">
        <v>0.18334674657004879</v>
      </c>
      <c r="E92" s="194">
        <v>5.9538865684267049E-2</v>
      </c>
      <c r="F92" s="194">
        <v>1.0719959329500345E-2</v>
      </c>
      <c r="G92" s="99"/>
      <c r="H92" s="101"/>
      <c r="I92" s="99"/>
      <c r="J92" s="100"/>
      <c r="K92"/>
    </row>
    <row r="93" spans="1:11" s="8" customFormat="1">
      <c r="A93" s="118">
        <v>39202</v>
      </c>
      <c r="B93" s="194">
        <v>0.58173484738518288</v>
      </c>
      <c r="C93" s="194">
        <v>0.16442389105515931</v>
      </c>
      <c r="D93" s="194">
        <v>0.18427834013509992</v>
      </c>
      <c r="E93" s="194">
        <v>5.888704628893985E-2</v>
      </c>
      <c r="F93" s="194">
        <v>1.0675875135618029E-2</v>
      </c>
      <c r="G93" s="99"/>
      <c r="H93" s="101"/>
      <c r="I93" s="99"/>
      <c r="J93" s="100"/>
      <c r="K93"/>
    </row>
    <row r="94" spans="1:11" s="8" customFormat="1">
      <c r="A94" s="118">
        <v>39203</v>
      </c>
      <c r="B94" s="194">
        <v>0.58355722914578179</v>
      </c>
      <c r="C94" s="194">
        <v>0.16307894704576578</v>
      </c>
      <c r="D94" s="194">
        <v>0.18441360515325042</v>
      </c>
      <c r="E94" s="194">
        <v>5.8447365591387662E-2</v>
      </c>
      <c r="F94" s="194">
        <v>1.0502853063814183E-2</v>
      </c>
      <c r="G94" s="99"/>
      <c r="H94" s="101"/>
      <c r="I94" s="99"/>
      <c r="J94" s="100"/>
      <c r="K94"/>
    </row>
    <row r="95" spans="1:11" s="8" customFormat="1">
      <c r="A95" s="118">
        <v>39263</v>
      </c>
      <c r="B95" s="194">
        <v>0.58143124372079258</v>
      </c>
      <c r="C95" s="194">
        <v>0.16881464147819211</v>
      </c>
      <c r="D95" s="194">
        <v>0.18199682149219235</v>
      </c>
      <c r="E95" s="194">
        <v>5.7941750937323691E-2</v>
      </c>
      <c r="F95" s="194">
        <v>9.8155423714990885E-3</v>
      </c>
      <c r="G95" s="99"/>
      <c r="H95" s="101"/>
      <c r="I95" s="99"/>
      <c r="J95" s="100"/>
      <c r="K95"/>
    </row>
    <row r="96" spans="1:11" s="8" customFormat="1">
      <c r="A96" s="118">
        <v>39294</v>
      </c>
      <c r="B96" s="194">
        <v>0.58752240168264835</v>
      </c>
      <c r="C96" s="194">
        <v>0.1693047919672315</v>
      </c>
      <c r="D96" s="194">
        <v>0.17599969095442908</v>
      </c>
      <c r="E96" s="194">
        <v>5.7049185507536813E-2</v>
      </c>
      <c r="F96" s="194">
        <v>1.0123929888154087E-2</v>
      </c>
      <c r="G96" s="99"/>
      <c r="H96" s="101"/>
      <c r="I96" s="99"/>
      <c r="J96" s="100"/>
      <c r="K96"/>
    </row>
    <row r="97" spans="1:11" s="8" customFormat="1">
      <c r="A97" s="118">
        <v>39325</v>
      </c>
      <c r="B97" s="194">
        <v>0.5844884760158644</v>
      </c>
      <c r="C97" s="194">
        <v>0.17139737511851635</v>
      </c>
      <c r="D97" s="194">
        <v>0.17679439195989025</v>
      </c>
      <c r="E97" s="194">
        <v>5.7089901655779859E-2</v>
      </c>
      <c r="F97" s="194">
        <v>1.0229855249949169E-2</v>
      </c>
      <c r="G97" s="99"/>
      <c r="H97" s="101"/>
      <c r="I97" s="99"/>
      <c r="J97" s="100"/>
      <c r="K97"/>
    </row>
    <row r="98" spans="1:11" s="8" customFormat="1">
      <c r="A98" s="118">
        <v>39355</v>
      </c>
      <c r="B98" s="194">
        <v>0.58559473901102588</v>
      </c>
      <c r="C98" s="194">
        <v>0.16776657044570739</v>
      </c>
      <c r="D98" s="194">
        <v>0.1863625049796365</v>
      </c>
      <c r="E98" s="194">
        <v>5.1348685296494133E-2</v>
      </c>
      <c r="F98" s="194">
        <v>8.9275002671361393E-3</v>
      </c>
      <c r="G98" s="99"/>
      <c r="H98" s="101"/>
      <c r="I98" s="99"/>
      <c r="J98" s="100"/>
      <c r="K98"/>
    </row>
    <row r="99" spans="1:11" s="8" customFormat="1">
      <c r="A99" s="118">
        <v>39386</v>
      </c>
      <c r="B99" s="194">
        <v>0.58831729280692002</v>
      </c>
      <c r="C99" s="194">
        <v>0.16864878835300384</v>
      </c>
      <c r="D99" s="194">
        <v>0.18798434674395909</v>
      </c>
      <c r="E99" s="194">
        <v>4.6142198898997532E-2</v>
      </c>
      <c r="F99" s="194">
        <v>8.9073731971195894E-3</v>
      </c>
      <c r="G99" s="99"/>
      <c r="H99" s="101"/>
      <c r="I99" s="99"/>
      <c r="J99" s="100"/>
      <c r="K99"/>
    </row>
    <row r="100" spans="1:11" s="8" customFormat="1">
      <c r="A100" s="118">
        <v>39416</v>
      </c>
      <c r="B100" s="194">
        <v>0.58673325945066834</v>
      </c>
      <c r="C100" s="194">
        <v>0.16981921162045771</v>
      </c>
      <c r="D100" s="194">
        <v>0.18828460560730156</v>
      </c>
      <c r="E100" s="194">
        <v>4.6226521340884653E-2</v>
      </c>
      <c r="F100" s="194">
        <v>8.9364019806875365E-3</v>
      </c>
      <c r="G100" s="99"/>
      <c r="H100" s="101"/>
      <c r="I100" s="99"/>
      <c r="J100" s="100"/>
      <c r="K100"/>
    </row>
    <row r="101" spans="1:11" s="8" customFormat="1">
      <c r="A101" s="118">
        <v>39447</v>
      </c>
      <c r="B101" s="194">
        <v>0.57846964325105343</v>
      </c>
      <c r="C101" s="194">
        <v>0.1797801206037562</v>
      </c>
      <c r="D101" s="194">
        <v>0.18778394780850055</v>
      </c>
      <c r="E101" s="194">
        <v>4.57702381354331E-2</v>
      </c>
      <c r="F101" s="194">
        <v>8.1960502012568548E-3</v>
      </c>
      <c r="G101" s="99"/>
      <c r="H101" s="101"/>
      <c r="I101" s="99"/>
      <c r="J101" s="100"/>
      <c r="K101"/>
    </row>
    <row r="102" spans="1:11" s="8" customFormat="1">
      <c r="A102" s="118">
        <v>39478</v>
      </c>
      <c r="B102" s="194">
        <v>0.58617276276242058</v>
      </c>
      <c r="C102" s="194">
        <v>0.1756223503129157</v>
      </c>
      <c r="D102" s="194">
        <v>0.18653584125348077</v>
      </c>
      <c r="E102" s="194">
        <v>4.3714898652350093E-2</v>
      </c>
      <c r="F102" s="194">
        <v>7.95414701883259E-3</v>
      </c>
      <c r="G102" s="99"/>
      <c r="H102" s="101"/>
      <c r="I102" s="99"/>
      <c r="J102" s="100"/>
      <c r="K102"/>
    </row>
    <row r="103" spans="1:11" s="8" customFormat="1">
      <c r="A103" s="118">
        <v>39507</v>
      </c>
      <c r="B103" s="194">
        <v>0.58497929919134561</v>
      </c>
      <c r="C103" s="194">
        <v>0.17611181288666031</v>
      </c>
      <c r="D103" s="194">
        <v>0.18816930504786233</v>
      </c>
      <c r="E103" s="194">
        <v>4.2738189246171107E-2</v>
      </c>
      <c r="F103" s="194">
        <v>8.0013936279607224E-3</v>
      </c>
      <c r="G103" s="99"/>
      <c r="H103" s="101"/>
      <c r="I103" s="99"/>
      <c r="J103" s="100"/>
      <c r="K103"/>
    </row>
    <row r="104" spans="1:11" s="8" customFormat="1">
      <c r="A104" s="118">
        <v>39538</v>
      </c>
      <c r="B104" s="194">
        <v>0.57393526283774077</v>
      </c>
      <c r="C104" s="194">
        <v>0.18658641663787173</v>
      </c>
      <c r="D104" s="194">
        <v>0.18938173752784956</v>
      </c>
      <c r="E104" s="194">
        <v>4.2159924954279525E-2</v>
      </c>
      <c r="F104" s="194">
        <v>7.9366580422583974E-3</v>
      </c>
      <c r="G104" s="99"/>
      <c r="H104" s="101"/>
      <c r="I104" s="99"/>
      <c r="J104" s="100"/>
      <c r="K104"/>
    </row>
    <row r="105" spans="1:11" s="8" customFormat="1">
      <c r="A105" s="118">
        <v>39568</v>
      </c>
      <c r="B105" s="194">
        <v>0.57401337422817</v>
      </c>
      <c r="C105" s="194">
        <v>0.18545507977101133</v>
      </c>
      <c r="D105" s="194">
        <v>0.19121004914567941</v>
      </c>
      <c r="E105" s="194">
        <v>4.1457695970951183E-2</v>
      </c>
      <c r="F105" s="194">
        <v>7.8638008841882337E-3</v>
      </c>
      <c r="G105" s="99"/>
      <c r="H105" s="101"/>
      <c r="I105" s="99"/>
      <c r="J105" s="100"/>
      <c r="K105"/>
    </row>
    <row r="106" spans="1:11" s="8" customFormat="1">
      <c r="A106" s="118">
        <v>39599</v>
      </c>
      <c r="B106" s="194">
        <v>0.57428737533882623</v>
      </c>
      <c r="C106" s="194">
        <v>0.18461707334918998</v>
      </c>
      <c r="D106" s="194">
        <v>0.19200381167131675</v>
      </c>
      <c r="E106" s="194">
        <v>4.1292062983779958E-2</v>
      </c>
      <c r="F106" s="194">
        <v>7.7996766568870172E-3</v>
      </c>
      <c r="G106" s="99"/>
      <c r="H106" s="101"/>
      <c r="I106" s="99"/>
      <c r="J106" s="100"/>
      <c r="K106"/>
    </row>
    <row r="107" spans="1:11" s="8" customFormat="1">
      <c r="A107" s="118">
        <v>39629</v>
      </c>
      <c r="B107" s="194">
        <v>0.5725399055745648</v>
      </c>
      <c r="C107" s="194">
        <v>0.18769023485592587</v>
      </c>
      <c r="D107" s="194">
        <v>0.1900634916632408</v>
      </c>
      <c r="E107" s="194">
        <v>4.2212917273138535E-2</v>
      </c>
      <c r="F107" s="194">
        <v>7.4934506331299309E-3</v>
      </c>
      <c r="G107" s="99"/>
      <c r="H107" s="101"/>
      <c r="I107" s="99"/>
      <c r="J107" s="100"/>
      <c r="K107"/>
    </row>
    <row r="108" spans="1:11" s="8" customFormat="1">
      <c r="A108" s="118">
        <v>39660</v>
      </c>
      <c r="B108" s="194">
        <v>0.57057127277854069</v>
      </c>
      <c r="C108" s="194">
        <v>0.19035219521338581</v>
      </c>
      <c r="D108" s="194">
        <v>0.19185688145578256</v>
      </c>
      <c r="E108" s="194">
        <v>3.9983842153123672E-2</v>
      </c>
      <c r="F108" s="194">
        <v>7.2358083991670118E-3</v>
      </c>
      <c r="G108" s="99"/>
      <c r="H108" s="101"/>
      <c r="I108" s="99"/>
      <c r="J108" s="100"/>
      <c r="K108"/>
    </row>
    <row r="109" spans="1:11" s="8" customFormat="1">
      <c r="A109" s="118">
        <v>39691</v>
      </c>
      <c r="B109" s="194">
        <v>0.56983198852053218</v>
      </c>
      <c r="C109" s="194">
        <v>0.1937272631715114</v>
      </c>
      <c r="D109" s="194">
        <v>0.18961062288565358</v>
      </c>
      <c r="E109" s="194">
        <v>3.964044194222368E-2</v>
      </c>
      <c r="F109" s="194">
        <v>7.1896834800790899E-3</v>
      </c>
      <c r="G109" s="99"/>
      <c r="H109" s="101"/>
      <c r="I109" s="99"/>
      <c r="J109" s="100"/>
      <c r="K109"/>
    </row>
    <row r="110" spans="1:11" s="8" customFormat="1">
      <c r="A110" s="118">
        <v>39721</v>
      </c>
      <c r="B110" s="194">
        <v>0.56584203580423076</v>
      </c>
      <c r="C110" s="194">
        <v>0.19761636231739174</v>
      </c>
      <c r="D110" s="194">
        <v>0.18959780810029292</v>
      </c>
      <c r="E110" s="194">
        <v>3.9823652066525252E-2</v>
      </c>
      <c r="F110" s="194">
        <v>7.1201417115591137E-3</v>
      </c>
      <c r="G110" s="99"/>
      <c r="H110" s="101"/>
      <c r="I110" s="99"/>
      <c r="J110" s="100"/>
      <c r="K110"/>
    </row>
    <row r="111" spans="1:11" s="8" customFormat="1">
      <c r="A111" s="118">
        <v>39752</v>
      </c>
      <c r="B111" s="194">
        <v>0.55004176387911929</v>
      </c>
      <c r="C111" s="194">
        <v>0.19667745940669498</v>
      </c>
      <c r="D111" s="194">
        <v>0.20647982517535898</v>
      </c>
      <c r="E111" s="194">
        <v>3.9951296300246589E-2</v>
      </c>
      <c r="F111" s="194">
        <v>6.8496552385801258E-3</v>
      </c>
      <c r="G111" s="99"/>
      <c r="H111" s="101"/>
      <c r="I111" s="99"/>
      <c r="J111" s="100"/>
      <c r="K111"/>
    </row>
    <row r="112" spans="1:11" s="8" customFormat="1">
      <c r="A112" s="118">
        <v>39782</v>
      </c>
      <c r="B112" s="194">
        <v>0.5510766652089365</v>
      </c>
      <c r="C112" s="194">
        <v>0.19661950575658918</v>
      </c>
      <c r="D112" s="194">
        <v>0.20552858568602561</v>
      </c>
      <c r="E112" s="194">
        <v>3.998009462278198E-2</v>
      </c>
      <c r="F112" s="194">
        <v>6.7951487256667532E-3</v>
      </c>
      <c r="G112" s="99"/>
      <c r="H112" s="101"/>
      <c r="I112" s="99"/>
      <c r="J112" s="100"/>
      <c r="K112"/>
    </row>
    <row r="113" spans="1:11" s="8" customFormat="1">
      <c r="A113" s="118">
        <v>39813</v>
      </c>
      <c r="B113" s="194">
        <v>0.54446734613885661</v>
      </c>
      <c r="C113" s="194">
        <v>0.20564798096056625</v>
      </c>
      <c r="D113" s="194">
        <v>0.20452383016572315</v>
      </c>
      <c r="E113" s="194">
        <v>3.9091817721597859E-2</v>
      </c>
      <c r="F113" s="194">
        <v>6.2690250132560917E-3</v>
      </c>
      <c r="G113" s="99"/>
      <c r="H113" s="101"/>
      <c r="I113" s="99"/>
      <c r="J113" s="100"/>
      <c r="K113"/>
    </row>
    <row r="114" spans="1:11" s="8" customFormat="1">
      <c r="A114" s="118">
        <v>39814</v>
      </c>
      <c r="B114" s="194">
        <v>0.56306089794371272</v>
      </c>
      <c r="C114" s="194">
        <v>0.19990082391649452</v>
      </c>
      <c r="D114" s="194">
        <v>0.19603055402842567</v>
      </c>
      <c r="E114" s="194">
        <v>3.72431787095635E-2</v>
      </c>
      <c r="F114" s="194">
        <v>5.9122455578680512E-3</v>
      </c>
      <c r="G114" s="99"/>
      <c r="H114" s="101"/>
      <c r="I114" s="99"/>
      <c r="J114" s="100"/>
      <c r="K114"/>
    </row>
    <row r="115" spans="1:11" s="8" customFormat="1">
      <c r="A115" s="118">
        <v>39846</v>
      </c>
      <c r="B115" s="194">
        <v>0.56073858691753531</v>
      </c>
      <c r="C115" s="194">
        <v>0.20203109573797234</v>
      </c>
      <c r="D115" s="194">
        <v>0.19489600503936708</v>
      </c>
      <c r="E115" s="194">
        <v>3.6406204777273472E-2</v>
      </c>
      <c r="F115" s="194">
        <v>5.9281075278515864E-3</v>
      </c>
      <c r="G115" s="99"/>
      <c r="H115" s="101"/>
      <c r="I115" s="99"/>
      <c r="J115" s="100"/>
      <c r="K115"/>
    </row>
    <row r="116" spans="1:11" s="8" customFormat="1">
      <c r="A116" s="118">
        <v>39875</v>
      </c>
      <c r="B116" s="194">
        <v>0.54897429727967029</v>
      </c>
      <c r="C116" s="194">
        <v>0.19881204072632538</v>
      </c>
      <c r="D116" s="194">
        <v>0.21075654432467147</v>
      </c>
      <c r="E116" s="194">
        <v>3.5671643562732842E-2</v>
      </c>
      <c r="F116" s="194">
        <v>5.785474106600047E-3</v>
      </c>
      <c r="G116" s="99"/>
      <c r="H116" s="101"/>
      <c r="I116" s="99"/>
      <c r="J116" s="100"/>
      <c r="K116"/>
    </row>
    <row r="117" spans="1:11" s="8" customFormat="1">
      <c r="A117" s="118">
        <v>39933</v>
      </c>
      <c r="B117" s="194">
        <v>0.55810832653508569</v>
      </c>
      <c r="C117" s="194">
        <v>0.19313506839034789</v>
      </c>
      <c r="D117" s="194">
        <v>0.20829173558078898</v>
      </c>
      <c r="E117" s="194">
        <v>3.4744916387457504E-2</v>
      </c>
      <c r="F117" s="194">
        <v>5.7199531063200117E-3</v>
      </c>
      <c r="G117" s="99"/>
      <c r="H117" s="101"/>
      <c r="I117" s="99"/>
      <c r="J117" s="100"/>
      <c r="K117"/>
    </row>
    <row r="118" spans="1:11" s="8" customFormat="1">
      <c r="A118" s="118">
        <v>39964</v>
      </c>
      <c r="B118" s="194">
        <v>0.56197714403468491</v>
      </c>
      <c r="C118" s="194">
        <v>0.18794099561285543</v>
      </c>
      <c r="D118" s="194">
        <v>0.20969586674201543</v>
      </c>
      <c r="E118" s="194">
        <v>3.4600037589179199E-2</v>
      </c>
      <c r="F118" s="194">
        <v>5.7859560212649153E-3</v>
      </c>
      <c r="G118" s="99"/>
      <c r="H118" s="101"/>
      <c r="I118" s="99"/>
      <c r="J118" s="100"/>
      <c r="K118"/>
    </row>
    <row r="119" spans="1:11" s="8" customFormat="1">
      <c r="A119" s="118">
        <v>39994</v>
      </c>
      <c r="B119" s="194">
        <v>0.56194684144755269</v>
      </c>
      <c r="C119" s="194">
        <v>0.18840355023528785</v>
      </c>
      <c r="D119" s="194">
        <v>0.20966934287407388</v>
      </c>
      <c r="E119" s="194">
        <v>3.460756151699023E-2</v>
      </c>
      <c r="F119" s="194">
        <v>5.3727039260954429E-3</v>
      </c>
      <c r="G119" s="99"/>
      <c r="H119" s="101"/>
      <c r="I119" s="99"/>
      <c r="J119" s="100"/>
      <c r="K119"/>
    </row>
    <row r="120" spans="1:11" s="8" customFormat="1">
      <c r="A120" s="118">
        <v>40025</v>
      </c>
      <c r="B120" s="194">
        <v>0.56162009238266741</v>
      </c>
      <c r="C120" s="194">
        <v>0.18672798041528446</v>
      </c>
      <c r="D120" s="194">
        <v>0.21290384903631221</v>
      </c>
      <c r="E120" s="194">
        <v>3.3523268389858168E-2</v>
      </c>
      <c r="F120" s="194">
        <v>5.2248097758776828E-3</v>
      </c>
      <c r="G120" s="99"/>
      <c r="H120" s="101"/>
      <c r="I120" s="99"/>
      <c r="J120" s="100"/>
      <c r="K120"/>
    </row>
    <row r="121" spans="1:11" s="8" customFormat="1">
      <c r="A121" s="118">
        <v>40056</v>
      </c>
      <c r="B121" s="194">
        <v>0.55715960288641031</v>
      </c>
      <c r="C121" s="194">
        <v>0.19443600932949939</v>
      </c>
      <c r="D121" s="194">
        <v>0.21114196585010583</v>
      </c>
      <c r="E121" s="194">
        <v>3.0462857769885027E-2</v>
      </c>
      <c r="F121" s="194">
        <v>6.7995641640993896E-3</v>
      </c>
      <c r="G121" s="99"/>
      <c r="H121" s="101"/>
      <c r="I121" s="99"/>
      <c r="J121" s="100"/>
      <c r="K121"/>
    </row>
    <row r="122" spans="1:11" s="8" customFormat="1">
      <c r="A122" s="118">
        <v>40086</v>
      </c>
      <c r="B122" s="194">
        <v>0.55861649627441945</v>
      </c>
      <c r="C122" s="194">
        <v>0.19301640054313174</v>
      </c>
      <c r="D122" s="194">
        <v>0.21154247533126444</v>
      </c>
      <c r="E122" s="194">
        <v>3.0116435350494339E-2</v>
      </c>
      <c r="F122" s="194">
        <v>6.7081925006900623E-3</v>
      </c>
      <c r="G122" s="99"/>
      <c r="H122" s="101"/>
      <c r="I122" s="99"/>
      <c r="J122" s="100"/>
      <c r="K122"/>
    </row>
    <row r="123" spans="1:11" s="8" customFormat="1">
      <c r="A123" s="118">
        <v>40117</v>
      </c>
      <c r="B123" s="194">
        <v>0.5656741575923101</v>
      </c>
      <c r="C123" s="194">
        <v>0.18483539406783778</v>
      </c>
      <c r="D123" s="194">
        <v>0.21386397752077296</v>
      </c>
      <c r="E123" s="194">
        <v>2.9206193724237026E-2</v>
      </c>
      <c r="F123" s="194">
        <v>6.4202770948421414E-3</v>
      </c>
      <c r="G123" s="99"/>
      <c r="H123" s="101"/>
      <c r="I123" s="99"/>
      <c r="J123" s="100"/>
      <c r="K123"/>
    </row>
    <row r="124" spans="1:11" s="8" customFormat="1">
      <c r="A124" s="118">
        <v>40147</v>
      </c>
      <c r="B124" s="194">
        <v>0.57092719436754158</v>
      </c>
      <c r="C124" s="194">
        <v>0.18535572346449225</v>
      </c>
      <c r="D124" s="194">
        <v>0.20880968469725439</v>
      </c>
      <c r="E124" s="194">
        <v>2.8519334781937307E-2</v>
      </c>
      <c r="F124" s="194">
        <v>6.3880626887744723E-3</v>
      </c>
      <c r="G124" s="99"/>
      <c r="H124" s="101"/>
      <c r="I124" s="99"/>
      <c r="J124" s="100"/>
      <c r="K124"/>
    </row>
    <row r="125" spans="1:11" s="8" customFormat="1">
      <c r="A125" s="118">
        <v>40178</v>
      </c>
      <c r="B125" s="194">
        <v>0.55998755245574128</v>
      </c>
      <c r="C125" s="194">
        <v>0.19082146958271701</v>
      </c>
      <c r="D125" s="194">
        <v>0.21218692676702477</v>
      </c>
      <c r="E125" s="194">
        <v>3.1172853530476854E-2</v>
      </c>
      <c r="F125" s="194">
        <v>5.8311976640400076E-3</v>
      </c>
      <c r="G125" s="99"/>
      <c r="H125" s="101"/>
      <c r="I125" s="99"/>
      <c r="J125" s="100"/>
      <c r="K125"/>
    </row>
    <row r="126" spans="1:11" s="8" customFormat="1">
      <c r="A126" s="118">
        <v>40209</v>
      </c>
      <c r="B126" s="194">
        <v>0.56185021048044692</v>
      </c>
      <c r="C126" s="194">
        <v>0.18998908989540711</v>
      </c>
      <c r="D126" s="194">
        <v>0.21231875350811535</v>
      </c>
      <c r="E126" s="194">
        <v>3.0173861344046142E-2</v>
      </c>
      <c r="F126" s="194">
        <v>5.6680847719844151E-3</v>
      </c>
      <c r="G126" s="99"/>
      <c r="H126" s="101"/>
      <c r="I126" s="99"/>
      <c r="J126" s="100"/>
      <c r="K126"/>
    </row>
    <row r="127" spans="1:11" s="8" customFormat="1">
      <c r="A127" s="118">
        <v>40237</v>
      </c>
      <c r="B127" s="194">
        <v>0.55559068083817031</v>
      </c>
      <c r="C127" s="194">
        <v>0.18846310069207231</v>
      </c>
      <c r="D127" s="194">
        <v>0.2194839546354877</v>
      </c>
      <c r="E127" s="194">
        <v>3.0736713099081971E-2</v>
      </c>
      <c r="F127" s="194">
        <v>5.7255507351877191E-3</v>
      </c>
      <c r="G127" s="99"/>
      <c r="H127" s="101"/>
      <c r="I127" s="99"/>
      <c r="J127" s="100"/>
      <c r="K127"/>
    </row>
    <row r="128" spans="1:11" s="8" customFormat="1">
      <c r="A128" s="118">
        <v>40268</v>
      </c>
      <c r="B128" s="194">
        <v>0.55527415585658713</v>
      </c>
      <c r="C128" s="194">
        <v>0.18739765898126307</v>
      </c>
      <c r="D128" s="194">
        <v>0.22117097527534152</v>
      </c>
      <c r="E128" s="194">
        <v>3.0621998410217014E-2</v>
      </c>
      <c r="F128" s="194">
        <v>5.5352114765912517E-3</v>
      </c>
      <c r="G128" s="99"/>
      <c r="H128" s="101"/>
      <c r="I128" s="99"/>
      <c r="J128" s="100"/>
      <c r="K128"/>
    </row>
    <row r="129" spans="1:11" s="8" customFormat="1">
      <c r="A129" s="118">
        <v>40298</v>
      </c>
      <c r="B129" s="194">
        <v>0.55449027342032342</v>
      </c>
      <c r="C129" s="194">
        <v>0.18028240412610039</v>
      </c>
      <c r="D129" s="194">
        <v>0.23040665755526157</v>
      </c>
      <c r="E129" s="194">
        <v>2.9395072831749226E-2</v>
      </c>
      <c r="F129" s="194">
        <v>5.4255920665653738E-3</v>
      </c>
      <c r="G129" s="99"/>
      <c r="H129" s="101"/>
      <c r="I129" s="99"/>
      <c r="J129" s="100"/>
      <c r="K129"/>
    </row>
    <row r="130" spans="1:11" s="8" customFormat="1">
      <c r="A130" s="118">
        <v>40329</v>
      </c>
      <c r="B130" s="194">
        <v>0.55868214711744857</v>
      </c>
      <c r="C130" s="194">
        <v>0.17748530675437835</v>
      </c>
      <c r="D130" s="194">
        <v>0.22885153354142235</v>
      </c>
      <c r="E130" s="194">
        <v>2.9622989425836386E-2</v>
      </c>
      <c r="F130" s="194">
        <v>5.3580231609144319E-3</v>
      </c>
      <c r="G130" s="99"/>
      <c r="H130" s="101"/>
      <c r="I130" s="99"/>
      <c r="J130" s="100"/>
      <c r="K130"/>
    </row>
    <row r="131" spans="1:11" s="8" customFormat="1">
      <c r="A131" s="118">
        <v>40359</v>
      </c>
      <c r="B131" s="194">
        <v>0.55804948220842143</v>
      </c>
      <c r="C131" s="194">
        <v>0.17646499063510376</v>
      </c>
      <c r="D131" s="194">
        <v>0.23052996775023665</v>
      </c>
      <c r="E131" s="194">
        <v>2.9963649126302647E-2</v>
      </c>
      <c r="F131" s="194">
        <v>4.991910279935485E-3</v>
      </c>
      <c r="G131" s="99"/>
      <c r="H131" s="101"/>
      <c r="I131" s="99"/>
      <c r="J131" s="100"/>
      <c r="K131"/>
    </row>
    <row r="132" spans="1:11" s="8" customFormat="1">
      <c r="A132" s="118">
        <v>40390</v>
      </c>
      <c r="B132" s="194">
        <v>0.55445443108375791</v>
      </c>
      <c r="C132" s="194">
        <v>0.17702774591061338</v>
      </c>
      <c r="D132" s="194">
        <v>0.23330419953570727</v>
      </c>
      <c r="E132" s="194">
        <v>2.9124376221398331E-2</v>
      </c>
      <c r="F132" s="194">
        <v>6.0892472485229781E-3</v>
      </c>
      <c r="G132" s="99"/>
      <c r="H132" s="101"/>
      <c r="I132" s="99"/>
      <c r="J132" s="100"/>
      <c r="K132"/>
    </row>
    <row r="133" spans="1:11" s="8" customFormat="1">
      <c r="A133" s="118">
        <v>40421</v>
      </c>
      <c r="B133" s="194">
        <v>0.56247293065699178</v>
      </c>
      <c r="C133" s="194">
        <v>0.17457980768687356</v>
      </c>
      <c r="D133" s="194">
        <v>0.2287993173329097</v>
      </c>
      <c r="E133" s="194">
        <v>2.8189679485922929E-2</v>
      </c>
      <c r="F133" s="194">
        <v>5.9582648373021569E-3</v>
      </c>
      <c r="G133" s="99"/>
      <c r="H133" s="99"/>
      <c r="I133" s="99"/>
      <c r="J133" s="99"/>
      <c r="K133"/>
    </row>
    <row r="134" spans="1:11" s="8" customFormat="1">
      <c r="A134" s="118">
        <v>40451</v>
      </c>
      <c r="B134" s="194">
        <v>0.5612094017897149</v>
      </c>
      <c r="C134" s="194">
        <v>0.17378087928913427</v>
      </c>
      <c r="D134" s="194">
        <v>0.2310837950690289</v>
      </c>
      <c r="E134" s="194">
        <v>2.7939865843833508E-2</v>
      </c>
      <c r="F134" s="194">
        <v>5.9860580082884036E-3</v>
      </c>
      <c r="G134" s="99"/>
      <c r="H134" s="99"/>
      <c r="I134" s="99"/>
      <c r="J134" s="99"/>
      <c r="K134"/>
    </row>
    <row r="135" spans="1:11" s="8" customFormat="1">
      <c r="A135" s="118">
        <v>40482</v>
      </c>
      <c r="B135" s="194">
        <v>0.5560788893643589</v>
      </c>
      <c r="C135" s="194">
        <v>0.17564787534754817</v>
      </c>
      <c r="D135" s="194">
        <v>0.22934248499186347</v>
      </c>
      <c r="E135" s="194">
        <v>3.2953060386428007E-2</v>
      </c>
      <c r="F135" s="194">
        <v>5.977689909801495E-3</v>
      </c>
      <c r="G135" s="99"/>
      <c r="H135" s="99"/>
      <c r="I135" s="99"/>
      <c r="J135" s="99"/>
      <c r="K135"/>
    </row>
    <row r="136" spans="1:11" s="8" customFormat="1">
      <c r="A136" s="118">
        <v>40512</v>
      </c>
      <c r="B136" s="194">
        <v>0.55513335086606386</v>
      </c>
      <c r="C136" s="194">
        <v>0.18016337406228658</v>
      </c>
      <c r="D136" s="194">
        <v>0.22543523861200371</v>
      </c>
      <c r="E136" s="194">
        <v>3.3328869389657949E-2</v>
      </c>
      <c r="F136" s="194">
        <v>5.9391670699878987E-3</v>
      </c>
      <c r="G136" s="93"/>
      <c r="H136" s="93"/>
      <c r="I136" s="93"/>
      <c r="J136" s="93"/>
      <c r="K136"/>
    </row>
    <row r="137" spans="1:11" s="8" customFormat="1">
      <c r="A137" s="118">
        <v>40543</v>
      </c>
      <c r="B137" s="194">
        <v>0.54701810447985133</v>
      </c>
      <c r="C137" s="194">
        <v>0.18104411528395942</v>
      </c>
      <c r="D137" s="194">
        <v>0.22916130316319211</v>
      </c>
      <c r="E137" s="194">
        <v>3.2688050498692098E-2</v>
      </c>
      <c r="F137" s="194">
        <v>1.0088426574304985E-2</v>
      </c>
      <c r="G137" s="93"/>
      <c r="H137" s="93"/>
      <c r="I137" s="93"/>
      <c r="J137" s="93"/>
      <c r="K137"/>
    </row>
    <row r="138" spans="1:11" s="8" customFormat="1">
      <c r="A138" s="118">
        <v>40574</v>
      </c>
      <c r="B138" s="194">
        <v>0.54770898234815391</v>
      </c>
      <c r="C138" s="194">
        <v>0.18139781201224076</v>
      </c>
      <c r="D138" s="194">
        <v>0.22917780691574968</v>
      </c>
      <c r="E138" s="194">
        <v>3.1653101898168425E-2</v>
      </c>
      <c r="F138" s="194">
        <v>1.0062296825687161E-2</v>
      </c>
      <c r="G138" s="93"/>
      <c r="H138" s="93"/>
      <c r="I138" s="93"/>
      <c r="J138" s="93"/>
      <c r="K138"/>
    </row>
    <row r="139" spans="1:11" s="8" customFormat="1">
      <c r="A139" s="118">
        <v>40602</v>
      </c>
      <c r="B139" s="194">
        <v>0.54746187409020497</v>
      </c>
      <c r="C139" s="194">
        <v>0.18206682328487092</v>
      </c>
      <c r="D139" s="194">
        <v>0.22910664888178875</v>
      </c>
      <c r="E139" s="194">
        <v>3.1238572832318911E-2</v>
      </c>
      <c r="F139" s="194">
        <v>1.0126080910816361E-2</v>
      </c>
      <c r="G139" s="93"/>
      <c r="H139" s="93"/>
      <c r="I139" s="93"/>
      <c r="J139" s="93"/>
      <c r="K139"/>
    </row>
    <row r="140" spans="1:11" s="8" customFormat="1">
      <c r="A140" s="118">
        <v>40633</v>
      </c>
      <c r="B140" s="194">
        <v>0.54792159438370935</v>
      </c>
      <c r="C140" s="194">
        <v>0.18188411921785486</v>
      </c>
      <c r="D140" s="194">
        <v>0.22893280488534454</v>
      </c>
      <c r="E140" s="194">
        <v>3.1147638057177032E-2</v>
      </c>
      <c r="F140" s="194">
        <v>1.0113843455914111E-2</v>
      </c>
      <c r="G140" s="93"/>
      <c r="H140" s="93"/>
      <c r="I140" s="93"/>
      <c r="J140" s="93"/>
      <c r="K140"/>
    </row>
    <row r="141" spans="1:11" s="8" customFormat="1">
      <c r="A141" s="118">
        <v>40663</v>
      </c>
      <c r="B141" s="194">
        <v>0.54960328203026443</v>
      </c>
      <c r="C141" s="194">
        <v>0.17989497742290331</v>
      </c>
      <c r="D141" s="194">
        <v>0.2296797768968131</v>
      </c>
      <c r="E141" s="194">
        <v>3.0804900895507588E-2</v>
      </c>
      <c r="F141" s="194">
        <v>1.0017062754511604E-2</v>
      </c>
      <c r="G141" s="93"/>
      <c r="H141" s="93"/>
      <c r="I141" s="93"/>
      <c r="J141" s="93"/>
      <c r="K141"/>
    </row>
    <row r="142" spans="1:11" s="8" customFormat="1">
      <c r="A142" s="118">
        <v>40694</v>
      </c>
      <c r="B142" s="194">
        <v>0.54718476757466039</v>
      </c>
      <c r="C142" s="194">
        <v>0.18008078258014262</v>
      </c>
      <c r="D142" s="194">
        <v>0.23108617254375224</v>
      </c>
      <c r="E142" s="194">
        <v>3.1468043915246768E-2</v>
      </c>
      <c r="F142" s="194">
        <v>1.0180233386197926E-2</v>
      </c>
      <c r="G142" s="93"/>
      <c r="H142" s="93"/>
      <c r="I142" s="93"/>
      <c r="J142" s="93"/>
      <c r="K142"/>
    </row>
    <row r="143" spans="1:11" s="8" customFormat="1">
      <c r="A143" s="118">
        <v>40724</v>
      </c>
      <c r="B143" s="194">
        <v>0.54682036972149928</v>
      </c>
      <c r="C143" s="194">
        <v>0.17934105235697445</v>
      </c>
      <c r="D143" s="194">
        <v>0.23137336192512256</v>
      </c>
      <c r="E143" s="194">
        <v>3.231116508538194E-2</v>
      </c>
      <c r="F143" s="194">
        <v>1.0154050911021695E-2</v>
      </c>
      <c r="G143" s="93"/>
      <c r="H143" s="93"/>
      <c r="I143" s="93"/>
      <c r="J143" s="93"/>
      <c r="K143"/>
    </row>
    <row r="144" spans="1:11" s="8" customFormat="1">
      <c r="A144" s="118">
        <v>40755</v>
      </c>
      <c r="B144" s="194">
        <v>0.57553754046137395</v>
      </c>
      <c r="C144" s="194">
        <v>0.16823812308428779</v>
      </c>
      <c r="D144" s="194">
        <v>0.21721218806502945</v>
      </c>
      <c r="E144" s="194">
        <v>2.9499976765389256E-2</v>
      </c>
      <c r="F144" s="194">
        <v>9.5121716239195964E-3</v>
      </c>
      <c r="G144" s="93"/>
      <c r="H144" s="93"/>
      <c r="I144" s="93"/>
      <c r="J144" s="93"/>
      <c r="K144"/>
    </row>
    <row r="145" spans="1:10" s="8" customFormat="1">
      <c r="A145" s="118">
        <v>40786</v>
      </c>
      <c r="B145" s="194">
        <v>0.57591297954134268</v>
      </c>
      <c r="C145" s="194">
        <v>0.16868133104224362</v>
      </c>
      <c r="D145" s="194">
        <v>0.21692625174510319</v>
      </c>
      <c r="E145" s="194">
        <v>2.9020422845038505E-2</v>
      </c>
      <c r="F145" s="194">
        <v>9.4590148262720594E-3</v>
      </c>
      <c r="G145" s="93"/>
      <c r="H145" s="93"/>
      <c r="I145" s="93"/>
      <c r="J145" s="93"/>
    </row>
    <row r="146" spans="1:10" s="8" customFormat="1">
      <c r="A146" s="118">
        <v>40816</v>
      </c>
      <c r="B146" s="194">
        <v>0.57421094026833619</v>
      </c>
      <c r="C146" s="194">
        <v>0.17066630865501731</v>
      </c>
      <c r="D146" s="194">
        <v>0.21638109013282067</v>
      </c>
      <c r="E146" s="194">
        <v>2.9304861681393908E-2</v>
      </c>
      <c r="F146" s="194">
        <v>9.4367992624319504E-3</v>
      </c>
      <c r="G146" s="93"/>
      <c r="H146" s="93"/>
      <c r="I146" s="93"/>
      <c r="J146" s="93"/>
    </row>
    <row r="147" spans="1:10" s="8" customFormat="1">
      <c r="A147" s="118">
        <v>40847</v>
      </c>
      <c r="B147" s="194">
        <v>0.57269080478612833</v>
      </c>
      <c r="C147" s="194">
        <v>0.16906620469857803</v>
      </c>
      <c r="D147" s="194">
        <v>0.21595296183660054</v>
      </c>
      <c r="E147" s="194">
        <v>3.2784505451358262E-2</v>
      </c>
      <c r="F147" s="194">
        <v>9.5055232273348403E-3</v>
      </c>
      <c r="G147" s="93"/>
      <c r="H147" s="93"/>
      <c r="I147" s="93"/>
      <c r="J147" s="93"/>
    </row>
    <row r="148" spans="1:10" s="8" customFormat="1">
      <c r="A148" s="118">
        <v>40877</v>
      </c>
      <c r="B148" s="194">
        <v>0.56911727496898501</v>
      </c>
      <c r="C148" s="194">
        <v>0.17623775399844666</v>
      </c>
      <c r="D148" s="194">
        <v>0.2120983940146029</v>
      </c>
      <c r="E148" s="194">
        <v>3.3090522493009415E-2</v>
      </c>
      <c r="F148" s="194">
        <v>9.4560545249558221E-3</v>
      </c>
      <c r="G148" s="93"/>
      <c r="H148" s="93"/>
      <c r="I148" s="93"/>
      <c r="J148" s="93"/>
    </row>
    <row r="149" spans="1:10" s="8" customFormat="1">
      <c r="A149" s="118">
        <v>40878</v>
      </c>
      <c r="B149" s="194">
        <v>0.56088334079354996</v>
      </c>
      <c r="C149" s="194">
        <v>0.1775745495285613</v>
      </c>
      <c r="D149" s="194">
        <v>0.21856415854456207</v>
      </c>
      <c r="E149" s="194">
        <v>3.3700121913115839E-2</v>
      </c>
      <c r="F149" s="194">
        <v>9.2778292202108318E-3</v>
      </c>
      <c r="G149" s="93"/>
      <c r="H149" s="93"/>
      <c r="I149" s="93"/>
      <c r="J149" s="93"/>
    </row>
    <row r="150" spans="1:10" s="8" customFormat="1">
      <c r="A150" s="118">
        <v>40909</v>
      </c>
      <c r="B150" s="194">
        <v>0.56385232705178423</v>
      </c>
      <c r="C150" s="194">
        <v>0.17556708297511145</v>
      </c>
      <c r="D150" s="194">
        <v>0.21872422048773357</v>
      </c>
      <c r="E150" s="194">
        <v>3.2559904570391554E-2</v>
      </c>
      <c r="F150" s="194">
        <v>9.2964649149792043E-3</v>
      </c>
      <c r="G150" s="93"/>
      <c r="H150" s="93"/>
      <c r="I150" s="93"/>
      <c r="J150" s="93"/>
    </row>
    <row r="151" spans="1:10" s="8" customFormat="1">
      <c r="A151" s="118">
        <v>40940</v>
      </c>
      <c r="B151" s="194">
        <v>0.56431932868398704</v>
      </c>
      <c r="C151" s="194">
        <v>0.17545449607923649</v>
      </c>
      <c r="D151" s="194">
        <v>0.21899740096821563</v>
      </c>
      <c r="E151" s="194">
        <v>3.2000253670505817E-2</v>
      </c>
      <c r="F151" s="194">
        <v>9.2285205980549862E-3</v>
      </c>
      <c r="G151" s="93"/>
      <c r="H151" s="93"/>
      <c r="I151" s="93"/>
      <c r="J151" s="93"/>
    </row>
    <row r="152" spans="1:10" s="8" customFormat="1">
      <c r="A152" s="118">
        <v>40969</v>
      </c>
      <c r="B152" s="194">
        <v>0.56401082729230057</v>
      </c>
      <c r="C152" s="194">
        <v>0.17600702003074739</v>
      </c>
      <c r="D152" s="194">
        <v>0.2187762141558153</v>
      </c>
      <c r="E152" s="194">
        <v>3.2041577613526377E-2</v>
      </c>
      <c r="F152" s="194">
        <v>9.1643609076106081E-3</v>
      </c>
      <c r="G152" s="93"/>
      <c r="H152" s="93"/>
      <c r="I152" s="93"/>
      <c r="J152" s="93"/>
    </row>
    <row r="153" spans="1:10" s="8" customFormat="1">
      <c r="A153" s="118">
        <v>41000</v>
      </c>
      <c r="B153" s="194">
        <v>0.56498354361498426</v>
      </c>
      <c r="C153" s="194">
        <v>0.1753293172559395</v>
      </c>
      <c r="D153" s="194">
        <v>0.21863951137280346</v>
      </c>
      <c r="E153" s="194">
        <v>3.1936873742215814E-2</v>
      </c>
      <c r="F153" s="194">
        <v>9.1107540140572593E-3</v>
      </c>
      <c r="G153" s="93"/>
      <c r="H153" s="93"/>
      <c r="I153" s="93"/>
      <c r="J153" s="93"/>
    </row>
    <row r="154" spans="1:10" s="8" customFormat="1">
      <c r="A154" s="118">
        <v>41030</v>
      </c>
      <c r="B154" s="194">
        <v>0.56761882099103012</v>
      </c>
      <c r="C154" s="194">
        <v>0.17367266642702781</v>
      </c>
      <c r="D154" s="194">
        <v>0.21728604426978587</v>
      </c>
      <c r="E154" s="194">
        <v>3.2276445447146876E-2</v>
      </c>
      <c r="F154" s="194">
        <v>9.1460228650092536E-3</v>
      </c>
      <c r="G154" s="93"/>
      <c r="H154" s="93"/>
      <c r="I154" s="93"/>
      <c r="J154" s="93"/>
    </row>
    <row r="155" spans="1:10" s="8" customFormat="1">
      <c r="A155" s="118">
        <v>41061</v>
      </c>
      <c r="B155" s="194">
        <v>0.56881122804991568</v>
      </c>
      <c r="C155" s="194">
        <v>0.17285945638378927</v>
      </c>
      <c r="D155" s="194">
        <v>0.21717498722606854</v>
      </c>
      <c r="E155" s="194">
        <v>3.2092547912007129E-2</v>
      </c>
      <c r="F155" s="194">
        <v>9.0617804282194028E-3</v>
      </c>
      <c r="G155" s="93"/>
      <c r="H155" s="93"/>
      <c r="I155" s="93"/>
      <c r="J155" s="93"/>
    </row>
    <row r="156" spans="1:10" s="8" customFormat="1">
      <c r="A156" s="118">
        <v>41091</v>
      </c>
      <c r="B156" s="194">
        <v>0.56980708016708104</v>
      </c>
      <c r="C156" s="194">
        <v>0.17279551651753783</v>
      </c>
      <c r="D156" s="194">
        <v>0.21729208820748419</v>
      </c>
      <c r="E156" s="194">
        <v>3.1082434218982307E-2</v>
      </c>
      <c r="F156" s="194">
        <v>9.022880888914675E-3</v>
      </c>
      <c r="G156" s="93"/>
      <c r="H156" s="93"/>
      <c r="I156" s="93"/>
      <c r="J156" s="93"/>
    </row>
    <row r="157" spans="1:10" s="8" customFormat="1">
      <c r="A157" s="118">
        <v>41122</v>
      </c>
      <c r="B157" s="194">
        <v>0.56941909022679349</v>
      </c>
      <c r="C157" s="194">
        <v>0.17374019341452596</v>
      </c>
      <c r="D157" s="194">
        <v>0.21704012759042712</v>
      </c>
      <c r="E157" s="194">
        <v>3.0711690849754485E-2</v>
      </c>
      <c r="F157" s="194">
        <v>9.0888979184988814E-3</v>
      </c>
      <c r="G157" s="93"/>
      <c r="H157" s="93"/>
      <c r="I157" s="93"/>
      <c r="J157" s="93"/>
    </row>
    <row r="158" spans="1:10" s="8" customFormat="1">
      <c r="A158" s="118">
        <v>41182</v>
      </c>
      <c r="B158" s="194">
        <v>0.57741166888268602</v>
      </c>
      <c r="C158" s="194">
        <v>0.17047071866007568</v>
      </c>
      <c r="D158" s="194">
        <v>0.21312821072218954</v>
      </c>
      <c r="E158" s="194">
        <v>3.0074415512273894E-2</v>
      </c>
      <c r="F158" s="194">
        <v>8.9149862227748972E-3</v>
      </c>
      <c r="G158" s="93"/>
      <c r="H158" s="93"/>
      <c r="I158" s="93"/>
      <c r="J158" s="93"/>
    </row>
    <row r="159" spans="1:10" s="8" customFormat="1">
      <c r="A159" s="118">
        <v>41213</v>
      </c>
      <c r="B159" s="194">
        <v>0.57633130149497569</v>
      </c>
      <c r="C159" s="194">
        <v>0.17110138106696565</v>
      </c>
      <c r="D159" s="194">
        <v>0.21342250826827655</v>
      </c>
      <c r="E159" s="194">
        <v>3.0166086954100474E-2</v>
      </c>
      <c r="F159" s="194">
        <v>8.9787222156816338E-3</v>
      </c>
      <c r="G159" s="93"/>
      <c r="H159" s="93"/>
      <c r="I159" s="93"/>
      <c r="J159" s="93"/>
    </row>
    <row r="160" spans="1:10" s="8" customFormat="1">
      <c r="A160" s="118">
        <v>41243</v>
      </c>
      <c r="B160" s="194">
        <v>0.57956464509447081</v>
      </c>
      <c r="C160" s="194">
        <v>0.16898355906520596</v>
      </c>
      <c r="D160" s="194">
        <v>0.21211683933269321</v>
      </c>
      <c r="E160" s="194">
        <v>3.0300410115575573E-2</v>
      </c>
      <c r="F160" s="194">
        <v>9.0345463920541973E-3</v>
      </c>
      <c r="G160" s="93"/>
      <c r="H160" s="93"/>
      <c r="I160" s="93"/>
      <c r="J160" s="93"/>
    </row>
    <row r="161" spans="1:10" s="8" customFormat="1">
      <c r="A161" s="118">
        <v>41274</v>
      </c>
      <c r="B161" s="194">
        <v>0.56529831302708022</v>
      </c>
      <c r="C161" s="194">
        <v>0.17282190285311175</v>
      </c>
      <c r="D161" s="194">
        <v>0.21976996312342836</v>
      </c>
      <c r="E161" s="194">
        <v>3.0362272368213098E-2</v>
      </c>
      <c r="F161" s="194">
        <v>1.1747548628166307E-2</v>
      </c>
      <c r="G161" s="93"/>
      <c r="H161" s="93"/>
      <c r="I161" s="93"/>
      <c r="J161" s="93"/>
    </row>
    <row r="162" spans="1:10" s="8" customFormat="1">
      <c r="A162" s="118">
        <v>41275</v>
      </c>
      <c r="B162" s="194">
        <v>0.57159156236972397</v>
      </c>
      <c r="C162" s="194">
        <v>0.170553975810082</v>
      </c>
      <c r="D162" s="194">
        <v>0.217293571040969</v>
      </c>
      <c r="E162" s="194">
        <v>2.8922417794015599E-2</v>
      </c>
      <c r="F162" s="194">
        <v>1.16384729852091E-2</v>
      </c>
      <c r="G162" s="93"/>
      <c r="H162" s="93"/>
      <c r="I162" s="93"/>
      <c r="J162" s="93"/>
    </row>
    <row r="163" spans="1:10" s="8" customFormat="1">
      <c r="A163" s="118">
        <v>41306</v>
      </c>
      <c r="B163" s="194">
        <v>0.57187292459805328</v>
      </c>
      <c r="C163" s="194">
        <v>0.17161310672255409</v>
      </c>
      <c r="D163" s="194">
        <v>0.21623137103814993</v>
      </c>
      <c r="E163" s="194">
        <v>2.8614588783540357E-2</v>
      </c>
      <c r="F163" s="194">
        <v>1.1668008857702345E-2</v>
      </c>
      <c r="G163" s="93"/>
      <c r="H163" s="93"/>
      <c r="I163" s="93"/>
      <c r="J163" s="93"/>
    </row>
    <row r="164" spans="1:10" s="8" customFormat="1">
      <c r="A164" s="118">
        <v>41334</v>
      </c>
      <c r="B164" s="194">
        <v>0.57137147807753774</v>
      </c>
      <c r="C164" s="194">
        <v>0.17214249738238349</v>
      </c>
      <c r="D164" s="194">
        <v>0.21620828031977685</v>
      </c>
      <c r="E164" s="194">
        <v>2.8642182064932197E-2</v>
      </c>
      <c r="F164" s="194">
        <v>1.1635562155369679E-2</v>
      </c>
      <c r="G164" s="93"/>
      <c r="H164" s="93"/>
      <c r="I164" s="93"/>
      <c r="J164" s="93"/>
    </row>
    <row r="165" spans="1:10" s="8" customFormat="1">
      <c r="A165" s="118">
        <v>41394</v>
      </c>
      <c r="B165" s="194">
        <v>0.5712184638792247</v>
      </c>
      <c r="C165" s="194">
        <v>0.17194483832417146</v>
      </c>
      <c r="D165" s="194">
        <v>0.2164289238573896</v>
      </c>
      <c r="E165" s="194">
        <v>2.8647196195975225E-2</v>
      </c>
      <c r="F165" s="194">
        <v>1.176057774323909E-2</v>
      </c>
      <c r="G165" s="104"/>
      <c r="H165" s="93"/>
      <c r="I165" s="93"/>
      <c r="J165" s="93"/>
    </row>
    <row r="166" spans="1:10" s="8" customFormat="1">
      <c r="A166" s="118">
        <v>41425</v>
      </c>
      <c r="B166" s="194">
        <v>0.57317955229981343</v>
      </c>
      <c r="C166" s="194">
        <v>0.17115962498939546</v>
      </c>
      <c r="D166" s="194">
        <v>0.21483879461014305</v>
      </c>
      <c r="E166" s="194">
        <v>2.8957927345751335E-2</v>
      </c>
      <c r="F166" s="194">
        <v>1.1864100754896955E-2</v>
      </c>
      <c r="G166" s="93"/>
      <c r="H166" s="93"/>
      <c r="I166" s="93"/>
      <c r="J166" s="93"/>
    </row>
    <row r="167" spans="1:10" s="8" customFormat="1">
      <c r="A167" s="118">
        <v>41455</v>
      </c>
      <c r="B167" s="194">
        <v>0.57386434389003438</v>
      </c>
      <c r="C167" s="194">
        <v>0.17113478427453618</v>
      </c>
      <c r="D167" s="194">
        <v>0.21421269879647381</v>
      </c>
      <c r="E167" s="194">
        <v>2.8965885335439857E-2</v>
      </c>
      <c r="F167" s="194">
        <v>1.1822287703515792E-2</v>
      </c>
      <c r="G167" s="93"/>
      <c r="H167" s="93"/>
      <c r="I167" s="93"/>
      <c r="J167" s="93"/>
    </row>
    <row r="168" spans="1:10" s="8" customFormat="1">
      <c r="A168" s="118">
        <v>41486</v>
      </c>
      <c r="B168" s="194">
        <v>0.57539532569501894</v>
      </c>
      <c r="C168" s="194">
        <v>0.17050785292211507</v>
      </c>
      <c r="D168" s="194">
        <v>0.21450935826027648</v>
      </c>
      <c r="E168" s="194">
        <v>2.7790127830812757E-2</v>
      </c>
      <c r="F168" s="194">
        <v>1.1797335291776722E-2</v>
      </c>
      <c r="G168" s="93"/>
      <c r="H168" s="93"/>
      <c r="I168" s="93"/>
      <c r="J168" s="93"/>
    </row>
    <row r="169" spans="1:10" s="8" customFormat="1">
      <c r="A169" s="118">
        <v>41517</v>
      </c>
      <c r="B169" s="194">
        <v>0.57147582536204977</v>
      </c>
      <c r="C169" s="194">
        <v>0.17779953357012637</v>
      </c>
      <c r="D169" s="194">
        <v>0.21158955473892102</v>
      </c>
      <c r="E169" s="194">
        <v>2.7244102049182511E-2</v>
      </c>
      <c r="F169" s="194">
        <v>1.1890984279720376E-2</v>
      </c>
      <c r="G169" s="93"/>
      <c r="H169" s="93"/>
      <c r="I169" s="93"/>
      <c r="J169" s="93"/>
    </row>
    <row r="170" spans="1:10" s="8" customFormat="1">
      <c r="A170" s="118">
        <v>41547</v>
      </c>
      <c r="B170" s="194">
        <v>0.58246841440294328</v>
      </c>
      <c r="C170" s="194">
        <v>0.16612839792546186</v>
      </c>
      <c r="D170" s="194">
        <v>0.21475585171756711</v>
      </c>
      <c r="E170" s="194">
        <v>2.5506043794332044E-2</v>
      </c>
      <c r="F170" s="194">
        <v>1.1141292159695722E-2</v>
      </c>
      <c r="G170" s="93"/>
      <c r="H170" s="93"/>
      <c r="I170" s="93"/>
      <c r="J170" s="93"/>
    </row>
    <row r="171" spans="1:10" s="8" customFormat="1">
      <c r="A171" s="118">
        <v>41578</v>
      </c>
      <c r="B171" s="194">
        <v>0.58295882834456592</v>
      </c>
      <c r="C171" s="194">
        <v>0.16573996227273277</v>
      </c>
      <c r="D171" s="194">
        <v>0.21473756384865628</v>
      </c>
      <c r="E171" s="194">
        <v>2.5444308368005299E-2</v>
      </c>
      <c r="F171" s="194">
        <v>1.1119337166039774E-2</v>
      </c>
      <c r="G171" s="93"/>
      <c r="H171" s="93"/>
      <c r="I171" s="93"/>
      <c r="J171" s="93"/>
    </row>
    <row r="172" spans="1:10" s="8" customFormat="1">
      <c r="A172" s="118">
        <v>41608</v>
      </c>
      <c r="B172" s="194">
        <v>0.58524842034127555</v>
      </c>
      <c r="C172" s="194">
        <v>0.16471166141033519</v>
      </c>
      <c r="D172" s="194">
        <v>0.21298574009297741</v>
      </c>
      <c r="E172" s="194">
        <v>2.5838402639248702E-2</v>
      </c>
      <c r="F172" s="194">
        <v>1.1215775516163156E-2</v>
      </c>
      <c r="G172" s="93"/>
      <c r="H172" s="93"/>
      <c r="I172" s="93"/>
      <c r="J172" s="93"/>
    </row>
    <row r="173" spans="1:10" s="8" customFormat="1">
      <c r="A173" s="118">
        <v>41639</v>
      </c>
      <c r="B173" s="194">
        <v>0.5780454677030934</v>
      </c>
      <c r="C173" s="194">
        <v>0.17321791516104032</v>
      </c>
      <c r="D173" s="194">
        <v>0.2090399327401179</v>
      </c>
      <c r="E173" s="194">
        <v>2.5449447788071355E-2</v>
      </c>
      <c r="F173" s="194">
        <v>1.424723660767711E-2</v>
      </c>
      <c r="G173" s="93"/>
      <c r="H173" s="93"/>
      <c r="I173" s="93"/>
      <c r="J173" s="93"/>
    </row>
    <row r="174" spans="1:10" s="8" customFormat="1">
      <c r="A174" s="118">
        <v>41670</v>
      </c>
      <c r="B174" s="194">
        <v>0.59998612011428343</v>
      </c>
      <c r="C174" s="194">
        <v>0.16479525567032435</v>
      </c>
      <c r="D174" s="194">
        <v>0.19791888901873408</v>
      </c>
      <c r="E174" s="194">
        <v>2.3751505287600547E-2</v>
      </c>
      <c r="F174" s="194">
        <v>1.3548229909057609E-2</v>
      </c>
      <c r="G174" s="93"/>
      <c r="H174" s="93"/>
      <c r="I174" s="93"/>
      <c r="J174" s="93"/>
    </row>
    <row r="175" spans="1:10" s="8" customFormat="1">
      <c r="A175" s="118">
        <v>41698</v>
      </c>
      <c r="B175" s="194">
        <v>0.59996859565348881</v>
      </c>
      <c r="C175" s="194">
        <v>0.16533059468468034</v>
      </c>
      <c r="D175" s="194">
        <v>0.1978742957179237</v>
      </c>
      <c r="E175" s="194">
        <v>2.3384008919568447E-2</v>
      </c>
      <c r="F175" s="194">
        <v>1.3442505024338825E-2</v>
      </c>
      <c r="G175" s="93"/>
      <c r="H175" s="93"/>
      <c r="I175" s="93"/>
      <c r="J175" s="93"/>
    </row>
    <row r="176" spans="1:10" s="8" customFormat="1">
      <c r="A176" s="118">
        <v>41729</v>
      </c>
      <c r="B176" s="194">
        <v>0.60177060137206839</v>
      </c>
      <c r="C176" s="194">
        <v>0.16416023260752249</v>
      </c>
      <c r="D176" s="194">
        <v>0.19705087236535601</v>
      </c>
      <c r="E176" s="194">
        <v>2.3414342405018038E-2</v>
      </c>
      <c r="F176" s="194">
        <v>1.3603951250035065E-2</v>
      </c>
      <c r="G176" s="93"/>
      <c r="H176" s="93"/>
      <c r="I176" s="93"/>
      <c r="J176" s="93"/>
    </row>
    <row r="177" spans="1:10" s="8" customFormat="1">
      <c r="A177" s="118">
        <v>41759</v>
      </c>
      <c r="B177" s="194">
        <v>0.60249388434057083</v>
      </c>
      <c r="C177" s="194">
        <v>0.16345722769786103</v>
      </c>
      <c r="D177" s="194">
        <v>0.19708595925386635</v>
      </c>
      <c r="E177" s="194">
        <v>2.3373159838147993E-2</v>
      </c>
      <c r="F177" s="194">
        <v>1.3589768869553846E-2</v>
      </c>
      <c r="G177" s="93"/>
      <c r="H177" s="93"/>
      <c r="I177" s="93"/>
      <c r="J177" s="93"/>
    </row>
    <row r="178" spans="1:10" s="8" customFormat="1">
      <c r="A178" s="118">
        <v>41790</v>
      </c>
      <c r="B178" s="194">
        <v>0.6098694160664524</v>
      </c>
      <c r="C178" s="194">
        <v>0.162398140691069</v>
      </c>
      <c r="D178" s="194">
        <v>0.19046011287823966</v>
      </c>
      <c r="E178" s="194">
        <v>2.3552540982013669E-2</v>
      </c>
      <c r="F178" s="194">
        <v>1.3719789382225043E-2</v>
      </c>
      <c r="G178" s="93"/>
      <c r="H178" s="93"/>
      <c r="I178" s="93"/>
      <c r="J178" s="93"/>
    </row>
    <row r="179" spans="1:10" s="8" customFormat="1">
      <c r="A179" s="118">
        <v>41820</v>
      </c>
      <c r="B179" s="194">
        <v>0.61190021290146424</v>
      </c>
      <c r="C179" s="194">
        <v>0.16181797893828856</v>
      </c>
      <c r="D179" s="194">
        <v>0.18941710374837778</v>
      </c>
      <c r="E179" s="194">
        <v>2.3207528591300958E-2</v>
      </c>
      <c r="F179" s="194">
        <v>1.3657175820568442E-2</v>
      </c>
      <c r="G179" s="93"/>
      <c r="H179" s="93"/>
      <c r="I179" s="93"/>
      <c r="J179" s="93"/>
    </row>
    <row r="180" spans="1:10" s="8" customFormat="1">
      <c r="A180" s="118">
        <v>41851</v>
      </c>
      <c r="B180" s="194">
        <v>0.61249143779299831</v>
      </c>
      <c r="C180" s="194">
        <v>0.1616447478711214</v>
      </c>
      <c r="D180" s="194">
        <v>0.18954834311256072</v>
      </c>
      <c r="E180" s="194">
        <v>2.2717364924905108E-2</v>
      </c>
      <c r="F180" s="194">
        <v>1.3598106298414502E-2</v>
      </c>
      <c r="G180" s="93"/>
      <c r="H180" s="93"/>
      <c r="I180" s="93"/>
      <c r="J180" s="93"/>
    </row>
    <row r="181" spans="1:10" s="8" customFormat="1">
      <c r="A181" s="118">
        <v>41882</v>
      </c>
      <c r="B181" s="194">
        <v>0.61216970116473901</v>
      </c>
      <c r="C181" s="194">
        <v>0.16240663043113943</v>
      </c>
      <c r="D181" s="194">
        <v>0.18941617214277295</v>
      </c>
      <c r="E181" s="194">
        <v>2.2368050292162562E-2</v>
      </c>
      <c r="F181" s="194">
        <v>1.3639445969186014E-2</v>
      </c>
      <c r="G181" s="93"/>
      <c r="H181" s="93"/>
      <c r="I181" s="93"/>
      <c r="J181" s="93"/>
    </row>
    <row r="182" spans="1:10" s="8" customFormat="1">
      <c r="A182" s="118">
        <v>41912</v>
      </c>
      <c r="B182" s="194">
        <v>0.61176612562413213</v>
      </c>
      <c r="C182" s="194">
        <v>0.1635165393951328</v>
      </c>
      <c r="D182" s="194">
        <v>0.1881647126118266</v>
      </c>
      <c r="E182" s="194">
        <v>2.2720324879597745E-2</v>
      </c>
      <c r="F182" s="194">
        <v>1.3832297489310514E-2</v>
      </c>
      <c r="G182" s="93"/>
      <c r="H182" s="93"/>
      <c r="I182" s="93"/>
      <c r="J182" s="93"/>
    </row>
    <row r="183" spans="1:10" s="8" customFormat="1">
      <c r="A183" s="118">
        <v>41943</v>
      </c>
      <c r="B183" s="194">
        <v>0.61709556284392952</v>
      </c>
      <c r="C183" s="194">
        <v>0.15769214709317289</v>
      </c>
      <c r="D183" s="194">
        <v>0.18194170184349184</v>
      </c>
      <c r="E183" s="194">
        <v>2.1986602604284772E-2</v>
      </c>
      <c r="F183" s="194">
        <v>2.128398561512122E-2</v>
      </c>
      <c r="G183" s="93"/>
      <c r="H183" s="93"/>
      <c r="I183" s="93"/>
      <c r="J183" s="93"/>
    </row>
    <row r="184" spans="1:10" s="8" customFormat="1">
      <c r="A184" s="118">
        <v>41973</v>
      </c>
      <c r="B184" s="194">
        <v>0.61861055130049392</v>
      </c>
      <c r="C184" s="194">
        <v>0.15761878103536037</v>
      </c>
      <c r="D184" s="194">
        <v>0.1796209336534127</v>
      </c>
      <c r="E184" s="194">
        <v>2.2297225612175429E-2</v>
      </c>
      <c r="F184" s="194">
        <v>2.1852508398557759E-2</v>
      </c>
      <c r="G184" s="93"/>
      <c r="H184" s="93"/>
      <c r="I184" s="93"/>
      <c r="J184" s="93"/>
    </row>
    <row r="185" spans="1:10" s="8" customFormat="1">
      <c r="A185" s="118">
        <v>42004</v>
      </c>
      <c r="B185" s="194">
        <v>0.57987082405541879</v>
      </c>
      <c r="C185" s="194">
        <v>0.16656461992572341</v>
      </c>
      <c r="D185" s="194">
        <v>0.20783269165834078</v>
      </c>
      <c r="E185" s="194">
        <v>2.171783767000458E-2</v>
      </c>
      <c r="F185" s="194">
        <v>2.4014026690512402E-2</v>
      </c>
      <c r="G185" s="93"/>
      <c r="H185" s="93"/>
      <c r="I185" s="93"/>
      <c r="J185" s="93"/>
    </row>
    <row r="186" spans="1:10" s="8" customFormat="1">
      <c r="A186" s="118">
        <v>42035</v>
      </c>
      <c r="B186" s="194">
        <v>0.59597634619608419</v>
      </c>
      <c r="C186" s="194">
        <v>0.16032272477980228</v>
      </c>
      <c r="D186" s="194">
        <v>0.19995539779894628</v>
      </c>
      <c r="E186" s="194">
        <v>2.0460079109914011E-2</v>
      </c>
      <c r="F186" s="194">
        <v>2.3285452115253253E-2</v>
      </c>
      <c r="G186" s="93"/>
      <c r="H186" s="93"/>
      <c r="I186" s="93"/>
      <c r="J186" s="93"/>
    </row>
    <row r="187" spans="1:10" s="8" customFormat="1">
      <c r="A187" s="118">
        <v>42063</v>
      </c>
      <c r="B187" s="194">
        <v>0.59334864335826654</v>
      </c>
      <c r="C187" s="194">
        <v>0.15982783847015183</v>
      </c>
      <c r="D187" s="194">
        <v>0.20340895746196125</v>
      </c>
      <c r="E187" s="194">
        <v>2.0189288016072074E-2</v>
      </c>
      <c r="F187" s="194">
        <v>2.3225272693548262E-2</v>
      </c>
      <c r="G187" s="93"/>
      <c r="H187" s="93"/>
      <c r="I187" s="93"/>
      <c r="J187" s="93"/>
    </row>
    <row r="188" spans="1:10" s="8" customFormat="1">
      <c r="A188" s="118">
        <v>42094</v>
      </c>
      <c r="B188" s="194">
        <v>0.60397033275322354</v>
      </c>
      <c r="C188" s="194">
        <v>0.15617713162985722</v>
      </c>
      <c r="D188" s="194">
        <v>0.19740025538814432</v>
      </c>
      <c r="E188" s="194">
        <v>1.9732970576902594E-2</v>
      </c>
      <c r="F188" s="194">
        <v>2.2719309651872341E-2</v>
      </c>
      <c r="G188" s="93"/>
      <c r="H188" s="93"/>
      <c r="I188" s="93"/>
      <c r="J188" s="93"/>
    </row>
    <row r="189" spans="1:10" s="8" customFormat="1">
      <c r="A189" s="118">
        <v>42124</v>
      </c>
      <c r="B189" s="194">
        <v>0.60592834749889624</v>
      </c>
      <c r="C189" s="194">
        <v>0.15464942771093515</v>
      </c>
      <c r="D189" s="194">
        <v>0.19698032358153983</v>
      </c>
      <c r="E189" s="194">
        <v>1.9863293802201067E-2</v>
      </c>
      <c r="F189" s="194">
        <v>2.257860740642767E-2</v>
      </c>
      <c r="G189" s="93"/>
      <c r="H189" s="93"/>
      <c r="I189" s="93"/>
      <c r="J189" s="93"/>
    </row>
    <row r="190" spans="1:10" s="8" customFormat="1">
      <c r="A190" s="118">
        <v>42155</v>
      </c>
      <c r="B190" s="194">
        <v>0.6080342799240176</v>
      </c>
      <c r="C190" s="194">
        <v>0.15413801042925984</v>
      </c>
      <c r="D190" s="194">
        <v>0.19493018686067493</v>
      </c>
      <c r="E190" s="194">
        <v>2.0077313132818877E-2</v>
      </c>
      <c r="F190" s="194">
        <v>2.2820209653228764E-2</v>
      </c>
      <c r="G190" s="93"/>
      <c r="H190" s="93"/>
      <c r="I190" s="93"/>
      <c r="J190" s="93"/>
    </row>
    <row r="191" spans="1:10" s="8" customFormat="1">
      <c r="A191" s="118">
        <v>42185</v>
      </c>
      <c r="B191" s="194">
        <v>0.6091162865639046</v>
      </c>
      <c r="C191" s="194">
        <v>0.15405767821601879</v>
      </c>
      <c r="D191" s="194">
        <v>0.19413258780838238</v>
      </c>
      <c r="E191" s="194">
        <v>1.9747276359935787E-2</v>
      </c>
      <c r="F191" s="194">
        <v>2.2946171051758588E-2</v>
      </c>
      <c r="G191" s="93"/>
      <c r="H191" s="93"/>
      <c r="I191" s="93"/>
      <c r="J191" s="93"/>
    </row>
    <row r="192" spans="1:10" s="8" customFormat="1">
      <c r="A192" s="118">
        <v>42216</v>
      </c>
      <c r="B192" s="194">
        <v>0.60689982317388802</v>
      </c>
      <c r="C192" s="194">
        <v>0.15570481355522287</v>
      </c>
      <c r="D192" s="194">
        <v>0.1948297066417804</v>
      </c>
      <c r="E192" s="194">
        <v>1.9454798567988412E-2</v>
      </c>
      <c r="F192" s="194">
        <v>2.3110858061120343E-2</v>
      </c>
      <c r="G192" s="93"/>
      <c r="H192" s="93"/>
      <c r="I192" s="93"/>
      <c r="J192" s="93"/>
    </row>
    <row r="193" spans="1:10" s="8" customFormat="1">
      <c r="A193" s="118">
        <v>42247</v>
      </c>
      <c r="B193" s="194">
        <v>0.61053172752142293</v>
      </c>
      <c r="C193" s="194">
        <v>0.15776930641768236</v>
      </c>
      <c r="D193" s="194">
        <v>0.19635137083926851</v>
      </c>
      <c r="E193" s="194">
        <v>1.9635662733650271E-2</v>
      </c>
      <c r="F193" s="194">
        <v>1.5711932487975706E-2</v>
      </c>
      <c r="G193" s="93"/>
      <c r="H193" s="93"/>
      <c r="I193" s="93"/>
      <c r="J193" s="93"/>
    </row>
    <row r="194" spans="1:10" s="8" customFormat="1">
      <c r="A194" s="118">
        <v>42277</v>
      </c>
      <c r="B194" s="194">
        <v>0.62192498326489787</v>
      </c>
      <c r="C194" s="194">
        <v>0.15063749611181537</v>
      </c>
      <c r="D194" s="194">
        <v>0.18618613303539666</v>
      </c>
      <c r="E194" s="194">
        <v>1.8764413509159979E-2</v>
      </c>
      <c r="F194" s="194">
        <v>2.2486974078730085E-2</v>
      </c>
      <c r="G194" s="93"/>
      <c r="H194" s="93"/>
      <c r="I194" s="93"/>
      <c r="J194" s="93"/>
    </row>
    <row r="195" spans="1:10" s="8" customFormat="1">
      <c r="A195" s="118">
        <v>42308</v>
      </c>
      <c r="B195" s="194">
        <v>0.6028215226674194</v>
      </c>
      <c r="C195" s="194">
        <v>0.16206634646501908</v>
      </c>
      <c r="D195" s="194">
        <v>0.18647494224825856</v>
      </c>
      <c r="E195" s="194">
        <v>1.8708987470683294E-2</v>
      </c>
      <c r="F195" s="194">
        <v>2.9928201148619757E-2</v>
      </c>
      <c r="G195" s="93"/>
      <c r="H195" s="93"/>
      <c r="I195" s="93"/>
      <c r="J195" s="93"/>
    </row>
    <row r="196" spans="1:10" s="8" customFormat="1">
      <c r="A196" s="118">
        <v>42338</v>
      </c>
      <c r="B196" s="194">
        <v>0.60352113036841137</v>
      </c>
      <c r="C196" s="194">
        <v>0.1621556133793387</v>
      </c>
      <c r="D196" s="194">
        <v>0.18543222793961972</v>
      </c>
      <c r="E196" s="194">
        <v>1.9048454980709867E-2</v>
      </c>
      <c r="F196" s="194">
        <v>2.9842573331920398E-2</v>
      </c>
      <c r="G196" s="93"/>
      <c r="H196" s="93"/>
      <c r="I196" s="93"/>
      <c r="J196" s="93"/>
    </row>
    <row r="197" spans="1:10" s="8" customFormat="1">
      <c r="A197" s="118">
        <v>42369</v>
      </c>
      <c r="B197" s="194">
        <v>0.58245551473859014</v>
      </c>
      <c r="C197" s="194">
        <v>0.16586364448252838</v>
      </c>
      <c r="D197" s="194">
        <v>0.19469094975638232</v>
      </c>
      <c r="E197" s="194">
        <v>2.4072676889342531E-2</v>
      </c>
      <c r="F197" s="194">
        <v>3.2917214133156618E-2</v>
      </c>
      <c r="G197" s="93"/>
      <c r="H197" s="93"/>
      <c r="I197" s="93"/>
      <c r="J197" s="93"/>
    </row>
    <row r="198" spans="1:10" s="8" customFormat="1">
      <c r="A198" s="118">
        <v>42400</v>
      </c>
      <c r="B198" s="194">
        <v>0.57888246325250481</v>
      </c>
      <c r="C198" s="194">
        <v>0.16508188794551321</v>
      </c>
      <c r="D198" s="194">
        <v>0.19374610560678557</v>
      </c>
      <c r="E198" s="194">
        <v>2.9596693759927815E-2</v>
      </c>
      <c r="F198" s="194">
        <v>3.2692849435268664E-2</v>
      </c>
      <c r="G198" s="93"/>
      <c r="H198" s="93"/>
      <c r="I198" s="93"/>
      <c r="J198" s="93"/>
    </row>
    <row r="199" spans="1:10" s="8" customFormat="1">
      <c r="A199" s="118">
        <v>42429</v>
      </c>
      <c r="B199" s="194">
        <v>0.57930590941816618</v>
      </c>
      <c r="C199" s="194">
        <v>0.16542463000598348</v>
      </c>
      <c r="D199" s="194">
        <v>0.19306728777844562</v>
      </c>
      <c r="E199" s="194">
        <v>2.93409560630426E-2</v>
      </c>
      <c r="F199" s="194">
        <v>3.2861216734362091E-2</v>
      </c>
      <c r="G199" s="93"/>
      <c r="H199" s="93"/>
      <c r="I199" s="93"/>
      <c r="J199" s="93"/>
    </row>
    <row r="200" spans="1:10" s="8" customFormat="1">
      <c r="A200" s="118">
        <v>42460</v>
      </c>
      <c r="B200" s="194">
        <v>0.5962330630146252</v>
      </c>
      <c r="C200" s="194">
        <v>0.15823890887641084</v>
      </c>
      <c r="D200" s="194">
        <v>0.18503914069328237</v>
      </c>
      <c r="E200" s="194">
        <v>2.8571497714273666E-2</v>
      </c>
      <c r="F200" s="194">
        <v>3.191738970140795E-2</v>
      </c>
      <c r="G200" s="93"/>
      <c r="H200" s="93"/>
      <c r="I200" s="93"/>
      <c r="J200" s="93"/>
    </row>
    <row r="201" spans="1:10" s="8" customFormat="1">
      <c r="A201" s="118">
        <v>42490</v>
      </c>
      <c r="B201" s="194">
        <v>0.59793423909049292</v>
      </c>
      <c r="C201" s="194">
        <v>0.15733089533139497</v>
      </c>
      <c r="D201" s="194">
        <v>0.18479379138147414</v>
      </c>
      <c r="E201" s="194">
        <v>2.8083741326841188E-2</v>
      </c>
      <c r="F201" s="194">
        <v>3.1857332869796806E-2</v>
      </c>
      <c r="G201" s="93"/>
      <c r="H201" s="93"/>
      <c r="I201" s="93"/>
      <c r="J201" s="93"/>
    </row>
    <row r="202" spans="1:10" s="8" customFormat="1">
      <c r="A202" s="118">
        <v>42521</v>
      </c>
      <c r="B202" s="194">
        <v>0.58962305515718183</v>
      </c>
      <c r="C202" s="194">
        <v>0.15434271973853417</v>
      </c>
      <c r="D202" s="194">
        <v>0.19684393063876957</v>
      </c>
      <c r="E202" s="194">
        <v>2.7878638452350765E-2</v>
      </c>
      <c r="F202" s="194">
        <v>3.1311656013163658E-2</v>
      </c>
      <c r="G202" s="93"/>
      <c r="H202" s="93"/>
      <c r="I202" s="93"/>
      <c r="J202" s="93"/>
    </row>
    <row r="203" spans="1:10" s="8" customFormat="1">
      <c r="A203" s="118">
        <v>42551</v>
      </c>
      <c r="B203" s="194">
        <v>0.59172600579049051</v>
      </c>
      <c r="C203" s="194">
        <v>0.1536334952010735</v>
      </c>
      <c r="D203" s="194">
        <v>0.19587019369696854</v>
      </c>
      <c r="E203" s="194">
        <v>2.753719116115938E-2</v>
      </c>
      <c r="F203" s="194">
        <v>3.123311415030806E-2</v>
      </c>
      <c r="G203" s="93"/>
      <c r="H203" s="93"/>
      <c r="I203" s="93"/>
      <c r="J203" s="93"/>
    </row>
    <row r="204" spans="1:10" s="8" customFormat="1">
      <c r="A204" s="118">
        <v>42582</v>
      </c>
      <c r="B204" s="194">
        <v>0.59114646393233139</v>
      </c>
      <c r="C204" s="194">
        <v>0.15400355267331989</v>
      </c>
      <c r="D204" s="194">
        <v>0.19631145107935463</v>
      </c>
      <c r="E204" s="194">
        <v>2.7209477164037266E-2</v>
      </c>
      <c r="F204" s="194">
        <v>3.1329055150956679E-2</v>
      </c>
      <c r="G204" s="93"/>
      <c r="H204" s="93"/>
      <c r="I204" s="93"/>
      <c r="J204" s="93"/>
    </row>
    <row r="205" spans="1:10" s="8" customFormat="1">
      <c r="A205" s="118">
        <v>42613</v>
      </c>
      <c r="B205" s="194">
        <v>0.59292224168052488</v>
      </c>
      <c r="C205" s="194">
        <v>0.15375974373421986</v>
      </c>
      <c r="D205" s="194">
        <v>0.19505341916750665</v>
      </c>
      <c r="E205" s="194">
        <v>2.6969289359042314E-2</v>
      </c>
      <c r="F205" s="194">
        <v>3.1295306058706118E-2</v>
      </c>
      <c r="G205" s="93"/>
      <c r="H205" s="93"/>
      <c r="I205" s="93"/>
      <c r="J205" s="93"/>
    </row>
    <row r="206" spans="1:10" s="8" customFormat="1">
      <c r="A206" s="118">
        <v>42643</v>
      </c>
      <c r="B206" s="194">
        <v>0.59452798457465605</v>
      </c>
      <c r="C206" s="194">
        <v>0.15311164867270532</v>
      </c>
      <c r="D206" s="194">
        <v>0.19403041111215166</v>
      </c>
      <c r="E206" s="194">
        <v>2.693838306000269E-2</v>
      </c>
      <c r="F206" s="194">
        <v>3.1391572580484313E-2</v>
      </c>
      <c r="G206" s="93"/>
      <c r="H206" s="93"/>
      <c r="I206" s="93"/>
      <c r="J206" s="93"/>
    </row>
    <row r="207" spans="1:10" s="8" customFormat="1">
      <c r="A207" s="118">
        <v>42674</v>
      </c>
      <c r="B207" s="194">
        <v>0.5942414671925087</v>
      </c>
      <c r="C207" s="194">
        <v>0.15353380906142108</v>
      </c>
      <c r="D207" s="194">
        <v>0.19384213283444784</v>
      </c>
      <c r="E207" s="194">
        <v>2.7057653426253235E-2</v>
      </c>
      <c r="F207" s="194">
        <v>3.1324937485369013E-2</v>
      </c>
      <c r="G207" s="93"/>
      <c r="H207" s="93"/>
      <c r="I207" s="93"/>
      <c r="J207" s="93"/>
    </row>
    <row r="208" spans="1:10">
      <c r="A208" s="118">
        <v>42704</v>
      </c>
      <c r="B208" s="194">
        <v>0.58547971675809263</v>
      </c>
      <c r="C208" s="194">
        <v>0.15999458820915852</v>
      </c>
      <c r="D208" s="194">
        <v>0.18989830302803173</v>
      </c>
      <c r="E208" s="194">
        <v>3.2043135242298404E-2</v>
      </c>
      <c r="F208" s="194">
        <v>3.2584256762418738E-2</v>
      </c>
    </row>
    <row r="209" spans="1:6">
      <c r="A209" s="118">
        <v>42735</v>
      </c>
      <c r="B209" s="194">
        <v>0.56838750340972366</v>
      </c>
      <c r="C209" s="194">
        <v>0.16401523488449599</v>
      </c>
      <c r="D209" s="194">
        <v>0.19969089083409849</v>
      </c>
      <c r="E209" s="194">
        <v>3.0963165630430556E-2</v>
      </c>
      <c r="F209" s="194">
        <v>3.6943205241251359E-2</v>
      </c>
    </row>
    <row r="210" spans="1:6">
      <c r="A210" s="118">
        <v>42766</v>
      </c>
      <c r="B210" s="194">
        <v>0.57335665218294318</v>
      </c>
      <c r="C210" s="194">
        <v>0.15958937668996739</v>
      </c>
      <c r="D210" s="194">
        <v>0.1954883441279783</v>
      </c>
      <c r="E210" s="194">
        <v>3.528221139146475E-2</v>
      </c>
      <c r="F210" s="194">
        <v>3.628341560764637E-2</v>
      </c>
    </row>
    <row r="211" spans="1:6">
      <c r="A211" s="118">
        <v>42794</v>
      </c>
      <c r="B211" s="194">
        <v>0.57510826582331565</v>
      </c>
      <c r="C211" s="194">
        <v>0.15965639432044201</v>
      </c>
      <c r="D211" s="194">
        <v>0.19444446589198813</v>
      </c>
      <c r="E211" s="194">
        <v>3.4657185115436237E-2</v>
      </c>
      <c r="F211" s="194">
        <v>3.6133688848817798E-2</v>
      </c>
    </row>
    <row r="212" spans="1:6">
      <c r="A212" s="118">
        <v>42825</v>
      </c>
      <c r="B212" s="194">
        <v>0.57621975002186043</v>
      </c>
      <c r="C212" s="194">
        <v>0.15897324393388435</v>
      </c>
      <c r="D212" s="194">
        <v>0.19391359568062705</v>
      </c>
      <c r="E212" s="194">
        <v>3.4654706332832942E-2</v>
      </c>
      <c r="F212" s="194">
        <v>3.6238704030795321E-2</v>
      </c>
    </row>
    <row r="213" spans="1:6">
      <c r="A213" s="118">
        <v>42855</v>
      </c>
      <c r="B213" s="194">
        <v>0.57581078400700358</v>
      </c>
      <c r="C213" s="194">
        <v>0.15851083676567218</v>
      </c>
      <c r="D213" s="194">
        <v>0.19455301666463379</v>
      </c>
      <c r="E213" s="194">
        <v>3.4652719326508957E-2</v>
      </c>
      <c r="F213" s="194">
        <v>3.647264323618149E-2</v>
      </c>
    </row>
    <row r="214" spans="1:6">
      <c r="A214" s="118">
        <v>42886</v>
      </c>
      <c r="B214" s="194">
        <v>0.57565856906309842</v>
      </c>
      <c r="C214" s="194">
        <v>0.15614360527420168</v>
      </c>
      <c r="D214" s="194">
        <v>0.19510071037783044</v>
      </c>
      <c r="E214" s="194">
        <v>3.4532226488057163E-2</v>
      </c>
      <c r="F214" s="194">
        <v>3.8564888796812441E-2</v>
      </c>
    </row>
    <row r="215" spans="1:6">
      <c r="A215" s="118">
        <v>42916</v>
      </c>
      <c r="B215" s="194">
        <v>0.57580463823834804</v>
      </c>
      <c r="C215" s="194">
        <v>0.15609648730227094</v>
      </c>
      <c r="D215" s="194">
        <v>0.19494323438608394</v>
      </c>
      <c r="E215" s="194">
        <v>3.4292384890923101E-2</v>
      </c>
      <c r="F215" s="194">
        <v>3.8863255182374004E-2</v>
      </c>
    </row>
    <row r="216" spans="1:6">
      <c r="A216" s="118">
        <v>42947</v>
      </c>
      <c r="B216" s="194">
        <v>0.57561645361007407</v>
      </c>
      <c r="C216" s="194">
        <v>0.15537261937761171</v>
      </c>
      <c r="D216" s="194">
        <v>0.19597689125831838</v>
      </c>
      <c r="E216" s="194">
        <v>3.3768063954662093E-2</v>
      </c>
      <c r="F216" s="194">
        <v>3.9265971799333742E-2</v>
      </c>
    </row>
    <row r="217" spans="1:6">
      <c r="A217" s="118">
        <v>42978</v>
      </c>
      <c r="B217" s="194">
        <v>0.58356103001279369</v>
      </c>
      <c r="C217" s="194">
        <v>0.15861248809522666</v>
      </c>
      <c r="D217" s="194">
        <v>0.18786030220640132</v>
      </c>
      <c r="E217" s="194">
        <v>3.2144329905688912E-2</v>
      </c>
      <c r="F217" s="194">
        <v>3.782184977988947E-2</v>
      </c>
    </row>
    <row r="218" spans="1:6">
      <c r="A218" s="118">
        <v>43008</v>
      </c>
      <c r="B218" s="194">
        <v>0.58467601402738223</v>
      </c>
      <c r="C218" s="194">
        <v>0.15829335197777528</v>
      </c>
      <c r="D218" s="194">
        <v>0.18699527612552208</v>
      </c>
      <c r="E218" s="194">
        <v>3.2226815267304636E-2</v>
      </c>
      <c r="F218" s="194">
        <v>3.7808542602015743E-2</v>
      </c>
    </row>
    <row r="219" spans="1:6">
      <c r="A219" s="118">
        <v>43039</v>
      </c>
      <c r="B219" s="194">
        <v>0.5847853237195878</v>
      </c>
      <c r="C219" s="194">
        <v>0.15859829879844276</v>
      </c>
      <c r="D219" s="194">
        <v>0.18655311091658022</v>
      </c>
      <c r="E219" s="194">
        <v>3.2359600263226762E-2</v>
      </c>
      <c r="F219" s="194">
        <v>3.770366630216266E-2</v>
      </c>
    </row>
    <row r="220" spans="1:6">
      <c r="A220" s="118">
        <v>43069</v>
      </c>
      <c r="B220" s="194">
        <v>0.58568731050180078</v>
      </c>
      <c r="C220" s="194">
        <v>0.1569893467159407</v>
      </c>
      <c r="D220" s="194">
        <v>0.1869780651880506</v>
      </c>
      <c r="E220" s="194">
        <v>3.2334381570988675E-2</v>
      </c>
      <c r="F220" s="194">
        <v>3.8010896023219422E-2</v>
      </c>
    </row>
    <row r="221" spans="1:6">
      <c r="A221" s="118">
        <v>43100</v>
      </c>
      <c r="B221" s="194">
        <v>0.58331672524563039</v>
      </c>
      <c r="C221" s="194">
        <v>0.16238841148599756</v>
      </c>
      <c r="D221" s="194">
        <v>0.18486155420792111</v>
      </c>
      <c r="E221" s="194">
        <v>3.1884716849588421E-2</v>
      </c>
      <c r="F221" s="194">
        <v>3.7548592210862528E-2</v>
      </c>
    </row>
    <row r="222" spans="1:6">
      <c r="A222" s="118">
        <v>43131</v>
      </c>
      <c r="B222" s="194">
        <v>0.57814586791666267</v>
      </c>
      <c r="C222" s="194">
        <v>0.15982990947788023</v>
      </c>
      <c r="D222" s="194">
        <v>0.19296094285009835</v>
      </c>
      <c r="E222" s="194">
        <v>3.1207141443726345E-2</v>
      </c>
      <c r="F222" s="194">
        <v>3.7856138311632426E-2</v>
      </c>
    </row>
    <row r="223" spans="1:6">
      <c r="A223" s="118">
        <v>43159</v>
      </c>
      <c r="B223" s="194">
        <v>0.5782911051854347</v>
      </c>
      <c r="C223" s="194">
        <v>0.15987789093081739</v>
      </c>
      <c r="D223" s="194">
        <v>0.19085154942562796</v>
      </c>
      <c r="E223" s="194">
        <v>3.0947521905025206E-2</v>
      </c>
      <c r="F223" s="194">
        <v>4.0031932553094798E-2</v>
      </c>
    </row>
    <row r="224" spans="1:6">
      <c r="A224" s="118">
        <v>43190</v>
      </c>
      <c r="B224" s="194">
        <v>0.57126394112321865</v>
      </c>
      <c r="C224" s="194">
        <v>0.15677779589198482</v>
      </c>
      <c r="D224" s="194">
        <v>0.20194577406250644</v>
      </c>
      <c r="E224" s="194">
        <v>3.0499163456644107E-2</v>
      </c>
      <c r="F224" s="194">
        <v>3.9513325465646003E-2</v>
      </c>
    </row>
    <row r="225" spans="1:6">
      <c r="A225" s="118">
        <v>43220</v>
      </c>
      <c r="B225" s="194">
        <v>0.5693730723411824</v>
      </c>
      <c r="C225" s="194">
        <v>0.15611793587838999</v>
      </c>
      <c r="D225" s="194">
        <v>0.19991076990789028</v>
      </c>
      <c r="E225" s="194">
        <v>3.0462076444984134E-2</v>
      </c>
      <c r="F225" s="194">
        <v>4.4136145427553286E-2</v>
      </c>
    </row>
    <row r="226" spans="1:6">
      <c r="A226" s="118">
        <v>43250</v>
      </c>
      <c r="B226" s="194">
        <v>0.57133667692211931</v>
      </c>
      <c r="C226" s="194">
        <v>0.15570225907485227</v>
      </c>
      <c r="D226" s="194">
        <v>0.1992448548740951</v>
      </c>
      <c r="E226" s="194">
        <v>3.0263306351534638E-2</v>
      </c>
      <c r="F226" s="194">
        <v>4.3452902777398654E-2</v>
      </c>
    </row>
    <row r="227" spans="1:6">
      <c r="A227" s="118">
        <v>43281</v>
      </c>
      <c r="B227" s="194">
        <v>0.57204252039627113</v>
      </c>
      <c r="C227" s="194">
        <v>0.15542007935807739</v>
      </c>
      <c r="D227" s="194">
        <v>0.19907913231491292</v>
      </c>
      <c r="E227" s="194">
        <v>3.0056995306178887E-2</v>
      </c>
      <c r="F227" s="194">
        <v>4.3401272624559645E-2</v>
      </c>
    </row>
    <row r="228" spans="1:6">
      <c r="A228" s="118">
        <v>43312</v>
      </c>
      <c r="B228" s="194">
        <v>0.57255015974979273</v>
      </c>
      <c r="C228" s="194">
        <v>0.15518723005890395</v>
      </c>
      <c r="D228" s="194">
        <v>0.19920209727229868</v>
      </c>
      <c r="E228" s="194">
        <v>2.9835886433902829E-2</v>
      </c>
      <c r="F228" s="194">
        <v>4.3224626485101787E-2</v>
      </c>
    </row>
    <row r="229" spans="1:6">
      <c r="A229" s="118">
        <v>43343</v>
      </c>
      <c r="B229" s="194">
        <v>0.57293576774769972</v>
      </c>
      <c r="C229" s="194">
        <v>0.15581318735014402</v>
      </c>
      <c r="D229" s="194">
        <v>0.19796385440196479</v>
      </c>
      <c r="E229" s="194">
        <v>2.9859101431861913E-2</v>
      </c>
      <c r="F229" s="194">
        <v>4.3428089068329706E-2</v>
      </c>
    </row>
    <row r="230" spans="1:6">
      <c r="A230" s="118">
        <v>43373</v>
      </c>
      <c r="B230" s="194">
        <v>0.57031901319351963</v>
      </c>
      <c r="C230" s="194">
        <v>0.1541631996631129</v>
      </c>
      <c r="D230" s="194">
        <v>0.19599428906473521</v>
      </c>
      <c r="E230" s="194">
        <v>2.9700357462314742E-2</v>
      </c>
      <c r="F230" s="194">
        <v>4.9823140616317568E-2</v>
      </c>
    </row>
    <row r="231" spans="1:6">
      <c r="A231" s="118">
        <v>43404</v>
      </c>
      <c r="B231" s="194">
        <v>0.57702448375736981</v>
      </c>
      <c r="C231" s="194">
        <v>0.15101290697231143</v>
      </c>
      <c r="D231" s="194">
        <v>0.18995221565140577</v>
      </c>
      <c r="E231" s="194">
        <v>2.9175397884224939E-2</v>
      </c>
      <c r="F231" s="194">
        <v>5.2834995734688084E-2</v>
      </c>
    </row>
    <row r="232" spans="1:6">
      <c r="A232" s="118">
        <v>43434</v>
      </c>
      <c r="B232" s="194">
        <v>0.57547925212727402</v>
      </c>
      <c r="C232" s="194">
        <v>0.14936746320513375</v>
      </c>
      <c r="D232" s="194">
        <v>0.19111891592751065</v>
      </c>
      <c r="E232" s="194">
        <v>3.1749232028374472E-2</v>
      </c>
      <c r="F232" s="194">
        <v>5.2285136711707203E-2</v>
      </c>
    </row>
    <row r="233" spans="1:6">
      <c r="A233" s="118">
        <v>43465</v>
      </c>
      <c r="B233" s="194">
        <v>0.56741690085431773</v>
      </c>
      <c r="C233" s="194">
        <v>0.15892654446974103</v>
      </c>
      <c r="D233" s="194">
        <v>0.18845597682094906</v>
      </c>
      <c r="E233" s="194">
        <v>3.3967585176118767E-2</v>
      </c>
      <c r="F233" s="194">
        <v>5.1232992678873331E-2</v>
      </c>
    </row>
    <row r="234" spans="1:6">
      <c r="A234" s="118">
        <v>43496</v>
      </c>
      <c r="B234" s="194">
        <v>0.58424192661425678</v>
      </c>
      <c r="C234" s="194">
        <v>0.1525151300938013</v>
      </c>
      <c r="D234" s="194">
        <v>0.18133931643778864</v>
      </c>
      <c r="E234" s="194">
        <v>3.243841361061521E-2</v>
      </c>
      <c r="F234" s="194">
        <v>4.9465213243538031E-2</v>
      </c>
    </row>
    <row r="235" spans="1:6">
      <c r="A235" s="118">
        <v>43524</v>
      </c>
      <c r="B235" s="194">
        <v>0.58592186428255821</v>
      </c>
      <c r="C235" s="194">
        <v>0.1523477669479896</v>
      </c>
      <c r="D235" s="194">
        <v>0.18008017920796346</v>
      </c>
      <c r="E235" s="194">
        <v>3.2309921956981687E-2</v>
      </c>
      <c r="F235" s="194">
        <v>4.9340267604507125E-2</v>
      </c>
    </row>
    <row r="236" spans="1:6">
      <c r="A236" s="118">
        <v>43555</v>
      </c>
      <c r="B236" s="194">
        <v>0.57889827680583372</v>
      </c>
      <c r="C236" s="194">
        <v>0.15526843279161379</v>
      </c>
      <c r="D236" s="194">
        <v>0.18265385705035983</v>
      </c>
      <c r="E236" s="194">
        <v>3.3094239707188118E-2</v>
      </c>
      <c r="F236" s="194">
        <v>5.0085193645004411E-2</v>
      </c>
    </row>
    <row r="237" spans="1:6">
      <c r="A237" s="118">
        <v>43585</v>
      </c>
      <c r="B237" s="194">
        <v>0.57954570915167336</v>
      </c>
      <c r="C237" s="194">
        <v>0.1552002409062726</v>
      </c>
      <c r="D237" s="194">
        <v>0.18195850907976455</v>
      </c>
      <c r="E237" s="194">
        <v>3.3209971166519116E-2</v>
      </c>
      <c r="F237" s="194">
        <v>5.0085569695770465E-2</v>
      </c>
    </row>
    <row r="238" spans="1:6">
      <c r="A238" s="118">
        <v>43616</v>
      </c>
      <c r="B238" s="194">
        <v>0.58077848540161559</v>
      </c>
      <c r="C238" s="194">
        <v>0.15418422010419169</v>
      </c>
      <c r="D238" s="194">
        <v>0.18292041135635509</v>
      </c>
      <c r="E238" s="194">
        <v>3.2453070358566739E-2</v>
      </c>
      <c r="F238" s="194">
        <v>4.9663812779270927E-2</v>
      </c>
    </row>
    <row r="239" spans="1:6">
      <c r="A239" s="118">
        <v>43646</v>
      </c>
      <c r="B239" s="194">
        <v>0.58140180120672258</v>
      </c>
      <c r="C239" s="194">
        <v>0.1529822950183487</v>
      </c>
      <c r="D239" s="194">
        <v>0.18362398045457093</v>
      </c>
      <c r="E239" s="194">
        <v>3.2229212681894139E-2</v>
      </c>
      <c r="F239" s="194">
        <v>4.9762710638463499E-2</v>
      </c>
    </row>
    <row r="240" spans="1:6">
      <c r="A240" s="118">
        <v>43677</v>
      </c>
      <c r="B240" s="194">
        <v>0.58225874056545279</v>
      </c>
      <c r="C240" s="194">
        <v>0.15361476627760318</v>
      </c>
      <c r="D240" s="194">
        <v>0.18277657043073478</v>
      </c>
      <c r="E240" s="194">
        <v>3.2184466061918673E-2</v>
      </c>
      <c r="F240" s="194">
        <v>4.9165456664290452E-2</v>
      </c>
    </row>
    <row r="241" spans="1:6">
      <c r="A241" s="118">
        <v>43708</v>
      </c>
      <c r="B241" s="194">
        <v>0.58358277761115107</v>
      </c>
      <c r="C241" s="194">
        <v>0.15380247554461057</v>
      </c>
      <c r="D241" s="194">
        <v>0.18144823513718547</v>
      </c>
      <c r="E241" s="194">
        <v>3.2163821050897823E-2</v>
      </c>
      <c r="F241" s="194">
        <v>4.900269065615491E-2</v>
      </c>
    </row>
    <row r="242" spans="1:6">
      <c r="A242" s="118">
        <v>43738</v>
      </c>
      <c r="B242" s="194">
        <v>0.57996116529265496</v>
      </c>
      <c r="C242" s="194">
        <v>0.15912368292896925</v>
      </c>
      <c r="D242" s="194">
        <v>0.18022978180936841</v>
      </c>
      <c r="E242" s="194">
        <v>3.1963869198471648E-2</v>
      </c>
      <c r="F242" s="194">
        <v>4.8721500770535928E-2</v>
      </c>
    </row>
    <row r="243" spans="1:6">
      <c r="A243" s="118">
        <v>43769</v>
      </c>
      <c r="B243" s="194">
        <v>0.5803052784850995</v>
      </c>
      <c r="C243" s="194">
        <v>0.15852889220818558</v>
      </c>
      <c r="D243" s="194">
        <v>0.18012601890840466</v>
      </c>
      <c r="E243" s="194">
        <v>3.1926326061289964E-2</v>
      </c>
      <c r="F243" s="194">
        <v>4.9113484337020272E-2</v>
      </c>
    </row>
    <row r="244" spans="1:6">
      <c r="A244" s="118">
        <v>43799</v>
      </c>
      <c r="B244" s="194">
        <v>0.57038218411535835</v>
      </c>
      <c r="C244" s="194">
        <v>0.15679603913011275</v>
      </c>
      <c r="D244" s="194">
        <v>0.19320936417738352</v>
      </c>
      <c r="E244" s="194">
        <v>3.1174676755233343E-2</v>
      </c>
      <c r="F244" s="194">
        <v>4.8437735821912006E-2</v>
      </c>
    </row>
    <row r="245" spans="1:6">
      <c r="A245" s="118">
        <v>43830</v>
      </c>
      <c r="B245" s="194">
        <v>0.56457493906390421</v>
      </c>
      <c r="C245" s="194">
        <v>0.16590818877850597</v>
      </c>
      <c r="D245" s="194">
        <v>0.19142983979544934</v>
      </c>
      <c r="E245" s="194">
        <v>3.1390686368585538E-2</v>
      </c>
      <c r="F245" s="194">
        <v>4.6696345993554864E-2</v>
      </c>
    </row>
    <row r="246" spans="1:6">
      <c r="A246" s="118">
        <v>43861</v>
      </c>
      <c r="B246" s="194">
        <v>0.57018261788178604</v>
      </c>
      <c r="C246" s="194">
        <v>0.16110446903846617</v>
      </c>
      <c r="D246" s="194">
        <v>0.18477522674779809</v>
      </c>
      <c r="E246" s="194">
        <v>3.874410297584225E-2</v>
      </c>
      <c r="F246" s="194">
        <v>4.5193583356107347E-2</v>
      </c>
    </row>
    <row r="247" spans="1:6">
      <c r="A247" s="118">
        <v>43890</v>
      </c>
      <c r="B247" s="194">
        <v>0.56437558498796281</v>
      </c>
      <c r="C247" s="194">
        <v>0.16300123241964226</v>
      </c>
      <c r="D247" s="194">
        <v>0.18689200023492894</v>
      </c>
      <c r="E247" s="194">
        <v>3.9252947305400153E-2</v>
      </c>
      <c r="F247" s="194">
        <v>4.6478235052065831E-2</v>
      </c>
    </row>
    <row r="248" spans="1:6">
      <c r="A248" s="118">
        <v>43921</v>
      </c>
      <c r="B248" s="194">
        <v>0.55440418926517732</v>
      </c>
      <c r="C248" s="194">
        <v>0.16056442659899417</v>
      </c>
      <c r="D248" s="194">
        <v>0.18926099811718691</v>
      </c>
      <c r="E248" s="194">
        <v>3.8846354674161067E-2</v>
      </c>
      <c r="F248" s="194">
        <v>5.6924031344480694E-2</v>
      </c>
    </row>
    <row r="249" spans="1:6">
      <c r="A249" s="118">
        <v>43951</v>
      </c>
      <c r="B249" s="194">
        <v>0.53827043979075229</v>
      </c>
      <c r="C249" s="194">
        <v>0.16108198779101959</v>
      </c>
      <c r="D249" s="194">
        <v>0.18189904901659162</v>
      </c>
      <c r="E249" s="194">
        <v>3.7713742474779384E-2</v>
      </c>
      <c r="F249" s="194">
        <v>8.1034780926857106E-2</v>
      </c>
    </row>
    <row r="250" spans="1:6">
      <c r="A250" s="118">
        <v>43982</v>
      </c>
      <c r="B250" s="194">
        <v>0.52720645630060459</v>
      </c>
      <c r="C250" s="194">
        <v>0.15558553970208208</v>
      </c>
      <c r="D250" s="194">
        <v>0.18567587964282387</v>
      </c>
      <c r="E250" s="194">
        <v>3.6119508135074245E-2</v>
      </c>
      <c r="F250" s="194">
        <v>9.54126162194152E-2</v>
      </c>
    </row>
    <row r="251" spans="1:6">
      <c r="A251" s="118">
        <v>44012</v>
      </c>
      <c r="B251" s="194">
        <v>0.54779502297815996</v>
      </c>
      <c r="C251" s="194">
        <v>0.14842004471703318</v>
      </c>
      <c r="D251" s="194">
        <v>0.17832828613151641</v>
      </c>
      <c r="E251" s="194">
        <v>3.4348607287196131E-2</v>
      </c>
      <c r="F251" s="194">
        <v>9.1108038886094284E-2</v>
      </c>
    </row>
    <row r="252" spans="1:6">
      <c r="A252" s="118">
        <v>44043</v>
      </c>
      <c r="B252" s="194">
        <v>0.53267225591948486</v>
      </c>
      <c r="C252" s="194">
        <v>0.1579197741523668</v>
      </c>
      <c r="D252" s="194">
        <v>0.18682721316845055</v>
      </c>
      <c r="E252" s="194">
        <v>3.3148025080044385E-2</v>
      </c>
      <c r="F252" s="194">
        <v>8.9432731679653446E-2</v>
      </c>
    </row>
    <row r="253" spans="1:6">
      <c r="A253" s="118">
        <v>44074</v>
      </c>
      <c r="B253" s="194">
        <v>0.52812132787511012</v>
      </c>
      <c r="C253" s="194">
        <v>0.15623723520582602</v>
      </c>
      <c r="D253" s="194">
        <v>0.18463530632658426</v>
      </c>
      <c r="E253" s="194">
        <v>3.8449411886680489E-2</v>
      </c>
      <c r="F253" s="194">
        <v>9.2556718705799179E-2</v>
      </c>
    </row>
    <row r="254" spans="1:6">
      <c r="A254" s="118">
        <v>44104</v>
      </c>
      <c r="B254" s="194">
        <v>0.52881867899489121</v>
      </c>
      <c r="C254" s="194">
        <v>0.15617491411218304</v>
      </c>
      <c r="D254" s="194">
        <v>0.18409467186780806</v>
      </c>
      <c r="E254" s="194">
        <v>3.8603003488135251E-2</v>
      </c>
      <c r="F254" s="194">
        <v>9.2308731536982463E-2</v>
      </c>
    </row>
    <row r="255" spans="1:6">
      <c r="A255" s="118">
        <v>44135</v>
      </c>
      <c r="B255" s="194">
        <v>0.52914661966907806</v>
      </c>
      <c r="C255" s="194">
        <v>0.1559418354628388</v>
      </c>
      <c r="D255" s="194">
        <v>0.1837754898486158</v>
      </c>
      <c r="E255" s="194">
        <v>3.8590699852900694E-2</v>
      </c>
      <c r="F255" s="194">
        <v>9.2545355166566798E-2</v>
      </c>
    </row>
    <row r="256" spans="1:6">
      <c r="A256" s="118">
        <v>44165</v>
      </c>
      <c r="B256" s="194">
        <v>0.53047378525576405</v>
      </c>
      <c r="C256" s="194">
        <v>0.15484360947442008</v>
      </c>
      <c r="D256" s="194">
        <v>0.18414233678529057</v>
      </c>
      <c r="E256" s="194">
        <v>3.7947004053798174E-2</v>
      </c>
      <c r="F256" s="194">
        <v>9.2593264430727101E-2</v>
      </c>
    </row>
    <row r="257" spans="1:7">
      <c r="A257" s="118">
        <v>44196</v>
      </c>
      <c r="B257" s="194">
        <v>0.48236399002338598</v>
      </c>
      <c r="C257" s="194">
        <v>0.14012274222209287</v>
      </c>
      <c r="D257" s="194">
        <v>0.16947660545808488</v>
      </c>
      <c r="E257" s="194">
        <v>3.4162050740003315E-2</v>
      </c>
      <c r="F257" s="194">
        <v>0.17387461155643302</v>
      </c>
    </row>
    <row r="258" spans="1:7">
      <c r="A258" s="118">
        <v>44227</v>
      </c>
      <c r="B258" s="194">
        <v>0.49448918312686196</v>
      </c>
      <c r="C258" s="194">
        <v>0.13696494412727475</v>
      </c>
      <c r="D258" s="194">
        <v>0.16558928071378604</v>
      </c>
      <c r="E258" s="194">
        <v>3.3115747278822029E-2</v>
      </c>
      <c r="F258" s="194">
        <v>0.16984084475325517</v>
      </c>
    </row>
    <row r="259" spans="1:7">
      <c r="A259" s="118">
        <v>44255</v>
      </c>
      <c r="B259" s="194">
        <v>0.49502442210075653</v>
      </c>
      <c r="C259" s="194">
        <v>0.13675991300752427</v>
      </c>
      <c r="D259" s="194">
        <v>0.16547846863973367</v>
      </c>
      <c r="E259" s="194">
        <v>3.3150237603699152E-2</v>
      </c>
      <c r="F259" s="194">
        <v>0.16958695864828618</v>
      </c>
    </row>
    <row r="260" spans="1:7">
      <c r="A260" s="118">
        <v>44286</v>
      </c>
      <c r="B260" s="194">
        <v>0.48380279987746355</v>
      </c>
      <c r="C260" s="194">
        <v>0.13906980814463396</v>
      </c>
      <c r="D260" s="194">
        <v>0.17321771125634078</v>
      </c>
      <c r="E260" s="194">
        <v>3.385645005752496E-2</v>
      </c>
      <c r="F260" s="194">
        <v>0.17005323066403671</v>
      </c>
    </row>
    <row r="261" spans="1:7">
      <c r="A261" s="118">
        <v>44316</v>
      </c>
      <c r="B261" s="194">
        <v>0.50006354795228269</v>
      </c>
      <c r="C261" s="194">
        <v>0.13336869824711842</v>
      </c>
      <c r="D261" s="194">
        <v>0.16804488155848665</v>
      </c>
      <c r="E261" s="194">
        <v>3.2553211256550633E-2</v>
      </c>
      <c r="F261" s="194">
        <v>0.1659696609855616</v>
      </c>
      <c r="G261" s="104"/>
    </row>
    <row r="262" spans="1:7">
      <c r="A262" s="118">
        <v>44347</v>
      </c>
      <c r="B262" s="194">
        <v>0.50073273861629497</v>
      </c>
      <c r="C262" s="194">
        <v>0.13253342433577361</v>
      </c>
      <c r="D262" s="194">
        <v>0.16837272755055255</v>
      </c>
      <c r="E262" s="194">
        <v>3.1950310277052134E-2</v>
      </c>
      <c r="F262" s="194">
        <v>0.166410799220327</v>
      </c>
    </row>
    <row r="263" spans="1:7">
      <c r="A263" s="118">
        <v>44377</v>
      </c>
      <c r="B263" s="194">
        <v>0.49700270002402214</v>
      </c>
      <c r="C263" s="194">
        <v>0.13136108304707972</v>
      </c>
      <c r="D263" s="194">
        <v>0.17679305261243691</v>
      </c>
      <c r="E263" s="194">
        <v>3.1702866264687872E-2</v>
      </c>
      <c r="F263" s="194">
        <v>0.16314029805177335</v>
      </c>
      <c r="G263" s="276"/>
    </row>
    <row r="264" spans="1:7">
      <c r="A264" s="118">
        <v>44408</v>
      </c>
      <c r="B264" s="194">
        <v>0.49674766202194021</v>
      </c>
      <c r="C264" s="194">
        <v>0.13153404010720904</v>
      </c>
      <c r="D264" s="194">
        <v>0.17711304099288688</v>
      </c>
      <c r="E264" s="194">
        <v>3.1357134278776864E-2</v>
      </c>
      <c r="F264" s="194">
        <v>0.16324812259918708</v>
      </c>
    </row>
    <row r="265" spans="1:7">
      <c r="A265" s="118">
        <v>44439</v>
      </c>
      <c r="B265" s="194">
        <v>0.49799548372672464</v>
      </c>
      <c r="C265" s="194">
        <v>0.13165233564265064</v>
      </c>
      <c r="D265" s="194">
        <v>0.17602375259853889</v>
      </c>
      <c r="E265" s="194">
        <v>3.1466769551201659E-2</v>
      </c>
      <c r="F265" s="194">
        <v>0.16286165848088413</v>
      </c>
      <c r="G265" s="104"/>
    </row>
    <row r="266" spans="1:7">
      <c r="A266" s="118">
        <v>44469</v>
      </c>
      <c r="B266" s="194">
        <v>0.49680092914931767</v>
      </c>
      <c r="C266" s="194">
        <v>0.13222944760205152</v>
      </c>
      <c r="D266" s="194">
        <v>0.17489610066724554</v>
      </c>
      <c r="E266" s="194">
        <v>3.143370695161192E-2</v>
      </c>
      <c r="F266" s="194">
        <v>0.16463981562977331</v>
      </c>
      <c r="G266" s="104"/>
    </row>
    <row r="267" spans="1:7">
      <c r="A267" s="118">
        <v>44500</v>
      </c>
      <c r="B267" s="194">
        <v>0.50067260184754137</v>
      </c>
      <c r="C267" s="194">
        <v>0.12919019258058381</v>
      </c>
      <c r="D267" s="194">
        <v>0.17770564461915569</v>
      </c>
      <c r="E267" s="194">
        <v>3.0772199767999671E-2</v>
      </c>
      <c r="F267" s="194">
        <v>0.16165936118471952</v>
      </c>
    </row>
    <row r="268" spans="1:7">
      <c r="A268" s="118">
        <v>44530</v>
      </c>
      <c r="B268" s="194">
        <v>0.49648773296669169</v>
      </c>
      <c r="C268" s="194">
        <v>0.13203241911113139</v>
      </c>
      <c r="D268" s="194">
        <v>0.17580979479148579</v>
      </c>
      <c r="E268" s="194">
        <v>3.7044412510916204E-2</v>
      </c>
      <c r="F268" s="194">
        <v>0.15862564061977491</v>
      </c>
    </row>
    <row r="269" spans="1:7">
      <c r="A269" s="118">
        <v>44561</v>
      </c>
      <c r="B269" s="194">
        <v>0.48595024004413356</v>
      </c>
      <c r="C269" s="194">
        <v>0.13989721794318566</v>
      </c>
      <c r="D269" s="194">
        <v>0.17996423339711376</v>
      </c>
      <c r="E269" s="194">
        <v>3.6004932710783463E-2</v>
      </c>
      <c r="F269" s="194">
        <v>0.1581833759047836</v>
      </c>
      <c r="G269" s="104"/>
    </row>
    <row r="270" spans="1:7">
      <c r="A270" s="118">
        <v>44592</v>
      </c>
      <c r="B270" s="194">
        <v>0.48724925749022752</v>
      </c>
      <c r="C270" s="194">
        <v>0.14041558763286793</v>
      </c>
      <c r="D270" s="194">
        <v>0.17891027716605115</v>
      </c>
      <c r="E270" s="194">
        <v>3.5894438344210196E-2</v>
      </c>
      <c r="F270" s="194">
        <v>0.15753043936664313</v>
      </c>
      <c r="G270" s="104"/>
    </row>
    <row r="271" spans="1:7">
      <c r="A271" s="118">
        <v>44620</v>
      </c>
      <c r="B271" s="194">
        <v>0.48640339869372118</v>
      </c>
      <c r="C271" s="194">
        <v>0.13966535398422261</v>
      </c>
      <c r="D271" s="194">
        <v>0.17831652248887783</v>
      </c>
      <c r="E271" s="194">
        <v>3.579618561061549E-2</v>
      </c>
      <c r="F271" s="194">
        <v>0.15981853922256284</v>
      </c>
      <c r="G271" s="104"/>
    </row>
    <row r="272" spans="1:7">
      <c r="A272" s="118">
        <v>44651</v>
      </c>
      <c r="B272" s="194">
        <v>0.48736508405014001</v>
      </c>
      <c r="C272" s="194">
        <v>0.13973305563209526</v>
      </c>
      <c r="D272" s="194">
        <v>0.17821256112157957</v>
      </c>
      <c r="E272" s="194">
        <v>3.5853017804719028E-2</v>
      </c>
      <c r="F272" s="194">
        <v>0.15883628139146616</v>
      </c>
    </row>
    <row r="273" spans="1:6">
      <c r="A273" s="118">
        <v>44681</v>
      </c>
      <c r="B273" s="194">
        <v>0.49022357650887327</v>
      </c>
      <c r="C273" s="194">
        <v>0.13983073392509154</v>
      </c>
      <c r="D273" s="194">
        <v>0.17710941930419191</v>
      </c>
      <c r="E273" s="194">
        <v>3.6185020112571062E-2</v>
      </c>
      <c r="F273" s="194">
        <v>0.15665125014927217</v>
      </c>
    </row>
    <row r="274" spans="1:6">
      <c r="A274" s="118">
        <v>44712</v>
      </c>
      <c r="B274" s="194">
        <v>0.48573939523022369</v>
      </c>
      <c r="C274" s="194">
        <v>0.13797333251052177</v>
      </c>
      <c r="D274" s="194">
        <v>0.1860742755421714</v>
      </c>
      <c r="E274" s="194">
        <v>3.5216911726231898E-2</v>
      </c>
      <c r="F274" s="194">
        <v>0.15499608499085124</v>
      </c>
    </row>
    <row r="275" spans="1:6">
      <c r="A275" s="118">
        <v>44742</v>
      </c>
      <c r="B275" s="194">
        <v>0.48533138724070485</v>
      </c>
      <c r="C275" s="194">
        <v>0.13710499449204971</v>
      </c>
      <c r="D275" s="194">
        <v>0.18540409009602793</v>
      </c>
      <c r="E275" s="194">
        <v>3.9263511524783114E-2</v>
      </c>
      <c r="F275" s="194">
        <v>0.15289601664643443</v>
      </c>
    </row>
    <row r="276" spans="1:6">
      <c r="A276" s="118">
        <v>44773</v>
      </c>
      <c r="B276" s="194">
        <v>0.48374073180647154</v>
      </c>
      <c r="C276" s="194">
        <v>0.13727725262072388</v>
      </c>
      <c r="D276" s="194">
        <v>0.18414291956014461</v>
      </c>
      <c r="E276" s="194">
        <v>4.316774323547936E-2</v>
      </c>
      <c r="F276" s="194">
        <v>0.15167135277718063</v>
      </c>
    </row>
    <row r="277" spans="1:6">
      <c r="A277" s="118">
        <v>44804</v>
      </c>
      <c r="B277" s="194">
        <v>0.48181328449235988</v>
      </c>
      <c r="C277" s="194">
        <v>0.14312561258837206</v>
      </c>
      <c r="D277" s="194">
        <v>0.1825097562448959</v>
      </c>
      <c r="E277" s="194">
        <v>4.2901959558916777E-2</v>
      </c>
      <c r="F277" s="194">
        <v>0.1496493871154555</v>
      </c>
    </row>
    <row r="278" spans="1:6">
      <c r="A278" s="118">
        <v>44834</v>
      </c>
      <c r="B278" s="194">
        <v>0.48195656542668663</v>
      </c>
      <c r="C278" s="194">
        <v>0.14238485727645131</v>
      </c>
      <c r="D278" s="194">
        <v>0.18185807876309462</v>
      </c>
      <c r="E278" s="194">
        <v>4.2979489842916122E-2</v>
      </c>
      <c r="F278" s="194">
        <v>0.15082100869085135</v>
      </c>
    </row>
    <row r="279" spans="1:6">
      <c r="A279" s="118">
        <v>44865</v>
      </c>
      <c r="B279" s="194">
        <v>0.48228833122720893</v>
      </c>
      <c r="C279" s="194">
        <v>0.14158213766251418</v>
      </c>
      <c r="D279" s="194">
        <v>0.18163839708672011</v>
      </c>
      <c r="E279" s="194">
        <v>4.3042766246488208E-2</v>
      </c>
      <c r="F279" s="194">
        <v>0.1514483677770686</v>
      </c>
    </row>
    <row r="280" spans="1:6">
      <c r="A280" s="118">
        <v>44895</v>
      </c>
      <c r="B280" s="194">
        <v>0.47942756111371354</v>
      </c>
      <c r="C280" s="194">
        <v>0.1397817538837115</v>
      </c>
      <c r="D280" s="194">
        <v>0.18602526259711233</v>
      </c>
      <c r="E280" s="194">
        <v>4.2210439807307203E-2</v>
      </c>
      <c r="F280" s="194">
        <v>0.15255498259815542</v>
      </c>
    </row>
    <row r="281" spans="1:6">
      <c r="A281" s="118">
        <v>44926</v>
      </c>
      <c r="B281" s="194">
        <v>0.47570133719179331</v>
      </c>
      <c r="C281" s="194">
        <v>0.13602688004912014</v>
      </c>
      <c r="D281" s="194">
        <v>0.19516761133458108</v>
      </c>
      <c r="E281" s="194">
        <v>4.0824529883160349E-2</v>
      </c>
      <c r="F281" s="194">
        <v>0.1522796415413451</v>
      </c>
    </row>
    <row r="282" spans="1:6">
      <c r="A282" s="118">
        <v>44957</v>
      </c>
      <c r="B282" s="194">
        <v>0.4748973590190384</v>
      </c>
      <c r="C282" s="194">
        <v>0.1359215050396759</v>
      </c>
      <c r="D282" s="194">
        <v>0.19524075057134743</v>
      </c>
      <c r="E282" s="194">
        <v>4.0665579383034285E-2</v>
      </c>
      <c r="F282" s="194">
        <v>0.15327480598690402</v>
      </c>
    </row>
    <row r="283" spans="1:6">
      <c r="A283" s="118">
        <v>44985</v>
      </c>
      <c r="B283" s="194">
        <v>0.48631464793348073</v>
      </c>
      <c r="C283" s="194">
        <v>0.13237490447783626</v>
      </c>
      <c r="D283" s="194">
        <v>0.19006520414151484</v>
      </c>
      <c r="E283" s="194">
        <v>3.9664964977624534E-2</v>
      </c>
      <c r="F283" s="194">
        <v>0.15158027846954361</v>
      </c>
    </row>
    <row r="284" spans="1:6">
      <c r="A284" s="118">
        <v>45016</v>
      </c>
      <c r="B284" s="194">
        <v>0.48016154521236504</v>
      </c>
      <c r="C284" s="194">
        <v>0.13341581105991299</v>
      </c>
      <c r="D284" s="194">
        <v>0.19263471966180445</v>
      </c>
      <c r="E284" s="194">
        <v>4.0050171224192174E-2</v>
      </c>
      <c r="F284" s="194">
        <v>0.15373775284172536</v>
      </c>
    </row>
    <row r="285" spans="1:6">
      <c r="A285" s="118">
        <v>45046</v>
      </c>
      <c r="B285" s="194">
        <v>0.4809198632395118</v>
      </c>
      <c r="C285" s="194">
        <v>0.13317338890549879</v>
      </c>
      <c r="D285" s="194">
        <v>0.19261899482282047</v>
      </c>
      <c r="E285" s="194">
        <v>4.0096665187916325E-2</v>
      </c>
      <c r="F285" s="194">
        <v>0.15319108784425259</v>
      </c>
    </row>
    <row r="286" spans="1:6">
      <c r="A286" s="118">
        <v>45077</v>
      </c>
      <c r="B286" s="194">
        <v>0.48315614600514106</v>
      </c>
      <c r="C286" s="194">
        <v>0.13383595666878453</v>
      </c>
      <c r="D286" s="194">
        <v>0.19265474754714948</v>
      </c>
      <c r="E286" s="194">
        <v>3.9824501478468229E-2</v>
      </c>
      <c r="F286" s="194">
        <v>0.1505286483004567</v>
      </c>
    </row>
    <row r="287" spans="1:6">
      <c r="A287" s="118">
        <v>45107</v>
      </c>
      <c r="B287" s="194">
        <v>0.48299427912741355</v>
      </c>
      <c r="C287" s="194">
        <v>0.13393688502023873</v>
      </c>
      <c r="D287" s="194">
        <v>0.19296235545760823</v>
      </c>
      <c r="E287" s="194">
        <v>3.9568351374181465E-2</v>
      </c>
      <c r="F287" s="194">
        <v>0.15053812902055785</v>
      </c>
    </row>
    <row r="288" spans="1:6">
      <c r="A288" s="118">
        <v>45138</v>
      </c>
      <c r="B288" s="194">
        <v>0.48218591488701845</v>
      </c>
      <c r="C288" s="194">
        <v>0.13426189457594762</v>
      </c>
      <c r="D288" s="194">
        <v>0.19296774606861344</v>
      </c>
      <c r="E288" s="194">
        <v>3.9411549794708567E-2</v>
      </c>
      <c r="F288" s="194">
        <v>0.15117289467371187</v>
      </c>
    </row>
    <row r="289" spans="1:6">
      <c r="A289" s="118">
        <v>45169</v>
      </c>
      <c r="B289" s="194">
        <v>0.4836479978468457</v>
      </c>
      <c r="C289" s="194">
        <v>0.13389810300400209</v>
      </c>
      <c r="D289" s="194">
        <v>0.19241692606599128</v>
      </c>
      <c r="E289" s="194">
        <v>3.9378239684756469E-2</v>
      </c>
      <c r="F289" s="194">
        <v>0.15065873339840424</v>
      </c>
    </row>
    <row r="290" spans="1:6">
      <c r="A290" s="118">
        <v>45199</v>
      </c>
      <c r="B290" s="194">
        <v>0.48022965008968355</v>
      </c>
      <c r="C290" s="194">
        <v>0.13254428637532081</v>
      </c>
      <c r="D290" s="194">
        <v>0.19993649100969604</v>
      </c>
      <c r="E290" s="194">
        <v>3.9135131805855011E-2</v>
      </c>
      <c r="F290" s="194">
        <v>0.14815444071944472</v>
      </c>
    </row>
    <row r="291" spans="1:6">
      <c r="A291" s="118">
        <v>45230</v>
      </c>
      <c r="B291" s="194">
        <v>0.47524255470297683</v>
      </c>
      <c r="C291" s="194">
        <v>0.13375793735162672</v>
      </c>
      <c r="D291" s="194">
        <v>0.20160064767232802</v>
      </c>
      <c r="E291" s="194">
        <v>3.9571759619667225E-2</v>
      </c>
      <c r="F291" s="194">
        <v>0.14982710065340127</v>
      </c>
    </row>
    <row r="292" spans="1:6">
      <c r="A292" s="118">
        <v>45260</v>
      </c>
      <c r="B292" s="194">
        <v>0.48854692997449367</v>
      </c>
      <c r="C292" s="194">
        <v>0.13485839250937623</v>
      </c>
      <c r="D292" s="194">
        <v>0.19458743878438192</v>
      </c>
      <c r="E292" s="194">
        <v>3.7542577428100792E-2</v>
      </c>
      <c r="F292" s="194">
        <v>0.1444646613036476</v>
      </c>
    </row>
    <row r="293" spans="1:6">
      <c r="A293" s="118">
        <v>45291</v>
      </c>
      <c r="B293" s="194">
        <v>0.4835166945193709</v>
      </c>
      <c r="C293" s="194">
        <v>0.1401326696838946</v>
      </c>
      <c r="D293" s="194">
        <v>0.19299990962175056</v>
      </c>
      <c r="E293" s="194">
        <v>4.0053512787696012E-2</v>
      </c>
      <c r="F293" s="194">
        <v>0.14329721338728793</v>
      </c>
    </row>
    <row r="294" spans="1:6">
      <c r="A294" s="118">
        <v>45322</v>
      </c>
      <c r="B294" s="194">
        <v>0.48371633312223772</v>
      </c>
      <c r="C294" s="194">
        <v>0.13967886479736946</v>
      </c>
      <c r="D294" s="194">
        <v>0.19268301072211827</v>
      </c>
      <c r="E294" s="194">
        <v>3.98893513345061E-2</v>
      </c>
      <c r="F294" s="194">
        <v>0.14403244002376864</v>
      </c>
    </row>
    <row r="295" spans="1:6">
      <c r="A295" s="118">
        <v>45350</v>
      </c>
      <c r="B295" s="194">
        <v>0.48433923563718401</v>
      </c>
      <c r="C295" s="194">
        <v>0.13936439436512221</v>
      </c>
      <c r="D295" s="194">
        <v>0.19254251712484019</v>
      </c>
      <c r="E295" s="194">
        <v>3.9759987111192913E-2</v>
      </c>
      <c r="F295" s="194">
        <v>0.14399386576166084</v>
      </c>
    </row>
    <row r="296" spans="1:6">
      <c r="A296" s="118">
        <v>45382</v>
      </c>
      <c r="B296" s="194">
        <v>0.48559025439185965</v>
      </c>
      <c r="C296" s="194">
        <v>0.13935053161157221</v>
      </c>
      <c r="D296" s="194">
        <v>0.19279561464690867</v>
      </c>
      <c r="E296" s="194">
        <v>3.9853789162572394E-2</v>
      </c>
      <c r="F296" s="194">
        <v>0.14240981018708726</v>
      </c>
    </row>
    <row r="297" spans="1:6">
      <c r="A297" s="118">
        <v>45412</v>
      </c>
      <c r="B297" s="194">
        <v>0.49467432639570708</v>
      </c>
      <c r="C297" s="194">
        <v>0.13709121243714173</v>
      </c>
      <c r="D297" s="194">
        <v>0.18912557042283584</v>
      </c>
      <c r="E297" s="194">
        <v>3.9300107010119947E-2</v>
      </c>
      <c r="F297" s="194">
        <v>0.13980878373419556</v>
      </c>
    </row>
    <row r="298" spans="1:6">
      <c r="A298" s="118">
        <v>45443</v>
      </c>
      <c r="B298" s="194">
        <v>0.4933624281598683</v>
      </c>
      <c r="C298" s="194">
        <v>0.13846659370891817</v>
      </c>
      <c r="D298" s="194">
        <v>0.19219229350922068</v>
      </c>
      <c r="E298" s="194">
        <v>3.9372291185174234E-2</v>
      </c>
      <c r="F298" s="194">
        <v>0.13660639343681877</v>
      </c>
    </row>
    <row r="299" spans="1:6">
      <c r="A299" s="118">
        <v>45473</v>
      </c>
      <c r="B299" s="194">
        <v>0.49433820062050055</v>
      </c>
      <c r="C299" s="194">
        <v>0.13772652165092275</v>
      </c>
      <c r="D299" s="194">
        <v>0.19272716474180041</v>
      </c>
      <c r="E299" s="194">
        <v>3.9316940668707022E-2</v>
      </c>
      <c r="F299" s="194">
        <v>0.13589117231806935</v>
      </c>
    </row>
    <row r="300" spans="1:6">
      <c r="A300" s="118">
        <v>45504</v>
      </c>
      <c r="B300" s="194">
        <v>0.48953887439095828</v>
      </c>
      <c r="C300" s="194">
        <v>0.13617763404410463</v>
      </c>
      <c r="D300" s="194">
        <v>0.20040606595409363</v>
      </c>
      <c r="E300" s="194">
        <v>3.8697435066062671E-2</v>
      </c>
      <c r="F300" s="194">
        <v>0.13517999054478061</v>
      </c>
    </row>
    <row r="301" spans="1:6">
      <c r="A301" s="118">
        <v>45535</v>
      </c>
      <c r="B301" s="194">
        <v>0.4931234241128305</v>
      </c>
      <c r="C301" s="194">
        <v>0.13642339101940723</v>
      </c>
      <c r="D301" s="194">
        <v>0.20206425319324461</v>
      </c>
      <c r="E301" s="194">
        <v>3.8767921766210738E-2</v>
      </c>
      <c r="F301" s="194">
        <v>0.12962100990830691</v>
      </c>
    </row>
    <row r="302" spans="1:6">
      <c r="A302" s="118">
        <v>45565</v>
      </c>
      <c r="B302" s="194">
        <v>0.49296247250305181</v>
      </c>
      <c r="C302" s="194">
        <v>0.13592546372458392</v>
      </c>
      <c r="D302" s="194">
        <v>0.20224804554694772</v>
      </c>
      <c r="E302" s="194">
        <v>3.8743482182750956E-2</v>
      </c>
      <c r="F302" s="194">
        <v>0.1301205360426656</v>
      </c>
    </row>
    <row r="303" spans="1:6">
      <c r="A303" s="118">
        <v>45596</v>
      </c>
      <c r="B303" s="194">
        <v>0.49454651206944789</v>
      </c>
      <c r="C303" s="194">
        <v>0.13591730332924695</v>
      </c>
      <c r="D303" s="194">
        <v>0.20159571570951584</v>
      </c>
      <c r="E303" s="194">
        <v>3.8934297789628584E-2</v>
      </c>
      <c r="F303" s="194">
        <v>0.12900617110216098</v>
      </c>
    </row>
    <row r="304" spans="1:6">
      <c r="A304" s="118">
        <v>45626</v>
      </c>
      <c r="B304" s="194">
        <v>0.51498901329759039</v>
      </c>
      <c r="C304" s="194">
        <v>0.13126156214192169</v>
      </c>
      <c r="D304" s="194">
        <v>0.19435557786416299</v>
      </c>
      <c r="E304" s="194">
        <v>3.7262108391161071E-2</v>
      </c>
      <c r="F304" s="194">
        <v>0.1221317383051638</v>
      </c>
    </row>
    <row r="305" spans="1:6">
      <c r="A305" s="118">
        <v>45657</v>
      </c>
      <c r="B305" s="194">
        <v>0.51754968925395506</v>
      </c>
      <c r="C305" s="194">
        <v>0.13188189450115079</v>
      </c>
      <c r="D305" s="194">
        <v>0.19499414075499691</v>
      </c>
      <c r="E305" s="194">
        <v>4.1575835064233443E-2</v>
      </c>
      <c r="F305" s="194">
        <v>0.11399844042566375</v>
      </c>
    </row>
  </sheetData>
  <phoneticPr fontId="15" type="noConversion"/>
  <pageMargins left="0.75" right="0.75" top="1" bottom="1" header="0" footer="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8771" r:id="rId3" name="Drop Down 3">
              <controlPr defaultSize="0" autoLine="0" autoPict="0">
                <anchor moveWithCells="1">
                  <from>
                    <xdr:col>0</xdr:col>
                    <xdr:colOff>685800</xdr:colOff>
                    <xdr:row>1</xdr:row>
                    <xdr:rowOff>257175</xdr:rowOff>
                  </from>
                  <to>
                    <xdr:col>1</xdr:col>
                    <xdr:colOff>2181225</xdr:colOff>
                    <xdr:row>2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3BFEC-EB72-49F3-8DF4-C35EC10DDBDE}">
  <sheetPr codeName="Hoja3">
    <tabColor rgb="FFB48C41"/>
    <pageSetUpPr fitToPage="1"/>
  </sheetPr>
  <dimension ref="A1:P305"/>
  <sheetViews>
    <sheetView showGridLines="0" zoomScale="115" zoomScaleNormal="115" workbookViewId="0">
      <pane ySplit="22" topLeftCell="A303" activePane="bottomLeft" state="frozen"/>
      <selection activeCell="Z846" sqref="Z846"/>
      <selection pane="bottomLeft" activeCell="B305" sqref="B305:O305"/>
    </sheetView>
  </sheetViews>
  <sheetFormatPr baseColWidth="10" defaultColWidth="0" defaultRowHeight="12.75"/>
  <cols>
    <col min="1" max="1" width="14.7109375" style="91" customWidth="1"/>
    <col min="2" max="2" width="17.28515625" style="91" customWidth="1"/>
    <col min="3" max="5" width="11.7109375" style="91" customWidth="1"/>
    <col min="6" max="6" width="12.7109375" style="91" bestFit="1" customWidth="1"/>
    <col min="7" max="7" width="12.28515625" style="91" customWidth="1"/>
    <col min="8" max="15" width="11.7109375" style="91" customWidth="1"/>
    <col min="16" max="16" width="11.42578125" style="80" customWidth="1"/>
    <col min="17" max="16384" width="0" style="80" hidden="1"/>
  </cols>
  <sheetData>
    <row r="1" spans="1:15" s="110" customFormat="1" ht="12.75" customHeight="1">
      <c r="A1" s="116"/>
    </row>
    <row r="2" spans="1:15" s="110" customFormat="1" ht="12.75" customHeight="1">
      <c r="A2" s="125"/>
    </row>
    <row r="3" spans="1:15" s="110" customFormat="1" ht="12.75" customHeight="1">
      <c r="A3" s="125"/>
    </row>
    <row r="4" spans="1:15" s="110" customFormat="1" ht="12.75" customHeight="1">
      <c r="A4" s="125"/>
    </row>
    <row r="5" spans="1:15" s="110" customFormat="1" ht="12.75" customHeight="1">
      <c r="A5" s="126"/>
    </row>
    <row r="6" spans="1:15" ht="12.75" customHeight="1">
      <c r="A6" s="127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5" ht="12.75" customHeight="1">
      <c r="A7" s="127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ht="12.75" customHeight="1">
      <c r="A8" s="127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</row>
    <row r="9" spans="1:15" ht="12.75" customHeight="1">
      <c r="A9" s="127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15" ht="12.75" customHeight="1">
      <c r="A10" s="127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</row>
    <row r="11" spans="1:15" ht="12.75" customHeight="1">
      <c r="A11" s="127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spans="1:15" ht="12.75" customHeight="1">
      <c r="A12" s="127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15" ht="12.75" customHeight="1">
      <c r="A13" s="127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spans="1:15" ht="12.75" customHeight="1">
      <c r="A14" s="127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</row>
    <row r="15" spans="1:15" ht="12.75" customHeight="1">
      <c r="A15" s="127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</row>
    <row r="16" spans="1:15" ht="12.75" customHeight="1">
      <c r="A16" s="127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16" ht="12.75" customHeight="1">
      <c r="A17" s="127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</row>
    <row r="18" spans="1:16" ht="12.75" customHeight="1">
      <c r="A18" s="127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</row>
    <row r="19" spans="1:16" ht="12.75" customHeight="1">
      <c r="A19" s="127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</row>
    <row r="20" spans="1:16" s="1" customFormat="1" ht="12.75" customHeight="1">
      <c r="A20" s="291"/>
      <c r="B20" s="290" t="str">
        <f>Fuente_totalSección_título_etiqueta</f>
        <v>Composición por fuente - deuda total</v>
      </c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92"/>
    </row>
    <row r="21" spans="1:16" s="1" customFormat="1" ht="12.75" customHeight="1">
      <c r="A21" s="291"/>
      <c r="B21" s="290" t="str">
        <f>Fuente_totalSección_subtítulo_etiqueta</f>
        <v>(% de deuda total)</v>
      </c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</row>
    <row r="22" spans="1:16" ht="38.25">
      <c r="A22" s="193" t="str">
        <f>Indice_PrincipalFecha_corte_etiqueta</f>
        <v>Fecha corte</v>
      </c>
      <c r="B22" s="193" t="str">
        <f>Fuente_totalColumna_título_etiqueta</f>
        <v>TES</v>
      </c>
      <c r="C22" s="193" t="str">
        <f>Fuente_totalColumna_título_etiqueta_2</f>
        <v>Bonos externos</v>
      </c>
      <c r="D22" s="193" t="str">
        <f>Fuente_totalColumna_título_etiqueta_3</f>
        <v xml:space="preserve">BID                            </v>
      </c>
      <c r="E22" s="193" t="str">
        <f>Fuente_totalColumna_título_etiqueta_5</f>
        <v xml:space="preserve">BIRF                          </v>
      </c>
      <c r="F22" s="193" t="str">
        <f>Fuente_totalColumna_título_etiqueta_8</f>
        <v>CAF</v>
      </c>
      <c r="G22" s="193" t="str">
        <f>Fuente_totalColumna_título_etiqueta_6</f>
        <v xml:space="preserve">Créditos comerciales       </v>
      </c>
      <c r="H22" s="193" t="str">
        <f>Fuente_totalColumna_título_etiqueta_7</f>
        <v>Bonos Ley 546</v>
      </c>
      <c r="I22" s="193" t="str">
        <f>Fuente_totalColumna_título_etiqueta_4</f>
        <v>Bonos Fogafin</v>
      </c>
      <c r="J22" s="193" t="str">
        <f>Fuente_totalColumna_título_etiqueta_9</f>
        <v>Bonos Agrarios</v>
      </c>
      <c r="K22" s="193" t="str">
        <f>Fuente_totalColumna_título_etiqueta_11</f>
        <v>Títulos de reducción de deuda</v>
      </c>
      <c r="L22" s="193" t="str">
        <f>Fuente_totalColumna_título_etiqueta_10</f>
        <v>Bonos de Paz</v>
      </c>
      <c r="M22" s="193" t="str">
        <f>Fuente_internaColumna_título_etiqueta_9</f>
        <v>Titulos de Tesorería</v>
      </c>
      <c r="N22" s="193" t="str">
        <f>Fuente_totalColumna_título_etiqueta_12</f>
        <v>Otros - deuda interna</v>
      </c>
      <c r="O22" s="193" t="str">
        <f>Fuente_totalColumna_título_etiqueta_13</f>
        <v>Otros - deuda externa</v>
      </c>
    </row>
    <row r="23" spans="1:16">
      <c r="A23" s="197">
        <v>37072</v>
      </c>
      <c r="B23" s="129" t="s">
        <v>345</v>
      </c>
      <c r="C23" s="129" t="s">
        <v>345</v>
      </c>
      <c r="D23" s="129" t="s">
        <v>345</v>
      </c>
      <c r="E23" s="129" t="s">
        <v>345</v>
      </c>
      <c r="F23" s="129" t="s">
        <v>345</v>
      </c>
      <c r="G23" s="129" t="s">
        <v>345</v>
      </c>
      <c r="H23" s="129" t="s">
        <v>345</v>
      </c>
      <c r="I23" s="129" t="s">
        <v>345</v>
      </c>
      <c r="J23" s="129" t="s">
        <v>345</v>
      </c>
      <c r="K23" s="129" t="s">
        <v>345</v>
      </c>
      <c r="L23" s="129" t="s">
        <v>345</v>
      </c>
      <c r="M23" s="129" t="s">
        <v>345</v>
      </c>
      <c r="N23" s="129" t="s">
        <v>345</v>
      </c>
      <c r="O23" s="129" t="s">
        <v>345</v>
      </c>
      <c r="P23" s="128"/>
    </row>
    <row r="24" spans="1:16">
      <c r="A24" s="197">
        <v>37103</v>
      </c>
      <c r="B24" s="129" t="s">
        <v>345</v>
      </c>
      <c r="C24" s="129" t="s">
        <v>345</v>
      </c>
      <c r="D24" s="129" t="s">
        <v>345</v>
      </c>
      <c r="E24" s="129" t="s">
        <v>345</v>
      </c>
      <c r="F24" s="129" t="s">
        <v>345</v>
      </c>
      <c r="G24" s="129" t="s">
        <v>345</v>
      </c>
      <c r="H24" s="129" t="s">
        <v>345</v>
      </c>
      <c r="I24" s="129" t="s">
        <v>345</v>
      </c>
      <c r="J24" s="129" t="s">
        <v>345</v>
      </c>
      <c r="K24" s="129" t="s">
        <v>345</v>
      </c>
      <c r="L24" s="129" t="s">
        <v>345</v>
      </c>
      <c r="M24" s="129" t="s">
        <v>345</v>
      </c>
      <c r="N24" s="129" t="s">
        <v>345</v>
      </c>
      <c r="O24" s="129" t="s">
        <v>345</v>
      </c>
      <c r="P24" s="128"/>
    </row>
    <row r="25" spans="1:16">
      <c r="A25" s="197">
        <v>37134</v>
      </c>
      <c r="B25" s="129" t="s">
        <v>345</v>
      </c>
      <c r="C25" s="129" t="s">
        <v>345</v>
      </c>
      <c r="D25" s="129" t="s">
        <v>345</v>
      </c>
      <c r="E25" s="129" t="s">
        <v>345</v>
      </c>
      <c r="F25" s="129" t="s">
        <v>345</v>
      </c>
      <c r="G25" s="129" t="s">
        <v>345</v>
      </c>
      <c r="H25" s="129" t="s">
        <v>345</v>
      </c>
      <c r="I25" s="129" t="s">
        <v>345</v>
      </c>
      <c r="J25" s="129" t="s">
        <v>345</v>
      </c>
      <c r="K25" s="129" t="s">
        <v>345</v>
      </c>
      <c r="L25" s="129" t="s">
        <v>345</v>
      </c>
      <c r="M25" s="129" t="s">
        <v>345</v>
      </c>
      <c r="N25" s="129" t="s">
        <v>345</v>
      </c>
      <c r="O25" s="129" t="s">
        <v>345</v>
      </c>
      <c r="P25" s="128"/>
    </row>
    <row r="26" spans="1:16">
      <c r="A26" s="197">
        <v>37164</v>
      </c>
      <c r="B26" s="129" t="s">
        <v>345</v>
      </c>
      <c r="C26" s="129" t="s">
        <v>345</v>
      </c>
      <c r="D26" s="129" t="s">
        <v>345</v>
      </c>
      <c r="E26" s="129" t="s">
        <v>345</v>
      </c>
      <c r="F26" s="129" t="s">
        <v>345</v>
      </c>
      <c r="G26" s="129" t="s">
        <v>345</v>
      </c>
      <c r="H26" s="129" t="s">
        <v>345</v>
      </c>
      <c r="I26" s="129" t="s">
        <v>345</v>
      </c>
      <c r="J26" s="129" t="s">
        <v>345</v>
      </c>
      <c r="K26" s="129" t="s">
        <v>345</v>
      </c>
      <c r="L26" s="129" t="s">
        <v>345</v>
      </c>
      <c r="M26" s="129" t="s">
        <v>345</v>
      </c>
      <c r="N26" s="129" t="s">
        <v>345</v>
      </c>
      <c r="O26" s="129" t="s">
        <v>345</v>
      </c>
      <c r="P26" s="128"/>
    </row>
    <row r="27" spans="1:16">
      <c r="A27" s="197">
        <v>37195</v>
      </c>
      <c r="B27" s="129" t="s">
        <v>345</v>
      </c>
      <c r="C27" s="129" t="s">
        <v>345</v>
      </c>
      <c r="D27" s="129" t="s">
        <v>345</v>
      </c>
      <c r="E27" s="129" t="s">
        <v>345</v>
      </c>
      <c r="F27" s="129" t="s">
        <v>345</v>
      </c>
      <c r="G27" s="129" t="s">
        <v>345</v>
      </c>
      <c r="H27" s="129" t="s">
        <v>345</v>
      </c>
      <c r="I27" s="129" t="s">
        <v>345</v>
      </c>
      <c r="J27" s="129" t="s">
        <v>345</v>
      </c>
      <c r="K27" s="129" t="s">
        <v>345</v>
      </c>
      <c r="L27" s="129" t="s">
        <v>345</v>
      </c>
      <c r="M27" s="129" t="s">
        <v>345</v>
      </c>
      <c r="N27" s="129" t="s">
        <v>345</v>
      </c>
      <c r="O27" s="129" t="s">
        <v>345</v>
      </c>
      <c r="P27" s="128"/>
    </row>
    <row r="28" spans="1:16">
      <c r="A28" s="197">
        <v>37225</v>
      </c>
      <c r="B28" s="129" t="s">
        <v>345</v>
      </c>
      <c r="C28" s="129" t="s">
        <v>345</v>
      </c>
      <c r="D28" s="129" t="s">
        <v>345</v>
      </c>
      <c r="E28" s="129" t="s">
        <v>345</v>
      </c>
      <c r="F28" s="129" t="s">
        <v>345</v>
      </c>
      <c r="G28" s="129" t="s">
        <v>345</v>
      </c>
      <c r="H28" s="129" t="s">
        <v>345</v>
      </c>
      <c r="I28" s="129" t="s">
        <v>345</v>
      </c>
      <c r="J28" s="129" t="s">
        <v>345</v>
      </c>
      <c r="K28" s="129" t="s">
        <v>345</v>
      </c>
      <c r="L28" s="129" t="s">
        <v>345</v>
      </c>
      <c r="M28" s="129" t="s">
        <v>345</v>
      </c>
      <c r="N28" s="129" t="s">
        <v>345</v>
      </c>
      <c r="O28" s="129" t="s">
        <v>345</v>
      </c>
      <c r="P28" s="128"/>
    </row>
    <row r="29" spans="1:16">
      <c r="A29" s="197">
        <v>37256</v>
      </c>
      <c r="B29" s="129">
        <v>0.38950633476104141</v>
      </c>
      <c r="C29" s="129">
        <v>0.30138447708524646</v>
      </c>
      <c r="D29" s="129">
        <v>8.472275568318087E-2</v>
      </c>
      <c r="E29" s="129">
        <v>3.3545490054264576E-2</v>
      </c>
      <c r="F29" s="129">
        <v>2.2555641707294426E-2</v>
      </c>
      <c r="G29" s="129" t="s">
        <v>345</v>
      </c>
      <c r="H29" s="129">
        <v>2.5331980652043874E-2</v>
      </c>
      <c r="I29" s="129">
        <v>4.6756247632210937E-2</v>
      </c>
      <c r="J29" s="129">
        <v>1.4373359020251232E-2</v>
      </c>
      <c r="K29" s="129">
        <v>9.8749395562596192E-3</v>
      </c>
      <c r="L29" s="129">
        <v>1.4202942965448457E-2</v>
      </c>
      <c r="M29" s="129">
        <v>1.4455262796465298E-2</v>
      </c>
      <c r="N29" s="129">
        <v>4.32905680862926E-2</v>
      </c>
      <c r="O29" s="129" t="s">
        <v>345</v>
      </c>
      <c r="P29" s="128"/>
    </row>
    <row r="30" spans="1:16">
      <c r="A30" s="197">
        <v>37287</v>
      </c>
      <c r="B30" s="129">
        <v>0.3964684669363569</v>
      </c>
      <c r="C30" s="129">
        <v>0.29656082240617759</v>
      </c>
      <c r="D30" s="129">
        <v>8.3274828216793745E-2</v>
      </c>
      <c r="E30" s="129">
        <v>3.2701892858467897E-2</v>
      </c>
      <c r="F30" s="129">
        <v>2.2365239578224606E-2</v>
      </c>
      <c r="G30" s="129" t="s">
        <v>345</v>
      </c>
      <c r="H30" s="129">
        <v>2.5274869148345352E-2</v>
      </c>
      <c r="I30" s="129">
        <v>4.6924056956698594E-2</v>
      </c>
      <c r="J30" s="129">
        <v>1.4424945359830486E-2</v>
      </c>
      <c r="K30" s="129">
        <v>1.0375296142275786E-2</v>
      </c>
      <c r="L30" s="129">
        <v>1.4296534526352716E-2</v>
      </c>
      <c r="M30" s="129">
        <v>1.4740609580384732E-2</v>
      </c>
      <c r="N30" s="129">
        <v>4.2592438290091343E-2</v>
      </c>
      <c r="O30" s="129" t="s">
        <v>345</v>
      </c>
      <c r="P30" s="128"/>
    </row>
    <row r="31" spans="1:16">
      <c r="A31" s="197">
        <v>37315</v>
      </c>
      <c r="B31" s="129">
        <v>0.40922121742074052</v>
      </c>
      <c r="C31" s="129">
        <v>0.29127214988024508</v>
      </c>
      <c r="D31" s="129">
        <v>8.2006228485538665E-2</v>
      </c>
      <c r="E31" s="129">
        <v>3.2091436902480015E-2</v>
      </c>
      <c r="F31" s="129">
        <v>2.2019643247115597E-2</v>
      </c>
      <c r="G31" s="129" t="s">
        <v>345</v>
      </c>
      <c r="H31" s="129">
        <v>2.4315665774169441E-2</v>
      </c>
      <c r="I31" s="129">
        <v>4.5380402075426818E-2</v>
      </c>
      <c r="J31" s="129">
        <v>1.3918564198801105E-2</v>
      </c>
      <c r="K31" s="129">
        <v>1.0483598844490509E-2</v>
      </c>
      <c r="L31" s="129">
        <v>1.3822626919938685E-2</v>
      </c>
      <c r="M31" s="129">
        <v>1.3620974942773938E-2</v>
      </c>
      <c r="N31" s="129">
        <v>4.1847491308279888E-2</v>
      </c>
      <c r="O31" s="129" t="s">
        <v>345</v>
      </c>
      <c r="P31" s="128"/>
    </row>
    <row r="32" spans="1:16">
      <c r="A32" s="197">
        <v>37346</v>
      </c>
      <c r="B32" s="129">
        <v>0.41435257723887725</v>
      </c>
      <c r="C32" s="129">
        <v>0.28513770958243917</v>
      </c>
      <c r="D32" s="129">
        <v>8.1598058108177995E-2</v>
      </c>
      <c r="E32" s="129">
        <v>3.1467095063215864E-2</v>
      </c>
      <c r="F32" s="129">
        <v>2.2102032990407739E-2</v>
      </c>
      <c r="G32" s="129" t="s">
        <v>345</v>
      </c>
      <c r="H32" s="129">
        <v>2.4951658660855202E-2</v>
      </c>
      <c r="I32" s="129">
        <v>4.6070302088361929E-2</v>
      </c>
      <c r="J32" s="129">
        <v>1.4130162536004704E-2</v>
      </c>
      <c r="K32" s="129">
        <v>1.1184836223924004E-2</v>
      </c>
      <c r="L32" s="129">
        <v>1.4055897971902914E-2</v>
      </c>
      <c r="M32" s="129">
        <v>1.3581902462963553E-2</v>
      </c>
      <c r="N32" s="129">
        <v>4.1367767072870106E-2</v>
      </c>
      <c r="O32" s="129" t="s">
        <v>345</v>
      </c>
      <c r="P32" s="128"/>
    </row>
    <row r="33" spans="1:16">
      <c r="A33" s="197">
        <v>37376</v>
      </c>
      <c r="B33" s="129">
        <v>0.41621112226070989</v>
      </c>
      <c r="C33" s="129">
        <v>0.28473573340522951</v>
      </c>
      <c r="D33" s="129">
        <v>8.1976264338293511E-2</v>
      </c>
      <c r="E33" s="129">
        <v>3.1327360791311348E-2</v>
      </c>
      <c r="F33" s="129">
        <v>2.2444207634553928E-2</v>
      </c>
      <c r="G33" s="129" t="s">
        <v>345</v>
      </c>
      <c r="H33" s="129">
        <v>2.4527276198868103E-2</v>
      </c>
      <c r="I33" s="129">
        <v>4.5624700466060826E-2</v>
      </c>
      <c r="J33" s="129">
        <v>1.3993492640996296E-2</v>
      </c>
      <c r="K33" s="129">
        <v>1.1609030716445947E-2</v>
      </c>
      <c r="L33" s="129">
        <v>1.3939570039295019E-2</v>
      </c>
      <c r="M33" s="129">
        <v>1.2136804529811909E-2</v>
      </c>
      <c r="N33" s="129">
        <v>4.1474436978423491E-2</v>
      </c>
      <c r="O33" s="129" t="s">
        <v>345</v>
      </c>
      <c r="P33" s="128"/>
    </row>
    <row r="34" spans="1:16">
      <c r="A34" s="197">
        <v>37407</v>
      </c>
      <c r="B34" s="129">
        <v>0.43438580904928487</v>
      </c>
      <c r="C34" s="129">
        <v>0.2686816060900849</v>
      </c>
      <c r="D34" s="129">
        <v>8.2285809363301973E-2</v>
      </c>
      <c r="E34" s="129">
        <v>3.1691715374218103E-2</v>
      </c>
      <c r="F34" s="129">
        <v>2.4087047515471225E-2</v>
      </c>
      <c r="G34" s="129" t="s">
        <v>345</v>
      </c>
      <c r="H34" s="129">
        <v>2.5012748204772537E-2</v>
      </c>
      <c r="I34" s="129">
        <v>4.435997013167714E-2</v>
      </c>
      <c r="J34" s="129">
        <v>1.3605588842258858E-2</v>
      </c>
      <c r="K34" s="129">
        <v>1.1803644226523391E-2</v>
      </c>
      <c r="L34" s="129">
        <v>1.3569532308820006E-2</v>
      </c>
      <c r="M34" s="129">
        <v>9.4181044242017068E-3</v>
      </c>
      <c r="N34" s="129">
        <v>4.1098424469385421E-2</v>
      </c>
      <c r="O34" s="129" t="s">
        <v>345</v>
      </c>
      <c r="P34" s="128"/>
    </row>
    <row r="35" spans="1:16">
      <c r="A35" s="197">
        <v>37437</v>
      </c>
      <c r="B35" s="129">
        <v>0.43459045583373995</v>
      </c>
      <c r="C35" s="129">
        <v>0.27462358066997178</v>
      </c>
      <c r="D35" s="129">
        <v>7.9516546674202646E-2</v>
      </c>
      <c r="E35" s="129">
        <v>3.3930104845661752E-2</v>
      </c>
      <c r="F35" s="129">
        <v>2.5766483263096138E-2</v>
      </c>
      <c r="G35" s="129" t="s">
        <v>345</v>
      </c>
      <c r="H35" s="129">
        <v>2.4557929519747369E-2</v>
      </c>
      <c r="I35" s="129">
        <v>4.3457651252442019E-2</v>
      </c>
      <c r="J35" s="129">
        <v>1.3328839790376284E-2</v>
      </c>
      <c r="K35" s="129">
        <v>1.2074215520470393E-2</v>
      </c>
      <c r="L35" s="129">
        <v>1.3311616620022858E-2</v>
      </c>
      <c r="M35" s="129">
        <v>7.9990155511202275E-3</v>
      </c>
      <c r="N35" s="129">
        <v>3.6843560459148765E-2</v>
      </c>
      <c r="O35" s="129" t="s">
        <v>345</v>
      </c>
      <c r="P35" s="128"/>
    </row>
    <row r="36" spans="1:16">
      <c r="A36" s="197">
        <v>37468</v>
      </c>
      <c r="B36" s="129">
        <v>0.41427922447447141</v>
      </c>
      <c r="C36" s="129">
        <v>0.28667898614845821</v>
      </c>
      <c r="D36" s="129">
        <v>8.1623172663529905E-2</v>
      </c>
      <c r="E36" s="129">
        <v>3.5156192408620758E-2</v>
      </c>
      <c r="F36" s="129">
        <v>2.8566032536874189E-2</v>
      </c>
      <c r="G36" s="129" t="s">
        <v>345</v>
      </c>
      <c r="H36" s="129">
        <v>2.3228745365215533E-2</v>
      </c>
      <c r="I36" s="129">
        <v>4.1260603756028927E-2</v>
      </c>
      <c r="J36" s="129">
        <v>1.2654986205390099E-2</v>
      </c>
      <c r="K36" s="129">
        <v>1.1934599383086811E-2</v>
      </c>
      <c r="L36" s="129">
        <v>1.2647467499671907E-2</v>
      </c>
      <c r="M36" s="129">
        <v>6.5594829779173323E-3</v>
      </c>
      <c r="N36" s="129">
        <v>4.5410506580734825E-2</v>
      </c>
      <c r="O36" s="129" t="s">
        <v>345</v>
      </c>
      <c r="P36" s="128"/>
    </row>
    <row r="37" spans="1:16">
      <c r="A37" s="197">
        <v>37499</v>
      </c>
      <c r="B37" s="129">
        <v>0.40688638906770919</v>
      </c>
      <c r="C37" s="129">
        <v>0.29127510899159936</v>
      </c>
      <c r="D37" s="129">
        <v>8.3267677354435132E-2</v>
      </c>
      <c r="E37" s="129">
        <v>3.4828213727131407E-2</v>
      </c>
      <c r="F37" s="129">
        <v>2.9213374254191224E-2</v>
      </c>
      <c r="G37" s="129" t="s">
        <v>345</v>
      </c>
      <c r="H37" s="129">
        <v>2.2841139961125637E-2</v>
      </c>
      <c r="I37" s="129">
        <v>4.0665747192862152E-2</v>
      </c>
      <c r="J37" s="129">
        <v>1.2435910167963414E-2</v>
      </c>
      <c r="K37" s="129">
        <v>1.2163565977327437E-2</v>
      </c>
      <c r="L37" s="129">
        <v>1.2439690041097459E-2</v>
      </c>
      <c r="M37" s="129">
        <v>7.643565316076649E-3</v>
      </c>
      <c r="N37" s="129">
        <v>4.6339617948480794E-2</v>
      </c>
      <c r="O37" s="129" t="s">
        <v>345</v>
      </c>
      <c r="P37" s="128"/>
    </row>
    <row r="38" spans="1:16">
      <c r="A38" s="197">
        <v>37529</v>
      </c>
      <c r="B38" s="129">
        <v>0.39832138526061445</v>
      </c>
      <c r="C38" s="129">
        <v>0.29710684315169383</v>
      </c>
      <c r="D38" s="129">
        <v>8.4102660002587856E-2</v>
      </c>
      <c r="E38" s="129">
        <v>3.9490422219032401E-2</v>
      </c>
      <c r="F38" s="129">
        <v>2.9878627472838246E-2</v>
      </c>
      <c r="G38" s="129" t="s">
        <v>345</v>
      </c>
      <c r="H38" s="129">
        <v>2.2531605686177365E-2</v>
      </c>
      <c r="I38" s="129">
        <v>3.8276831311222712E-2</v>
      </c>
      <c r="J38" s="129">
        <v>1.216360751211713E-2</v>
      </c>
      <c r="K38" s="129">
        <v>1.229999023058658E-2</v>
      </c>
      <c r="L38" s="129">
        <v>1.2182707091612545E-2</v>
      </c>
      <c r="M38" s="129">
        <v>7.3214369670604584E-3</v>
      </c>
      <c r="N38" s="129">
        <v>4.6323883094456487E-2</v>
      </c>
      <c r="O38" s="129" t="s">
        <v>345</v>
      </c>
      <c r="P38" s="128"/>
    </row>
    <row r="39" spans="1:16">
      <c r="A39" s="197">
        <v>37560</v>
      </c>
      <c r="B39" s="129">
        <v>0.40504562674911859</v>
      </c>
      <c r="C39" s="129">
        <v>0.29437358702698579</v>
      </c>
      <c r="D39" s="129">
        <v>8.3952017537788859E-2</v>
      </c>
      <c r="E39" s="129">
        <v>4.3866521533267297E-2</v>
      </c>
      <c r="F39" s="129">
        <v>2.9700246699930818E-2</v>
      </c>
      <c r="G39" s="129" t="s">
        <v>345</v>
      </c>
      <c r="H39" s="129">
        <v>2.2841074680700877E-2</v>
      </c>
      <c r="I39" s="129">
        <v>3.8793851421049352E-2</v>
      </c>
      <c r="J39" s="129">
        <v>1.2327906109372204E-2</v>
      </c>
      <c r="K39" s="129">
        <v>1.2892667657277503E-2</v>
      </c>
      <c r="L39" s="129">
        <v>1.2359825172126386E-2</v>
      </c>
      <c r="M39" s="129">
        <v>6.8427124495837261E-3</v>
      </c>
      <c r="N39" s="129">
        <v>3.7003962962798363E-2</v>
      </c>
      <c r="O39" s="129" t="s">
        <v>345</v>
      </c>
      <c r="P39" s="128"/>
    </row>
    <row r="40" spans="1:16">
      <c r="A40" s="197">
        <v>37590</v>
      </c>
      <c r="B40" s="129">
        <v>0.40667982498915622</v>
      </c>
      <c r="C40" s="129">
        <v>0.29206395208728164</v>
      </c>
      <c r="D40" s="129">
        <v>8.3587680613252668E-2</v>
      </c>
      <c r="E40" s="129">
        <v>4.3670597533895829E-2</v>
      </c>
      <c r="F40" s="129">
        <v>2.9291816173525425E-2</v>
      </c>
      <c r="G40" s="129" t="s">
        <v>345</v>
      </c>
      <c r="H40" s="129">
        <v>2.3011362755157486E-2</v>
      </c>
      <c r="I40" s="129">
        <v>3.8686724307781147E-2</v>
      </c>
      <c r="J40" s="129">
        <v>1.2293863266350381E-2</v>
      </c>
      <c r="K40" s="129">
        <v>1.3313435868609589E-2</v>
      </c>
      <c r="L40" s="129">
        <v>1.2353337297876072E-2</v>
      </c>
      <c r="M40" s="129">
        <v>6.574287175221012E-3</v>
      </c>
      <c r="N40" s="129">
        <v>3.8473117931892488E-2</v>
      </c>
      <c r="O40" s="129" t="s">
        <v>345</v>
      </c>
      <c r="P40" s="128"/>
    </row>
    <row r="41" spans="1:16">
      <c r="A41" s="197">
        <v>37621</v>
      </c>
      <c r="B41" s="129">
        <v>0.40727010033005823</v>
      </c>
      <c r="C41" s="129">
        <v>0.30393730054505452</v>
      </c>
      <c r="D41" s="129">
        <v>7.9366619482646228E-2</v>
      </c>
      <c r="E41" s="129">
        <v>4.4261861948702005E-2</v>
      </c>
      <c r="F41" s="129">
        <v>2.8983041653410615E-2</v>
      </c>
      <c r="G41" s="129" t="s">
        <v>345</v>
      </c>
      <c r="H41" s="129">
        <v>2.1566001574914673E-2</v>
      </c>
      <c r="I41" s="129">
        <v>3.7044085207531732E-2</v>
      </c>
      <c r="J41" s="129">
        <v>1.1771865582241331E-2</v>
      </c>
      <c r="K41" s="129">
        <v>1.3220508841222728E-2</v>
      </c>
      <c r="L41" s="129">
        <v>1.184900715406524E-2</v>
      </c>
      <c r="M41" s="129">
        <v>7.643565316076649E-3</v>
      </c>
      <c r="N41" s="129">
        <v>4.6339617948480794E-2</v>
      </c>
      <c r="O41" s="129" t="s">
        <v>345</v>
      </c>
      <c r="P41" s="128"/>
    </row>
    <row r="42" spans="1:16">
      <c r="A42" s="197">
        <v>37652</v>
      </c>
      <c r="B42" s="129">
        <v>0.39637448029331884</v>
      </c>
      <c r="C42" s="129">
        <v>0.31203249619204199</v>
      </c>
      <c r="D42" s="129">
        <v>8.8156683868370028E-2</v>
      </c>
      <c r="E42" s="129">
        <v>4.3683149820172504E-2</v>
      </c>
      <c r="F42" s="129">
        <v>2.795260545299506E-2</v>
      </c>
      <c r="G42" s="129" t="s">
        <v>345</v>
      </c>
      <c r="H42" s="129">
        <v>2.0984377711870356E-2</v>
      </c>
      <c r="I42" s="129">
        <v>3.5531759187184937E-2</v>
      </c>
      <c r="J42" s="129">
        <v>1.1291278775243363E-2</v>
      </c>
      <c r="K42" s="129">
        <v>1.3124704254043339E-2</v>
      </c>
      <c r="L42" s="129">
        <v>1.1385274298661074E-2</v>
      </c>
      <c r="M42" s="129">
        <v>5.6864898097799439E-3</v>
      </c>
      <c r="N42" s="129">
        <v>3.3796700336318437E-2</v>
      </c>
      <c r="O42" s="129" t="s">
        <v>345</v>
      </c>
      <c r="P42" s="128"/>
    </row>
    <row r="43" spans="1:16">
      <c r="A43" s="197">
        <v>37680</v>
      </c>
      <c r="B43" s="129">
        <v>0.39156954451594295</v>
      </c>
      <c r="C43" s="129">
        <v>0.31278014223774359</v>
      </c>
      <c r="D43" s="129">
        <v>8.9550305325049803E-2</v>
      </c>
      <c r="E43" s="129">
        <v>4.6051493510102674E-2</v>
      </c>
      <c r="F43" s="129">
        <v>2.8381497409024646E-2</v>
      </c>
      <c r="G43" s="129" t="s">
        <v>345</v>
      </c>
      <c r="H43" s="129">
        <v>2.1016966550020711E-2</v>
      </c>
      <c r="I43" s="129">
        <v>3.5695260631882143E-2</v>
      </c>
      <c r="J43" s="129">
        <v>1.0082876664445298E-2</v>
      </c>
      <c r="K43" s="129">
        <v>1.3634210894161806E-2</v>
      </c>
      <c r="L43" s="129">
        <v>1.1448661459611627E-2</v>
      </c>
      <c r="M43" s="129">
        <v>5.6773725849631205E-3</v>
      </c>
      <c r="N43" s="129">
        <v>3.4111668217051402E-2</v>
      </c>
      <c r="O43" s="129" t="s">
        <v>345</v>
      </c>
      <c r="P43" s="128"/>
    </row>
    <row r="44" spans="1:16">
      <c r="A44" s="197">
        <v>37711</v>
      </c>
      <c r="B44" s="129">
        <v>0.40421439462587477</v>
      </c>
      <c r="C44" s="129">
        <v>0.29930230754509279</v>
      </c>
      <c r="D44" s="129">
        <v>8.6824019106572822E-2</v>
      </c>
      <c r="E44" s="129">
        <v>5.2766755447984155E-2</v>
      </c>
      <c r="F44" s="129">
        <v>2.7952981091994865E-2</v>
      </c>
      <c r="G44" s="129" t="s">
        <v>345</v>
      </c>
      <c r="H44" s="129">
        <v>2.0515012350558214E-2</v>
      </c>
      <c r="I44" s="129">
        <v>3.4947411918011165E-2</v>
      </c>
      <c r="J44" s="129">
        <v>9.8716310757552932E-3</v>
      </c>
      <c r="K44" s="129">
        <v>1.3866186991398702E-2</v>
      </c>
      <c r="L44" s="129">
        <v>1.122284761501232E-2</v>
      </c>
      <c r="M44" s="129">
        <v>5.3225473507238046E-3</v>
      </c>
      <c r="N44" s="129">
        <v>3.3193904881020989E-2</v>
      </c>
      <c r="O44" s="129" t="s">
        <v>345</v>
      </c>
      <c r="P44" s="128"/>
    </row>
    <row r="45" spans="1:16">
      <c r="A45" s="197">
        <v>37741</v>
      </c>
      <c r="B45" s="129">
        <v>0.40230755126526735</v>
      </c>
      <c r="C45" s="129">
        <v>0.29234501436302918</v>
      </c>
      <c r="D45" s="129">
        <v>0.1023165937650206</v>
      </c>
      <c r="E45" s="129">
        <v>5.0365516639502859E-2</v>
      </c>
      <c r="F45" s="129">
        <v>2.6848687069743402E-2</v>
      </c>
      <c r="G45" s="129" t="s">
        <v>345</v>
      </c>
      <c r="H45" s="129">
        <v>2.0111043524362666E-2</v>
      </c>
      <c r="I45" s="129">
        <v>3.4204670725042408E-2</v>
      </c>
      <c r="J45" s="129">
        <v>9.6618282137020048E-3</v>
      </c>
      <c r="K45" s="129">
        <v>1.4070248848490299E-2</v>
      </c>
      <c r="L45" s="129">
        <v>1.1004659776325506E-2</v>
      </c>
      <c r="M45" s="129">
        <v>5.1424857796818092E-3</v>
      </c>
      <c r="N45" s="129">
        <v>3.1621700029832243E-2</v>
      </c>
      <c r="O45" s="129" t="s">
        <v>345</v>
      </c>
      <c r="P45" s="128"/>
    </row>
    <row r="46" spans="1:16">
      <c r="A46" s="197">
        <v>37772</v>
      </c>
      <c r="B46" s="129">
        <v>0.40822127783048962</v>
      </c>
      <c r="C46" s="129">
        <v>0.28638593471660101</v>
      </c>
      <c r="D46" s="129">
        <v>0.10186898092347355</v>
      </c>
      <c r="E46" s="129">
        <v>5.0829320611761E-2</v>
      </c>
      <c r="F46" s="129">
        <v>2.6994565586418478E-2</v>
      </c>
      <c r="G46" s="129" t="s">
        <v>345</v>
      </c>
      <c r="H46" s="129">
        <v>2.00342195138003E-2</v>
      </c>
      <c r="I46" s="129">
        <v>3.437503285033712E-2</v>
      </c>
      <c r="J46" s="129">
        <v>9.6371150694125451E-3</v>
      </c>
      <c r="K46" s="129">
        <v>1.4547769565679564E-2</v>
      </c>
      <c r="L46" s="129">
        <v>1.0991968097596505E-2</v>
      </c>
      <c r="M46" s="129">
        <v>4.9534071425752719E-3</v>
      </c>
      <c r="N46" s="129">
        <v>3.1160408091855111E-2</v>
      </c>
      <c r="O46" s="129" t="s">
        <v>345</v>
      </c>
      <c r="P46" s="128"/>
    </row>
    <row r="47" spans="1:16">
      <c r="A47" s="197">
        <v>37802</v>
      </c>
      <c r="B47" s="129">
        <v>0.41961719109261786</v>
      </c>
      <c r="C47" s="129">
        <v>0.27806784370365217</v>
      </c>
      <c r="D47" s="129">
        <v>9.5561186563214939E-2</v>
      </c>
      <c r="E47" s="129">
        <v>5.455762752669728E-2</v>
      </c>
      <c r="F47" s="129">
        <v>2.6518748152911876E-2</v>
      </c>
      <c r="G47" s="129" t="s">
        <v>345</v>
      </c>
      <c r="H47" s="129">
        <v>2.0715411725495653E-2</v>
      </c>
      <c r="I47" s="129">
        <v>3.5008585191475136E-2</v>
      </c>
      <c r="J47" s="129">
        <v>9.8904596246152839E-3</v>
      </c>
      <c r="K47" s="129">
        <v>1.5407718244726963E-2</v>
      </c>
      <c r="L47" s="129">
        <v>1.1290406871548883E-2</v>
      </c>
      <c r="M47" s="129">
        <v>4.8833029279808935E-3</v>
      </c>
      <c r="N47" s="129">
        <v>2.8481518375063065E-2</v>
      </c>
      <c r="O47" s="129" t="s">
        <v>345</v>
      </c>
      <c r="P47" s="128"/>
    </row>
    <row r="48" spans="1:16">
      <c r="A48" s="197">
        <v>37833</v>
      </c>
      <c r="B48" s="129">
        <v>0.41854878231855103</v>
      </c>
      <c r="C48" s="129">
        <v>0.27631982027888474</v>
      </c>
      <c r="D48" s="129">
        <v>9.6312413345152753E-2</v>
      </c>
      <c r="E48" s="129">
        <v>5.5302455759313786E-2</v>
      </c>
      <c r="F48" s="129">
        <v>2.9251060186692247E-2</v>
      </c>
      <c r="G48" s="129" t="s">
        <v>345</v>
      </c>
      <c r="H48" s="129">
        <v>2.0236982164531538E-2</v>
      </c>
      <c r="I48" s="129">
        <v>3.4459088573321979E-2</v>
      </c>
      <c r="J48" s="129">
        <v>9.7352184434598144E-3</v>
      </c>
      <c r="K48" s="129">
        <v>1.5568479648063566E-2</v>
      </c>
      <c r="L48" s="129">
        <v>1.1119160109847731E-2</v>
      </c>
      <c r="M48" s="129">
        <v>4.8272141980014015E-3</v>
      </c>
      <c r="N48" s="129">
        <v>2.8319324974179518E-2</v>
      </c>
      <c r="O48" s="129" t="s">
        <v>345</v>
      </c>
      <c r="P48" s="128"/>
    </row>
    <row r="49" spans="1:16">
      <c r="A49" s="197">
        <v>37864</v>
      </c>
      <c r="B49" s="129">
        <v>0.42384100275317677</v>
      </c>
      <c r="C49" s="129">
        <v>0.2779601411588542</v>
      </c>
      <c r="D49" s="129">
        <v>9.4859722178998684E-2</v>
      </c>
      <c r="E49" s="129">
        <v>5.4527733305455101E-2</v>
      </c>
      <c r="F49" s="129">
        <v>2.9109965594470624E-2</v>
      </c>
      <c r="G49" s="129" t="s">
        <v>345</v>
      </c>
      <c r="H49" s="129">
        <v>2.0058461159615237E-2</v>
      </c>
      <c r="I49" s="129">
        <v>2.9956594181143947E-2</v>
      </c>
      <c r="J49" s="129">
        <v>9.7324030186847991E-3</v>
      </c>
      <c r="K49" s="129">
        <v>1.5915642303241672E-2</v>
      </c>
      <c r="L49" s="129">
        <v>1.1126558587660261E-2</v>
      </c>
      <c r="M49" s="129">
        <v>4.7059882657814094E-3</v>
      </c>
      <c r="N49" s="129">
        <v>2.8205787492917501E-2</v>
      </c>
      <c r="O49" s="129" t="s">
        <v>345</v>
      </c>
      <c r="P49" s="128"/>
    </row>
    <row r="50" spans="1:16">
      <c r="A50" s="197">
        <v>37894</v>
      </c>
      <c r="B50" s="129">
        <v>0.418224434281111</v>
      </c>
      <c r="C50" s="129">
        <v>0.27755822902134464</v>
      </c>
      <c r="D50" s="129">
        <v>9.4282081890468758E-2</v>
      </c>
      <c r="E50" s="129">
        <v>5.9306990377937886E-2</v>
      </c>
      <c r="F50" s="129">
        <v>2.7738923214072925E-2</v>
      </c>
      <c r="G50" s="129" t="s">
        <v>345</v>
      </c>
      <c r="H50" s="129">
        <v>1.8836461193652339E-2</v>
      </c>
      <c r="I50" s="129">
        <v>2.9163592121250123E-2</v>
      </c>
      <c r="J50" s="129">
        <v>9.4747697378496955E-3</v>
      </c>
      <c r="K50" s="129">
        <v>1.5869954674490341E-2</v>
      </c>
      <c r="L50" s="129">
        <v>1.1008106067202327E-2</v>
      </c>
      <c r="M50" s="129">
        <v>4.4812724792354852E-3</v>
      </c>
      <c r="N50" s="129">
        <v>3.4055184941384348E-2</v>
      </c>
      <c r="O50" s="129" t="s">
        <v>345</v>
      </c>
      <c r="P50" s="128"/>
    </row>
    <row r="51" spans="1:16">
      <c r="A51" s="197">
        <v>37925</v>
      </c>
      <c r="B51" s="129">
        <v>0.41394025954585351</v>
      </c>
      <c r="C51" s="129">
        <v>0.27479103601124788</v>
      </c>
      <c r="D51" s="129">
        <v>0.10023571462666526</v>
      </c>
      <c r="E51" s="129">
        <v>5.9166450922104138E-2</v>
      </c>
      <c r="F51" s="129">
        <v>2.7750967152039601E-2</v>
      </c>
      <c r="G51" s="129" t="s">
        <v>345</v>
      </c>
      <c r="H51" s="129">
        <v>1.8589633597989055E-2</v>
      </c>
      <c r="I51" s="129">
        <v>3.3160292903513952E-2</v>
      </c>
      <c r="J51" s="129">
        <v>9.4286074674883313E-3</v>
      </c>
      <c r="K51" s="129">
        <v>1.6229832947323396E-2</v>
      </c>
      <c r="L51" s="129">
        <v>1.095447318930654E-2</v>
      </c>
      <c r="M51" s="129">
        <v>4.3855453373967228E-3</v>
      </c>
      <c r="N51" s="129">
        <v>3.13671862990718E-2</v>
      </c>
      <c r="O51" s="129" t="s">
        <v>345</v>
      </c>
      <c r="P51" s="128"/>
    </row>
    <row r="52" spans="1:16">
      <c r="A52" s="197">
        <v>37955</v>
      </c>
      <c r="B52" s="129">
        <v>0.41916708926507451</v>
      </c>
      <c r="C52" s="129">
        <v>0.26931632844946979</v>
      </c>
      <c r="D52" s="129">
        <v>9.7804340108030588E-2</v>
      </c>
      <c r="E52" s="129">
        <v>6.1587569829081069E-2</v>
      </c>
      <c r="F52" s="129">
        <v>2.977288852926227E-2</v>
      </c>
      <c r="G52" s="129" t="s">
        <v>345</v>
      </c>
      <c r="H52" s="129">
        <v>1.8473876533955193E-2</v>
      </c>
      <c r="I52" s="129">
        <v>3.284735543281031E-2</v>
      </c>
      <c r="J52" s="129">
        <v>9.3396286221651467E-3</v>
      </c>
      <c r="K52" s="129">
        <v>1.6465744632759904E-2</v>
      </c>
      <c r="L52" s="129">
        <v>1.0864094622414774E-2</v>
      </c>
      <c r="M52" s="129">
        <v>4.0877539769437598E-3</v>
      </c>
      <c r="N52" s="129">
        <v>3.0273329998032932E-2</v>
      </c>
      <c r="O52" s="129" t="s">
        <v>345</v>
      </c>
      <c r="P52" s="128"/>
    </row>
    <row r="53" spans="1:16">
      <c r="A53" s="197">
        <v>37986</v>
      </c>
      <c r="B53" s="129">
        <v>0.42557178230353621</v>
      </c>
      <c r="C53" s="129">
        <v>0.26229979242142326</v>
      </c>
      <c r="D53" s="129">
        <v>0.10171180975734166</v>
      </c>
      <c r="E53" s="129">
        <v>6.122147736602964E-2</v>
      </c>
      <c r="F53" s="129">
        <v>2.9025625907986786E-2</v>
      </c>
      <c r="G53" s="129" t="s">
        <v>345</v>
      </c>
      <c r="H53" s="129">
        <v>1.8182489590183881E-2</v>
      </c>
      <c r="I53" s="129">
        <v>3.2806713080948131E-2</v>
      </c>
      <c r="J53" s="129">
        <v>9.3280726089725284E-3</v>
      </c>
      <c r="K53" s="129">
        <v>1.6848614609053264E-2</v>
      </c>
      <c r="L53" s="129">
        <v>1.0862328597817215E-2</v>
      </c>
      <c r="M53" s="129">
        <v>3.9733642325521625E-3</v>
      </c>
      <c r="N53" s="129">
        <v>2.8167929524155685E-2</v>
      </c>
      <c r="O53" s="129" t="s">
        <v>345</v>
      </c>
      <c r="P53" s="128"/>
    </row>
    <row r="54" spans="1:16">
      <c r="A54" s="197">
        <v>38017</v>
      </c>
      <c r="B54" s="129">
        <v>0.42759362567915277</v>
      </c>
      <c r="C54" s="129">
        <v>0.26801874105446843</v>
      </c>
      <c r="D54" s="129">
        <v>9.8574822765322631E-2</v>
      </c>
      <c r="E54" s="129">
        <v>5.9708169282170459E-2</v>
      </c>
      <c r="F54" s="129">
        <v>2.8005959444751271E-2</v>
      </c>
      <c r="G54" s="129">
        <v>1.8040799629774111E-2</v>
      </c>
      <c r="H54" s="129">
        <v>1.7913023246129998E-2</v>
      </c>
      <c r="I54" s="129">
        <v>3.2507099167213241E-2</v>
      </c>
      <c r="J54" s="129">
        <v>9.2428821074101962E-3</v>
      </c>
      <c r="K54" s="129">
        <v>1.712109955584588E-2</v>
      </c>
      <c r="L54" s="129">
        <v>1.0763126194472625E-2</v>
      </c>
      <c r="M54" s="129" t="s">
        <v>345</v>
      </c>
      <c r="N54" s="129">
        <v>3.7914428954872368E-3</v>
      </c>
      <c r="O54" s="129">
        <v>8.7192089778010736E-3</v>
      </c>
      <c r="P54" s="128"/>
    </row>
    <row r="55" spans="1:16">
      <c r="A55" s="197">
        <v>38046</v>
      </c>
      <c r="B55" s="129">
        <v>0.44020699278780007</v>
      </c>
      <c r="C55" s="129">
        <v>0.2598548530362626</v>
      </c>
      <c r="D55" s="129">
        <v>9.6126226572430473E-2</v>
      </c>
      <c r="E55" s="129">
        <v>5.8580612869576859E-2</v>
      </c>
      <c r="F55" s="129">
        <v>2.8511709965408034E-2</v>
      </c>
      <c r="G55" s="129">
        <v>1.7844846753702164E-2</v>
      </c>
      <c r="H55" s="129">
        <v>1.8043291033447161E-2</v>
      </c>
      <c r="I55" s="129">
        <v>3.2507930090529415E-2</v>
      </c>
      <c r="J55" s="129">
        <v>8.0877285714570698E-3</v>
      </c>
      <c r="K55" s="129">
        <v>1.712153719319846E-2</v>
      </c>
      <c r="L55" s="129">
        <v>1.078158496651486E-2</v>
      </c>
      <c r="M55" s="129" t="s">
        <v>345</v>
      </c>
      <c r="N55" s="129">
        <v>3.8831480589270016E-3</v>
      </c>
      <c r="O55" s="129">
        <v>8.4495381007457099E-3</v>
      </c>
      <c r="P55" s="128"/>
    </row>
    <row r="56" spans="1:16">
      <c r="A56" s="197">
        <v>38077</v>
      </c>
      <c r="B56" s="129">
        <v>0.45194732568173107</v>
      </c>
      <c r="C56" s="129">
        <v>0.2533591708276075</v>
      </c>
      <c r="D56" s="129">
        <v>9.4469342256676872E-2</v>
      </c>
      <c r="E56" s="129">
        <v>5.731898691023072E-2</v>
      </c>
      <c r="F56" s="129">
        <v>2.7295955390810898E-2</v>
      </c>
      <c r="G56" s="129">
        <v>1.7349376759386925E-2</v>
      </c>
      <c r="H56" s="129">
        <v>1.760816651720187E-2</v>
      </c>
      <c r="I56" s="129">
        <v>3.2133184929900513E-2</v>
      </c>
      <c r="J56" s="129">
        <v>7.9944947932929968E-3</v>
      </c>
      <c r="K56" s="129">
        <v>1.7955952866428981E-2</v>
      </c>
      <c r="L56" s="129">
        <v>1.0665040487338935E-2</v>
      </c>
      <c r="M56" s="129" t="s">
        <v>345</v>
      </c>
      <c r="N56" s="129">
        <v>3.7387490002330093E-3</v>
      </c>
      <c r="O56" s="129">
        <v>8.1642535791595951E-3</v>
      </c>
      <c r="P56" s="128"/>
    </row>
    <row r="57" spans="1:16">
      <c r="A57" s="197">
        <v>38107</v>
      </c>
      <c r="B57" s="129">
        <v>0.4543742105956472</v>
      </c>
      <c r="C57" s="129">
        <v>0.2489848831795497</v>
      </c>
      <c r="D57" s="129">
        <v>9.3387342554783342E-2</v>
      </c>
      <c r="E57" s="129">
        <v>5.6754877135476674E-2</v>
      </c>
      <c r="F57" s="129">
        <v>2.9710460394385477E-2</v>
      </c>
      <c r="G57" s="129">
        <v>1.715537156988137E-2</v>
      </c>
      <c r="H57" s="129">
        <v>1.7651947328641237E-2</v>
      </c>
      <c r="I57" s="129">
        <v>3.2258931640581884E-2</v>
      </c>
      <c r="J57" s="129">
        <v>8.0257796293902884E-3</v>
      </c>
      <c r="K57" s="129">
        <v>1.8765389883996508E-2</v>
      </c>
      <c r="L57" s="129">
        <v>1.0718950278459025E-2</v>
      </c>
      <c r="M57" s="129" t="s">
        <v>345</v>
      </c>
      <c r="N57" s="129">
        <v>4.2181998738183473E-3</v>
      </c>
      <c r="O57" s="129">
        <v>7.9936559353886993E-3</v>
      </c>
      <c r="P57" s="128"/>
    </row>
    <row r="58" spans="1:16">
      <c r="A58" s="197">
        <v>38138</v>
      </c>
      <c r="B58" s="129">
        <v>0.44059260650783122</v>
      </c>
      <c r="C58" s="129">
        <v>0.25481489368628762</v>
      </c>
      <c r="D58" s="129">
        <v>9.5324081629068622E-2</v>
      </c>
      <c r="E58" s="129">
        <v>5.8101553366541332E-2</v>
      </c>
      <c r="F58" s="129">
        <v>3.0377556377636502E-2</v>
      </c>
      <c r="G58" s="129">
        <v>1.7482228744409092E-2</v>
      </c>
      <c r="H58" s="129">
        <v>1.743479010338889E-2</v>
      </c>
      <c r="I58" s="129">
        <v>3.1326404191928656E-2</v>
      </c>
      <c r="J58" s="129">
        <v>7.9510713311843756E-3</v>
      </c>
      <c r="K58" s="129">
        <v>1.8711331650288057E-2</v>
      </c>
      <c r="L58" s="129">
        <v>1.063454239492637E-2</v>
      </c>
      <c r="M58" s="129" t="s">
        <v>345</v>
      </c>
      <c r="N58" s="129">
        <v>9.1687939361653394E-3</v>
      </c>
      <c r="O58" s="129">
        <v>8.0801460803437784E-3</v>
      </c>
      <c r="P58" s="128"/>
    </row>
    <row r="59" spans="1:16">
      <c r="A59" s="197">
        <v>38168</v>
      </c>
      <c r="B59" s="129">
        <v>0.43724074699347487</v>
      </c>
      <c r="C59" s="129">
        <v>0.2537899758898467</v>
      </c>
      <c r="D59" s="129">
        <v>9.3214314767227663E-2</v>
      </c>
      <c r="E59" s="129">
        <v>5.8559018464892164E-2</v>
      </c>
      <c r="F59" s="129">
        <v>3.101020692384103E-2</v>
      </c>
      <c r="G59" s="129">
        <v>2.2975001945680806E-2</v>
      </c>
      <c r="H59" s="129">
        <v>1.7342739862116388E-2</v>
      </c>
      <c r="I59" s="129">
        <v>3.1505965249271385E-2</v>
      </c>
      <c r="J59" s="129">
        <v>7.9966463919697688E-3</v>
      </c>
      <c r="K59" s="129">
        <v>1.8887913122111979E-2</v>
      </c>
      <c r="L59" s="129">
        <v>1.0703785371376794E-2</v>
      </c>
      <c r="M59" s="129"/>
      <c r="N59" s="129">
        <v>9.0972105011404032E-3</v>
      </c>
      <c r="O59" s="129">
        <v>7.6764745170499853E-3</v>
      </c>
      <c r="P59" s="128"/>
    </row>
    <row r="60" spans="1:16">
      <c r="A60" s="197">
        <v>38199</v>
      </c>
      <c r="B60" s="129">
        <v>0.45268309367580861</v>
      </c>
      <c r="C60" s="129">
        <v>0.24615480797945216</v>
      </c>
      <c r="D60" s="129">
        <v>8.9895126874335124E-2</v>
      </c>
      <c r="E60" s="129">
        <v>5.6737219466441363E-2</v>
      </c>
      <c r="F60" s="129">
        <v>2.9937138980817731E-2</v>
      </c>
      <c r="G60" s="129">
        <v>2.1737754777497668E-2</v>
      </c>
      <c r="H60" s="129">
        <v>1.7289141131119408E-2</v>
      </c>
      <c r="I60" s="129">
        <v>3.1591806638444818E-2</v>
      </c>
      <c r="J60" s="129">
        <v>8.0184341146941583E-3</v>
      </c>
      <c r="K60" s="129">
        <v>1.9020642134270099E-2</v>
      </c>
      <c r="L60" s="129">
        <v>1.0753254309645502E-2</v>
      </c>
      <c r="M60" s="129"/>
      <c r="N60" s="129">
        <v>8.859565982855571E-3</v>
      </c>
      <c r="O60" s="129">
        <v>7.3220139346181073E-3</v>
      </c>
      <c r="P60" s="128"/>
    </row>
    <row r="61" spans="1:16">
      <c r="A61" s="197">
        <v>38230</v>
      </c>
      <c r="B61" s="129">
        <v>0.46081215005730403</v>
      </c>
      <c r="C61" s="129">
        <v>0.23998644115199586</v>
      </c>
      <c r="D61" s="129">
        <v>8.7374262067906022E-2</v>
      </c>
      <c r="E61" s="129">
        <v>5.5479927341245065E-2</v>
      </c>
      <c r="F61" s="129">
        <v>3.0678709517014697E-2</v>
      </c>
      <c r="G61" s="129">
        <v>2.1355285430786439E-2</v>
      </c>
      <c r="H61" s="129">
        <v>1.7095500403880564E-2</v>
      </c>
      <c r="I61" s="129">
        <v>3.1557515949485887E-2</v>
      </c>
      <c r="J61" s="129">
        <v>8.00973066720502E-3</v>
      </c>
      <c r="K61" s="129">
        <v>2.0948550238979249E-2</v>
      </c>
      <c r="L61" s="129">
        <v>1.0747249059756651E-2</v>
      </c>
      <c r="M61" s="129"/>
      <c r="N61" s="129">
        <v>8.8882155463038369E-3</v>
      </c>
      <c r="O61" s="129">
        <v>7.0664625681365993E-3</v>
      </c>
      <c r="P61" s="128"/>
    </row>
    <row r="62" spans="1:16">
      <c r="A62" s="197">
        <v>38260</v>
      </c>
      <c r="B62" s="129">
        <v>0.46285305585227854</v>
      </c>
      <c r="C62" s="129">
        <v>0.23949193865833818</v>
      </c>
      <c r="D62" s="129">
        <v>8.6476466954315115E-2</v>
      </c>
      <c r="E62" s="129">
        <v>5.4886369130116228E-2</v>
      </c>
      <c r="F62" s="129">
        <v>2.9772923287780216E-2</v>
      </c>
      <c r="G62" s="129">
        <v>2.1142806320181867E-2</v>
      </c>
      <c r="H62" s="129">
        <v>1.6536691322402663E-2</v>
      </c>
      <c r="I62" s="129">
        <v>2.8423609691453772E-2</v>
      </c>
      <c r="J62" s="129">
        <v>7.8312617408551818E-3</v>
      </c>
      <c r="K62" s="129">
        <v>2.0481865063686665E-2</v>
      </c>
      <c r="L62" s="129">
        <v>1.0513699261460289E-2</v>
      </c>
      <c r="M62" s="129"/>
      <c r="N62" s="129">
        <v>4.0738296226429842E-3</v>
      </c>
      <c r="O62" s="129">
        <v>1.7515483094488155E-2</v>
      </c>
      <c r="P62" s="128"/>
    </row>
    <row r="63" spans="1:16">
      <c r="A63" s="197">
        <v>38291</v>
      </c>
      <c r="B63" s="129">
        <v>0.46538004185421417</v>
      </c>
      <c r="C63" s="129">
        <v>0.24628884266746709</v>
      </c>
      <c r="D63" s="129">
        <v>8.6207519595910428E-2</v>
      </c>
      <c r="E63" s="129">
        <v>5.7138173560583136E-2</v>
      </c>
      <c r="F63" s="129">
        <v>2.9317165333161914E-2</v>
      </c>
      <c r="G63" s="129">
        <v>2.0890693686042499E-2</v>
      </c>
      <c r="H63" s="129">
        <v>1.6230475125357201E-2</v>
      </c>
      <c r="I63" s="129">
        <v>2.8234372357533934E-2</v>
      </c>
      <c r="J63" s="129">
        <v>7.77912314518929E-3</v>
      </c>
      <c r="K63" s="129">
        <v>2.1191982242531868E-2</v>
      </c>
      <c r="L63" s="129">
        <v>1.0451406569767403E-2</v>
      </c>
      <c r="M63" s="129"/>
      <c r="N63" s="129">
        <v>4.0140963776433862E-3</v>
      </c>
      <c r="O63" s="129">
        <v>6.8761074845975134E-3</v>
      </c>
      <c r="P63" s="128"/>
    </row>
    <row r="64" spans="1:16">
      <c r="A64" s="197">
        <v>38321</v>
      </c>
      <c r="B64" s="129">
        <v>0.46501988470716588</v>
      </c>
      <c r="C64" s="129">
        <v>0.24737711574935309</v>
      </c>
      <c r="D64" s="129">
        <v>8.4117329320046577E-2</v>
      </c>
      <c r="E64" s="129">
        <v>5.9710667679189422E-2</v>
      </c>
      <c r="F64" s="129">
        <v>2.810940070575706E-2</v>
      </c>
      <c r="G64" s="129">
        <v>2.0190330854181659E-2</v>
      </c>
      <c r="H64" s="129">
        <v>1.6163559430214903E-2</v>
      </c>
      <c r="I64" s="129">
        <v>2.8463864924126295E-2</v>
      </c>
      <c r="J64" s="129">
        <v>7.8423528466971103E-3</v>
      </c>
      <c r="K64" s="129">
        <v>2.1826463848644749E-2</v>
      </c>
      <c r="L64" s="129">
        <v>1.0542786359310377E-2</v>
      </c>
      <c r="M64" s="129"/>
      <c r="N64" s="129">
        <v>4.0274140607323913E-3</v>
      </c>
      <c r="O64" s="129">
        <v>6.608829514580368E-3</v>
      </c>
      <c r="P64" s="128"/>
    </row>
    <row r="65" spans="1:15">
      <c r="A65" s="197">
        <v>38352</v>
      </c>
      <c r="B65" s="129">
        <v>0.47699391834677585</v>
      </c>
      <c r="C65" s="129">
        <v>0.24129329199615196</v>
      </c>
      <c r="D65" s="129">
        <v>8.448994272007064E-2</v>
      </c>
      <c r="E65" s="129">
        <v>5.8358023798372315E-2</v>
      </c>
      <c r="F65" s="129">
        <v>2.7496724647230561E-2</v>
      </c>
      <c r="G65" s="129">
        <v>2.2328041262785866E-2</v>
      </c>
      <c r="H65" s="129">
        <v>1.609093875054007E-2</v>
      </c>
      <c r="I65" s="129">
        <v>2.8597876185673336E-2</v>
      </c>
      <c r="J65" s="129">
        <v>7.8792755766666465E-3</v>
      </c>
      <c r="K65" s="129">
        <v>2.2395991495211546E-2</v>
      </c>
      <c r="L65" s="129">
        <v>1.0596816958568782E-2</v>
      </c>
      <c r="M65" s="129"/>
      <c r="N65" s="129">
        <v>6.285156926951751E-5</v>
      </c>
      <c r="O65" s="129">
        <v>3.4163066926832797E-3</v>
      </c>
    </row>
    <row r="66" spans="1:15">
      <c r="A66" s="197">
        <v>38383</v>
      </c>
      <c r="B66" s="129">
        <v>0.49282669261387124</v>
      </c>
      <c r="C66" s="129">
        <v>0.23531748496204274</v>
      </c>
      <c r="D66" s="129">
        <v>8.1068162151301942E-2</v>
      </c>
      <c r="E66" s="129">
        <v>5.6439963981464322E-2</v>
      </c>
      <c r="F66" s="129">
        <v>2.6410620328260855E-2</v>
      </c>
      <c r="G66" s="129">
        <v>2.1070856773738877E-2</v>
      </c>
      <c r="H66" s="129">
        <v>1.561270237171971E-2</v>
      </c>
      <c r="I66" s="129">
        <v>2.8061347548514866E-2</v>
      </c>
      <c r="J66" s="129">
        <v>7.7314514179949341E-3</v>
      </c>
      <c r="K66" s="129">
        <v>2.1902279968195059E-2</v>
      </c>
      <c r="L66" s="129">
        <v>1.0262358131281181E-2</v>
      </c>
      <c r="M66" s="129"/>
      <c r="N66" s="129">
        <v>5.7026539555491885E-5</v>
      </c>
      <c r="O66" s="129">
        <v>3.2390532120589641E-3</v>
      </c>
    </row>
    <row r="67" spans="1:15">
      <c r="A67" s="197">
        <v>38411</v>
      </c>
      <c r="B67" s="129">
        <v>0.50269911728862993</v>
      </c>
      <c r="C67" s="129">
        <v>0.2346081420916491</v>
      </c>
      <c r="D67" s="129">
        <v>7.8514775770223103E-2</v>
      </c>
      <c r="E67" s="129">
        <v>5.4618446202350852E-2</v>
      </c>
      <c r="F67" s="129">
        <v>2.5423543812313536E-2</v>
      </c>
      <c r="G67" s="129">
        <v>2.031177890535555E-2</v>
      </c>
      <c r="H67" s="129">
        <v>1.5265793168191382E-2</v>
      </c>
      <c r="I67" s="129">
        <v>2.7671613879491717E-2</v>
      </c>
      <c r="J67" s="129">
        <v>5.445765822210063E-3</v>
      </c>
      <c r="K67" s="129">
        <v>2.212376968948316E-2</v>
      </c>
      <c r="L67" s="129">
        <v>1.01255946561101E-2</v>
      </c>
      <c r="M67" s="129"/>
      <c r="N67" s="129">
        <v>5.5614165827392196E-5</v>
      </c>
      <c r="O67" s="129">
        <v>3.1360445481641496E-3</v>
      </c>
    </row>
    <row r="68" spans="1:15">
      <c r="A68" s="197">
        <v>38442</v>
      </c>
      <c r="B68" s="129">
        <v>0.50466120156832406</v>
      </c>
      <c r="C68" s="129">
        <v>0.23421937917034752</v>
      </c>
      <c r="D68" s="129">
        <v>7.8010125973794434E-2</v>
      </c>
      <c r="E68" s="129">
        <v>5.4395812673151148E-2</v>
      </c>
      <c r="F68" s="129">
        <v>2.4723150364027856E-2</v>
      </c>
      <c r="G68" s="129">
        <v>2.0156379063169333E-2</v>
      </c>
      <c r="H68" s="129">
        <v>1.4888700110957285E-2</v>
      </c>
      <c r="I68" s="129">
        <v>2.715558809561618E-2</v>
      </c>
      <c r="J68" s="129">
        <v>6.4130545118391514E-3</v>
      </c>
      <c r="K68" s="129">
        <v>2.2328406917562976E-2</v>
      </c>
      <c r="L68" s="129">
        <v>9.9401021627038497E-3</v>
      </c>
      <c r="M68" s="129"/>
      <c r="N68" s="129">
        <v>5.2769610496657048E-5</v>
      </c>
      <c r="O68" s="129">
        <v>3.0553297780093543E-3</v>
      </c>
    </row>
    <row r="69" spans="1:15">
      <c r="A69" s="197">
        <v>38472</v>
      </c>
      <c r="B69" s="129">
        <v>0.53270584710224145</v>
      </c>
      <c r="C69" s="129">
        <v>0.22610185055176471</v>
      </c>
      <c r="D69" s="129">
        <v>5.459281379351031E-2</v>
      </c>
      <c r="E69" s="129">
        <v>5.5750794381591431E-2</v>
      </c>
      <c r="F69" s="129">
        <v>2.6458668213151688E-2</v>
      </c>
      <c r="G69" s="129">
        <v>1.9891508244167241E-2</v>
      </c>
      <c r="H69" s="129">
        <v>1.4832326974671276E-2</v>
      </c>
      <c r="I69" s="129">
        <v>2.7221403499191787E-2</v>
      </c>
      <c r="J69" s="129">
        <v>6.428597455315938E-3</v>
      </c>
      <c r="K69" s="129">
        <v>2.2999148952282791E-2</v>
      </c>
      <c r="L69" s="129">
        <v>9.9784573280330274E-3</v>
      </c>
      <c r="M69" s="129"/>
      <c r="N69" s="129">
        <v>5.3302980001177918E-5</v>
      </c>
      <c r="O69" s="129">
        <v>2.9852805240770386E-3</v>
      </c>
    </row>
    <row r="70" spans="1:15">
      <c r="A70" s="197">
        <v>38503</v>
      </c>
      <c r="B70" s="129">
        <v>0.53301781871997367</v>
      </c>
      <c r="C70" s="129">
        <v>0.22686800093643916</v>
      </c>
      <c r="D70" s="129">
        <v>5.4324987204896105E-2</v>
      </c>
      <c r="E70" s="129">
        <v>5.4944935376819493E-2</v>
      </c>
      <c r="F70" s="129">
        <v>2.6113966713718437E-2</v>
      </c>
      <c r="G70" s="129">
        <v>1.9792298699293914E-2</v>
      </c>
      <c r="H70" s="129">
        <v>1.4704383285690553E-2</v>
      </c>
      <c r="I70" s="129">
        <v>2.7265146364670232E-2</v>
      </c>
      <c r="J70" s="129">
        <v>6.438927755651528E-3</v>
      </c>
      <c r="K70" s="129">
        <v>2.3605517437104231E-2</v>
      </c>
      <c r="L70" s="129">
        <v>9.9978526925637492E-3</v>
      </c>
      <c r="M70" s="129"/>
      <c r="N70" s="129">
        <v>5.2480511472652296E-5</v>
      </c>
      <c r="O70" s="129">
        <v>2.8736843017063232E-3</v>
      </c>
    </row>
    <row r="71" spans="1:15">
      <c r="A71" s="197">
        <v>38533</v>
      </c>
      <c r="B71" s="129">
        <v>0.54518929423199991</v>
      </c>
      <c r="C71" s="129">
        <v>0.21559400168132808</v>
      </c>
      <c r="D71" s="129">
        <v>5.4097669957402408E-2</v>
      </c>
      <c r="E71" s="129">
        <v>5.4857170795705651E-2</v>
      </c>
      <c r="F71" s="129">
        <v>2.5820451446468537E-2</v>
      </c>
      <c r="G71" s="129">
        <v>1.9467173474300478E-2</v>
      </c>
      <c r="H71" s="129">
        <v>1.4550025286791122E-2</v>
      </c>
      <c r="I71" s="129">
        <v>2.7016827039871353E-2</v>
      </c>
      <c r="J71" s="129">
        <v>6.4443344447945245E-3</v>
      </c>
      <c r="K71" s="129">
        <v>2.4159581896863729E-2</v>
      </c>
      <c r="L71" s="129">
        <v>1.0008328452370725E-2</v>
      </c>
      <c r="M71" s="129"/>
      <c r="N71" s="129">
        <v>5.1834680061855169E-5</v>
      </c>
      <c r="O71" s="129">
        <v>2.7433066120414497E-3</v>
      </c>
    </row>
    <row r="72" spans="1:15">
      <c r="A72" s="197">
        <v>38564</v>
      </c>
      <c r="B72" s="129">
        <v>0.54709335657303926</v>
      </c>
      <c r="C72" s="129">
        <v>0.21784922070598103</v>
      </c>
      <c r="D72" s="129">
        <v>5.4745833123450903E-2</v>
      </c>
      <c r="E72" s="129">
        <v>5.3009424866214315E-2</v>
      </c>
      <c r="F72" s="129">
        <v>2.4893831367196737E-2</v>
      </c>
      <c r="G72" s="129">
        <v>1.8826115558021196E-2</v>
      </c>
      <c r="H72" s="129">
        <v>1.4125124044198221E-2</v>
      </c>
      <c r="I72" s="129">
        <v>2.6340913535829669E-2</v>
      </c>
      <c r="J72" s="129">
        <v>6.3364706041188811E-3</v>
      </c>
      <c r="K72" s="129">
        <v>2.428946556973197E-2</v>
      </c>
      <c r="L72" s="129">
        <v>9.8484640127147402E-3</v>
      </c>
      <c r="M72" s="129"/>
      <c r="N72" s="129">
        <v>5.0691874348348876E-5</v>
      </c>
      <c r="O72" s="129">
        <v>2.5910881651548872E-3</v>
      </c>
    </row>
    <row r="73" spans="1:15">
      <c r="A73" s="197">
        <v>38595</v>
      </c>
      <c r="B73" s="129">
        <v>0.55115064072288045</v>
      </c>
      <c r="C73" s="129">
        <v>0.21804629572388973</v>
      </c>
      <c r="D73" s="129">
        <v>5.4212318551948684E-2</v>
      </c>
      <c r="E73" s="129">
        <v>5.3030435226365399E-2</v>
      </c>
      <c r="F73" s="129">
        <v>2.6251175476969219E-2</v>
      </c>
      <c r="G73" s="129">
        <v>1.8507022410392721E-2</v>
      </c>
      <c r="H73" s="129">
        <v>1.3791415352312717E-2</v>
      </c>
      <c r="I73" s="129">
        <v>2.1663382513668044E-2</v>
      </c>
      <c r="J73" s="129">
        <v>6.2741144783420638E-3</v>
      </c>
      <c r="K73" s="129">
        <v>2.4542345754070986E-2</v>
      </c>
      <c r="L73" s="129">
        <v>9.7549663234052057E-3</v>
      </c>
      <c r="M73" s="129"/>
      <c r="N73" s="129">
        <v>4.9330442235026272E-5</v>
      </c>
      <c r="O73" s="129">
        <v>2.7265570235198212E-3</v>
      </c>
    </row>
    <row r="74" spans="1:15">
      <c r="A74" s="197">
        <v>38625</v>
      </c>
      <c r="B74" s="129">
        <v>0.55922280118623646</v>
      </c>
      <c r="C74" s="129">
        <v>0.20840136223035385</v>
      </c>
      <c r="D74" s="129">
        <v>5.4814771393878234E-2</v>
      </c>
      <c r="E74" s="129">
        <v>5.284082903819582E-2</v>
      </c>
      <c r="F74" s="129">
        <v>2.5965384973924383E-2</v>
      </c>
      <c r="G74" s="129">
        <v>1.8472738889175708E-2</v>
      </c>
      <c r="H74" s="129">
        <v>1.3791331817906531E-2</v>
      </c>
      <c r="I74" s="129">
        <v>2.2019411106648679E-2</v>
      </c>
      <c r="J74" s="129">
        <v>6.3772269146623933E-3</v>
      </c>
      <c r="K74" s="129">
        <v>2.5406785022904253E-2</v>
      </c>
      <c r="L74" s="129">
        <v>9.9205023082157649E-3</v>
      </c>
      <c r="M74" s="129"/>
      <c r="N74" s="129">
        <v>4.8882003131278267E-5</v>
      </c>
      <c r="O74" s="129">
        <v>2.7179731147667315E-3</v>
      </c>
    </row>
    <row r="75" spans="1:15">
      <c r="A75" s="197">
        <v>38656</v>
      </c>
      <c r="B75" s="129">
        <v>0.57124571631112242</v>
      </c>
      <c r="C75" s="129">
        <v>0.19699846271494104</v>
      </c>
      <c r="D75" s="129">
        <v>5.4108111033883077E-2</v>
      </c>
      <c r="E75" s="129">
        <v>5.4808760038093284E-2</v>
      </c>
      <c r="F75" s="129">
        <v>2.5557974630985244E-2</v>
      </c>
      <c r="G75" s="129">
        <v>1.8045449074500175E-2</v>
      </c>
      <c r="H75" s="129">
        <v>1.3362508247218916E-2</v>
      </c>
      <c r="I75" s="129">
        <v>2.1654667004913229E-2</v>
      </c>
      <c r="J75" s="129">
        <v>6.2715903065221641E-3</v>
      </c>
      <c r="K75" s="129">
        <v>2.5499983515439861E-2</v>
      </c>
      <c r="L75" s="129">
        <v>9.7594230556431218E-3</v>
      </c>
      <c r="M75" s="129"/>
      <c r="N75" s="129">
        <v>4.287444050844201E-5</v>
      </c>
      <c r="O75" s="129">
        <v>2.6444796262290256E-3</v>
      </c>
    </row>
    <row r="76" spans="1:15">
      <c r="A76" s="197">
        <v>38686</v>
      </c>
      <c r="B76" s="129">
        <v>0.57694754556217842</v>
      </c>
      <c r="C76" s="129">
        <v>0.19952737106006424</v>
      </c>
      <c r="D76" s="129">
        <v>5.3509977096051223E-2</v>
      </c>
      <c r="E76" s="129">
        <v>5.4165045416372064E-2</v>
      </c>
      <c r="F76" s="129">
        <v>2.6019742185846996E-2</v>
      </c>
      <c r="G76" s="129">
        <v>1.0830848548979014E-2</v>
      </c>
      <c r="H76" s="129">
        <v>1.308624314648996E-2</v>
      </c>
      <c r="I76" s="129">
        <v>2.1506972869890791E-2</v>
      </c>
      <c r="J76" s="129">
        <v>6.2288153654285541E-3</v>
      </c>
      <c r="K76" s="129">
        <v>2.5878608627776623E-2</v>
      </c>
      <c r="L76" s="129">
        <v>9.6973127464222483E-3</v>
      </c>
      <c r="M76" s="129"/>
      <c r="N76" s="129">
        <v>3.9526469046066473E-5</v>
      </c>
      <c r="O76" s="129">
        <v>2.5619909054539307E-3</v>
      </c>
    </row>
    <row r="77" spans="1:15">
      <c r="A77" s="197">
        <v>38717</v>
      </c>
      <c r="B77" s="129">
        <v>0.57250155945244952</v>
      </c>
      <c r="C77" s="129">
        <v>0.20211065393711994</v>
      </c>
      <c r="D77" s="129">
        <v>5.2618727927261882E-2</v>
      </c>
      <c r="E77" s="129">
        <v>5.7559714479822471E-2</v>
      </c>
      <c r="F77" s="129">
        <v>2.5870057280033415E-2</v>
      </c>
      <c r="G77" s="129">
        <v>9.044746871396548E-3</v>
      </c>
      <c r="H77" s="129">
        <v>1.2518203438921485E-2</v>
      </c>
      <c r="I77" s="129">
        <v>2.0903963770612155E-2</v>
      </c>
      <c r="J77" s="129">
        <v>6.0541728266667021E-3</v>
      </c>
      <c r="K77" s="129">
        <v>2.5667566115953087E-2</v>
      </c>
      <c r="L77" s="129">
        <v>9.4294627275085807E-3</v>
      </c>
      <c r="M77" s="129"/>
      <c r="N77" s="129">
        <v>2.9455888059805946E-3</v>
      </c>
      <c r="O77" s="129">
        <v>2.7755823662734646E-3</v>
      </c>
    </row>
    <row r="78" spans="1:15">
      <c r="A78" s="197">
        <v>38748</v>
      </c>
      <c r="B78" s="129">
        <v>0.581445446659972</v>
      </c>
      <c r="C78" s="129">
        <v>0.19968831941126086</v>
      </c>
      <c r="D78" s="129">
        <v>5.1585113911153835E-2</v>
      </c>
      <c r="E78" s="129">
        <v>5.6862743936558172E-2</v>
      </c>
      <c r="F78" s="129">
        <v>2.4876041950584665E-2</v>
      </c>
      <c r="G78" s="129">
        <v>8.7749951465594077E-3</v>
      </c>
      <c r="H78" s="129">
        <v>1.2196407850278167E-2</v>
      </c>
      <c r="I78" s="129">
        <v>2.0744510272135426E-2</v>
      </c>
      <c r="J78" s="129">
        <v>6.0079921573836879E-3</v>
      </c>
      <c r="K78" s="129">
        <v>2.596741049411605E-2</v>
      </c>
      <c r="L78" s="129">
        <v>9.3575356596492815E-3</v>
      </c>
      <c r="M78" s="129"/>
      <c r="N78" s="129">
        <v>3.8699479668467506E-5</v>
      </c>
      <c r="O78" s="129">
        <v>2.4547830706800121E-3</v>
      </c>
    </row>
    <row r="79" spans="1:15">
      <c r="A79" s="197">
        <v>38776</v>
      </c>
      <c r="B79" s="129">
        <v>0.58900698091436499</v>
      </c>
      <c r="C79" s="129">
        <v>0.19472941167033569</v>
      </c>
      <c r="D79" s="129">
        <v>5.0277545888394351E-2</v>
      </c>
      <c r="E79" s="129">
        <v>5.5888441078451777E-2</v>
      </c>
      <c r="F79" s="129">
        <v>2.4346847272842132E-2</v>
      </c>
      <c r="G79" s="129">
        <v>8.5274805913970464E-3</v>
      </c>
      <c r="H79" s="129">
        <v>1.1813453499040344E-2</v>
      </c>
      <c r="I79" s="129">
        <v>2.0409673526077029E-2</v>
      </c>
      <c r="J79" s="129">
        <v>4.9258477251264334E-3</v>
      </c>
      <c r="K79" s="129">
        <v>2.5620896449923835E-2</v>
      </c>
      <c r="L79" s="129">
        <v>9.2164759784823195E-3</v>
      </c>
      <c r="M79" s="129"/>
      <c r="N79" s="129">
        <v>2.870959650673151E-3</v>
      </c>
      <c r="O79" s="129">
        <v>2.3659857548906714E-3</v>
      </c>
    </row>
    <row r="80" spans="1:15">
      <c r="A80" s="197">
        <v>38807</v>
      </c>
      <c r="B80" s="129">
        <v>0.59928142607160351</v>
      </c>
      <c r="C80" s="129">
        <v>0.19029255923791347</v>
      </c>
      <c r="D80" s="129">
        <v>5.0639192067789801E-2</v>
      </c>
      <c r="E80" s="129">
        <v>5.6556157332819226E-2</v>
      </c>
      <c r="F80" s="129">
        <v>2.3886796791669739E-2</v>
      </c>
      <c r="G80" s="129">
        <v>3.0250219067962346E-3</v>
      </c>
      <c r="H80" s="129">
        <v>1.1547505932376377E-2</v>
      </c>
      <c r="I80" s="129">
        <v>2.0203577963202882E-2</v>
      </c>
      <c r="J80" s="129">
        <v>4.8761068334730135E-3</v>
      </c>
      <c r="K80" s="129">
        <v>2.5521966600803653E-2</v>
      </c>
      <c r="L80" s="129">
        <v>9.1269313575554067E-3</v>
      </c>
      <c r="M80" s="129"/>
      <c r="N80" s="129">
        <v>2.6873416193799464E-3</v>
      </c>
      <c r="O80" s="129">
        <v>2.3554162846168582E-3</v>
      </c>
    </row>
    <row r="81" spans="1:15">
      <c r="A81" s="197">
        <v>38837</v>
      </c>
      <c r="B81" s="129">
        <v>0.58484925518609354</v>
      </c>
      <c r="C81" s="129">
        <v>0.19801303956700658</v>
      </c>
      <c r="D81" s="129">
        <v>5.3364650950317914E-2</v>
      </c>
      <c r="E81" s="129">
        <v>5.9108742489144411E-2</v>
      </c>
      <c r="F81" s="129">
        <v>2.465182356263346E-2</v>
      </c>
      <c r="G81" s="129">
        <v>3.1529733604186874E-3</v>
      </c>
      <c r="H81" s="129">
        <v>1.1426148740028534E-2</v>
      </c>
      <c r="I81" s="129">
        <v>2.030925368160387E-2</v>
      </c>
      <c r="J81" s="129">
        <v>4.9016115284119862E-3</v>
      </c>
      <c r="K81" s="129">
        <v>2.5827169550731627E-2</v>
      </c>
      <c r="L81" s="129">
        <v>9.1768405829397316E-3</v>
      </c>
      <c r="M81" s="129"/>
      <c r="N81" s="129">
        <v>2.7494964946521397E-3</v>
      </c>
      <c r="O81" s="129">
        <v>2.4689943060174045E-3</v>
      </c>
    </row>
    <row r="82" spans="1:15">
      <c r="A82" s="197">
        <v>38868</v>
      </c>
      <c r="B82" s="129">
        <v>0.58007341538122581</v>
      </c>
      <c r="C82" s="129">
        <v>0.20268266610709415</v>
      </c>
      <c r="D82" s="129">
        <v>5.8478468817512196E-2</v>
      </c>
      <c r="E82" s="129">
        <v>6.0318337171713858E-2</v>
      </c>
      <c r="F82" s="129">
        <v>2.2107148648407755E-2</v>
      </c>
      <c r="G82" s="129">
        <v>3.2324969572237721E-3</v>
      </c>
      <c r="H82" s="129">
        <v>1.1066218746990717E-2</v>
      </c>
      <c r="I82" s="129">
        <v>1.8480695051704559E-2</v>
      </c>
      <c r="J82" s="129">
        <v>4.8142470306624793E-3</v>
      </c>
      <c r="K82" s="129">
        <v>2.5514534358753296E-2</v>
      </c>
      <c r="L82" s="129">
        <v>8.0052888597346716E-3</v>
      </c>
      <c r="M82" s="129"/>
      <c r="N82" s="129">
        <v>2.7131328916911823E-3</v>
      </c>
      <c r="O82" s="129">
        <v>2.5133499772855717E-3</v>
      </c>
    </row>
    <row r="83" spans="1:15">
      <c r="A83" s="197">
        <v>38898</v>
      </c>
      <c r="B83" s="129">
        <v>0.58106173244729664</v>
      </c>
      <c r="C83" s="129">
        <v>0.20087872426120421</v>
      </c>
      <c r="D83" s="129">
        <v>6.0004719771338678E-2</v>
      </c>
      <c r="E83" s="129">
        <v>6.2527720736524392E-2</v>
      </c>
      <c r="F83" s="129">
        <v>2.1889084561744869E-2</v>
      </c>
      <c r="G83" s="129">
        <v>2.9292020256349621E-3</v>
      </c>
      <c r="H83" s="129">
        <v>1.0570383499469231E-2</v>
      </c>
      <c r="I83" s="129">
        <v>1.7946243273334744E-2</v>
      </c>
      <c r="J83" s="129">
        <v>4.6750215913675527E-3</v>
      </c>
      <c r="K83" s="129">
        <v>2.4871496070902135E-2</v>
      </c>
      <c r="L83" s="129">
        <v>7.5142996523679135E-3</v>
      </c>
      <c r="M83" s="129"/>
      <c r="N83" s="129">
        <v>2.6357998926845971E-3</v>
      </c>
      <c r="O83" s="129">
        <v>2.4955722161300424E-3</v>
      </c>
    </row>
    <row r="84" spans="1:15">
      <c r="A84" s="197">
        <v>38929</v>
      </c>
      <c r="B84" s="129">
        <v>0.57996388512321584</v>
      </c>
      <c r="C84" s="129">
        <v>0.20882717869369319</v>
      </c>
      <c r="D84" s="129">
        <v>5.6488263658031085E-2</v>
      </c>
      <c r="E84" s="129">
        <v>5.9595276940754241E-2</v>
      </c>
      <c r="F84" s="129">
        <v>2.0163720546022248E-2</v>
      </c>
      <c r="G84" s="129">
        <v>2.6536929883687376E-3</v>
      </c>
      <c r="H84" s="129">
        <v>1.066900018513782E-2</v>
      </c>
      <c r="I84" s="129">
        <v>1.8435988588317246E-2</v>
      </c>
      <c r="J84" s="129">
        <v>4.8026009341270619E-3</v>
      </c>
      <c r="K84" s="129">
        <v>2.5631934607054197E-2</v>
      </c>
      <c r="L84" s="129">
        <v>7.7023911618297721E-3</v>
      </c>
      <c r="M84" s="129"/>
      <c r="N84" s="129">
        <v>2.707596836053699E-3</v>
      </c>
      <c r="O84" s="129">
        <v>2.3584697373950254E-3</v>
      </c>
    </row>
    <row r="85" spans="1:15">
      <c r="A85" s="197">
        <v>38960</v>
      </c>
      <c r="B85" s="129">
        <v>0.58382151660677861</v>
      </c>
      <c r="C85" s="129">
        <v>0.2079435389381161</v>
      </c>
      <c r="D85" s="129">
        <v>5.4951406560026152E-2</v>
      </c>
      <c r="E85" s="129">
        <v>5.8002406678156419E-2</v>
      </c>
      <c r="F85" s="129">
        <v>2.196804712437311E-2</v>
      </c>
      <c r="G85" s="129">
        <v>2.4789688849667E-3</v>
      </c>
      <c r="H85" s="129">
        <v>1.0300307090416847E-2</v>
      </c>
      <c r="I85" s="129">
        <v>1.8118879988484958E-2</v>
      </c>
      <c r="J85" s="129">
        <v>4.7199936982590942E-3</v>
      </c>
      <c r="K85" s="129">
        <v>2.5280928289929488E-2</v>
      </c>
      <c r="L85" s="129">
        <v>7.5620548371391752E-3</v>
      </c>
      <c r="M85" s="129"/>
      <c r="N85" s="129">
        <v>2.5794689450013351E-3</v>
      </c>
      <c r="O85" s="129">
        <v>2.2724823583518028E-3</v>
      </c>
    </row>
    <row r="86" spans="1:15">
      <c r="A86" s="197">
        <v>38990</v>
      </c>
      <c r="B86" s="129">
        <v>0.57163825760772158</v>
      </c>
      <c r="C86" s="129">
        <v>0.21713889960621116</v>
      </c>
      <c r="D86" s="129">
        <v>5.8089008915997102E-2</v>
      </c>
      <c r="E86" s="129">
        <v>5.8119305566724136E-2</v>
      </c>
      <c r="F86" s="129">
        <v>2.3716408874697458E-2</v>
      </c>
      <c r="G86" s="129">
        <v>2.3963832777205399E-3</v>
      </c>
      <c r="H86" s="129">
        <v>1.0142888719687751E-2</v>
      </c>
      <c r="I86" s="129">
        <v>1.6109778904544507E-2</v>
      </c>
      <c r="J86" s="129">
        <v>4.7323205675451644E-3</v>
      </c>
      <c r="K86" s="129">
        <v>2.5446664017391266E-2</v>
      </c>
      <c r="L86" s="129">
        <v>7.5915644603765818E-3</v>
      </c>
      <c r="M86" s="129"/>
      <c r="N86" s="129">
        <v>2.6422050093471423E-3</v>
      </c>
      <c r="O86" s="129">
        <v>2.236314472035609E-3</v>
      </c>
    </row>
    <row r="87" spans="1:15">
      <c r="A87" s="197">
        <v>39021</v>
      </c>
      <c r="B87" s="129">
        <v>0.57848375905154203</v>
      </c>
      <c r="C87" s="129">
        <v>0.21088273355172885</v>
      </c>
      <c r="D87" s="129">
        <v>5.6881041148514958E-2</v>
      </c>
      <c r="E87" s="129">
        <v>6.0146946673560596E-2</v>
      </c>
      <c r="F87" s="129">
        <v>2.2636530999436535E-2</v>
      </c>
      <c r="G87" s="129">
        <v>2.3207947058362733E-3</v>
      </c>
      <c r="H87" s="129">
        <v>9.9746462489156366E-3</v>
      </c>
      <c r="I87" s="129">
        <v>1.6147865244198964E-2</v>
      </c>
      <c r="J87" s="129">
        <v>4.7435086024373409E-3</v>
      </c>
      <c r="K87" s="129">
        <v>2.559473409653323E-2</v>
      </c>
      <c r="L87" s="129">
        <v>7.5896275822920035E-3</v>
      </c>
      <c r="M87" s="129"/>
      <c r="N87" s="129">
        <v>2.4536505493083943E-3</v>
      </c>
      <c r="O87" s="129">
        <v>2.14416154569515E-3</v>
      </c>
    </row>
    <row r="88" spans="1:15">
      <c r="A88" s="197">
        <v>39051</v>
      </c>
      <c r="B88" s="129">
        <v>0.57555195439397799</v>
      </c>
      <c r="C88" s="129">
        <v>0.21536500295994312</v>
      </c>
      <c r="D88" s="129">
        <v>5.6693690010557359E-2</v>
      </c>
      <c r="E88" s="129">
        <v>5.983910436848499E-2</v>
      </c>
      <c r="F88" s="129">
        <v>2.235561504575868E-2</v>
      </c>
      <c r="G88" s="129">
        <v>2.2800292504609461E-3</v>
      </c>
      <c r="H88" s="129">
        <v>9.642801247278723E-3</v>
      </c>
      <c r="I88" s="129">
        <v>1.5965089245390366E-2</v>
      </c>
      <c r="J88" s="129">
        <v>4.6898173243918352E-3</v>
      </c>
      <c r="K88" s="129">
        <v>2.5322763647506626E-2</v>
      </c>
      <c r="L88" s="129">
        <v>7.4660962789452204E-3</v>
      </c>
      <c r="M88" s="129"/>
      <c r="N88" s="129">
        <v>2.4439922535504921E-3</v>
      </c>
      <c r="O88" s="129">
        <v>2.3840439737535654E-3</v>
      </c>
    </row>
    <row r="89" spans="1:15">
      <c r="A89" s="197">
        <v>39082</v>
      </c>
      <c r="B89" s="129">
        <v>0.57701467436688469</v>
      </c>
      <c r="C89" s="129">
        <v>0.20919743496601115</v>
      </c>
      <c r="D89" s="129">
        <v>5.8874483982202241E-2</v>
      </c>
      <c r="E89" s="129">
        <v>6.3734638647745631E-2</v>
      </c>
      <c r="F89" s="129">
        <v>2.1771493071983922E-2</v>
      </c>
      <c r="G89" s="129">
        <v>2.0650491192055558E-3</v>
      </c>
      <c r="H89" s="129">
        <v>9.3790288620018182E-3</v>
      </c>
      <c r="I89" s="129">
        <v>1.5897762369207733E-2</v>
      </c>
      <c r="J89" s="129">
        <v>4.6700397493676512E-3</v>
      </c>
      <c r="K89" s="129">
        <v>2.5229517965136537E-2</v>
      </c>
      <c r="L89" s="129">
        <v>7.4391880156332787E-3</v>
      </c>
      <c r="M89" s="129"/>
      <c r="N89" s="129">
        <v>2.4864513671297712E-3</v>
      </c>
      <c r="O89" s="129">
        <v>2.2402375174897849E-3</v>
      </c>
    </row>
    <row r="90" spans="1:15">
      <c r="A90" s="197">
        <v>39113</v>
      </c>
      <c r="B90" s="129">
        <v>0.58069717952485733</v>
      </c>
      <c r="C90" s="129">
        <v>0.20830789978116898</v>
      </c>
      <c r="D90" s="129">
        <v>5.8001503681576479E-2</v>
      </c>
      <c r="E90" s="129">
        <v>6.3731884579351694E-2</v>
      </c>
      <c r="F90" s="129">
        <v>2.1197718277704149E-2</v>
      </c>
      <c r="G90" s="129">
        <v>1.9628322493728985E-3</v>
      </c>
      <c r="H90" s="129">
        <v>9.0699121548558047E-3</v>
      </c>
      <c r="I90" s="129">
        <v>1.5718180017794181E-2</v>
      </c>
      <c r="J90" s="129">
        <v>4.6172866197190026E-3</v>
      </c>
      <c r="K90" s="129">
        <v>2.5003105936298228E-2</v>
      </c>
      <c r="L90" s="129">
        <v>7.3584531288664852E-3</v>
      </c>
      <c r="M90" s="129"/>
      <c r="N90" s="129">
        <v>2.4235613155818656E-3</v>
      </c>
      <c r="O90" s="129">
        <v>1.9104827328527624E-3</v>
      </c>
    </row>
    <row r="91" spans="1:15">
      <c r="A91" s="197">
        <v>39141</v>
      </c>
      <c r="B91" s="129">
        <v>0.59316647979671799</v>
      </c>
      <c r="C91" s="129">
        <v>0.19901150887805441</v>
      </c>
      <c r="D91" s="129">
        <v>5.7214604131980117E-2</v>
      </c>
      <c r="E91" s="129">
        <v>6.3001447252118634E-2</v>
      </c>
      <c r="F91" s="129">
        <v>2.0554135417368547E-2</v>
      </c>
      <c r="G91" s="129">
        <v>1.9250889701236695E-3</v>
      </c>
      <c r="H91" s="129">
        <v>8.8766339461176739E-3</v>
      </c>
      <c r="I91" s="129">
        <v>1.5703326722616442E-2</v>
      </c>
      <c r="J91" s="129">
        <v>3.6903387175527746E-3</v>
      </c>
      <c r="K91" s="129">
        <v>2.509648628212215E-2</v>
      </c>
      <c r="L91" s="129">
        <v>7.4502217083258424E-3</v>
      </c>
      <c r="M91" s="129"/>
      <c r="N91" s="129">
        <v>2.3888966483772201E-3</v>
      </c>
      <c r="O91" s="129">
        <v>1.9208315285243896E-3</v>
      </c>
    </row>
    <row r="92" spans="1:15">
      <c r="A92" s="197">
        <v>39172</v>
      </c>
      <c r="B92" s="129">
        <v>0.59028419533185073</v>
      </c>
      <c r="C92" s="129">
        <v>0.20012288063109582</v>
      </c>
      <c r="D92" s="129">
        <v>5.6787752407221212E-2</v>
      </c>
      <c r="E92" s="129">
        <v>6.310836058460291E-2</v>
      </c>
      <c r="F92" s="129">
        <v>2.0493410844164759E-2</v>
      </c>
      <c r="G92" s="129">
        <v>1.7935678524090492E-3</v>
      </c>
      <c r="H92" s="129">
        <v>9.0394569891012917E-3</v>
      </c>
      <c r="I92" s="129">
        <v>1.6247430107875618E-2</v>
      </c>
      <c r="J92" s="129">
        <v>3.8182049859200743E-3</v>
      </c>
      <c r="K92" s="129">
        <v>2.6229978032270698E-2</v>
      </c>
      <c r="L92" s="129">
        <v>7.7070587075171856E-3</v>
      </c>
      <c r="M92" s="129"/>
      <c r="N92" s="129">
        <v>2.471437380916919E-3</v>
      </c>
      <c r="O92" s="129">
        <v>1.8962661450538803E-3</v>
      </c>
    </row>
    <row r="93" spans="1:15">
      <c r="A93" s="197">
        <v>39202</v>
      </c>
      <c r="B93" s="129">
        <v>0.59961470784718085</v>
      </c>
      <c r="C93" s="129">
        <v>0.19503571083168755</v>
      </c>
      <c r="D93" s="129">
        <v>5.5125682454469638E-2</v>
      </c>
      <c r="E93" s="129">
        <v>6.1782197199775561E-2</v>
      </c>
      <c r="F93" s="129">
        <v>1.9742803759076308E-2</v>
      </c>
      <c r="G93" s="129">
        <v>1.7406339787944358E-3</v>
      </c>
      <c r="H93" s="129">
        <v>8.8169170486665435E-3</v>
      </c>
      <c r="I93" s="129">
        <v>1.6095173547686133E-2</v>
      </c>
      <c r="J93" s="129">
        <v>3.7824241422177375E-3</v>
      </c>
      <c r="K93" s="129">
        <v>2.6288437884384602E-2</v>
      </c>
      <c r="L93" s="129">
        <v>7.6330719799493898E-3</v>
      </c>
      <c r="M93" s="129"/>
      <c r="N93" s="129">
        <v>2.5036191048440301E-3</v>
      </c>
      <c r="O93" s="129">
        <v>1.8386202212671491E-3</v>
      </c>
    </row>
    <row r="94" spans="1:15">
      <c r="A94" s="198">
        <v>39203</v>
      </c>
      <c r="B94" s="129">
        <v>0.62267639594211033</v>
      </c>
      <c r="C94" s="129">
        <v>0.18196027735468726</v>
      </c>
      <c r="D94" s="129">
        <v>5.0850009138940666E-2</v>
      </c>
      <c r="E94" s="129">
        <v>5.7502416328185729E-2</v>
      </c>
      <c r="F94" s="129">
        <v>1.8224603042322842E-2</v>
      </c>
      <c r="G94" s="129">
        <v>1.604280573731165E-3</v>
      </c>
      <c r="H94" s="129">
        <v>8.744630970530777E-3</v>
      </c>
      <c r="I94" s="129">
        <v>1.6237331887382411E-2</v>
      </c>
      <c r="J94" s="129">
        <v>3.815831867489647E-3</v>
      </c>
      <c r="K94" s="129">
        <v>2.6804260123129676E-2</v>
      </c>
      <c r="L94" s="129">
        <v>7.6997674690843709E-3</v>
      </c>
      <c r="M94" s="129"/>
      <c r="N94" s="129">
        <v>2.2095579057005359E-3</v>
      </c>
      <c r="O94" s="129">
        <v>1.6706373967044854E-3</v>
      </c>
    </row>
    <row r="95" spans="1:15">
      <c r="A95" s="197">
        <v>39263</v>
      </c>
      <c r="B95" s="129">
        <v>0.62139247837131439</v>
      </c>
      <c r="C95" s="129">
        <v>0.18245576904764213</v>
      </c>
      <c r="D95" s="129">
        <v>5.2974802386430542E-2</v>
      </c>
      <c r="E95" s="129">
        <v>5.7111430436872654E-2</v>
      </c>
      <c r="F95" s="129">
        <v>1.81823850049465E-2</v>
      </c>
      <c r="G95" s="129">
        <v>1.469475305891424E-3</v>
      </c>
      <c r="H95" s="129">
        <v>8.3695689527112319E-3</v>
      </c>
      <c r="I95" s="129">
        <v>1.5671867239025219E-2</v>
      </c>
      <c r="J95" s="129">
        <v>3.7384063595330822E-3</v>
      </c>
      <c r="K95" s="129">
        <v>2.6414020963870747E-2</v>
      </c>
      <c r="L95" s="129">
        <v>7.5415538939468839E-3</v>
      </c>
      <c r="M95" s="129"/>
      <c r="N95" s="129">
        <v>3.0675554993743574E-3</v>
      </c>
      <c r="O95" s="129">
        <v>1.6106865384410884E-3</v>
      </c>
    </row>
    <row r="96" spans="1:15">
      <c r="A96" s="197">
        <v>39264</v>
      </c>
      <c r="B96" s="129">
        <v>0.62393601821413081</v>
      </c>
      <c r="C96" s="129">
        <v>0.18322223200584584</v>
      </c>
      <c r="D96" s="129">
        <v>5.2798670799070739E-2</v>
      </c>
      <c r="E96" s="129">
        <v>5.4886513461707795E-2</v>
      </c>
      <c r="F96" s="129">
        <v>1.779111583297974E-2</v>
      </c>
      <c r="G96" s="129">
        <v>1.3114338150315191E-3</v>
      </c>
      <c r="H96" s="129">
        <v>8.1263127411172094E-3</v>
      </c>
      <c r="I96" s="129">
        <v>1.5365926093943775E-2</v>
      </c>
      <c r="J96" s="129">
        <v>3.7308159401275142E-3</v>
      </c>
      <c r="K96" s="129">
        <v>2.641623720787592E-2</v>
      </c>
      <c r="L96" s="129">
        <v>7.5257298642616667E-3</v>
      </c>
      <c r="M96" s="129"/>
      <c r="N96" s="129">
        <v>3.0432222150075456E-3</v>
      </c>
      <c r="O96" s="129">
        <v>1.845771808900127E-3</v>
      </c>
    </row>
    <row r="97" spans="1:15">
      <c r="A97" s="197">
        <v>39325</v>
      </c>
      <c r="B97" s="129">
        <v>0.61438939116991886</v>
      </c>
      <c r="C97" s="129">
        <v>0.19119452626277061</v>
      </c>
      <c r="D97" s="129">
        <v>5.6066528739529269E-2</v>
      </c>
      <c r="E97" s="129">
        <v>5.7831970010933681E-2</v>
      </c>
      <c r="F97" s="129">
        <v>1.8674922003370224E-2</v>
      </c>
      <c r="G97" s="129">
        <v>1.395094802821815E-3</v>
      </c>
      <c r="H97" s="129">
        <v>7.6199526307179277E-3</v>
      </c>
      <c r="I97" s="129">
        <v>1.1451473814857309E-2</v>
      </c>
      <c r="J97" s="129">
        <v>3.6018292062310808E-3</v>
      </c>
      <c r="K97" s="129">
        <v>2.5540120317311881E-2</v>
      </c>
      <c r="L97" s="129">
        <v>7.2627259586933576E-3</v>
      </c>
      <c r="M97" s="129"/>
      <c r="N97" s="129">
        <v>3.0202281639817134E-3</v>
      </c>
      <c r="O97" s="129">
        <v>1.9512369188623964E-3</v>
      </c>
    </row>
    <row r="98" spans="1:15">
      <c r="A98" s="197">
        <v>39355</v>
      </c>
      <c r="B98" s="129">
        <v>0.62401438764151718</v>
      </c>
      <c r="C98" s="129">
        <v>0.18530602185102171</v>
      </c>
      <c r="D98" s="129">
        <v>5.3088174633170469E-2</v>
      </c>
      <c r="E98" s="129">
        <v>5.8972685578238156E-2</v>
      </c>
      <c r="F98" s="129">
        <v>1.6248815034853346E-2</v>
      </c>
      <c r="G98" s="129">
        <v>1.1940255701814342E-3</v>
      </c>
      <c r="H98" s="129">
        <v>7.5538675092173676E-3</v>
      </c>
      <c r="I98" s="129">
        <v>1.1715993142627831E-2</v>
      </c>
      <c r="J98" s="129">
        <v>3.6850284044985006E-3</v>
      </c>
      <c r="K98" s="129">
        <v>2.6134569841380375E-2</v>
      </c>
      <c r="L98" s="129">
        <v>7.4301336074257332E-3</v>
      </c>
      <c r="M98" s="129"/>
      <c r="N98" s="129">
        <v>3.025298128316571E-3</v>
      </c>
      <c r="O98" s="129">
        <v>1.6309990575514035E-3</v>
      </c>
    </row>
    <row r="99" spans="1:15">
      <c r="A99" s="197">
        <v>39386</v>
      </c>
      <c r="B99" s="129">
        <v>0.62933294632962233</v>
      </c>
      <c r="C99" s="129">
        <v>0.18401238738159426</v>
      </c>
      <c r="D99" s="129">
        <v>5.2749539327300254E-2</v>
      </c>
      <c r="E99" s="129">
        <v>5.8797266131148579E-2</v>
      </c>
      <c r="F99" s="129">
        <v>1.4432239681296404E-2</v>
      </c>
      <c r="G99" s="129">
        <v>1.1738686868865956E-3</v>
      </c>
      <c r="H99" s="129">
        <v>7.3335692748526813E-3</v>
      </c>
      <c r="I99" s="129">
        <v>1.1741787819319454E-2</v>
      </c>
      <c r="J99" s="129">
        <v>3.6931415977324265E-3</v>
      </c>
      <c r="K99" s="129">
        <v>2.6185875032343545E-2</v>
      </c>
      <c r="L99" s="129">
        <v>5.903181670830775E-3</v>
      </c>
      <c r="M99" s="129"/>
      <c r="N99" s="129">
        <v>3.0320402073013091E-3</v>
      </c>
      <c r="O99" s="129">
        <v>1.6121568597714825E-3</v>
      </c>
    </row>
    <row r="100" spans="1:15">
      <c r="A100" s="197">
        <v>39416</v>
      </c>
      <c r="B100" s="129">
        <v>0.61536989738912728</v>
      </c>
      <c r="C100" s="129">
        <v>0.19215246636399191</v>
      </c>
      <c r="D100" s="129">
        <v>5.5615017255729995E-2</v>
      </c>
      <c r="E100" s="129">
        <v>6.1662349565265097E-2</v>
      </c>
      <c r="F100" s="129">
        <v>1.51389748987385E-2</v>
      </c>
      <c r="G100" s="129">
        <v>1.2328570216728473E-3</v>
      </c>
      <c r="H100" s="129">
        <v>7.2168615951257193E-3</v>
      </c>
      <c r="I100" s="129">
        <v>1.1951491558831979E-2</v>
      </c>
      <c r="J100" s="129">
        <v>3.7590996626805494E-3</v>
      </c>
      <c r="K100" s="129">
        <v>2.6665204718929816E-2</v>
      </c>
      <c r="L100" s="129">
        <v>5.0812226973525705E-3</v>
      </c>
      <c r="M100" s="129"/>
      <c r="N100" s="129">
        <v>2.4607834047200047E-3</v>
      </c>
      <c r="O100" s="129">
        <v>1.6937738678336782E-3</v>
      </c>
    </row>
    <row r="101" spans="1:15">
      <c r="A101" s="197">
        <v>39447</v>
      </c>
      <c r="B101" s="129">
        <v>0.61857786893210986</v>
      </c>
      <c r="C101" s="129">
        <v>0.18788641910241161</v>
      </c>
      <c r="D101" s="129">
        <v>5.839242124479093E-2</v>
      </c>
      <c r="E101" s="129">
        <v>6.0992057111873471E-2</v>
      </c>
      <c r="F101" s="129">
        <v>1.4866132121299532E-2</v>
      </c>
      <c r="G101" s="129">
        <v>1.0727590627061991E-3</v>
      </c>
      <c r="H101" s="129">
        <v>6.9548594081763164E-3</v>
      </c>
      <c r="I101" s="129">
        <v>1.1902187762672736E-2</v>
      </c>
      <c r="J101" s="129">
        <v>3.7435921519569921E-3</v>
      </c>
      <c r="K101" s="129">
        <v>2.6620877543344357E-2</v>
      </c>
      <c r="L101" s="129">
        <v>4.9911364049478957E-3</v>
      </c>
      <c r="M101" s="129"/>
      <c r="N101" s="129">
        <v>2.4103784932010021E-3</v>
      </c>
      <c r="O101" s="129">
        <v>1.5893106605090409E-3</v>
      </c>
    </row>
    <row r="102" spans="1:15">
      <c r="A102" s="197">
        <v>39478</v>
      </c>
      <c r="B102" s="129">
        <v>0.62924230100186473</v>
      </c>
      <c r="C102" s="129">
        <v>0.1850052044687148</v>
      </c>
      <c r="D102" s="129">
        <v>5.5429134366118696E-2</v>
      </c>
      <c r="E102" s="129">
        <v>5.8873601170430175E-2</v>
      </c>
      <c r="F102" s="129">
        <v>1.3797099212515066E-2</v>
      </c>
      <c r="G102" s="129">
        <v>9.9802809403106481E-4</v>
      </c>
      <c r="H102" s="129">
        <v>6.6842854405431539E-3</v>
      </c>
      <c r="I102" s="129">
        <v>1.181394520931788E-2</v>
      </c>
      <c r="J102" s="129">
        <v>3.7158372436330031E-3</v>
      </c>
      <c r="K102" s="129">
        <v>2.6550425201099542E-2</v>
      </c>
      <c r="L102" s="129">
        <v>4.9387924686642827E-3</v>
      </c>
      <c r="M102" s="129"/>
      <c r="N102" s="129">
        <v>1.4389221983826127E-3</v>
      </c>
      <c r="O102" s="129">
        <v>1.5124239246850852E-3</v>
      </c>
    </row>
    <row r="103" spans="1:15">
      <c r="A103" s="197">
        <v>39507</v>
      </c>
      <c r="B103" s="129">
        <v>0.64435048559052865</v>
      </c>
      <c r="C103" s="129">
        <v>0.17617807467749447</v>
      </c>
      <c r="D103" s="129">
        <v>5.3039552280269811E-2</v>
      </c>
      <c r="E103" s="129">
        <v>5.6670904291077823E-2</v>
      </c>
      <c r="F103" s="129">
        <v>1.2871450164136371E-2</v>
      </c>
      <c r="G103" s="129">
        <v>9.5534518308964427E-4</v>
      </c>
      <c r="H103" s="129">
        <v>6.5124824676183303E-3</v>
      </c>
      <c r="I103" s="129">
        <v>1.1867802129645484E-2</v>
      </c>
      <c r="J103" s="129">
        <v>2.7995826355252306E-3</v>
      </c>
      <c r="K103" s="129">
        <v>2.6871054293265265E-2</v>
      </c>
      <c r="L103" s="129">
        <v>4.9531287892330524E-3</v>
      </c>
      <c r="M103" s="129"/>
      <c r="N103" s="129">
        <v>1.4757048889665267E-3</v>
      </c>
      <c r="O103" s="129">
        <v>1.4544326091494486E-3</v>
      </c>
    </row>
    <row r="104" spans="1:15">
      <c r="A104" s="197">
        <v>39538</v>
      </c>
      <c r="B104" s="129">
        <v>0.65114015493250044</v>
      </c>
      <c r="C104" s="129">
        <v>0.1693726455254182</v>
      </c>
      <c r="D104" s="129">
        <v>5.5063065560407513E-2</v>
      </c>
      <c r="E104" s="129">
        <v>5.5887985938861177E-2</v>
      </c>
      <c r="F104" s="129">
        <v>1.2441713355184104E-2</v>
      </c>
      <c r="G104" s="129">
        <v>9.3399426365339095E-4</v>
      </c>
      <c r="H104" s="129">
        <v>6.2461509207462126E-3</v>
      </c>
      <c r="I104" s="129">
        <v>1.1695366933002081E-2</v>
      </c>
      <c r="J104" s="129">
        <v>2.7589056359424388E-3</v>
      </c>
      <c r="K104" s="129">
        <v>2.683218878831227E-2</v>
      </c>
      <c r="L104" s="129">
        <v>4.802963457401793E-3</v>
      </c>
      <c r="M104" s="129"/>
      <c r="N104" s="129">
        <v>1.4166910174613419E-3</v>
      </c>
      <c r="O104" s="129">
        <v>1.4081736711088427E-3</v>
      </c>
    </row>
    <row r="105" spans="1:15">
      <c r="A105" s="197">
        <v>39568</v>
      </c>
      <c r="B105" s="129">
        <v>0.65372420821513899</v>
      </c>
      <c r="C105" s="129">
        <v>0.16854845851502354</v>
      </c>
      <c r="D105" s="129">
        <v>5.4455469545836022E-2</v>
      </c>
      <c r="E105" s="129">
        <v>5.6145310341280452E-2</v>
      </c>
      <c r="F105" s="129">
        <v>1.2173289096066854E-2</v>
      </c>
      <c r="G105" s="129">
        <v>9.2347249757689651E-4</v>
      </c>
      <c r="H105" s="129">
        <v>6.1420468107998014E-3</v>
      </c>
      <c r="I105" s="129">
        <v>9.838865387097941E-3</v>
      </c>
      <c r="J105" s="129">
        <v>2.8017091063972277E-3</v>
      </c>
      <c r="K105" s="129">
        <v>2.7557744778332265E-2</v>
      </c>
      <c r="L105" s="129">
        <v>4.8652969336913385E-3</v>
      </c>
      <c r="M105" s="129"/>
      <c r="N105" s="129">
        <v>1.438540930267427E-3</v>
      </c>
      <c r="O105" s="129">
        <v>1.385587842491326E-3</v>
      </c>
    </row>
    <row r="106" spans="1:15">
      <c r="A106" s="197">
        <v>39599</v>
      </c>
      <c r="B106" s="129">
        <v>0.66283873616092881</v>
      </c>
      <c r="C106" s="129">
        <v>0.16454014280296836</v>
      </c>
      <c r="D106" s="129">
        <v>5.2894980661588799E-2</v>
      </c>
      <c r="E106" s="129">
        <v>5.5011368781132275E-2</v>
      </c>
      <c r="F106" s="129">
        <v>1.1830665676695013E-2</v>
      </c>
      <c r="G106" s="129">
        <v>8.9728186489096201E-4</v>
      </c>
      <c r="H106" s="129">
        <v>5.8681881759688132E-3</v>
      </c>
      <c r="I106" s="129">
        <v>9.2353233685314486E-3</v>
      </c>
      <c r="J106" s="129">
        <v>2.7794041019634477E-3</v>
      </c>
      <c r="K106" s="129">
        <v>2.7549267111087773E-2</v>
      </c>
      <c r="L106" s="129">
        <v>3.7786423168440358E-3</v>
      </c>
      <c r="M106" s="129"/>
      <c r="N106" s="129">
        <v>1.4385809933103928E-3</v>
      </c>
      <c r="O106" s="129">
        <v>1.3374179840896874E-3</v>
      </c>
    </row>
    <row r="107" spans="1:15">
      <c r="A107" s="197">
        <v>39629</v>
      </c>
      <c r="B107" s="129">
        <v>0.65778122488406077</v>
      </c>
      <c r="C107" s="129">
        <v>0.16725275894809521</v>
      </c>
      <c r="D107" s="129">
        <v>5.482885874263526E-2</v>
      </c>
      <c r="E107" s="129">
        <v>5.5522144476696768E-2</v>
      </c>
      <c r="F107" s="129">
        <v>1.2331414471616483E-2</v>
      </c>
      <c r="G107" s="129">
        <v>8.2381716059455818E-4</v>
      </c>
      <c r="H107" s="129">
        <v>5.8431891225564888E-3</v>
      </c>
      <c r="I107" s="129">
        <v>9.1248444089444183E-3</v>
      </c>
      <c r="J107" s="129">
        <v>2.7461550579177194E-3</v>
      </c>
      <c r="K107" s="129">
        <v>2.7439748310571149E-2</v>
      </c>
      <c r="L107" s="129">
        <v>3.5001025391027001E-3</v>
      </c>
      <c r="M107" s="129"/>
      <c r="N107" s="129">
        <v>1.440540804786526E-3</v>
      </c>
      <c r="O107" s="129">
        <v>1.3652010724220537E-3</v>
      </c>
    </row>
    <row r="108" spans="1:15">
      <c r="A108" s="197">
        <v>39660</v>
      </c>
      <c r="B108" s="129">
        <v>0.66426570938969853</v>
      </c>
      <c r="C108" s="129">
        <v>0.16362829868795237</v>
      </c>
      <c r="D108" s="129">
        <v>5.4589158866350053E-2</v>
      </c>
      <c r="E108" s="129">
        <v>5.5020672441689317E-2</v>
      </c>
      <c r="F108" s="129">
        <v>1.1466557078247149E-2</v>
      </c>
      <c r="G108" s="129">
        <v>7.6537155275972985E-4</v>
      </c>
      <c r="H108" s="129">
        <v>5.2838095927287077E-3</v>
      </c>
      <c r="I108" s="129">
        <v>8.9950011236180523E-3</v>
      </c>
      <c r="J108" s="129">
        <v>2.7070782497273099E-3</v>
      </c>
      <c r="K108" s="129">
        <v>2.7295144778878788E-2</v>
      </c>
      <c r="L108" s="129">
        <v>3.434121054023109E-3</v>
      </c>
      <c r="M108" s="129"/>
      <c r="N108" s="129">
        <v>1.2393652646539664E-3</v>
      </c>
      <c r="O108" s="129">
        <v>1.3097119196730659E-3</v>
      </c>
    </row>
    <row r="109" spans="1:15">
      <c r="A109" s="197">
        <v>39691</v>
      </c>
      <c r="B109" s="129">
        <v>0.64614174912932199</v>
      </c>
      <c r="C109" s="129">
        <v>0.17370727208137601</v>
      </c>
      <c r="D109" s="129">
        <v>5.9055713071997057E-2</v>
      </c>
      <c r="E109" s="129">
        <v>5.7800798696176797E-2</v>
      </c>
      <c r="F109" s="129">
        <v>1.2083970666093499E-2</v>
      </c>
      <c r="G109" s="129">
        <v>8.2403481476059034E-4</v>
      </c>
      <c r="H109" s="129">
        <v>5.0631941802993172E-3</v>
      </c>
      <c r="I109" s="129">
        <v>9.0186982673313258E-3</v>
      </c>
      <c r="J109" s="129">
        <v>2.714209991174059E-3</v>
      </c>
      <c r="K109" s="129">
        <v>2.754869195775287E-2</v>
      </c>
      <c r="L109" s="129">
        <v>3.4317966540999946E-3</v>
      </c>
      <c r="M109" s="129"/>
      <c r="N109" s="129">
        <v>1.2422061200335391E-3</v>
      </c>
      <c r="O109" s="129">
        <v>1.3676643695825375E-3</v>
      </c>
    </row>
    <row r="110" spans="1:15">
      <c r="A110" s="197">
        <v>39721</v>
      </c>
      <c r="B110" s="129">
        <v>0.62917075638073483</v>
      </c>
      <c r="C110" s="129">
        <v>0.18352747013771933</v>
      </c>
      <c r="D110" s="129">
        <v>6.4095681725699502E-2</v>
      </c>
      <c r="E110" s="129">
        <v>6.1494911764283205E-2</v>
      </c>
      <c r="F110" s="129">
        <v>1.2916562667576015E-2</v>
      </c>
      <c r="G110" s="129">
        <v>8.9115929897721829E-4</v>
      </c>
      <c r="H110" s="129">
        <v>4.6254775527872554E-3</v>
      </c>
      <c r="I110" s="129">
        <v>8.1714738440066288E-3</v>
      </c>
      <c r="J110" s="129">
        <v>2.6110999591433966E-3</v>
      </c>
      <c r="K110" s="129">
        <v>2.6588846325497663E-2</v>
      </c>
      <c r="L110" s="129">
        <v>3.2936776252679555E-3</v>
      </c>
      <c r="M110" s="129"/>
      <c r="N110" s="129">
        <v>1.1946667629570329E-3</v>
      </c>
      <c r="O110" s="129">
        <v>1.4182159553501215E-3</v>
      </c>
    </row>
    <row r="111" spans="1:15">
      <c r="A111" s="197">
        <v>39752</v>
      </c>
      <c r="B111" s="129">
        <v>0.61306099578807205</v>
      </c>
      <c r="C111" s="129">
        <v>0.18924741836318093</v>
      </c>
      <c r="D111" s="129">
        <v>6.7668864233964246E-2</v>
      </c>
      <c r="E111" s="129">
        <v>7.1041467075044079E-2</v>
      </c>
      <c r="F111" s="129">
        <v>1.3745646570113451E-2</v>
      </c>
      <c r="G111" s="129">
        <v>9.3285611976583226E-4</v>
      </c>
      <c r="H111" s="129">
        <v>4.2256312132026765E-3</v>
      </c>
      <c r="I111" s="129">
        <v>7.9047800361880857E-3</v>
      </c>
      <c r="J111" s="129">
        <v>2.5258810373194537E-3</v>
      </c>
      <c r="K111" s="129">
        <v>2.5720222972387932E-2</v>
      </c>
      <c r="L111" s="129">
        <v>1.3534578290321131E-3</v>
      </c>
      <c r="M111" s="129"/>
      <c r="N111" s="129">
        <v>1.1489418888808221E-3</v>
      </c>
      <c r="O111" s="129">
        <v>1.4238368728484629E-3</v>
      </c>
    </row>
    <row r="112" spans="1:15">
      <c r="A112" s="197">
        <v>39753</v>
      </c>
      <c r="B112" s="129">
        <v>0.61981933452582805</v>
      </c>
      <c r="C112" s="129">
        <v>0.18643524143757925</v>
      </c>
      <c r="D112" s="129">
        <v>6.6518521543947162E-2</v>
      </c>
      <c r="E112" s="129">
        <v>6.9532560374644947E-2</v>
      </c>
      <c r="F112" s="129">
        <v>1.3525701711339218E-2</v>
      </c>
      <c r="G112" s="129">
        <v>9.1260624027119503E-4</v>
      </c>
      <c r="H112" s="129">
        <v>3.9700193353487748E-3</v>
      </c>
      <c r="I112" s="129">
        <v>7.8977239177550548E-3</v>
      </c>
      <c r="J112" s="129">
        <v>2.5236263362821724E-3</v>
      </c>
      <c r="K112" s="129">
        <v>2.5718507785662401E-2</v>
      </c>
      <c r="L112" s="129">
        <v>6.123116979069919E-4</v>
      </c>
      <c r="M112" s="129"/>
      <c r="N112" s="129">
        <v>1.1475784667273868E-3</v>
      </c>
      <c r="O112" s="129">
        <v>1.3862666267075248E-3</v>
      </c>
    </row>
    <row r="113" spans="1:16">
      <c r="A113" s="197">
        <v>39813</v>
      </c>
      <c r="B113" s="129">
        <v>0.62406893350657511</v>
      </c>
      <c r="C113" s="129">
        <v>0.18201412025469932</v>
      </c>
      <c r="D113" s="129">
        <v>6.8747623897258581E-2</v>
      </c>
      <c r="E113" s="129">
        <v>6.8371822998622503E-2</v>
      </c>
      <c r="F113" s="129">
        <v>1.3068300353018928E-2</v>
      </c>
      <c r="G113" s="129">
        <v>7.7281242630773597E-4</v>
      </c>
      <c r="H113" s="129">
        <v>3.7238032881306005E-3</v>
      </c>
      <c r="I113" s="129">
        <v>7.8939820175253431E-3</v>
      </c>
      <c r="J113" s="129">
        <v>2.5224306553409577E-3</v>
      </c>
      <c r="K113" s="129">
        <v>2.5788460885432553E-2</v>
      </c>
      <c r="L113" s="129">
        <v>5.5852791417091568E-4</v>
      </c>
      <c r="M113" s="129"/>
      <c r="N113" s="129">
        <v>1.1462742916854877E-3</v>
      </c>
      <c r="O113" s="129">
        <v>1.3229075112319295E-3</v>
      </c>
      <c r="P113" s="128"/>
    </row>
    <row r="114" spans="1:16">
      <c r="A114" s="197">
        <v>39844</v>
      </c>
      <c r="B114" s="129">
        <v>0.60844507483529198</v>
      </c>
      <c r="C114" s="129">
        <v>0.19784626063486954</v>
      </c>
      <c r="D114" s="129">
        <v>7.0240413877330876E-2</v>
      </c>
      <c r="E114" s="129">
        <v>6.8880492725287554E-2</v>
      </c>
      <c r="F114" s="129">
        <v>1.3086370708306441E-2</v>
      </c>
      <c r="G114" s="129">
        <v>7.5465095586293334E-4</v>
      </c>
      <c r="H114" s="129">
        <v>3.3060376093212566E-3</v>
      </c>
      <c r="I114" s="129">
        <v>7.5036001015475655E-3</v>
      </c>
      <c r="J114" s="129">
        <v>2.3976886290775403E-3</v>
      </c>
      <c r="K114" s="129">
        <v>2.4602011185268235E-2</v>
      </c>
      <c r="L114" s="129">
        <v>5.1768571837521678E-4</v>
      </c>
      <c r="M114" s="129"/>
      <c r="N114" s="129">
        <v>1.0969409472801875E-3</v>
      </c>
      <c r="O114" s="129">
        <v>1.3227720721809084E-3</v>
      </c>
    </row>
    <row r="115" spans="1:16">
      <c r="A115" s="197">
        <v>39845</v>
      </c>
      <c r="B115" s="129">
        <v>0.60370365897060008</v>
      </c>
      <c r="C115" s="129">
        <v>0.20101056740249218</v>
      </c>
      <c r="D115" s="129">
        <v>7.2423025871072036E-2</v>
      </c>
      <c r="E115" s="129">
        <v>6.9865276746512842E-2</v>
      </c>
      <c r="F115" s="129">
        <v>1.3050701431979896E-2</v>
      </c>
      <c r="G115" s="129">
        <v>7.7451827691035508E-4</v>
      </c>
      <c r="H115" s="129">
        <v>3.2294509831587675E-3</v>
      </c>
      <c r="I115" s="129">
        <v>7.2946898892801782E-3</v>
      </c>
      <c r="J115" s="129">
        <v>1.5539558579413736E-3</v>
      </c>
      <c r="K115" s="129">
        <v>2.4033476611698325E-2</v>
      </c>
      <c r="L115" s="129">
        <v>4.9444072135077421E-4</v>
      </c>
      <c r="M115" s="129"/>
      <c r="N115" s="129">
        <v>1.2156792562821833E-3</v>
      </c>
      <c r="O115" s="129">
        <v>1.3505579807213963E-3</v>
      </c>
    </row>
    <row r="116" spans="1:16">
      <c r="A116" s="197">
        <v>39874</v>
      </c>
      <c r="B116" s="129">
        <v>0.60460482148595729</v>
      </c>
      <c r="C116" s="129">
        <v>0.19693099392700508</v>
      </c>
      <c r="D116" s="129">
        <v>7.1318917805264184E-2</v>
      </c>
      <c r="E116" s="129">
        <v>7.5603713973760672E-2</v>
      </c>
      <c r="F116" s="129">
        <v>1.27963226268134E-2</v>
      </c>
      <c r="G116" s="129">
        <v>7.5991221689858065E-4</v>
      </c>
      <c r="H116" s="129">
        <v>2.7023236622374176E-3</v>
      </c>
      <c r="I116" s="129">
        <v>7.1282290462433067E-3</v>
      </c>
      <c r="J116" s="129">
        <v>1.5184954331555118E-3</v>
      </c>
      <c r="K116" s="129">
        <v>2.3661096798790669E-2</v>
      </c>
      <c r="L116" s="129">
        <v>4.7199586737532316E-4</v>
      </c>
      <c r="M116" s="129"/>
      <c r="N116" s="129">
        <v>1.1876931812669605E-3</v>
      </c>
      <c r="O116" s="129">
        <v>1.3154839752318359E-3</v>
      </c>
    </row>
    <row r="117" spans="1:16">
      <c r="A117" s="197">
        <v>39933</v>
      </c>
      <c r="B117" s="129">
        <v>0.62746458968378138</v>
      </c>
      <c r="C117" s="129">
        <v>0.18717709921215592</v>
      </c>
      <c r="D117" s="129">
        <v>6.4773199285307656E-2</v>
      </c>
      <c r="E117" s="129">
        <v>6.9856407801553416E-2</v>
      </c>
      <c r="F117" s="129">
        <v>1.1652670910947883E-2</v>
      </c>
      <c r="G117" s="129">
        <v>6.8975800046184406E-4</v>
      </c>
      <c r="H117" s="129">
        <v>2.5165452203027155E-3</v>
      </c>
      <c r="I117" s="129">
        <v>7.2382766037501472E-3</v>
      </c>
      <c r="J117" s="129">
        <v>1.5419383826482927E-3</v>
      </c>
      <c r="K117" s="129">
        <v>2.4184055530076291E-2</v>
      </c>
      <c r="L117" s="129">
        <v>4.7193552538574694E-4</v>
      </c>
      <c r="M117" s="129"/>
      <c r="N117" s="129">
        <v>1.2049370010430549E-3</v>
      </c>
      <c r="O117" s="129">
        <v>1.2285868425858141E-3</v>
      </c>
    </row>
    <row r="118" spans="1:16">
      <c r="A118" s="197">
        <v>39964</v>
      </c>
      <c r="B118" s="129">
        <v>0.63725728013360794</v>
      </c>
      <c r="C118" s="129">
        <v>0.18245562502909821</v>
      </c>
      <c r="D118" s="129">
        <v>6.1018303301349427E-2</v>
      </c>
      <c r="E118" s="129">
        <v>6.8081399463590125E-2</v>
      </c>
      <c r="F118" s="129">
        <v>1.1233502200890842E-2</v>
      </c>
      <c r="G118" s="129">
        <v>6.6702851845279975E-4</v>
      </c>
      <c r="H118" s="129">
        <v>2.3446583194968768E-3</v>
      </c>
      <c r="I118" s="129">
        <v>7.4459518461407626E-3</v>
      </c>
      <c r="J118" s="129">
        <v>1.5861785305312803E-3</v>
      </c>
      <c r="K118" s="129">
        <v>2.4981201739299155E-2</v>
      </c>
      <c r="L118" s="129">
        <v>4.792383942666612E-4</v>
      </c>
      <c r="M118" s="129"/>
      <c r="N118" s="129">
        <v>1.2381500854440279E-3</v>
      </c>
      <c r="O118" s="129">
        <v>1.2114824378319426E-3</v>
      </c>
    </row>
    <row r="119" spans="1:16">
      <c r="A119" s="197">
        <v>39994</v>
      </c>
      <c r="B119" s="129">
        <v>0.6395053063811198</v>
      </c>
      <c r="C119" s="129">
        <v>0.18172785874021685</v>
      </c>
      <c r="D119" s="129">
        <v>6.0927780419794811E-2</v>
      </c>
      <c r="E119" s="129">
        <v>6.7804920169713206E-2</v>
      </c>
      <c r="F119" s="129">
        <v>1.1191731293483819E-2</v>
      </c>
      <c r="G119" s="129">
        <v>5.5782332937277183E-4</v>
      </c>
      <c r="H119" s="129">
        <v>2.0701395844865255E-3</v>
      </c>
      <c r="I119" s="129">
        <v>7.1697888652616452E-3</v>
      </c>
      <c r="J119" s="129">
        <v>1.5695635948119275E-3</v>
      </c>
      <c r="K119" s="129">
        <v>2.475900656510694E-2</v>
      </c>
      <c r="L119" s="129">
        <v>4.675100567888794E-4</v>
      </c>
      <c r="M119" s="129"/>
      <c r="N119" s="129">
        <v>1.0689168524857596E-3</v>
      </c>
      <c r="O119" s="129">
        <v>1.1796541473568616E-3</v>
      </c>
    </row>
    <row r="120" spans="1:16">
      <c r="A120" s="197">
        <v>39995</v>
      </c>
      <c r="B120" s="129">
        <v>0.64204135709937937</v>
      </c>
      <c r="C120" s="129">
        <v>0.17976759761561487</v>
      </c>
      <c r="D120" s="129">
        <v>5.976930117378975E-2</v>
      </c>
      <c r="E120" s="129">
        <v>6.8147870746578298E-2</v>
      </c>
      <c r="F120" s="129">
        <v>1.0730380740299651E-2</v>
      </c>
      <c r="G120" s="129">
        <v>5.1897235613059076E-4</v>
      </c>
      <c r="H120" s="129">
        <v>1.8772808039340693E-3</v>
      </c>
      <c r="I120" s="129">
        <v>7.1821967513165325E-3</v>
      </c>
      <c r="J120" s="129">
        <v>1.6234465092236051E-3</v>
      </c>
      <c r="K120" s="129">
        <v>2.5602334288342209E-2</v>
      </c>
      <c r="L120" s="129">
        <v>4.7888619255729854E-4</v>
      </c>
      <c r="M120" s="129"/>
      <c r="N120" s="129">
        <v>1.105395566720445E-3</v>
      </c>
      <c r="O120" s="129">
        <v>1.1549801561137633E-3</v>
      </c>
    </row>
    <row r="121" spans="1:16">
      <c r="A121" s="197">
        <v>40056</v>
      </c>
      <c r="B121" s="129">
        <v>0.63677679872403492</v>
      </c>
      <c r="C121" s="129">
        <v>0.17572990544275077</v>
      </c>
      <c r="D121" s="129">
        <v>6.1325733877918467E-2</v>
      </c>
      <c r="E121" s="129">
        <v>6.6594845537285105E-2</v>
      </c>
      <c r="F121" s="129">
        <v>9.6080819350236341E-3</v>
      </c>
      <c r="G121" s="129">
        <v>0</v>
      </c>
      <c r="H121" s="129">
        <v>1.5788783304561949E-3</v>
      </c>
      <c r="I121" s="129">
        <v>4.1579456944997361E-3</v>
      </c>
      <c r="J121" s="129">
        <v>1.5912277852527369E-3</v>
      </c>
      <c r="K121" s="129">
        <v>2.5081769799306413E-2</v>
      </c>
      <c r="L121" s="129">
        <v>4.5993383982180866E-4</v>
      </c>
      <c r="M121" s="129">
        <v>1.3854158834141843E-2</v>
      </c>
      <c r="N121" s="129">
        <v>1.105395566720445E-3</v>
      </c>
      <c r="O121" s="129">
        <v>1.1549801561137633E-3</v>
      </c>
    </row>
    <row r="122" spans="1:16">
      <c r="A122" s="197">
        <v>40086</v>
      </c>
      <c r="B122" s="129">
        <v>0.6577100519080521</v>
      </c>
      <c r="C122" s="129">
        <v>0.170337074359527</v>
      </c>
      <c r="D122" s="129">
        <v>5.8855850464846364E-2</v>
      </c>
      <c r="E122" s="129">
        <v>6.4504944968539812E-2</v>
      </c>
      <c r="F122" s="129">
        <v>9.1833046856907678E-3</v>
      </c>
      <c r="G122" s="129">
        <v>0</v>
      </c>
      <c r="H122" s="129">
        <v>1.3375589216326972E-3</v>
      </c>
      <c r="I122" s="129">
        <v>4.217476106700346E-3</v>
      </c>
      <c r="J122" s="129">
        <v>1.6140098158325174E-3</v>
      </c>
      <c r="K122" s="129">
        <v>2.5441024207150484E-2</v>
      </c>
      <c r="L122" s="129">
        <v>4.5989006311334193E-4</v>
      </c>
      <c r="M122" s="129">
        <v>3.1815916186344806E-3</v>
      </c>
      <c r="N122" s="129">
        <v>1.1117160031493497E-3</v>
      </c>
      <c r="O122" s="129">
        <v>2.045506877130847E-3</v>
      </c>
    </row>
    <row r="123" spans="1:16">
      <c r="A123" s="197">
        <v>40117</v>
      </c>
      <c r="B123" s="129">
        <v>0.63766322998889025</v>
      </c>
      <c r="C123" s="129">
        <v>0.17973310614433272</v>
      </c>
      <c r="D123" s="129">
        <v>5.8728225525846195E-2</v>
      </c>
      <c r="E123" s="129">
        <v>6.7951552066292956E-2</v>
      </c>
      <c r="F123" s="129">
        <v>9.279759109118612E-3</v>
      </c>
      <c r="G123" s="129">
        <v>0</v>
      </c>
      <c r="H123" s="129">
        <v>1.0305872361011511E-3</v>
      </c>
      <c r="I123" s="129">
        <v>4.0545157515750425E-3</v>
      </c>
      <c r="J123" s="129">
        <v>1.551645594646787E-3</v>
      </c>
      <c r="K123" s="129">
        <v>2.4449003322346622E-2</v>
      </c>
      <c r="L123" s="129">
        <v>4.5092101295411907E-4</v>
      </c>
      <c r="M123" s="129">
        <v>1.1998944728390012E-2</v>
      </c>
      <c r="N123" s="129">
        <v>1.0685783522856199E-3</v>
      </c>
      <c r="O123" s="129">
        <v>2.0399311672196804E-3</v>
      </c>
    </row>
    <row r="124" spans="1:16">
      <c r="A124" s="197">
        <v>40147</v>
      </c>
      <c r="B124" s="129">
        <v>0.62080685735163765</v>
      </c>
      <c r="C124" s="129">
        <v>0.18020819732820517</v>
      </c>
      <c r="D124" s="129">
        <v>5.8505920053438701E-2</v>
      </c>
      <c r="E124" s="129">
        <v>6.5908958681934568E-2</v>
      </c>
      <c r="F124" s="129">
        <v>9.0018796805533454E-3</v>
      </c>
      <c r="G124" s="129">
        <v>0</v>
      </c>
      <c r="H124" s="129">
        <v>7.4925165808147293E-4</v>
      </c>
      <c r="I124" s="129">
        <v>3.9258781815191962E-3</v>
      </c>
      <c r="J124" s="129">
        <v>1.5024165544572942E-3</v>
      </c>
      <c r="K124" s="129">
        <v>2.3645323044712861E-2</v>
      </c>
      <c r="L124" s="129">
        <v>4.2497675681515311E-4</v>
      </c>
      <c r="M124" s="129">
        <v>3.2318752059132101E-2</v>
      </c>
      <c r="N124" s="129">
        <v>9.8525228837827031E-4</v>
      </c>
      <c r="O124" s="129">
        <v>2.0163363611342142E-3</v>
      </c>
    </row>
    <row r="125" spans="1:16">
      <c r="A125" s="197">
        <v>40178</v>
      </c>
      <c r="B125" s="129">
        <v>0.61427507185168484</v>
      </c>
      <c r="C125" s="129">
        <v>0.18036681229953519</v>
      </c>
      <c r="D125" s="129">
        <v>6.1461830778225389E-2</v>
      </c>
      <c r="E125" s="129">
        <v>6.8343446965507287E-2</v>
      </c>
      <c r="F125" s="129">
        <v>1.0040487858909687E-2</v>
      </c>
      <c r="G125" s="129">
        <v>0</v>
      </c>
      <c r="H125" s="129">
        <v>4.9323373556227682E-4</v>
      </c>
      <c r="I125" s="129">
        <v>3.8718910307562198E-3</v>
      </c>
      <c r="J125" s="129">
        <v>1.4817559059898753E-3</v>
      </c>
      <c r="K125" s="129">
        <v>2.3296574199073522E-2</v>
      </c>
      <c r="L125" s="129">
        <v>5.17184679564411E-4</v>
      </c>
      <c r="M125" s="129">
        <v>3.2950869685821421E-2</v>
      </c>
      <c r="N125" s="129">
        <v>1.0226661643419994E-3</v>
      </c>
      <c r="O125" s="129">
        <v>1.8781748450283949E-3</v>
      </c>
    </row>
    <row r="126" spans="1:16">
      <c r="A126" s="197">
        <v>40209</v>
      </c>
      <c r="B126" s="129">
        <v>0.63097572935536794</v>
      </c>
      <c r="C126" s="129">
        <v>0.17551121423736835</v>
      </c>
      <c r="D126" s="129">
        <v>5.9348942542677724E-2</v>
      </c>
      <c r="E126" s="129">
        <v>6.6324300567064898E-2</v>
      </c>
      <c r="F126" s="129">
        <v>7.3919765668316209E-4</v>
      </c>
      <c r="G126" s="129">
        <v>2.4721598262126193E-4</v>
      </c>
      <c r="H126" s="129">
        <v>9.4257347313173798E-3</v>
      </c>
      <c r="I126" s="129">
        <v>3.8631096596919625E-3</v>
      </c>
      <c r="J126" s="129">
        <v>3.9717198829017852E-4</v>
      </c>
      <c r="K126" s="129">
        <v>9.6917826069997659E-4</v>
      </c>
      <c r="L126" s="129">
        <v>2.3244262125109022E-2</v>
      </c>
      <c r="M126" s="129">
        <v>2.7183342077846992E-2</v>
      </c>
      <c r="N126" s="129">
        <v>9.6917826069997659E-4</v>
      </c>
      <c r="O126" s="129">
        <v>1.7706008152611388E-3</v>
      </c>
    </row>
    <row r="127" spans="1:16">
      <c r="A127" s="197">
        <v>40237</v>
      </c>
      <c r="B127" s="129">
        <v>0.63589263946597308</v>
      </c>
      <c r="C127" s="129">
        <v>0.1676162479086426</v>
      </c>
      <c r="D127" s="129">
        <v>5.6857465210859236E-2</v>
      </c>
      <c r="E127" s="129">
        <v>6.6216151963979591E-2</v>
      </c>
      <c r="F127" s="129">
        <v>9.2729642530004694E-3</v>
      </c>
      <c r="G127" s="129">
        <v>0</v>
      </c>
      <c r="H127" s="129">
        <v>2.5026184802063738E-4</v>
      </c>
      <c r="I127" s="129">
        <v>3.8965317881907093E-3</v>
      </c>
      <c r="J127" s="129">
        <v>7.4559290849944299E-4</v>
      </c>
      <c r="K127" s="129">
        <v>2.3530646900843156E-2</v>
      </c>
      <c r="L127" s="129">
        <v>3.9498958554867416E-4</v>
      </c>
      <c r="M127" s="129">
        <v>3.2649151188392962E-2</v>
      </c>
      <c r="N127" s="129">
        <v>9.5001459355332097E-4</v>
      </c>
      <c r="O127" s="129">
        <v>1.7273423844959539E-3</v>
      </c>
      <c r="P127" s="95"/>
    </row>
    <row r="128" spans="1:16">
      <c r="A128" s="197">
        <v>40268</v>
      </c>
      <c r="B128" s="129">
        <v>0.64871385987671759</v>
      </c>
      <c r="C128" s="129">
        <v>0.16694187802429142</v>
      </c>
      <c r="D128" s="129">
        <v>5.634066847470523E-2</v>
      </c>
      <c r="E128" s="129">
        <v>6.6494537135392648E-2</v>
      </c>
      <c r="F128" s="129">
        <v>9.206432299324975E-3</v>
      </c>
      <c r="G128" s="129">
        <v>0</v>
      </c>
      <c r="H128" s="129">
        <v>0</v>
      </c>
      <c r="I128" s="129">
        <v>3.8842977533365308E-3</v>
      </c>
      <c r="J128" s="129">
        <v>7.432519524581615E-4</v>
      </c>
      <c r="K128" s="129">
        <v>2.2988830330203481E-2</v>
      </c>
      <c r="L128" s="129">
        <v>3.8108545008419396E-4</v>
      </c>
      <c r="M128" s="129">
        <v>2.1694328915085302E-2</v>
      </c>
      <c r="N128" s="129">
        <v>9.4668138635893876E-4</v>
      </c>
      <c r="O128" s="129">
        <v>1.6641484020416305E-3</v>
      </c>
      <c r="P128" s="128"/>
    </row>
    <row r="129" spans="1:15">
      <c r="A129" s="197">
        <v>40298</v>
      </c>
      <c r="B129" s="129">
        <v>0.64685575752155322</v>
      </c>
      <c r="C129" s="129">
        <v>0.17375358719940082</v>
      </c>
      <c r="D129" s="129">
        <v>5.6492811375424702E-2</v>
      </c>
      <c r="E129" s="129">
        <v>7.2199613201336416E-2</v>
      </c>
      <c r="F129" s="129">
        <v>9.2111613049565798E-3</v>
      </c>
      <c r="G129" s="129">
        <v>0</v>
      </c>
      <c r="H129" s="129">
        <v>0</v>
      </c>
      <c r="I129" s="129">
        <v>2.2162458941571064E-3</v>
      </c>
      <c r="J129" s="129">
        <v>0</v>
      </c>
      <c r="K129" s="129">
        <v>2.2638527337799978E-2</v>
      </c>
      <c r="L129" s="129">
        <v>0</v>
      </c>
      <c r="M129" s="129">
        <v>1.2914735124440545E-2</v>
      </c>
      <c r="N129" s="129">
        <v>2.0174120402433248E-3</v>
      </c>
      <c r="O129" s="129">
        <v>1.7001490006872159E-3</v>
      </c>
    </row>
    <row r="130" spans="1:15">
      <c r="A130" s="197">
        <v>40329</v>
      </c>
      <c r="B130" s="129">
        <v>0.6615032853799333</v>
      </c>
      <c r="C130" s="129">
        <v>0.17432750337452133</v>
      </c>
      <c r="D130" s="129">
        <v>5.5381348002243189E-2</v>
      </c>
      <c r="E130" s="129">
        <v>7.1409327632085157E-2</v>
      </c>
      <c r="F130" s="129">
        <v>9.243362823996383E-3</v>
      </c>
      <c r="G130" s="129">
        <v>0</v>
      </c>
      <c r="H130" s="129">
        <v>0</v>
      </c>
      <c r="I130" s="129">
        <v>1.3905709121280485E-3</v>
      </c>
      <c r="J130" s="129">
        <v>0</v>
      </c>
      <c r="K130" s="129">
        <v>2.2133910287858917E-2</v>
      </c>
      <c r="L130" s="129">
        <v>0</v>
      </c>
      <c r="M130" s="129">
        <v>9.0508074735139578E-4</v>
      </c>
      <c r="N130" s="129">
        <v>2.0337285263266444E-3</v>
      </c>
      <c r="O130" s="129">
        <v>1.6718823135558577E-3</v>
      </c>
    </row>
    <row r="131" spans="1:15">
      <c r="A131" s="197">
        <v>40359</v>
      </c>
      <c r="B131" s="129">
        <v>0.66848992517079486</v>
      </c>
      <c r="C131" s="129">
        <v>0.1696271302898533</v>
      </c>
      <c r="D131" s="129">
        <v>5.3639060535637148E-2</v>
      </c>
      <c r="E131" s="129">
        <v>7.007288443407314E-2</v>
      </c>
      <c r="F131" s="129">
        <v>9.107880172548051E-3</v>
      </c>
      <c r="G131" s="129">
        <v>0</v>
      </c>
      <c r="H131" s="129">
        <v>0</v>
      </c>
      <c r="I131" s="129">
        <v>1.3862130990569012E-3</v>
      </c>
      <c r="J131" s="129">
        <v>0</v>
      </c>
      <c r="K131" s="129">
        <v>2.2133910287858917E-2</v>
      </c>
      <c r="L131" s="129">
        <v>0</v>
      </c>
      <c r="M131" s="129">
        <v>2.2892135537864863E-3</v>
      </c>
      <c r="N131" s="129">
        <v>2.022774654224283E-3</v>
      </c>
      <c r="O131" s="129">
        <v>1.517362603937734E-3</v>
      </c>
    </row>
    <row r="132" spans="1:15">
      <c r="A132" s="197">
        <v>40390</v>
      </c>
      <c r="B132" s="129">
        <v>0.6821937868217347</v>
      </c>
      <c r="C132" s="129">
        <v>0.16186819219137599</v>
      </c>
      <c r="D132" s="129">
        <v>5.1681724577896812E-2</v>
      </c>
      <c r="E132" s="129">
        <v>6.8111150154729586E-2</v>
      </c>
      <c r="F132" s="129">
        <v>8.5026106084939643E-3</v>
      </c>
      <c r="G132" s="129">
        <v>0</v>
      </c>
      <c r="H132" s="129">
        <v>0</v>
      </c>
      <c r="I132" s="129">
        <v>1.3867807345309053E-3</v>
      </c>
      <c r="J132" s="129">
        <v>0</v>
      </c>
      <c r="K132" s="129">
        <v>2.1575392919553599E-2</v>
      </c>
      <c r="L132" s="129">
        <v>0</v>
      </c>
      <c r="M132" s="129">
        <v>8.8571576407994767E-4</v>
      </c>
      <c r="N132" s="129">
        <v>2.0169429779467395E-3</v>
      </c>
      <c r="O132" s="129">
        <v>1.777703249657731E-3</v>
      </c>
    </row>
    <row r="133" spans="1:15">
      <c r="A133" s="197">
        <v>40421</v>
      </c>
      <c r="B133" s="129">
        <v>0.68507085434426296</v>
      </c>
      <c r="C133" s="129">
        <v>0.16290788069134057</v>
      </c>
      <c r="D133" s="129">
        <v>5.0563191456255117E-2</v>
      </c>
      <c r="E133" s="129">
        <v>6.6266676774637254E-2</v>
      </c>
      <c r="F133" s="129">
        <v>8.1645190232636465E-3</v>
      </c>
      <c r="G133" s="129">
        <v>0</v>
      </c>
      <c r="H133" s="129">
        <v>0</v>
      </c>
      <c r="I133" s="129">
        <v>1.3626131310523857E-3</v>
      </c>
      <c r="J133" s="129">
        <v>0</v>
      </c>
      <c r="K133" s="129">
        <v>2.0897011345013608E-2</v>
      </c>
      <c r="L133" s="129">
        <v>0</v>
      </c>
      <c r="M133" s="129">
        <v>1.0682292419506346E-3</v>
      </c>
      <c r="N133" s="129">
        <v>1.9733439739717628E-3</v>
      </c>
      <c r="O133" s="129">
        <v>1.725680018252384E-3</v>
      </c>
    </row>
    <row r="134" spans="1:15">
      <c r="A134" s="197">
        <v>40451</v>
      </c>
      <c r="B134" s="129">
        <v>0.68454085718459745</v>
      </c>
      <c r="C134" s="129">
        <v>0.16357792154829587</v>
      </c>
      <c r="D134" s="129">
        <v>5.065259945449626E-2</v>
      </c>
      <c r="E134" s="129">
        <v>6.7354906707439349E-2</v>
      </c>
      <c r="F134" s="129">
        <v>8.1437430814550339E-3</v>
      </c>
      <c r="G134" s="129">
        <v>0</v>
      </c>
      <c r="H134" s="129">
        <v>0</v>
      </c>
      <c r="I134" s="129">
        <v>0</v>
      </c>
      <c r="J134" s="129">
        <v>0</v>
      </c>
      <c r="K134" s="129">
        <v>2.0868986275132916E-2</v>
      </c>
      <c r="L134" s="129">
        <v>0</v>
      </c>
      <c r="M134" s="129">
        <v>1.1243902760258659E-3</v>
      </c>
      <c r="N134" s="129">
        <v>1.9918154953498034E-3</v>
      </c>
      <c r="O134" s="129">
        <v>1.7447799772075986E-3</v>
      </c>
    </row>
    <row r="135" spans="1:15">
      <c r="A135" s="197">
        <v>40482</v>
      </c>
      <c r="B135" s="129">
        <v>0.68313712918158143</v>
      </c>
      <c r="C135" s="129">
        <v>0.16347323224699276</v>
      </c>
      <c r="D135" s="129">
        <v>5.1636065438849126E-2</v>
      </c>
      <c r="E135" s="129">
        <v>6.7420932587519855E-2</v>
      </c>
      <c r="F135" s="129">
        <v>9.6873724157329824E-3</v>
      </c>
      <c r="G135" s="129">
        <v>0</v>
      </c>
      <c r="H135" s="129">
        <v>0</v>
      </c>
      <c r="I135" s="129">
        <v>0</v>
      </c>
      <c r="J135" s="129">
        <v>0</v>
      </c>
      <c r="K135" s="129">
        <v>2.0169461874986618E-2</v>
      </c>
      <c r="L135" s="129">
        <v>0</v>
      </c>
      <c r="M135" s="129">
        <v>7.6230469099656585E-4</v>
      </c>
      <c r="N135" s="129">
        <v>1.9562108090692885E-3</v>
      </c>
      <c r="O135" s="129">
        <v>1.7572907542713792E-3</v>
      </c>
    </row>
    <row r="136" spans="1:15">
      <c r="A136" s="197">
        <v>40512</v>
      </c>
      <c r="B136" s="129">
        <v>0.66457916876296341</v>
      </c>
      <c r="C136" s="129">
        <v>0.16581374643126509</v>
      </c>
      <c r="D136" s="129">
        <v>5.3813311659909081E-2</v>
      </c>
      <c r="E136" s="129">
        <v>6.7335643649522339E-2</v>
      </c>
      <c r="F136" s="129">
        <v>9.9550579859700016E-3</v>
      </c>
      <c r="G136" s="129">
        <v>0</v>
      </c>
      <c r="H136" s="129">
        <v>0</v>
      </c>
      <c r="I136" s="129">
        <v>0</v>
      </c>
      <c r="J136" s="129">
        <v>0</v>
      </c>
      <c r="K136" s="129">
        <v>1.9179014321484499E-3</v>
      </c>
      <c r="L136" s="129">
        <v>0</v>
      </c>
      <c r="M136" s="129">
        <v>1.9179014321484499E-3</v>
      </c>
      <c r="N136" s="129">
        <v>1.9205426500116041E-3</v>
      </c>
      <c r="O136" s="129">
        <v>1.7739801455263189E-3</v>
      </c>
    </row>
    <row r="137" spans="1:15">
      <c r="A137" s="197">
        <v>40543</v>
      </c>
      <c r="B137" s="129">
        <v>0.64756862246277791</v>
      </c>
      <c r="C137" s="129">
        <v>0.15993610725752047</v>
      </c>
      <c r="D137" s="129">
        <v>5.2933332193696662E-2</v>
      </c>
      <c r="E137" s="129">
        <v>6.7001743565384062E-2</v>
      </c>
      <c r="F137" s="129">
        <v>9.4889577542311594E-3</v>
      </c>
      <c r="G137" s="129">
        <v>0</v>
      </c>
      <c r="H137" s="129">
        <v>0</v>
      </c>
      <c r="I137" s="129">
        <v>0</v>
      </c>
      <c r="J137" s="129">
        <v>9.5572696914104274E-3</v>
      </c>
      <c r="K137" s="129">
        <v>2.9496348684508547E-3</v>
      </c>
      <c r="L137" s="129">
        <v>0</v>
      </c>
      <c r="M137" s="129">
        <v>2.9496348684508547E-3</v>
      </c>
      <c r="N137" s="129">
        <v>1.9179014321484499E-3</v>
      </c>
      <c r="O137" s="129">
        <v>2.9496348684508547E-3</v>
      </c>
    </row>
    <row r="138" spans="1:15">
      <c r="A138" s="197">
        <v>40574</v>
      </c>
      <c r="B138" s="129">
        <v>0.67918321523631331</v>
      </c>
      <c r="C138" s="129">
        <v>0.16160322539890509</v>
      </c>
      <c r="D138" s="129">
        <v>5.3521984203736259E-2</v>
      </c>
      <c r="E138" s="129">
        <v>6.7619619142726795E-2</v>
      </c>
      <c r="F138" s="129">
        <v>9.339345392317653E-3</v>
      </c>
      <c r="G138" s="129">
        <v>0</v>
      </c>
      <c r="H138" s="129">
        <v>0</v>
      </c>
      <c r="I138" s="129">
        <v>0</v>
      </c>
      <c r="J138" s="129">
        <v>9.9315637950522307E-4</v>
      </c>
      <c r="K138" s="129">
        <v>2.201909012327416E-2</v>
      </c>
      <c r="L138" s="129">
        <v>0</v>
      </c>
      <c r="M138" s="129">
        <v>1.7579991451548962E-3</v>
      </c>
      <c r="N138" s="129">
        <v>1.9866096282431123E-3</v>
      </c>
      <c r="O138" s="129">
        <v>2.9689117293288628E-3</v>
      </c>
    </row>
    <row r="139" spans="1:15">
      <c r="A139" s="197">
        <v>40602</v>
      </c>
      <c r="B139" s="129">
        <v>0.68031606554081647</v>
      </c>
      <c r="C139" s="129">
        <v>0.16171597234515267</v>
      </c>
      <c r="D139" s="129">
        <v>5.3781121120508688E-2</v>
      </c>
      <c r="E139" s="129">
        <v>6.7676319115791472E-2</v>
      </c>
      <c r="F139" s="129">
        <v>9.2276310357658712E-3</v>
      </c>
      <c r="G139" s="129">
        <v>0</v>
      </c>
      <c r="H139" s="129">
        <v>0</v>
      </c>
      <c r="I139" s="129">
        <v>0</v>
      </c>
      <c r="J139" s="129">
        <v>0</v>
      </c>
      <c r="K139" s="129">
        <v>2.1553728000317924E-2</v>
      </c>
      <c r="L139" s="129">
        <v>0</v>
      </c>
      <c r="M139" s="129">
        <v>9.0749999829272754E-4</v>
      </c>
      <c r="N139" s="129">
        <v>1.8304974343296119E-3</v>
      </c>
      <c r="O139" s="129">
        <v>2.9911654090245179E-3</v>
      </c>
    </row>
    <row r="140" spans="1:15">
      <c r="A140" s="197">
        <v>40633</v>
      </c>
      <c r="B140" s="129">
        <v>0.68750131635018863</v>
      </c>
      <c r="C140" s="129">
        <v>0.15968478198666244</v>
      </c>
      <c r="D140" s="129">
        <v>5.3007813931494153E-2</v>
      </c>
      <c r="E140" s="129">
        <v>6.6719555156116855E-2</v>
      </c>
      <c r="F140" s="129">
        <v>9.0775830767433341E-3</v>
      </c>
      <c r="G140" s="129">
        <v>0</v>
      </c>
      <c r="H140" s="129">
        <v>0</v>
      </c>
      <c r="I140" s="129">
        <v>0</v>
      </c>
      <c r="J140" s="129">
        <v>0</v>
      </c>
      <c r="K140" s="129">
        <v>1.8330035814548562E-2</v>
      </c>
      <c r="L140" s="129">
        <v>0</v>
      </c>
      <c r="M140" s="129">
        <v>9.5534905044489021E-4</v>
      </c>
      <c r="N140" s="129">
        <v>1.7760135537575777E-3</v>
      </c>
      <c r="O140" s="129">
        <v>2.9475510800435339E-3</v>
      </c>
    </row>
    <row r="141" spans="1:15">
      <c r="A141" s="197">
        <v>40663</v>
      </c>
      <c r="B141" s="129">
        <v>0.70269319973642119</v>
      </c>
      <c r="C141" s="129">
        <v>0.15194919237221965</v>
      </c>
      <c r="D141" s="129">
        <v>4.9735686494178581E-2</v>
      </c>
      <c r="E141" s="129">
        <v>6.3499723791279258E-2</v>
      </c>
      <c r="F141" s="129">
        <v>8.5166518563855528E-3</v>
      </c>
      <c r="G141" s="129">
        <v>0</v>
      </c>
      <c r="H141" s="129">
        <v>0</v>
      </c>
      <c r="I141" s="129">
        <v>0</v>
      </c>
      <c r="J141" s="129">
        <v>0</v>
      </c>
      <c r="K141" s="129">
        <v>1.8072234187508553E-2</v>
      </c>
      <c r="L141" s="129">
        <v>0</v>
      </c>
      <c r="M141" s="129">
        <v>9.9923889912837999E-4</v>
      </c>
      <c r="N141" s="129">
        <v>1.7646485250403152E-3</v>
      </c>
      <c r="O141" s="129">
        <v>2.7694241378385101E-3</v>
      </c>
    </row>
    <row r="142" spans="1:15">
      <c r="A142" s="197">
        <v>40694</v>
      </c>
      <c r="B142" s="129">
        <v>0.69462634145753266</v>
      </c>
      <c r="C142" s="129">
        <v>0.15579464423102379</v>
      </c>
      <c r="D142" s="129">
        <v>5.127266531791682E-2</v>
      </c>
      <c r="E142" s="129">
        <v>6.5794938330863861E-2</v>
      </c>
      <c r="F142" s="129">
        <v>8.9595928047342364E-3</v>
      </c>
      <c r="G142" s="129">
        <v>0</v>
      </c>
      <c r="H142" s="129">
        <v>0</v>
      </c>
      <c r="I142" s="129">
        <v>0</v>
      </c>
      <c r="J142" s="129">
        <v>0</v>
      </c>
      <c r="K142" s="129">
        <v>1.825110642556892E-2</v>
      </c>
      <c r="L142" s="129">
        <v>0</v>
      </c>
      <c r="M142" s="129">
        <v>1.0851722720230503E-3</v>
      </c>
      <c r="N142" s="129">
        <v>1.3170194416291729E-3</v>
      </c>
      <c r="O142" s="129">
        <v>2.898519718707433E-3</v>
      </c>
    </row>
    <row r="143" spans="1:15">
      <c r="A143" s="197">
        <v>40724</v>
      </c>
      <c r="B143" s="129">
        <v>0.69928204534159011</v>
      </c>
      <c r="C143" s="129">
        <v>0.15319855982188688</v>
      </c>
      <c r="D143" s="129">
        <v>5.024463692167002E-2</v>
      </c>
      <c r="E143" s="129">
        <v>6.482213865977593E-2</v>
      </c>
      <c r="F143" s="129">
        <v>9.0523766694515072E-3</v>
      </c>
      <c r="G143" s="129">
        <v>0</v>
      </c>
      <c r="H143" s="129">
        <v>0</v>
      </c>
      <c r="I143" s="129">
        <v>0</v>
      </c>
      <c r="J143" s="129">
        <v>0</v>
      </c>
      <c r="K143" s="129">
        <v>1.8041936325727263E-2</v>
      </c>
      <c r="L143" s="129">
        <v>0</v>
      </c>
      <c r="M143" s="129">
        <v>1.2050972196234659E-3</v>
      </c>
      <c r="N143" s="129">
        <v>1.3084247892438316E-3</v>
      </c>
      <c r="O143" s="129">
        <v>2.844784251030949E-3</v>
      </c>
    </row>
    <row r="144" spans="1:15">
      <c r="A144" s="197">
        <v>40755</v>
      </c>
      <c r="B144" s="129">
        <v>0.69086381403802422</v>
      </c>
      <c r="C144" s="129">
        <v>0.16649344535022564</v>
      </c>
      <c r="D144" s="129">
        <v>4.8668492986754665E-2</v>
      </c>
      <c r="E144" s="129">
        <v>6.2835876064690904E-2</v>
      </c>
      <c r="F144" s="129">
        <v>8.5338530054598453E-3</v>
      </c>
      <c r="G144" s="129">
        <v>0</v>
      </c>
      <c r="H144" s="129">
        <v>0</v>
      </c>
      <c r="I144" s="129">
        <v>0</v>
      </c>
      <c r="J144" s="129">
        <v>0</v>
      </c>
      <c r="K144" s="129">
        <v>1.7328282305659613E-2</v>
      </c>
      <c r="L144" s="129">
        <v>0</v>
      </c>
      <c r="M144" s="129">
        <v>1.2521354652251368E-3</v>
      </c>
      <c r="N144" s="129">
        <v>1.2723876200204352E-3</v>
      </c>
      <c r="O144" s="129">
        <v>2.7517131639396724E-3</v>
      </c>
    </row>
    <row r="145" spans="1:15">
      <c r="A145" s="197">
        <v>40786</v>
      </c>
      <c r="B145" s="129">
        <v>0.69407819184134212</v>
      </c>
      <c r="C145" s="129">
        <v>0.16498898277142662</v>
      </c>
      <c r="D145" s="129">
        <v>4.8324247255816868E-2</v>
      </c>
      <c r="E145" s="129">
        <v>6.2145572132002488E-2</v>
      </c>
      <c r="F145" s="129">
        <v>8.3138429153181755E-3</v>
      </c>
      <c r="G145" s="129">
        <v>0</v>
      </c>
      <c r="H145" s="129">
        <v>0</v>
      </c>
      <c r="I145" s="129">
        <v>0</v>
      </c>
      <c r="J145" s="129">
        <v>0</v>
      </c>
      <c r="K145" s="129">
        <v>1.6816441577242842E-2</v>
      </c>
      <c r="L145" s="129">
        <v>0</v>
      </c>
      <c r="M145" s="129">
        <v>1.3078909493786425E-3</v>
      </c>
      <c r="N145" s="129">
        <v>1.3149884638813925E-3</v>
      </c>
      <c r="O145" s="129">
        <v>2.709842093590873E-3</v>
      </c>
    </row>
    <row r="146" spans="1:15">
      <c r="A146" s="197">
        <v>40816</v>
      </c>
      <c r="B146" s="129">
        <v>0.68142914901623308</v>
      </c>
      <c r="C146" s="129">
        <v>0.17207180814395509</v>
      </c>
      <c r="D146" s="129">
        <v>5.1142982935503893E-2</v>
      </c>
      <c r="E146" s="129">
        <v>6.484217352235587E-2</v>
      </c>
      <c r="F146" s="129">
        <v>8.7816866299508505E-3</v>
      </c>
      <c r="G146" s="129">
        <v>0</v>
      </c>
      <c r="H146" s="129">
        <v>0</v>
      </c>
      <c r="I146" s="129">
        <v>0</v>
      </c>
      <c r="J146" s="129">
        <v>0</v>
      </c>
      <c r="K146" s="129">
        <v>1.6185187695691276E-2</v>
      </c>
      <c r="L146" s="129">
        <v>0</v>
      </c>
      <c r="M146" s="129">
        <v>1.3799115113091937E-3</v>
      </c>
      <c r="N146" s="129">
        <v>1.3392075211942299E-3</v>
      </c>
      <c r="O146" s="129">
        <v>2.8278930238065155E-3</v>
      </c>
    </row>
    <row r="147" spans="1:15">
      <c r="A147" s="197">
        <v>40847</v>
      </c>
      <c r="B147" s="129">
        <v>0.68945727999930706</v>
      </c>
      <c r="C147" s="129">
        <v>0.16726895841347786</v>
      </c>
      <c r="D147" s="129">
        <v>4.9380097823313207E-2</v>
      </c>
      <c r="E147" s="129">
        <v>6.307457128843473E-2</v>
      </c>
      <c r="F147" s="129">
        <v>9.5755511230839873E-3</v>
      </c>
      <c r="G147" s="129">
        <v>0</v>
      </c>
      <c r="H147" s="129">
        <v>0</v>
      </c>
      <c r="I147" s="129">
        <v>0</v>
      </c>
      <c r="J147" s="129">
        <v>0</v>
      </c>
      <c r="K147" s="129">
        <v>1.5949666357149592E-2</v>
      </c>
      <c r="L147" s="129">
        <v>0</v>
      </c>
      <c r="M147" s="129">
        <v>1.1807008218506596E-3</v>
      </c>
      <c r="N147" s="129">
        <v>1.3368436366892184E-3</v>
      </c>
      <c r="O147" s="129">
        <v>2.7763305366937017E-3</v>
      </c>
    </row>
    <row r="148" spans="1:15">
      <c r="A148" s="197">
        <v>40877</v>
      </c>
      <c r="B148" s="129">
        <v>0.67998655793128659</v>
      </c>
      <c r="C148" s="129">
        <v>0.17158336814603325</v>
      </c>
      <c r="D148" s="129">
        <v>5.3133982670256263E-2</v>
      </c>
      <c r="E148" s="129">
        <v>6.3945619688619185E-2</v>
      </c>
      <c r="F148" s="129">
        <v>9.9764733083740065E-3</v>
      </c>
      <c r="G148" s="129">
        <v>0</v>
      </c>
      <c r="H148" s="129">
        <v>0</v>
      </c>
      <c r="I148" s="129">
        <v>0</v>
      </c>
      <c r="J148" s="129">
        <v>0</v>
      </c>
      <c r="K148" s="129">
        <v>1.5696658709989479E-2</v>
      </c>
      <c r="L148" s="129">
        <v>0</v>
      </c>
      <c r="M148" s="129">
        <v>1.5173649705145622E-3</v>
      </c>
      <c r="N148" s="129">
        <v>1.3090653579238985E-3</v>
      </c>
      <c r="O148" s="129">
        <v>2.8509092170025578E-3</v>
      </c>
    </row>
    <row r="149" spans="1:15">
      <c r="A149" s="197">
        <v>40878</v>
      </c>
      <c r="B149" s="129">
        <v>0.67512356029394771</v>
      </c>
      <c r="C149" s="129">
        <v>0.16714742205995886</v>
      </c>
      <c r="D149" s="129">
        <v>5.2918541198182137E-2</v>
      </c>
      <c r="E149" s="129">
        <v>6.5133750636524157E-2</v>
      </c>
      <c r="F149" s="129">
        <v>1.0042887872037895E-2</v>
      </c>
      <c r="G149" s="129">
        <v>0</v>
      </c>
      <c r="H149" s="129">
        <v>0</v>
      </c>
      <c r="I149" s="129">
        <v>0</v>
      </c>
      <c r="J149" s="129">
        <v>0</v>
      </c>
      <c r="K149" s="129">
        <v>1.5520130407887297E-2</v>
      </c>
      <c r="L149" s="129">
        <v>0</v>
      </c>
      <c r="M149" s="129">
        <v>1.0017973146617686E-2</v>
      </c>
      <c r="N149" s="129">
        <v>1.3308720263428097E-3</v>
      </c>
      <c r="O149" s="129">
        <v>2.7648623585017564E-3</v>
      </c>
    </row>
    <row r="150" spans="1:15">
      <c r="A150" s="197">
        <v>40909</v>
      </c>
      <c r="B150" s="129">
        <v>0.69408921456209127</v>
      </c>
      <c r="C150" s="129">
        <v>0.162330133640186</v>
      </c>
      <c r="D150" s="129">
        <v>5.0544844234632451E-2</v>
      </c>
      <c r="E150" s="129">
        <v>6.2969558231260908E-2</v>
      </c>
      <c r="F150" s="129">
        <v>9.3738261006377777E-3</v>
      </c>
      <c r="G150" s="129">
        <v>0</v>
      </c>
      <c r="H150" s="129">
        <v>0</v>
      </c>
      <c r="I150" s="129">
        <v>0</v>
      </c>
      <c r="J150" s="129">
        <v>0</v>
      </c>
      <c r="K150" s="129">
        <v>1.5068098939071791E-2</v>
      </c>
      <c r="L150" s="129">
        <v>0</v>
      </c>
      <c r="M150" s="129">
        <v>1.6918922572935632E-3</v>
      </c>
      <c r="N150" s="129">
        <v>1.2560284453961212E-3</v>
      </c>
      <c r="O150" s="129">
        <v>2.6764035894300373E-3</v>
      </c>
    </row>
    <row r="151" spans="1:15">
      <c r="A151" s="197">
        <v>40940</v>
      </c>
      <c r="B151" s="129">
        <v>0.70309338026070356</v>
      </c>
      <c r="C151" s="129">
        <v>0.15751204360880744</v>
      </c>
      <c r="D151" s="129">
        <v>4.8972620346431579E-2</v>
      </c>
      <c r="E151" s="129">
        <v>6.112625674538566E-2</v>
      </c>
      <c r="F151" s="129">
        <v>8.9318672876154467E-3</v>
      </c>
      <c r="G151" s="129">
        <v>0</v>
      </c>
      <c r="H151" s="129">
        <v>0</v>
      </c>
      <c r="I151" s="129">
        <v>0</v>
      </c>
      <c r="J151" s="129">
        <v>0</v>
      </c>
      <c r="K151" s="129">
        <v>1.4765215992612239E-2</v>
      </c>
      <c r="L151" s="129">
        <v>0</v>
      </c>
      <c r="M151" s="129">
        <v>1.7659313592196461E-3</v>
      </c>
      <c r="N151" s="129">
        <v>1.2568322796886156E-3</v>
      </c>
      <c r="O151" s="129">
        <v>2.575852119535706E-3</v>
      </c>
    </row>
    <row r="152" spans="1:15">
      <c r="A152" s="197">
        <v>40969</v>
      </c>
      <c r="B152" s="129">
        <v>0.70236933115174927</v>
      </c>
      <c r="C152" s="129">
        <v>0.15796510419355736</v>
      </c>
      <c r="D152" s="129">
        <v>4.9295094903462844E-2</v>
      </c>
      <c r="E152" s="129">
        <v>6.1273659638957707E-2</v>
      </c>
      <c r="F152" s="129">
        <v>8.9740318825892573E-3</v>
      </c>
      <c r="G152" s="129">
        <v>0</v>
      </c>
      <c r="H152" s="129">
        <v>0</v>
      </c>
      <c r="I152" s="129">
        <v>0</v>
      </c>
      <c r="J152" s="129">
        <v>0</v>
      </c>
      <c r="K152" s="129">
        <v>1.4535429100178866E-2</v>
      </c>
      <c r="L152" s="129">
        <v>0</v>
      </c>
      <c r="M152" s="129">
        <v>1.7704375267291197E-3</v>
      </c>
      <c r="N152" s="129">
        <v>1.2502069304769936E-3</v>
      </c>
      <c r="O152" s="129">
        <v>2.5667046722984707E-3</v>
      </c>
    </row>
    <row r="153" spans="1:15">
      <c r="A153" s="197">
        <v>41000</v>
      </c>
      <c r="B153" s="129">
        <v>0.70394126593159989</v>
      </c>
      <c r="C153" s="129">
        <v>0.15744916911011039</v>
      </c>
      <c r="D153" s="129">
        <v>4.8860636092088953E-2</v>
      </c>
      <c r="E153" s="129">
        <v>6.093028688946657E-2</v>
      </c>
      <c r="F153" s="129">
        <v>8.9001428298468768E-3</v>
      </c>
      <c r="G153" s="129">
        <v>0</v>
      </c>
      <c r="H153" s="129">
        <v>0</v>
      </c>
      <c r="I153" s="129">
        <v>0</v>
      </c>
      <c r="J153" s="129">
        <v>0</v>
      </c>
      <c r="K153" s="129">
        <v>1.4351838888645689E-2</v>
      </c>
      <c r="L153" s="129">
        <v>0</v>
      </c>
      <c r="M153" s="129">
        <v>1.779249234333714E-3</v>
      </c>
      <c r="N153" s="129">
        <v>1.2484332683762624E-3</v>
      </c>
      <c r="O153" s="129">
        <v>2.5389777555316988E-3</v>
      </c>
    </row>
    <row r="154" spans="1:15">
      <c r="A154" s="197">
        <v>41030</v>
      </c>
      <c r="B154" s="129">
        <v>0.70199175214557041</v>
      </c>
      <c r="C154" s="129">
        <v>0.1611289109012646</v>
      </c>
      <c r="D154" s="129">
        <v>4.9300140446096707E-2</v>
      </c>
      <c r="E154" s="129">
        <v>6.1680589812203972E-2</v>
      </c>
      <c r="F154" s="129">
        <v>9.1622552148337612E-3</v>
      </c>
      <c r="G154" s="129">
        <v>0</v>
      </c>
      <c r="H154" s="129">
        <v>0</v>
      </c>
      <c r="I154" s="129">
        <v>0</v>
      </c>
      <c r="J154" s="129">
        <v>0</v>
      </c>
      <c r="K154" s="129">
        <v>1.4268166559143213E-2</v>
      </c>
      <c r="L154" s="129">
        <v>0</v>
      </c>
      <c r="M154" s="129">
        <v>1.7794857605387786E-3</v>
      </c>
      <c r="N154" s="129">
        <v>1.2391684900893458E-3</v>
      </c>
      <c r="O154" s="129">
        <v>2.5962646917592129E-3</v>
      </c>
    </row>
    <row r="155" spans="1:15">
      <c r="A155" s="197">
        <v>41061</v>
      </c>
      <c r="B155" s="129">
        <v>0.70199175214557041</v>
      </c>
      <c r="C155" s="129">
        <v>0.15997748899097633</v>
      </c>
      <c r="D155" s="129">
        <v>4.861651883249582E-2</v>
      </c>
      <c r="E155" s="129">
        <v>6.1080209768687867E-2</v>
      </c>
      <c r="F155" s="129">
        <v>9.0259913607664624E-3</v>
      </c>
      <c r="G155" s="129">
        <v>0</v>
      </c>
      <c r="H155" s="129">
        <v>0</v>
      </c>
      <c r="I155" s="129">
        <v>0</v>
      </c>
      <c r="J155" s="129">
        <v>0</v>
      </c>
      <c r="K155" s="129">
        <v>1.375034582882328E-2</v>
      </c>
      <c r="L155" s="129">
        <v>0</v>
      </c>
      <c r="M155" s="129">
        <v>1.7863955501707456E-3</v>
      </c>
      <c r="N155" s="129">
        <v>1.2226824333447378E-3</v>
      </c>
      <c r="O155" s="129">
        <v>2.548615089164341E-3</v>
      </c>
    </row>
    <row r="156" spans="1:15">
      <c r="A156" s="197">
        <v>41091</v>
      </c>
      <c r="B156" s="129">
        <v>0.70686245515136426</v>
      </c>
      <c r="C156" s="129">
        <v>0.15769278678874932</v>
      </c>
      <c r="D156" s="129">
        <v>4.7820758099850154E-2</v>
      </c>
      <c r="E156" s="129">
        <v>6.01350810287185E-2</v>
      </c>
      <c r="F156" s="129">
        <v>8.6019915209408666E-3</v>
      </c>
      <c r="G156" s="129">
        <v>0</v>
      </c>
      <c r="H156" s="129">
        <v>0</v>
      </c>
      <c r="I156" s="129">
        <v>0</v>
      </c>
      <c r="J156" s="129">
        <v>0</v>
      </c>
      <c r="K156" s="129">
        <v>1.340017529752693E-2</v>
      </c>
      <c r="L156" s="129">
        <v>0</v>
      </c>
      <c r="M156" s="129">
        <v>1.7764579716460966E-3</v>
      </c>
      <c r="N156" s="129">
        <v>1.2132327992866389E-3</v>
      </c>
      <c r="O156" s="129">
        <v>2.497061341917147E-3</v>
      </c>
    </row>
    <row r="157" spans="1:15">
      <c r="A157" s="197">
        <v>41122</v>
      </c>
      <c r="B157" s="129">
        <v>0.70023002285240799</v>
      </c>
      <c r="C157" s="129">
        <v>0.16130488249269198</v>
      </c>
      <c r="D157" s="129">
        <v>4.921707396888568E-2</v>
      </c>
      <c r="E157" s="129">
        <v>6.1483067354185059E-2</v>
      </c>
      <c r="F157" s="129">
        <v>8.6999992952439074E-3</v>
      </c>
      <c r="G157" s="129">
        <v>0</v>
      </c>
      <c r="H157" s="129">
        <v>0</v>
      </c>
      <c r="I157" s="129">
        <v>0</v>
      </c>
      <c r="J157" s="129">
        <v>0</v>
      </c>
      <c r="K157" s="129">
        <v>1.3467535485508934E-2</v>
      </c>
      <c r="L157" s="129">
        <v>0</v>
      </c>
      <c r="M157" s="129">
        <v>1.7848813497723733E-3</v>
      </c>
      <c r="N157" s="129">
        <v>1.2378367111123528E-3</v>
      </c>
      <c r="O157" s="129">
        <v>2.5747004901918715E-3</v>
      </c>
    </row>
    <row r="158" spans="1:15">
      <c r="A158" s="197">
        <v>41182</v>
      </c>
      <c r="B158" s="129">
        <v>0.70151703842007773</v>
      </c>
      <c r="C158" s="129">
        <v>0.16321818889612505</v>
      </c>
      <c r="D158" s="129">
        <v>4.8187321903900536E-2</v>
      </c>
      <c r="E158" s="129">
        <v>6.024540623513984E-2</v>
      </c>
      <c r="F158" s="129">
        <v>8.5011992250197885E-3</v>
      </c>
      <c r="G158" s="129">
        <v>0</v>
      </c>
      <c r="H158" s="129">
        <v>0</v>
      </c>
      <c r="I158" s="129">
        <v>0</v>
      </c>
      <c r="J158" s="129">
        <v>9.0784100129770276E-6</v>
      </c>
      <c r="K158" s="129">
        <v>1.281761292661566E-2</v>
      </c>
      <c r="L158" s="129">
        <v>3.6603083766976666E-4</v>
      </c>
      <c r="M158" s="129">
        <v>1.7604074803446478E-3</v>
      </c>
      <c r="N158" s="129">
        <v>8.6677589097336341E-4</v>
      </c>
      <c r="O158" s="129">
        <v>2.5200181841334743E-3</v>
      </c>
    </row>
    <row r="159" spans="1:15">
      <c r="A159" s="197">
        <v>41213</v>
      </c>
      <c r="B159" s="129">
        <v>0.69867502994409936</v>
      </c>
      <c r="C159" s="129">
        <v>0.1649472189298844</v>
      </c>
      <c r="D159" s="129">
        <v>4.8969571648893685E-2</v>
      </c>
      <c r="E159" s="129">
        <v>6.1081966404698859E-2</v>
      </c>
      <c r="F159" s="129">
        <v>8.6335969192874364E-3</v>
      </c>
      <c r="G159" s="129">
        <v>0</v>
      </c>
      <c r="H159" s="129">
        <v>0</v>
      </c>
      <c r="I159" s="129">
        <v>0</v>
      </c>
      <c r="J159" s="129">
        <v>3.1480795930980901E-4</v>
      </c>
      <c r="K159" s="129">
        <v>1.2140101402043539E-2</v>
      </c>
      <c r="L159" s="129">
        <v>1.8840632864655692E-4</v>
      </c>
      <c r="M159" s="129">
        <v>1.7567453256319364E-3</v>
      </c>
      <c r="N159" s="129">
        <v>7.2282613757167409E-4</v>
      </c>
      <c r="O159" s="129">
        <v>2.5697289999328039E-3</v>
      </c>
    </row>
    <row r="160" spans="1:15">
      <c r="A160" s="197">
        <v>41243</v>
      </c>
      <c r="B160" s="129">
        <v>0.7048816983199081</v>
      </c>
      <c r="C160" s="129">
        <v>0.16230267077601637</v>
      </c>
      <c r="D160" s="129">
        <v>4.7322560452335807E-2</v>
      </c>
      <c r="E160" s="129">
        <v>5.9401707525916357E-2</v>
      </c>
      <c r="F160" s="129">
        <v>8.4853993924438164E-3</v>
      </c>
      <c r="G160" s="129">
        <v>0</v>
      </c>
      <c r="H160" s="129">
        <v>0</v>
      </c>
      <c r="I160" s="129">
        <v>0</v>
      </c>
      <c r="J160" s="129">
        <v>2.7513674764246953E-6</v>
      </c>
      <c r="K160" s="129">
        <v>1.2126074918497345E-2</v>
      </c>
      <c r="L160" s="129">
        <v>1.8320111091060066E-4</v>
      </c>
      <c r="M160" s="129">
        <v>1.7396794220264349E-3</v>
      </c>
      <c r="N160" s="129">
        <v>1.0269520802697293E-3</v>
      </c>
      <c r="O160" s="129">
        <v>2.5300560016755379E-3</v>
      </c>
    </row>
    <row r="161" spans="1:16">
      <c r="A161" s="197">
        <v>41274</v>
      </c>
      <c r="B161" s="129">
        <v>0.69440965333729754</v>
      </c>
      <c r="C161" s="129">
        <v>0.15556059139818806</v>
      </c>
      <c r="D161" s="129">
        <v>4.7557682014703617E-2</v>
      </c>
      <c r="E161" s="129">
        <v>6.0476998864492933E-2</v>
      </c>
      <c r="F161" s="129">
        <v>8.3551868755812712E-3</v>
      </c>
      <c r="G161" s="129">
        <v>0</v>
      </c>
      <c r="H161" s="129">
        <v>0</v>
      </c>
      <c r="I161" s="129">
        <v>0</v>
      </c>
      <c r="J161" s="129">
        <v>1.2816445247421401E-6</v>
      </c>
      <c r="K161" s="129">
        <v>1.1771124471166487E-2</v>
      </c>
      <c r="L161" s="129">
        <v>1.80579237468692E-4</v>
      </c>
      <c r="M161" s="129">
        <v>1.74356067020782E-2</v>
      </c>
      <c r="N161" s="129">
        <v>1.019849227802648E-3</v>
      </c>
      <c r="O161" s="129">
        <v>3.232727871220413E-3</v>
      </c>
      <c r="P161" s="128"/>
    </row>
    <row r="162" spans="1:16">
      <c r="A162" s="197">
        <v>41305</v>
      </c>
      <c r="B162" s="129">
        <v>0.70823282638695295</v>
      </c>
      <c r="C162" s="129">
        <v>0.15871307919408201</v>
      </c>
      <c r="D162" s="129">
        <v>4.7357498696073801E-2</v>
      </c>
      <c r="E162" s="129">
        <v>6.0335620781404399E-2</v>
      </c>
      <c r="F162" s="129">
        <v>8.0308498026020608E-3</v>
      </c>
      <c r="G162" s="129">
        <v>0</v>
      </c>
      <c r="H162" s="129">
        <v>0</v>
      </c>
      <c r="I162" s="129">
        <v>0</v>
      </c>
      <c r="J162" s="129">
        <v>1.2616445247421401E-6</v>
      </c>
      <c r="K162" s="129">
        <v>1.1408488129505E-2</v>
      </c>
      <c r="L162" s="129">
        <v>1.8014923746869201E-4</v>
      </c>
      <c r="M162" s="129">
        <v>1.4996755371892399E-3</v>
      </c>
      <c r="N162" s="129">
        <v>1.010172710615928E-3</v>
      </c>
      <c r="O162" s="129">
        <v>3.2316395241063101E-3</v>
      </c>
      <c r="P162" s="128"/>
    </row>
    <row r="163" spans="1:16">
      <c r="A163" s="197">
        <v>41333</v>
      </c>
      <c r="B163" s="129">
        <v>0.70968884618534833</v>
      </c>
      <c r="C163" s="129">
        <v>0.15828366399130495</v>
      </c>
      <c r="D163" s="129">
        <v>4.7499278515535398E-2</v>
      </c>
      <c r="E163" s="129">
        <v>5.9848774449039931E-2</v>
      </c>
      <c r="F163" s="129">
        <v>7.9199797043139862E-3</v>
      </c>
      <c r="G163" s="129">
        <v>0</v>
      </c>
      <c r="H163" s="129">
        <v>0</v>
      </c>
      <c r="I163" s="129">
        <v>0</v>
      </c>
      <c r="J163" s="129">
        <v>1.2616445247421401E-6</v>
      </c>
      <c r="K163" s="129">
        <v>1.0915914269299299E-2</v>
      </c>
      <c r="L163" s="129">
        <v>1.7000652232249973E-4</v>
      </c>
      <c r="M163" s="129">
        <v>1.4504259192861866E-3</v>
      </c>
      <c r="N163" s="129">
        <v>9.9362516099624014E-4</v>
      </c>
      <c r="O163" s="129">
        <v>3.2294852825533031E-3</v>
      </c>
    </row>
    <row r="164" spans="1:16">
      <c r="A164" s="197">
        <v>41334</v>
      </c>
      <c r="B164" s="129">
        <v>0.69265121442468547</v>
      </c>
      <c r="C164" s="129">
        <v>0.1570608510746162</v>
      </c>
      <c r="D164" s="129">
        <v>4.7319210325227359E-2</v>
      </c>
      <c r="E164" s="129">
        <v>5.9432186973454607E-2</v>
      </c>
      <c r="F164" s="129">
        <v>7.8732762560855072E-3</v>
      </c>
      <c r="G164" s="129">
        <v>0</v>
      </c>
      <c r="H164" s="129">
        <v>0</v>
      </c>
      <c r="I164" s="129">
        <v>0</v>
      </c>
      <c r="J164" s="129">
        <v>1.2347199826957544E-6</v>
      </c>
      <c r="K164" s="129">
        <v>1.0559920299453133E-2</v>
      </c>
      <c r="L164" s="129">
        <v>1.6538711843380144E-4</v>
      </c>
      <c r="M164" s="129">
        <v>2.0699771193651559E-2</v>
      </c>
      <c r="N164" s="129">
        <v>1.0397530025629785E-3</v>
      </c>
      <c r="O164" s="129">
        <v>3.1984293318294732E-3</v>
      </c>
      <c r="P164" s="128"/>
    </row>
    <row r="165" spans="1:16">
      <c r="A165" s="197">
        <v>41394</v>
      </c>
      <c r="B165" s="129">
        <v>0.70479289384390287</v>
      </c>
      <c r="C165" s="129">
        <v>0.15795231831255555</v>
      </c>
      <c r="D165" s="129">
        <v>4.7545882271975717E-2</v>
      </c>
      <c r="E165" s="129">
        <v>5.9846542846335997E-2</v>
      </c>
      <c r="F165" s="129">
        <v>7.9214719734018047E-3</v>
      </c>
      <c r="G165" s="129">
        <v>0</v>
      </c>
      <c r="H165" s="129">
        <v>0</v>
      </c>
      <c r="I165" s="129">
        <v>0</v>
      </c>
      <c r="J165" s="129">
        <v>1.2414630406670908E-6</v>
      </c>
      <c r="K165" s="129">
        <v>1.0387469916885163E-2</v>
      </c>
      <c r="L165" s="129">
        <v>1.6542265099726578E-4</v>
      </c>
      <c r="M165" s="129">
        <v>7.0261012398866174E-3</v>
      </c>
      <c r="N165" s="129">
        <v>1.1098828081286443E-3</v>
      </c>
      <c r="O165" s="129">
        <v>3.252014135930347E-3</v>
      </c>
      <c r="P165" s="128"/>
    </row>
    <row r="166" spans="1:16">
      <c r="A166" s="197">
        <v>41425</v>
      </c>
      <c r="B166" s="129">
        <v>0.70579746015461464</v>
      </c>
      <c r="C166" s="129">
        <v>0.16129434260647313</v>
      </c>
      <c r="D166" s="129">
        <v>4.8164801208739831E-2</v>
      </c>
      <c r="E166" s="129">
        <v>6.045624273226783E-2</v>
      </c>
      <c r="F166" s="129">
        <v>8.1488424277142407E-3</v>
      </c>
      <c r="G166" s="129">
        <v>0</v>
      </c>
      <c r="H166" s="129">
        <v>0</v>
      </c>
      <c r="I166" s="129">
        <v>0</v>
      </c>
      <c r="J166" s="129">
        <v>1.2029106876119973E-6</v>
      </c>
      <c r="K166" s="129">
        <v>1.0090662192358203E-2</v>
      </c>
      <c r="L166" s="129">
        <v>1.6217586549504865E-4</v>
      </c>
      <c r="M166" s="129">
        <v>1.4276046718532979E-3</v>
      </c>
      <c r="N166" s="129">
        <v>1.1192767266765312E-3</v>
      </c>
      <c r="O166" s="129">
        <v>3.3385914138072E-3</v>
      </c>
    </row>
    <row r="167" spans="1:16">
      <c r="A167" s="197">
        <v>41455</v>
      </c>
      <c r="B167" s="129">
        <v>0.7045374208853149</v>
      </c>
      <c r="C167" s="129">
        <v>0.16245685846021252</v>
      </c>
      <c r="D167" s="129">
        <v>4.8447023625909115E-2</v>
      </c>
      <c r="E167" s="129">
        <v>6.0642070655338415E-2</v>
      </c>
      <c r="F167" s="129">
        <v>8.2000333078997151E-3</v>
      </c>
      <c r="G167" s="129">
        <v>0</v>
      </c>
      <c r="H167" s="129">
        <v>0</v>
      </c>
      <c r="I167" s="129">
        <v>0</v>
      </c>
      <c r="J167" s="129">
        <v>1.1966050791207825E-6</v>
      </c>
      <c r="K167" s="129">
        <v>9.7893232352969321E-3</v>
      </c>
      <c r="L167" s="129">
        <v>1.5966941894195982E-4</v>
      </c>
      <c r="M167" s="129">
        <v>1.3668243157835163E-3</v>
      </c>
      <c r="N167" s="129">
        <v>1.0539716796343001E-3</v>
      </c>
      <c r="O167" s="129">
        <v>3.3468044156686784E-3</v>
      </c>
    </row>
    <row r="168" spans="1:16">
      <c r="A168" s="197">
        <v>41486</v>
      </c>
      <c r="B168" s="129">
        <v>0.71266053636848503</v>
      </c>
      <c r="C168" s="129">
        <v>0.15842540987535286</v>
      </c>
      <c r="D168" s="129">
        <v>4.6946464943078532E-2</v>
      </c>
      <c r="E168" s="129">
        <v>5.9061538192779581E-2</v>
      </c>
      <c r="F168" s="129">
        <v>7.6515435483717111E-3</v>
      </c>
      <c r="G168" s="129">
        <v>0</v>
      </c>
      <c r="H168" s="129">
        <v>0</v>
      </c>
      <c r="I168" s="129">
        <v>0</v>
      </c>
      <c r="J168" s="129">
        <v>1.1813237932455797E-6</v>
      </c>
      <c r="K168" s="129">
        <v>9.4200157723788678E-3</v>
      </c>
      <c r="L168" s="129">
        <v>1.5634112774851879E-4</v>
      </c>
      <c r="M168" s="129">
        <v>1.3354568660226525E-3</v>
      </c>
      <c r="N168" s="129">
        <v>1.0933144461831759E-3</v>
      </c>
      <c r="O168" s="129">
        <v>3.248197535805724E-3</v>
      </c>
    </row>
    <row r="169" spans="1:16">
      <c r="A169" s="197">
        <v>41517</v>
      </c>
      <c r="B169" s="129">
        <v>0.71174288292445709</v>
      </c>
      <c r="C169" s="129">
        <v>0.15816520753273386</v>
      </c>
      <c r="D169" s="129">
        <v>4.9208905920956933E-2</v>
      </c>
      <c r="E169" s="129">
        <v>5.8560842562042331E-2</v>
      </c>
      <c r="F169" s="129">
        <v>7.540247309537524E-3</v>
      </c>
      <c r="G169" s="129">
        <v>0</v>
      </c>
      <c r="H169" s="129">
        <v>0</v>
      </c>
      <c r="I169" s="129">
        <v>0</v>
      </c>
      <c r="J169" s="129">
        <v>1.1813237932455797E-6</v>
      </c>
      <c r="K169" s="129">
        <v>8.9394100055513147E-3</v>
      </c>
      <c r="L169" s="129">
        <v>1.4126995799582575E-4</v>
      </c>
      <c r="M169" s="129">
        <v>1.3417483152502302E-3</v>
      </c>
      <c r="N169" s="129">
        <v>1.0684626269321543E-3</v>
      </c>
      <c r="O169" s="129">
        <v>3.2910228445427853E-3</v>
      </c>
    </row>
    <row r="170" spans="1:16">
      <c r="A170" s="197">
        <v>41547</v>
      </c>
      <c r="B170" s="129">
        <v>0.70751863616036259</v>
      </c>
      <c r="C170" s="129">
        <v>0.16404408777333546</v>
      </c>
      <c r="D170" s="129">
        <v>4.6787741304158095E-2</v>
      </c>
      <c r="E170" s="129">
        <v>6.0482984000266804E-2</v>
      </c>
      <c r="F170" s="129">
        <v>7.1834207374778481E-3</v>
      </c>
      <c r="G170" s="129">
        <v>0</v>
      </c>
      <c r="H170" s="129">
        <v>0</v>
      </c>
      <c r="I170" s="129">
        <v>0</v>
      </c>
      <c r="J170" s="129">
        <v>1.1172863748510765E-6</v>
      </c>
      <c r="K170" s="129">
        <v>8.4016570271181115E-3</v>
      </c>
      <c r="L170" s="129">
        <v>1.343294568216527E-4</v>
      </c>
      <c r="M170" s="129">
        <v>1.2906278534848333E-3</v>
      </c>
      <c r="N170" s="129">
        <v>1.0176091853220464E-3</v>
      </c>
      <c r="O170" s="129">
        <v>3.1377892152777711E-3</v>
      </c>
    </row>
    <row r="171" spans="1:16">
      <c r="A171" s="197">
        <v>41578</v>
      </c>
      <c r="B171" s="129">
        <v>0.71446002495983951</v>
      </c>
      <c r="C171" s="129">
        <v>0.16040131188689313</v>
      </c>
      <c r="D171" s="129">
        <v>4.5603404714058354E-2</v>
      </c>
      <c r="E171" s="129">
        <v>5.9085110779660804E-2</v>
      </c>
      <c r="F171" s="129">
        <v>7.001009752047864E-3</v>
      </c>
      <c r="G171" s="129">
        <v>0</v>
      </c>
      <c r="H171" s="129">
        <v>0</v>
      </c>
      <c r="I171" s="129">
        <v>0</v>
      </c>
      <c r="J171" s="129">
        <v>1.1065946034967782E-6</v>
      </c>
      <c r="K171" s="129">
        <v>8.0504576185341046E-3</v>
      </c>
      <c r="L171" s="129">
        <v>1.3025566771805169E-4</v>
      </c>
      <c r="M171" s="129">
        <v>1.2002949053021449E-3</v>
      </c>
      <c r="N171" s="129">
        <v>1.0075338709435416E-3</v>
      </c>
      <c r="O171" s="129">
        <v>3.0594892503991249E-3</v>
      </c>
    </row>
    <row r="172" spans="1:16">
      <c r="A172" s="197">
        <v>41608</v>
      </c>
      <c r="B172" s="129">
        <v>0.70592714618371055</v>
      </c>
      <c r="C172" s="129">
        <v>0.16395497627317412</v>
      </c>
      <c r="D172" s="129">
        <v>4.6143305303923784E-2</v>
      </c>
      <c r="E172" s="129">
        <v>5.9667093066403533E-2</v>
      </c>
      <c r="F172" s="129">
        <v>7.2385239231989879E-3</v>
      </c>
      <c r="G172" s="129">
        <v>0</v>
      </c>
      <c r="H172" s="129">
        <v>0</v>
      </c>
      <c r="I172" s="129">
        <v>0</v>
      </c>
      <c r="J172" s="129">
        <v>1.1118172730363811E-6</v>
      </c>
      <c r="K172" s="129">
        <v>7.8197617607378995E-3</v>
      </c>
      <c r="L172" s="129">
        <v>1.2775258759265074E-4</v>
      </c>
      <c r="M172" s="129">
        <v>4.2948679016188958E-3</v>
      </c>
      <c r="N172" s="129">
        <v>1.683407065303788E-3</v>
      </c>
      <c r="O172" s="129">
        <v>3.1420541170627532E-3</v>
      </c>
    </row>
    <row r="173" spans="1:16">
      <c r="A173" s="197">
        <v>41639</v>
      </c>
      <c r="B173" s="129">
        <v>0.6902175645213291</v>
      </c>
      <c r="C173" s="129">
        <v>0.15929939402029386</v>
      </c>
      <c r="D173" s="129">
        <v>4.7735879719388259E-2</v>
      </c>
      <c r="E173" s="129">
        <v>5.7607811966528408E-2</v>
      </c>
      <c r="F173" s="129">
        <v>7.0134303221856742E-3</v>
      </c>
      <c r="G173" s="129">
        <v>0</v>
      </c>
      <c r="H173" s="129">
        <v>0</v>
      </c>
      <c r="I173" s="129">
        <v>0</v>
      </c>
      <c r="J173" s="129">
        <v>1.0810655625149574E-6</v>
      </c>
      <c r="K173" s="129">
        <v>7.3202656200388964E-3</v>
      </c>
      <c r="L173" s="129">
        <v>1.2228662345459924E-4</v>
      </c>
      <c r="M173" s="129">
        <v>2.5119160428307499E-2</v>
      </c>
      <c r="N173" s="129">
        <v>1.6368322206621322E-3</v>
      </c>
      <c r="O173" s="129">
        <v>3.9262934922490444E-3</v>
      </c>
    </row>
    <row r="174" spans="1:16">
      <c r="A174" s="197">
        <v>41670</v>
      </c>
      <c r="B174" s="129">
        <v>0.69296301302575869</v>
      </c>
      <c r="C174" s="129">
        <v>0.17846942019989678</v>
      </c>
      <c r="D174" s="129">
        <v>4.9019323522974903E-2</v>
      </c>
      <c r="E174" s="129">
        <v>5.8872144180690512E-2</v>
      </c>
      <c r="F174" s="129">
        <v>7.065025732171E-3</v>
      </c>
      <c r="G174" s="129">
        <v>0</v>
      </c>
      <c r="H174" s="129">
        <v>0</v>
      </c>
      <c r="I174" s="129">
        <v>0</v>
      </c>
      <c r="J174" s="129">
        <v>1.0665821157854277E-6</v>
      </c>
      <c r="K174" s="129">
        <v>6.9824856739997294E-3</v>
      </c>
      <c r="L174" s="129">
        <v>6.1973550127222569E-5</v>
      </c>
      <c r="M174" s="129">
        <v>9.2067706174604486E-4</v>
      </c>
      <c r="N174" s="129">
        <v>1.614869349587002E-3</v>
      </c>
      <c r="O174" s="129">
        <v>4.0300011209323467E-3</v>
      </c>
    </row>
    <row r="175" spans="1:16">
      <c r="A175" s="197">
        <v>41698</v>
      </c>
      <c r="B175" s="129">
        <v>0.6892471329939005</v>
      </c>
      <c r="C175" s="129">
        <v>0.17864972256351316</v>
      </c>
      <c r="D175" s="129">
        <v>4.9229684829599683E-2</v>
      </c>
      <c r="E175" s="129">
        <v>5.8920063964271373E-2</v>
      </c>
      <c r="F175" s="129">
        <v>6.9629422875932614E-3</v>
      </c>
      <c r="G175" s="129">
        <v>0</v>
      </c>
      <c r="H175" s="129">
        <v>0</v>
      </c>
      <c r="I175" s="129">
        <v>0</v>
      </c>
      <c r="J175" s="129">
        <v>9.6336072044754424E-7</v>
      </c>
      <c r="K175" s="129">
        <v>6.6280569502895625E-3</v>
      </c>
      <c r="L175" s="129">
        <v>6.0442630490205158E-5</v>
      </c>
      <c r="M175" s="129">
        <v>4.7416173940557612E-3</v>
      </c>
      <c r="N175" s="129">
        <v>1.5566638661956172E-3</v>
      </c>
      <c r="O175" s="129">
        <v>4.0027091593703113E-3</v>
      </c>
    </row>
    <row r="176" spans="1:16">
      <c r="A176" s="197">
        <v>41729</v>
      </c>
      <c r="B176" s="129">
        <v>0.70314292579094206</v>
      </c>
      <c r="C176" s="129">
        <v>0.17022107906914333</v>
      </c>
      <c r="D176" s="129">
        <v>4.6435521893195407E-2</v>
      </c>
      <c r="E176" s="129">
        <v>5.5739200368161795E-2</v>
      </c>
      <c r="F176" s="129">
        <v>6.6231461304177399E-3</v>
      </c>
      <c r="G176" s="129">
        <v>0</v>
      </c>
      <c r="H176" s="129">
        <v>0</v>
      </c>
      <c r="I176" s="129">
        <v>0</v>
      </c>
      <c r="J176" s="129">
        <v>9.5313617455764124E-7</v>
      </c>
      <c r="K176" s="129">
        <v>6.3459830349897528E-3</v>
      </c>
      <c r="L176" s="129">
        <v>5.9006122064388434E-5</v>
      </c>
      <c r="M176" s="129">
        <v>6.0439352173978656E-3</v>
      </c>
      <c r="N176" s="129">
        <v>1.5401395822638442E-3</v>
      </c>
      <c r="O176" s="129">
        <v>3.848109655249227E-3</v>
      </c>
    </row>
    <row r="177" spans="1:15">
      <c r="A177" s="197">
        <v>41759</v>
      </c>
      <c r="B177" s="129">
        <v>0.71592052785539428</v>
      </c>
      <c r="C177" s="129">
        <v>0.16610194409698725</v>
      </c>
      <c r="D177" s="129">
        <v>4.5063633014358152E-2</v>
      </c>
      <c r="E177" s="129">
        <v>5.4334760629341068E-2</v>
      </c>
      <c r="F177" s="129">
        <v>6.4437621521340601E-3</v>
      </c>
      <c r="G177" s="129">
        <v>0</v>
      </c>
      <c r="H177" s="129">
        <v>0</v>
      </c>
      <c r="I177" s="129">
        <v>0</v>
      </c>
      <c r="J177" s="129">
        <v>9.4178333406601873E-7</v>
      </c>
      <c r="K177" s="129">
        <v>6.0533220950961938E-3</v>
      </c>
      <c r="L177" s="129">
        <v>5.7835558281591662E-5</v>
      </c>
      <c r="M177" s="129">
        <v>7.5495514864662395E-4</v>
      </c>
      <c r="N177" s="129">
        <v>1.5805224904937934E-3</v>
      </c>
      <c r="O177" s="129">
        <v>3.7465725175488047E-3</v>
      </c>
    </row>
    <row r="178" spans="1:15">
      <c r="A178" s="197">
        <v>41790</v>
      </c>
      <c r="B178" s="129">
        <v>0.71368959797765164</v>
      </c>
      <c r="C178" s="129">
        <v>0.16944038739375025</v>
      </c>
      <c r="D178" s="129">
        <v>4.5119173294830721E-2</v>
      </c>
      <c r="E178" s="129">
        <v>5.2915647938689143E-2</v>
      </c>
      <c r="F178" s="129">
        <v>6.5436166545933755E-3</v>
      </c>
      <c r="G178" s="129">
        <v>0</v>
      </c>
      <c r="H178" s="129">
        <v>0</v>
      </c>
      <c r="I178" s="129">
        <v>0</v>
      </c>
      <c r="J178" s="129">
        <v>9.7212781265900991E-7</v>
      </c>
      <c r="K178" s="129">
        <v>6.0172079176021923E-3</v>
      </c>
      <c r="L178" s="129">
        <v>5.8710026385824344E-5</v>
      </c>
      <c r="M178" s="129">
        <v>8.3220719539571161E-4</v>
      </c>
      <c r="N178" s="129">
        <v>1.6303842754128144E-3</v>
      </c>
      <c r="O178" s="129">
        <v>3.8117773520742852E-3</v>
      </c>
    </row>
    <row r="179" spans="1:15">
      <c r="A179" s="197">
        <v>41820</v>
      </c>
      <c r="B179" s="129">
        <v>0.71132056316328263</v>
      </c>
      <c r="C179" s="129">
        <v>0.16479831566523817</v>
      </c>
      <c r="D179" s="129">
        <v>4.3581175183668781E-2</v>
      </c>
      <c r="E179" s="129">
        <v>5.1014232382604281E-2</v>
      </c>
      <c r="F179" s="129">
        <v>6.2503028140229351E-3</v>
      </c>
      <c r="G179" s="129">
        <v>0</v>
      </c>
      <c r="H179" s="129">
        <v>0</v>
      </c>
      <c r="I179" s="129">
        <v>0</v>
      </c>
      <c r="J179" s="129">
        <v>9.535977156702157E-7</v>
      </c>
      <c r="K179" s="129">
        <v>5.6707051354975228E-3</v>
      </c>
      <c r="L179" s="129">
        <v>5.6796087390496894E-5</v>
      </c>
      <c r="M179" s="129">
        <v>1.2088042131854423E-2</v>
      </c>
      <c r="N179" s="129">
        <v>1.5407331084037626E-3</v>
      </c>
      <c r="O179" s="129">
        <v>3.6781807303213482E-3</v>
      </c>
    </row>
    <row r="180" spans="1:15">
      <c r="A180" s="197">
        <v>41851</v>
      </c>
      <c r="B180" s="129">
        <v>0.71620917608161028</v>
      </c>
      <c r="C180" s="129">
        <v>0.16347647326320935</v>
      </c>
      <c r="D180" s="129">
        <v>4.314364523806194E-2</v>
      </c>
      <c r="E180" s="129">
        <v>5.0591229089799357E-2</v>
      </c>
      <c r="F180" s="129">
        <v>6.0633577395606715E-3</v>
      </c>
      <c r="G180" s="129">
        <v>0</v>
      </c>
      <c r="H180" s="129">
        <v>0</v>
      </c>
      <c r="I180" s="129">
        <v>0</v>
      </c>
      <c r="J180" s="129">
        <v>0</v>
      </c>
      <c r="K180" s="129">
        <v>5.4161310441085807E-3</v>
      </c>
      <c r="L180" s="129">
        <v>5.5855796217931708E-5</v>
      </c>
      <c r="M180" s="129">
        <v>9.8867876217526851E-3</v>
      </c>
      <c r="N180" s="129">
        <v>1.5279538623098683E-3</v>
      </c>
      <c r="O180" s="129">
        <v>3.629390263369408E-3</v>
      </c>
    </row>
    <row r="181" spans="1:15">
      <c r="A181" s="197">
        <v>41882</v>
      </c>
      <c r="B181" s="129">
        <v>0.71773844358604433</v>
      </c>
      <c r="C181" s="129">
        <v>0.16466722670865253</v>
      </c>
      <c r="D181" s="129">
        <v>4.3685679610262262E-2</v>
      </c>
      <c r="E181" s="129">
        <v>5.095096294569066E-2</v>
      </c>
      <c r="F181" s="129">
        <v>6.0167708422715236E-3</v>
      </c>
      <c r="G181" s="129">
        <v>0</v>
      </c>
      <c r="H181" s="129">
        <v>0</v>
      </c>
      <c r="I181" s="129">
        <v>0</v>
      </c>
      <c r="J181" s="129">
        <v>0</v>
      </c>
      <c r="K181" s="129">
        <v>5.0498027502377512E-3</v>
      </c>
      <c r="L181" s="129">
        <v>5.3531586112384571E-5</v>
      </c>
      <c r="M181" s="129">
        <v>6.6275412380349058E-3</v>
      </c>
      <c r="N181" s="129">
        <v>1.5411728724989907E-3</v>
      </c>
      <c r="O181" s="129">
        <v>3.6688678601948066E-3</v>
      </c>
    </row>
    <row r="182" spans="1:15">
      <c r="A182" s="197">
        <v>41912</v>
      </c>
      <c r="B182" s="129">
        <v>0.69827066319440956</v>
      </c>
      <c r="C182" s="129">
        <v>0.16803597054661251</v>
      </c>
      <c r="D182" s="129">
        <v>4.4913667571332881E-2</v>
      </c>
      <c r="E182" s="129">
        <v>5.1683868690988961E-2</v>
      </c>
      <c r="F182" s="129">
        <v>6.240672182335285E-3</v>
      </c>
      <c r="G182" s="129">
        <v>0</v>
      </c>
      <c r="H182" s="129">
        <v>0</v>
      </c>
      <c r="I182" s="129">
        <v>0</v>
      </c>
      <c r="J182" s="129">
        <v>0</v>
      </c>
      <c r="K182" s="129">
        <v>4.7165891114349752E-3</v>
      </c>
      <c r="L182" s="129">
        <v>5.1811897013756069E-5</v>
      </c>
      <c r="M182" s="129">
        <v>2.0770525228562486E-2</v>
      </c>
      <c r="N182" s="129">
        <v>1.516865387927409E-3</v>
      </c>
      <c r="O182" s="129">
        <v>3.7993661893823516E-3</v>
      </c>
    </row>
    <row r="183" spans="1:15">
      <c r="A183" s="197">
        <v>41943</v>
      </c>
      <c r="B183" s="129">
        <v>0.68675648489385377</v>
      </c>
      <c r="C183" s="129">
        <v>0.17119213737992028</v>
      </c>
      <c r="D183" s="129">
        <v>4.3746313106672846E-2</v>
      </c>
      <c r="E183" s="129">
        <v>5.0473525807873912E-2</v>
      </c>
      <c r="F183" s="129">
        <v>6.0994337347105082E-3</v>
      </c>
      <c r="G183" s="129">
        <v>0</v>
      </c>
      <c r="H183" s="129">
        <v>0</v>
      </c>
      <c r="I183" s="129">
        <v>0</v>
      </c>
      <c r="J183" s="129">
        <v>0</v>
      </c>
      <c r="K183" s="129">
        <v>4.309082733283771E-3</v>
      </c>
      <c r="L183" s="129">
        <v>4.8898789032256522E-5</v>
      </c>
      <c r="M183" s="129">
        <v>3.0003045467179041E-2</v>
      </c>
      <c r="N183" s="129">
        <v>1.4658055123318782E-3</v>
      </c>
      <c r="O183" s="129">
        <v>5.9045165916021989E-3</v>
      </c>
    </row>
    <row r="184" spans="1:15">
      <c r="A184" s="197">
        <v>41973</v>
      </c>
      <c r="B184" s="129">
        <v>0.68916904723665251</v>
      </c>
      <c r="C184" s="129">
        <v>0.17875993650601027</v>
      </c>
      <c r="D184" s="129">
        <v>4.5547110748114475E-2</v>
      </c>
      <c r="E184" s="129">
        <v>5.1905074408336714E-2</v>
      </c>
      <c r="F184" s="129">
        <v>6.4432309250356022E-3</v>
      </c>
      <c r="G184" s="129">
        <v>0</v>
      </c>
      <c r="H184" s="129">
        <v>0</v>
      </c>
      <c r="I184" s="129">
        <v>0</v>
      </c>
      <c r="J184" s="129">
        <v>0</v>
      </c>
      <c r="K184" s="129">
        <v>4.0595793646403585E-3</v>
      </c>
      <c r="L184" s="129">
        <v>4.8269295158114422E-5</v>
      </c>
      <c r="M184" s="129">
        <v>1.6839891307086262E-2</v>
      </c>
      <c r="N184" s="129">
        <v>9.1313924985689102E-4</v>
      </c>
      <c r="O184" s="129">
        <v>6.3147209591090624E-3</v>
      </c>
    </row>
    <row r="185" spans="1:15">
      <c r="A185" s="197">
        <v>42004</v>
      </c>
      <c r="B185" s="129">
        <v>0.66539100043678068</v>
      </c>
      <c r="C185" s="129">
        <v>0.17957749941191284</v>
      </c>
      <c r="D185" s="129">
        <v>5.1582622708223093E-2</v>
      </c>
      <c r="E185" s="129">
        <v>6.4362739968591792E-2</v>
      </c>
      <c r="F185" s="129">
        <v>6.7256961716710487E-3</v>
      </c>
      <c r="G185" s="129">
        <v>0</v>
      </c>
      <c r="H185" s="129">
        <v>0</v>
      </c>
      <c r="I185" s="129">
        <v>0</v>
      </c>
      <c r="J185" s="129">
        <v>0</v>
      </c>
      <c r="K185" s="129">
        <v>3.6580258074169177E-3</v>
      </c>
      <c r="L185" s="129">
        <v>4.6019958331506261E-5</v>
      </c>
      <c r="M185" s="129">
        <v>2.0340402217841193E-2</v>
      </c>
      <c r="N185" s="129">
        <v>8.7920104585224076E-4</v>
      </c>
      <c r="O185" s="129">
        <v>7.4367922733788241E-3</v>
      </c>
    </row>
    <row r="186" spans="1:15">
      <c r="A186" s="197">
        <v>42035</v>
      </c>
      <c r="B186" s="129">
        <v>0.67475961546679764</v>
      </c>
      <c r="C186" s="129">
        <v>0.19097901931600067</v>
      </c>
      <c r="D186" s="129">
        <v>5.1374986520760162E-2</v>
      </c>
      <c r="E186" s="129">
        <v>6.4075170134385559E-2</v>
      </c>
      <c r="F186" s="129">
        <v>6.5563773939671891E-3</v>
      </c>
      <c r="G186" s="129">
        <v>0</v>
      </c>
      <c r="H186" s="129">
        <v>0</v>
      </c>
      <c r="I186" s="129">
        <v>0</v>
      </c>
      <c r="J186" s="129">
        <v>0</v>
      </c>
      <c r="K186" s="129">
        <v>3.3847976102047697E-3</v>
      </c>
      <c r="L186" s="129">
        <v>4.4921009049820611E-5</v>
      </c>
      <c r="M186" s="129">
        <v>4.8822138771936719E-4</v>
      </c>
      <c r="N186" s="129">
        <v>8.7513057668095484E-4</v>
      </c>
      <c r="O186" s="129">
        <v>7.4617605844337093E-3</v>
      </c>
    </row>
    <row r="187" spans="1:15">
      <c r="A187" s="197">
        <v>42063</v>
      </c>
      <c r="B187" s="129">
        <v>0.65185969137990729</v>
      </c>
      <c r="C187" s="129">
        <v>0.19337902298757045</v>
      </c>
      <c r="D187" s="129">
        <v>5.2089697339901375E-2</v>
      </c>
      <c r="E187" s="129">
        <v>6.6293276139107432E-2</v>
      </c>
      <c r="F187" s="129">
        <v>6.5799169427026355E-3</v>
      </c>
      <c r="G187" s="129">
        <v>0</v>
      </c>
      <c r="H187" s="129">
        <v>0</v>
      </c>
      <c r="I187" s="129">
        <v>0</v>
      </c>
      <c r="J187" s="129">
        <v>0</v>
      </c>
      <c r="K187" s="129">
        <v>3.0752512056492183E-3</v>
      </c>
      <c r="L187" s="129">
        <v>4.2978979155769385E-5</v>
      </c>
      <c r="M187" s="129">
        <v>1.8227857733851639E-2</v>
      </c>
      <c r="N187" s="129">
        <v>8.8292866059898171E-4</v>
      </c>
      <c r="O187" s="129">
        <v>7.5693786315550841E-3</v>
      </c>
    </row>
    <row r="188" spans="1:15">
      <c r="A188" s="197">
        <v>42094</v>
      </c>
      <c r="B188" s="129">
        <v>0.64846951523474405</v>
      </c>
      <c r="C188" s="129">
        <v>0.2031145264900957</v>
      </c>
      <c r="D188" s="129">
        <v>5.2522189285315504E-2</v>
      </c>
      <c r="E188" s="129">
        <v>6.6385478272439041E-2</v>
      </c>
      <c r="F188" s="129">
        <v>6.6361752516877568E-3</v>
      </c>
      <c r="G188" s="129">
        <v>0</v>
      </c>
      <c r="H188" s="129">
        <v>0</v>
      </c>
      <c r="I188" s="129">
        <v>0</v>
      </c>
      <c r="J188" s="129">
        <v>0</v>
      </c>
      <c r="K188" s="129">
        <v>2.7739695591863897E-3</v>
      </c>
      <c r="L188" s="129">
        <v>3.8030260278236315E-5</v>
      </c>
      <c r="M188" s="129">
        <v>1.1553053472738188E-2</v>
      </c>
      <c r="N188" s="129">
        <v>8.6658453434694267E-4</v>
      </c>
      <c r="O188" s="129">
        <v>7.6404776391680836E-3</v>
      </c>
    </row>
    <row r="189" spans="1:15">
      <c r="A189" s="197">
        <v>42124</v>
      </c>
      <c r="B189" s="129">
        <v>0.67532083018219358</v>
      </c>
      <c r="C189" s="129">
        <v>0.1938080761738529</v>
      </c>
      <c r="D189" s="129">
        <v>4.9465102911525817E-2</v>
      </c>
      <c r="E189" s="129">
        <v>6.3004772288708294E-2</v>
      </c>
      <c r="F189" s="129">
        <v>6.3533366183822874E-3</v>
      </c>
      <c r="G189" s="129">
        <v>0</v>
      </c>
      <c r="H189" s="129">
        <v>0</v>
      </c>
      <c r="I189" s="129">
        <v>0</v>
      </c>
      <c r="J189" s="129">
        <v>0</v>
      </c>
      <c r="K189" s="129">
        <v>2.5858730899001041E-3</v>
      </c>
      <c r="L189" s="129">
        <v>3.7665588150198485E-5</v>
      </c>
      <c r="M189" s="129">
        <v>1.3106375911658037E-3</v>
      </c>
      <c r="N189" s="129">
        <v>8.9186739293397091E-4</v>
      </c>
      <c r="O189" s="129">
        <v>7.2218381631871491E-3</v>
      </c>
    </row>
    <row r="190" spans="1:15">
      <c r="A190" s="197">
        <v>42155</v>
      </c>
      <c r="B190" s="129">
        <v>0.65482891912178431</v>
      </c>
      <c r="C190" s="129">
        <v>0.19619710656051823</v>
      </c>
      <c r="D190" s="129">
        <v>4.9736392594501175E-2</v>
      </c>
      <c r="E190" s="129">
        <v>6.2898984327240212E-2</v>
      </c>
      <c r="F190" s="129">
        <v>6.4784353024648616E-3</v>
      </c>
      <c r="G190" s="129">
        <v>0</v>
      </c>
      <c r="H190" s="129">
        <v>0</v>
      </c>
      <c r="I190" s="129">
        <v>0</v>
      </c>
      <c r="J190" s="129">
        <v>0</v>
      </c>
      <c r="K190" s="129">
        <v>2.2282891974923173E-3</v>
      </c>
      <c r="L190" s="129">
        <v>3.4730864743199676E-5</v>
      </c>
      <c r="M190" s="129">
        <v>1.9380922501783127E-2</v>
      </c>
      <c r="N190" s="129">
        <v>8.5272169243055666E-4</v>
      </c>
      <c r="O190" s="129">
        <v>7.363497837041994E-3</v>
      </c>
    </row>
    <row r="191" spans="1:15">
      <c r="A191" s="197">
        <v>42185</v>
      </c>
      <c r="B191" s="129">
        <v>0.66823344613510538</v>
      </c>
      <c r="C191" s="129">
        <v>0.20003189999303433</v>
      </c>
      <c r="D191" s="129">
        <v>5.0592063883080338E-2</v>
      </c>
      <c r="E191" s="129">
        <v>6.3752539944277486E-2</v>
      </c>
      <c r="F191" s="129">
        <v>6.4849443318095697E-3</v>
      </c>
      <c r="G191" s="129">
        <v>0</v>
      </c>
      <c r="H191" s="129">
        <v>0</v>
      </c>
      <c r="I191" s="129">
        <v>0</v>
      </c>
      <c r="J191" s="129">
        <v>0</v>
      </c>
      <c r="K191" s="129">
        <v>1.9922101581384831E-3</v>
      </c>
      <c r="L191" s="129">
        <v>2.747596668529847E-5</v>
      </c>
      <c r="M191" s="129">
        <v>4.9035763069410748E-4</v>
      </c>
      <c r="N191" s="129">
        <v>8.5961052647868337E-4</v>
      </c>
      <c r="O191" s="129">
        <v>7.5354514306963678E-3</v>
      </c>
    </row>
    <row r="192" spans="1:15">
      <c r="A192" s="197">
        <v>42216</v>
      </c>
      <c r="B192" s="129">
        <v>0.64564110977765576</v>
      </c>
      <c r="C192" s="129">
        <v>0.21320095582679924</v>
      </c>
      <c r="D192" s="129">
        <v>5.4698343629761934E-2</v>
      </c>
      <c r="E192" s="129">
        <v>6.8442728261565347E-2</v>
      </c>
      <c r="F192" s="129">
        <v>6.8343761057985319E-3</v>
      </c>
      <c r="G192" s="129">
        <v>0</v>
      </c>
      <c r="H192" s="129">
        <v>0</v>
      </c>
      <c r="I192" s="129">
        <v>0</v>
      </c>
      <c r="J192" s="129">
        <v>0</v>
      </c>
      <c r="K192" s="129">
        <v>1.682405016328311E-3</v>
      </c>
      <c r="L192" s="129">
        <v>2.6359288238441669E-5</v>
      </c>
      <c r="M192" s="129">
        <v>4.7757881110746704E-4</v>
      </c>
      <c r="N192" s="129">
        <v>8.7741126064545057E-4</v>
      </c>
      <c r="O192" s="129">
        <v>8.1187320220994612E-3</v>
      </c>
    </row>
    <row r="193" spans="1:15">
      <c r="A193" s="197">
        <v>42247</v>
      </c>
      <c r="B193" s="129">
        <v>0.63319076797368334</v>
      </c>
      <c r="C193" s="129">
        <v>0.22176035884102197</v>
      </c>
      <c r="D193" s="129">
        <v>5.7305749116955976E-2</v>
      </c>
      <c r="E193" s="129">
        <v>7.1319717704130106E-2</v>
      </c>
      <c r="F193" s="129">
        <v>7.1321626995097878E-3</v>
      </c>
      <c r="G193" s="129">
        <v>0</v>
      </c>
      <c r="H193" s="129">
        <v>0</v>
      </c>
      <c r="I193" s="129">
        <v>0</v>
      </c>
      <c r="J193" s="129">
        <v>0</v>
      </c>
      <c r="K193" s="129">
        <v>1.3739404468769269E-3</v>
      </c>
      <c r="L193" s="129">
        <v>2.5289421954549129E-5</v>
      </c>
      <c r="M193" s="129">
        <v>1.3315225796943205E-3</v>
      </c>
      <c r="N193" s="129">
        <v>8.5352525591976276E-4</v>
      </c>
      <c r="O193" s="129">
        <v>5.7069659602533001E-3</v>
      </c>
    </row>
    <row r="194" spans="1:15">
      <c r="A194" s="197">
        <v>42277</v>
      </c>
      <c r="B194" s="129">
        <v>0.61204957033110441</v>
      </c>
      <c r="C194" s="129">
        <v>0.22673713280598431</v>
      </c>
      <c r="D194" s="129">
        <v>5.4918382249516208E-2</v>
      </c>
      <c r="E194" s="129">
        <v>6.7878459796008123E-2</v>
      </c>
      <c r="F194" s="129">
        <v>6.8410008157537639E-3</v>
      </c>
      <c r="G194" s="129">
        <v>0</v>
      </c>
      <c r="H194" s="129">
        <v>0</v>
      </c>
      <c r="I194" s="129">
        <v>0</v>
      </c>
      <c r="J194" s="129">
        <v>0</v>
      </c>
      <c r="K194" s="129">
        <v>1.0680527095030324E-3</v>
      </c>
      <c r="L194" s="129">
        <v>3.745244624547025E-5</v>
      </c>
      <c r="M194" s="129">
        <v>2.1470229202067301E-2</v>
      </c>
      <c r="N194" s="129">
        <v>8.3902574558310748E-4</v>
      </c>
      <c r="O194" s="129">
        <v>8.1981463444797467E-3</v>
      </c>
    </row>
    <row r="195" spans="1:15">
      <c r="A195" s="197">
        <v>42308</v>
      </c>
      <c r="B195" s="129">
        <v>0.61424741588203335</v>
      </c>
      <c r="C195" s="129">
        <v>0.21782085240607135</v>
      </c>
      <c r="D195" s="129">
        <v>5.8560334039075408E-2</v>
      </c>
      <c r="E195" s="129">
        <v>6.7380027662512471E-2</v>
      </c>
      <c r="F195" s="129">
        <v>6.7602224626725268E-3</v>
      </c>
      <c r="G195" s="129">
        <v>0</v>
      </c>
      <c r="H195" s="129">
        <v>0</v>
      </c>
      <c r="I195" s="129">
        <v>0</v>
      </c>
      <c r="J195" s="129">
        <v>0</v>
      </c>
      <c r="K195" s="129">
        <v>8.6135319692286097E-4</v>
      </c>
      <c r="L195" s="129">
        <v>2.4713444032932665E-5</v>
      </c>
      <c r="M195" s="129">
        <v>2.2670042680166657E-2</v>
      </c>
      <c r="N195" s="129">
        <v>8.856283520433159E-4</v>
      </c>
      <c r="O195" s="129">
        <v>1.0814123318502162E-2</v>
      </c>
    </row>
    <row r="196" spans="1:15">
      <c r="A196" s="197">
        <v>42338</v>
      </c>
      <c r="B196" s="129">
        <v>0.60236217522062585</v>
      </c>
      <c r="C196" s="129">
        <v>0.225212898091811</v>
      </c>
      <c r="D196" s="129">
        <v>6.0510782130732112E-2</v>
      </c>
      <c r="E196" s="129">
        <v>6.9196797514629121E-2</v>
      </c>
      <c r="F196" s="129">
        <v>7.1082146664165902E-3</v>
      </c>
      <c r="G196" s="129">
        <v>0</v>
      </c>
      <c r="H196" s="129">
        <v>0</v>
      </c>
      <c r="I196" s="129">
        <v>0</v>
      </c>
      <c r="J196" s="129">
        <v>0</v>
      </c>
      <c r="K196" s="129">
        <v>5.7658262830629855E-4</v>
      </c>
      <c r="L196" s="129">
        <v>2.3962315924833181E-5</v>
      </c>
      <c r="M196" s="129">
        <v>2.2974345904218443E-2</v>
      </c>
      <c r="N196" s="129">
        <v>9.2200315630773066E-4</v>
      </c>
      <c r="O196" s="129">
        <v>1.1136200686952721E-2</v>
      </c>
    </row>
    <row r="197" spans="1:15">
      <c r="A197" s="197">
        <v>42369</v>
      </c>
      <c r="B197" s="129">
        <v>0.58453171949509142</v>
      </c>
      <c r="C197" s="129">
        <v>0.22122139264681512</v>
      </c>
      <c r="D197" s="129">
        <v>6.2996375677495373E-2</v>
      </c>
      <c r="E197" s="129">
        <v>7.3945223199007773E-2</v>
      </c>
      <c r="F197" s="129">
        <v>9.1430005750520304E-3</v>
      </c>
      <c r="G197" s="129">
        <v>0</v>
      </c>
      <c r="H197" s="129">
        <v>0</v>
      </c>
      <c r="I197" s="129">
        <v>0</v>
      </c>
      <c r="J197" s="129">
        <v>0</v>
      </c>
      <c r="K197" s="129">
        <v>2.8239612945735832E-4</v>
      </c>
      <c r="L197" s="129">
        <v>2.243135105726416E-5</v>
      </c>
      <c r="M197" s="129">
        <v>3.4486014528390188E-2</v>
      </c>
      <c r="N197" s="129">
        <v>8.916492208029625E-4</v>
      </c>
      <c r="O197" s="129">
        <v>1.2502228527887729E-2</v>
      </c>
    </row>
    <row r="198" spans="1:15">
      <c r="A198" s="197">
        <v>42400</v>
      </c>
      <c r="B198" s="129">
        <v>0.58261583305158271</v>
      </c>
      <c r="C198" s="129">
        <v>0.22615719534816497</v>
      </c>
      <c r="D198" s="129">
        <v>6.4494019339902273E-2</v>
      </c>
      <c r="E198" s="129">
        <v>7.5692525918767184E-2</v>
      </c>
      <c r="F198" s="129">
        <v>1.156280536590404E-2</v>
      </c>
      <c r="G198" s="129">
        <v>0</v>
      </c>
      <c r="H198" s="129">
        <v>0</v>
      </c>
      <c r="I198" s="129">
        <v>0</v>
      </c>
      <c r="J198" s="129">
        <v>0</v>
      </c>
      <c r="K198" s="129">
        <v>0</v>
      </c>
      <c r="L198" s="129">
        <v>2.1644351100198419E-5</v>
      </c>
      <c r="M198" s="129">
        <v>2.5833906831067285E-2</v>
      </c>
      <c r="N198" s="129">
        <v>8.7130591742524044E-4</v>
      </c>
      <c r="O198" s="129">
        <v>1.2772408227186364E-2</v>
      </c>
    </row>
    <row r="199" spans="1:15">
      <c r="A199" s="197">
        <v>42429</v>
      </c>
      <c r="B199" s="129">
        <v>0.58758061781697679</v>
      </c>
      <c r="C199" s="129">
        <v>0.2222187243250742</v>
      </c>
      <c r="D199" s="129">
        <v>6.3456024967530375E-2</v>
      </c>
      <c r="E199" s="129">
        <v>7.4059604263520387E-2</v>
      </c>
      <c r="F199" s="129">
        <v>1.1255037659387835E-2</v>
      </c>
      <c r="G199" s="129">
        <v>0</v>
      </c>
      <c r="H199" s="129">
        <v>0</v>
      </c>
      <c r="I199" s="129">
        <v>0</v>
      </c>
      <c r="J199" s="129">
        <v>0</v>
      </c>
      <c r="K199" s="129">
        <v>0</v>
      </c>
      <c r="L199" s="129">
        <v>2.1063100525567716E-5</v>
      </c>
      <c r="M199" s="129">
        <v>2.7943860927419926E-2</v>
      </c>
      <c r="N199" s="129">
        <v>8.5967565361380041E-4</v>
      </c>
      <c r="O199" s="129">
        <v>1.2605391285951091E-2</v>
      </c>
    </row>
    <row r="200" spans="1:15">
      <c r="A200" s="197">
        <v>42460</v>
      </c>
      <c r="B200" s="129">
        <v>0.60719105030499898</v>
      </c>
      <c r="C200" s="129">
        <v>0.21915256893889776</v>
      </c>
      <c r="D200" s="129">
        <v>5.8162597040518273E-2</v>
      </c>
      <c r="E200" s="129">
        <v>6.8013341682435779E-2</v>
      </c>
      <c r="F200" s="129">
        <v>1.0501794534600185E-2</v>
      </c>
      <c r="G200" s="129">
        <v>0</v>
      </c>
      <c r="H200" s="129">
        <v>0</v>
      </c>
      <c r="I200" s="129">
        <v>0</v>
      </c>
      <c r="J200" s="129">
        <v>0</v>
      </c>
      <c r="K200" s="129">
        <v>0</v>
      </c>
      <c r="L200" s="129">
        <v>3.287428989120611E-5</v>
      </c>
      <c r="M200" s="129">
        <v>2.437290028362445E-2</v>
      </c>
      <c r="N200" s="129">
        <v>8.7413020005968213E-4</v>
      </c>
      <c r="O200" s="129">
        <v>1.1731617014865031E-2</v>
      </c>
    </row>
    <row r="201" spans="1:15">
      <c r="A201" s="197">
        <v>42490</v>
      </c>
      <c r="B201" s="129">
        <v>0.62351238003375764</v>
      </c>
      <c r="C201" s="129">
        <v>0.21089681861622828</v>
      </c>
      <c r="D201" s="129">
        <v>5.5492030939563508E-2</v>
      </c>
      <c r="E201" s="129">
        <v>6.5178442970023148E-2</v>
      </c>
      <c r="F201" s="129">
        <v>9.9053897794528743E-3</v>
      </c>
      <c r="G201" s="129">
        <v>0</v>
      </c>
      <c r="H201" s="129">
        <v>0</v>
      </c>
      <c r="I201" s="129">
        <v>0</v>
      </c>
      <c r="J201" s="129">
        <v>0</v>
      </c>
      <c r="K201" s="129">
        <v>0</v>
      </c>
      <c r="L201" s="129">
        <v>2.0552876370738408E-5</v>
      </c>
      <c r="M201" s="129">
        <v>2.2910534509916428E-2</v>
      </c>
      <c r="N201" s="129">
        <v>8.4748059955738861E-4</v>
      </c>
      <c r="O201" s="129">
        <v>1.1236369675129998E-2</v>
      </c>
    </row>
    <row r="202" spans="1:15">
      <c r="A202" s="197">
        <v>42521</v>
      </c>
      <c r="B202" s="129">
        <v>0.61074548604234491</v>
      </c>
      <c r="C202" s="129">
        <v>0.21370759694367397</v>
      </c>
      <c r="D202" s="129">
        <v>5.5941183867513719E-2</v>
      </c>
      <c r="E202" s="129">
        <v>7.1345655536730057E-2</v>
      </c>
      <c r="F202" s="129">
        <v>1.0104552014379995E-2</v>
      </c>
      <c r="G202" s="129">
        <v>0</v>
      </c>
      <c r="H202" s="129">
        <v>0</v>
      </c>
      <c r="I202" s="129">
        <v>0</v>
      </c>
      <c r="J202" s="129">
        <v>0</v>
      </c>
      <c r="K202" s="129">
        <v>0</v>
      </c>
      <c r="L202" s="129">
        <v>2.0552876370738408E-5</v>
      </c>
      <c r="M202" s="129">
        <v>2.5973743082223187E-2</v>
      </c>
      <c r="N202" s="129">
        <v>8.3294073299644219E-4</v>
      </c>
      <c r="O202" s="129">
        <v>1.1348841780137503E-2</v>
      </c>
    </row>
    <row r="203" spans="1:15">
      <c r="A203" s="197">
        <v>42551</v>
      </c>
      <c r="B203" s="129">
        <v>0.61093169078597664</v>
      </c>
      <c r="C203" s="129">
        <v>0.2078638605424209</v>
      </c>
      <c r="D203" s="129">
        <v>5.3968984138965906E-2</v>
      </c>
      <c r="E203" s="129">
        <v>6.8806059271728462E-2</v>
      </c>
      <c r="F203" s="129">
        <v>9.673373837282187E-3</v>
      </c>
      <c r="G203" s="129">
        <v>0</v>
      </c>
      <c r="H203" s="129">
        <v>0</v>
      </c>
      <c r="I203" s="129">
        <v>0</v>
      </c>
      <c r="J203" s="129">
        <v>0</v>
      </c>
      <c r="K203" s="129">
        <v>0</v>
      </c>
      <c r="L203" s="129">
        <v>3.0077639624293255E-5</v>
      </c>
      <c r="M203" s="129">
        <v>3.6936063574365435E-2</v>
      </c>
      <c r="N203" s="129">
        <v>8.4827551106047053E-4</v>
      </c>
      <c r="O203" s="129">
        <v>1.0971692338199888E-2</v>
      </c>
    </row>
    <row r="204" spans="1:15">
      <c r="A204" s="197">
        <v>42582</v>
      </c>
      <c r="B204" s="129">
        <v>0.59999222653492723</v>
      </c>
      <c r="C204" s="129">
        <v>0.21505089750066517</v>
      </c>
      <c r="D204" s="129">
        <v>5.6024359852179531E-2</v>
      </c>
      <c r="E204" s="129">
        <v>7.1415387420985604E-2</v>
      </c>
      <c r="F204" s="129">
        <v>9.8984310008828538E-3</v>
      </c>
      <c r="G204" s="129">
        <v>0</v>
      </c>
      <c r="H204" s="129">
        <v>0</v>
      </c>
      <c r="I204" s="129">
        <v>0</v>
      </c>
      <c r="J204" s="129">
        <v>0</v>
      </c>
      <c r="K204" s="129">
        <v>0</v>
      </c>
      <c r="L204" s="129">
        <v>1.8667922927820708E-5</v>
      </c>
      <c r="M204" s="129">
        <v>3.5366224695173462E-2</v>
      </c>
      <c r="N204" s="129">
        <v>8.5539656975367796E-4</v>
      </c>
      <c r="O204" s="129">
        <v>1.1397076425432692E-2</v>
      </c>
    </row>
    <row r="205" spans="1:15">
      <c r="A205" s="197">
        <v>42613</v>
      </c>
      <c r="B205" s="129">
        <v>0.61809615346701419</v>
      </c>
      <c r="C205" s="129">
        <v>0.20674890081510075</v>
      </c>
      <c r="D205" s="129">
        <v>5.3615222658134412E-2</v>
      </c>
      <c r="E205" s="129">
        <v>6.8014112438773922E-2</v>
      </c>
      <c r="F205" s="129">
        <v>9.404050883540226E-3</v>
      </c>
      <c r="G205" s="129">
        <v>0</v>
      </c>
      <c r="H205" s="129">
        <v>0</v>
      </c>
      <c r="I205" s="129">
        <v>0</v>
      </c>
      <c r="J205" s="129">
        <v>0</v>
      </c>
      <c r="K205" s="129">
        <v>0</v>
      </c>
      <c r="L205" s="129">
        <v>1.8622674467925313E-5</v>
      </c>
      <c r="M205" s="129">
        <v>3.2327177413693516E-2</v>
      </c>
      <c r="N205" s="129">
        <v>8.8187192445201418E-4</v>
      </c>
      <c r="O205" s="129">
        <v>1.0912510399290989E-2</v>
      </c>
    </row>
    <row r="206" spans="1:15">
      <c r="A206" s="197">
        <v>42643</v>
      </c>
      <c r="B206" s="129">
        <v>0.62509096913434148</v>
      </c>
      <c r="C206" s="129">
        <v>0.20315255422333167</v>
      </c>
      <c r="D206" s="129">
        <v>5.231885347072264E-2</v>
      </c>
      <c r="E206" s="129">
        <v>6.6300955778620649E-2</v>
      </c>
      <c r="F206" s="129">
        <v>9.204951604088657E-3</v>
      </c>
      <c r="G206" s="129">
        <v>0</v>
      </c>
      <c r="H206" s="129">
        <v>0</v>
      </c>
      <c r="I206" s="129">
        <v>0</v>
      </c>
      <c r="J206" s="129">
        <v>0</v>
      </c>
      <c r="K206" s="129">
        <v>0</v>
      </c>
      <c r="L206" s="129">
        <v>1.8014887930570559E-5</v>
      </c>
      <c r="M206" s="129">
        <v>3.2286672854563735E-2</v>
      </c>
      <c r="N206" s="129">
        <v>9.0040404168684153E-4</v>
      </c>
      <c r="O206" s="129">
        <v>1.0726624004713583E-2</v>
      </c>
    </row>
    <row r="207" spans="1:15">
      <c r="A207" s="197">
        <v>42674</v>
      </c>
      <c r="B207" s="129">
        <v>0.61971927082389966</v>
      </c>
      <c r="C207" s="129">
        <v>0.20496657179700581</v>
      </c>
      <c r="D207" s="129">
        <v>5.2957089391509671E-2</v>
      </c>
      <c r="E207" s="129">
        <v>6.6860291027158167E-2</v>
      </c>
      <c r="F207" s="129">
        <v>9.332762470872797E-3</v>
      </c>
      <c r="G207" s="129">
        <v>0</v>
      </c>
      <c r="H207" s="129">
        <v>0</v>
      </c>
      <c r="I207" s="129">
        <v>0</v>
      </c>
      <c r="J207" s="129">
        <v>0</v>
      </c>
      <c r="K207" s="129">
        <v>0</v>
      </c>
      <c r="L207" s="129">
        <v>8.8007198954485803E-6</v>
      </c>
      <c r="M207" s="129">
        <v>3.4509545787859287E-2</v>
      </c>
      <c r="N207" s="129">
        <v>8.4102811298351302E-4</v>
      </c>
      <c r="O207" s="129">
        <v>1.0804639868815516E-2</v>
      </c>
    </row>
    <row r="208" spans="1:15">
      <c r="A208" s="197">
        <v>42704</v>
      </c>
      <c r="B208" s="129">
        <v>0.60722786880658131</v>
      </c>
      <c r="C208" s="129">
        <v>0.20992687782204456</v>
      </c>
      <c r="D208" s="129">
        <v>5.736691367747216E-2</v>
      </c>
      <c r="E208" s="129">
        <v>6.8089050256288308E-2</v>
      </c>
      <c r="F208" s="129">
        <v>1.1489237192181942E-2</v>
      </c>
      <c r="G208" s="129">
        <v>0</v>
      </c>
      <c r="H208" s="129">
        <v>0</v>
      </c>
      <c r="I208" s="129">
        <v>0</v>
      </c>
      <c r="J208" s="129">
        <v>0</v>
      </c>
      <c r="K208" s="129">
        <v>0</v>
      </c>
      <c r="L208" s="129">
        <v>8.250231240760739E-6</v>
      </c>
      <c r="M208" s="129">
        <v>3.3394700824988098E-2</v>
      </c>
      <c r="N208" s="129">
        <v>8.1384198739402607E-4</v>
      </c>
      <c r="O208" s="129">
        <v>1.1683259201808821E-2</v>
      </c>
    </row>
    <row r="209" spans="1:16">
      <c r="A209" s="197">
        <v>42735</v>
      </c>
      <c r="B209" s="129">
        <v>0.61077903750327089</v>
      </c>
      <c r="C209" s="129">
        <v>0.20208576602839673</v>
      </c>
      <c r="D209" s="129">
        <v>5.8314343969782932E-2</v>
      </c>
      <c r="E209" s="129">
        <v>7.0998546591922451E-2</v>
      </c>
      <c r="F209" s="129">
        <v>1.1008713259093516E-2</v>
      </c>
      <c r="G209" s="129">
        <v>0</v>
      </c>
      <c r="H209" s="129">
        <v>0</v>
      </c>
      <c r="I209" s="129">
        <v>0</v>
      </c>
      <c r="J209" s="129">
        <v>0</v>
      </c>
      <c r="K209" s="129">
        <v>0</v>
      </c>
      <c r="L209" s="129">
        <v>8.0783743065904559E-6</v>
      </c>
      <c r="M209" s="129">
        <v>3.284674942704191E-2</v>
      </c>
      <c r="N209" s="129">
        <v>8.2389490985409759E-4</v>
      </c>
      <c r="O209" s="129">
        <v>1.3134869936330913E-2</v>
      </c>
    </row>
    <row r="210" spans="1:16">
      <c r="A210" s="197">
        <v>42766</v>
      </c>
      <c r="B210" s="129">
        <v>0.6200743904451822</v>
      </c>
      <c r="C210" s="129">
        <v>0.20427338398200845</v>
      </c>
      <c r="D210" s="129">
        <v>5.6857911912108296E-2</v>
      </c>
      <c r="E210" s="129">
        <v>6.9647863039565674E-2</v>
      </c>
      <c r="F210" s="129">
        <v>1.2570215568029088E-2</v>
      </c>
      <c r="G210" s="129">
        <v>0</v>
      </c>
      <c r="H210" s="129">
        <v>0</v>
      </c>
      <c r="I210" s="129">
        <v>0</v>
      </c>
      <c r="J210" s="129">
        <v>0</v>
      </c>
      <c r="K210" s="129">
        <v>0</v>
      </c>
      <c r="L210" s="129">
        <v>8.2867015718563296E-6</v>
      </c>
      <c r="M210" s="129">
        <v>2.2776415838006644E-2</v>
      </c>
      <c r="N210" s="129">
        <v>8.6461161641998335E-4</v>
      </c>
      <c r="O210" s="129">
        <v>1.2926920897107955E-2</v>
      </c>
    </row>
    <row r="211" spans="1:16">
      <c r="A211" s="197">
        <v>42794</v>
      </c>
      <c r="B211" s="129">
        <v>0.62925422765574845</v>
      </c>
      <c r="C211" s="129">
        <v>0.2002064733285607</v>
      </c>
      <c r="D211" s="129">
        <v>5.5579523979698425E-2</v>
      </c>
      <c r="E211" s="129">
        <v>6.76899343791562E-2</v>
      </c>
      <c r="F211" s="129">
        <v>1.2064846255553985E-2</v>
      </c>
      <c r="G211" s="129">
        <v>0</v>
      </c>
      <c r="H211" s="129">
        <v>0</v>
      </c>
      <c r="I211" s="129">
        <v>0</v>
      </c>
      <c r="J211" s="129">
        <v>0</v>
      </c>
      <c r="K211" s="129">
        <v>0</v>
      </c>
      <c r="L211" s="129">
        <v>7.8813137243364174E-6</v>
      </c>
      <c r="M211" s="129">
        <v>2.1759181576596901E-2</v>
      </c>
      <c r="N211" s="129">
        <v>8.590853307256141E-4</v>
      </c>
      <c r="O211" s="129">
        <v>1.2578846180235283E-2</v>
      </c>
    </row>
    <row r="212" spans="1:16">
      <c r="A212" s="197">
        <v>42825</v>
      </c>
      <c r="B212" s="129">
        <v>0.63003639738018202</v>
      </c>
      <c r="C212" s="129">
        <v>0.19707790567641481</v>
      </c>
      <c r="D212" s="129">
        <v>5.4371815564959639E-2</v>
      </c>
      <c r="E212" s="129">
        <v>6.6322067783117861E-2</v>
      </c>
      <c r="F212" s="129">
        <v>1.1852556156998793E-2</v>
      </c>
      <c r="G212" s="129">
        <v>0</v>
      </c>
      <c r="H212" s="129">
        <v>0</v>
      </c>
      <c r="I212" s="129">
        <v>0</v>
      </c>
      <c r="J212" s="129">
        <v>0</v>
      </c>
      <c r="K212" s="129">
        <v>0</v>
      </c>
      <c r="L212" s="129">
        <v>7.5165521339444909E-6</v>
      </c>
      <c r="M212" s="129">
        <v>2.7054693381231617E-2</v>
      </c>
      <c r="N212" s="129">
        <v>8.8273458086332655E-4</v>
      </c>
      <c r="O212" s="129">
        <v>1.2394312924098226E-2</v>
      </c>
    </row>
    <row r="213" spans="1:16">
      <c r="A213" s="197">
        <v>42855</v>
      </c>
      <c r="B213" s="129">
        <v>0.63514537730530618</v>
      </c>
      <c r="C213" s="129">
        <v>0.19865839689278991</v>
      </c>
      <c r="D213" s="129">
        <v>5.4687250736902025E-2</v>
      </c>
      <c r="E213" s="129">
        <v>6.7122032922506528E-2</v>
      </c>
      <c r="F213" s="129">
        <v>1.1955409416743987E-2</v>
      </c>
      <c r="G213" s="129">
        <v>0</v>
      </c>
      <c r="H213" s="129">
        <v>0</v>
      </c>
      <c r="I213" s="129">
        <v>0</v>
      </c>
      <c r="J213" s="129">
        <v>0</v>
      </c>
      <c r="K213" s="129">
        <v>0</v>
      </c>
      <c r="L213" s="129">
        <v>6.9866954975564867E-6</v>
      </c>
      <c r="M213" s="129">
        <v>1.8988834705356662E-2</v>
      </c>
      <c r="N213" s="129">
        <v>8.5241653954918706E-4</v>
      </c>
      <c r="O213" s="129">
        <v>1.2583294785348E-2</v>
      </c>
    </row>
    <row r="214" spans="1:16">
      <c r="A214" s="197">
        <v>42886</v>
      </c>
      <c r="B214" s="129">
        <v>0.63351080956928651</v>
      </c>
      <c r="C214" s="129">
        <v>0.19945116374984218</v>
      </c>
      <c r="D214" s="129">
        <v>5.4099817943684438E-2</v>
      </c>
      <c r="E214" s="129">
        <v>6.7597471530062292E-2</v>
      </c>
      <c r="F214" s="129">
        <v>1.1964544836231182E-2</v>
      </c>
      <c r="G214" s="129">
        <v>0</v>
      </c>
      <c r="H214" s="129">
        <v>0</v>
      </c>
      <c r="I214" s="129">
        <v>0</v>
      </c>
      <c r="J214" s="129">
        <v>0</v>
      </c>
      <c r="K214" s="129">
        <v>0</v>
      </c>
      <c r="L214" s="129">
        <v>6.7843327297354753E-6</v>
      </c>
      <c r="M214" s="129">
        <v>1.9170389155892965E-2</v>
      </c>
      <c r="N214" s="129">
        <v>8.3725834611446523E-4</v>
      </c>
      <c r="O214" s="129">
        <v>1.336176053615626E-2</v>
      </c>
    </row>
    <row r="215" spans="1:16">
      <c r="A215" s="197">
        <v>42916</v>
      </c>
      <c r="B215" s="129">
        <v>0.62321661790458849</v>
      </c>
      <c r="C215" s="129">
        <v>0.20550347013435213</v>
      </c>
      <c r="D215" s="129">
        <v>5.5710509582802319E-2</v>
      </c>
      <c r="E215" s="129">
        <v>6.9574832304444861E-2</v>
      </c>
      <c r="F215" s="129">
        <v>1.2238880388022179E-2</v>
      </c>
      <c r="G215" s="129">
        <v>0</v>
      </c>
      <c r="H215" s="129">
        <v>0</v>
      </c>
      <c r="I215" s="129">
        <v>0</v>
      </c>
      <c r="J215" s="129">
        <v>0</v>
      </c>
      <c r="K215" s="129">
        <v>0</v>
      </c>
      <c r="L215" s="129">
        <v>6.4651722283143729E-6</v>
      </c>
      <c r="M215" s="129">
        <v>1.9027007099597183E-2</v>
      </c>
      <c r="N215" s="129">
        <v>8.5200298649966151E-4</v>
      </c>
      <c r="O215" s="129">
        <v>1.3870214427464828E-2</v>
      </c>
    </row>
    <row r="216" spans="1:16">
      <c r="A216" s="197">
        <v>42947</v>
      </c>
      <c r="B216" s="129">
        <v>0.62716089645044071</v>
      </c>
      <c r="C216" s="129">
        <v>0.20136596400993656</v>
      </c>
      <c r="D216" s="129">
        <v>5.4353479796315142E-2</v>
      </c>
      <c r="E216" s="129">
        <v>6.8557935382844895E-2</v>
      </c>
      <c r="F216" s="129">
        <v>1.1812968007314651E-2</v>
      </c>
      <c r="G216" s="129">
        <v>0</v>
      </c>
      <c r="H216" s="129">
        <v>0</v>
      </c>
      <c r="I216" s="129">
        <v>0</v>
      </c>
      <c r="J216" s="129">
        <v>0</v>
      </c>
      <c r="K216" s="129">
        <v>0</v>
      </c>
      <c r="L216" s="129">
        <v>6.188679482392812E-6</v>
      </c>
      <c r="M216" s="129">
        <v>2.2171639809150261E-2</v>
      </c>
      <c r="N216" s="129">
        <v>8.3464528508096693E-4</v>
      </c>
      <c r="O216" s="129">
        <v>1.3736282579434315E-2</v>
      </c>
    </row>
    <row r="217" spans="1:16">
      <c r="A217" s="197">
        <v>42978</v>
      </c>
      <c r="B217" s="129">
        <v>0.62686860044955195</v>
      </c>
      <c r="C217" s="129">
        <v>0.20430720997597474</v>
      </c>
      <c r="D217" s="129">
        <v>5.5530909782260177E-2</v>
      </c>
      <c r="E217" s="129">
        <v>6.577069446908039E-2</v>
      </c>
      <c r="F217" s="129">
        <v>1.1253867242359571E-2</v>
      </c>
      <c r="G217" s="129">
        <v>0</v>
      </c>
      <c r="H217" s="129">
        <v>0</v>
      </c>
      <c r="I217" s="129">
        <v>0</v>
      </c>
      <c r="J217" s="129">
        <v>0</v>
      </c>
      <c r="K217" s="129">
        <v>0</v>
      </c>
      <c r="L217" s="129">
        <v>5.8194797825068803E-6</v>
      </c>
      <c r="M217" s="129">
        <v>2.1747961215292738E-2</v>
      </c>
      <c r="N217" s="129">
        <v>8.186734591672716E-4</v>
      </c>
      <c r="O217" s="129">
        <v>1.3696263926530715E-2</v>
      </c>
    </row>
    <row r="218" spans="1:16">
      <c r="A218" s="197">
        <v>43008</v>
      </c>
      <c r="B218" s="129">
        <v>0.62856709633829944</v>
      </c>
      <c r="C218" s="129">
        <v>0.20402516309670651</v>
      </c>
      <c r="D218" s="129">
        <v>5.5237133351732561E-2</v>
      </c>
      <c r="E218" s="129">
        <v>6.5252790938053667E-2</v>
      </c>
      <c r="F218" s="129">
        <v>1.1245683221565042E-2</v>
      </c>
      <c r="G218" s="129">
        <v>0</v>
      </c>
      <c r="H218" s="129">
        <v>0</v>
      </c>
      <c r="I218" s="129">
        <v>0</v>
      </c>
      <c r="J218" s="129">
        <v>0</v>
      </c>
      <c r="K218" s="129">
        <v>0</v>
      </c>
      <c r="L218" s="129">
        <v>5.6214126351493381E-6</v>
      </c>
      <c r="M218" s="129">
        <v>2.1656093334061117E-2</v>
      </c>
      <c r="N218" s="129">
        <v>8.1696777065714263E-4</v>
      </c>
      <c r="O218" s="129">
        <v>1.3193450536289269E-2</v>
      </c>
    </row>
    <row r="219" spans="1:16">
      <c r="A219" s="197">
        <v>43039</v>
      </c>
      <c r="B219" s="129">
        <v>0.62537888900505401</v>
      </c>
      <c r="C219" s="129">
        <v>0.20606292426794551</v>
      </c>
      <c r="D219" s="129">
        <v>5.5885857439882648E-2</v>
      </c>
      <c r="E219" s="129">
        <v>6.5736395917463553E-2</v>
      </c>
      <c r="F219" s="129">
        <v>1.1402669642885454E-2</v>
      </c>
      <c r="G219" s="129">
        <v>0</v>
      </c>
      <c r="H219" s="129">
        <v>0</v>
      </c>
      <c r="I219" s="129">
        <v>0</v>
      </c>
      <c r="J219" s="129">
        <v>0</v>
      </c>
      <c r="K219" s="129">
        <v>0</v>
      </c>
      <c r="L219" s="129">
        <v>5.3023200667433415E-6</v>
      </c>
      <c r="M219" s="129">
        <v>2.1406148036038769E-2</v>
      </c>
      <c r="N219" s="129">
        <v>8.3603580629354219E-4</v>
      </c>
      <c r="O219" s="129">
        <v>1.3285777564369808E-2</v>
      </c>
    </row>
    <row r="220" spans="1:16">
      <c r="A220" s="197">
        <v>43069</v>
      </c>
      <c r="B220" s="129">
        <v>0.62753240268522692</v>
      </c>
      <c r="C220" s="129">
        <v>0.20523587711753258</v>
      </c>
      <c r="D220" s="129">
        <v>5.5012027226182252E-2</v>
      </c>
      <c r="E220" s="129">
        <v>6.5520639635730626E-2</v>
      </c>
      <c r="F220" s="129">
        <v>1.1330576988408969E-2</v>
      </c>
      <c r="G220" s="129">
        <v>0</v>
      </c>
      <c r="H220" s="129">
        <v>0</v>
      </c>
      <c r="I220" s="129">
        <v>0</v>
      </c>
      <c r="J220" s="129">
        <v>0</v>
      </c>
      <c r="K220" s="129">
        <v>0</v>
      </c>
      <c r="L220" s="129">
        <v>5.1156141283336948E-6</v>
      </c>
      <c r="M220" s="129">
        <v>2.1243208760983654E-2</v>
      </c>
      <c r="N220" s="129">
        <v>8.0041728493946513E-4</v>
      </c>
      <c r="O220" s="129">
        <v>1.3319734686867157E-2</v>
      </c>
      <c r="P220" s="129"/>
    </row>
    <row r="221" spans="1:16">
      <c r="A221" s="197">
        <v>43100</v>
      </c>
      <c r="B221" s="129">
        <v>0.6191678518425372</v>
      </c>
      <c r="C221" s="129">
        <v>0.20188366712991271</v>
      </c>
      <c r="D221" s="129">
        <v>5.6202002430822642E-2</v>
      </c>
      <c r="E221" s="129">
        <v>6.3979870385363735E-2</v>
      </c>
      <c r="F221" s="129">
        <v>1.1035177433465933E-2</v>
      </c>
      <c r="G221" s="129">
        <v>0</v>
      </c>
      <c r="H221" s="129">
        <v>0</v>
      </c>
      <c r="I221" s="129">
        <v>0</v>
      </c>
      <c r="J221" s="129">
        <v>0</v>
      </c>
      <c r="K221" s="129">
        <v>0</v>
      </c>
      <c r="L221" s="129">
        <v>4.94573555278651E-6</v>
      </c>
      <c r="M221" s="129">
        <v>3.3896530410506442E-2</v>
      </c>
      <c r="N221" s="129">
        <v>8.3453179718122729E-4</v>
      </c>
      <c r="O221" s="129">
        <v>1.2995422834657336E-2</v>
      </c>
      <c r="P221" s="129"/>
    </row>
    <row r="222" spans="1:16">
      <c r="A222" s="197">
        <v>43131</v>
      </c>
      <c r="B222" s="129">
        <v>0.63293396394543955</v>
      </c>
      <c r="C222" s="129">
        <v>0.19374092658927192</v>
      </c>
      <c r="D222" s="129">
        <v>5.3560176552861799E-2</v>
      </c>
      <c r="E222" s="129">
        <v>6.4662629170094507E-2</v>
      </c>
      <c r="F222" s="129">
        <v>1.0457742301777604E-2</v>
      </c>
      <c r="G222" s="129">
        <v>0</v>
      </c>
      <c r="H222" s="129">
        <v>0</v>
      </c>
      <c r="I222" s="129">
        <v>0</v>
      </c>
      <c r="J222" s="129">
        <v>0</v>
      </c>
      <c r="K222" s="129">
        <v>0</v>
      </c>
      <c r="L222" s="129">
        <v>4.7767580356945764E-6</v>
      </c>
      <c r="M222" s="129">
        <v>3.1096067137355455E-2</v>
      </c>
      <c r="N222" s="129">
        <v>8.5784755872518039E-4</v>
      </c>
      <c r="O222" s="129">
        <v>1.2685869986438281E-2</v>
      </c>
    </row>
    <row r="223" spans="1:16">
      <c r="A223" s="197">
        <v>43159</v>
      </c>
      <c r="B223" s="129">
        <v>0.63630612990181323</v>
      </c>
      <c r="C223" s="129">
        <v>0.19157657551317869</v>
      </c>
      <c r="D223" s="129">
        <v>5.2964430146256611E-2</v>
      </c>
      <c r="E223" s="129">
        <v>6.3225399703531304E-2</v>
      </c>
      <c r="F223" s="129">
        <v>1.0252311014333654E-2</v>
      </c>
      <c r="G223" s="129">
        <v>0</v>
      </c>
      <c r="H223" s="129">
        <v>0</v>
      </c>
      <c r="I223" s="129">
        <v>0</v>
      </c>
      <c r="J223" s="129">
        <v>0</v>
      </c>
      <c r="K223" s="129">
        <v>0</v>
      </c>
      <c r="L223" s="129">
        <v>4.5535653193216006E-6</v>
      </c>
      <c r="M223" s="129">
        <v>3.1563034759872745E-2</v>
      </c>
      <c r="N223" s="129">
        <v>8.4576613762477049E-4</v>
      </c>
      <c r="O223" s="129">
        <v>1.3261799258069593E-2</v>
      </c>
      <c r="P223" s="128"/>
    </row>
    <row r="224" spans="1:16">
      <c r="A224" s="197">
        <v>43190</v>
      </c>
      <c r="B224" s="129">
        <v>0.64111766702140038</v>
      </c>
      <c r="C224" s="129">
        <v>0.18702292416454178</v>
      </c>
      <c r="D224" s="129">
        <v>5.1326610557879217E-2</v>
      </c>
      <c r="E224" s="129">
        <v>6.6113903694991608E-2</v>
      </c>
      <c r="F224" s="129">
        <v>9.9849514797286723E-3</v>
      </c>
      <c r="G224" s="129">
        <v>0</v>
      </c>
      <c r="H224" s="129">
        <v>0</v>
      </c>
      <c r="I224" s="129">
        <v>0</v>
      </c>
      <c r="J224" s="129">
        <v>0</v>
      </c>
      <c r="K224" s="129">
        <v>0</v>
      </c>
      <c r="L224" s="129">
        <v>4.3792099044891012E-6</v>
      </c>
      <c r="M224" s="129">
        <v>3.0678079472096102E-2</v>
      </c>
      <c r="N224" s="129">
        <v>8.1543655873394204E-4</v>
      </c>
      <c r="O224" s="129">
        <v>1.2936047840723783E-2</v>
      </c>
    </row>
    <row r="225" spans="1:15">
      <c r="A225" s="197">
        <v>43220</v>
      </c>
      <c r="B225" s="129">
        <v>0.64212987691107504</v>
      </c>
      <c r="C225" s="129">
        <v>0.18456716111089863</v>
      </c>
      <c r="D225" s="129">
        <v>5.0606966896217291E-2</v>
      </c>
      <c r="E225" s="129">
        <v>6.4802789365640739E-2</v>
      </c>
      <c r="F225" s="129">
        <v>9.874543149495622E-3</v>
      </c>
      <c r="G225" s="129">
        <v>0</v>
      </c>
      <c r="H225" s="129">
        <v>0</v>
      </c>
      <c r="I225" s="129">
        <v>0</v>
      </c>
      <c r="J225" s="129">
        <v>0</v>
      </c>
      <c r="K225" s="129">
        <v>0</v>
      </c>
      <c r="L225" s="129">
        <v>4.2386305128095476E-6</v>
      </c>
      <c r="M225" s="129">
        <v>3.2881901916669717E-2</v>
      </c>
      <c r="N225" s="129">
        <v>8.2541221809796816E-4</v>
      </c>
      <c r="O225" s="129">
        <v>1.4307109801392128E-2</v>
      </c>
    </row>
    <row r="226" spans="1:15">
      <c r="A226" s="197">
        <v>43251</v>
      </c>
      <c r="B226" s="129">
        <v>0.64428237123105114</v>
      </c>
      <c r="C226" s="129">
        <v>0.18495715932520942</v>
      </c>
      <c r="D226" s="129">
        <v>5.0405039099088098E-2</v>
      </c>
      <c r="E226" s="129">
        <v>6.4500956889731786E-2</v>
      </c>
      <c r="F226" s="129">
        <v>9.797052072208233E-3</v>
      </c>
      <c r="G226" s="129">
        <v>0</v>
      </c>
      <c r="H226" s="129">
        <v>0</v>
      </c>
      <c r="I226" s="129">
        <v>0</v>
      </c>
      <c r="J226" s="129">
        <v>0</v>
      </c>
      <c r="K226" s="129">
        <v>0</v>
      </c>
      <c r="L226" s="129">
        <v>3.9878544132687569E-6</v>
      </c>
      <c r="M226" s="129">
        <v>3.1156109635915308E-2</v>
      </c>
      <c r="N226" s="129">
        <v>8.3044216261442846E-4</v>
      </c>
      <c r="O226" s="129">
        <v>1.4066881729768062E-2</v>
      </c>
    </row>
    <row r="227" spans="1:15">
      <c r="A227" s="197">
        <v>43281</v>
      </c>
      <c r="B227" s="129">
        <v>0.64222265320969107</v>
      </c>
      <c r="C227" s="129">
        <v>0.1866121050019752</v>
      </c>
      <c r="D227" s="129">
        <v>5.070124533486324E-2</v>
      </c>
      <c r="E227" s="129">
        <v>6.4943731660921503E-2</v>
      </c>
      <c r="F227" s="129">
        <v>9.8052137107482971E-3</v>
      </c>
      <c r="G227" s="129">
        <v>0</v>
      </c>
      <c r="H227" s="129">
        <v>0</v>
      </c>
      <c r="I227" s="129">
        <v>0</v>
      </c>
      <c r="J227" s="129">
        <v>0</v>
      </c>
      <c r="K227" s="129">
        <v>0</v>
      </c>
      <c r="L227" s="129">
        <v>3.1946388584075486E-6</v>
      </c>
      <c r="M227" s="129">
        <v>3.0733108956965939E-2</v>
      </c>
      <c r="N227" s="129">
        <v>8.2024429859632608E-4</v>
      </c>
      <c r="O227" s="129">
        <v>1.4158393048515192E-2</v>
      </c>
    </row>
    <row r="228" spans="1:15">
      <c r="A228" s="197">
        <v>43312</v>
      </c>
      <c r="B228" s="129">
        <v>0.65030137496091589</v>
      </c>
      <c r="C228" s="129">
        <v>0.18158489792908158</v>
      </c>
      <c r="D228" s="129">
        <v>4.9217796642407059E-2</v>
      </c>
      <c r="E228" s="129">
        <v>6.3177159039230227E-2</v>
      </c>
      <c r="F228" s="129">
        <v>9.4624834182065326E-3</v>
      </c>
      <c r="G228" s="129">
        <v>0</v>
      </c>
      <c r="H228" s="129">
        <v>0</v>
      </c>
      <c r="I228" s="129">
        <v>0</v>
      </c>
      <c r="J228" s="129">
        <v>0</v>
      </c>
      <c r="K228" s="129">
        <v>0</v>
      </c>
      <c r="L228" s="129">
        <v>3.0452707757217219E-6</v>
      </c>
      <c r="M228" s="129">
        <v>3.1728006002169878E-2</v>
      </c>
      <c r="N228" s="129">
        <v>8.1640126938022908E-4</v>
      </c>
      <c r="O228" s="129">
        <v>1.3708736701339685E-2</v>
      </c>
    </row>
    <row r="229" spans="1:15">
      <c r="A229" s="197">
        <v>43343</v>
      </c>
      <c r="B229" s="129">
        <v>0.64632298950029021</v>
      </c>
      <c r="C229" s="129">
        <v>0.18500307172936711</v>
      </c>
      <c r="D229" s="129">
        <v>5.0312652653960163E-2</v>
      </c>
      <c r="E229" s="129">
        <v>6.3923258447841455E-2</v>
      </c>
      <c r="F229" s="129">
        <v>9.6416139381365704E-3</v>
      </c>
      <c r="G229" s="129">
        <v>0</v>
      </c>
      <c r="H229" s="129">
        <v>0</v>
      </c>
      <c r="I229" s="129">
        <v>0</v>
      </c>
      <c r="J229" s="129">
        <v>0</v>
      </c>
      <c r="K229" s="129">
        <v>0</v>
      </c>
      <c r="L229" s="129">
        <v>2.908602328677448E-6</v>
      </c>
      <c r="M229" s="129">
        <v>2.9974401830918072E-2</v>
      </c>
      <c r="N229" s="129">
        <v>7.9593188726405329E-4</v>
      </c>
      <c r="O229" s="129">
        <v>1.4023090072665133E-2</v>
      </c>
    </row>
    <row r="230" spans="1:15">
      <c r="A230" s="197">
        <v>43373</v>
      </c>
      <c r="B230" s="129">
        <v>0.65038997421433808</v>
      </c>
      <c r="C230" s="129">
        <v>0.18192566009061314</v>
      </c>
      <c r="D230" s="129">
        <v>4.9176410415193723E-2</v>
      </c>
      <c r="E230" s="129">
        <v>6.2520080143275064E-2</v>
      </c>
      <c r="F230" s="129">
        <v>9.4740960958027091E-3</v>
      </c>
      <c r="G230" s="129">
        <v>0</v>
      </c>
      <c r="H230" s="129">
        <v>0</v>
      </c>
      <c r="I230" s="129">
        <v>0</v>
      </c>
      <c r="J230" s="129">
        <v>0</v>
      </c>
      <c r="K230" s="129">
        <v>0</v>
      </c>
      <c r="L230" s="129">
        <v>2.908602328677448E-6</v>
      </c>
      <c r="M230" s="129">
        <v>2.9826120307078336E-2</v>
      </c>
      <c r="N230" s="129">
        <v>7.9461022097930306E-4</v>
      </c>
      <c r="O230" s="129">
        <v>1.5893048512719662E-2</v>
      </c>
    </row>
    <row r="231" spans="1:15">
      <c r="A231" s="197">
        <v>43404</v>
      </c>
      <c r="B231" s="129">
        <v>0.63334935952938121</v>
      </c>
      <c r="C231" s="129">
        <v>0.19544227503541917</v>
      </c>
      <c r="D231" s="129">
        <v>5.11491399917633E-2</v>
      </c>
      <c r="E231" s="129">
        <v>6.4338159332836348E-2</v>
      </c>
      <c r="F231" s="129">
        <v>9.8819136762212795E-3</v>
      </c>
      <c r="G231" s="129">
        <v>0</v>
      </c>
      <c r="H231" s="129">
        <v>0</v>
      </c>
      <c r="I231" s="129">
        <v>0</v>
      </c>
      <c r="J231" s="129">
        <v>0</v>
      </c>
      <c r="K231" s="129">
        <v>0</v>
      </c>
      <c r="L231" s="129">
        <v>2.908602328677448E-6</v>
      </c>
      <c r="M231" s="129">
        <v>2.7169861008816791E-2</v>
      </c>
      <c r="N231" s="129">
        <v>7.7370456825246966E-4</v>
      </c>
      <c r="O231" s="129">
        <v>1.7895586857309378E-2</v>
      </c>
    </row>
    <row r="232" spans="1:15">
      <c r="A232" s="197">
        <v>43434</v>
      </c>
      <c r="B232" s="129">
        <v>0.62869699448950744</v>
      </c>
      <c r="C232" s="129">
        <v>0.19758564263014416</v>
      </c>
      <c r="D232" s="129">
        <v>5.1283979563686591E-2</v>
      </c>
      <c r="E232" s="129">
        <v>6.5618966596491815E-2</v>
      </c>
      <c r="F232" s="129">
        <v>1.0900814217282215E-2</v>
      </c>
      <c r="G232" s="129">
        <v>0</v>
      </c>
      <c r="H232" s="129">
        <v>0</v>
      </c>
      <c r="I232" s="129">
        <v>0</v>
      </c>
      <c r="J232" s="129">
        <v>0</v>
      </c>
      <c r="K232" s="129">
        <v>0</v>
      </c>
      <c r="L232" s="129">
        <v>0</v>
      </c>
      <c r="M232" s="129">
        <v>2.7170936548965765E-2</v>
      </c>
      <c r="N232" s="129">
        <v>7.9103294717242773E-4</v>
      </c>
      <c r="O232" s="129">
        <v>1.7951633006749686E-2</v>
      </c>
    </row>
    <row r="233" spans="1:15">
      <c r="A233" s="197">
        <v>43465</v>
      </c>
      <c r="B233" s="129">
        <v>0.61897164447480224</v>
      </c>
      <c r="C233" s="129">
        <v>0.19641890445427845</v>
      </c>
      <c r="D233" s="129">
        <v>5.5014536413086755E-2</v>
      </c>
      <c r="E233" s="129">
        <v>6.5236542036902628E-2</v>
      </c>
      <c r="F233" s="129">
        <v>1.1758331232653253E-2</v>
      </c>
      <c r="G233" s="129">
        <v>0</v>
      </c>
      <c r="H233" s="129">
        <v>0</v>
      </c>
      <c r="I233" s="129">
        <v>0</v>
      </c>
      <c r="J233" s="129">
        <v>0</v>
      </c>
      <c r="K233" s="129">
        <v>0</v>
      </c>
      <c r="L233" s="129">
        <v>0</v>
      </c>
      <c r="M233" s="129">
        <v>3.4098822567112171E-2</v>
      </c>
      <c r="N233" s="129">
        <v>7.6623722518596462E-4</v>
      </c>
      <c r="O233" s="129">
        <v>1.7734981595978302E-2</v>
      </c>
    </row>
    <row r="234" spans="1:15">
      <c r="A234" s="197">
        <v>43496</v>
      </c>
      <c r="B234" s="129">
        <v>0.62143735320812843</v>
      </c>
      <c r="C234" s="129">
        <v>0.20209959883102621</v>
      </c>
      <c r="D234" s="129">
        <v>5.2757676577993913E-2</v>
      </c>
      <c r="E234" s="129">
        <v>6.2728471605507832E-2</v>
      </c>
      <c r="F234" s="129">
        <v>1.1221020058268886E-2</v>
      </c>
      <c r="G234" s="129">
        <v>0</v>
      </c>
      <c r="H234" s="129">
        <v>0</v>
      </c>
      <c r="I234" s="129">
        <v>0</v>
      </c>
      <c r="J234" s="129">
        <v>0</v>
      </c>
      <c r="K234" s="129">
        <v>0</v>
      </c>
      <c r="L234" s="129">
        <v>0</v>
      </c>
      <c r="M234" s="129">
        <v>3.1856416132337056E-2</v>
      </c>
      <c r="N234" s="129">
        <v>7.8857287996623928E-4</v>
      </c>
      <c r="O234" s="129">
        <v>1.7110890706771555E-2</v>
      </c>
    </row>
    <row r="235" spans="1:15">
      <c r="A235" s="197">
        <v>43524</v>
      </c>
      <c r="B235" s="129">
        <v>0.63279177795812036</v>
      </c>
      <c r="C235" s="129">
        <v>0.19606493513364681</v>
      </c>
      <c r="D235" s="129">
        <v>5.0979587663942887E-2</v>
      </c>
      <c r="E235" s="129">
        <v>6.0259585462811828E-2</v>
      </c>
      <c r="F235" s="129">
        <v>1.0811753475739651E-2</v>
      </c>
      <c r="G235" s="129">
        <v>0</v>
      </c>
      <c r="H235" s="129">
        <v>0</v>
      </c>
      <c r="I235" s="129">
        <v>0</v>
      </c>
      <c r="J235" s="129">
        <v>0</v>
      </c>
      <c r="K235" s="129">
        <v>0</v>
      </c>
      <c r="L235" s="129">
        <v>0</v>
      </c>
      <c r="M235" s="129">
        <v>3.1794744170441008E-2</v>
      </c>
      <c r="N235" s="129">
        <v>7.8705908482812933E-4</v>
      </c>
      <c r="O235" s="129">
        <v>1.6510557050469225E-2</v>
      </c>
    </row>
    <row r="236" spans="1:15">
      <c r="A236" s="197">
        <v>43555</v>
      </c>
      <c r="B236" s="129">
        <v>0.63256341224642731</v>
      </c>
      <c r="C236" s="129">
        <v>0.19406117954969332</v>
      </c>
      <c r="D236" s="129">
        <v>5.2049861645173258E-2</v>
      </c>
      <c r="E236" s="129">
        <v>6.12301407150029E-2</v>
      </c>
      <c r="F236" s="129">
        <v>1.1094016774956314E-2</v>
      </c>
      <c r="G236" s="129">
        <v>0</v>
      </c>
      <c r="H236" s="129">
        <v>0</v>
      </c>
      <c r="I236" s="129">
        <v>0</v>
      </c>
      <c r="J236" s="129">
        <v>0</v>
      </c>
      <c r="K236" s="129">
        <v>0</v>
      </c>
      <c r="L236" s="129">
        <v>0</v>
      </c>
      <c r="M236" s="129">
        <v>3.1408847830313905E-2</v>
      </c>
      <c r="N236" s="129">
        <v>8.0273179150609189E-4</v>
      </c>
      <c r="O236" s="129">
        <v>1.678980944692704E-2</v>
      </c>
    </row>
    <row r="237" spans="1:15">
      <c r="A237" s="197">
        <v>43585</v>
      </c>
      <c r="B237" s="129">
        <v>0.6292839102731238</v>
      </c>
      <c r="C237" s="129">
        <v>0.19630072209852348</v>
      </c>
      <c r="D237" s="129">
        <v>5.2568622075317366E-2</v>
      </c>
      <c r="E237" s="129">
        <v>6.1632044134383508E-2</v>
      </c>
      <c r="F237" s="129">
        <v>1.1248709494202667E-2</v>
      </c>
      <c r="G237" s="129">
        <v>0</v>
      </c>
      <c r="H237" s="129">
        <v>0</v>
      </c>
      <c r="I237" s="129">
        <v>0</v>
      </c>
      <c r="J237" s="129">
        <v>0</v>
      </c>
      <c r="K237" s="129">
        <v>0</v>
      </c>
      <c r="L237" s="129">
        <v>0</v>
      </c>
      <c r="M237" s="129">
        <v>3.1256947499498346E-2</v>
      </c>
      <c r="N237" s="129">
        <v>7.443195676358537E-4</v>
      </c>
      <c r="O237" s="129">
        <v>1.6964724857315042E-2</v>
      </c>
    </row>
    <row r="238" spans="1:15">
      <c r="A238" s="197">
        <v>43616</v>
      </c>
      <c r="B238" s="129">
        <v>0.6232127309959844</v>
      </c>
      <c r="C238" s="129">
        <v>0.20043154123119067</v>
      </c>
      <c r="D238" s="129">
        <v>5.3210271464588094E-2</v>
      </c>
      <c r="E238" s="129">
        <v>6.3127372814860222E-2</v>
      </c>
      <c r="F238" s="129">
        <v>1.1199827598905934E-2</v>
      </c>
      <c r="G238" s="129">
        <v>0</v>
      </c>
      <c r="H238" s="129">
        <v>0</v>
      </c>
      <c r="I238" s="129">
        <v>0</v>
      </c>
      <c r="J238" s="129">
        <v>0</v>
      </c>
      <c r="K238" s="129">
        <v>0</v>
      </c>
      <c r="L238" s="129">
        <v>0</v>
      </c>
      <c r="M238" s="129">
        <v>3.090803004466279E-2</v>
      </c>
      <c r="N238" s="129">
        <v>7.7082625258759836E-4</v>
      </c>
      <c r="O238" s="129">
        <v>1.7139399597220144E-2</v>
      </c>
    </row>
    <row r="239" spans="1:15">
      <c r="A239" s="197">
        <v>43646</v>
      </c>
      <c r="B239" s="129">
        <v>0.63746071405720361</v>
      </c>
      <c r="C239" s="129">
        <v>0.19139619787422407</v>
      </c>
      <c r="D239" s="129">
        <v>5.0361436011743532E-2</v>
      </c>
      <c r="E239" s="129">
        <v>6.0448611656501595E-2</v>
      </c>
      <c r="F239" s="129">
        <v>1.0609786132397927E-2</v>
      </c>
      <c r="G239" s="129">
        <v>0</v>
      </c>
      <c r="H239" s="129">
        <v>0</v>
      </c>
      <c r="I239" s="129">
        <v>0</v>
      </c>
      <c r="J239" s="129">
        <v>0</v>
      </c>
      <c r="K239" s="129">
        <v>0</v>
      </c>
      <c r="L239" s="129">
        <v>0</v>
      </c>
      <c r="M239" s="129">
        <v>3.2571549959254334E-2</v>
      </c>
      <c r="N239" s="129">
        <v>7.6992910201241873E-4</v>
      </c>
      <c r="O239" s="129">
        <v>1.6381775206662341E-2</v>
      </c>
    </row>
    <row r="240" spans="1:15">
      <c r="A240" s="197">
        <v>43677</v>
      </c>
      <c r="B240" s="129">
        <v>0.63089232943953</v>
      </c>
      <c r="C240" s="129">
        <v>0.19210712586981235</v>
      </c>
      <c r="D240" s="129">
        <v>5.0682779295154252E-2</v>
      </c>
      <c r="E240" s="129">
        <v>6.0304258528932654E-2</v>
      </c>
      <c r="F240" s="129">
        <v>1.0618759053415512E-2</v>
      </c>
      <c r="G240" s="129">
        <v>0</v>
      </c>
      <c r="H240" s="129">
        <v>0</v>
      </c>
      <c r="I240" s="129">
        <v>0</v>
      </c>
      <c r="J240" s="129">
        <v>0</v>
      </c>
      <c r="K240" s="129">
        <v>0</v>
      </c>
      <c r="L240" s="129">
        <v>0</v>
      </c>
      <c r="M240" s="129">
        <v>3.8421842776926958E-2</v>
      </c>
      <c r="N240" s="129">
        <v>7.5153485519632195E-4</v>
      </c>
      <c r="O240" s="129">
        <v>1.6221370181031945E-2</v>
      </c>
    </row>
    <row r="241" spans="1:15">
      <c r="A241" s="197">
        <v>43708</v>
      </c>
      <c r="B241" s="129">
        <v>0.62362126784015082</v>
      </c>
      <c r="C241" s="129">
        <v>0.19723109165742658</v>
      </c>
      <c r="D241" s="129">
        <v>5.1979995495155903E-2</v>
      </c>
      <c r="E241" s="129">
        <v>6.1323320132771343E-2</v>
      </c>
      <c r="F241" s="129">
        <v>1.0870275445259267E-2</v>
      </c>
      <c r="G241" s="129">
        <v>0</v>
      </c>
      <c r="H241" s="129">
        <v>0</v>
      </c>
      <c r="I241" s="129">
        <v>0</v>
      </c>
      <c r="J241" s="129">
        <v>0</v>
      </c>
      <c r="K241" s="129">
        <v>0</v>
      </c>
      <c r="L241" s="129">
        <v>0</v>
      </c>
      <c r="M241" s="129">
        <v>3.7662669853863039E-2</v>
      </c>
      <c r="N241" s="129">
        <v>7.501400339543665E-4</v>
      </c>
      <c r="O241" s="129">
        <v>1.6561239541418457E-2</v>
      </c>
    </row>
    <row r="242" spans="1:15">
      <c r="A242" s="197">
        <v>43738</v>
      </c>
      <c r="B242" s="129">
        <v>0.61478167911814297</v>
      </c>
      <c r="C242" s="129">
        <v>0.19989526315752734</v>
      </c>
      <c r="D242" s="129">
        <v>5.484517305159655E-2</v>
      </c>
      <c r="E242" s="129">
        <v>6.2119813911036208E-2</v>
      </c>
      <c r="F242" s="129">
        <v>1.1016989459521995E-2</v>
      </c>
      <c r="G242" s="129">
        <v>0</v>
      </c>
      <c r="H242" s="129">
        <v>0</v>
      </c>
      <c r="I242" s="129">
        <v>0</v>
      </c>
      <c r="J242" s="129">
        <v>0</v>
      </c>
      <c r="K242" s="129">
        <v>0</v>
      </c>
      <c r="L242" s="129">
        <v>0</v>
      </c>
      <c r="M242" s="129">
        <v>3.9787525005827218E-2</v>
      </c>
      <c r="N242" s="129">
        <v>7.6071256681733079E-4</v>
      </c>
      <c r="O242" s="129">
        <v>1.6792843729530479E-2</v>
      </c>
    </row>
    <row r="243" spans="1:15">
      <c r="A243" s="197">
        <v>43769</v>
      </c>
      <c r="B243" s="129">
        <v>0.62039653187305344</v>
      </c>
      <c r="C243" s="129">
        <v>0.19659402839771406</v>
      </c>
      <c r="D243" s="129">
        <v>5.3705928055649131E-2</v>
      </c>
      <c r="E243" s="129">
        <v>6.1022535877821332E-2</v>
      </c>
      <c r="F243" s="129">
        <v>1.0815902051956055E-2</v>
      </c>
      <c r="G243" s="129">
        <v>0</v>
      </c>
      <c r="H243" s="129">
        <v>0</v>
      </c>
      <c r="I243" s="129">
        <v>0</v>
      </c>
      <c r="J243" s="129">
        <v>0</v>
      </c>
      <c r="K243" s="129">
        <v>0</v>
      </c>
      <c r="L243" s="129">
        <v>0</v>
      </c>
      <c r="M243" s="129">
        <v>4.0082103036956654E-2</v>
      </c>
      <c r="N243" s="129">
        <v>7.4445630341546767E-4</v>
      </c>
      <c r="O243" s="129">
        <v>1.6638514403433554E-2</v>
      </c>
    </row>
    <row r="244" spans="1:15">
      <c r="A244" s="197">
        <v>43799</v>
      </c>
      <c r="B244" s="129">
        <v>0.61558908561194658</v>
      </c>
      <c r="C244" s="129">
        <v>0.19637756187456754</v>
      </c>
      <c r="D244" s="129">
        <v>5.3983495160734862E-2</v>
      </c>
      <c r="E244" s="129">
        <v>6.6520282233808889E-2</v>
      </c>
      <c r="F244" s="129">
        <v>1.0733166609885412E-2</v>
      </c>
      <c r="G244" s="129">
        <v>0</v>
      </c>
      <c r="H244" s="129">
        <v>0</v>
      </c>
      <c r="I244" s="129">
        <v>0</v>
      </c>
      <c r="J244" s="129">
        <v>0</v>
      </c>
      <c r="K244" s="129">
        <v>0</v>
      </c>
      <c r="L244" s="129">
        <v>0</v>
      </c>
      <c r="M244" s="129">
        <v>3.9377779209204454E-2</v>
      </c>
      <c r="N244" s="129">
        <v>7.4194351208634653E-4</v>
      </c>
      <c r="O244" s="129">
        <v>1.6676685787765919E-2</v>
      </c>
    </row>
    <row r="245" spans="1:15">
      <c r="A245" s="197">
        <v>43830</v>
      </c>
      <c r="B245" s="129">
        <v>0.62376810917363135</v>
      </c>
      <c r="C245" s="129">
        <v>0.19109124489713408</v>
      </c>
      <c r="D245" s="129">
        <v>5.6154816905050239E-2</v>
      </c>
      <c r="E245" s="129">
        <v>6.4793110472852231E-2</v>
      </c>
      <c r="F245" s="129">
        <v>1.0624781444061831E-2</v>
      </c>
      <c r="G245" s="129">
        <v>0</v>
      </c>
      <c r="H245" s="129">
        <v>0</v>
      </c>
      <c r="I245" s="129">
        <v>0</v>
      </c>
      <c r="J245" s="129">
        <v>0</v>
      </c>
      <c r="K245" s="129">
        <v>0</v>
      </c>
      <c r="L245" s="129">
        <v>0</v>
      </c>
      <c r="M245" s="129">
        <v>3.6994698761750218E-2</v>
      </c>
      <c r="N245" s="129">
        <v>7.6796207369174061E-4</v>
      </c>
      <c r="O245" s="129">
        <v>1.5805276271828417E-2</v>
      </c>
    </row>
    <row r="246" spans="1:15">
      <c r="A246" s="197">
        <v>43861</v>
      </c>
      <c r="B246" s="129">
        <v>0.59994194050819216</v>
      </c>
      <c r="C246" s="129">
        <v>0.19605541720960873</v>
      </c>
      <c r="D246" s="129">
        <v>5.5395241631545973E-2</v>
      </c>
      <c r="E246" s="129">
        <v>6.3534353791104628E-2</v>
      </c>
      <c r="F246" s="129">
        <v>1.3322032336867285E-2</v>
      </c>
      <c r="G246" s="129">
        <v>0</v>
      </c>
      <c r="H246" s="129">
        <v>0</v>
      </c>
      <c r="I246" s="129">
        <v>0</v>
      </c>
      <c r="J246" s="129">
        <v>0</v>
      </c>
      <c r="K246" s="129">
        <v>0</v>
      </c>
      <c r="L246" s="129">
        <v>0</v>
      </c>
      <c r="M246" s="129">
        <v>5.5480711329791786E-2</v>
      </c>
      <c r="N246" s="129">
        <v>7.3063824660415846E-4</v>
      </c>
      <c r="O246" s="129">
        <v>1.5539664946285439E-2</v>
      </c>
    </row>
    <row r="247" spans="1:15">
      <c r="A247" s="197">
        <v>43890</v>
      </c>
      <c r="B247" s="129">
        <v>0.60318937952762219</v>
      </c>
      <c r="C247" s="129">
        <v>0.19373554834417597</v>
      </c>
      <c r="D247" s="129">
        <v>5.5954109255575604E-2</v>
      </c>
      <c r="E247" s="129">
        <v>6.4155192233246713E-2</v>
      </c>
      <c r="F247" s="129">
        <v>1.3474522060515673E-2</v>
      </c>
      <c r="G247" s="129">
        <v>0</v>
      </c>
      <c r="H247" s="129">
        <v>0</v>
      </c>
      <c r="I247" s="129">
        <v>0</v>
      </c>
      <c r="J247" s="129">
        <v>0</v>
      </c>
      <c r="K247" s="129">
        <v>0</v>
      </c>
      <c r="L247" s="129">
        <v>0</v>
      </c>
      <c r="M247" s="129">
        <v>5.2814180643969179E-2</v>
      </c>
      <c r="N247" s="129">
        <v>7.2229137581730578E-4</v>
      </c>
      <c r="O247" s="129">
        <v>1.5954776559077278E-2</v>
      </c>
    </row>
    <row r="248" spans="1:15">
      <c r="A248" s="197">
        <v>43921</v>
      </c>
      <c r="B248" s="129">
        <v>0.56807991953721315</v>
      </c>
      <c r="C248" s="129">
        <v>0.21039386577549382</v>
      </c>
      <c r="D248" s="129">
        <v>6.0933468888399275E-2</v>
      </c>
      <c r="E248" s="129">
        <v>7.1823687131911992E-2</v>
      </c>
      <c r="F248" s="129">
        <v>1.4742014742015995E-2</v>
      </c>
      <c r="G248" s="129">
        <v>0</v>
      </c>
      <c r="H248" s="129">
        <v>0</v>
      </c>
      <c r="I248" s="129">
        <v>0</v>
      </c>
      <c r="J248" s="129">
        <v>0</v>
      </c>
      <c r="K248" s="129">
        <v>0</v>
      </c>
      <c r="L248" s="129">
        <v>0</v>
      </c>
      <c r="M248" s="129">
        <v>5.1725436851954992E-2</v>
      </c>
      <c r="N248" s="129">
        <v>6.9919633732603626E-4</v>
      </c>
      <c r="O248" s="129">
        <v>2.1602410735684766E-2</v>
      </c>
    </row>
    <row r="249" spans="1:15">
      <c r="A249" s="197">
        <v>43951</v>
      </c>
      <c r="B249" s="129">
        <v>0.57411852971885524</v>
      </c>
      <c r="C249" s="129">
        <v>0.20611197464084177</v>
      </c>
      <c r="D249" s="129">
        <v>6.1680754000880259E-2</v>
      </c>
      <c r="E249" s="129">
        <v>6.9651924769778328E-2</v>
      </c>
      <c r="F249" s="129">
        <v>1.4441168152564252E-2</v>
      </c>
      <c r="G249" s="129">
        <v>0</v>
      </c>
      <c r="H249" s="129">
        <v>0</v>
      </c>
      <c r="I249" s="129">
        <v>0</v>
      </c>
      <c r="J249" s="129">
        <v>0</v>
      </c>
      <c r="K249" s="129">
        <v>0</v>
      </c>
      <c r="L249" s="129">
        <v>0</v>
      </c>
      <c r="M249" s="129">
        <v>4.1034620640638536E-2</v>
      </c>
      <c r="N249" s="129">
        <v>1.931572478033901E-3</v>
      </c>
      <c r="O249" s="129">
        <v>3.1029455598407755E-2</v>
      </c>
    </row>
    <row r="250" spans="1:15">
      <c r="A250" s="197">
        <v>43982</v>
      </c>
      <c r="B250" s="129">
        <v>0.58282197325280838</v>
      </c>
      <c r="C250" s="129">
        <v>0.19401936070684039</v>
      </c>
      <c r="D250" s="129">
        <v>5.7257657958222706E-2</v>
      </c>
      <c r="E250" s="129">
        <v>6.8331324543643712E-2</v>
      </c>
      <c r="F250" s="129">
        <v>1.3292484933865915E-2</v>
      </c>
      <c r="G250" s="129">
        <v>0</v>
      </c>
      <c r="H250" s="129">
        <v>0</v>
      </c>
      <c r="I250" s="129">
        <v>0</v>
      </c>
      <c r="J250" s="129">
        <v>0</v>
      </c>
      <c r="K250" s="129">
        <v>0</v>
      </c>
      <c r="L250" s="129">
        <v>0</v>
      </c>
      <c r="M250" s="129">
        <v>4.6361583105907364E-2</v>
      </c>
      <c r="N250" s="129">
        <v>2.8024362479197032E-3</v>
      </c>
      <c r="O250" s="129">
        <v>3.5113179250792152E-2</v>
      </c>
    </row>
    <row r="251" spans="1:15">
      <c r="A251" s="197">
        <v>44012</v>
      </c>
      <c r="B251" s="129">
        <v>0.57127325402935081</v>
      </c>
      <c r="C251" s="129">
        <v>0.20908118239382617</v>
      </c>
      <c r="D251" s="129">
        <v>5.6648631584261512E-2</v>
      </c>
      <c r="E251" s="129">
        <v>6.8063942450474813E-2</v>
      </c>
      <c r="F251" s="129">
        <v>1.3110099807304177E-2</v>
      </c>
      <c r="G251" s="129">
        <v>0</v>
      </c>
      <c r="H251" s="129">
        <v>0</v>
      </c>
      <c r="I251" s="129">
        <v>0</v>
      </c>
      <c r="J251" s="129">
        <v>0</v>
      </c>
      <c r="K251" s="129">
        <v>0</v>
      </c>
      <c r="L251" s="129">
        <v>0</v>
      </c>
      <c r="M251" s="129">
        <v>4.3991984843541568E-2</v>
      </c>
      <c r="N251" s="129">
        <v>3.056991845582043E-3</v>
      </c>
      <c r="O251" s="129">
        <v>3.4773913045658959E-2</v>
      </c>
    </row>
    <row r="252" spans="1:15">
      <c r="A252" s="197">
        <v>44043</v>
      </c>
      <c r="B252" s="129">
        <v>0.56518265115690902</v>
      </c>
      <c r="C252" s="129">
        <v>0.20569893120376934</v>
      </c>
      <c r="D252" s="129">
        <v>6.0982956026139533E-2</v>
      </c>
      <c r="E252" s="129">
        <v>7.2145972765545921E-2</v>
      </c>
      <c r="F252" s="129">
        <v>1.2800579070353368E-2</v>
      </c>
      <c r="G252" s="129">
        <v>0</v>
      </c>
      <c r="H252" s="129">
        <v>0</v>
      </c>
      <c r="I252" s="129">
        <v>0</v>
      </c>
      <c r="J252" s="129">
        <v>0</v>
      </c>
      <c r="K252" s="129">
        <v>0</v>
      </c>
      <c r="L252" s="129">
        <v>0</v>
      </c>
      <c r="M252" s="129">
        <v>4.5639690457516202E-2</v>
      </c>
      <c r="N252" s="129">
        <v>3.0135041277239297E-3</v>
      </c>
      <c r="O252" s="129">
        <v>3.4535715192042675E-2</v>
      </c>
    </row>
    <row r="253" spans="1:15">
      <c r="A253" s="197">
        <v>44074</v>
      </c>
      <c r="B253" s="129">
        <v>0.56483789645508753</v>
      </c>
      <c r="C253" s="129">
        <v>0.20385168542367282</v>
      </c>
      <c r="D253" s="129">
        <v>6.030664175368073E-2</v>
      </c>
      <c r="E253" s="129">
        <v>7.1268127978900697E-2</v>
      </c>
      <c r="F253" s="129">
        <v>1.4841243863762947E-2</v>
      </c>
      <c r="G253" s="129">
        <v>0</v>
      </c>
      <c r="H253" s="129">
        <v>0</v>
      </c>
      <c r="I253" s="129">
        <v>0</v>
      </c>
      <c r="J253" s="129">
        <v>0</v>
      </c>
      <c r="K253" s="129">
        <v>0</v>
      </c>
      <c r="L253" s="129">
        <v>0</v>
      </c>
      <c r="M253" s="129">
        <v>4.6181674664416146E-2</v>
      </c>
      <c r="N253" s="129">
        <v>2.9863879962402592E-3</v>
      </c>
      <c r="O253" s="129">
        <v>3.5726341864238828E-2</v>
      </c>
    </row>
    <row r="254" spans="1:15">
      <c r="A254" s="197">
        <v>44104</v>
      </c>
      <c r="B254" s="129">
        <v>0.56174707987982975</v>
      </c>
      <c r="C254" s="129">
        <v>0.20590094637267345</v>
      </c>
      <c r="D254" s="129">
        <v>6.0808295721490851E-2</v>
      </c>
      <c r="E254" s="129">
        <v>7.1679138172263124E-2</v>
      </c>
      <c r="F254" s="129">
        <v>1.5030473140891927E-2</v>
      </c>
      <c r="G254" s="129">
        <v>0</v>
      </c>
      <c r="H254" s="129">
        <v>0</v>
      </c>
      <c r="I254" s="129">
        <v>0</v>
      </c>
      <c r="J254" s="129">
        <v>0</v>
      </c>
      <c r="K254" s="129">
        <v>0</v>
      </c>
      <c r="L254" s="129">
        <v>0</v>
      </c>
      <c r="M254" s="129">
        <v>4.5954196701461628E-2</v>
      </c>
      <c r="N254" s="129">
        <v>2.9385238810846329E-3</v>
      </c>
      <c r="O254" s="129">
        <v>3.594134613030444E-2</v>
      </c>
    </row>
    <row r="255" spans="1:15">
      <c r="A255" s="197">
        <v>44135</v>
      </c>
      <c r="B255" s="129">
        <v>0.56641426140653939</v>
      </c>
      <c r="C255" s="129">
        <v>0.20339313138468515</v>
      </c>
      <c r="D255" s="129">
        <v>5.9940850134312239E-2</v>
      </c>
      <c r="E255" s="129">
        <v>7.0639537252341442E-2</v>
      </c>
      <c r="F255" s="129">
        <v>1.4833475247969465E-2</v>
      </c>
      <c r="G255" s="129">
        <v>0</v>
      </c>
      <c r="H255" s="129">
        <v>0</v>
      </c>
      <c r="I255" s="129">
        <v>0</v>
      </c>
      <c r="J255" s="129">
        <v>0</v>
      </c>
      <c r="K255" s="129">
        <v>0</v>
      </c>
      <c r="L255" s="129">
        <v>0</v>
      </c>
      <c r="M255" s="129">
        <v>4.6155610596274564E-2</v>
      </c>
      <c r="N255" s="129">
        <v>3.0505934328627525E-3</v>
      </c>
      <c r="O255" s="129">
        <v>3.5572540545014929E-2</v>
      </c>
    </row>
    <row r="256" spans="1:15">
      <c r="A256" s="197">
        <v>44165</v>
      </c>
      <c r="B256" s="129">
        <v>0.57213314070010557</v>
      </c>
      <c r="C256" s="129">
        <v>0.19010403270317802</v>
      </c>
      <c r="D256" s="129">
        <v>5.5490762065105136E-2</v>
      </c>
      <c r="E256" s="129">
        <v>6.5990444367373433E-2</v>
      </c>
      <c r="F256" s="129">
        <v>1.3598934952370471E-2</v>
      </c>
      <c r="G256" s="129">
        <v>0</v>
      </c>
      <c r="H256" s="129">
        <v>0</v>
      </c>
      <c r="I256" s="129">
        <v>0</v>
      </c>
      <c r="J256" s="129">
        <v>0</v>
      </c>
      <c r="K256" s="129">
        <v>0</v>
      </c>
      <c r="L256" s="129">
        <v>0</v>
      </c>
      <c r="M256" s="129">
        <v>4.5675023391558808E-2</v>
      </c>
      <c r="N256" s="129">
        <v>2.3825337907834528E-2</v>
      </c>
      <c r="O256" s="129">
        <v>3.3182323912474034E-2</v>
      </c>
    </row>
    <row r="257" spans="1:16">
      <c r="A257" s="197">
        <v>44196</v>
      </c>
      <c r="B257" s="129">
        <v>0.56126194829291232</v>
      </c>
      <c r="C257" s="129">
        <v>0.17886153774980296</v>
      </c>
      <c r="D257" s="129">
        <v>5.195779466528521E-2</v>
      </c>
      <c r="E257" s="129">
        <v>6.2842266196902627E-2</v>
      </c>
      <c r="F257" s="129">
        <v>1.2667357129514473E-2</v>
      </c>
      <c r="G257" s="129">
        <v>0</v>
      </c>
      <c r="H257" s="129">
        <v>0</v>
      </c>
      <c r="I257" s="129">
        <v>0</v>
      </c>
      <c r="J257" s="129">
        <v>0</v>
      </c>
      <c r="K257" s="129">
        <v>0</v>
      </c>
      <c r="L257" s="129">
        <v>0</v>
      </c>
      <c r="M257" s="129">
        <v>4.4394563758692725E-2</v>
      </c>
      <c r="N257" s="129">
        <v>2.3541476502367528E-2</v>
      </c>
      <c r="O257" s="129">
        <v>6.4473055704522095E-2</v>
      </c>
    </row>
    <row r="258" spans="1:16">
      <c r="A258" s="197">
        <v>44227</v>
      </c>
      <c r="B258" s="129">
        <v>0.55856667627688672</v>
      </c>
      <c r="C258" s="129">
        <v>0.19053526046529851</v>
      </c>
      <c r="D258" s="129">
        <v>5.2774968986956008E-2</v>
      </c>
      <c r="E258" s="129">
        <v>6.3804422437625491E-2</v>
      </c>
      <c r="F258" s="129">
        <v>1.2760071905667121E-2</v>
      </c>
      <c r="G258" s="129">
        <v>0</v>
      </c>
      <c r="H258" s="129">
        <v>0</v>
      </c>
      <c r="I258" s="129">
        <v>0</v>
      </c>
      <c r="J258" s="129">
        <v>0</v>
      </c>
      <c r="K258" s="129">
        <v>0</v>
      </c>
      <c r="L258" s="129">
        <v>0</v>
      </c>
      <c r="M258" s="129">
        <v>3.3026248847325496E-2</v>
      </c>
      <c r="N258" s="129">
        <v>2.3089727263724113E-2</v>
      </c>
      <c r="O258" s="129">
        <v>6.5442623816516568E-2</v>
      </c>
    </row>
    <row r="259" spans="1:16">
      <c r="A259" s="197">
        <v>44255</v>
      </c>
      <c r="B259" s="129">
        <v>0.55846619008705001</v>
      </c>
      <c r="C259" s="129">
        <v>0.18959677735056793</v>
      </c>
      <c r="D259" s="129">
        <v>5.2379716271236852E-2</v>
      </c>
      <c r="E259" s="129">
        <v>6.337906368711374E-2</v>
      </c>
      <c r="F259" s="129">
        <v>1.2696703308887853E-2</v>
      </c>
      <c r="G259" s="129">
        <v>0</v>
      </c>
      <c r="H259" s="129">
        <v>0</v>
      </c>
      <c r="I259" s="129">
        <v>0</v>
      </c>
      <c r="J259" s="129">
        <v>0</v>
      </c>
      <c r="K259" s="129">
        <v>0</v>
      </c>
      <c r="L259" s="129">
        <v>0</v>
      </c>
      <c r="M259" s="129">
        <v>3.5738123270701312E-2</v>
      </c>
      <c r="N259" s="129">
        <v>2.279079054850076E-2</v>
      </c>
      <c r="O259" s="129">
        <v>6.4952635475941586E-2</v>
      </c>
    </row>
    <row r="260" spans="1:16">
      <c r="A260" s="197">
        <v>44286</v>
      </c>
      <c r="B260" s="129">
        <v>0.54913050804021235</v>
      </c>
      <c r="C260" s="129">
        <v>0.18748191221207805</v>
      </c>
      <c r="D260" s="129">
        <v>5.3891944338739929E-2</v>
      </c>
      <c r="E260" s="129">
        <v>6.7124844551465196E-2</v>
      </c>
      <c r="F260" s="129">
        <v>1.3119957137712249E-2</v>
      </c>
      <c r="G260" s="129">
        <v>0</v>
      </c>
      <c r="H260" s="129">
        <v>0</v>
      </c>
      <c r="I260" s="129">
        <v>0</v>
      </c>
      <c r="J260" s="129">
        <v>0</v>
      </c>
      <c r="K260" s="129">
        <v>0</v>
      </c>
      <c r="L260" s="129">
        <v>0</v>
      </c>
      <c r="M260" s="129">
        <v>4.0738746767601981E-2</v>
      </c>
      <c r="N260" s="129">
        <v>2.2613533097582444E-2</v>
      </c>
      <c r="O260" s="129">
        <v>6.5898553854608036E-2</v>
      </c>
    </row>
    <row r="261" spans="1:16">
      <c r="A261" s="197">
        <v>44316</v>
      </c>
      <c r="B261" s="129">
        <v>0.54623160835656193</v>
      </c>
      <c r="C261" s="129">
        <v>0.19540055835396633</v>
      </c>
      <c r="D261" s="129">
        <v>5.2114012731268561E-2</v>
      </c>
      <c r="E261" s="129">
        <v>6.5663781772367313E-2</v>
      </c>
      <c r="F261" s="129">
        <v>1.2720214624305287E-2</v>
      </c>
      <c r="G261" s="129">
        <v>0</v>
      </c>
      <c r="H261" s="129">
        <v>0</v>
      </c>
      <c r="I261" s="129">
        <v>0</v>
      </c>
      <c r="J261" s="129">
        <v>0</v>
      </c>
      <c r="K261" s="129">
        <v>0</v>
      </c>
      <c r="L261" s="129">
        <v>0</v>
      </c>
      <c r="M261" s="129">
        <v>4.0962095919070005E-2</v>
      </c>
      <c r="N261" s="129">
        <v>2.2054841925916099E-2</v>
      </c>
      <c r="O261" s="129">
        <v>6.4852886316544386E-2</v>
      </c>
    </row>
    <row r="262" spans="1:16">
      <c r="A262" s="197">
        <v>44347</v>
      </c>
      <c r="B262" s="129">
        <v>0.5510414601868463</v>
      </c>
      <c r="C262" s="129">
        <v>0.19353487984311316</v>
      </c>
      <c r="D262" s="129">
        <v>5.1224612205105713E-2</v>
      </c>
      <c r="E262" s="129">
        <v>6.5076622881500151E-2</v>
      </c>
      <c r="F262" s="129">
        <v>1.234890188627711E-2</v>
      </c>
      <c r="G262" s="129">
        <v>0</v>
      </c>
      <c r="H262" s="129">
        <v>0</v>
      </c>
      <c r="I262" s="129">
        <v>0</v>
      </c>
      <c r="J262" s="129">
        <v>0</v>
      </c>
      <c r="K262" s="129">
        <v>0</v>
      </c>
      <c r="L262" s="129">
        <v>0</v>
      </c>
      <c r="M262" s="129">
        <v>4.0597792204874236E-2</v>
      </c>
      <c r="N262" s="129">
        <v>2.1857399778617115E-2</v>
      </c>
      <c r="O262" s="129">
        <v>6.4318331013665977E-2</v>
      </c>
    </row>
    <row r="263" spans="1:16">
      <c r="A263" s="197">
        <v>44377</v>
      </c>
      <c r="B263" s="129">
        <v>0.55071647033986204</v>
      </c>
      <c r="C263" s="129">
        <v>0.19312596477449606</v>
      </c>
      <c r="D263" s="129">
        <v>5.1044462929605364E-2</v>
      </c>
      <c r="E263" s="129">
        <v>6.8698477592887996E-2</v>
      </c>
      <c r="F263" s="129">
        <v>1.2319141592568283E-2</v>
      </c>
      <c r="G263" s="129">
        <v>0</v>
      </c>
      <c r="H263" s="129">
        <v>0</v>
      </c>
      <c r="I263" s="129">
        <v>0</v>
      </c>
      <c r="J263" s="129">
        <v>0</v>
      </c>
      <c r="K263" s="129">
        <v>0</v>
      </c>
      <c r="L263" s="129">
        <v>0</v>
      </c>
      <c r="M263" s="129">
        <v>3.9095402733823177E-2</v>
      </c>
      <c r="N263" s="129">
        <v>2.1606807820480023E-2</v>
      </c>
      <c r="O263" s="129">
        <v>6.3393272216277205E-2</v>
      </c>
    </row>
    <row r="264" spans="1:16">
      <c r="A264" s="197">
        <v>44408</v>
      </c>
      <c r="B264" s="129">
        <v>0.54972148619142647</v>
      </c>
      <c r="C264" s="129">
        <v>0.19318389538995817</v>
      </c>
      <c r="D264" s="129">
        <v>5.1153251815742463E-2</v>
      </c>
      <c r="E264" s="129">
        <v>6.8878808697555624E-2</v>
      </c>
      <c r="F264" s="129">
        <v>1.2194709329044708E-2</v>
      </c>
      <c r="G264" s="129">
        <v>0</v>
      </c>
      <c r="H264" s="129">
        <v>0</v>
      </c>
      <c r="I264" s="129">
        <v>0</v>
      </c>
      <c r="J264" s="129">
        <v>0</v>
      </c>
      <c r="K264" s="129">
        <v>0</v>
      </c>
      <c r="L264" s="129">
        <v>0</v>
      </c>
      <c r="M264" s="129">
        <v>4.029400052030193E-2</v>
      </c>
      <c r="N264" s="129">
        <v>2.1087070663920172E-2</v>
      </c>
      <c r="O264" s="129">
        <v>6.34867773920504E-2</v>
      </c>
    </row>
    <row r="265" spans="1:16">
      <c r="A265" s="197">
        <v>44439</v>
      </c>
      <c r="B265" s="129">
        <v>0.55708886591668405</v>
      </c>
      <c r="C265" s="129">
        <v>0.19405551785672914</v>
      </c>
      <c r="D265" s="129">
        <v>5.1301393295771124E-2</v>
      </c>
      <c r="E265" s="129">
        <v>6.8591747479257614E-2</v>
      </c>
      <c r="F265" s="129">
        <v>1.2261758309213165E-2</v>
      </c>
      <c r="G265" s="129">
        <v>0</v>
      </c>
      <c r="H265" s="129">
        <v>0</v>
      </c>
      <c r="I265" s="129">
        <v>0</v>
      </c>
      <c r="J265" s="129">
        <v>0</v>
      </c>
      <c r="K265" s="129">
        <v>0</v>
      </c>
      <c r="L265" s="129">
        <v>0</v>
      </c>
      <c r="M265" s="129">
        <v>3.1806537862433315E-2</v>
      </c>
      <c r="N265" s="129">
        <v>2.1431347771872247E-2</v>
      </c>
      <c r="O265" s="129">
        <v>6.3462831508039469E-2</v>
      </c>
    </row>
    <row r="266" spans="1:16">
      <c r="A266" s="197">
        <v>44469</v>
      </c>
      <c r="B266" s="129">
        <v>0.5633829542621096</v>
      </c>
      <c r="C266" s="129">
        <v>0.19135899253698072</v>
      </c>
      <c r="D266" s="129">
        <v>5.0932460855452513E-2</v>
      </c>
      <c r="E266" s="129">
        <v>6.736690625687497E-2</v>
      </c>
      <c r="F266" s="129">
        <v>1.2107711843983385E-2</v>
      </c>
      <c r="G266" s="129">
        <v>0</v>
      </c>
      <c r="H266" s="129">
        <v>0</v>
      </c>
      <c r="I266" s="129">
        <v>0</v>
      </c>
      <c r="J266" s="129">
        <v>0</v>
      </c>
      <c r="K266" s="129">
        <v>0</v>
      </c>
      <c r="L266" s="129">
        <v>0</v>
      </c>
      <c r="M266" s="129">
        <v>3.0418466175814035E-2</v>
      </c>
      <c r="N266" s="129">
        <v>2.1016142676041114E-2</v>
      </c>
      <c r="O266" s="129">
        <v>6.3416365392743645E-2</v>
      </c>
      <c r="P266" s="128"/>
    </row>
    <row r="267" spans="1:16">
      <c r="A267" s="197">
        <v>44500</v>
      </c>
      <c r="B267" s="129">
        <v>0.56327377189708472</v>
      </c>
      <c r="C267" s="129">
        <v>0.19343041240452505</v>
      </c>
      <c r="D267" s="129">
        <v>4.9911483347139053E-2</v>
      </c>
      <c r="E267" s="129">
        <v>6.8654997294543996E-2</v>
      </c>
      <c r="F267" s="129">
        <v>1.1888566040470337E-2</v>
      </c>
      <c r="G267" s="129">
        <v>0</v>
      </c>
      <c r="H267" s="129">
        <v>0</v>
      </c>
      <c r="I267" s="129">
        <v>0</v>
      </c>
      <c r="J267" s="129">
        <v>0</v>
      </c>
      <c r="K267" s="129">
        <v>0</v>
      </c>
      <c r="L267" s="129">
        <v>0</v>
      </c>
      <c r="M267" s="129">
        <v>3.3652328272220436E-2</v>
      </c>
      <c r="N267" s="129">
        <v>1.6732782520213364E-2</v>
      </c>
      <c r="O267" s="129">
        <v>6.2455658223803251E-2</v>
      </c>
    </row>
    <row r="268" spans="1:16">
      <c r="A268" s="197">
        <v>44530</v>
      </c>
      <c r="B268" s="129">
        <v>0.55302762598033417</v>
      </c>
      <c r="C268" s="129">
        <v>0.19813563667986731</v>
      </c>
      <c r="D268" s="129">
        <v>5.2690783046440627E-2</v>
      </c>
      <c r="E268" s="129">
        <v>7.0161221139183313E-2</v>
      </c>
      <c r="F268" s="129">
        <v>1.4783483600740721E-2</v>
      </c>
      <c r="G268" s="129">
        <v>0</v>
      </c>
      <c r="H268" s="129">
        <v>0</v>
      </c>
      <c r="I268" s="129">
        <v>0</v>
      </c>
      <c r="J268" s="129">
        <v>0</v>
      </c>
      <c r="K268" s="129">
        <v>0</v>
      </c>
      <c r="L268" s="129">
        <v>0</v>
      </c>
      <c r="M268" s="129">
        <v>3.1755984061652143E-2</v>
      </c>
      <c r="N268" s="129">
        <v>1.6141803571083326E-2</v>
      </c>
      <c r="O268" s="129">
        <v>6.3303461920698564E-2</v>
      </c>
      <c r="P268" s="128"/>
    </row>
    <row r="269" spans="1:16">
      <c r="A269" s="197">
        <v>44561</v>
      </c>
      <c r="B269" s="129">
        <v>0.5493136558712608</v>
      </c>
      <c r="C269" s="129">
        <v>0.19617765212392518</v>
      </c>
      <c r="D269" s="129">
        <v>5.6476374519890592E-2</v>
      </c>
      <c r="E269" s="129">
        <v>7.2651390749228759E-2</v>
      </c>
      <c r="F269" s="129">
        <v>1.4535157269270873E-2</v>
      </c>
      <c r="G269" s="129">
        <v>0</v>
      </c>
      <c r="H269" s="129">
        <v>0</v>
      </c>
      <c r="I269" s="129">
        <v>0</v>
      </c>
      <c r="J269" s="129">
        <v>0</v>
      </c>
      <c r="K269" s="129">
        <v>0</v>
      </c>
      <c r="L269" s="129">
        <v>0</v>
      </c>
      <c r="M269" s="129">
        <v>3.0939194100326251E-2</v>
      </c>
      <c r="N269" s="129">
        <v>1.6048096178560785E-2</v>
      </c>
      <c r="O269" s="129">
        <v>6.3858479187536621E-2</v>
      </c>
      <c r="P269" s="128"/>
    </row>
    <row r="270" spans="1:16">
      <c r="A270" s="197">
        <v>44592</v>
      </c>
      <c r="B270" s="129">
        <v>0.55000328133918663</v>
      </c>
      <c r="C270" s="129">
        <v>0.19398531752353046</v>
      </c>
      <c r="D270" s="129">
        <v>5.5902727266364916E-2</v>
      </c>
      <c r="E270" s="129">
        <v>7.1228362877444412E-2</v>
      </c>
      <c r="F270" s="129">
        <v>1.4290414839000662E-2</v>
      </c>
      <c r="G270" s="129">
        <v>0</v>
      </c>
      <c r="H270" s="129">
        <v>0</v>
      </c>
      <c r="I270" s="129">
        <v>0</v>
      </c>
      <c r="J270" s="129">
        <v>0</v>
      </c>
      <c r="K270" s="129">
        <v>0</v>
      </c>
      <c r="L270" s="129">
        <v>1.1141517896031162E-6</v>
      </c>
      <c r="M270" s="129">
        <v>3.5939467824114418E-2</v>
      </c>
      <c r="N270" s="129">
        <v>1.5932764424211453E-2</v>
      </c>
      <c r="O270" s="129">
        <v>6.2715435602567773E-2</v>
      </c>
      <c r="P270" s="128"/>
    </row>
    <row r="271" spans="1:16">
      <c r="A271" s="197">
        <v>44620</v>
      </c>
      <c r="B271" s="129">
        <v>0.55846339722400429</v>
      </c>
      <c r="C271" s="129">
        <v>0.18966652494779918</v>
      </c>
      <c r="D271" s="129">
        <v>5.4460644018797043E-2</v>
      </c>
      <c r="E271" s="129">
        <v>6.9532152226053343E-2</v>
      </c>
      <c r="F271" s="129">
        <v>1.3958245664781977E-2</v>
      </c>
      <c r="G271" s="129">
        <v>0</v>
      </c>
      <c r="H271" s="129">
        <v>0</v>
      </c>
      <c r="I271" s="129">
        <v>0</v>
      </c>
      <c r="J271" s="129">
        <v>0</v>
      </c>
      <c r="K271" s="129">
        <v>0</v>
      </c>
      <c r="L271" s="129">
        <v>1.1033963480094899E-6</v>
      </c>
      <c r="M271" s="129">
        <v>3.5750036923426022E-2</v>
      </c>
      <c r="N271" s="129">
        <v>1.5848785498031873E-2</v>
      </c>
      <c r="O271" s="129">
        <v>6.2319110100758301E-2</v>
      </c>
    </row>
    <row r="272" spans="1:16">
      <c r="A272" s="197">
        <v>44651</v>
      </c>
      <c r="B272" s="129">
        <v>0.57013302353232787</v>
      </c>
      <c r="C272" s="129">
        <v>0.18373765994089583</v>
      </c>
      <c r="D272" s="129">
        <v>5.2679655351737999E-2</v>
      </c>
      <c r="E272" s="129">
        <v>6.7186509711442868E-2</v>
      </c>
      <c r="F272" s="129">
        <v>1.3516662988070405E-2</v>
      </c>
      <c r="G272" s="129">
        <v>0</v>
      </c>
      <c r="H272" s="129">
        <v>0</v>
      </c>
      <c r="I272" s="129">
        <v>0</v>
      </c>
      <c r="J272" s="129">
        <v>0</v>
      </c>
      <c r="K272" s="129">
        <v>0</v>
      </c>
      <c r="L272" s="129">
        <v>1.1147693116934998E-6</v>
      </c>
      <c r="M272" s="129">
        <v>3.6851027342035859E-2</v>
      </c>
      <c r="N272" s="129">
        <v>1.6012734792719044E-2</v>
      </c>
      <c r="O272" s="129">
        <v>5.9881611571458382E-2</v>
      </c>
    </row>
    <row r="273" spans="1:15">
      <c r="A273" s="197">
        <v>44681</v>
      </c>
      <c r="B273" s="129">
        <v>0.56248249292463337</v>
      </c>
      <c r="C273" s="129">
        <v>0.18868643521505388</v>
      </c>
      <c r="D273" s="129">
        <v>5.3820672815707904E-2</v>
      </c>
      <c r="E273" s="129">
        <v>6.816919171759038E-2</v>
      </c>
      <c r="F273" s="129">
        <v>1.3927568522609558E-2</v>
      </c>
      <c r="G273" s="129">
        <v>0</v>
      </c>
      <c r="H273" s="129">
        <v>0</v>
      </c>
      <c r="I273" s="129">
        <v>0</v>
      </c>
      <c r="J273" s="129">
        <v>0</v>
      </c>
      <c r="K273" s="129">
        <v>0</v>
      </c>
      <c r="L273" s="129">
        <v>1.0620658450350367E-6</v>
      </c>
      <c r="M273" s="129">
        <v>3.7007794682671659E-2</v>
      </c>
      <c r="N273" s="129">
        <v>1.5610975863570469E-2</v>
      </c>
      <c r="O273" s="129">
        <v>6.0294868258162687E-2</v>
      </c>
    </row>
    <row r="274" spans="1:15">
      <c r="A274" s="197">
        <v>44712</v>
      </c>
      <c r="B274" s="129">
        <v>0.55485515557731635</v>
      </c>
      <c r="C274" s="129">
        <v>0.18478218397355206</v>
      </c>
      <c r="D274" s="129">
        <v>5.2487020739422532E-2</v>
      </c>
      <c r="E274" s="129">
        <v>7.0785304534919366E-2</v>
      </c>
      <c r="F274" s="129">
        <v>1.3397014789159969E-2</v>
      </c>
      <c r="G274" s="129">
        <v>0</v>
      </c>
      <c r="H274" s="129">
        <v>0</v>
      </c>
      <c r="I274" s="129">
        <v>0</v>
      </c>
      <c r="J274" s="129">
        <v>0</v>
      </c>
      <c r="K274" s="129">
        <v>0</v>
      </c>
      <c r="L274" s="129">
        <v>0</v>
      </c>
      <c r="M274" s="129">
        <v>4.9268586654660849E-2</v>
      </c>
      <c r="N274" s="129">
        <v>1.5462015505519767E-2</v>
      </c>
      <c r="O274" s="129">
        <v>5.8962718225449212E-2</v>
      </c>
    </row>
    <row r="275" spans="1:15">
      <c r="A275" s="197">
        <v>44742</v>
      </c>
      <c r="B275" s="129">
        <v>0.55289622326258803</v>
      </c>
      <c r="C275" s="129">
        <v>0.19188593380104674</v>
      </c>
      <c r="D275" s="129">
        <v>5.4207332533072632E-2</v>
      </c>
      <c r="E275" s="129">
        <v>7.3303392061402448E-2</v>
      </c>
      <c r="F275" s="129">
        <v>1.5523652026866647E-2</v>
      </c>
      <c r="G275" s="129">
        <v>0</v>
      </c>
      <c r="H275" s="129">
        <v>0</v>
      </c>
      <c r="I275" s="129">
        <v>0</v>
      </c>
      <c r="J275" s="129">
        <v>0</v>
      </c>
      <c r="K275" s="129">
        <v>0</v>
      </c>
      <c r="L275" s="129">
        <v>1.024083269708804E-6</v>
      </c>
      <c r="M275" s="129">
        <v>3.6469509858286051E-2</v>
      </c>
      <c r="N275" s="129">
        <v>1.526228833937261E-2</v>
      </c>
      <c r="O275" s="129">
        <v>6.0450644034095197E-2</v>
      </c>
    </row>
    <row r="276" spans="1:15">
      <c r="A276" s="197">
        <v>44773</v>
      </c>
      <c r="B276" s="129">
        <v>0.54761095904821133</v>
      </c>
      <c r="C276" s="129">
        <v>0.19314918252336258</v>
      </c>
      <c r="D276" s="129">
        <v>5.4812397177572615E-2</v>
      </c>
      <c r="E276" s="129">
        <v>7.3525035296668859E-2</v>
      </c>
      <c r="F276" s="129">
        <v>1.7236122098246077E-2</v>
      </c>
      <c r="G276" s="129">
        <v>0</v>
      </c>
      <c r="H276" s="129">
        <v>0</v>
      </c>
      <c r="I276" s="129">
        <v>0</v>
      </c>
      <c r="J276" s="129">
        <v>0</v>
      </c>
      <c r="K276" s="129">
        <v>0</v>
      </c>
      <c r="L276" s="129">
        <v>9.9057446133002192E-7</v>
      </c>
      <c r="M276" s="129">
        <v>3.8328601229925582E-2</v>
      </c>
      <c r="N276" s="129">
        <v>1.4777003358579644E-2</v>
      </c>
      <c r="O276" s="129">
        <v>6.0559708692971934E-2</v>
      </c>
    </row>
    <row r="277" spans="1:15">
      <c r="A277" s="197">
        <v>44804</v>
      </c>
      <c r="B277" s="129">
        <v>0.54695725195303524</v>
      </c>
      <c r="C277" s="129">
        <v>0.19356041146398034</v>
      </c>
      <c r="D277" s="129">
        <v>5.7498315956206962E-2</v>
      </c>
      <c r="E277" s="129">
        <v>7.3320235560074068E-2</v>
      </c>
      <c r="F277" s="129">
        <v>1.7235143181210177E-2</v>
      </c>
      <c r="G277" s="129">
        <v>0</v>
      </c>
      <c r="H277" s="129">
        <v>0</v>
      </c>
      <c r="I277" s="129">
        <v>0</v>
      </c>
      <c r="J277" s="129">
        <v>0</v>
      </c>
      <c r="K277" s="129">
        <v>0</v>
      </c>
      <c r="L277" s="129">
        <v>9.5762524540903024E-7</v>
      </c>
      <c r="M277" s="129">
        <v>3.6824922953390897E-2</v>
      </c>
      <c r="N277" s="129">
        <v>1.4483628278138424E-2</v>
      </c>
      <c r="O277" s="129">
        <v>6.0119133028718644E-2</v>
      </c>
    </row>
    <row r="278" spans="1:15">
      <c r="A278" s="197">
        <v>44834</v>
      </c>
      <c r="B278" s="129">
        <v>0.54322022681072724</v>
      </c>
      <c r="C278" s="129">
        <v>0.19514649321929348</v>
      </c>
      <c r="D278" s="129">
        <v>5.7652302257631051E-2</v>
      </c>
      <c r="E278" s="129">
        <v>7.3635196364213507E-2</v>
      </c>
      <c r="F278" s="129">
        <v>1.7402598750312422E-2</v>
      </c>
      <c r="G278" s="129">
        <v>0</v>
      </c>
      <c r="H278" s="129">
        <v>0</v>
      </c>
      <c r="I278" s="129">
        <v>0</v>
      </c>
      <c r="J278" s="129">
        <v>0</v>
      </c>
      <c r="K278" s="129">
        <v>0</v>
      </c>
      <c r="L278" s="129">
        <v>9.3878611457324897E-7</v>
      </c>
      <c r="M278" s="129">
        <v>3.7659790727264109E-2</v>
      </c>
      <c r="N278" s="129">
        <v>1.4214313212214117E-2</v>
      </c>
      <c r="O278" s="129">
        <v>6.1068139872229497E-2</v>
      </c>
    </row>
    <row r="279" spans="1:15">
      <c r="A279" s="197">
        <v>44865</v>
      </c>
      <c r="B279" s="129">
        <v>0.53104051366278016</v>
      </c>
      <c r="C279" s="129">
        <v>0.20057419301692178</v>
      </c>
      <c r="D279" s="129">
        <v>5.8881215174768915E-2</v>
      </c>
      <c r="E279" s="129">
        <v>7.5539822462328585E-2</v>
      </c>
      <c r="F279" s="129">
        <v>1.790063649920277E-2</v>
      </c>
      <c r="G279" s="129">
        <v>0</v>
      </c>
      <c r="H279" s="129">
        <v>0</v>
      </c>
      <c r="I279" s="129">
        <v>0</v>
      </c>
      <c r="J279" s="129">
        <v>0</v>
      </c>
      <c r="K279" s="129">
        <v>0</v>
      </c>
      <c r="L279" s="129">
        <v>9.0807738019003516E-7</v>
      </c>
      <c r="M279" s="129">
        <v>3.9329243838936191E-2</v>
      </c>
      <c r="N279" s="129">
        <v>1.3749081820659426E-2</v>
      </c>
      <c r="O279" s="129">
        <v>6.2984385447021937E-2</v>
      </c>
    </row>
    <row r="280" spans="1:15">
      <c r="A280" s="197">
        <v>44895</v>
      </c>
      <c r="B280" s="129">
        <v>0.53075021973149317</v>
      </c>
      <c r="C280" s="129">
        <v>0.19963844462443697</v>
      </c>
      <c r="D280" s="129">
        <v>5.8206524187709649E-2</v>
      </c>
      <c r="E280" s="129">
        <v>7.7462784991894504E-2</v>
      </c>
      <c r="F280" s="129">
        <v>1.7576850464058956E-2</v>
      </c>
      <c r="G280" s="129">
        <v>0</v>
      </c>
      <c r="H280" s="129">
        <v>0</v>
      </c>
      <c r="I280" s="129">
        <v>0</v>
      </c>
      <c r="J280" s="129">
        <v>0</v>
      </c>
      <c r="K280" s="129">
        <v>0</v>
      </c>
      <c r="L280" s="129">
        <v>9.0396486384220768E-7</v>
      </c>
      <c r="M280" s="129">
        <v>3.9151128887761573E-2</v>
      </c>
      <c r="N280" s="129">
        <v>1.3687718420728521E-2</v>
      </c>
      <c r="O280" s="129">
        <v>6.352542472705297E-2</v>
      </c>
    </row>
    <row r="281" spans="1:15">
      <c r="A281" s="197">
        <v>44926</v>
      </c>
      <c r="B281" s="129">
        <v>0.51632143792733576</v>
      </c>
      <c r="C281" s="129">
        <v>0.19920453560606699</v>
      </c>
      <c r="D281" s="129">
        <v>5.6962571579238834E-2</v>
      </c>
      <c r="E281" s="129">
        <v>8.172832477360821E-2</v>
      </c>
      <c r="F281" s="129">
        <v>1.7095666715420912E-2</v>
      </c>
      <c r="G281" s="129">
        <v>0</v>
      </c>
      <c r="H281" s="129">
        <v>0</v>
      </c>
      <c r="I281" s="129">
        <v>0</v>
      </c>
      <c r="J281" s="129">
        <v>0</v>
      </c>
      <c r="K281" s="129">
        <v>0</v>
      </c>
      <c r="L281" s="129">
        <v>8.796318595868408E-7</v>
      </c>
      <c r="M281" s="129">
        <v>5.1548134254207831E-2</v>
      </c>
      <c r="N281" s="129">
        <v>1.3369876872594074E-2</v>
      </c>
      <c r="O281" s="129">
        <v>6.3768572639667842E-2</v>
      </c>
    </row>
    <row r="282" spans="1:15">
      <c r="A282" s="197">
        <v>44957</v>
      </c>
      <c r="B282" s="129">
        <v>0.52872421521717095</v>
      </c>
      <c r="C282" s="129">
        <v>0.19337302972059753</v>
      </c>
      <c r="D282" s="129">
        <v>5.5345755739719546E-2</v>
      </c>
      <c r="E282" s="129">
        <v>7.9499906128960782E-2</v>
      </c>
      <c r="F282" s="129">
        <v>1.655858079919446E-2</v>
      </c>
      <c r="G282" s="129">
        <v>0</v>
      </c>
      <c r="H282" s="129">
        <v>0</v>
      </c>
      <c r="I282" s="129">
        <v>0</v>
      </c>
      <c r="J282" s="129">
        <v>0</v>
      </c>
      <c r="K282" s="129">
        <v>0</v>
      </c>
      <c r="L282" s="129">
        <v>8.7024843301790785E-7</v>
      </c>
      <c r="M282" s="129">
        <v>5.0626804684502827E-2</v>
      </c>
      <c r="N282" s="129">
        <v>1.3459006671820399E-2</v>
      </c>
      <c r="O282" s="129">
        <v>6.241183078960056E-2</v>
      </c>
    </row>
    <row r="283" spans="1:15">
      <c r="A283" s="197">
        <v>44985</v>
      </c>
      <c r="B283" s="129">
        <v>0.51334132053642312</v>
      </c>
      <c r="C283" s="129">
        <v>0.20580636171997152</v>
      </c>
      <c r="D283" s="129">
        <v>5.6020515913677953E-2</v>
      </c>
      <c r="E283" s="129">
        <v>8.0434813798327731E-2</v>
      </c>
      <c r="F283" s="129">
        <v>1.6786050275235782E-2</v>
      </c>
      <c r="G283" s="129">
        <v>0</v>
      </c>
      <c r="H283" s="129">
        <v>0</v>
      </c>
      <c r="I283" s="129">
        <v>0</v>
      </c>
      <c r="J283" s="129">
        <v>0</v>
      </c>
      <c r="K283" s="129">
        <v>0</v>
      </c>
      <c r="L283" s="129">
        <v>8.5405528646328076E-7</v>
      </c>
      <c r="M283" s="129">
        <v>5.025768468549003E-2</v>
      </c>
      <c r="N283" s="129">
        <v>1.3204247704742978E-2</v>
      </c>
      <c r="O283" s="129">
        <v>6.4148151310844309E-2</v>
      </c>
    </row>
    <row r="284" spans="1:15">
      <c r="A284" s="197">
        <v>45016</v>
      </c>
      <c r="B284" s="129">
        <v>0.52500112469360094</v>
      </c>
      <c r="C284" s="129">
        <v>0.19482718135380334</v>
      </c>
      <c r="D284" s="129">
        <v>5.413391946108112E-2</v>
      </c>
      <c r="E284" s="129">
        <v>7.8162193196855301E-2</v>
      </c>
      <c r="F284" s="129">
        <v>1.625049329782444E-2</v>
      </c>
      <c r="G284" s="129">
        <v>0</v>
      </c>
      <c r="H284" s="129">
        <v>0</v>
      </c>
      <c r="I284" s="129">
        <v>0</v>
      </c>
      <c r="J284" s="129">
        <v>0</v>
      </c>
      <c r="K284" s="129">
        <v>0</v>
      </c>
      <c r="L284" s="129">
        <v>8.5912484403085919E-7</v>
      </c>
      <c r="M284" s="129">
        <v>5.5961986013560693E-2</v>
      </c>
      <c r="N284" s="129">
        <v>1.3282626347129192E-2</v>
      </c>
      <c r="O284" s="129">
        <v>6.2379616511300945E-2</v>
      </c>
    </row>
    <row r="285" spans="1:15">
      <c r="A285" s="197">
        <v>45046</v>
      </c>
      <c r="B285" s="129">
        <v>0.52479244184421747</v>
      </c>
      <c r="C285" s="129">
        <v>0.1938167134002016</v>
      </c>
      <c r="D285" s="129">
        <v>5.3670539570073693E-2</v>
      </c>
      <c r="E285" s="129">
        <v>7.7627861456029568E-2</v>
      </c>
      <c r="F285" s="129">
        <v>1.6159457030286643E-2</v>
      </c>
      <c r="G285" s="129">
        <v>0</v>
      </c>
      <c r="H285" s="129">
        <v>0</v>
      </c>
      <c r="I285" s="129">
        <v>0</v>
      </c>
      <c r="J285" s="129">
        <v>0</v>
      </c>
      <c r="K285" s="129">
        <v>0</v>
      </c>
      <c r="L285" s="129">
        <v>8.4667641163982864E-7</v>
      </c>
      <c r="M285" s="129">
        <v>5.9107487472119621E-2</v>
      </c>
      <c r="N285" s="129">
        <v>1.3086730211220761E-2</v>
      </c>
      <c r="O285" s="129">
        <v>6.1737922339439019E-2</v>
      </c>
    </row>
    <row r="286" spans="1:15">
      <c r="A286" s="197">
        <v>45077</v>
      </c>
      <c r="B286" s="129">
        <v>0.54214598547710224</v>
      </c>
      <c r="C286" s="129">
        <v>0.1860178608579596</v>
      </c>
      <c r="D286" s="129">
        <v>5.1527603594099705E-2</v>
      </c>
      <c r="E286" s="129">
        <v>7.4173172211845675E-2</v>
      </c>
      <c r="F286" s="129">
        <v>1.5332659298678325E-2</v>
      </c>
      <c r="G286" s="129">
        <v>0</v>
      </c>
      <c r="H286" s="129">
        <v>0</v>
      </c>
      <c r="I286" s="129">
        <v>0</v>
      </c>
      <c r="J286" s="129">
        <v>0</v>
      </c>
      <c r="K286" s="129">
        <v>0</v>
      </c>
      <c r="L286" s="129">
        <v>8.6079653811546956E-7</v>
      </c>
      <c r="M286" s="129">
        <v>5.9539883392934111E-2</v>
      </c>
      <c r="N286" s="129">
        <v>1.3307589673036664E-2</v>
      </c>
      <c r="O286" s="129">
        <v>5.795438469780563E-2</v>
      </c>
    </row>
    <row r="287" spans="1:15">
      <c r="A287" s="197">
        <v>45107</v>
      </c>
      <c r="B287" s="129">
        <v>0.55506594306794066</v>
      </c>
      <c r="C287" s="129">
        <v>0.17991407724306804</v>
      </c>
      <c r="D287" s="129">
        <v>4.9891131465907797E-2</v>
      </c>
      <c r="E287" s="129">
        <v>7.1877961344644109E-2</v>
      </c>
      <c r="F287" s="129">
        <v>1.4739105064301143E-2</v>
      </c>
      <c r="G287" s="129">
        <v>0</v>
      </c>
      <c r="H287" s="129">
        <v>0</v>
      </c>
      <c r="I287" s="129">
        <v>0</v>
      </c>
      <c r="J287" s="129">
        <v>0</v>
      </c>
      <c r="K287" s="129">
        <v>0</v>
      </c>
      <c r="L287" s="129">
        <v>8.7460956439554694E-7</v>
      </c>
      <c r="M287" s="129">
        <v>5.8914413052733809E-2</v>
      </c>
      <c r="N287" s="129">
        <v>1.3521443694592425E-2</v>
      </c>
      <c r="O287" s="129">
        <v>5.6075050457247477E-2</v>
      </c>
    </row>
    <row r="288" spans="1:15">
      <c r="A288" s="197">
        <v>45138</v>
      </c>
      <c r="B288" s="129">
        <v>0.57073308916992394</v>
      </c>
      <c r="C288" s="129">
        <v>0.17160177041805313</v>
      </c>
      <c r="D288" s="129">
        <v>4.7781525958328845E-2</v>
      </c>
      <c r="E288" s="129">
        <v>6.8673940562353972E-2</v>
      </c>
      <c r="F288" s="129">
        <v>1.4025900614031658E-2</v>
      </c>
      <c r="G288" s="129">
        <v>0</v>
      </c>
      <c r="H288" s="129">
        <v>0</v>
      </c>
      <c r="I288" s="129">
        <v>0</v>
      </c>
      <c r="J288" s="129">
        <v>0</v>
      </c>
      <c r="K288" s="129">
        <v>0</v>
      </c>
      <c r="L288" s="129">
        <v>8.8987526934808715E-7</v>
      </c>
      <c r="M288" s="129">
        <v>5.9629232559416434E-2</v>
      </c>
      <c r="N288" s="129">
        <v>1.3753787420006406E-2</v>
      </c>
      <c r="O288" s="129">
        <v>5.3799863422616202E-2</v>
      </c>
    </row>
    <row r="289" spans="1:15">
      <c r="A289" s="197">
        <v>45169</v>
      </c>
      <c r="B289" s="129">
        <v>0.5653928135898364</v>
      </c>
      <c r="C289" s="129">
        <v>0.17486873270454859</v>
      </c>
      <c r="D289" s="129">
        <v>4.8412464619087561E-2</v>
      </c>
      <c r="E289" s="129">
        <v>6.9570646755204302E-2</v>
      </c>
      <c r="F289" s="129">
        <v>1.4237674714803404E-2</v>
      </c>
      <c r="G289" s="129">
        <v>0</v>
      </c>
      <c r="H289" s="129">
        <v>0</v>
      </c>
      <c r="I289" s="129">
        <v>0</v>
      </c>
      <c r="J289" s="129">
        <v>0</v>
      </c>
      <c r="K289" s="129">
        <v>0</v>
      </c>
      <c r="L289" s="129">
        <v>8.718422997339571E-7</v>
      </c>
      <c r="M289" s="129">
        <v>5.9596967815567427E-2</v>
      </c>
      <c r="N289" s="129">
        <v>1.3447356455536474E-2</v>
      </c>
      <c r="O289" s="129">
        <v>5.4472471503115974E-2</v>
      </c>
    </row>
    <row r="290" spans="1:15">
      <c r="A290" s="197">
        <v>45199</v>
      </c>
      <c r="B290" s="129">
        <v>0.5705168798381467</v>
      </c>
      <c r="C290" s="129">
        <v>0.17399318531180757</v>
      </c>
      <c r="D290" s="129">
        <v>4.8022446296299412E-2</v>
      </c>
      <c r="E290" s="129">
        <v>7.2439481661213473E-2</v>
      </c>
      <c r="F290" s="129">
        <v>1.4179145829972203E-2</v>
      </c>
      <c r="G290" s="129">
        <v>0</v>
      </c>
      <c r="H290" s="129">
        <v>0</v>
      </c>
      <c r="I290" s="129">
        <v>0</v>
      </c>
      <c r="J290" s="129">
        <v>0</v>
      </c>
      <c r="K290" s="129">
        <v>0</v>
      </c>
      <c r="L290" s="129">
        <v>8.8273994681748991E-7</v>
      </c>
      <c r="M290" s="129">
        <v>5.3678935330997976E-2</v>
      </c>
      <c r="N290" s="129">
        <v>1.3490843292677163E-2</v>
      </c>
      <c r="O290" s="129">
        <v>5.367819969893884E-2</v>
      </c>
    </row>
    <row r="291" spans="1:15">
      <c r="A291" s="197">
        <v>45230</v>
      </c>
      <c r="B291" s="129">
        <v>0.56809014827945747</v>
      </c>
      <c r="C291" s="129">
        <v>0.16858336826886822</v>
      </c>
      <c r="D291" s="129">
        <v>4.7448115469219045E-2</v>
      </c>
      <c r="E291" s="129">
        <v>7.1514042447288317E-2</v>
      </c>
      <c r="F291" s="129">
        <v>1.4037338321226101E-2</v>
      </c>
      <c r="G291" s="129">
        <v>0</v>
      </c>
      <c r="H291" s="129">
        <v>0</v>
      </c>
      <c r="I291" s="129">
        <v>0</v>
      </c>
      <c r="J291" s="129">
        <v>0</v>
      </c>
      <c r="K291" s="129">
        <v>0</v>
      </c>
      <c r="L291" s="129">
        <v>8.7239004766598834E-7</v>
      </c>
      <c r="M291" s="129">
        <v>6.3856228827637973E-2</v>
      </c>
      <c r="N291" s="129">
        <v>1.3321536724596614E-2</v>
      </c>
      <c r="O291" s="129">
        <v>5.3148349271658603E-2</v>
      </c>
    </row>
    <row r="292" spans="1:15">
      <c r="A292" s="197">
        <v>45260</v>
      </c>
      <c r="B292" s="129">
        <v>0.56501795771766394</v>
      </c>
      <c r="C292" s="129">
        <v>0.17495375926145992</v>
      </c>
      <c r="D292" s="129">
        <v>4.8294199164663022E-2</v>
      </c>
      <c r="E292" s="129">
        <v>6.9683794599147725E-2</v>
      </c>
      <c r="F292" s="129">
        <v>1.3444389168003947E-2</v>
      </c>
      <c r="G292" s="129">
        <v>0</v>
      </c>
      <c r="H292" s="129">
        <v>0</v>
      </c>
      <c r="I292" s="129">
        <v>0</v>
      </c>
      <c r="J292" s="129">
        <v>0</v>
      </c>
      <c r="K292" s="129">
        <v>0</v>
      </c>
      <c r="L292" s="129">
        <v>8.6279240786651122E-7</v>
      </c>
      <c r="M292" s="129">
        <v>6.3679569233116656E-2</v>
      </c>
      <c r="N292" s="129">
        <v>1.3191163691127524E-2</v>
      </c>
      <c r="O292" s="129">
        <v>5.1734304372409542E-2</v>
      </c>
    </row>
    <row r="293" spans="1:15">
      <c r="A293" s="197">
        <v>45291</v>
      </c>
      <c r="B293" s="129">
        <v>0.57508469475207669</v>
      </c>
      <c r="C293" s="129">
        <v>0.17137212491060863</v>
      </c>
      <c r="D293" s="129">
        <v>4.9667020074657106E-2</v>
      </c>
      <c r="E293" s="129">
        <v>6.8404679702553178E-2</v>
      </c>
      <c r="F293" s="129">
        <v>1.4196108788724997E-2</v>
      </c>
      <c r="G293" s="129">
        <v>0</v>
      </c>
      <c r="H293" s="129">
        <v>0</v>
      </c>
      <c r="I293" s="129">
        <v>0</v>
      </c>
      <c r="J293" s="129">
        <v>0</v>
      </c>
      <c r="K293" s="129">
        <v>0</v>
      </c>
      <c r="L293" s="129">
        <v>8.4696364424302206E-7</v>
      </c>
      <c r="M293" s="129">
        <v>5.7384661833375088E-2</v>
      </c>
      <c r="N293" s="129">
        <v>1.3432682204139779E-2</v>
      </c>
      <c r="O293" s="129">
        <v>5.0788624736854096E-2</v>
      </c>
    </row>
    <row r="294" spans="1:15">
      <c r="A294" s="197">
        <v>45322</v>
      </c>
      <c r="B294" s="129">
        <v>0.574679865576327</v>
      </c>
      <c r="C294" s="129">
        <v>0.17331475832879709</v>
      </c>
      <c r="D294" s="129">
        <v>5.0046705141707955E-2</v>
      </c>
      <c r="E294" s="129">
        <v>6.9038002545450325E-2</v>
      </c>
      <c r="F294" s="129">
        <v>1.4292288295928489E-2</v>
      </c>
      <c r="G294" s="129">
        <v>0</v>
      </c>
      <c r="H294" s="129">
        <v>0</v>
      </c>
      <c r="I294" s="129">
        <v>0</v>
      </c>
      <c r="J294" s="129">
        <v>0</v>
      </c>
      <c r="K294" s="129">
        <v>0</v>
      </c>
      <c r="L294" s="129">
        <v>8.3772968895000913E-7</v>
      </c>
      <c r="M294" s="129">
        <v>5.3795574585324801E-2</v>
      </c>
      <c r="N294" s="129">
        <v>1.3226221615810401E-2</v>
      </c>
      <c r="O294" s="129">
        <v>5.1606583910653585E-2</v>
      </c>
    </row>
    <row r="295" spans="1:15">
      <c r="A295" s="197">
        <v>45350</v>
      </c>
      <c r="B295" s="129">
        <v>0.57358824537342179</v>
      </c>
      <c r="C295" s="129">
        <v>0.17083591587369457</v>
      </c>
      <c r="D295" s="129">
        <v>4.9156546072974337E-2</v>
      </c>
      <c r="E295" s="129">
        <v>6.7913509452471238E-2</v>
      </c>
      <c r="F295" s="129">
        <v>1.4024124649598095E-2</v>
      </c>
      <c r="G295" s="129">
        <v>0</v>
      </c>
      <c r="H295" s="129">
        <v>0</v>
      </c>
      <c r="I295" s="129">
        <v>0</v>
      </c>
      <c r="J295" s="129">
        <v>0</v>
      </c>
      <c r="K295" s="129">
        <v>0</v>
      </c>
      <c r="L295" s="129">
        <v>8.4501269780942422E-7</v>
      </c>
      <c r="M295" s="129">
        <v>5.7252478590200467E-2</v>
      </c>
      <c r="N295" s="129">
        <v>1.3234118897141533E-2</v>
      </c>
      <c r="O295" s="129">
        <v>5.078945112762738E-2</v>
      </c>
    </row>
    <row r="296" spans="1:15">
      <c r="A296" s="197">
        <v>45382</v>
      </c>
      <c r="B296" s="129">
        <v>0.58189220829324062</v>
      </c>
      <c r="C296" s="129">
        <v>0.16782844675882191</v>
      </c>
      <c r="D296" s="129">
        <v>4.8161970022803507E-2</v>
      </c>
      <c r="E296" s="129">
        <v>6.6633521277369101E-2</v>
      </c>
      <c r="F296" s="129">
        <v>1.3774163447709053E-2</v>
      </c>
      <c r="G296" s="129">
        <v>0</v>
      </c>
      <c r="H296" s="129">
        <v>0</v>
      </c>
      <c r="I296" s="129">
        <v>0</v>
      </c>
      <c r="J296" s="129">
        <v>0</v>
      </c>
      <c r="K296" s="129">
        <v>0</v>
      </c>
      <c r="L296" s="129">
        <v>8.2585045857738855E-7</v>
      </c>
      <c r="M296" s="129">
        <v>5.9372550747490073E-2</v>
      </c>
      <c r="N296" s="129">
        <v>1.3117003637063312E-2</v>
      </c>
      <c r="O296" s="129">
        <v>4.9219309965043992E-2</v>
      </c>
    </row>
    <row r="297" spans="1:15">
      <c r="A297" s="197">
        <v>45412</v>
      </c>
      <c r="B297" s="129">
        <v>0.57886380360417988</v>
      </c>
      <c r="C297" s="129">
        <v>0.17079503961815484</v>
      </c>
      <c r="D297" s="129">
        <v>4.7333160041082137E-2</v>
      </c>
      <c r="E297" s="129">
        <v>6.5298940271533573E-2</v>
      </c>
      <c r="F297" s="129">
        <v>1.3569055387810424E-2</v>
      </c>
      <c r="G297" s="129">
        <v>0</v>
      </c>
      <c r="H297" s="129">
        <v>0</v>
      </c>
      <c r="I297" s="129">
        <v>0</v>
      </c>
      <c r="J297" s="129">
        <v>0</v>
      </c>
      <c r="K297" s="129">
        <v>0</v>
      </c>
      <c r="L297" s="129">
        <v>8.3790329462592542E-7</v>
      </c>
      <c r="M297" s="129">
        <v>6.3064692510741815E-2</v>
      </c>
      <c r="N297" s="129">
        <v>1.2803021180808054E-2</v>
      </c>
      <c r="O297" s="129">
        <v>4.8271449482394639E-2</v>
      </c>
    </row>
    <row r="298" spans="1:15">
      <c r="A298" s="197">
        <v>45443</v>
      </c>
      <c r="B298" s="129">
        <v>0.58625028259318912</v>
      </c>
      <c r="C298" s="129">
        <v>0.16715629366010262</v>
      </c>
      <c r="D298" s="129">
        <v>4.6913914151204876E-2</v>
      </c>
      <c r="E298" s="129">
        <v>6.5116736945006734E-2</v>
      </c>
      <c r="F298" s="129">
        <v>1.333973949327056E-2</v>
      </c>
      <c r="G298" s="129">
        <v>0</v>
      </c>
      <c r="H298" s="129">
        <v>0</v>
      </c>
      <c r="I298" s="129">
        <v>0</v>
      </c>
      <c r="J298" s="129">
        <v>0</v>
      </c>
      <c r="K298" s="129">
        <v>0</v>
      </c>
      <c r="L298" s="129">
        <v>8.331238153261816E-7</v>
      </c>
      <c r="M298" s="129">
        <v>6.2224399381697819E-2</v>
      </c>
      <c r="N298" s="129">
        <v>1.271414159331965E-2</v>
      </c>
      <c r="O298" s="129">
        <v>4.6283659058393288E-2</v>
      </c>
    </row>
    <row r="299" spans="1:15">
      <c r="A299" s="197">
        <v>45473</v>
      </c>
      <c r="B299" s="129">
        <v>0.57943675724196408</v>
      </c>
      <c r="C299" s="129">
        <v>0.17220748026376664</v>
      </c>
      <c r="D299" s="129">
        <v>4.7978362241129474E-2</v>
      </c>
      <c r="E299" s="129">
        <v>6.7138366763697208E-2</v>
      </c>
      <c r="F299" s="129">
        <v>1.3696435508604034E-2</v>
      </c>
      <c r="G299" s="129">
        <v>0</v>
      </c>
      <c r="H299" s="129">
        <v>0</v>
      </c>
      <c r="I299" s="129">
        <v>0</v>
      </c>
      <c r="J299" s="129">
        <v>0</v>
      </c>
      <c r="K299" s="129">
        <v>0</v>
      </c>
      <c r="L299" s="129">
        <v>8.0270931071519889E-7</v>
      </c>
      <c r="M299" s="129">
        <v>5.995279911401212E-2</v>
      </c>
      <c r="N299" s="129">
        <v>1.224999555911975E-2</v>
      </c>
      <c r="O299" s="129">
        <v>4.7339000598396325E-2</v>
      </c>
    </row>
    <row r="300" spans="1:15">
      <c r="A300" s="197">
        <v>45504</v>
      </c>
      <c r="B300" s="129">
        <v>0.58054322380518675</v>
      </c>
      <c r="C300" s="129">
        <v>0.16996867871307547</v>
      </c>
      <c r="D300" s="129">
        <v>4.7281091940952279E-2</v>
      </c>
      <c r="E300" s="129">
        <v>6.9581306037606663E-2</v>
      </c>
      <c r="F300" s="129">
        <v>1.3435811233472882E-2</v>
      </c>
      <c r="G300" s="129">
        <v>0</v>
      </c>
      <c r="H300" s="129">
        <v>0</v>
      </c>
      <c r="I300" s="129">
        <v>0</v>
      </c>
      <c r="J300" s="129">
        <v>0</v>
      </c>
      <c r="K300" s="129">
        <v>0</v>
      </c>
      <c r="L300" s="129">
        <v>8.0050871545900563E-7</v>
      </c>
      <c r="M300" s="129">
        <v>5.9995631790095164E-2</v>
      </c>
      <c r="N300" s="129">
        <v>1.2258747445596593E-2</v>
      </c>
      <c r="O300" s="129">
        <v>4.6934708525298616E-2</v>
      </c>
    </row>
    <row r="301" spans="1:15">
      <c r="A301" s="197">
        <v>45535</v>
      </c>
      <c r="B301" s="129">
        <v>0.58243331442858026</v>
      </c>
      <c r="C301" s="129">
        <v>0.17075266968052058</v>
      </c>
      <c r="D301" s="129">
        <v>4.7239001605616969E-2</v>
      </c>
      <c r="E301" s="129">
        <v>6.996830609257898E-2</v>
      </c>
      <c r="F301" s="129">
        <v>1.3424075628643024E-2</v>
      </c>
      <c r="G301" s="129">
        <v>0</v>
      </c>
      <c r="H301" s="129">
        <v>0</v>
      </c>
      <c r="I301" s="129">
        <v>0</v>
      </c>
      <c r="J301" s="129">
        <v>0</v>
      </c>
      <c r="K301" s="129">
        <v>0</v>
      </c>
      <c r="L301" s="129">
        <v>7.5774813406589882E-7</v>
      </c>
      <c r="M301" s="129">
        <v>5.9201776376417797E-2</v>
      </c>
      <c r="N301" s="129">
        <v>1.2096541085996101E-2</v>
      </c>
      <c r="O301" s="129">
        <v>4.4883557353512335E-2</v>
      </c>
    </row>
    <row r="302" spans="1:15">
      <c r="A302" s="197">
        <v>45565</v>
      </c>
      <c r="B302" s="129">
        <v>0.58610931225180574</v>
      </c>
      <c r="C302" s="129">
        <v>0.16923526392961891</v>
      </c>
      <c r="D302" s="129">
        <v>4.6663555567190547E-2</v>
      </c>
      <c r="E302" s="129">
        <v>6.9432265692750877E-2</v>
      </c>
      <c r="F302" s="129">
        <v>1.3300735448396134E-2</v>
      </c>
      <c r="G302" s="129">
        <v>0</v>
      </c>
      <c r="H302" s="129">
        <v>0</v>
      </c>
      <c r="I302" s="129">
        <v>0</v>
      </c>
      <c r="J302" s="129">
        <v>0</v>
      </c>
      <c r="K302" s="129">
        <v>0</v>
      </c>
      <c r="L302" s="129">
        <v>7.7900979440398986E-7</v>
      </c>
      <c r="M302" s="129">
        <v>5.8613206161543585E-2</v>
      </c>
      <c r="N302" s="129">
        <v>1.1974172730487219E-2</v>
      </c>
      <c r="O302" s="129">
        <v>4.4670709208412769E-2</v>
      </c>
    </row>
    <row r="303" spans="1:15">
      <c r="A303" s="197">
        <v>45596</v>
      </c>
      <c r="B303" s="129">
        <v>0.57696301388876658</v>
      </c>
      <c r="C303" s="129">
        <v>0.17508262387141046</v>
      </c>
      <c r="D303" s="129">
        <v>4.8118341785148885E-2</v>
      </c>
      <c r="E303" s="129">
        <v>7.1370247299814019E-2</v>
      </c>
      <c r="F303" s="129">
        <v>1.3783777358117887E-2</v>
      </c>
      <c r="G303" s="129">
        <v>0</v>
      </c>
      <c r="H303" s="129">
        <v>0</v>
      </c>
      <c r="I303" s="129">
        <v>0</v>
      </c>
      <c r="J303" s="129">
        <v>0</v>
      </c>
      <c r="K303" s="129">
        <v>0</v>
      </c>
      <c r="L303" s="129">
        <v>7.6170874224134901E-7</v>
      </c>
      <c r="M303" s="129">
        <v>5.7301379033562187E-2</v>
      </c>
      <c r="N303" s="129">
        <v>1.1708237964964624E-2</v>
      </c>
      <c r="O303" s="129">
        <v>4.5671617089473426E-2</v>
      </c>
    </row>
    <row r="304" spans="1:15">
      <c r="A304" s="197">
        <v>45626</v>
      </c>
      <c r="B304" s="129">
        <v>0.57228925486839977</v>
      </c>
      <c r="C304" s="129">
        <v>0.18459403286179293</v>
      </c>
      <c r="D304" s="129">
        <v>4.7049743761260816E-2</v>
      </c>
      <c r="E304" s="129">
        <v>6.9665330717256141E-2</v>
      </c>
      <c r="F304" s="129">
        <v>1.3356329325967507E-2</v>
      </c>
      <c r="G304" s="129">
        <v>0</v>
      </c>
      <c r="H304" s="129">
        <v>0</v>
      </c>
      <c r="I304" s="129">
        <v>0</v>
      </c>
      <c r="J304" s="129">
        <v>0</v>
      </c>
      <c r="K304" s="129">
        <v>0</v>
      </c>
      <c r="L304" s="129">
        <v>7.4586118719567822E-7</v>
      </c>
      <c r="M304" s="129">
        <v>5.7820711992242826E-2</v>
      </c>
      <c r="N304" s="129">
        <v>1.1446625210885028E-2</v>
      </c>
      <c r="O304" s="129">
        <v>4.3777225401007959E-2</v>
      </c>
    </row>
    <row r="305" spans="1:15">
      <c r="A305" s="197">
        <v>45657</v>
      </c>
      <c r="B305" s="129">
        <v>0.56964354604458056</v>
      </c>
      <c r="C305" s="129">
        <v>0.18240861190384428</v>
      </c>
      <c r="D305" s="129">
        <v>4.6481321138229843E-2</v>
      </c>
      <c r="E305" s="129">
        <v>6.8725015748292248E-2</v>
      </c>
      <c r="F305" s="129">
        <v>1.465326039272092E-2</v>
      </c>
      <c r="G305" s="129">
        <v>0</v>
      </c>
      <c r="H305" s="129">
        <v>0</v>
      </c>
      <c r="I305" s="129">
        <v>0</v>
      </c>
      <c r="J305" s="129">
        <v>0</v>
      </c>
      <c r="K305" s="129">
        <v>0</v>
      </c>
      <c r="L305" s="129">
        <v>7.1179580915061987E-7</v>
      </c>
      <c r="M305" s="129">
        <v>6.656406648545854E-2</v>
      </c>
      <c r="N305" s="129">
        <v>1.1345107371144355E-2</v>
      </c>
      <c r="O305" s="129">
        <v>4.0178359119920008E-2</v>
      </c>
    </row>
  </sheetData>
  <phoneticPr fontId="0" type="noConversion"/>
  <pageMargins left="0.23622047244094491" right="0.23622047244094491" top="0.74803149606299213" bottom="0.74803149606299213" header="0.31496062992125984" footer="0.31496062992125984"/>
  <pageSetup scale="82" fitToHeight="99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Drop Down 1">
              <controlPr defaultSize="0" print="0" autoLine="0" autoPict="0">
                <anchor>
                  <from>
                    <xdr:col>0</xdr:col>
                    <xdr:colOff>704850</xdr:colOff>
                    <xdr:row>1</xdr:row>
                    <xdr:rowOff>85725</xdr:rowOff>
                  </from>
                  <to>
                    <xdr:col>1</xdr:col>
                    <xdr:colOff>2143125</xdr:colOff>
                    <xdr:row>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2EE99-7229-49FC-8229-DF8ED88113E5}">
  <sheetPr codeName="Hoja12">
    <tabColor theme="0" tint="-0.14999847407452621"/>
    <pageSetUpPr fitToPage="1"/>
  </sheetPr>
  <dimension ref="A1:K305"/>
  <sheetViews>
    <sheetView showGridLines="0" zoomScale="96" zoomScaleNormal="96" workbookViewId="0">
      <pane ySplit="22" topLeftCell="A291" activePane="bottomLeft" state="frozen"/>
      <selection activeCell="Z846" sqref="Z846"/>
      <selection pane="bottomLeft" activeCell="B305" sqref="B305"/>
    </sheetView>
  </sheetViews>
  <sheetFormatPr baseColWidth="10" defaultColWidth="0" defaultRowHeight="12.75"/>
  <cols>
    <col min="1" max="1" width="14.7109375" style="135" customWidth="1"/>
    <col min="2" max="2" width="10.7109375" style="135" bestFit="1" customWidth="1"/>
    <col min="3" max="3" width="18.7109375" style="135" bestFit="1" customWidth="1"/>
    <col min="4" max="4" width="15.28515625" style="135" bestFit="1" customWidth="1"/>
    <col min="5" max="5" width="10.42578125" style="135" bestFit="1" customWidth="1"/>
    <col min="6" max="6" width="13.7109375" style="135" bestFit="1" customWidth="1"/>
    <col min="7" max="7" width="12.7109375" style="135" bestFit="1" customWidth="1"/>
    <col min="8" max="8" width="22" style="135" customWidth="1"/>
    <col min="9" max="9" width="22.42578125" style="135" bestFit="1" customWidth="1"/>
    <col min="10" max="10" width="12.7109375" style="133" bestFit="1" customWidth="1"/>
    <col min="11" max="11" width="13" style="133" customWidth="1"/>
    <col min="12" max="16384" width="0" style="133" hidden="1"/>
  </cols>
  <sheetData>
    <row r="1" spans="1:9" s="130" customFormat="1" ht="12.75" customHeight="1">
      <c r="A1" s="116"/>
    </row>
    <row r="2" spans="1:9" s="130" customFormat="1" ht="12.75" customHeight="1">
      <c r="A2" s="131"/>
    </row>
    <row r="3" spans="1:9" s="130" customFormat="1" ht="12.75" customHeight="1">
      <c r="A3" s="131"/>
    </row>
    <row r="4" spans="1:9" s="130" customFormat="1" ht="12.75" customHeight="1">
      <c r="A4" s="131"/>
    </row>
    <row r="5" spans="1:9" s="130" customFormat="1" ht="12.75" customHeight="1">
      <c r="A5" s="132"/>
    </row>
    <row r="6" spans="1:9" ht="12.75" customHeight="1">
      <c r="A6" s="127"/>
      <c r="B6" s="133"/>
      <c r="C6" s="133"/>
      <c r="D6" s="133"/>
      <c r="E6" s="133"/>
      <c r="F6" s="133"/>
      <c r="G6" s="133"/>
      <c r="H6" s="133"/>
      <c r="I6" s="133"/>
    </row>
    <row r="7" spans="1:9" ht="12.75" customHeight="1">
      <c r="A7" s="127"/>
      <c r="B7" s="133"/>
      <c r="C7" s="133"/>
      <c r="D7" s="133"/>
      <c r="E7" s="133"/>
      <c r="F7" s="133"/>
      <c r="G7" s="133"/>
      <c r="H7" s="133"/>
      <c r="I7" s="133"/>
    </row>
    <row r="8" spans="1:9" ht="12.75" customHeight="1">
      <c r="A8" s="127"/>
      <c r="B8" s="133"/>
      <c r="C8" s="133"/>
      <c r="D8" s="133"/>
      <c r="E8" s="133"/>
      <c r="F8" s="133"/>
      <c r="G8" s="133"/>
      <c r="H8" s="133"/>
      <c r="I8" s="133"/>
    </row>
    <row r="9" spans="1:9" ht="12.75" customHeight="1">
      <c r="A9" s="127"/>
      <c r="B9" s="133"/>
      <c r="C9" s="133"/>
      <c r="D9" s="133"/>
      <c r="E9" s="133"/>
      <c r="F9" s="133"/>
      <c r="G9" s="133"/>
      <c r="H9" s="133"/>
      <c r="I9" s="133"/>
    </row>
    <row r="10" spans="1:9" ht="12.75" customHeight="1">
      <c r="A10" s="127"/>
      <c r="B10" s="133"/>
      <c r="C10" s="133"/>
      <c r="D10" s="133"/>
      <c r="E10" s="133"/>
      <c r="F10" s="133"/>
      <c r="G10" s="133"/>
      <c r="H10" s="133"/>
      <c r="I10" s="133"/>
    </row>
    <row r="11" spans="1:9" ht="12.75" customHeight="1">
      <c r="A11" s="127"/>
      <c r="B11" s="133"/>
      <c r="C11" s="133"/>
      <c r="D11" s="133"/>
      <c r="E11" s="133"/>
      <c r="F11" s="133"/>
      <c r="G11" s="133"/>
      <c r="H11" s="133"/>
      <c r="I11" s="133"/>
    </row>
    <row r="12" spans="1:9" ht="12.75" customHeight="1">
      <c r="A12" s="127"/>
      <c r="B12" s="133"/>
      <c r="C12" s="133"/>
      <c r="D12" s="133"/>
      <c r="E12" s="133"/>
      <c r="F12" s="133"/>
      <c r="G12" s="133"/>
      <c r="H12" s="133"/>
      <c r="I12" s="133"/>
    </row>
    <row r="13" spans="1:9" ht="12.75" customHeight="1">
      <c r="A13" s="127"/>
      <c r="B13" s="133"/>
      <c r="C13" s="133"/>
      <c r="D13" s="133"/>
      <c r="E13" s="133"/>
      <c r="F13" s="133"/>
      <c r="G13" s="133"/>
      <c r="H13" s="133"/>
      <c r="I13" s="133"/>
    </row>
    <row r="14" spans="1:9" ht="12.75" customHeight="1">
      <c r="A14" s="127"/>
      <c r="B14" s="133"/>
      <c r="C14" s="133"/>
      <c r="D14" s="133"/>
      <c r="E14" s="133"/>
      <c r="F14" s="133"/>
      <c r="G14" s="133"/>
      <c r="H14" s="133"/>
      <c r="I14" s="133"/>
    </row>
    <row r="15" spans="1:9" ht="12.75" customHeight="1">
      <c r="A15" s="127"/>
      <c r="B15" s="133"/>
      <c r="C15" s="133"/>
      <c r="D15" s="133"/>
      <c r="E15" s="133"/>
      <c r="F15" s="133"/>
      <c r="G15" s="133"/>
      <c r="H15" s="133"/>
      <c r="I15" s="133"/>
    </row>
    <row r="16" spans="1:9" ht="12.75" customHeight="1">
      <c r="A16" s="127"/>
      <c r="B16" s="133"/>
      <c r="C16" s="133"/>
      <c r="D16" s="133"/>
      <c r="E16" s="133"/>
      <c r="F16" s="133"/>
      <c r="G16" s="133"/>
      <c r="H16" s="133"/>
      <c r="I16" s="133"/>
    </row>
    <row r="17" spans="1:9" ht="12.75" customHeight="1">
      <c r="A17" s="127"/>
      <c r="B17" s="133"/>
      <c r="C17" s="133"/>
      <c r="D17" s="133"/>
      <c r="E17" s="133"/>
      <c r="F17" s="133"/>
      <c r="G17" s="133"/>
      <c r="H17" s="133"/>
      <c r="I17" s="133"/>
    </row>
    <row r="18" spans="1:9" ht="12.75" customHeight="1">
      <c r="A18" s="127"/>
      <c r="B18" s="133"/>
      <c r="C18" s="133"/>
      <c r="D18" s="133"/>
      <c r="E18" s="133"/>
      <c r="F18" s="133"/>
      <c r="G18" s="133"/>
      <c r="H18" s="133"/>
      <c r="I18" s="133"/>
    </row>
    <row r="19" spans="1:9" ht="12.75" customHeight="1">
      <c r="A19" s="127"/>
      <c r="B19" s="133"/>
      <c r="C19" s="133"/>
      <c r="D19" s="133"/>
      <c r="E19" s="133"/>
      <c r="F19" s="133"/>
      <c r="G19" s="133"/>
      <c r="H19" s="133"/>
      <c r="I19" s="133"/>
    </row>
    <row r="20" spans="1:9" s="134" customFormat="1" ht="12.75" customHeight="1">
      <c r="A20" s="289"/>
      <c r="B20" s="290" t="str">
        <f>Tasa_internaSección_título_etiqueta</f>
        <v>Composición por tipo de interés - deuda interna</v>
      </c>
      <c r="C20" s="291"/>
      <c r="D20" s="291"/>
      <c r="E20" s="291"/>
      <c r="F20" s="291"/>
      <c r="G20" s="291"/>
      <c r="H20" s="291"/>
      <c r="I20" s="291"/>
    </row>
    <row r="21" spans="1:9" s="134" customFormat="1" ht="12.75" customHeight="1">
      <c r="A21" s="289"/>
      <c r="B21" s="290" t="str">
        <f>Tasa_internaSección_subtítulo_etiqueta</f>
        <v>(% de deuda interna)</v>
      </c>
      <c r="C21" s="291"/>
      <c r="D21" s="291"/>
      <c r="E21" s="291"/>
      <c r="F21" s="291"/>
      <c r="G21" s="291"/>
      <c r="H21" s="291"/>
      <c r="I21" s="291"/>
    </row>
    <row r="22" spans="1:9">
      <c r="A22" s="192" t="str">
        <f>Indice_PrincipalFecha_corte_etiqueta</f>
        <v>Fecha corte</v>
      </c>
      <c r="B22" s="192" t="str">
        <f>Tasa_internaColumna_título_etiqueta</f>
        <v>COP fija</v>
      </c>
      <c r="C22" s="192" t="str">
        <f>Tasa_internaColumna_título_etiqueta_3</f>
        <v>UVR fija</v>
      </c>
      <c r="D22" s="192" t="str">
        <f>Tasa_internaColumna_título_etiqueta_2</f>
        <v>COP IPC</v>
      </c>
      <c r="E22" s="192" t="str">
        <f>Tasa_internaColumna_título_etiqueta_4</f>
        <v>USD fija</v>
      </c>
      <c r="F22" s="192" t="str">
        <f>Tasa_internaColumna_título_etiqueta_5</f>
        <v xml:space="preserve">DTF </v>
      </c>
      <c r="G22" s="192" t="str">
        <f>Tasa_internaColumna_título_etiqueta_6</f>
        <v>Otros</v>
      </c>
      <c r="H22" s="199" t="str">
        <f>Tasa_internaColumna_título_etiqueta_7</f>
        <v>%tasa fija</v>
      </c>
      <c r="I22" s="192" t="str">
        <f>Tasa_internaColumna_título_etiqueta_8</f>
        <v>% tasa variable</v>
      </c>
    </row>
    <row r="23" spans="1:9">
      <c r="A23" s="118">
        <v>37072</v>
      </c>
      <c r="B23" s="194">
        <v>0.37896248874350424</v>
      </c>
      <c r="C23" s="194">
        <v>0.25958711986602628</v>
      </c>
      <c r="D23" s="194">
        <v>0.25000411389312877</v>
      </c>
      <c r="E23" s="194">
        <v>5.3695364178494367E-2</v>
      </c>
      <c r="F23" s="194">
        <v>3.473940187583395E-2</v>
      </c>
      <c r="G23" s="194">
        <v>2.3011511443012393E-2</v>
      </c>
      <c r="H23" s="200">
        <v>0.69224497278802499</v>
      </c>
      <c r="I23" s="200">
        <v>0.30775502721197512</v>
      </c>
    </row>
    <row r="24" spans="1:9">
      <c r="A24" s="118">
        <v>37103</v>
      </c>
      <c r="B24" s="194">
        <v>0.36911587783912791</v>
      </c>
      <c r="C24" s="194">
        <v>0.25775351740251523</v>
      </c>
      <c r="D24" s="194">
        <v>0.24719032962652127</v>
      </c>
      <c r="E24" s="194">
        <v>6.883934556224966E-2</v>
      </c>
      <c r="F24" s="194">
        <v>3.4348411580084809E-2</v>
      </c>
      <c r="G24" s="194">
        <v>2.275251798950112E-2</v>
      </c>
      <c r="H24" s="200">
        <v>0.69570874080389278</v>
      </c>
      <c r="I24" s="200">
        <v>0.30429125919610717</v>
      </c>
    </row>
    <row r="25" spans="1:9">
      <c r="A25" s="118">
        <v>37134</v>
      </c>
      <c r="B25" s="194">
        <v>0.37779908152452107</v>
      </c>
      <c r="C25" s="194">
        <v>0.25333590287251778</v>
      </c>
      <c r="D25" s="194">
        <v>0.23861377555011234</v>
      </c>
      <c r="E25" s="194">
        <v>7.5131493205931307E-2</v>
      </c>
      <c r="F25" s="194">
        <v>3.3156653756061333E-2</v>
      </c>
      <c r="G25" s="194">
        <v>2.1963093090856194E-2</v>
      </c>
      <c r="H25" s="200">
        <v>0.70626647760297012</v>
      </c>
      <c r="I25" s="200">
        <v>0.29373352239702988</v>
      </c>
    </row>
    <row r="26" spans="1:9">
      <c r="A26" s="118">
        <v>37164</v>
      </c>
      <c r="B26" s="194">
        <v>0.38023435601662037</v>
      </c>
      <c r="C26" s="194">
        <v>0.25399219725198163</v>
      </c>
      <c r="D26" s="194">
        <v>0.23291528704835682</v>
      </c>
      <c r="E26" s="194">
        <v>7.8672255717509645E-2</v>
      </c>
      <c r="F26" s="194">
        <v>3.2594911243588119E-2</v>
      </c>
      <c r="G26" s="194">
        <v>2.1590992721943501E-2</v>
      </c>
      <c r="H26" s="200">
        <v>0.71289880898611169</v>
      </c>
      <c r="I26" s="200">
        <v>0.28710119101388842</v>
      </c>
    </row>
    <row r="27" spans="1:9">
      <c r="A27" s="118">
        <v>37195</v>
      </c>
      <c r="B27" s="194">
        <v>0.38039193969683049</v>
      </c>
      <c r="C27" s="194">
        <v>0.2586922838584258</v>
      </c>
      <c r="D27" s="194">
        <v>0.22499361417319361</v>
      </c>
      <c r="E27" s="194">
        <v>8.351091879426957E-2</v>
      </c>
      <c r="F27" s="194">
        <v>3.1527384509350422E-2</v>
      </c>
      <c r="G27" s="194">
        <v>2.0883858967930279E-2</v>
      </c>
      <c r="H27" s="200">
        <v>0.72259514234952582</v>
      </c>
      <c r="I27" s="200">
        <v>0.27740485765047429</v>
      </c>
    </row>
    <row r="28" spans="1:9">
      <c r="A28" s="118">
        <v>37225</v>
      </c>
      <c r="B28" s="194">
        <v>0.38876757420117852</v>
      </c>
      <c r="C28" s="194">
        <v>0.25724589753817823</v>
      </c>
      <c r="D28" s="194">
        <v>0.21757518656255959</v>
      </c>
      <c r="E28" s="194">
        <v>8.5644385040002713E-2</v>
      </c>
      <c r="F28" s="194">
        <v>3.0538282565699054E-2</v>
      </c>
      <c r="G28" s="194">
        <v>2.0228674092382021E-2</v>
      </c>
      <c r="H28" s="200">
        <v>0.73165785677935946</v>
      </c>
      <c r="I28" s="200">
        <v>0.26834214322064065</v>
      </c>
    </row>
    <row r="29" spans="1:9">
      <c r="A29" s="118">
        <v>37256</v>
      </c>
      <c r="B29" s="194">
        <v>0.43908710801512241</v>
      </c>
      <c r="C29" s="194">
        <v>0.23626549531092325</v>
      </c>
      <c r="D29" s="194">
        <v>0.19979558758679247</v>
      </c>
      <c r="E29" s="194">
        <v>7.8147360891723583E-2</v>
      </c>
      <c r="F29" s="194">
        <v>2.7936499905317814E-2</v>
      </c>
      <c r="G29" s="194">
        <v>1.8767948290120479E-2</v>
      </c>
      <c r="H29" s="200">
        <v>0.75349996421776921</v>
      </c>
      <c r="I29" s="200">
        <v>0.24650003578223079</v>
      </c>
    </row>
    <row r="30" spans="1:9">
      <c r="A30" s="118">
        <v>37287</v>
      </c>
      <c r="B30" s="194">
        <v>0.45518114156314593</v>
      </c>
      <c r="C30" s="194">
        <v>0.23921847526760673</v>
      </c>
      <c r="D30" s="194">
        <v>0.19693434492578732</v>
      </c>
      <c r="E30" s="194">
        <v>6.3215521785902812E-2</v>
      </c>
      <c r="F30" s="194">
        <v>2.7634652844451994E-2</v>
      </c>
      <c r="G30" s="194">
        <v>1.7815863613105078E-2</v>
      </c>
      <c r="H30" s="200">
        <v>0.75761513861665553</v>
      </c>
      <c r="I30" s="200">
        <v>0.24238486138334439</v>
      </c>
    </row>
    <row r="31" spans="1:9">
      <c r="A31" s="118">
        <v>37315</v>
      </c>
      <c r="B31" s="194">
        <v>0.45697305800067478</v>
      </c>
      <c r="C31" s="194">
        <v>0.25517212107904697</v>
      </c>
      <c r="D31" s="194">
        <v>0.18672398163360088</v>
      </c>
      <c r="E31" s="194">
        <v>5.7992689488104966E-2</v>
      </c>
      <c r="F31" s="194">
        <v>2.6228696326228526E-2</v>
      </c>
      <c r="G31" s="194">
        <v>1.6909453472343926E-2</v>
      </c>
      <c r="H31" s="200">
        <v>0.77013786856782673</v>
      </c>
      <c r="I31" s="200">
        <v>0.22986213143217335</v>
      </c>
    </row>
    <row r="32" spans="1:9">
      <c r="A32" s="118">
        <v>37346</v>
      </c>
      <c r="B32" s="194">
        <v>0.46341141453906615</v>
      </c>
      <c r="C32" s="194">
        <v>0.25913455875546698</v>
      </c>
      <c r="D32" s="194">
        <v>0.18683148376578765</v>
      </c>
      <c r="E32" s="194">
        <v>4.7910544097168342E-2</v>
      </c>
      <c r="F32" s="194">
        <v>2.624827222623561E-2</v>
      </c>
      <c r="G32" s="194">
        <v>1.6463726616275431E-2</v>
      </c>
      <c r="H32" s="200">
        <v>0.77045651739170151</v>
      </c>
      <c r="I32" s="200">
        <v>0.22954348260829868</v>
      </c>
    </row>
    <row r="33" spans="1:9">
      <c r="A33" s="118">
        <v>37376</v>
      </c>
      <c r="B33" s="194">
        <v>0.46798099473869892</v>
      </c>
      <c r="C33" s="194">
        <v>0.25925019140468281</v>
      </c>
      <c r="D33" s="194">
        <v>0.18512253521272456</v>
      </c>
      <c r="E33" s="194">
        <v>4.776874165281042E-2</v>
      </c>
      <c r="F33" s="194">
        <v>2.6008179143756728E-2</v>
      </c>
      <c r="G33" s="194">
        <v>1.3869357847326565E-2</v>
      </c>
      <c r="H33" s="200">
        <v>0.7749999277961922</v>
      </c>
      <c r="I33" s="200">
        <v>0.22500007220380785</v>
      </c>
    </row>
    <row r="34" spans="1:9">
      <c r="A34" s="118">
        <v>37407</v>
      </c>
      <c r="B34" s="194">
        <v>0.47725262472217606</v>
      </c>
      <c r="C34" s="194">
        <v>0.26430008023082618</v>
      </c>
      <c r="D34" s="194">
        <v>0.17465325674478499</v>
      </c>
      <c r="E34" s="194">
        <v>4.6168603844217761E-2</v>
      </c>
      <c r="F34" s="194">
        <v>2.4640869060181148E-2</v>
      </c>
      <c r="G34" s="194">
        <v>1.2984565397813985E-2</v>
      </c>
      <c r="H34" s="200">
        <v>0.78772130879721991</v>
      </c>
      <c r="I34" s="200">
        <v>0.21227869120278012</v>
      </c>
    </row>
    <row r="35" spans="1:9">
      <c r="A35" s="118">
        <v>37437</v>
      </c>
      <c r="B35" s="194">
        <v>0.48812144629909571</v>
      </c>
      <c r="C35" s="194">
        <v>0.27019563619072628</v>
      </c>
      <c r="D35" s="194">
        <v>0.17166110031448392</v>
      </c>
      <c r="E35" s="194">
        <v>3.5161972148314354E-2</v>
      </c>
      <c r="F35" s="194">
        <v>2.4264266019708439E-2</v>
      </c>
      <c r="G35" s="194">
        <v>1.0595579027671234E-2</v>
      </c>
      <c r="H35" s="200">
        <v>0.79347905463813639</v>
      </c>
      <c r="I35" s="200">
        <v>0.20652094536186361</v>
      </c>
    </row>
    <row r="36" spans="1:9">
      <c r="A36" s="118">
        <v>37468</v>
      </c>
      <c r="B36" s="194">
        <v>0.48470568805284803</v>
      </c>
      <c r="C36" s="194">
        <v>0.27185627194958673</v>
      </c>
      <c r="D36" s="194">
        <v>0.17047175007754931</v>
      </c>
      <c r="E36" s="194">
        <v>3.8374951564666672E-2</v>
      </c>
      <c r="F36" s="194">
        <v>2.4217051562399072E-2</v>
      </c>
      <c r="G36" s="194">
        <v>1.0374286792950134E-2</v>
      </c>
      <c r="H36" s="200">
        <v>0.79493691156710133</v>
      </c>
      <c r="I36" s="200">
        <v>0.2050630884328985</v>
      </c>
    </row>
    <row r="37" spans="1:9">
      <c r="A37" s="118">
        <v>37499</v>
      </c>
      <c r="B37" s="194">
        <v>0.48017388715541126</v>
      </c>
      <c r="C37" s="194">
        <v>0.2723532126135122</v>
      </c>
      <c r="D37" s="194">
        <v>0.16991728074616347</v>
      </c>
      <c r="E37" s="194">
        <v>3.9531973513223656E-2</v>
      </c>
      <c r="F37" s="194">
        <v>2.4143835048560842E-2</v>
      </c>
      <c r="G37" s="194">
        <v>1.3879810923128517E-2</v>
      </c>
      <c r="H37" s="200">
        <v>0.7920590732821472</v>
      </c>
      <c r="I37" s="200">
        <v>0.20794092671785283</v>
      </c>
    </row>
    <row r="38" spans="1:9">
      <c r="A38" s="118">
        <v>37529</v>
      </c>
      <c r="B38" s="194">
        <v>0.47724012711036801</v>
      </c>
      <c r="C38" s="194">
        <v>0.27402361410610215</v>
      </c>
      <c r="D38" s="194">
        <v>0.16954900929662062</v>
      </c>
      <c r="E38" s="194">
        <v>4.1274400317716751E-2</v>
      </c>
      <c r="F38" s="194">
        <v>2.4177432730883193E-2</v>
      </c>
      <c r="G38" s="194">
        <v>1.3735416438309391E-2</v>
      </c>
      <c r="H38" s="200">
        <v>0.792538141534187</v>
      </c>
      <c r="I38" s="200">
        <v>0.20746185846581319</v>
      </c>
    </row>
    <row r="39" spans="1:9">
      <c r="A39" s="118">
        <v>37560</v>
      </c>
      <c r="B39" s="194">
        <v>0.47922520181635547</v>
      </c>
      <c r="C39" s="194">
        <v>0.27478252103981909</v>
      </c>
      <c r="D39" s="194">
        <v>0.16878399200734259</v>
      </c>
      <c r="E39" s="194">
        <v>4.0385308543336981E-2</v>
      </c>
      <c r="F39" s="194">
        <v>2.4120167730986894E-2</v>
      </c>
      <c r="G39" s="194">
        <v>1.2702808862158946E-2</v>
      </c>
      <c r="H39" s="200">
        <v>0.79439303139951156</v>
      </c>
      <c r="I39" s="200">
        <v>0.20560696860048841</v>
      </c>
    </row>
    <row r="40" spans="1:9">
      <c r="A40" s="118">
        <v>37590</v>
      </c>
      <c r="B40" s="194">
        <v>0.37970720073640601</v>
      </c>
      <c r="C40" s="194">
        <v>0.2752766605846948</v>
      </c>
      <c r="D40" s="194">
        <v>0.19350106578648932</v>
      </c>
      <c r="E40" s="194">
        <v>3.9908192595098382E-2</v>
      </c>
      <c r="F40" s="194">
        <v>9.9394251868382702E-2</v>
      </c>
      <c r="G40" s="194">
        <v>1.2212628428928814E-2</v>
      </c>
      <c r="H40" s="200">
        <v>0.69489205391619913</v>
      </c>
      <c r="I40" s="200">
        <v>0.30510794608380087</v>
      </c>
    </row>
    <row r="41" spans="1:9">
      <c r="A41" s="118">
        <v>37621</v>
      </c>
      <c r="B41" s="194">
        <v>0.38510818275875058</v>
      </c>
      <c r="C41" s="194">
        <v>0.26713376127110561</v>
      </c>
      <c r="D41" s="194">
        <v>0.18717056082299419</v>
      </c>
      <c r="E41" s="194">
        <v>5.3414515208066601E-2</v>
      </c>
      <c r="F41" s="194">
        <v>9.596470088224042E-2</v>
      </c>
      <c r="G41" s="194">
        <v>1.1208279056842603E-2</v>
      </c>
      <c r="H41" s="200">
        <v>0.70565645923792275</v>
      </c>
      <c r="I41" s="200">
        <v>0.29434354076207725</v>
      </c>
    </row>
    <row r="42" spans="1:9">
      <c r="A42" s="118">
        <v>37652</v>
      </c>
      <c r="B42" s="194">
        <v>0.38909555325352313</v>
      </c>
      <c r="C42" s="194">
        <v>0.26768745141667138</v>
      </c>
      <c r="D42" s="194">
        <v>0.1836152196518174</v>
      </c>
      <c r="E42" s="194">
        <v>5.385148815008281E-2</v>
      </c>
      <c r="F42" s="194">
        <v>9.4710936684850644E-2</v>
      </c>
      <c r="G42" s="194">
        <v>1.1039350843054531E-2</v>
      </c>
      <c r="H42" s="200">
        <v>0.71063449282027735</v>
      </c>
      <c r="I42" s="200">
        <v>0.28936550717972254</v>
      </c>
    </row>
    <row r="43" spans="1:9">
      <c r="A43" s="118">
        <v>37680</v>
      </c>
      <c r="B43" s="194">
        <v>0.38762030834077127</v>
      </c>
      <c r="C43" s="194">
        <v>0.28114400408133589</v>
      </c>
      <c r="D43" s="194">
        <v>0.18016842947165709</v>
      </c>
      <c r="E43" s="194">
        <v>4.626371916705202E-2</v>
      </c>
      <c r="F43" s="194">
        <v>9.3591918798853049E-2</v>
      </c>
      <c r="G43" s="194">
        <v>1.1211620140330752E-2</v>
      </c>
      <c r="H43" s="200">
        <v>0.71502803158915929</v>
      </c>
      <c r="I43" s="200">
        <v>0.28497196841084094</v>
      </c>
    </row>
    <row r="44" spans="1:9">
      <c r="A44" s="118">
        <v>37711</v>
      </c>
      <c r="B44" s="194">
        <v>0.39062327243662642</v>
      </c>
      <c r="C44" s="194">
        <v>0.28563325432639108</v>
      </c>
      <c r="D44" s="194">
        <v>0.17760671810483061</v>
      </c>
      <c r="E44" s="194">
        <v>4.6169135687294978E-2</v>
      </c>
      <c r="F44" s="194">
        <v>8.9645251883415739E-2</v>
      </c>
      <c r="G44" s="194">
        <v>1.0322367561441141E-2</v>
      </c>
      <c r="H44" s="200">
        <v>0.72242566245031248</v>
      </c>
      <c r="I44" s="200">
        <v>0.27757433754968747</v>
      </c>
    </row>
    <row r="45" spans="1:9">
      <c r="A45" s="118">
        <v>37741</v>
      </c>
      <c r="B45" s="194">
        <v>0.39763277259406943</v>
      </c>
      <c r="C45" s="194">
        <v>0.28484848081355973</v>
      </c>
      <c r="D45" s="194">
        <v>0.1746837946838222</v>
      </c>
      <c r="E45" s="194">
        <v>4.4419252309049057E-2</v>
      </c>
      <c r="F45" s="194">
        <v>8.83510153266443E-2</v>
      </c>
      <c r="G45" s="194">
        <v>1.0064684272855342E-2</v>
      </c>
      <c r="H45" s="200">
        <v>0.7269005057166783</v>
      </c>
      <c r="I45" s="200">
        <v>0.27309949428332181</v>
      </c>
    </row>
    <row r="46" spans="1:9">
      <c r="A46" s="118">
        <v>37772</v>
      </c>
      <c r="B46" s="194">
        <v>0.40341607446196509</v>
      </c>
      <c r="C46" s="194">
        <v>0.28417743470788215</v>
      </c>
      <c r="D46" s="194">
        <v>0.17200347455363421</v>
      </c>
      <c r="E46" s="194">
        <v>4.3272467381026546E-2</v>
      </c>
      <c r="F46" s="194">
        <v>8.7540931570322639E-2</v>
      </c>
      <c r="G46" s="194">
        <v>9.5896173251693879E-3</v>
      </c>
      <c r="H46" s="200">
        <v>0.73086597655087382</v>
      </c>
      <c r="I46" s="200">
        <v>0.26913402344912624</v>
      </c>
    </row>
    <row r="47" spans="1:9">
      <c r="A47" s="118">
        <v>37802</v>
      </c>
      <c r="B47" s="194">
        <v>0.40178111181934445</v>
      </c>
      <c r="C47" s="194">
        <v>0.29026703626044775</v>
      </c>
      <c r="D47" s="194">
        <v>0.16941113788541945</v>
      </c>
      <c r="E47" s="194">
        <v>4.2464612114973516E-2</v>
      </c>
      <c r="F47" s="194">
        <v>8.6876758598160381E-2</v>
      </c>
      <c r="G47" s="194">
        <v>9.1993433216544639E-3</v>
      </c>
      <c r="H47" s="200">
        <v>0.73451276019476575</v>
      </c>
      <c r="I47" s="200">
        <v>0.26548723980523431</v>
      </c>
    </row>
    <row r="48" spans="1:9">
      <c r="A48" s="118">
        <v>37833</v>
      </c>
      <c r="B48" s="194">
        <v>0.40980371037909441</v>
      </c>
      <c r="C48" s="194">
        <v>0.28838877582686584</v>
      </c>
      <c r="D48" s="194">
        <v>0.1675494110047582</v>
      </c>
      <c r="E48" s="194">
        <v>3.9584244164713782E-2</v>
      </c>
      <c r="F48" s="194">
        <v>8.5934099659376872E-2</v>
      </c>
      <c r="G48" s="194">
        <v>8.7397589651909916E-3</v>
      </c>
      <c r="H48" s="200">
        <v>0.73777673037067404</v>
      </c>
      <c r="I48" s="200">
        <v>0.26222326962932607</v>
      </c>
    </row>
    <row r="49" spans="1:9">
      <c r="A49" s="118">
        <v>37864</v>
      </c>
      <c r="B49" s="194">
        <v>0.42564040170394374</v>
      </c>
      <c r="C49" s="194">
        <v>0.28796473544738332</v>
      </c>
      <c r="D49" s="194">
        <v>0.16673018117404506</v>
      </c>
      <c r="E49" s="194">
        <v>3.3737306248388263E-2</v>
      </c>
      <c r="F49" s="194">
        <v>7.7015669619244248E-2</v>
      </c>
      <c r="G49" s="194">
        <v>8.9117058069954659E-3</v>
      </c>
      <c r="H49" s="200">
        <v>0.74734244339971523</v>
      </c>
      <c r="I49" s="200">
        <v>0.25265755660028477</v>
      </c>
    </row>
    <row r="50" spans="1:9">
      <c r="A50" s="118">
        <v>37894</v>
      </c>
      <c r="B50" s="194">
        <v>0.4292057790268623</v>
      </c>
      <c r="C50" s="194">
        <v>0.28741134836516907</v>
      </c>
      <c r="D50" s="194">
        <v>0.16466854081291948</v>
      </c>
      <c r="E50" s="194">
        <v>3.3886246376253051E-2</v>
      </c>
      <c r="F50" s="194">
        <v>7.6200980673306773E-2</v>
      </c>
      <c r="G50" s="194">
        <v>8.62710474548933E-3</v>
      </c>
      <c r="H50" s="200">
        <v>0.75050337376828447</v>
      </c>
      <c r="I50" s="200">
        <v>0.24949662623171559</v>
      </c>
    </row>
    <row r="51" spans="1:9">
      <c r="A51" s="118">
        <v>37925</v>
      </c>
      <c r="B51" s="194">
        <v>0.42239398212590606</v>
      </c>
      <c r="C51" s="194">
        <v>0.28736212065655387</v>
      </c>
      <c r="D51" s="194">
        <v>0.16405684166343018</v>
      </c>
      <c r="E51" s="194">
        <v>3.368480347554588E-2</v>
      </c>
      <c r="F51" s="194">
        <v>8.4053394115310529E-2</v>
      </c>
      <c r="G51" s="194">
        <v>8.4488579632535053E-3</v>
      </c>
      <c r="H51" s="200">
        <v>0.74344090625800585</v>
      </c>
      <c r="I51" s="200">
        <v>0.2565590937419942</v>
      </c>
    </row>
    <row r="52" spans="1:9">
      <c r="A52" s="118">
        <v>37955</v>
      </c>
      <c r="B52" s="194">
        <v>0.43748005038436499</v>
      </c>
      <c r="C52" s="194">
        <v>0.28418160821544819</v>
      </c>
      <c r="D52" s="194">
        <v>0.15505435259209346</v>
      </c>
      <c r="E52" s="194">
        <v>3.2966655468204167E-2</v>
      </c>
      <c r="F52" s="194">
        <v>8.2518047590820154E-2</v>
      </c>
      <c r="G52" s="194">
        <v>7.7992857490689843E-3</v>
      </c>
      <c r="H52" s="200">
        <v>0.75462831406801745</v>
      </c>
      <c r="I52" s="200">
        <v>0.24537168593198261</v>
      </c>
    </row>
    <row r="53" spans="1:9">
      <c r="A53" s="118">
        <v>37986</v>
      </c>
      <c r="B53" s="194">
        <v>0.44621487071153421</v>
      </c>
      <c r="C53" s="194">
        <v>0.282729935444402</v>
      </c>
      <c r="D53" s="194">
        <v>0.15029629996615282</v>
      </c>
      <c r="E53" s="194">
        <v>3.1860146879362505E-2</v>
      </c>
      <c r="F53" s="194">
        <v>8.1408334619466172E-2</v>
      </c>
      <c r="G53" s="194">
        <v>7.4904123790822223E-3</v>
      </c>
      <c r="H53" s="200">
        <v>0.76080495303529871</v>
      </c>
      <c r="I53" s="200">
        <v>0.2391950469647012</v>
      </c>
    </row>
    <row r="54" spans="1:9">
      <c r="A54" s="118">
        <v>38017</v>
      </c>
      <c r="B54" s="194">
        <v>0.4431144264753315</v>
      </c>
      <c r="C54" s="194">
        <v>0.29036209522463113</v>
      </c>
      <c r="D54" s="194">
        <v>0.14789172330243994</v>
      </c>
      <c r="E54" s="194">
        <v>3.1052317479067726E-2</v>
      </c>
      <c r="F54" s="194">
        <v>8.0453618646382369E-2</v>
      </c>
      <c r="G54" s="194">
        <v>7.1258188721473811E-3</v>
      </c>
      <c r="H54" s="200">
        <v>0.76452883917903036</v>
      </c>
      <c r="I54" s="200">
        <v>0.23547116082096969</v>
      </c>
    </row>
    <row r="55" spans="1:9">
      <c r="A55" s="118">
        <v>38046</v>
      </c>
      <c r="B55" s="194">
        <v>0.45759986917111645</v>
      </c>
      <c r="C55" s="194">
        <v>0.28581900292323881</v>
      </c>
      <c r="D55" s="194">
        <v>0.14452617371268897</v>
      </c>
      <c r="E55" s="194">
        <v>2.8403814347783964E-2</v>
      </c>
      <c r="F55" s="194">
        <v>7.6504323880530065E-2</v>
      </c>
      <c r="G55" s="194">
        <v>7.1468159646417536E-3</v>
      </c>
      <c r="H55" s="200">
        <v>0.77182268644213925</v>
      </c>
      <c r="I55" s="200">
        <v>0.22817731355786078</v>
      </c>
    </row>
    <row r="56" spans="1:9">
      <c r="A56" s="118">
        <v>38077</v>
      </c>
      <c r="B56" s="194">
        <v>0.4719045521799376</v>
      </c>
      <c r="C56" s="194">
        <v>0.28078936471996013</v>
      </c>
      <c r="D56" s="194">
        <v>0.1396674094628472</v>
      </c>
      <c r="E56" s="194">
        <v>2.6850730965502747E-2</v>
      </c>
      <c r="F56" s="194">
        <v>7.4030447896883067E-2</v>
      </c>
      <c r="G56" s="194">
        <v>6.7574947748692939E-3</v>
      </c>
      <c r="H56" s="200">
        <v>0.77954464786540045</v>
      </c>
      <c r="I56" s="200">
        <v>0.22045535213459955</v>
      </c>
    </row>
    <row r="57" spans="1:9">
      <c r="A57" s="118">
        <v>38107</v>
      </c>
      <c r="B57" s="194">
        <v>0.4696676652999221</v>
      </c>
      <c r="C57" s="194">
        <v>0.28344170413516873</v>
      </c>
      <c r="D57" s="194">
        <v>0.13907269594660018</v>
      </c>
      <c r="E57" s="194">
        <v>2.6448342682871162E-2</v>
      </c>
      <c r="F57" s="194">
        <v>7.3779710514331701E-2</v>
      </c>
      <c r="G57" s="194">
        <v>7.5898814211060707E-3</v>
      </c>
      <c r="H57" s="200">
        <v>0.77955771211796199</v>
      </c>
      <c r="I57" s="200">
        <v>0.22044228788203796</v>
      </c>
    </row>
    <row r="58" spans="1:9">
      <c r="A58" s="118">
        <v>38138</v>
      </c>
      <c r="B58" s="194">
        <v>0.4678354933203846</v>
      </c>
      <c r="C58" s="194">
        <v>0.27447055452714963</v>
      </c>
      <c r="D58" s="194">
        <v>0.13992316121129289</v>
      </c>
      <c r="E58" s="194">
        <v>2.7486731300376679E-2</v>
      </c>
      <c r="F58" s="194">
        <v>7.3303552003032332E-2</v>
      </c>
      <c r="G58" s="194">
        <v>1.6980507637763792E-2</v>
      </c>
      <c r="H58" s="200">
        <v>0.769792779147911</v>
      </c>
      <c r="I58" s="200">
        <v>0.23020722085208903</v>
      </c>
    </row>
    <row r="59" spans="1:9">
      <c r="A59" s="118">
        <v>38168</v>
      </c>
      <c r="B59" s="194">
        <v>0.46482297583771409</v>
      </c>
      <c r="C59" s="194">
        <v>0.27825487090792062</v>
      </c>
      <c r="D59" s="194">
        <v>0.14071691345992654</v>
      </c>
      <c r="E59" s="194">
        <v>2.5114267847697554E-2</v>
      </c>
      <c r="F59" s="194">
        <v>7.4145016349841136E-2</v>
      </c>
      <c r="G59" s="194">
        <v>1.6945955596900025E-2</v>
      </c>
      <c r="H59" s="200">
        <v>0.76819211459333225</v>
      </c>
      <c r="I59" s="200">
        <v>0.23180788540666769</v>
      </c>
    </row>
    <row r="60" spans="1:9">
      <c r="A60" s="118">
        <v>38199</v>
      </c>
      <c r="B60" s="194">
        <v>0.4801138849843013</v>
      </c>
      <c r="C60" s="194">
        <v>0.27214238026820992</v>
      </c>
      <c r="D60" s="194">
        <v>0.13576771123919973</v>
      </c>
      <c r="E60" s="194">
        <v>2.3683424784066001E-2</v>
      </c>
      <c r="F60" s="194">
        <v>7.2252990123920752E-2</v>
      </c>
      <c r="G60" s="194">
        <v>1.6039608600302145E-2</v>
      </c>
      <c r="H60" s="200">
        <v>0.77593969003657726</v>
      </c>
      <c r="I60" s="200">
        <v>0.22406030996342263</v>
      </c>
    </row>
    <row r="61" spans="1:9">
      <c r="A61" s="118">
        <v>38230</v>
      </c>
      <c r="B61" s="194">
        <v>0.48677207614453039</v>
      </c>
      <c r="C61" s="194">
        <v>0.27078486115305844</v>
      </c>
      <c r="D61" s="194">
        <v>0.13303235096369606</v>
      </c>
      <c r="E61" s="194">
        <v>2.2697697004756049E-2</v>
      </c>
      <c r="F61" s="194">
        <v>7.0901558547561264E-2</v>
      </c>
      <c r="G61" s="194">
        <v>1.581145618639776E-2</v>
      </c>
      <c r="H61" s="200">
        <v>0.78025463430234487</v>
      </c>
      <c r="I61" s="200">
        <v>0.2197453656976551</v>
      </c>
    </row>
    <row r="62" spans="1:9">
      <c r="A62" s="118">
        <v>38260</v>
      </c>
      <c r="B62" s="194">
        <v>0.50483497884816331</v>
      </c>
      <c r="C62" s="194">
        <v>0.26796045220197501</v>
      </c>
      <c r="D62" s="194">
        <v>0.13121269278850448</v>
      </c>
      <c r="E62" s="194">
        <v>2.287345116685852E-2</v>
      </c>
      <c r="F62" s="194">
        <v>6.5832484022190441E-2</v>
      </c>
      <c r="G62" s="194">
        <v>7.2859409723083184E-3</v>
      </c>
      <c r="H62" s="200">
        <v>0.79566888221699694</v>
      </c>
      <c r="I62" s="200">
        <v>0.20433111778300322</v>
      </c>
    </row>
    <row r="63" spans="1:9">
      <c r="A63" s="118">
        <v>38291</v>
      </c>
      <c r="B63" s="194">
        <v>0.50646349776597477</v>
      </c>
      <c r="C63" s="194">
        <v>0.2701162431796148</v>
      </c>
      <c r="D63" s="194">
        <v>0.12874056885250101</v>
      </c>
      <c r="E63" s="194">
        <v>2.2441611884539147E-2</v>
      </c>
      <c r="F63" s="194">
        <v>6.5090728054776822E-2</v>
      </c>
      <c r="G63" s="194">
        <v>7.1473502625936528E-3</v>
      </c>
      <c r="H63" s="200">
        <v>0.79902135283012876</v>
      </c>
      <c r="I63" s="200">
        <v>0.20097864716987152</v>
      </c>
    </row>
    <row r="64" spans="1:9">
      <c r="A64" s="118">
        <v>38321</v>
      </c>
      <c r="B64" s="194">
        <v>0.51002596094242814</v>
      </c>
      <c r="C64" s="194">
        <v>0.27277551155826191</v>
      </c>
      <c r="D64" s="194">
        <v>0.13217201652432362</v>
      </c>
      <c r="E64" s="194">
        <v>1.2313580148635818E-2</v>
      </c>
      <c r="F64" s="194">
        <v>6.5548138769593825E-2</v>
      </c>
      <c r="G64" s="194">
        <v>7.1647920567566746E-3</v>
      </c>
      <c r="H64" s="200">
        <v>0.7951150526493258</v>
      </c>
      <c r="I64" s="200">
        <v>0.20488494735067414</v>
      </c>
    </row>
    <row r="65" spans="1:9">
      <c r="A65" s="118">
        <v>38352</v>
      </c>
      <c r="B65" s="194">
        <v>0.5207885076542681</v>
      </c>
      <c r="C65" s="194">
        <v>0.26866643084576158</v>
      </c>
      <c r="D65" s="194">
        <v>0.12718330789965476</v>
      </c>
      <c r="E65" s="194">
        <v>1.1654400218045006E-2</v>
      </c>
      <c r="F65" s="194">
        <v>6.4358738217728181E-2</v>
      </c>
      <c r="G65" s="194">
        <v>7.3486151645425404E-3</v>
      </c>
      <c r="H65" s="200">
        <v>0.80110933871807466</v>
      </c>
      <c r="I65" s="200">
        <v>0.19889066128192551</v>
      </c>
    </row>
    <row r="66" spans="1:9">
      <c r="A66" s="118">
        <v>38383</v>
      </c>
      <c r="B66" s="194">
        <v>0.53720315235188498</v>
      </c>
      <c r="C66" s="194">
        <v>0.26817286433119292</v>
      </c>
      <c r="D66" s="194">
        <v>0.1213853009660769</v>
      </c>
      <c r="E66" s="194">
        <v>1.1140347110248376E-2</v>
      </c>
      <c r="F66" s="194">
        <v>6.2091351169004716E-2</v>
      </c>
      <c r="G66" s="194">
        <v>6.9840715920773858E-6</v>
      </c>
      <c r="H66" s="200">
        <v>0.81651636379332626</v>
      </c>
      <c r="I66" s="200">
        <v>0.18348363620667371</v>
      </c>
    </row>
    <row r="67" spans="1:9">
      <c r="A67" s="118">
        <v>38411</v>
      </c>
      <c r="B67" s="194">
        <v>0.54701326116148385</v>
      </c>
      <c r="C67" s="194">
        <v>0.26727349389134081</v>
      </c>
      <c r="D67" s="194">
        <v>0.11828563865455589</v>
      </c>
      <c r="E67" s="194">
        <v>1.0653388135025499E-2</v>
      </c>
      <c r="F67" s="194">
        <v>5.6767402170440948E-2</v>
      </c>
      <c r="G67" s="194">
        <v>6.8159871530049017E-6</v>
      </c>
      <c r="H67" s="200">
        <v>0.82494014318785014</v>
      </c>
      <c r="I67" s="200">
        <v>0.17505985681214983</v>
      </c>
    </row>
    <row r="68" spans="1:9">
      <c r="A68" s="118">
        <v>38442</v>
      </c>
      <c r="B68" s="194">
        <v>0.55198481230319973</v>
      </c>
      <c r="C68" s="194">
        <v>0.26473839272051619</v>
      </c>
      <c r="D68" s="194">
        <v>0.11527711175312874</v>
      </c>
      <c r="E68" s="194">
        <v>1.0654380050299032E-2</v>
      </c>
      <c r="F68" s="194">
        <v>5.7339185497713309E-2</v>
      </c>
      <c r="G68" s="194">
        <v>6.1176751427682171E-6</v>
      </c>
      <c r="H68" s="200">
        <v>0.82737758507401493</v>
      </c>
      <c r="I68" s="200">
        <v>0.17262241492598482</v>
      </c>
    </row>
    <row r="69" spans="1:9">
      <c r="A69" s="118">
        <v>38472</v>
      </c>
      <c r="B69" s="194">
        <v>0.56772511509808554</v>
      </c>
      <c r="C69" s="194">
        <v>0.25725931784074929</v>
      </c>
      <c r="D69" s="194">
        <v>0.11016462143737883</v>
      </c>
      <c r="E69" s="194">
        <v>1.0058727883749792E-2</v>
      </c>
      <c r="F69" s="194">
        <v>5.4785013711044002E-2</v>
      </c>
      <c r="G69" s="194">
        <v>7.2040289924860259E-6</v>
      </c>
      <c r="H69" s="200">
        <v>0.83504316082258467</v>
      </c>
      <c r="I69" s="200">
        <v>0.16495683917741533</v>
      </c>
    </row>
    <row r="70" spans="1:9">
      <c r="A70" s="118">
        <v>38503</v>
      </c>
      <c r="B70" s="194">
        <v>0.56461647724866137</v>
      </c>
      <c r="C70" s="194">
        <v>0.26039480408403376</v>
      </c>
      <c r="D70" s="194">
        <v>0.11019086476291443</v>
      </c>
      <c r="E70" s="194">
        <v>9.9946465991203864E-3</v>
      </c>
      <c r="F70" s="194">
        <v>5.479605511782705E-2</v>
      </c>
      <c r="G70" s="194">
        <v>7.1521874429180667E-6</v>
      </c>
      <c r="H70" s="200">
        <v>0.83500592793181549</v>
      </c>
      <c r="I70" s="200">
        <v>0.16499407206818439</v>
      </c>
    </row>
    <row r="71" spans="1:9">
      <c r="A71" s="118">
        <v>38533</v>
      </c>
      <c r="B71" s="194">
        <v>0.58511893395830983</v>
      </c>
      <c r="C71" s="194">
        <v>0.24766411027789809</v>
      </c>
      <c r="D71" s="194">
        <v>0.10407638917933118</v>
      </c>
      <c r="E71" s="194">
        <v>9.8022114901988606E-3</v>
      </c>
      <c r="F71" s="194">
        <v>5.3331340139039618E-2</v>
      </c>
      <c r="G71" s="194">
        <v>7.0149552224165379E-6</v>
      </c>
      <c r="H71" s="200">
        <v>0.84258525572640675</v>
      </c>
      <c r="I71" s="200">
        <v>0.15741474427359323</v>
      </c>
    </row>
    <row r="72" spans="1:9">
      <c r="A72" s="118">
        <v>38564</v>
      </c>
      <c r="B72" s="194">
        <v>0.58997936738269985</v>
      </c>
      <c r="C72" s="194">
        <v>0.24621712764454104</v>
      </c>
      <c r="D72" s="194">
        <v>0.10223800676717289</v>
      </c>
      <c r="E72" s="194">
        <v>9.5316636376272228E-3</v>
      </c>
      <c r="F72" s="194">
        <v>5.2027051865146286E-2</v>
      </c>
      <c r="G72" s="194">
        <v>6.7827028129840658E-6</v>
      </c>
      <c r="H72" s="200">
        <v>0.84572815866486817</v>
      </c>
      <c r="I72" s="200">
        <v>0.15427184133513216</v>
      </c>
    </row>
    <row r="73" spans="1:9">
      <c r="A73" s="118">
        <v>38595</v>
      </c>
      <c r="B73" s="194">
        <v>0.60584979280896623</v>
      </c>
      <c r="C73" s="194">
        <v>0.24638219014231524</v>
      </c>
      <c r="D73" s="194">
        <v>9.3786339237712013E-2</v>
      </c>
      <c r="E73" s="194">
        <v>9.4336252405898772E-3</v>
      </c>
      <c r="F73" s="194">
        <v>4.4541342801966616E-2</v>
      </c>
      <c r="G73" s="194">
        <v>6.7097684501574662E-6</v>
      </c>
      <c r="H73" s="200">
        <v>0.86166560819187132</v>
      </c>
      <c r="I73" s="200">
        <v>0.13833439180812879</v>
      </c>
    </row>
    <row r="74" spans="1:9">
      <c r="A74" s="118">
        <v>38625</v>
      </c>
      <c r="B74" s="194">
        <v>0.6036327297802152</v>
      </c>
      <c r="C74" s="194">
        <v>0.24847979907155701</v>
      </c>
      <c r="D74" s="194">
        <v>9.3902733601642113E-2</v>
      </c>
      <c r="E74" s="194">
        <v>9.3844881243762019E-3</v>
      </c>
      <c r="F74" s="194">
        <v>4.4593624996879654E-2</v>
      </c>
      <c r="G74" s="194">
        <v>6.6244253297365082E-6</v>
      </c>
      <c r="H74" s="200">
        <v>0.86149701697614844</v>
      </c>
      <c r="I74" s="200">
        <v>0.1385029830238515</v>
      </c>
    </row>
    <row r="75" spans="1:9">
      <c r="A75" s="118">
        <v>38656</v>
      </c>
      <c r="B75" s="194">
        <v>0.61580913696714701</v>
      </c>
      <c r="C75" s="194">
        <v>0.24123692033996952</v>
      </c>
      <c r="D75" s="194">
        <v>9.0770783088894219E-2</v>
      </c>
      <c r="E75" s="194">
        <v>9.0714637363085177E-3</v>
      </c>
      <c r="F75" s="194">
        <v>4.3106935128578446E-2</v>
      </c>
      <c r="G75" s="194">
        <v>4.7607391022373198E-6</v>
      </c>
      <c r="H75" s="200">
        <v>0.8661175210434251</v>
      </c>
      <c r="I75" s="200">
        <v>0.1338824789565749</v>
      </c>
    </row>
    <row r="76" spans="1:9">
      <c r="A76" s="118">
        <v>38686</v>
      </c>
      <c r="B76" s="194">
        <v>0.61708815984999821</v>
      </c>
      <c r="C76" s="194">
        <v>0.2421969817486388</v>
      </c>
      <c r="D76" s="194">
        <v>8.9388391622625157E-2</v>
      </c>
      <c r="E76" s="194">
        <v>8.8724943910811066E-3</v>
      </c>
      <c r="F76" s="194">
        <v>4.244937851820401E-2</v>
      </c>
      <c r="G76" s="194">
        <v>4.5938694526092936E-6</v>
      </c>
      <c r="H76" s="200">
        <v>0.86815763598971807</v>
      </c>
      <c r="I76" s="200">
        <v>0.13184236401028179</v>
      </c>
    </row>
    <row r="77" spans="1:9">
      <c r="A77" s="118">
        <v>38717</v>
      </c>
      <c r="B77" s="194">
        <v>0.61938979368680314</v>
      </c>
      <c r="C77" s="194">
        <v>0.2386153178532569</v>
      </c>
      <c r="D77" s="194">
        <v>8.7339241013901128E-2</v>
      </c>
      <c r="E77" s="194">
        <v>8.7071701373737688E-3</v>
      </c>
      <c r="F77" s="194">
        <v>4.1472747223380013E-2</v>
      </c>
      <c r="G77" s="194">
        <v>4.4757300852850609E-3</v>
      </c>
      <c r="H77" s="200">
        <v>0.86671228167743375</v>
      </c>
      <c r="I77" s="200">
        <v>0.1332877183225662</v>
      </c>
    </row>
    <row r="78" spans="1:9">
      <c r="A78" s="118">
        <v>38748</v>
      </c>
      <c r="B78" s="194">
        <v>0.6230102298886967</v>
      </c>
      <c r="C78" s="194">
        <v>0.23799356534752453</v>
      </c>
      <c r="D78" s="194">
        <v>8.5538325040524721E-2</v>
      </c>
      <c r="E78" s="194">
        <v>8.4583305836998593E-3</v>
      </c>
      <c r="F78" s="194">
        <v>4.0617719719306153E-2</v>
      </c>
      <c r="G78" s="194">
        <v>4.3818294202479686E-3</v>
      </c>
      <c r="H78" s="200">
        <v>0.86946212581992111</v>
      </c>
      <c r="I78" s="200">
        <v>0.13053787418007887</v>
      </c>
    </row>
    <row r="79" spans="1:9">
      <c r="A79" s="118">
        <v>38776</v>
      </c>
      <c r="B79" s="194">
        <v>0.63107673384009166</v>
      </c>
      <c r="C79" s="194">
        <v>0.23478792979077276</v>
      </c>
      <c r="D79" s="194">
        <v>8.35103492618363E-2</v>
      </c>
      <c r="E79" s="194">
        <v>8.1895339879039953E-3</v>
      </c>
      <c r="F79" s="194">
        <v>3.8163705623197E-2</v>
      </c>
      <c r="G79" s="194">
        <v>4.2717474961982528E-3</v>
      </c>
      <c r="H79" s="200">
        <v>0.87405419761876846</v>
      </c>
      <c r="I79" s="200">
        <v>0.12594580238123154</v>
      </c>
    </row>
    <row r="80" spans="1:9">
      <c r="A80" s="118">
        <v>38807</v>
      </c>
      <c r="B80" s="194">
        <v>0.64039906574875216</v>
      </c>
      <c r="C80" s="194">
        <v>0.23339430482255277</v>
      </c>
      <c r="D80" s="194">
        <v>8.151430810532094E-2</v>
      </c>
      <c r="E80" s="194">
        <v>3.4941906551499255E-3</v>
      </c>
      <c r="F80" s="194">
        <v>3.725195158799692E-2</v>
      </c>
      <c r="G80" s="194">
        <v>3.9461790802274221E-3</v>
      </c>
      <c r="H80" s="200">
        <v>0.87728756122645479</v>
      </c>
      <c r="I80" s="200">
        <v>0.12271243877354528</v>
      </c>
    </row>
    <row r="81" spans="1:9">
      <c r="A81" s="118">
        <v>38837</v>
      </c>
      <c r="B81" s="194">
        <v>0.6260784750306031</v>
      </c>
      <c r="C81" s="194">
        <v>0.24415009432586526</v>
      </c>
      <c r="D81" s="194">
        <v>8.3684476065746291E-2</v>
      </c>
      <c r="E81" s="194">
        <v>3.7203116816011154E-3</v>
      </c>
      <c r="F81" s="194">
        <v>3.8242330236795963E-2</v>
      </c>
      <c r="G81" s="194">
        <v>4.1243126593881428E-3</v>
      </c>
      <c r="H81" s="200">
        <v>0.87394888103806956</v>
      </c>
      <c r="I81" s="200">
        <v>0.12605111896193039</v>
      </c>
    </row>
    <row r="82" spans="1:9">
      <c r="A82" s="118">
        <v>38868</v>
      </c>
      <c r="B82" s="194">
        <v>0.62239194317330937</v>
      </c>
      <c r="C82" s="194">
        <v>0.24701495552906483</v>
      </c>
      <c r="D82" s="194">
        <v>8.6621509385359702E-2</v>
      </c>
      <c r="E82" s="194">
        <v>3.8869601233701501E-3</v>
      </c>
      <c r="F82" s="194">
        <v>3.596293239236327E-2</v>
      </c>
      <c r="G82" s="194">
        <v>4.1216993965326795E-3</v>
      </c>
      <c r="H82" s="200">
        <v>0.8732938588257444</v>
      </c>
      <c r="I82" s="200">
        <v>0.12670614117425566</v>
      </c>
    </row>
    <row r="83" spans="1:9">
      <c r="A83" s="118">
        <v>38898</v>
      </c>
      <c r="B83" s="194">
        <v>0.63523512412335925</v>
      </c>
      <c r="C83" s="194">
        <v>0.23973854926018792</v>
      </c>
      <c r="D83" s="194">
        <v>8.2194658568141163E-2</v>
      </c>
      <c r="E83" s="194">
        <v>3.9942969433925104E-3</v>
      </c>
      <c r="F83" s="194">
        <v>3.4840808110569381E-2</v>
      </c>
      <c r="G83" s="194">
        <v>3.9965629943497219E-3</v>
      </c>
      <c r="H83" s="200">
        <v>0.87896797032693963</v>
      </c>
      <c r="I83" s="200">
        <v>0.12103202967306026</v>
      </c>
    </row>
    <row r="84" spans="1:9">
      <c r="A84" s="118">
        <v>38929</v>
      </c>
      <c r="B84" s="194">
        <v>0.62268708083322744</v>
      </c>
      <c r="C84" s="194">
        <v>0.24934960762821429</v>
      </c>
      <c r="D84" s="194">
        <v>8.4328454617623935E-2</v>
      </c>
      <c r="E84" s="194">
        <v>3.7768222696019722E-3</v>
      </c>
      <c r="F84" s="194">
        <v>3.5756440187466945E-2</v>
      </c>
      <c r="G84" s="194">
        <v>4.1015944638654444E-3</v>
      </c>
      <c r="H84" s="200">
        <v>0.87581351073104363</v>
      </c>
      <c r="I84" s="200">
        <v>0.12418648926895633</v>
      </c>
    </row>
    <row r="85" spans="1:9">
      <c r="A85" s="118">
        <v>38960</v>
      </c>
      <c r="B85" s="194">
        <v>0.62875899571402949</v>
      </c>
      <c r="C85" s="194">
        <v>0.24613664511121736</v>
      </c>
      <c r="D85" s="194">
        <v>8.2551847578682683E-2</v>
      </c>
      <c r="E85" s="194">
        <v>3.6530398972525243E-3</v>
      </c>
      <c r="F85" s="194">
        <v>3.5008374612048566E-2</v>
      </c>
      <c r="G85" s="194">
        <v>3.8910970867693344E-3</v>
      </c>
      <c r="H85" s="200">
        <v>0.87854868072249936</v>
      </c>
      <c r="I85" s="200">
        <v>0.12145131927750059</v>
      </c>
    </row>
    <row r="86" spans="1:9">
      <c r="A86" s="118">
        <v>38990</v>
      </c>
      <c r="B86" s="194">
        <v>0.63902186546245521</v>
      </c>
      <c r="C86" s="194">
        <v>0.23920743791077623</v>
      </c>
      <c r="D86" s="194">
        <v>8.1303764954262961E-2</v>
      </c>
      <c r="E86" s="194">
        <v>3.7397444646770808E-3</v>
      </c>
      <c r="F86" s="194">
        <v>3.2652325450142135E-2</v>
      </c>
      <c r="G86" s="194">
        <v>4.0748617576862765E-3</v>
      </c>
      <c r="H86" s="200">
        <v>0.88196904783790853</v>
      </c>
      <c r="I86" s="200">
        <v>0.11803095216209138</v>
      </c>
    </row>
    <row r="87" spans="1:9">
      <c r="A87" s="118">
        <v>39021</v>
      </c>
      <c r="B87" s="194">
        <v>0.64070490728597951</v>
      </c>
      <c r="C87" s="194">
        <v>0.23877594190034454</v>
      </c>
      <c r="D87" s="194">
        <v>8.0800579151977789E-2</v>
      </c>
      <c r="E87" s="194">
        <v>3.5874447087926057E-3</v>
      </c>
      <c r="F87" s="194">
        <v>3.2390339981617659E-2</v>
      </c>
      <c r="G87" s="194">
        <v>3.7407869712881153E-3</v>
      </c>
      <c r="H87" s="200">
        <v>0.88306829389511665</v>
      </c>
      <c r="I87" s="200">
        <v>0.11693170610488356</v>
      </c>
    </row>
    <row r="88" spans="1:9">
      <c r="A88" s="118">
        <v>39051</v>
      </c>
      <c r="B88" s="194">
        <v>0.64799079364431922</v>
      </c>
      <c r="C88" s="194">
        <v>0.23218183400756709</v>
      </c>
      <c r="D88" s="194">
        <v>8.0312884624616471E-2</v>
      </c>
      <c r="E88" s="194">
        <v>3.5453888135629627E-3</v>
      </c>
      <c r="F88" s="194">
        <v>3.221879571836727E-2</v>
      </c>
      <c r="G88" s="194">
        <v>3.7503031915670673E-3</v>
      </c>
      <c r="H88" s="200">
        <v>0.88371801646544923</v>
      </c>
      <c r="I88" s="200">
        <v>0.11628198353455081</v>
      </c>
    </row>
    <row r="89" spans="1:9">
      <c r="A89" s="118">
        <v>39082</v>
      </c>
      <c r="B89" s="194">
        <v>0.65027642800653207</v>
      </c>
      <c r="C89" s="194">
        <v>0.23059882685474958</v>
      </c>
      <c r="D89" s="194">
        <v>7.9853864724023477E-2</v>
      </c>
      <c r="E89" s="194">
        <v>3.4303207943410441E-3</v>
      </c>
      <c r="F89" s="194">
        <v>3.2031254308585576E-2</v>
      </c>
      <c r="G89" s="194">
        <v>3.8093053117682673E-3</v>
      </c>
      <c r="H89" s="200">
        <v>0.88430557565562273</v>
      </c>
      <c r="I89" s="200">
        <v>0.11569442434437732</v>
      </c>
    </row>
    <row r="90" spans="1:9">
      <c r="A90" s="118">
        <v>39113</v>
      </c>
      <c r="B90" s="194">
        <v>0.66045019392896154</v>
      </c>
      <c r="C90" s="194">
        <v>0.22229406920613873</v>
      </c>
      <c r="D90" s="194">
        <v>7.8618413357440867E-2</v>
      </c>
      <c r="E90" s="194">
        <v>3.4085692740631469E-3</v>
      </c>
      <c r="F90" s="194">
        <v>3.153334651790906E-2</v>
      </c>
      <c r="G90" s="194">
        <v>3.6954077154866195E-3</v>
      </c>
      <c r="H90" s="200">
        <v>0.88615283240916343</v>
      </c>
      <c r="I90" s="200">
        <v>0.11384716759083655</v>
      </c>
    </row>
    <row r="91" spans="1:9">
      <c r="A91" s="118">
        <v>39141</v>
      </c>
      <c r="B91" s="194">
        <v>0.66385264848704351</v>
      </c>
      <c r="C91" s="194">
        <v>0.22240933999640078</v>
      </c>
      <c r="D91" s="194">
        <v>7.7321870987028724E-2</v>
      </c>
      <c r="E91" s="194">
        <v>3.2930543472756233E-3</v>
      </c>
      <c r="F91" s="194">
        <v>2.9546741938237246E-2</v>
      </c>
      <c r="G91" s="194">
        <v>3.5763442440142428E-3</v>
      </c>
      <c r="H91" s="200">
        <v>0.88955504283071996</v>
      </c>
      <c r="I91" s="200">
        <v>0.11044495716928023</v>
      </c>
    </row>
    <row r="92" spans="1:9">
      <c r="A92" s="118">
        <v>39172</v>
      </c>
      <c r="B92" s="194">
        <v>0.64781855494513463</v>
      </c>
      <c r="C92" s="194">
        <v>0.23450765170768878</v>
      </c>
      <c r="D92" s="194">
        <v>8.0068745117160903E-2</v>
      </c>
      <c r="E92" s="194">
        <v>3.3042540417108461E-3</v>
      </c>
      <c r="F92" s="194">
        <v>3.0597291224073418E-2</v>
      </c>
      <c r="G92" s="194">
        <v>3.7035029642314208E-3</v>
      </c>
      <c r="H92" s="200">
        <v>0.88563046069453433</v>
      </c>
      <c r="I92" s="200">
        <v>0.11436953930546573</v>
      </c>
    </row>
    <row r="93" spans="1:9">
      <c r="A93" s="118">
        <v>39202</v>
      </c>
      <c r="B93" s="194">
        <v>0.6503248177520643</v>
      </c>
      <c r="C93" s="194">
        <v>0.23465720271971505</v>
      </c>
      <c r="D93" s="194">
        <v>7.8248692293887798E-2</v>
      </c>
      <c r="E93" s="194">
        <v>3.1627669734857868E-3</v>
      </c>
      <c r="F93" s="194">
        <v>2.9903069765247894E-2</v>
      </c>
      <c r="G93" s="194">
        <v>3.7034504955992167E-3</v>
      </c>
      <c r="H93" s="200">
        <v>0.88814478744526515</v>
      </c>
      <c r="I93" s="200">
        <v>0.11185521255473491</v>
      </c>
    </row>
    <row r="94" spans="1:9">
      <c r="A94" s="118">
        <v>39203</v>
      </c>
      <c r="B94" s="194">
        <v>0.65543058631531348</v>
      </c>
      <c r="C94" s="194">
        <v>0.2332133420175995</v>
      </c>
      <c r="D94" s="194">
        <v>7.6248461774969994E-2</v>
      </c>
      <c r="E94" s="194">
        <v>2.819086031292346E-3</v>
      </c>
      <c r="F94" s="194">
        <v>2.9139087396477734E-2</v>
      </c>
      <c r="G94" s="194">
        <v>3.1494364643468789E-3</v>
      </c>
      <c r="H94" s="200">
        <v>0.89146301436420528</v>
      </c>
      <c r="I94" s="200">
        <v>0.10853698563579461</v>
      </c>
    </row>
    <row r="95" spans="1:9">
      <c r="A95" s="118">
        <v>39263</v>
      </c>
      <c r="B95" s="194">
        <v>0.66021371480092461</v>
      </c>
      <c r="C95" s="194">
        <v>0.2293610475241076</v>
      </c>
      <c r="D95" s="194">
        <v>7.4915529906559156E-2</v>
      </c>
      <c r="E95" s="194">
        <v>2.8129022389924243E-3</v>
      </c>
      <c r="F95" s="194">
        <v>2.8286800156365848E-2</v>
      </c>
      <c r="G95" s="194">
        <v>4.4100053730502459E-3</v>
      </c>
      <c r="H95" s="200">
        <v>0.89238766456402463</v>
      </c>
      <c r="I95" s="200">
        <v>0.10761233543597526</v>
      </c>
    </row>
    <row r="96" spans="1:9">
      <c r="A96" s="118">
        <v>39294</v>
      </c>
      <c r="B96" s="194">
        <v>0.67314249839392448</v>
      </c>
      <c r="C96" s="194">
        <v>0.21832911701595784</v>
      </c>
      <c r="D96" s="194">
        <v>7.3600006898658643E-2</v>
      </c>
      <c r="E96" s="194">
        <v>2.8152174525631589E-3</v>
      </c>
      <c r="F96" s="194">
        <v>2.7751073548004247E-2</v>
      </c>
      <c r="G96" s="194">
        <v>4.3620866908915699E-3</v>
      </c>
      <c r="H96" s="200">
        <v>0.89428683286244548</v>
      </c>
      <c r="I96" s="200">
        <v>0.10571316713755445</v>
      </c>
    </row>
    <row r="97" spans="1:9">
      <c r="A97" s="118">
        <v>39325</v>
      </c>
      <c r="B97" s="194">
        <v>0.68107035329582566</v>
      </c>
      <c r="C97" s="194">
        <v>0.21640354834063608</v>
      </c>
      <c r="D97" s="194">
        <v>7.2662225313502846E-2</v>
      </c>
      <c r="E97" s="194">
        <v>3.0633756587010999E-3</v>
      </c>
      <c r="F97" s="194">
        <v>2.2371262378494662E-2</v>
      </c>
      <c r="G97" s="194">
        <v>4.4292350128395906E-3</v>
      </c>
      <c r="H97" s="200">
        <v>0.90053727729516275</v>
      </c>
      <c r="I97" s="200">
        <v>9.9462722704837109E-2</v>
      </c>
    </row>
    <row r="98" spans="1:9">
      <c r="A98" s="118">
        <v>39355</v>
      </c>
      <c r="B98" s="194">
        <v>0.6794251020137656</v>
      </c>
      <c r="C98" s="194">
        <v>0.21762651191883367</v>
      </c>
      <c r="D98" s="194">
        <v>7.3178905703341984E-2</v>
      </c>
      <c r="E98" s="194">
        <v>2.8722754110802676E-3</v>
      </c>
      <c r="F98" s="194">
        <v>2.2530630534329129E-2</v>
      </c>
      <c r="G98" s="194">
        <v>4.3665744186491351E-3</v>
      </c>
      <c r="H98" s="200">
        <v>0.89992388934367951</v>
      </c>
      <c r="I98" s="200">
        <v>0.10007611065632026</v>
      </c>
    </row>
    <row r="99" spans="1:9">
      <c r="A99" s="118">
        <v>39386</v>
      </c>
      <c r="B99" s="194">
        <v>0.68423286077941026</v>
      </c>
      <c r="C99" s="194">
        <v>0.21654925346188969</v>
      </c>
      <c r="D99" s="194">
        <v>6.9575606644341467E-2</v>
      </c>
      <c r="E99" s="194">
        <v>2.8296432970963308E-3</v>
      </c>
      <c r="F99" s="194">
        <v>2.2459870675457412E-2</v>
      </c>
      <c r="G99" s="194">
        <v>4.3527651418049122E-3</v>
      </c>
      <c r="H99" s="200">
        <v>0.90361175753839629</v>
      </c>
      <c r="I99" s="200">
        <v>9.6388242461603796E-2</v>
      </c>
    </row>
    <row r="100" spans="1:9">
      <c r="A100" s="118">
        <v>39416</v>
      </c>
      <c r="B100" s="194">
        <v>0.67405312242182014</v>
      </c>
      <c r="C100" s="194">
        <v>0.22496601285313128</v>
      </c>
      <c r="D100" s="194">
        <v>7.0988926879718403E-2</v>
      </c>
      <c r="E100" s="194">
        <v>3.032976994120762E-3</v>
      </c>
      <c r="F100" s="194">
        <v>2.3361315494315575E-2</v>
      </c>
      <c r="G100" s="194">
        <v>3.5976453568937819E-3</v>
      </c>
      <c r="H100" s="200">
        <v>0.90205211226907223</v>
      </c>
      <c r="I100" s="200">
        <v>9.7947887730927746E-2</v>
      </c>
    </row>
    <row r="101" spans="1:9">
      <c r="A101" s="118">
        <v>39447</v>
      </c>
      <c r="B101" s="194">
        <v>0.67657098501899038</v>
      </c>
      <c r="C101" s="194">
        <v>0.22349498253904374</v>
      </c>
      <c r="D101" s="194">
        <v>7.0310386698799895E-2</v>
      </c>
      <c r="E101" s="194">
        <v>2.9417352771961532E-3</v>
      </c>
      <c r="F101" s="194">
        <v>2.3172036498311104E-2</v>
      </c>
      <c r="G101" s="194">
        <v>3.5098739676587311E-3</v>
      </c>
      <c r="H101" s="200">
        <v>0.90300770283523024</v>
      </c>
      <c r="I101" s="200">
        <v>9.6992297164769731E-2</v>
      </c>
    </row>
    <row r="102" spans="1:9">
      <c r="A102" s="118">
        <v>39478</v>
      </c>
      <c r="B102" s="194">
        <v>0.68519711854842524</v>
      </c>
      <c r="C102" s="194">
        <v>0.21930808431909593</v>
      </c>
      <c r="D102" s="194">
        <v>6.7985561438142314E-2</v>
      </c>
      <c r="E102" s="194">
        <v>2.7732782238245779E-3</v>
      </c>
      <c r="F102" s="194">
        <v>2.2691604286907273E-2</v>
      </c>
      <c r="G102" s="194">
        <v>2.0443531836047001E-3</v>
      </c>
      <c r="H102" s="200">
        <v>0.90727848109134568</v>
      </c>
      <c r="I102" s="200">
        <v>9.272151890865428E-2</v>
      </c>
    </row>
    <row r="103" spans="1:9">
      <c r="A103" s="118">
        <v>39507</v>
      </c>
      <c r="B103" s="194">
        <v>0.6882787695043916</v>
      </c>
      <c r="C103" s="194">
        <v>0.21921296993866518</v>
      </c>
      <c r="D103" s="194">
        <v>6.6870932135967537E-2</v>
      </c>
      <c r="E103" s="194">
        <v>2.593280143579096E-3</v>
      </c>
      <c r="F103" s="194">
        <v>2.0988480333205727E-2</v>
      </c>
      <c r="G103" s="194">
        <v>2.0555679441911102E-3</v>
      </c>
      <c r="H103" s="200">
        <v>0.9100850195866359</v>
      </c>
      <c r="I103" s="200">
        <v>8.9914980413364376E-2</v>
      </c>
    </row>
    <row r="104" spans="1:9">
      <c r="A104" s="118">
        <v>39538</v>
      </c>
      <c r="B104" s="194">
        <v>0.69113896685406995</v>
      </c>
      <c r="C104" s="194">
        <v>0.21867537102888218</v>
      </c>
      <c r="D104" s="194">
        <v>6.5221284458285539E-2</v>
      </c>
      <c r="E104" s="194">
        <v>2.5034015250292203E-3</v>
      </c>
      <c r="F104" s="194">
        <v>2.0505643307080806E-2</v>
      </c>
      <c r="G104" s="194">
        <v>1.9553328266522746E-3</v>
      </c>
      <c r="H104" s="200">
        <v>0.91231773940798144</v>
      </c>
      <c r="I104" s="200">
        <v>8.7682260592018627E-2</v>
      </c>
    </row>
    <row r="105" spans="1:9">
      <c r="A105" s="118">
        <v>39568</v>
      </c>
      <c r="B105" s="194">
        <v>0.68220145306618019</v>
      </c>
      <c r="C105" s="194">
        <v>0.23106865145755046</v>
      </c>
      <c r="D105" s="194">
        <v>6.4373932012414453E-2</v>
      </c>
      <c r="E105" s="194">
        <v>2.4792852576950432E-3</v>
      </c>
      <c r="F105" s="194">
        <v>1.789515821469247E-2</v>
      </c>
      <c r="G105" s="194">
        <v>1.9815199914674144E-3</v>
      </c>
      <c r="H105" s="200">
        <v>0.91574938978142562</v>
      </c>
      <c r="I105" s="200">
        <v>8.4250610218574329E-2</v>
      </c>
    </row>
    <row r="106" spans="1:9">
      <c r="A106" s="118">
        <v>39599</v>
      </c>
      <c r="B106" s="194">
        <v>0.68829488055640042</v>
      </c>
      <c r="C106" s="194">
        <v>0.23034859102240432</v>
      </c>
      <c r="D106" s="194">
        <v>6.0169318961066531E-2</v>
      </c>
      <c r="E106" s="194">
        <v>2.3854888728553096E-3</v>
      </c>
      <c r="F106" s="194">
        <v>1.6839421371413379E-2</v>
      </c>
      <c r="G106" s="194">
        <v>1.9622992158601607E-3</v>
      </c>
      <c r="H106" s="200">
        <v>0.92102896045166005</v>
      </c>
      <c r="I106" s="200">
        <v>7.8971039548340075E-2</v>
      </c>
    </row>
    <row r="107" spans="1:9">
      <c r="A107" s="118">
        <v>39629</v>
      </c>
      <c r="B107" s="194">
        <v>0.68353172707274035</v>
      </c>
      <c r="C107" s="194">
        <v>0.23632064456337737</v>
      </c>
      <c r="D107" s="194">
        <v>5.8899860832839684E-2</v>
      </c>
      <c r="E107" s="194">
        <v>2.496599749246551E-3</v>
      </c>
      <c r="F107" s="194">
        <v>1.6769890114716666E-2</v>
      </c>
      <c r="G107" s="194">
        <v>1.9812776670794009E-3</v>
      </c>
      <c r="H107" s="200">
        <v>0.92234897138536431</v>
      </c>
      <c r="I107" s="200">
        <v>7.7651028614635742E-2</v>
      </c>
    </row>
    <row r="108" spans="1:9">
      <c r="A108" s="118">
        <v>39660</v>
      </c>
      <c r="B108" s="194">
        <v>0.68635944192288678</v>
      </c>
      <c r="C108" s="194">
        <v>0.23558235149691842</v>
      </c>
      <c r="D108" s="194">
        <v>5.7578296553200597E-2</v>
      </c>
      <c r="E108" s="194">
        <v>2.3885636156439787E-3</v>
      </c>
      <c r="F108" s="194">
        <v>1.640738567148441E-2</v>
      </c>
      <c r="G108" s="194">
        <v>1.6839607398660068E-3</v>
      </c>
      <c r="H108" s="200">
        <v>0.92433035703544919</v>
      </c>
      <c r="I108" s="200">
        <v>7.5669642964551004E-2</v>
      </c>
    </row>
    <row r="109" spans="1:9">
      <c r="A109" s="118">
        <v>39691</v>
      </c>
      <c r="B109" s="194">
        <v>0.67239682153332492</v>
      </c>
      <c r="C109" s="194">
        <v>0.24713119066484801</v>
      </c>
      <c r="D109" s="194">
        <v>5.9212793204359508E-2</v>
      </c>
      <c r="E109" s="194">
        <v>2.6489508285161669E-3</v>
      </c>
      <c r="F109" s="194">
        <v>1.6877983540570157E-2</v>
      </c>
      <c r="G109" s="194">
        <v>1.7322602283812484E-3</v>
      </c>
      <c r="H109" s="200">
        <v>0.92217696302668906</v>
      </c>
      <c r="I109" s="200">
        <v>7.7823036973310916E-2</v>
      </c>
    </row>
    <row r="110" spans="1:9">
      <c r="A110" s="118">
        <v>39721</v>
      </c>
      <c r="B110" s="194">
        <v>0.67202065527888999</v>
      </c>
      <c r="C110" s="194">
        <v>0.24875950805258951</v>
      </c>
      <c r="D110" s="194">
        <v>5.8595769107532156E-2</v>
      </c>
      <c r="E110" s="194">
        <v>2.9508336620761191E-3</v>
      </c>
      <c r="F110" s="194">
        <v>1.5958673981848259E-2</v>
      </c>
      <c r="G110" s="194">
        <v>1.7145599170637837E-3</v>
      </c>
      <c r="H110" s="200">
        <v>0.92373099699355565</v>
      </c>
      <c r="I110" s="200">
        <v>7.6269003006444208E-2</v>
      </c>
    </row>
    <row r="111" spans="1:9">
      <c r="A111" s="118">
        <v>39752</v>
      </c>
      <c r="B111" s="194">
        <v>0.67871695252070396</v>
      </c>
      <c r="C111" s="194">
        <v>0.24877574214291867</v>
      </c>
      <c r="D111" s="194">
        <v>5.1715710026571722E-2</v>
      </c>
      <c r="E111" s="194">
        <v>3.1903328004441564E-3</v>
      </c>
      <c r="F111" s="194">
        <v>1.5901854578937419E-2</v>
      </c>
      <c r="G111" s="194">
        <v>1.6994079304240742E-3</v>
      </c>
      <c r="H111" s="200">
        <v>0.93068302746406673</v>
      </c>
      <c r="I111" s="200">
        <v>6.9316972535933205E-2</v>
      </c>
    </row>
    <row r="112" spans="1:9">
      <c r="A112" s="118">
        <v>39782</v>
      </c>
      <c r="B112" s="194">
        <v>0.6811640560272807</v>
      </c>
      <c r="C112" s="194">
        <v>0.24827481175580149</v>
      </c>
      <c r="D112" s="194">
        <v>5.002418833169911E-2</v>
      </c>
      <c r="E112" s="194">
        <v>3.1041878210597822E-3</v>
      </c>
      <c r="F112" s="194">
        <v>1.5749617488796813E-2</v>
      </c>
      <c r="G112" s="194">
        <v>1.6831385753620358E-3</v>
      </c>
      <c r="H112" s="200">
        <v>0.93254305560414197</v>
      </c>
      <c r="I112" s="200">
        <v>6.7456944395857962E-2</v>
      </c>
    </row>
    <row r="113" spans="1:9">
      <c r="A113" s="118">
        <v>39813</v>
      </c>
      <c r="B113" s="194">
        <v>0.68160721249390721</v>
      </c>
      <c r="C113" s="194">
        <v>0.2484707748935156</v>
      </c>
      <c r="D113" s="194">
        <v>4.961755084384338E-2</v>
      </c>
      <c r="E113" s="194">
        <v>2.9850120628863333E-3</v>
      </c>
      <c r="F113" s="194">
        <v>1.5647250898231182E-2</v>
      </c>
      <c r="G113" s="194">
        <v>1.672198807616447E-3</v>
      </c>
      <c r="H113" s="200">
        <v>0.93306299945030913</v>
      </c>
      <c r="I113" s="200">
        <v>6.6937000549691011E-2</v>
      </c>
    </row>
    <row r="114" spans="1:9">
      <c r="A114" s="118">
        <v>39814</v>
      </c>
      <c r="B114" s="194">
        <v>0.68565063426548534</v>
      </c>
      <c r="C114" s="194">
        <v>0.24583518628617937</v>
      </c>
      <c r="D114" s="194">
        <v>4.8441337818347668E-2</v>
      </c>
      <c r="E114" s="194">
        <v>3.1450754665883862E-3</v>
      </c>
      <c r="F114" s="194">
        <v>1.5282855228748284E-2</v>
      </c>
      <c r="G114" s="194">
        <v>1.6449109346510361E-3</v>
      </c>
      <c r="H114" s="200">
        <v>0.93463089601825311</v>
      </c>
      <c r="I114" s="200">
        <v>6.5369103981746987E-2</v>
      </c>
    </row>
    <row r="115" spans="1:9">
      <c r="A115" s="118">
        <v>39846</v>
      </c>
      <c r="B115" s="194">
        <v>0.68848765964419811</v>
      </c>
      <c r="C115" s="194">
        <v>0.24524228745578178</v>
      </c>
      <c r="D115" s="194">
        <v>4.7368394594595971E-2</v>
      </c>
      <c r="E115" s="194">
        <v>3.2607819773260659E-3</v>
      </c>
      <c r="F115" s="194">
        <v>1.3793134933219669E-2</v>
      </c>
      <c r="G115" s="194">
        <v>1.8477413948785957E-3</v>
      </c>
      <c r="H115" s="200">
        <v>0.93699072907730596</v>
      </c>
      <c r="I115" s="200">
        <v>6.3009270922694233E-2</v>
      </c>
    </row>
    <row r="116" spans="1:9">
      <c r="A116" s="118">
        <v>39875</v>
      </c>
      <c r="B116" s="194">
        <v>0.69723778848650941</v>
      </c>
      <c r="C116" s="194">
        <v>0.23801464124335941</v>
      </c>
      <c r="D116" s="194">
        <v>4.6263381869585465E-2</v>
      </c>
      <c r="E116" s="194">
        <v>3.1942532985503843E-3</v>
      </c>
      <c r="F116" s="194">
        <v>1.3483652294029503E-2</v>
      </c>
      <c r="G116" s="194">
        <v>1.8062828079658624E-3</v>
      </c>
      <c r="H116" s="200">
        <v>0.93844668302841916</v>
      </c>
      <c r="I116" s="200">
        <v>6.1553316971580826E-2</v>
      </c>
    </row>
    <row r="117" spans="1:9">
      <c r="A117" s="118">
        <v>39909</v>
      </c>
      <c r="B117" s="194">
        <v>0.69943420696330771</v>
      </c>
      <c r="C117" s="194">
        <v>0.23749137184333985</v>
      </c>
      <c r="D117" s="194">
        <v>4.5295957402188843E-2</v>
      </c>
      <c r="E117" s="194">
        <v>2.7978932977485277E-3</v>
      </c>
      <c r="F117" s="194">
        <v>1.3210834601452793E-2</v>
      </c>
      <c r="G117" s="194">
        <v>1.7697358919623676E-3</v>
      </c>
      <c r="H117" s="200">
        <v>0.939723472104396</v>
      </c>
      <c r="I117" s="200">
        <v>6.0276527895604004E-2</v>
      </c>
    </row>
    <row r="118" spans="1:9">
      <c r="A118" s="118">
        <v>39939</v>
      </c>
      <c r="B118" s="194">
        <v>0.69006026680703325</v>
      </c>
      <c r="C118" s="194">
        <v>0.24628097748105632</v>
      </c>
      <c r="D118" s="194">
        <v>4.5844690612530915E-2</v>
      </c>
      <c r="E118" s="194">
        <v>2.6481097902776442E-3</v>
      </c>
      <c r="F118" s="194">
        <v>1.3374318905253818E-2</v>
      </c>
      <c r="G118" s="194">
        <v>1.791636403848069E-3</v>
      </c>
      <c r="H118" s="200">
        <v>0.93898935407836726</v>
      </c>
      <c r="I118" s="200">
        <v>6.1010645921632807E-2</v>
      </c>
    </row>
    <row r="119" spans="1:9">
      <c r="A119" s="118">
        <v>39970</v>
      </c>
      <c r="B119" s="194">
        <v>0.69187955712988136</v>
      </c>
      <c r="C119" s="194">
        <v>0.24576239773612144</v>
      </c>
      <c r="D119" s="194">
        <v>4.5267043393957686E-2</v>
      </c>
      <c r="E119" s="194">
        <v>2.6374325448247746E-3</v>
      </c>
      <c r="F119" s="194">
        <v>1.2916376442507623E-2</v>
      </c>
      <c r="G119" s="194">
        <v>1.5371927527071472E-3</v>
      </c>
      <c r="H119" s="200">
        <v>0.94027938741082751</v>
      </c>
      <c r="I119" s="200">
        <v>5.9720612589172453E-2</v>
      </c>
    </row>
    <row r="120" spans="1:9">
      <c r="A120" s="118">
        <v>40025</v>
      </c>
      <c r="B120" s="194">
        <v>0.6793852779333367</v>
      </c>
      <c r="C120" s="194">
        <v>0.25693513654569877</v>
      </c>
      <c r="D120" s="194">
        <v>4.657643581643401E-2</v>
      </c>
      <c r="E120" s="194">
        <v>2.5697314740785473E-3</v>
      </c>
      <c r="F120" s="194">
        <v>1.2951172420761051E-2</v>
      </c>
      <c r="G120" s="194">
        <v>1.5822458096909878E-3</v>
      </c>
      <c r="H120" s="200">
        <v>0.93889014595311404</v>
      </c>
      <c r="I120" s="200">
        <v>6.1109854046886056E-2</v>
      </c>
    </row>
    <row r="121" spans="1:9">
      <c r="A121" s="118">
        <v>40056</v>
      </c>
      <c r="B121" s="194">
        <v>0.67225237782594327</v>
      </c>
      <c r="C121" s="194">
        <v>0.25222824141538452</v>
      </c>
      <c r="D121" s="194">
        <v>4.5325366304042478E-2</v>
      </c>
      <c r="E121" s="194">
        <v>0</v>
      </c>
      <c r="F121" s="194">
        <v>8.3978967405313534E-3</v>
      </c>
      <c r="G121" s="194">
        <v>2.1796117714098041E-2</v>
      </c>
      <c r="H121" s="200">
        <v>0.92448061924132774</v>
      </c>
      <c r="I121" s="200">
        <v>7.5519380758671872E-2</v>
      </c>
    </row>
    <row r="122" spans="1:9">
      <c r="A122" s="118">
        <v>40086</v>
      </c>
      <c r="B122" s="194">
        <v>0.68528597900947397</v>
      </c>
      <c r="C122" s="194">
        <v>0.25492818113304022</v>
      </c>
      <c r="D122" s="194">
        <v>4.5261107463300983E-2</v>
      </c>
      <c r="E122" s="194">
        <v>0</v>
      </c>
      <c r="F122" s="194">
        <v>8.3897421554133701E-3</v>
      </c>
      <c r="G122" s="194">
        <v>6.1349902387711893E-3</v>
      </c>
      <c r="H122" s="200">
        <v>0.94021416014251424</v>
      </c>
      <c r="I122" s="200">
        <v>5.9785839857485541E-2</v>
      </c>
    </row>
    <row r="123" spans="1:9">
      <c r="A123" s="118">
        <v>40117</v>
      </c>
      <c r="B123" s="194">
        <v>0.67911640876190804</v>
      </c>
      <c r="C123" s="194">
        <v>0.2492126165298495</v>
      </c>
      <c r="D123" s="194">
        <v>4.4341590504117796E-2</v>
      </c>
      <c r="E123" s="194">
        <v>0</v>
      </c>
      <c r="F123" s="194">
        <v>8.2169558924935285E-3</v>
      </c>
      <c r="G123" s="194">
        <v>1.9112428311631166E-2</v>
      </c>
      <c r="H123" s="200">
        <v>0.92832902529175754</v>
      </c>
      <c r="I123" s="200">
        <v>7.1670974708242491E-2</v>
      </c>
    </row>
    <row r="124" spans="1:9">
      <c r="A124" s="118">
        <v>40147</v>
      </c>
      <c r="B124" s="194">
        <v>0.67006660890140723</v>
      </c>
      <c r="C124" s="194">
        <v>0.23060750621688847</v>
      </c>
      <c r="D124" s="194">
        <v>4.2768479832891844E-2</v>
      </c>
      <c r="E124" s="194">
        <v>0</v>
      </c>
      <c r="F124" s="194">
        <v>7.9319436917451407E-3</v>
      </c>
      <c r="G124" s="194">
        <v>4.8625461357067329E-2</v>
      </c>
      <c r="H124" s="200">
        <v>0.90067411511829576</v>
      </c>
      <c r="I124" s="200">
        <v>9.932588488170431E-2</v>
      </c>
    </row>
    <row r="125" spans="1:9">
      <c r="A125" s="118">
        <v>40178</v>
      </c>
      <c r="B125" s="194">
        <v>0.67369187907476469</v>
      </c>
      <c r="C125" s="194">
        <v>0.22560829656859224</v>
      </c>
      <c r="D125" s="194">
        <v>4.2729709066885946E-2</v>
      </c>
      <c r="E125" s="194">
        <v>0</v>
      </c>
      <c r="F125" s="194">
        <v>7.8972915009517582E-3</v>
      </c>
      <c r="G125" s="194">
        <v>5.0072823788805398E-2</v>
      </c>
      <c r="H125" s="200">
        <v>0.89930017564335696</v>
      </c>
      <c r="I125" s="200">
        <v>0.1006998243566431</v>
      </c>
    </row>
    <row r="126" spans="1:9">
      <c r="A126" s="118">
        <v>40209</v>
      </c>
      <c r="B126" s="194">
        <v>0.68725344104628283</v>
      </c>
      <c r="C126" s="194">
        <v>0.22330277857115069</v>
      </c>
      <c r="D126" s="194">
        <v>4.1846462093059179E-2</v>
      </c>
      <c r="E126" s="194">
        <v>0</v>
      </c>
      <c r="F126" s="194">
        <v>6.6931046556173018E-3</v>
      </c>
      <c r="G126" s="194">
        <v>4.0904213633889928E-2</v>
      </c>
      <c r="H126" s="200">
        <v>0.91055621961743349</v>
      </c>
      <c r="I126" s="200">
        <v>8.944378038256641E-2</v>
      </c>
    </row>
    <row r="127" spans="1:9">
      <c r="A127" s="118">
        <v>40237</v>
      </c>
      <c r="B127" s="194">
        <v>0.67808731504731901</v>
      </c>
      <c r="C127" s="194">
        <v>0.22568019605852968</v>
      </c>
      <c r="D127" s="194">
        <v>4.1507190158821088E-2</v>
      </c>
      <c r="E127" s="194">
        <v>0</v>
      </c>
      <c r="F127" s="194">
        <v>6.6476576853151618E-3</v>
      </c>
      <c r="G127" s="194">
        <v>4.8077641050015101E-2</v>
      </c>
      <c r="H127" s="200">
        <v>0.90376751110584796</v>
      </c>
      <c r="I127" s="200">
        <v>9.6232488894151341E-2</v>
      </c>
    </row>
    <row r="128" spans="1:9">
      <c r="A128" s="118">
        <v>40268</v>
      </c>
      <c r="B128" s="194">
        <v>0.69207029585539437</v>
      </c>
      <c r="C128" s="194">
        <v>0.22768241392390118</v>
      </c>
      <c r="D128" s="194">
        <v>4.1292797044331142E-2</v>
      </c>
      <c r="E128" s="194">
        <v>0</v>
      </c>
      <c r="F128" s="194">
        <v>6.6169074868384472E-3</v>
      </c>
      <c r="G128" s="194">
        <v>3.2337585689534661E-2</v>
      </c>
      <c r="H128" s="200">
        <v>0.91975270977929557</v>
      </c>
      <c r="I128" s="200">
        <v>8.0247290220704259E-2</v>
      </c>
    </row>
    <row r="129" spans="1:10">
      <c r="A129" s="118">
        <v>40298</v>
      </c>
      <c r="B129" s="194">
        <v>0.68766950425574791</v>
      </c>
      <c r="C129" s="194">
        <v>0.2467426233422611</v>
      </c>
      <c r="D129" s="194">
        <v>4.1177315610499102E-2</v>
      </c>
      <c r="E129" s="194">
        <v>0</v>
      </c>
      <c r="F129" s="194">
        <v>4.2880244889087309E-3</v>
      </c>
      <c r="G129" s="194">
        <v>2.0122532302583093E-2</v>
      </c>
      <c r="H129" s="200">
        <v>0.93441212759800907</v>
      </c>
      <c r="I129" s="200">
        <v>6.5587872401990932E-2</v>
      </c>
    </row>
    <row r="130" spans="1:10">
      <c r="A130" s="118">
        <v>40329</v>
      </c>
      <c r="B130" s="194">
        <v>0.70218245606709362</v>
      </c>
      <c r="C130" s="194">
        <v>0.25088561945451582</v>
      </c>
      <c r="D130" s="194">
        <v>4.1196996090558706E-2</v>
      </c>
      <c r="E130" s="194">
        <v>0</v>
      </c>
      <c r="F130" s="194">
        <v>3.0823356964063218E-3</v>
      </c>
      <c r="G130" s="194">
        <v>2.6525926914255575E-3</v>
      </c>
      <c r="H130" s="200">
        <v>0.95306807552160944</v>
      </c>
      <c r="I130" s="200">
        <v>4.6931924478390584E-2</v>
      </c>
    </row>
    <row r="131" spans="1:10">
      <c r="A131" s="118">
        <v>40359</v>
      </c>
      <c r="B131" s="194">
        <v>0.70062244886718783</v>
      </c>
      <c r="C131" s="194">
        <v>0.2511501644925514</v>
      </c>
      <c r="D131" s="194">
        <v>4.0584037278317157E-2</v>
      </c>
      <c r="E131" s="194">
        <v>0</v>
      </c>
      <c r="F131" s="194">
        <v>3.0370548018089937E-3</v>
      </c>
      <c r="G131" s="194">
        <v>4.6062945601346265E-3</v>
      </c>
      <c r="H131" s="200">
        <v>0.95177261335973928</v>
      </c>
      <c r="I131" s="200">
        <v>4.8227386640260772E-2</v>
      </c>
    </row>
    <row r="132" spans="1:10">
      <c r="A132" s="118">
        <v>40390</v>
      </c>
      <c r="B132" s="194">
        <v>0.705671004199666</v>
      </c>
      <c r="C132" s="194">
        <v>0.24889587346009714</v>
      </c>
      <c r="D132" s="194">
        <v>3.9904232910604021E-2</v>
      </c>
      <c r="E132" s="194">
        <v>0</v>
      </c>
      <c r="F132" s="194">
        <v>2.986707689910161E-3</v>
      </c>
      <c r="G132" s="194">
        <v>2.5421817397227671E-3</v>
      </c>
      <c r="H132" s="200">
        <v>0.95456687765976311</v>
      </c>
      <c r="I132" s="200">
        <v>4.5433122340236949E-2</v>
      </c>
    </row>
    <row r="133" spans="1:10">
      <c r="A133" s="118">
        <v>40421</v>
      </c>
      <c r="B133" s="194">
        <v>0.7076699797438829</v>
      </c>
      <c r="C133" s="194">
        <v>0.24757103142600143</v>
      </c>
      <c r="D133" s="194">
        <v>3.9067344201924085E-2</v>
      </c>
      <c r="E133" s="194">
        <v>0</v>
      </c>
      <c r="F133" s="194">
        <v>2.92510080427731E-3</v>
      </c>
      <c r="G133" s="194">
        <v>2.7665438239140418E-3</v>
      </c>
      <c r="H133" s="200">
        <v>0.95524101116988436</v>
      </c>
      <c r="I133" s="200">
        <v>4.4758988830115441E-2</v>
      </c>
    </row>
    <row r="134" spans="1:10">
      <c r="A134" s="118">
        <v>40451</v>
      </c>
      <c r="B134" s="194">
        <v>0.73103495777996164</v>
      </c>
      <c r="C134" s="194">
        <v>0.22541071423857179</v>
      </c>
      <c r="D134" s="194">
        <v>3.9662440104237008E-2</v>
      </c>
      <c r="E134" s="194">
        <v>0</v>
      </c>
      <c r="F134" s="194">
        <v>1.0225614611023971E-3</v>
      </c>
      <c r="G134" s="194">
        <v>2.8693264161271824E-3</v>
      </c>
      <c r="H134" s="200">
        <v>0.95931499843466062</v>
      </c>
      <c r="I134" s="200">
        <v>4.0685001565339385E-2</v>
      </c>
    </row>
    <row r="135" spans="1:10">
      <c r="A135" s="118">
        <v>40482</v>
      </c>
      <c r="B135" s="194">
        <v>0.73421793102405608</v>
      </c>
      <c r="C135" s="194">
        <v>0.22341051084547572</v>
      </c>
      <c r="D135" s="194">
        <v>3.9010930240761951E-2</v>
      </c>
      <c r="E135" s="194">
        <v>0</v>
      </c>
      <c r="F135" s="194">
        <v>1.0063721869180255E-3</v>
      </c>
      <c r="G135" s="194">
        <v>2.3542557027881944E-3</v>
      </c>
      <c r="H135" s="200">
        <v>0.95998269757232002</v>
      </c>
      <c r="I135" s="200">
        <v>4.0017302427679979E-2</v>
      </c>
    </row>
    <row r="136" spans="1:10">
      <c r="A136" s="118">
        <v>40512</v>
      </c>
      <c r="B136" s="194">
        <v>0.71399618696876777</v>
      </c>
      <c r="C136" s="194">
        <v>0.22330232681045672</v>
      </c>
      <c r="D136" s="194">
        <v>3.8722002720914944E-2</v>
      </c>
      <c r="E136" s="194">
        <v>0</v>
      </c>
      <c r="F136" s="194">
        <v>9.9928365395656198E-4</v>
      </c>
      <c r="G136" s="194">
        <v>2.2980199845904117E-2</v>
      </c>
      <c r="H136" s="200">
        <v>0.96027871362512862</v>
      </c>
      <c r="I136" s="200">
        <v>3.9721286374871503E-2</v>
      </c>
    </row>
    <row r="137" spans="1:10">
      <c r="A137" s="118">
        <v>40543</v>
      </c>
      <c r="B137" s="194">
        <v>0.69065019429641905</v>
      </c>
      <c r="C137" s="194">
        <v>0.21420246597997039</v>
      </c>
      <c r="D137" s="194">
        <v>3.7056727691965108E-2</v>
      </c>
      <c r="E137" s="194">
        <v>0</v>
      </c>
      <c r="F137" s="194">
        <v>9.5663591151703064E-4</v>
      </c>
      <c r="G137" s="194">
        <v>5.7133976120128702E-2</v>
      </c>
      <c r="H137" s="200">
        <v>0.96198663639651805</v>
      </c>
      <c r="I137" s="200">
        <v>3.8013363603482141E-2</v>
      </c>
    </row>
    <row r="138" spans="1:10">
      <c r="A138" s="118">
        <v>40574</v>
      </c>
      <c r="B138" s="194">
        <v>0.72680002546763911</v>
      </c>
      <c r="C138" s="194">
        <v>0.22987537265948182</v>
      </c>
      <c r="D138" s="194">
        <v>3.8590364661893042E-2</v>
      </c>
      <c r="E138" s="194">
        <v>0</v>
      </c>
      <c r="F138" s="194">
        <v>9.9315637950522307E-4</v>
      </c>
      <c r="G138" s="194">
        <v>3.7410808314807327E-3</v>
      </c>
      <c r="H138" s="200">
        <v>0.96041647895860172</v>
      </c>
      <c r="I138" s="200">
        <v>3.9583521041398263E-2</v>
      </c>
      <c r="J138" s="135"/>
    </row>
    <row r="139" spans="1:10">
      <c r="A139" s="118">
        <v>40602</v>
      </c>
      <c r="B139" s="194">
        <v>0.72746557434999237</v>
      </c>
      <c r="C139" s="194">
        <v>0.23118774352834012</v>
      </c>
      <c r="D139" s="194">
        <v>3.8024953163670397E-2</v>
      </c>
      <c r="E139" s="194">
        <v>0</v>
      </c>
      <c r="F139" s="194">
        <v>0</v>
      </c>
      <c r="G139" s="194">
        <v>3.3217289579970909E-3</v>
      </c>
      <c r="H139" s="200">
        <v>0.96197504683632962</v>
      </c>
      <c r="I139" s="200">
        <v>3.8024953163670397E-2</v>
      </c>
      <c r="J139" s="135"/>
    </row>
    <row r="140" spans="1:10">
      <c r="A140" s="118">
        <v>40633</v>
      </c>
      <c r="B140" s="194">
        <v>0.72940468777518463</v>
      </c>
      <c r="C140" s="194">
        <v>0.22971309003857182</v>
      </c>
      <c r="D140" s="194">
        <v>3.7453252118128208E-2</v>
      </c>
      <c r="E140" s="194">
        <v>0</v>
      </c>
      <c r="F140" s="194">
        <v>0</v>
      </c>
      <c r="G140" s="194">
        <v>3.4289700681152399E-3</v>
      </c>
      <c r="H140" s="200">
        <v>0.96254674788187178</v>
      </c>
      <c r="I140" s="200">
        <v>3.7453252118128208E-2</v>
      </c>
      <c r="J140" s="135"/>
    </row>
    <row r="141" spans="1:10">
      <c r="A141" s="118">
        <v>40663</v>
      </c>
      <c r="B141" s="194">
        <v>0.72972470089469488</v>
      </c>
      <c r="C141" s="194">
        <v>0.23028037649708843</v>
      </c>
      <c r="D141" s="194">
        <v>3.6581073080512075E-2</v>
      </c>
      <c r="E141" s="194">
        <v>0</v>
      </c>
      <c r="F141" s="194">
        <v>0</v>
      </c>
      <c r="G141" s="194">
        <v>3.4138495277045845E-3</v>
      </c>
      <c r="H141" s="200">
        <v>0.96341892691948794</v>
      </c>
      <c r="I141" s="200">
        <v>3.6581073080512075E-2</v>
      </c>
      <c r="J141" s="135"/>
    </row>
    <row r="142" spans="1:10">
      <c r="A142" s="118">
        <v>40694</v>
      </c>
      <c r="B142" s="194">
        <v>0.71419502077860397</v>
      </c>
      <c r="C142" s="194">
        <v>0.24496746201366171</v>
      </c>
      <c r="D142" s="194">
        <v>3.7872411681739257E-2</v>
      </c>
      <c r="E142" s="194">
        <v>0</v>
      </c>
      <c r="F142" s="194">
        <v>0</v>
      </c>
      <c r="G142" s="194">
        <v>2.9651055259949295E-3</v>
      </c>
      <c r="H142" s="200">
        <v>0.96212758831826062</v>
      </c>
      <c r="I142" s="200">
        <v>3.7872411681739257E-2</v>
      </c>
    </row>
    <row r="143" spans="1:10">
      <c r="A143" s="118">
        <v>40724</v>
      </c>
      <c r="B143" s="194">
        <v>0.73345557735590083</v>
      </c>
      <c r="C143" s="194">
        <v>0.2500202647123636</v>
      </c>
      <c r="D143" s="194">
        <v>1.3407371856629787E-2</v>
      </c>
      <c r="E143" s="194">
        <v>0</v>
      </c>
      <c r="F143" s="194">
        <v>0</v>
      </c>
      <c r="G143" s="194">
        <v>3.116786075105636E-3</v>
      </c>
      <c r="H143" s="200">
        <v>0.98659262814337056</v>
      </c>
      <c r="I143" s="200">
        <v>1.3407371856629408E-2</v>
      </c>
    </row>
    <row r="144" spans="1:10">
      <c r="A144" s="118">
        <v>40755</v>
      </c>
      <c r="B144" s="194">
        <v>0.73428460699343212</v>
      </c>
      <c r="C144" s="194">
        <v>0.24930691415035461</v>
      </c>
      <c r="D144" s="194">
        <v>1.3223503415796756E-2</v>
      </c>
      <c r="E144" s="194">
        <v>0</v>
      </c>
      <c r="F144" s="194">
        <v>0</v>
      </c>
      <c r="G144" s="194">
        <v>3.1849754404163527E-3</v>
      </c>
      <c r="H144" s="200">
        <v>0.98359152114378667</v>
      </c>
      <c r="I144" s="200">
        <v>1.6408478856213108E-2</v>
      </c>
    </row>
    <row r="145" spans="1:9">
      <c r="A145" s="118">
        <v>40786</v>
      </c>
      <c r="B145" s="194">
        <v>0.73278557380114728</v>
      </c>
      <c r="C145" s="194">
        <v>0.25093406591192136</v>
      </c>
      <c r="D145" s="194">
        <v>1.2958859726460586E-2</v>
      </c>
      <c r="E145" s="194">
        <v>0</v>
      </c>
      <c r="F145" s="194">
        <v>0</v>
      </c>
      <c r="G145" s="194">
        <v>3.321500560470651E-3</v>
      </c>
      <c r="H145" s="200">
        <v>0.98371963971306864</v>
      </c>
      <c r="I145" s="200">
        <v>1.6280360286931236E-2</v>
      </c>
    </row>
    <row r="146" spans="1:9">
      <c r="A146" s="118">
        <v>40816</v>
      </c>
      <c r="B146" s="194">
        <v>0.73706625756354616</v>
      </c>
      <c r="C146" s="194">
        <v>0.24648404930810516</v>
      </c>
      <c r="D146" s="194">
        <v>1.2915579304949161E-2</v>
      </c>
      <c r="E146" s="194">
        <v>0</v>
      </c>
      <c r="F146" s="194">
        <v>0</v>
      </c>
      <c r="G146" s="194">
        <v>3.5341138233994369E-3</v>
      </c>
      <c r="H146" s="200">
        <v>0.98355030687165135</v>
      </c>
      <c r="I146" s="200">
        <v>1.6449693128348597E-2</v>
      </c>
    </row>
    <row r="147" spans="1:9">
      <c r="A147" s="118">
        <v>40847</v>
      </c>
      <c r="B147" s="194">
        <v>0.73783339353889232</v>
      </c>
      <c r="C147" s="194">
        <v>0.24615875336567364</v>
      </c>
      <c r="D147" s="194">
        <v>1.2790623534135489E-2</v>
      </c>
      <c r="E147" s="194">
        <v>0</v>
      </c>
      <c r="F147" s="194">
        <v>0</v>
      </c>
      <c r="G147" s="194">
        <v>3.2172295612985262E-3</v>
      </c>
      <c r="H147" s="200">
        <v>0.98399214690456593</v>
      </c>
      <c r="I147" s="200">
        <v>1.6007853095434014E-2</v>
      </c>
    </row>
    <row r="148" spans="1:9">
      <c r="A148" s="118">
        <v>40877</v>
      </c>
      <c r="B148" s="194">
        <v>0.73797392501192816</v>
      </c>
      <c r="C148" s="194">
        <v>0.24559078106442464</v>
      </c>
      <c r="D148" s="194">
        <v>1.2721411367017958E-2</v>
      </c>
      <c r="E148" s="194">
        <v>0</v>
      </c>
      <c r="F148" s="194">
        <v>0</v>
      </c>
      <c r="G148" s="194">
        <v>3.7138825566292613E-3</v>
      </c>
      <c r="H148" s="200">
        <v>0.98356470607635282</v>
      </c>
      <c r="I148" s="200">
        <v>1.6435293923647218E-2</v>
      </c>
    </row>
    <row r="149" spans="1:9">
      <c r="A149" s="118">
        <v>40878</v>
      </c>
      <c r="B149" s="194">
        <v>0.72969525107356981</v>
      </c>
      <c r="C149" s="194">
        <v>0.24196966884003415</v>
      </c>
      <c r="D149" s="194">
        <v>1.2584145623612856E-2</v>
      </c>
      <c r="E149" s="194">
        <v>0</v>
      </c>
      <c r="F149" s="194">
        <v>0</v>
      </c>
      <c r="G149" s="194">
        <v>1.575093446278325E-2</v>
      </c>
      <c r="H149" s="200">
        <v>0.98741585437638724</v>
      </c>
      <c r="I149" s="200">
        <v>1.2584145623612758E-2</v>
      </c>
    </row>
    <row r="150" spans="1:9">
      <c r="A150" s="118">
        <v>40909</v>
      </c>
      <c r="B150" s="194">
        <v>0.74122738924522003</v>
      </c>
      <c r="C150" s="194">
        <v>0.24235001363695444</v>
      </c>
      <c r="D150" s="194">
        <v>1.2600073743341603E-2</v>
      </c>
      <c r="E150" s="194">
        <v>0</v>
      </c>
      <c r="F150" s="194">
        <v>0</v>
      </c>
      <c r="G150" s="194">
        <v>3.8225233744838363E-3</v>
      </c>
      <c r="H150" s="200">
        <v>0.98739992625665829</v>
      </c>
      <c r="I150" s="200">
        <v>1.2600073743341603E-2</v>
      </c>
    </row>
    <row r="151" spans="1:9">
      <c r="A151" s="118">
        <v>40940</v>
      </c>
      <c r="B151" s="194">
        <v>0.74179203166857188</v>
      </c>
      <c r="C151" s="194">
        <v>0.24195995984564933</v>
      </c>
      <c r="D151" s="194">
        <v>1.2363765879566873E-2</v>
      </c>
      <c r="E151" s="194">
        <v>0</v>
      </c>
      <c r="F151" s="194">
        <v>0</v>
      </c>
      <c r="G151" s="194">
        <v>3.8842426062118741E-3</v>
      </c>
      <c r="H151" s="200">
        <v>0.98763623412043311</v>
      </c>
      <c r="I151" s="200">
        <v>1.2363765879566873E-2</v>
      </c>
    </row>
    <row r="152" spans="1:9">
      <c r="A152" s="118">
        <v>40969</v>
      </c>
      <c r="B152" s="194">
        <v>0.73854131067077566</v>
      </c>
      <c r="C152" s="194">
        <v>0.2452282740073761</v>
      </c>
      <c r="D152" s="194">
        <v>1.233906660759077E-2</v>
      </c>
      <c r="E152" s="194">
        <v>0</v>
      </c>
      <c r="F152" s="194">
        <v>0</v>
      </c>
      <c r="G152" s="194">
        <v>3.8913487142575079E-3</v>
      </c>
      <c r="H152" s="200">
        <v>0.98766093339240935</v>
      </c>
      <c r="I152" s="200">
        <v>1.2339066607590654E-2</v>
      </c>
    </row>
    <row r="153" spans="1:9">
      <c r="A153" s="118">
        <v>41000</v>
      </c>
      <c r="B153" s="194">
        <v>0.73247149129454203</v>
      </c>
      <c r="C153" s="194">
        <v>0.25125996796400035</v>
      </c>
      <c r="D153" s="194">
        <v>1.2365389470608468E-2</v>
      </c>
      <c r="E153" s="194">
        <v>0</v>
      </c>
      <c r="F153" s="194">
        <v>0</v>
      </c>
      <c r="G153" s="194">
        <v>3.9031512708492312E-3</v>
      </c>
      <c r="H153" s="200">
        <v>0.98763461052939172</v>
      </c>
      <c r="I153" s="200">
        <v>1.2365389470608279E-2</v>
      </c>
    </row>
    <row r="154" spans="1:9">
      <c r="A154" s="118">
        <v>41030</v>
      </c>
      <c r="B154" s="194">
        <v>0.74236758848190831</v>
      </c>
      <c r="C154" s="194">
        <v>0.24134176389793302</v>
      </c>
      <c r="D154" s="194">
        <v>1.2367721004704223E-2</v>
      </c>
      <c r="E154" s="194">
        <v>0</v>
      </c>
      <c r="F154" s="194">
        <v>0</v>
      </c>
      <c r="G154" s="194">
        <v>3.9229266154544558E-3</v>
      </c>
      <c r="H154" s="200">
        <v>0.98763227899529582</v>
      </c>
      <c r="I154" s="200">
        <v>1.236772100470418E-2</v>
      </c>
    </row>
    <row r="155" spans="1:9">
      <c r="A155" s="118">
        <v>41061</v>
      </c>
      <c r="B155" s="194">
        <v>0.74021444190815744</v>
      </c>
      <c r="C155" s="194">
        <v>0.24355172392197713</v>
      </c>
      <c r="D155" s="194">
        <v>1.2332005890482545E-2</v>
      </c>
      <c r="E155" s="194">
        <v>0</v>
      </c>
      <c r="F155" s="194">
        <v>0</v>
      </c>
      <c r="G155" s="194">
        <v>3.901828279382864E-3</v>
      </c>
      <c r="H155" s="200">
        <v>0.98766799410951744</v>
      </c>
      <c r="I155" s="200">
        <v>1.2332005890482545E-2</v>
      </c>
    </row>
    <row r="156" spans="1:9">
      <c r="A156" s="118">
        <v>41091</v>
      </c>
      <c r="B156" s="194">
        <v>0.73714589170662836</v>
      </c>
      <c r="C156" s="194">
        <v>0.24682118641615433</v>
      </c>
      <c r="D156" s="194">
        <v>1.2176999756387022E-2</v>
      </c>
      <c r="E156" s="194">
        <v>0</v>
      </c>
      <c r="F156" s="194">
        <v>0</v>
      </c>
      <c r="G156" s="194">
        <v>3.8559221208301834E-3</v>
      </c>
      <c r="H156" s="200">
        <v>0.98782300024361314</v>
      </c>
      <c r="I156" s="200">
        <v>1.2176999756386826E-2</v>
      </c>
    </row>
    <row r="157" spans="1:9">
      <c r="A157" s="118">
        <v>41122</v>
      </c>
      <c r="B157" s="194">
        <v>0.72905587710939457</v>
      </c>
      <c r="C157" s="194">
        <v>0.25466267857312835</v>
      </c>
      <c r="D157" s="194">
        <v>1.2345663073765686E-2</v>
      </c>
      <c r="E157" s="194">
        <v>0</v>
      </c>
      <c r="F157" s="194">
        <v>0</v>
      </c>
      <c r="G157" s="194">
        <v>3.9357812437114115E-3</v>
      </c>
      <c r="H157" s="200">
        <v>0.98765433692623428</v>
      </c>
      <c r="I157" s="200">
        <v>1.234566307376575E-2</v>
      </c>
    </row>
    <row r="158" spans="1:9">
      <c r="A158" s="118">
        <v>41182</v>
      </c>
      <c r="B158" s="194">
        <v>0.7299403705771258</v>
      </c>
      <c r="C158" s="194">
        <v>0.2567908337779321</v>
      </c>
      <c r="D158" s="194">
        <v>9.3687447263403213E-3</v>
      </c>
      <c r="E158" s="194">
        <v>0</v>
      </c>
      <c r="F158" s="194">
        <v>6.5993106399742546E-6</v>
      </c>
      <c r="G158" s="194">
        <v>3.8934516079618202E-3</v>
      </c>
      <c r="H158" s="200">
        <v>0.99062465596301974</v>
      </c>
      <c r="I158" s="200">
        <v>9.3753440369802842E-3</v>
      </c>
    </row>
    <row r="159" spans="1:9">
      <c r="A159" s="118">
        <v>41213</v>
      </c>
      <c r="B159" s="194">
        <v>0.73604514705761726</v>
      </c>
      <c r="C159" s="194">
        <v>0.25065409052509002</v>
      </c>
      <c r="D159" s="194">
        <v>9.3917832803441705E-3</v>
      </c>
      <c r="E159" s="194">
        <v>4.4127785175689328E-6</v>
      </c>
      <c r="F159" s="194">
        <v>0</v>
      </c>
      <c r="G159" s="194">
        <v>3.9045663584309251E-3</v>
      </c>
      <c r="H159" s="200">
        <v>0.99060821671965571</v>
      </c>
      <c r="I159" s="200">
        <v>9.3917832803441705E-3</v>
      </c>
    </row>
    <row r="160" spans="1:9">
      <c r="A160" s="118">
        <v>41243</v>
      </c>
      <c r="B160" s="194">
        <v>0.73309829238716906</v>
      </c>
      <c r="C160" s="194">
        <v>0.25384837009555256</v>
      </c>
      <c r="D160" s="194">
        <v>9.215961993278822E-3</v>
      </c>
      <c r="E160" s="194">
        <v>0</v>
      </c>
      <c r="F160" s="194">
        <v>3.8215687341342838E-6</v>
      </c>
      <c r="G160" s="194">
        <v>3.833553955265303E-3</v>
      </c>
      <c r="H160" s="200">
        <v>0.99078403800672099</v>
      </c>
      <c r="I160" s="200">
        <v>9.215961993278822E-3</v>
      </c>
    </row>
    <row r="161" spans="1:10">
      <c r="A161" s="118">
        <v>41274</v>
      </c>
      <c r="B161" s="194">
        <v>0.71490627468859558</v>
      </c>
      <c r="C161" s="194">
        <v>0.25052879761577795</v>
      </c>
      <c r="D161" s="194">
        <v>9.1071503628451234E-3</v>
      </c>
      <c r="E161" s="194">
        <v>1.7682319393644446E-6</v>
      </c>
      <c r="F161" s="194">
        <v>3.8215687341342838E-6</v>
      </c>
      <c r="G161" s="194">
        <v>2.5456009100841673E-2</v>
      </c>
      <c r="H161" s="200">
        <v>0.99089667120588876</v>
      </c>
      <c r="I161" s="200">
        <v>9.1081154849835411E-3</v>
      </c>
      <c r="J161" s="136"/>
    </row>
    <row r="162" spans="1:10">
      <c r="A162" s="118">
        <v>41305</v>
      </c>
      <c r="B162" s="194">
        <v>0.73742869999191396</v>
      </c>
      <c r="C162" s="194">
        <v>0.25001243969111597</v>
      </c>
      <c r="D162" s="194">
        <v>9.0829386818209196E-3</v>
      </c>
      <c r="E162" s="194">
        <v>0</v>
      </c>
      <c r="F162" s="194">
        <v>1.76464574896402E-6</v>
      </c>
      <c r="G162" s="194">
        <v>3.4741569894000501E-3</v>
      </c>
      <c r="H162" s="200">
        <v>0.99091706131817903</v>
      </c>
      <c r="I162" s="200">
        <v>9.0829386818209196E-3</v>
      </c>
      <c r="J162" s="136"/>
    </row>
    <row r="163" spans="1:10">
      <c r="A163" s="118">
        <v>41333</v>
      </c>
      <c r="B163" s="194">
        <v>0.74507609179835732</v>
      </c>
      <c r="C163" s="194">
        <v>0.24473449917014362</v>
      </c>
      <c r="D163" s="194">
        <v>6.8148811867542979E-3</v>
      </c>
      <c r="E163" s="194">
        <v>0</v>
      </c>
      <c r="F163" s="194">
        <v>1.7258822323011812E-6</v>
      </c>
      <c r="G163" s="194">
        <v>3.3728019625123935E-3</v>
      </c>
      <c r="H163" s="200">
        <v>0.99318339293101343</v>
      </c>
      <c r="I163" s="200">
        <v>6.8166070689865289E-3</v>
      </c>
      <c r="J163" s="137"/>
    </row>
    <row r="164" spans="1:10">
      <c r="A164" s="118">
        <v>41334</v>
      </c>
      <c r="B164" s="194">
        <v>0.75760277900686446</v>
      </c>
      <c r="C164" s="194">
        <v>0.20977226247586134</v>
      </c>
      <c r="D164" s="194">
        <v>2.6488918240886563E-3</v>
      </c>
      <c r="E164" s="194">
        <v>0</v>
      </c>
      <c r="F164" s="194">
        <v>1.7027894906489329E-6</v>
      </c>
      <c r="G164" s="194">
        <v>2.997436390369455E-2</v>
      </c>
      <c r="H164" s="200">
        <v>0.99735110817591099</v>
      </c>
      <c r="I164" s="200">
        <v>2.6488918240886563E-3</v>
      </c>
      <c r="J164" s="137"/>
    </row>
    <row r="165" spans="1:10">
      <c r="A165" s="118">
        <v>41394</v>
      </c>
      <c r="B165" s="194">
        <v>0.77081146022477398</v>
      </c>
      <c r="C165" s="194">
        <v>0.21527767775231796</v>
      </c>
      <c r="D165" s="194">
        <v>2.6695480784776297E-3</v>
      </c>
      <c r="E165" s="194">
        <v>0</v>
      </c>
      <c r="F165" s="194">
        <v>1.717233208839797E-6</v>
      </c>
      <c r="G165" s="194">
        <v>1.123959671122168E-2</v>
      </c>
      <c r="H165" s="200">
        <v>0.99732873468831329</v>
      </c>
      <c r="I165" s="200">
        <v>2.6712653116866937E-3</v>
      </c>
      <c r="J165" s="137"/>
    </row>
    <row r="166" spans="1:10">
      <c r="A166" s="118">
        <v>41425</v>
      </c>
      <c r="B166" s="194">
        <v>0.77684501553308227</v>
      </c>
      <c r="C166" s="194">
        <v>0.2193043287620155</v>
      </c>
      <c r="D166" s="194">
        <v>3.1030612238389186E-4</v>
      </c>
      <c r="E166" s="194">
        <v>0</v>
      </c>
      <c r="F166" s="194">
        <v>1.6739707888405238E-6</v>
      </c>
      <c r="G166" s="194">
        <v>3.5386756117295561E-3</v>
      </c>
      <c r="H166" s="200">
        <v>0.99968969387761619</v>
      </c>
      <c r="I166" s="200">
        <v>3.1030612238389186E-4</v>
      </c>
    </row>
    <row r="167" spans="1:10">
      <c r="A167" s="118">
        <v>41455</v>
      </c>
      <c r="B167" s="194">
        <v>0.77386536240663617</v>
      </c>
      <c r="C167" s="194">
        <v>0.22245677959528731</v>
      </c>
      <c r="D167" s="194">
        <v>3.0341514029052678E-4</v>
      </c>
      <c r="E167" s="194">
        <v>0</v>
      </c>
      <c r="F167" s="194">
        <v>1.6691212798612686E-6</v>
      </c>
      <c r="G167" s="194">
        <v>3.3727737365062183E-3</v>
      </c>
      <c r="H167" s="200">
        <v>0.99969658485970958</v>
      </c>
      <c r="I167" s="200">
        <v>3.0341514029052678E-4</v>
      </c>
    </row>
    <row r="168" spans="1:10">
      <c r="A168" s="118">
        <v>41486</v>
      </c>
      <c r="B168" s="194">
        <v>0.77484377502701418</v>
      </c>
      <c r="C168" s="194">
        <v>0.22151187730122715</v>
      </c>
      <c r="D168" s="194">
        <v>2.9341065884423278E-4</v>
      </c>
      <c r="E168" s="194">
        <v>0</v>
      </c>
      <c r="F168" s="194">
        <v>1.6301612250121877E-6</v>
      </c>
      <c r="G168" s="194">
        <v>3.3493068516895659E-3</v>
      </c>
      <c r="H168" s="200">
        <v>0.99970495917993085</v>
      </c>
      <c r="I168" s="200">
        <v>2.9504082006917267E-4</v>
      </c>
    </row>
    <row r="169" spans="1:10">
      <c r="A169" s="118">
        <v>41517</v>
      </c>
      <c r="B169" s="194">
        <v>0.77663229658542887</v>
      </c>
      <c r="C169" s="194">
        <v>0.21976606436510193</v>
      </c>
      <c r="D169" s="194">
        <v>2.7125848242189374E-4</v>
      </c>
      <c r="E169" s="194">
        <v>0</v>
      </c>
      <c r="F169" s="194">
        <v>1.5945902875834553E-6</v>
      </c>
      <c r="G169" s="194">
        <v>3.3287859767597238E-3</v>
      </c>
      <c r="H169" s="200">
        <v>0.99972714692729048</v>
      </c>
      <c r="I169" s="200">
        <v>2.728530727094772E-4</v>
      </c>
    </row>
    <row r="170" spans="1:10">
      <c r="A170" s="118">
        <v>41547</v>
      </c>
      <c r="B170" s="194">
        <v>0.77621532978999486</v>
      </c>
      <c r="C170" s="194">
        <v>0.22031143037256409</v>
      </c>
      <c r="D170" s="194">
        <v>2.6053408156967792E-4</v>
      </c>
      <c r="E170" s="194">
        <v>0</v>
      </c>
      <c r="F170" s="194">
        <v>1.5553207157804613E-6</v>
      </c>
      <c r="G170" s="194">
        <v>3.2111504351557216E-3</v>
      </c>
      <c r="H170" s="200">
        <v>0.99973791059771466</v>
      </c>
      <c r="I170" s="200">
        <v>2.6208940228545838E-4</v>
      </c>
    </row>
    <row r="171" spans="1:10">
      <c r="A171" s="118">
        <v>41578</v>
      </c>
      <c r="B171" s="194">
        <v>0.77465298587187648</v>
      </c>
      <c r="C171" s="194">
        <v>0.22204968755394999</v>
      </c>
      <c r="D171" s="194">
        <v>2.5176190953669669E-4</v>
      </c>
      <c r="E171" s="194">
        <v>0</v>
      </c>
      <c r="F171" s="194">
        <v>1.5266539308419098E-6</v>
      </c>
      <c r="G171" s="194">
        <v>3.0440380107058878E-3</v>
      </c>
      <c r="H171" s="200">
        <v>0.99974671143653226</v>
      </c>
      <c r="I171" s="200">
        <v>2.5328856346753858E-4</v>
      </c>
      <c r="J171" s="136"/>
    </row>
    <row r="172" spans="1:10">
      <c r="A172" s="118">
        <v>41608</v>
      </c>
      <c r="B172" s="194">
        <v>0.76704810140503721</v>
      </c>
      <c r="C172" s="194">
        <v>0.22441323652119621</v>
      </c>
      <c r="D172" s="194">
        <v>2.3422803964511408E-4</v>
      </c>
      <c r="E172" s="194">
        <v>0</v>
      </c>
      <c r="F172" s="194">
        <v>1.5445037465323192E-6</v>
      </c>
      <c r="G172" s="194">
        <v>8.3028895303750329E-3</v>
      </c>
      <c r="H172" s="200">
        <v>0.99976422745660842</v>
      </c>
      <c r="I172" s="200">
        <v>2.3577254339164641E-4</v>
      </c>
    </row>
    <row r="173" spans="1:10">
      <c r="A173" s="118">
        <v>41639</v>
      </c>
      <c r="B173" s="194">
        <v>0.74668759112763994</v>
      </c>
      <c r="C173" s="194">
        <v>0.21616836600490577</v>
      </c>
      <c r="D173" s="194">
        <v>2.0985749410167018E-4</v>
      </c>
      <c r="E173" s="194">
        <v>0</v>
      </c>
      <c r="F173" s="194">
        <v>1.4923245565163975E-6</v>
      </c>
      <c r="G173" s="194">
        <v>3.6932693048796088E-2</v>
      </c>
      <c r="H173" s="200">
        <v>0.99978865018134178</v>
      </c>
      <c r="I173" s="200">
        <v>2.1134981865818657E-4</v>
      </c>
      <c r="J173" s="138"/>
    </row>
    <row r="174" spans="1:10">
      <c r="A174" s="118">
        <v>41670</v>
      </c>
      <c r="B174" s="194">
        <v>0.77033797939267212</v>
      </c>
      <c r="C174" s="194">
        <v>0.22592328214769894</v>
      </c>
      <c r="D174" s="194">
        <v>1.2992677604458061E-4</v>
      </c>
      <c r="E174" s="194">
        <v>0</v>
      </c>
      <c r="F174" s="194">
        <v>1.5181710844750818E-6</v>
      </c>
      <c r="G174" s="194">
        <v>3.6072935124996206E-3</v>
      </c>
      <c r="H174" s="200">
        <v>0.99986855505287076</v>
      </c>
      <c r="I174" s="200">
        <v>1.314449471290557E-4</v>
      </c>
    </row>
    <row r="175" spans="1:10">
      <c r="A175" s="118">
        <v>41698</v>
      </c>
      <c r="B175" s="194">
        <v>0.76303725005682954</v>
      </c>
      <c r="C175" s="194">
        <v>0.22786917750077654</v>
      </c>
      <c r="D175" s="194">
        <v>1.249515822297204E-4</v>
      </c>
      <c r="E175" s="194">
        <v>0</v>
      </c>
      <c r="F175" s="194">
        <v>1.3718497211284752E-6</v>
      </c>
      <c r="G175" s="194">
        <v>8.9672490104431724E-3</v>
      </c>
      <c r="H175" s="200">
        <v>0.99987367656804926</v>
      </c>
      <c r="I175" s="200">
        <v>1.2632343195084889E-4</v>
      </c>
    </row>
    <row r="176" spans="1:10">
      <c r="A176" s="118">
        <v>41729</v>
      </c>
      <c r="B176" s="194">
        <v>0.75425423589340712</v>
      </c>
      <c r="C176" s="194">
        <v>0.23505273041024857</v>
      </c>
      <c r="D176" s="194">
        <v>1.177604465423244E-4</v>
      </c>
      <c r="E176" s="194">
        <v>0</v>
      </c>
      <c r="F176" s="194">
        <v>1.3290927212529946E-6</v>
      </c>
      <c r="G176" s="194">
        <v>1.0573944157080718E-2</v>
      </c>
      <c r="H176" s="200">
        <v>0.99988091046073635</v>
      </c>
      <c r="I176" s="200">
        <v>1.190895392636504E-4</v>
      </c>
      <c r="J176" s="139"/>
    </row>
    <row r="177" spans="1:10">
      <c r="A177" s="118">
        <v>41759</v>
      </c>
      <c r="B177" s="194">
        <v>0.75604078826808796</v>
      </c>
      <c r="C177" s="194">
        <v>0.24070402884715042</v>
      </c>
      <c r="D177" s="194">
        <v>1.1211352190188652E-4</v>
      </c>
      <c r="E177" s="194">
        <v>0</v>
      </c>
      <c r="F177" s="194">
        <v>1.3002501806791607E-6</v>
      </c>
      <c r="G177" s="194">
        <v>3.1417691126788649E-3</v>
      </c>
      <c r="H177" s="200">
        <v>0.99988658622791726</v>
      </c>
      <c r="I177" s="200">
        <v>1.1211352190188652E-4</v>
      </c>
      <c r="J177" s="136"/>
    </row>
    <row r="178" spans="1:10">
      <c r="A178" s="118">
        <v>41790</v>
      </c>
      <c r="B178" s="194">
        <v>0.74280428134429832</v>
      </c>
      <c r="C178" s="194">
        <v>0.25375387926409038</v>
      </c>
      <c r="D178" s="194">
        <v>1.1459678516704741E-4</v>
      </c>
      <c r="E178" s="194">
        <v>0</v>
      </c>
      <c r="F178" s="194">
        <v>1.3461215833911134E-6</v>
      </c>
      <c r="G178" s="194">
        <v>3.3258964848607402E-3</v>
      </c>
      <c r="H178" s="200">
        <v>0.99988540321483277</v>
      </c>
      <c r="I178" s="200">
        <v>1.1459678516704741E-4</v>
      </c>
      <c r="J178" s="139"/>
    </row>
    <row r="179" spans="1:10">
      <c r="A179" s="118">
        <v>41820</v>
      </c>
      <c r="B179" s="194">
        <v>0.73407381556832796</v>
      </c>
      <c r="C179" s="194">
        <v>0.24716403474449825</v>
      </c>
      <c r="D179" s="194">
        <v>1.0997555428957186E-4</v>
      </c>
      <c r="E179" s="194">
        <v>0</v>
      </c>
      <c r="F179" s="194">
        <v>1.3050864888919485E-6</v>
      </c>
      <c r="G179" s="194">
        <v>1.8650869046395357E-2</v>
      </c>
      <c r="H179" s="200">
        <v>0.99988871935922152</v>
      </c>
      <c r="I179" s="200">
        <v>1.1128064077846381E-4</v>
      </c>
    </row>
    <row r="180" spans="1:10">
      <c r="A180" s="118">
        <v>41851</v>
      </c>
      <c r="B180" s="194">
        <v>0.73161671263220052</v>
      </c>
      <c r="C180" s="194">
        <v>0.25270746021349827</v>
      </c>
      <c r="D180" s="194">
        <v>1.0645912811969685E-4</v>
      </c>
      <c r="E180" s="194">
        <v>0</v>
      </c>
      <c r="F180" s="194">
        <v>0</v>
      </c>
      <c r="G180" s="194">
        <v>1.5569368026181482E-2</v>
      </c>
      <c r="H180" s="200">
        <v>0.99989354087188032</v>
      </c>
      <c r="I180" s="200">
        <v>1.0645912811969685E-4</v>
      </c>
    </row>
    <row r="181" spans="1:10">
      <c r="A181" s="118">
        <v>41882</v>
      </c>
      <c r="B181" s="194">
        <v>0.73321961250161716</v>
      </c>
      <c r="C181" s="194">
        <v>0.25553136650556463</v>
      </c>
      <c r="D181" s="194">
        <v>7.5624205347355961E-5</v>
      </c>
      <c r="E181" s="194">
        <v>0</v>
      </c>
      <c r="F181" s="194">
        <v>0</v>
      </c>
      <c r="G181" s="194">
        <v>1.1173396787470877E-2</v>
      </c>
      <c r="H181" s="200">
        <v>0.99992437579465265</v>
      </c>
      <c r="I181" s="200">
        <v>7.5624205347355961E-5</v>
      </c>
    </row>
    <row r="182" spans="1:10">
      <c r="A182" s="118">
        <v>41912</v>
      </c>
      <c r="B182" s="194">
        <v>0.71212900265243584</v>
      </c>
      <c r="C182" s="194">
        <v>0.25707094208437609</v>
      </c>
      <c r="D182" s="194">
        <v>7.3796828889840916E-5</v>
      </c>
      <c r="E182" s="194">
        <v>0</v>
      </c>
      <c r="F182" s="194">
        <v>0</v>
      </c>
      <c r="G182" s="194">
        <v>3.0726258434298433E-2</v>
      </c>
      <c r="H182" s="200">
        <v>0.99992620317111036</v>
      </c>
      <c r="I182" s="200">
        <v>7.3796828889638455E-5</v>
      </c>
    </row>
    <row r="183" spans="1:10">
      <c r="A183" s="118">
        <v>41943</v>
      </c>
      <c r="B183" s="194">
        <v>0.71111899436002046</v>
      </c>
      <c r="C183" s="194">
        <v>0.24526065788921356</v>
      </c>
      <c r="D183" s="194">
        <v>6.9912391259070963E-5</v>
      </c>
      <c r="E183" s="194">
        <v>0</v>
      </c>
      <c r="F183" s="194">
        <v>0</v>
      </c>
      <c r="G183" s="194">
        <v>4.3550435359506881E-2</v>
      </c>
      <c r="H183" s="200">
        <v>0.99993008760874091</v>
      </c>
      <c r="I183" s="200">
        <v>6.9912391259070963E-5</v>
      </c>
    </row>
    <row r="184" spans="1:10">
      <c r="A184" s="118">
        <v>41973</v>
      </c>
      <c r="B184" s="194">
        <v>0.72507395626504112</v>
      </c>
      <c r="C184" s="194">
        <v>0.24988976641320618</v>
      </c>
      <c r="D184" s="194">
        <v>6.9225931845021422E-5</v>
      </c>
      <c r="E184" s="194">
        <v>0</v>
      </c>
      <c r="F184" s="194">
        <v>0</v>
      </c>
      <c r="G184" s="194">
        <v>2.4967051389907766E-2</v>
      </c>
      <c r="H184" s="200">
        <v>0.999930774068155</v>
      </c>
      <c r="I184" s="200">
        <v>6.9225931845021422E-5</v>
      </c>
    </row>
    <row r="185" spans="1:10">
      <c r="A185" s="118">
        <v>42004</v>
      </c>
      <c r="B185" s="194">
        <v>0.72086737382516874</v>
      </c>
      <c r="C185" s="194">
        <v>0.24832693019479044</v>
      </c>
      <c r="D185" s="194">
        <v>6.7649235928981486E-5</v>
      </c>
      <c r="E185" s="194">
        <v>0</v>
      </c>
      <c r="F185" s="194">
        <v>0</v>
      </c>
      <c r="G185" s="194">
        <v>3.0738046744111895E-2</v>
      </c>
      <c r="H185" s="200">
        <v>0.99993235076407105</v>
      </c>
      <c r="I185" s="200">
        <v>6.7649235928981486E-5</v>
      </c>
    </row>
    <row r="186" spans="1:10">
      <c r="A186" s="118">
        <v>42035</v>
      </c>
      <c r="B186" s="194">
        <v>0.7411908906363851</v>
      </c>
      <c r="C186" s="194">
        <v>0.25673675647272265</v>
      </c>
      <c r="D186" s="194">
        <v>6.7079947829775955E-5</v>
      </c>
      <c r="E186" s="194">
        <v>0</v>
      </c>
      <c r="F186" s="194">
        <v>0</v>
      </c>
      <c r="G186" s="194">
        <v>2.0052729430623168E-3</v>
      </c>
      <c r="H186" s="200">
        <v>0.99993292005217005</v>
      </c>
      <c r="I186" s="200">
        <v>6.7079947829775955E-5</v>
      </c>
    </row>
    <row r="187" spans="1:10">
      <c r="A187" s="118">
        <v>42063</v>
      </c>
      <c r="B187" s="194">
        <v>0.74294963023806704</v>
      </c>
      <c r="C187" s="194">
        <v>0.22863605997235742</v>
      </c>
      <c r="D187" s="194">
        <v>6.4710234055487931E-5</v>
      </c>
      <c r="E187" s="194">
        <v>0</v>
      </c>
      <c r="F187" s="194">
        <v>0</v>
      </c>
      <c r="G187" s="194">
        <v>2.8349599555520084E-2</v>
      </c>
      <c r="H187" s="200">
        <v>0.99993528976594459</v>
      </c>
      <c r="I187" s="200">
        <v>6.4710234055487931E-5</v>
      </c>
    </row>
    <row r="188" spans="1:10">
      <c r="A188" s="118">
        <v>42094</v>
      </c>
      <c r="B188" s="194">
        <v>0.74841004751763085</v>
      </c>
      <c r="C188" s="194">
        <v>0.23281995606168654</v>
      </c>
      <c r="D188" s="194">
        <v>5.8222959016234541E-5</v>
      </c>
      <c r="E188" s="194">
        <v>0</v>
      </c>
      <c r="F188" s="194">
        <v>0</v>
      </c>
      <c r="G188" s="194">
        <v>1.8711773461666314E-2</v>
      </c>
      <c r="H188" s="200">
        <v>0.99994177704098364</v>
      </c>
      <c r="I188" s="200">
        <v>5.8222959016234541E-5</v>
      </c>
    </row>
    <row r="189" spans="1:10">
      <c r="A189" s="118">
        <v>42124</v>
      </c>
      <c r="B189" s="194">
        <v>0.76008999369986641</v>
      </c>
      <c r="C189" s="194">
        <v>0.2366163492116462</v>
      </c>
      <c r="D189" s="194">
        <v>5.6257552571946045E-5</v>
      </c>
      <c r="E189" s="194">
        <v>0</v>
      </c>
      <c r="F189" s="194">
        <v>0</v>
      </c>
      <c r="G189" s="194">
        <v>3.2373995359154615E-3</v>
      </c>
      <c r="H189" s="200">
        <v>0.999947595196502</v>
      </c>
      <c r="I189" s="200">
        <v>5.2404803498534697E-5</v>
      </c>
    </row>
    <row r="190" spans="1:10">
      <c r="A190" s="118">
        <v>42155</v>
      </c>
      <c r="B190" s="194">
        <v>0.7385028160665662</v>
      </c>
      <c r="C190" s="194">
        <v>0.2315730594704743</v>
      </c>
      <c r="D190" s="194">
        <v>5.2068960761754439E-5</v>
      </c>
      <c r="E190" s="194">
        <v>0</v>
      </c>
      <c r="F190" s="194">
        <v>0</v>
      </c>
      <c r="G190" s="194">
        <v>2.9872055502197698E-2</v>
      </c>
      <c r="H190" s="200">
        <v>0.99994793103923818</v>
      </c>
      <c r="I190" s="200">
        <v>5.2068960761754439E-5</v>
      </c>
    </row>
    <row r="191" spans="1:10">
      <c r="A191" s="118">
        <v>42185</v>
      </c>
      <c r="B191" s="194">
        <v>0.75760782249534875</v>
      </c>
      <c r="C191" s="194">
        <v>0.24034119810476062</v>
      </c>
      <c r="D191" s="194">
        <v>4.1694046464544741E-5</v>
      </c>
      <c r="E191" s="194">
        <v>0</v>
      </c>
      <c r="F191" s="194">
        <v>0</v>
      </c>
      <c r="G191" s="194">
        <v>2.0092853534259885E-3</v>
      </c>
      <c r="H191" s="200">
        <v>0.99995830595353541</v>
      </c>
      <c r="I191" s="200">
        <v>4.1694046464544741E-5</v>
      </c>
    </row>
    <row r="192" spans="1:10">
      <c r="A192" s="118">
        <v>42216</v>
      </c>
      <c r="B192" s="194">
        <v>0.74978056893664724</v>
      </c>
      <c r="C192" s="194">
        <v>0.24809003534532784</v>
      </c>
      <c r="D192" s="194">
        <v>4.1296119204047233E-5</v>
      </c>
      <c r="E192" s="194">
        <v>0</v>
      </c>
      <c r="F192" s="194">
        <v>0</v>
      </c>
      <c r="G192" s="194">
        <v>2.0880995988207906E-3</v>
      </c>
      <c r="H192" s="200">
        <v>0.99995870388079588</v>
      </c>
      <c r="I192" s="200">
        <v>4.1296119204047233E-5</v>
      </c>
      <c r="J192" s="136"/>
    </row>
    <row r="193" spans="1:11">
      <c r="A193" s="118">
        <v>42247</v>
      </c>
      <c r="B193" s="194">
        <v>0.74573763335663046</v>
      </c>
      <c r="C193" s="194">
        <v>0.25079122361951756</v>
      </c>
      <c r="D193" s="194">
        <v>4.0313611705983323E-5</v>
      </c>
      <c r="E193" s="194">
        <v>0</v>
      </c>
      <c r="F193" s="194">
        <v>0</v>
      </c>
      <c r="G193" s="194">
        <v>3.43082941214595E-3</v>
      </c>
      <c r="H193" s="200">
        <v>0.99995968638829391</v>
      </c>
      <c r="I193" s="200">
        <v>4.0313611705983323E-5</v>
      </c>
    </row>
    <row r="194" spans="1:11">
      <c r="A194" s="118">
        <v>42277</v>
      </c>
      <c r="B194" s="194">
        <v>0.71580262156817398</v>
      </c>
      <c r="C194" s="194">
        <v>0.24908829551377129</v>
      </c>
      <c r="D194" s="194">
        <v>3.8006885862669124E-5</v>
      </c>
      <c r="E194" s="194">
        <v>0</v>
      </c>
      <c r="F194" s="194">
        <v>0</v>
      </c>
      <c r="G194" s="194">
        <v>3.5071076032192089E-2</v>
      </c>
      <c r="H194" s="200">
        <v>0.99996199311413736</v>
      </c>
      <c r="I194" s="200">
        <v>3.8006885862669124E-5</v>
      </c>
    </row>
    <row r="195" spans="1:11">
      <c r="A195" s="118">
        <v>42308</v>
      </c>
      <c r="B195" s="194">
        <v>0.6985518342049678</v>
      </c>
      <c r="C195" s="194">
        <v>0.26456546252739782</v>
      </c>
      <c r="D195" s="194">
        <v>3.9261499810484493E-5</v>
      </c>
      <c r="E195" s="194">
        <v>0</v>
      </c>
      <c r="F195" s="194">
        <v>0</v>
      </c>
      <c r="G195" s="194">
        <v>3.6843441767823865E-2</v>
      </c>
      <c r="H195" s="200">
        <v>0.99996073850018941</v>
      </c>
      <c r="I195" s="200">
        <v>3.9261499810484493E-5</v>
      </c>
      <c r="J195" s="136"/>
    </row>
    <row r="196" spans="1:11">
      <c r="A196" s="118">
        <v>42338</v>
      </c>
      <c r="B196" s="194">
        <v>0.68741893603436077</v>
      </c>
      <c r="C196" s="194">
        <v>0.27445883884276046</v>
      </c>
      <c r="D196" s="194">
        <v>3.8774885705965959E-5</v>
      </c>
      <c r="E196" s="194">
        <v>0</v>
      </c>
      <c r="F196" s="194">
        <v>0</v>
      </c>
      <c r="G196" s="194">
        <v>3.8083450237172842E-2</v>
      </c>
      <c r="H196" s="200">
        <v>0.99996122511429408</v>
      </c>
      <c r="I196" s="200">
        <v>3.8774885705965959E-5</v>
      </c>
    </row>
    <row r="197" spans="1:11">
      <c r="A197" s="118">
        <v>42369</v>
      </c>
      <c r="B197" s="194">
        <v>0.67081224257397654</v>
      </c>
      <c r="C197" s="194">
        <v>0.27214465410576205</v>
      </c>
      <c r="D197" s="194">
        <v>3.6676668317254815E-5</v>
      </c>
      <c r="E197" s="194">
        <v>0</v>
      </c>
      <c r="F197" s="194">
        <v>0</v>
      </c>
      <c r="G197" s="194">
        <v>5.7006426651944178E-2</v>
      </c>
      <c r="H197" s="200">
        <v>0.99996332333168281</v>
      </c>
      <c r="I197" s="200">
        <v>3.6676668317254815E-5</v>
      </c>
    </row>
    <row r="198" spans="1:11">
      <c r="A198" s="118">
        <v>42400</v>
      </c>
      <c r="B198" s="194">
        <v>0.67740144120013168</v>
      </c>
      <c r="C198" s="194">
        <v>0.27877073940553393</v>
      </c>
      <c r="D198" s="194">
        <v>3.602161387477456E-5</v>
      </c>
      <c r="E198" s="194">
        <v>0</v>
      </c>
      <c r="F198" s="194">
        <v>0</v>
      </c>
      <c r="G198" s="194">
        <v>4.3791797780459413E-2</v>
      </c>
      <c r="H198" s="200">
        <v>0.99996397838612494</v>
      </c>
      <c r="I198" s="200">
        <v>3.602161387477456E-5</v>
      </c>
      <c r="K198" s="136"/>
    </row>
    <row r="199" spans="1:11">
      <c r="A199" s="118">
        <v>42429</v>
      </c>
      <c r="B199" s="194">
        <v>0.66842839301194967</v>
      </c>
      <c r="C199" s="194">
        <v>0.28480918697068924</v>
      </c>
      <c r="D199" s="194">
        <v>3.4627668708607909E-5</v>
      </c>
      <c r="E199" s="194">
        <v>0</v>
      </c>
      <c r="F199" s="194">
        <v>0</v>
      </c>
      <c r="G199" s="194">
        <v>4.6727792348652375E-2</v>
      </c>
      <c r="H199" s="200">
        <v>0.99996417887222977</v>
      </c>
      <c r="I199" s="200">
        <v>3.5821127770160888E-5</v>
      </c>
      <c r="J199" s="136"/>
    </row>
    <row r="200" spans="1:11">
      <c r="A200" s="118">
        <v>42460</v>
      </c>
      <c r="B200" s="194">
        <v>0.6707849302855623</v>
      </c>
      <c r="C200" s="194">
        <v>0.28929490796168578</v>
      </c>
      <c r="D200" s="194">
        <v>3.3312655135502328E-5</v>
      </c>
      <c r="E200" s="194">
        <v>0</v>
      </c>
      <c r="F200" s="194">
        <v>0</v>
      </c>
      <c r="G200" s="194">
        <v>3.9886849097616278E-2</v>
      </c>
      <c r="H200" s="200">
        <v>0.99996668734486438</v>
      </c>
      <c r="I200" s="200">
        <v>3.3312655135502328E-5</v>
      </c>
    </row>
    <row r="201" spans="1:11">
      <c r="A201" s="118">
        <v>42490</v>
      </c>
      <c r="B201" s="194">
        <v>0.67189240021736385</v>
      </c>
      <c r="C201" s="194">
        <v>0.29137208222504402</v>
      </c>
      <c r="D201" s="194">
        <v>3.2177585958715875E-5</v>
      </c>
      <c r="E201" s="194">
        <v>0</v>
      </c>
      <c r="F201" s="194">
        <v>0</v>
      </c>
      <c r="G201" s="194">
        <v>3.6703339971633414E-2</v>
      </c>
      <c r="H201" s="200">
        <v>0.99996594354945101</v>
      </c>
      <c r="I201" s="200">
        <v>3.4056450547333803E-5</v>
      </c>
    </row>
    <row r="202" spans="1:11">
      <c r="A202" s="118">
        <v>42521</v>
      </c>
      <c r="B202" s="194">
        <v>0.68161502610270897</v>
      </c>
      <c r="C202" s="194">
        <v>0.27633871465358306</v>
      </c>
      <c r="D202" s="194">
        <v>3.0873873285859419E-5</v>
      </c>
      <c r="E202" s="194">
        <v>0</v>
      </c>
      <c r="F202" s="194">
        <v>0</v>
      </c>
      <c r="G202" s="194">
        <v>4.2015385370422001E-2</v>
      </c>
      <c r="H202" s="200">
        <v>0.99996912612671407</v>
      </c>
      <c r="I202" s="200">
        <v>3.0873873285859419E-5</v>
      </c>
    </row>
    <row r="203" spans="1:11">
      <c r="A203" s="118">
        <v>42551</v>
      </c>
      <c r="B203" s="194">
        <v>0.6581106917120666</v>
      </c>
      <c r="C203" s="194">
        <v>0.28364450263249741</v>
      </c>
      <c r="D203" s="194">
        <v>3.0391917595554333E-5</v>
      </c>
      <c r="E203" s="194">
        <v>0</v>
      </c>
      <c r="F203" s="194">
        <v>0</v>
      </c>
      <c r="G203" s="194">
        <v>5.8214413737840531E-2</v>
      </c>
      <c r="H203" s="200">
        <v>0.99996960808240454</v>
      </c>
      <c r="I203" s="200">
        <v>3.0391917595554333E-5</v>
      </c>
    </row>
    <row r="204" spans="1:11">
      <c r="A204" s="118">
        <v>42582</v>
      </c>
      <c r="B204" s="194">
        <v>0.65422762378969379</v>
      </c>
      <c r="C204" s="194">
        <v>0.28883928462453162</v>
      </c>
      <c r="D204" s="194">
        <v>2.9655732448309151E-5</v>
      </c>
      <c r="E204" s="194">
        <v>0</v>
      </c>
      <c r="F204" s="194">
        <v>0</v>
      </c>
      <c r="G204" s="194">
        <v>5.6903435853326238E-2</v>
      </c>
      <c r="H204" s="200">
        <v>0.9999703442675516</v>
      </c>
      <c r="I204" s="200">
        <v>2.9655732448309151E-5</v>
      </c>
    </row>
    <row r="205" spans="1:11">
      <c r="A205" s="118">
        <v>42613</v>
      </c>
      <c r="B205" s="194">
        <v>0.65928045735342833</v>
      </c>
      <c r="C205" s="194">
        <v>0.28973108255886665</v>
      </c>
      <c r="D205" s="194">
        <v>2.8899597318247224E-5</v>
      </c>
      <c r="E205" s="194">
        <v>0</v>
      </c>
      <c r="F205" s="194">
        <v>0</v>
      </c>
      <c r="G205" s="194">
        <v>5.0959560490386802E-2</v>
      </c>
      <c r="H205" s="200">
        <v>0.99997110040268178</v>
      </c>
      <c r="I205" s="200">
        <v>2.8899597318247224E-5</v>
      </c>
    </row>
    <row r="206" spans="1:11">
      <c r="A206" s="118">
        <v>42643</v>
      </c>
      <c r="B206" s="194">
        <v>0.65771238542524624</v>
      </c>
      <c r="C206" s="194">
        <v>0.29184664468979049</v>
      </c>
      <c r="D206" s="194">
        <v>2.7661844862154397E-5</v>
      </c>
      <c r="E206" s="194">
        <v>0</v>
      </c>
      <c r="F206" s="194">
        <v>0</v>
      </c>
      <c r="G206" s="194">
        <v>5.0413308040101114E-2</v>
      </c>
      <c r="H206" s="200">
        <v>0.99997105394947605</v>
      </c>
      <c r="I206" s="200">
        <v>2.8946050524639099E-5</v>
      </c>
    </row>
    <row r="207" spans="1:11">
      <c r="A207" s="118">
        <v>42674</v>
      </c>
      <c r="B207" s="194">
        <v>0.65771238542524624</v>
      </c>
      <c r="C207" s="194">
        <v>0.29184664468979049</v>
      </c>
      <c r="D207" s="194">
        <v>2.7661844862154397E-5</v>
      </c>
      <c r="E207" s="194">
        <v>0</v>
      </c>
      <c r="F207" s="194">
        <v>0</v>
      </c>
      <c r="G207" s="194">
        <v>5.0413308040101114E-2</v>
      </c>
      <c r="H207" s="200">
        <v>0.99997233815513786</v>
      </c>
      <c r="I207" s="200">
        <v>2.7661844862154397E-5</v>
      </c>
    </row>
    <row r="208" spans="1:11">
      <c r="A208" s="118">
        <v>42704</v>
      </c>
      <c r="B208" s="194">
        <v>0.65915076049964338</v>
      </c>
      <c r="C208" s="194">
        <v>0.28750591141820098</v>
      </c>
      <c r="D208" s="194">
        <v>1.313067426849268E-5</v>
      </c>
      <c r="E208" s="194">
        <v>0</v>
      </c>
      <c r="F208" s="194">
        <v>0</v>
      </c>
      <c r="G208" s="194">
        <v>5.3330197407887248E-2</v>
      </c>
      <c r="H208" s="200">
        <v>0.99998686932573166</v>
      </c>
      <c r="I208" s="200">
        <v>1.313067426849268E-5</v>
      </c>
    </row>
    <row r="209" spans="1:9">
      <c r="A209" s="118">
        <v>42735</v>
      </c>
      <c r="B209" s="194">
        <v>0.65758140082401961</v>
      </c>
      <c r="C209" s="194">
        <v>0.29015959200692337</v>
      </c>
      <c r="D209" s="194">
        <v>1.2805370722999137E-5</v>
      </c>
      <c r="E209" s="194">
        <v>0</v>
      </c>
      <c r="F209" s="194">
        <v>0</v>
      </c>
      <c r="G209" s="194">
        <v>5.2246201798334023E-2</v>
      </c>
      <c r="H209" s="200">
        <v>0.9999871946292771</v>
      </c>
      <c r="I209" s="200">
        <v>1.2805370722999137E-5</v>
      </c>
    </row>
    <row r="210" spans="1:9">
      <c r="A210" s="118">
        <v>42766</v>
      </c>
      <c r="B210" s="194">
        <v>0.66757225742001491</v>
      </c>
      <c r="C210" s="194">
        <v>0.29568944323360563</v>
      </c>
      <c r="D210" s="194">
        <v>1.3178072089229668E-5</v>
      </c>
      <c r="E210" s="194">
        <v>0</v>
      </c>
      <c r="F210" s="194">
        <v>0</v>
      </c>
      <c r="G210" s="194">
        <v>3.6725121274290173E-2</v>
      </c>
      <c r="H210" s="200">
        <v>0.99998682192791077</v>
      </c>
      <c r="I210" s="200">
        <v>1.3178072089229668E-5</v>
      </c>
    </row>
    <row r="211" spans="1:9">
      <c r="A211" s="118">
        <v>42794</v>
      </c>
      <c r="B211" s="194">
        <v>0.66849258151309476</v>
      </c>
      <c r="C211" s="194">
        <v>0.29679836900736822</v>
      </c>
      <c r="D211" s="194">
        <v>1.23883963008667E-5</v>
      </c>
      <c r="E211" s="194">
        <v>0</v>
      </c>
      <c r="F211" s="194">
        <v>0</v>
      </c>
      <c r="G211" s="194">
        <v>3.4696661083236102E-2</v>
      </c>
      <c r="H211" s="200">
        <v>0.99998761160369909</v>
      </c>
      <c r="I211" s="200">
        <v>1.23883963008667E-5</v>
      </c>
    </row>
    <row r="212" spans="1:9">
      <c r="A212" s="118">
        <v>42825</v>
      </c>
      <c r="B212" s="194">
        <v>0.65967078284272618</v>
      </c>
      <c r="C212" s="194">
        <v>0.29785849232825073</v>
      </c>
      <c r="D212" s="194">
        <v>1.1711663857772238E-5</v>
      </c>
      <c r="E212" s="194">
        <v>0</v>
      </c>
      <c r="F212" s="194">
        <v>0</v>
      </c>
      <c r="G212" s="194">
        <v>4.2459013165165316E-2</v>
      </c>
      <c r="H212" s="200">
        <v>0.99998828833614228</v>
      </c>
      <c r="I212" s="200">
        <v>1.1711663857772238E-5</v>
      </c>
    </row>
    <row r="213" spans="1:9">
      <c r="A213" s="118">
        <v>42855</v>
      </c>
      <c r="B213" s="194">
        <v>0.66905627294654602</v>
      </c>
      <c r="C213" s="194">
        <v>0.30064077832477404</v>
      </c>
      <c r="D213" s="194">
        <v>1.0952085843679214E-5</v>
      </c>
      <c r="E213" s="194">
        <v>0</v>
      </c>
      <c r="F213" s="194">
        <v>0</v>
      </c>
      <c r="G213" s="194">
        <v>3.0291996642836189E-2</v>
      </c>
      <c r="H213" s="200">
        <v>0.99998904791415633</v>
      </c>
      <c r="I213" s="200">
        <v>1.0952085843679214E-5</v>
      </c>
    </row>
    <row r="214" spans="1:9">
      <c r="A214" s="118">
        <v>42886</v>
      </c>
      <c r="B214" s="194">
        <v>0.6937983168198768</v>
      </c>
      <c r="C214" s="194">
        <v>0.27557634452948676</v>
      </c>
      <c r="D214" s="194">
        <v>1.0665853542791222E-5</v>
      </c>
      <c r="E214" s="194">
        <v>0</v>
      </c>
      <c r="F214" s="194">
        <v>0</v>
      </c>
      <c r="G214" s="194">
        <v>3.0614672797093661E-2</v>
      </c>
      <c r="H214" s="200">
        <v>0.99998933414645719</v>
      </c>
      <c r="I214" s="200">
        <v>1.0665853542791222E-5</v>
      </c>
    </row>
    <row r="215" spans="1:9">
      <c r="A215" s="118">
        <v>42916</v>
      </c>
      <c r="B215" s="194">
        <v>0.68615325618639822</v>
      </c>
      <c r="C215" s="194">
        <v>0.28292556431545374</v>
      </c>
      <c r="D215" s="194">
        <v>1.0335298204403907E-5</v>
      </c>
      <c r="E215" s="194">
        <v>0</v>
      </c>
      <c r="F215" s="194">
        <v>0</v>
      </c>
      <c r="G215" s="194">
        <v>3.0910844199943614E-2</v>
      </c>
      <c r="H215" s="200">
        <v>0.99998966470179562</v>
      </c>
      <c r="I215" s="200">
        <v>1.0335298204403907E-5</v>
      </c>
    </row>
    <row r="216" spans="1:9">
      <c r="A216" s="118">
        <v>42947</v>
      </c>
      <c r="B216" s="194">
        <v>0.68203352251364902</v>
      </c>
      <c r="C216" s="194">
        <v>0.2825721121868619</v>
      </c>
      <c r="D216" s="194">
        <v>9.7841153318415703E-6</v>
      </c>
      <c r="E216" s="194">
        <v>0</v>
      </c>
      <c r="F216" s="194">
        <v>0</v>
      </c>
      <c r="G216" s="194">
        <v>3.5384581184157153E-2</v>
      </c>
      <c r="H216" s="200">
        <v>0.99999021588466819</v>
      </c>
      <c r="I216" s="200">
        <v>9.7841153318415703E-6</v>
      </c>
    </row>
    <row r="217" spans="1:9">
      <c r="A217" s="118">
        <v>42978</v>
      </c>
      <c r="B217" s="194">
        <v>0.68352283369715217</v>
      </c>
      <c r="C217" s="194">
        <v>0.2817204258808656</v>
      </c>
      <c r="D217" s="194">
        <v>9.2206380838845951E-6</v>
      </c>
      <c r="E217" s="194">
        <v>0</v>
      </c>
      <c r="F217" s="194">
        <v>0</v>
      </c>
      <c r="G217" s="194">
        <v>3.4747519783898423E-2</v>
      </c>
      <c r="H217" s="200">
        <v>0.99999077936191627</v>
      </c>
      <c r="I217" s="200">
        <v>9.2206380838845951E-6</v>
      </c>
    </row>
    <row r="218" spans="1:9">
      <c r="A218" s="118">
        <v>43008</v>
      </c>
      <c r="B218" s="194">
        <v>0.68163025817162337</v>
      </c>
      <c r="C218" s="194">
        <v>0.28384270356562286</v>
      </c>
      <c r="D218" s="194">
        <v>8.8881187018700685E-6</v>
      </c>
      <c r="E218" s="194">
        <v>0</v>
      </c>
      <c r="F218" s="194">
        <v>0</v>
      </c>
      <c r="G218" s="194">
        <v>3.4518150144051823E-2</v>
      </c>
      <c r="H218" s="200">
        <v>0.99999111188129797</v>
      </c>
      <c r="I218" s="200">
        <v>8.8881187018700685E-6</v>
      </c>
    </row>
    <row r="219" spans="1:9">
      <c r="A219" s="118">
        <v>43039</v>
      </c>
      <c r="B219" s="194">
        <v>0.68140158887683522</v>
      </c>
      <c r="C219" s="194">
        <v>0.28424606382006629</v>
      </c>
      <c r="D219" s="194">
        <v>8.436805928181596E-6</v>
      </c>
      <c r="E219" s="194">
        <v>0</v>
      </c>
      <c r="F219" s="194">
        <v>0</v>
      </c>
      <c r="G219" s="194">
        <v>3.434391049717022E-2</v>
      </c>
      <c r="H219" s="200">
        <v>0.99999156319407201</v>
      </c>
      <c r="I219" s="200">
        <v>8.4368059279849505E-6</v>
      </c>
    </row>
    <row r="220" spans="1:9">
      <c r="A220" s="118">
        <v>43069</v>
      </c>
      <c r="B220" s="194">
        <v>0.68158301479226746</v>
      </c>
      <c r="C220" s="194">
        <v>0.2844739715411726</v>
      </c>
      <c r="D220" s="194">
        <v>8.1228166082931569E-6</v>
      </c>
      <c r="E220" s="194">
        <v>0</v>
      </c>
      <c r="F220" s="194">
        <v>0</v>
      </c>
      <c r="G220" s="194">
        <v>3.3934890849951688E-2</v>
      </c>
      <c r="H220" s="200">
        <v>0.99999187718339155</v>
      </c>
      <c r="I220" s="200">
        <v>8.1228166084200492E-6</v>
      </c>
    </row>
    <row r="221" spans="1:9">
      <c r="A221" s="118">
        <v>43100</v>
      </c>
      <c r="B221" s="194">
        <v>0.66489410982117869</v>
      </c>
      <c r="C221" s="194">
        <v>0.28198491922351887</v>
      </c>
      <c r="D221" s="194">
        <v>7.8020207452516545E-6</v>
      </c>
      <c r="E221" s="194">
        <v>0</v>
      </c>
      <c r="F221" s="194">
        <v>0</v>
      </c>
      <c r="G221" s="194">
        <v>5.3113168934557191E-2</v>
      </c>
      <c r="H221" s="200">
        <v>0.99999187718339178</v>
      </c>
      <c r="I221" s="200">
        <v>8.122816608224781E-6</v>
      </c>
    </row>
    <row r="222" spans="1:9">
      <c r="A222" s="118">
        <v>43131</v>
      </c>
      <c r="B222" s="194">
        <v>0.66630897464658001</v>
      </c>
      <c r="C222" s="194">
        <v>0.28562508388966412</v>
      </c>
      <c r="D222" s="194">
        <v>7.4191747021404855E-6</v>
      </c>
      <c r="E222" s="194">
        <v>0</v>
      </c>
      <c r="F222" s="194">
        <v>0</v>
      </c>
      <c r="G222" s="194">
        <v>4.8058522289053843E-2</v>
      </c>
      <c r="H222" s="200">
        <v>0.99999258082529796</v>
      </c>
      <c r="I222" s="200">
        <v>7.4191747021404855E-6</v>
      </c>
    </row>
    <row r="223" spans="1:9">
      <c r="A223" s="118">
        <v>43159</v>
      </c>
      <c r="B223" s="194">
        <v>0.66613014996157893</v>
      </c>
      <c r="C223" s="194">
        <v>0.28539907085421035</v>
      </c>
      <c r="D223" s="194">
        <v>7.0239786655645593E-6</v>
      </c>
      <c r="E223" s="194">
        <v>0</v>
      </c>
      <c r="F223" s="194">
        <v>0</v>
      </c>
      <c r="G223" s="194">
        <v>4.8463755205545057E-2</v>
      </c>
      <c r="H223" s="200">
        <v>0.9999929760213343</v>
      </c>
      <c r="I223" s="200">
        <v>7.0239786655645593E-6</v>
      </c>
    </row>
    <row r="224" spans="1:9">
      <c r="A224" s="118">
        <v>43190</v>
      </c>
      <c r="B224" s="194">
        <v>0.66380326563311975</v>
      </c>
      <c r="C224" s="194">
        <v>0.2893677625024752</v>
      </c>
      <c r="D224" s="194">
        <v>6.6958346209538524E-6</v>
      </c>
      <c r="E224" s="194">
        <v>0</v>
      </c>
      <c r="F224" s="194">
        <v>0</v>
      </c>
      <c r="G224" s="194">
        <v>4.6822276029784171E-2</v>
      </c>
      <c r="H224" s="200">
        <v>0.99999330416537913</v>
      </c>
      <c r="I224" s="200">
        <v>6.6958346209538524E-6</v>
      </c>
    </row>
    <row r="225" spans="1:9">
      <c r="A225" s="118">
        <v>43220</v>
      </c>
      <c r="B225" s="194">
        <v>0.65700742637171405</v>
      </c>
      <c r="C225" s="194">
        <v>0.29311171210515563</v>
      </c>
      <c r="D225" s="194">
        <v>6.4435435911547085E-6</v>
      </c>
      <c r="E225" s="194">
        <v>0</v>
      </c>
      <c r="F225" s="194">
        <v>0</v>
      </c>
      <c r="G225" s="194">
        <v>4.9874417979538947E-2</v>
      </c>
      <c r="H225" s="200">
        <v>0.99999355645640864</v>
      </c>
      <c r="I225" s="200">
        <v>6.4435435911391892E-6</v>
      </c>
    </row>
    <row r="226" spans="1:9">
      <c r="A226" s="118">
        <v>43251</v>
      </c>
      <c r="B226" s="194">
        <v>0.65765016269195609</v>
      </c>
      <c r="C226" s="194">
        <v>0.29504565117536802</v>
      </c>
      <c r="D226" s="194">
        <v>6.0620441475279708E-6</v>
      </c>
      <c r="E226" s="194">
        <v>0</v>
      </c>
      <c r="F226" s="194">
        <v>0</v>
      </c>
      <c r="G226" s="194">
        <v>4.7298124088528376E-2</v>
      </c>
      <c r="H226" s="200">
        <v>0.99999391204922528</v>
      </c>
      <c r="I226" s="200">
        <v>6.0879507747244727E-6</v>
      </c>
    </row>
    <row r="227" spans="1:9">
      <c r="A227" s="118">
        <v>43281</v>
      </c>
      <c r="B227" s="194">
        <v>0.65501398268763988</v>
      </c>
      <c r="C227" s="194">
        <v>0.2981507145556308</v>
      </c>
      <c r="D227" s="194">
        <v>4.904837040828414E-6</v>
      </c>
      <c r="E227" s="194">
        <v>0</v>
      </c>
      <c r="F227" s="194">
        <v>0</v>
      </c>
      <c r="G227" s="194">
        <v>4.6830397919688543E-2</v>
      </c>
      <c r="H227" s="200">
        <v>0.99999509516295926</v>
      </c>
      <c r="I227" s="200">
        <v>4.904837040828414E-6</v>
      </c>
    </row>
    <row r="228" spans="1:9">
      <c r="A228" s="118">
        <v>43312</v>
      </c>
      <c r="B228" s="194">
        <v>0.65494387229521511</v>
      </c>
      <c r="C228" s="194">
        <v>0.29739177610856937</v>
      </c>
      <c r="D228" s="194">
        <v>4.6042940800424582E-6</v>
      </c>
      <c r="E228" s="194">
        <v>0</v>
      </c>
      <c r="F228" s="194">
        <v>0</v>
      </c>
      <c r="G228" s="194">
        <v>4.7659747302135486E-2</v>
      </c>
      <c r="H228" s="200">
        <v>0.99999539570592</v>
      </c>
      <c r="I228" s="200">
        <v>4.6042940800424582E-6</v>
      </c>
    </row>
    <row r="229" spans="1:9">
      <c r="A229" s="118">
        <v>43343</v>
      </c>
      <c r="B229" s="194">
        <v>0.65585134074073159</v>
      </c>
      <c r="C229" s="194">
        <v>0.29869969866131385</v>
      </c>
      <c r="D229" s="194">
        <v>4.4158260787244386E-6</v>
      </c>
      <c r="E229" s="194">
        <v>0</v>
      </c>
      <c r="F229" s="194">
        <v>0</v>
      </c>
      <c r="G229" s="194">
        <v>4.544454477187581E-2</v>
      </c>
      <c r="H229" s="200">
        <v>0.9999955841739212</v>
      </c>
      <c r="I229" s="200">
        <v>4.4158260787244386E-6</v>
      </c>
    </row>
    <row r="230" spans="1:9">
      <c r="A230" s="118">
        <v>43373</v>
      </c>
      <c r="B230" s="194">
        <v>0.65637330750050149</v>
      </c>
      <c r="C230" s="194">
        <v>0.29866303728112636</v>
      </c>
      <c r="D230" s="194">
        <v>4.4158260787244386E-6</v>
      </c>
      <c r="E230" s="194">
        <v>0</v>
      </c>
      <c r="F230" s="194">
        <v>0</v>
      </c>
      <c r="G230" s="194">
        <v>4.4959814221702074E-2</v>
      </c>
      <c r="H230" s="200">
        <v>0.99999996159003335</v>
      </c>
      <c r="I230" s="200">
        <v>3.8409966699542172E-6</v>
      </c>
    </row>
    <row r="231" spans="1:9">
      <c r="A231" s="118">
        <v>43404</v>
      </c>
      <c r="B231" s="194">
        <v>0.63751281705477969</v>
      </c>
      <c r="C231" s="194">
        <v>0.32023122568910573</v>
      </c>
      <c r="D231" s="194">
        <v>3.8207543635792855E-6</v>
      </c>
      <c r="E231" s="194">
        <v>0</v>
      </c>
      <c r="F231" s="194">
        <v>0</v>
      </c>
      <c r="G231" s="194">
        <v>4.2252136501751171E-2</v>
      </c>
      <c r="H231" s="200">
        <v>1</v>
      </c>
      <c r="I231" s="200">
        <v>0</v>
      </c>
    </row>
    <row r="232" spans="1:9">
      <c r="A232" s="118">
        <v>43434</v>
      </c>
      <c r="B232" s="194">
        <v>0.6336085851300951</v>
      </c>
      <c r="C232" s="194">
        <v>0.3238092359464334</v>
      </c>
      <c r="D232" s="194">
        <v>0</v>
      </c>
      <c r="E232" s="194">
        <v>0</v>
      </c>
      <c r="F232" s="194">
        <v>0</v>
      </c>
      <c r="G232" s="194">
        <v>4.2578353375997927E-2</v>
      </c>
      <c r="H232" s="200">
        <v>0.99999617445252653</v>
      </c>
      <c r="I232" s="200">
        <v>3.8255474735052346E-6</v>
      </c>
    </row>
    <row r="233" spans="1:9">
      <c r="A233" s="118">
        <v>43465</v>
      </c>
      <c r="B233" s="194">
        <v>0.62363059347903937</v>
      </c>
      <c r="C233" s="194">
        <v>0.32304560324598364</v>
      </c>
      <c r="D233" s="194">
        <v>3.6547562341564576E-6</v>
      </c>
      <c r="E233" s="194">
        <v>0</v>
      </c>
      <c r="F233" s="194">
        <v>0</v>
      </c>
      <c r="G233" s="194">
        <v>5.3319998371382418E-2</v>
      </c>
      <c r="H233" s="200">
        <v>0.99999634524376591</v>
      </c>
      <c r="I233" s="200">
        <v>3.6547562341564576E-6</v>
      </c>
    </row>
    <row r="234" spans="1:9">
      <c r="A234" s="118">
        <v>43496</v>
      </c>
      <c r="B234" s="194">
        <v>0.62669411993125534</v>
      </c>
      <c r="C234" s="194">
        <v>0.32339625995010601</v>
      </c>
      <c r="D234" s="194">
        <v>3.6547562341564576E-6</v>
      </c>
      <c r="E234" s="194">
        <v>0</v>
      </c>
      <c r="F234" s="194">
        <v>0</v>
      </c>
      <c r="G234" s="194">
        <v>4.9905868958866284E-2</v>
      </c>
      <c r="H234" s="200">
        <v>0.99999990359646185</v>
      </c>
      <c r="I234" s="200">
        <v>9.6403538152323165E-8</v>
      </c>
    </row>
    <row r="235" spans="1:9">
      <c r="A235" s="118">
        <v>43524</v>
      </c>
      <c r="B235" s="194">
        <v>0.62885379218120085</v>
      </c>
      <c r="C235" s="194">
        <v>0.3221785238361376</v>
      </c>
      <c r="D235" s="194">
        <v>3.6803647447284322E-6</v>
      </c>
      <c r="E235" s="194">
        <v>0</v>
      </c>
      <c r="F235" s="194">
        <v>0</v>
      </c>
      <c r="G235" s="194">
        <v>4.896400361791696E-2</v>
      </c>
      <c r="H235" s="200">
        <v>0.99999631963525537</v>
      </c>
      <c r="I235" s="200">
        <v>3.6803647447284322E-6</v>
      </c>
    </row>
    <row r="236" spans="1:9">
      <c r="A236" s="118">
        <v>43555</v>
      </c>
      <c r="B236" s="194">
        <v>0.62671284259922522</v>
      </c>
      <c r="C236" s="194">
        <v>0.32483229670979985</v>
      </c>
      <c r="D236" s="194">
        <v>3.410409695576171E-6</v>
      </c>
      <c r="E236" s="194">
        <v>0</v>
      </c>
      <c r="F236" s="194">
        <v>0</v>
      </c>
      <c r="G236" s="194">
        <v>4.8451450281279486E-2</v>
      </c>
      <c r="H236" s="200">
        <v>0.99999658959030457</v>
      </c>
      <c r="I236" s="200">
        <v>3.410409695576171E-6</v>
      </c>
    </row>
    <row r="237" spans="1:9">
      <c r="A237" s="118">
        <v>43585</v>
      </c>
      <c r="B237" s="194">
        <v>0.64340199987826152</v>
      </c>
      <c r="C237" s="194">
        <v>0.3082054636432317</v>
      </c>
      <c r="D237" s="194">
        <v>3.3406827951325179E-6</v>
      </c>
      <c r="E237" s="194">
        <v>0</v>
      </c>
      <c r="F237" s="194">
        <v>0</v>
      </c>
      <c r="G237" s="194">
        <v>4.8389195795711555E-2</v>
      </c>
      <c r="H237" s="200">
        <v>0.99999665931720483</v>
      </c>
      <c r="I237" s="200">
        <v>3.3406827951325179E-6</v>
      </c>
    </row>
    <row r="238" spans="1:9">
      <c r="A238" s="118">
        <v>43616</v>
      </c>
      <c r="B238" s="194">
        <v>0.64243108314519592</v>
      </c>
      <c r="C238" s="194">
        <v>0.30919624432104337</v>
      </c>
      <c r="D238" s="194">
        <v>3.2951759394687289E-6</v>
      </c>
      <c r="E238" s="194">
        <v>0</v>
      </c>
      <c r="F238" s="194">
        <v>0</v>
      </c>
      <c r="G238" s="194">
        <v>4.8369377357821201E-2</v>
      </c>
      <c r="H238" s="200">
        <v>0.99999670482406056</v>
      </c>
      <c r="I238" s="200">
        <v>3.2951759394687289E-6</v>
      </c>
    </row>
    <row r="239" spans="1:9">
      <c r="A239" s="118">
        <v>43646</v>
      </c>
      <c r="B239" s="194">
        <v>0.64028817523402282</v>
      </c>
      <c r="C239" s="194">
        <v>0.31000793380779962</v>
      </c>
      <c r="D239" s="194">
        <v>3.1641483296366103E-6</v>
      </c>
      <c r="E239" s="194">
        <v>0</v>
      </c>
      <c r="F239" s="194">
        <v>0</v>
      </c>
      <c r="G239" s="194">
        <v>4.9700726809847821E-2</v>
      </c>
      <c r="H239" s="200">
        <v>0.99999683585167032</v>
      </c>
      <c r="I239" s="200">
        <v>3.1641483296389841E-6</v>
      </c>
    </row>
    <row r="240" spans="1:9">
      <c r="A240" s="118">
        <v>43677</v>
      </c>
      <c r="B240" s="194">
        <v>0.63589537829783316</v>
      </c>
      <c r="C240" s="194">
        <v>0.30564262727579888</v>
      </c>
      <c r="D240" s="194">
        <v>3.046910727952827E-6</v>
      </c>
      <c r="E240" s="194">
        <v>0</v>
      </c>
      <c r="F240" s="194">
        <v>0</v>
      </c>
      <c r="G240" s="194">
        <v>5.8458947515639965E-2</v>
      </c>
      <c r="H240" s="200">
        <v>1</v>
      </c>
      <c r="I240" s="200">
        <v>3.046910727952827E-6</v>
      </c>
    </row>
    <row r="241" spans="1:9">
      <c r="A241" s="118">
        <v>43708</v>
      </c>
      <c r="B241" s="194">
        <v>0.63673056975189124</v>
      </c>
      <c r="C241" s="194">
        <v>0.30524702448367119</v>
      </c>
      <c r="D241" s="194">
        <v>2.946195230482922E-6</v>
      </c>
      <c r="E241" s="194">
        <v>0</v>
      </c>
      <c r="F241" s="194">
        <v>0</v>
      </c>
      <c r="G241" s="194">
        <v>5.8019459569207142E-2</v>
      </c>
      <c r="H241" s="200">
        <v>0.99999705380476955</v>
      </c>
      <c r="I241" s="200">
        <v>2.946195230482922E-6</v>
      </c>
    </row>
    <row r="242" spans="1:9">
      <c r="A242" s="118">
        <v>43738</v>
      </c>
      <c r="B242" s="194">
        <v>0.62332204391089974</v>
      </c>
      <c r="C242" s="194">
        <v>0.31480341543421825</v>
      </c>
      <c r="D242" s="194">
        <v>2.9849358099272514E-6</v>
      </c>
      <c r="E242" s="194">
        <v>0</v>
      </c>
      <c r="F242" s="194">
        <v>0</v>
      </c>
      <c r="G242" s="194">
        <v>6.1871555719072047E-2</v>
      </c>
      <c r="H242" s="200">
        <v>0.99999701506419003</v>
      </c>
      <c r="I242" s="200">
        <v>2.9849358099272514E-6</v>
      </c>
    </row>
    <row r="243" spans="1:9">
      <c r="A243" s="118">
        <v>43769</v>
      </c>
      <c r="B243" s="194">
        <v>0.62536397253469311</v>
      </c>
      <c r="C243" s="194">
        <v>0.31289202626073559</v>
      </c>
      <c r="D243" s="194">
        <v>2.9331039477274208E-6</v>
      </c>
      <c r="E243" s="194">
        <v>0</v>
      </c>
      <c r="F243" s="194">
        <v>0</v>
      </c>
      <c r="G243" s="194">
        <v>6.1741068100623589E-2</v>
      </c>
      <c r="H243" s="200">
        <v>0.99999706689605228</v>
      </c>
      <c r="I243" s="200">
        <v>2.9331039477274208E-6</v>
      </c>
    </row>
    <row r="244" spans="1:9">
      <c r="A244" s="118">
        <v>43799</v>
      </c>
      <c r="B244" s="194">
        <v>0.62806990914942495</v>
      </c>
      <c r="C244" s="194">
        <v>0.31074481743130827</v>
      </c>
      <c r="D244" s="194">
        <v>2.8624824880235798E-6</v>
      </c>
      <c r="E244" s="194">
        <v>0</v>
      </c>
      <c r="F244" s="194">
        <v>0</v>
      </c>
      <c r="G244" s="194">
        <v>6.1182410936778876E-2</v>
      </c>
      <c r="H244" s="200">
        <v>0.99999713751751207</v>
      </c>
      <c r="I244" s="200">
        <v>2.8624824880235798E-6</v>
      </c>
    </row>
    <row r="245" spans="1:9">
      <c r="A245" s="118">
        <v>43830</v>
      </c>
      <c r="B245" s="194">
        <v>0.62335268585304737</v>
      </c>
      <c r="C245" s="194">
        <v>0.31956355848895951</v>
      </c>
      <c r="D245" s="194">
        <v>2.9203148249453834E-6</v>
      </c>
      <c r="E245" s="194">
        <v>0</v>
      </c>
      <c r="F245" s="194">
        <v>0</v>
      </c>
      <c r="G245" s="194">
        <v>5.7080835343168143E-2</v>
      </c>
      <c r="H245" s="200">
        <v>0.99999707968517515</v>
      </c>
      <c r="I245" s="200">
        <v>2.9203148248642872E-6</v>
      </c>
    </row>
    <row r="246" spans="1:9">
      <c r="A246" s="118">
        <v>43861</v>
      </c>
      <c r="B246" s="194">
        <v>0.60660406444485038</v>
      </c>
      <c r="C246" s="194">
        <v>0.30772792104416624</v>
      </c>
      <c r="D246" s="194">
        <v>2.7247725034592914E-6</v>
      </c>
      <c r="E246" s="194">
        <v>0</v>
      </c>
      <c r="F246" s="194">
        <v>0</v>
      </c>
      <c r="G246" s="194">
        <v>8.5665289738479852E-2</v>
      </c>
      <c r="H246" s="200">
        <v>0.99999727522749648</v>
      </c>
      <c r="I246" s="200">
        <v>2.7247725034592914E-6</v>
      </c>
    </row>
    <row r="247" spans="1:9">
      <c r="A247" s="118">
        <v>43890</v>
      </c>
      <c r="B247" s="194">
        <v>0.61190613403174599</v>
      </c>
      <c r="C247" s="194">
        <v>0.30657359096515907</v>
      </c>
      <c r="D247" s="194">
        <v>2.6241480327730194E-6</v>
      </c>
      <c r="E247" s="194">
        <v>0</v>
      </c>
      <c r="F247" s="194">
        <v>0</v>
      </c>
      <c r="G247" s="194">
        <v>8.1517650855062199E-2</v>
      </c>
      <c r="H247" s="200">
        <v>0.99999737585196724</v>
      </c>
      <c r="I247" s="200">
        <v>2.6241480327730194E-6</v>
      </c>
    </row>
    <row r="248" spans="1:9">
      <c r="A248" s="118">
        <v>43921</v>
      </c>
      <c r="B248" s="194">
        <v>0.60501702107426458</v>
      </c>
      <c r="C248" s="194">
        <v>0.31049587410284984</v>
      </c>
      <c r="D248" s="194">
        <v>5.2219560229725548E-6</v>
      </c>
      <c r="E248" s="194">
        <v>0</v>
      </c>
      <c r="F248" s="194">
        <v>0</v>
      </c>
      <c r="G248" s="194">
        <v>8.4481882866862576E-2</v>
      </c>
      <c r="H248" s="200">
        <v>0.99999477804397707</v>
      </c>
      <c r="I248" s="200">
        <v>5.2219560229725548E-6</v>
      </c>
    </row>
    <row r="249" spans="1:9">
      <c r="A249" s="118">
        <v>43951</v>
      </c>
      <c r="B249" s="194">
        <v>0.61369311748241095</v>
      </c>
      <c r="C249" s="194">
        <v>0.31667917739291529</v>
      </c>
      <c r="D249" s="194">
        <v>2.5182891591275219E-6</v>
      </c>
      <c r="E249" s="194">
        <v>0</v>
      </c>
      <c r="F249" s="194">
        <v>0</v>
      </c>
      <c r="G249" s="194">
        <v>6.9625186835514663E-2</v>
      </c>
      <c r="H249" s="200">
        <v>0.99999748171084091</v>
      </c>
      <c r="I249" s="200">
        <v>2.5182891591275219E-6</v>
      </c>
    </row>
    <row r="250" spans="1:9">
      <c r="A250" s="118">
        <v>43982</v>
      </c>
      <c r="B250" s="194">
        <v>0.61481461040718388</v>
      </c>
      <c r="C250" s="194">
        <v>0.30739249555880538</v>
      </c>
      <c r="D250" s="194">
        <v>2.3789918674084226E-6</v>
      </c>
      <c r="E250" s="194">
        <v>0</v>
      </c>
      <c r="F250" s="194">
        <v>0</v>
      </c>
      <c r="G250" s="194">
        <v>7.7790515042143307E-2</v>
      </c>
      <c r="H250" s="200">
        <v>0.99999762100813261</v>
      </c>
      <c r="I250" s="200">
        <v>2.3789918674084226E-6</v>
      </c>
    </row>
    <row r="251" spans="1:9">
      <c r="A251" s="118">
        <v>44012</v>
      </c>
      <c r="B251" s="194">
        <v>0.62273160413954221</v>
      </c>
      <c r="C251" s="194">
        <v>0.30313690104433788</v>
      </c>
      <c r="D251" s="194">
        <v>2.2786490981342019E-6</v>
      </c>
      <c r="E251" s="194">
        <v>0</v>
      </c>
      <c r="F251" s="194">
        <v>0</v>
      </c>
      <c r="G251" s="194">
        <v>7.4129216167021783E-2</v>
      </c>
      <c r="H251" s="200">
        <v>0.99999772135090192</v>
      </c>
      <c r="I251" s="200">
        <v>2.2786490981342019E-6</v>
      </c>
    </row>
    <row r="252" spans="1:9">
      <c r="A252" s="118">
        <v>44043</v>
      </c>
      <c r="B252" s="194">
        <v>0.63297790483530847</v>
      </c>
      <c r="C252" s="194">
        <v>0.29047911171606389</v>
      </c>
      <c r="D252" s="194">
        <v>2.1043020046021781E-6</v>
      </c>
      <c r="E252" s="194">
        <v>0</v>
      </c>
      <c r="F252" s="194">
        <v>0</v>
      </c>
      <c r="G252" s="194">
        <v>7.6540879146623206E-2</v>
      </c>
      <c r="H252" s="200">
        <v>0.99999789569799558</v>
      </c>
      <c r="I252" s="200">
        <v>2.1043020046021781E-6</v>
      </c>
    </row>
    <row r="253" spans="1:9">
      <c r="A253" s="118">
        <v>44074</v>
      </c>
      <c r="B253" s="194">
        <v>0.63344418911439726</v>
      </c>
      <c r="C253" s="194">
        <v>0.2891844675914616</v>
      </c>
      <c r="D253" s="194">
        <v>2.812220743880832E-6</v>
      </c>
      <c r="E253" s="194">
        <v>0</v>
      </c>
      <c r="F253" s="194">
        <v>0</v>
      </c>
      <c r="G253" s="194">
        <v>7.7368531073397237E-2</v>
      </c>
      <c r="H253" s="200">
        <v>0.99999718777925606</v>
      </c>
      <c r="I253" s="200">
        <v>2.812220743880832E-6</v>
      </c>
    </row>
    <row r="254" spans="1:9">
      <c r="A254" s="118">
        <v>44104</v>
      </c>
      <c r="B254" s="194">
        <v>0.63565633066787841</v>
      </c>
      <c r="C254" s="194">
        <v>0.28694802631121041</v>
      </c>
      <c r="D254" s="194">
        <v>2.3410271978622317E-6</v>
      </c>
      <c r="E254" s="194">
        <v>0</v>
      </c>
      <c r="F254" s="194">
        <v>0</v>
      </c>
      <c r="G254" s="194">
        <v>7.7393301993713387E-2</v>
      </c>
      <c r="H254" s="200">
        <v>0.99999765897280224</v>
      </c>
      <c r="I254" s="200">
        <v>2.3410271978622317E-6</v>
      </c>
    </row>
    <row r="255" spans="1:9">
      <c r="A255" s="118">
        <v>44135</v>
      </c>
      <c r="B255" s="194">
        <v>0.63683887639603065</v>
      </c>
      <c r="C255" s="194">
        <v>0.28586431074695084</v>
      </c>
      <c r="D255" s="194">
        <v>2.3997045774938825E-6</v>
      </c>
      <c r="E255" s="194">
        <v>0</v>
      </c>
      <c r="F255" s="194">
        <v>0</v>
      </c>
      <c r="G255" s="194">
        <v>7.7294413152441177E-2</v>
      </c>
      <c r="H255" s="200">
        <v>0.99999760029542273</v>
      </c>
      <c r="I255" s="200">
        <v>2.3997045774938825E-6</v>
      </c>
    </row>
    <row r="256" spans="1:9">
      <c r="A256" s="118">
        <v>44165</v>
      </c>
      <c r="B256" s="194">
        <v>0.63910512985452961</v>
      </c>
      <c r="C256" s="194">
        <v>0.28501743669534152</v>
      </c>
      <c r="D256" s="194">
        <v>4.714574696713169E-6</v>
      </c>
      <c r="E256" s="194">
        <v>0</v>
      </c>
      <c r="F256" s="194">
        <v>0</v>
      </c>
      <c r="G256" s="194">
        <v>7.5872718875432205E-2</v>
      </c>
      <c r="H256" s="200">
        <v>0.99999528542530336</v>
      </c>
      <c r="I256" s="200">
        <v>4.714574696713169E-6</v>
      </c>
    </row>
    <row r="257" spans="1:9">
      <c r="A257" s="118">
        <v>44196</v>
      </c>
      <c r="B257" s="194">
        <v>0.63944627007991572</v>
      </c>
      <c r="C257" s="194">
        <v>0.28520859158005718</v>
      </c>
      <c r="D257" s="194">
        <v>2.3573362013377025E-6</v>
      </c>
      <c r="E257" s="194">
        <v>0</v>
      </c>
      <c r="F257" s="194">
        <v>0</v>
      </c>
      <c r="G257" s="194">
        <v>7.5342781003825549E-2</v>
      </c>
      <c r="H257" s="200">
        <v>0.99999764266379843</v>
      </c>
      <c r="I257" s="200">
        <v>2.3573362013377025E-6</v>
      </c>
    </row>
    <row r="258" spans="1:9">
      <c r="A258" s="118">
        <v>44227</v>
      </c>
      <c r="B258" s="194">
        <v>0.65141342399057556</v>
      </c>
      <c r="C258" s="194">
        <v>0.29002654155281188</v>
      </c>
      <c r="D258" s="194">
        <v>2.3353862042460847E-6</v>
      </c>
      <c r="E258" s="194">
        <v>0</v>
      </c>
      <c r="F258" s="194">
        <v>0</v>
      </c>
      <c r="G258" s="194">
        <v>5.8557699070408378E-2</v>
      </c>
      <c r="H258" s="200">
        <v>0.9999976646137958</v>
      </c>
      <c r="I258" s="200">
        <v>2.3353862042460847E-6</v>
      </c>
    </row>
    <row r="259" spans="1:9">
      <c r="A259" s="118">
        <v>44255</v>
      </c>
      <c r="B259" s="194">
        <v>0.64840405219940211</v>
      </c>
      <c r="C259" s="194">
        <v>0.28892249321049679</v>
      </c>
      <c r="D259" s="194">
        <v>2.2023876141545925E-6</v>
      </c>
      <c r="E259" s="194">
        <v>0</v>
      </c>
      <c r="F259" s="194">
        <v>0</v>
      </c>
      <c r="G259" s="194">
        <v>6.2671252202486927E-2</v>
      </c>
      <c r="H259" s="200">
        <v>0.99999779761238583</v>
      </c>
      <c r="I259" s="200">
        <v>2.2023876141545925E-6</v>
      </c>
    </row>
    <row r="260" spans="1:9">
      <c r="A260" s="118">
        <v>44286</v>
      </c>
      <c r="B260" s="194">
        <v>0.65001016116532562</v>
      </c>
      <c r="C260" s="194">
        <v>0.2787273642542587</v>
      </c>
      <c r="D260" s="194">
        <v>2.1972552900293424E-6</v>
      </c>
      <c r="E260" s="194">
        <v>0</v>
      </c>
      <c r="F260" s="194">
        <v>0</v>
      </c>
      <c r="G260" s="194">
        <v>7.1260277325125715E-2</v>
      </c>
      <c r="H260" s="200">
        <v>0.99999780274471006</v>
      </c>
      <c r="I260" s="200">
        <v>2.1972552900293424E-6</v>
      </c>
    </row>
    <row r="261" spans="1:9">
      <c r="A261" s="118">
        <v>44316</v>
      </c>
      <c r="B261" s="194">
        <v>0.64965340131563931</v>
      </c>
      <c r="C261" s="194">
        <v>0.27847365610493924</v>
      </c>
      <c r="D261" s="194">
        <v>2.0981946382343875E-6</v>
      </c>
      <c r="E261" s="194">
        <v>0</v>
      </c>
      <c r="F261" s="194">
        <v>0</v>
      </c>
      <c r="G261" s="194">
        <v>7.1870844384783139E-2</v>
      </c>
      <c r="H261" s="200">
        <v>0.99999790180536174</v>
      </c>
      <c r="I261" s="200">
        <v>2.0981946382343875E-6</v>
      </c>
    </row>
    <row r="262" spans="1:9">
      <c r="A262" s="118">
        <v>44347</v>
      </c>
      <c r="B262" s="194">
        <v>0.64933632209492287</v>
      </c>
      <c r="C262" s="194">
        <v>0.27987607821520027</v>
      </c>
      <c r="D262" s="194">
        <v>2.0618614125312763E-6</v>
      </c>
      <c r="E262" s="194">
        <v>0</v>
      </c>
      <c r="F262" s="194">
        <v>0</v>
      </c>
      <c r="G262" s="194">
        <v>7.0785537828464293E-2</v>
      </c>
      <c r="H262" s="200">
        <v>0.99999793813858751</v>
      </c>
      <c r="I262" s="200">
        <v>2.0618614125312763E-6</v>
      </c>
    </row>
    <row r="263" spans="1:9">
      <c r="A263" s="118">
        <v>44377</v>
      </c>
      <c r="B263" s="194">
        <v>0.64774791396733211</v>
      </c>
      <c r="C263" s="194">
        <v>0.28373419471132844</v>
      </c>
      <c r="D263" s="194">
        <v>2.0451497220626782E-6</v>
      </c>
      <c r="E263" s="194">
        <v>0</v>
      </c>
      <c r="F263" s="194">
        <v>0</v>
      </c>
      <c r="G263" s="194">
        <v>6.8515846171617392E-2</v>
      </c>
      <c r="H263" s="200">
        <v>0.99999795485027798</v>
      </c>
      <c r="I263" s="200">
        <v>2.0451497220626782E-6</v>
      </c>
    </row>
    <row r="264" spans="1:9">
      <c r="A264" s="118">
        <v>44408</v>
      </c>
      <c r="B264" s="194">
        <v>0.64656073394430369</v>
      </c>
      <c r="C264" s="194">
        <v>0.28313645536104787</v>
      </c>
      <c r="D264" s="194">
        <v>2.00375328695717E-6</v>
      </c>
      <c r="E264" s="194">
        <v>0</v>
      </c>
      <c r="F264" s="194">
        <v>0</v>
      </c>
      <c r="G264" s="194">
        <v>7.0300806941361579E-2</v>
      </c>
      <c r="H264" s="200">
        <v>0.99999799624671304</v>
      </c>
      <c r="I264" s="200">
        <v>2.00375328695717E-6</v>
      </c>
    </row>
    <row r="265" spans="1:9">
      <c r="A265" s="118">
        <v>44439</v>
      </c>
      <c r="B265" s="194">
        <v>0.65608545987034916</v>
      </c>
      <c r="C265" s="194">
        <v>0.28727039914644414</v>
      </c>
      <c r="D265" s="194">
        <v>2.0332713196487806E-6</v>
      </c>
      <c r="E265" s="194">
        <v>0</v>
      </c>
      <c r="F265" s="194">
        <v>0</v>
      </c>
      <c r="G265" s="194">
        <v>5.6642107711886956E-2</v>
      </c>
      <c r="H265" s="200">
        <v>0.99999799624671304</v>
      </c>
      <c r="I265" s="200">
        <v>2.00375328695717E-6</v>
      </c>
    </row>
    <row r="266" spans="1:9">
      <c r="A266" s="118">
        <v>44469</v>
      </c>
      <c r="B266" s="194">
        <v>0.6550717317946021</v>
      </c>
      <c r="C266" s="194">
        <v>0.29101965954840059</v>
      </c>
      <c r="D266" s="194">
        <v>1.9540466022258873E-6</v>
      </c>
      <c r="E266" s="194">
        <v>0</v>
      </c>
      <c r="F266" s="194">
        <v>0</v>
      </c>
      <c r="G266" s="194">
        <v>5.3906654610395052E-2</v>
      </c>
      <c r="H266" s="200">
        <v>0.9999980459533977</v>
      </c>
      <c r="I266" s="200">
        <v>1.9540466022258873E-6</v>
      </c>
    </row>
    <row r="267" spans="1:9">
      <c r="A267" s="118">
        <v>44500</v>
      </c>
      <c r="B267" s="194">
        <v>0.64918795034687304</v>
      </c>
      <c r="C267" s="194">
        <v>0.29152872088182646</v>
      </c>
      <c r="D267" s="194">
        <v>1.9532909552506763E-6</v>
      </c>
      <c r="E267" s="194">
        <v>0</v>
      </c>
      <c r="F267" s="194">
        <v>0</v>
      </c>
      <c r="G267" s="194">
        <v>5.9281375480345309E-2</v>
      </c>
      <c r="H267" s="200">
        <v>0.9999980467090448</v>
      </c>
      <c r="I267" s="200">
        <v>1.9532909552033573E-6</v>
      </c>
    </row>
    <row r="268" spans="1:9">
      <c r="A268" s="118">
        <v>44530</v>
      </c>
      <c r="B268" s="194">
        <v>0.64401314698359491</v>
      </c>
      <c r="C268" s="194">
        <v>0.29874956015469012</v>
      </c>
      <c r="D268" s="194">
        <v>1.9057723205280168E-6</v>
      </c>
      <c r="E268" s="194">
        <v>0</v>
      </c>
      <c r="F268" s="194">
        <v>0</v>
      </c>
      <c r="G268" s="194">
        <v>5.7235387089394525E-2</v>
      </c>
      <c r="H268" s="200">
        <v>0.9999980942276796</v>
      </c>
      <c r="I268" s="200">
        <v>1.9057723205280168E-6</v>
      </c>
    </row>
    <row r="269" spans="1:9">
      <c r="A269" s="118">
        <v>44561</v>
      </c>
      <c r="B269" s="194">
        <v>0.64053598110646648</v>
      </c>
      <c r="C269" s="194">
        <v>0.30322090707344568</v>
      </c>
      <c r="D269" s="194">
        <v>1.9051312904827694E-6</v>
      </c>
      <c r="E269" s="194">
        <v>0</v>
      </c>
      <c r="F269" s="194">
        <v>0</v>
      </c>
      <c r="G269" s="194">
        <v>5.6241206688797521E-2</v>
      </c>
      <c r="H269" s="200">
        <v>0.99999809486870961</v>
      </c>
      <c r="I269" s="200">
        <v>1.9051312904827694E-6</v>
      </c>
    </row>
    <row r="270" spans="1:9">
      <c r="A270" s="118">
        <v>44592</v>
      </c>
      <c r="B270" s="194">
        <v>0.63625947590251009</v>
      </c>
      <c r="C270" s="194">
        <v>0.29968591151565382</v>
      </c>
      <c r="D270" s="194">
        <v>1.8530995155167809E-6</v>
      </c>
      <c r="E270" s="194">
        <v>0</v>
      </c>
      <c r="F270" s="194">
        <v>0</v>
      </c>
      <c r="G270" s="194">
        <v>6.4052759482320601E-2</v>
      </c>
      <c r="H270" s="200">
        <v>0.9999981469004845</v>
      </c>
      <c r="I270" s="200">
        <v>1.8530995155272411E-6</v>
      </c>
    </row>
    <row r="271" spans="1:9">
      <c r="A271" s="118">
        <v>44620</v>
      </c>
      <c r="B271" s="194">
        <v>0.63539652277878078</v>
      </c>
      <c r="C271" s="194">
        <v>0.30174153875276344</v>
      </c>
      <c r="D271" s="194">
        <v>1.8105917130115982E-6</v>
      </c>
      <c r="E271" s="194">
        <v>0</v>
      </c>
      <c r="F271" s="194">
        <v>0</v>
      </c>
      <c r="G271" s="194">
        <v>6.2860127876742791E-2</v>
      </c>
      <c r="H271" s="200">
        <v>0.999998189408287</v>
      </c>
      <c r="I271" s="200">
        <v>1.8105917129474452E-6</v>
      </c>
    </row>
    <row r="272" spans="1:9">
      <c r="A272" s="118">
        <v>44651</v>
      </c>
      <c r="B272" s="194">
        <v>0.63030863357524958</v>
      </c>
      <c r="C272" s="194">
        <v>0.3063241439296186</v>
      </c>
      <c r="D272" s="194">
        <v>1.7912753138823386E-6</v>
      </c>
      <c r="E272" s="194">
        <v>0</v>
      </c>
      <c r="F272" s="194">
        <v>0</v>
      </c>
      <c r="G272" s="194">
        <v>6.3365431219817928E-2</v>
      </c>
      <c r="H272" s="200">
        <v>0.99999820872468614</v>
      </c>
      <c r="I272" s="200">
        <v>1.7912753138819769E-6</v>
      </c>
    </row>
    <row r="273" spans="1:9">
      <c r="A273" s="118">
        <v>44681</v>
      </c>
      <c r="B273" s="194">
        <v>0.63011783431945534</v>
      </c>
      <c r="C273" s="194">
        <v>0.30552989328433</v>
      </c>
      <c r="D273" s="194">
        <v>1.7306091844833804E-6</v>
      </c>
      <c r="E273" s="194">
        <v>0</v>
      </c>
      <c r="F273" s="194">
        <v>0</v>
      </c>
      <c r="G273" s="194">
        <v>6.4350547148170331E-2</v>
      </c>
      <c r="H273" s="200">
        <v>0.99999826939081538</v>
      </c>
      <c r="I273" s="200">
        <v>1.7306091844833804E-6</v>
      </c>
    </row>
    <row r="274" spans="1:9">
      <c r="A274" s="118">
        <v>44712</v>
      </c>
      <c r="B274" s="194">
        <v>0.61373335591974643</v>
      </c>
      <c r="C274" s="194">
        <v>0.30266182867443048</v>
      </c>
      <c r="D274" s="194">
        <v>1.6809074102065632E-6</v>
      </c>
      <c r="E274" s="194">
        <v>0</v>
      </c>
      <c r="F274" s="194">
        <v>0</v>
      </c>
      <c r="G274" s="194">
        <v>8.3603134498412876E-2</v>
      </c>
      <c r="H274" s="200">
        <v>0.99999831909258974</v>
      </c>
      <c r="I274" s="200">
        <v>1.6809074102065632E-6</v>
      </c>
    </row>
    <row r="275" spans="1:9">
      <c r="A275" s="118">
        <v>44742</v>
      </c>
      <c r="B275" s="194">
        <v>0.6257404781016398</v>
      </c>
      <c r="C275" s="194">
        <v>0.30979075105630666</v>
      </c>
      <c r="D275" s="194">
        <v>1.6956153375793718E-6</v>
      </c>
      <c r="E275" s="194">
        <v>0</v>
      </c>
      <c r="F275" s="194">
        <v>0</v>
      </c>
      <c r="G275" s="194">
        <v>6.4467075226715978E-2</v>
      </c>
      <c r="H275" s="200">
        <v>0.99999830438466264</v>
      </c>
      <c r="I275" s="200">
        <v>1.695615337399373E-6</v>
      </c>
    </row>
    <row r="276" spans="1:9">
      <c r="A276" s="118">
        <v>44773</v>
      </c>
      <c r="B276" s="194">
        <v>0.62383353372328443</v>
      </c>
      <c r="C276" s="194">
        <v>0.30831079442713705</v>
      </c>
      <c r="D276" s="194">
        <v>1.6508142642866618E-6</v>
      </c>
      <c r="E276" s="194">
        <v>0</v>
      </c>
      <c r="F276" s="194">
        <v>0</v>
      </c>
      <c r="G276" s="194">
        <v>6.7854021035314072E-2</v>
      </c>
      <c r="H276" s="200">
        <v>0.99999834918573571</v>
      </c>
      <c r="I276" s="200">
        <v>1.6508142643104562E-6</v>
      </c>
    </row>
    <row r="277" spans="1:9">
      <c r="A277" s="118">
        <v>44804</v>
      </c>
      <c r="B277" s="194">
        <v>0.62589565061881769</v>
      </c>
      <c r="C277" s="194">
        <v>0.30856905988188882</v>
      </c>
      <c r="D277" s="194">
        <v>1.6024662658647567E-6</v>
      </c>
      <c r="E277" s="194">
        <v>0</v>
      </c>
      <c r="F277" s="194">
        <v>0</v>
      </c>
      <c r="G277" s="194">
        <v>6.5533687033027727E-2</v>
      </c>
      <c r="H277" s="200">
        <v>0.99999839753373421</v>
      </c>
      <c r="I277" s="200">
        <v>1.6024662658218403E-6</v>
      </c>
    </row>
    <row r="278" spans="1:9">
      <c r="A278" s="118">
        <v>44834</v>
      </c>
      <c r="B278" s="194">
        <v>0.62256424897363283</v>
      </c>
      <c r="C278" s="194">
        <v>0.31020080645376868</v>
      </c>
      <c r="D278" s="194">
        <v>1.579313482703067E-6</v>
      </c>
      <c r="E278" s="194">
        <v>0</v>
      </c>
      <c r="F278" s="194">
        <v>0</v>
      </c>
      <c r="G278" s="194">
        <v>6.7233365259115954E-2</v>
      </c>
      <c r="H278" s="200">
        <v>0.99999842068651723</v>
      </c>
      <c r="I278" s="200">
        <v>1.5793134827827493E-6</v>
      </c>
    </row>
    <row r="279" spans="1:9">
      <c r="A279" s="118">
        <v>44865</v>
      </c>
      <c r="B279" s="194">
        <v>0.61866786215679137</v>
      </c>
      <c r="C279" s="194">
        <v>0.31010792707474039</v>
      </c>
      <c r="D279" s="194">
        <v>1.5563567465735794E-6</v>
      </c>
      <c r="E279" s="194">
        <v>0</v>
      </c>
      <c r="F279" s="194">
        <v>0</v>
      </c>
      <c r="G279" s="194">
        <v>7.1222654411721639E-2</v>
      </c>
      <c r="H279" s="200">
        <v>0.99999844364325352</v>
      </c>
      <c r="I279" s="200">
        <v>1.556356746531898E-6</v>
      </c>
    </row>
    <row r="280" spans="1:9">
      <c r="A280" s="118">
        <v>44895</v>
      </c>
      <c r="B280" s="194">
        <v>0.61726214649513045</v>
      </c>
      <c r="C280" s="194">
        <v>0.31177029196207162</v>
      </c>
      <c r="D280" s="194">
        <v>1.5507147361562845E-6</v>
      </c>
      <c r="E280" s="194">
        <v>0</v>
      </c>
      <c r="F280" s="194">
        <v>0</v>
      </c>
      <c r="G280" s="194">
        <v>7.0966010828061907E-2</v>
      </c>
      <c r="H280" s="200">
        <v>0.99999844928526371</v>
      </c>
      <c r="I280" s="200">
        <v>1.5507147362345236E-6</v>
      </c>
    </row>
    <row r="281" spans="1:9">
      <c r="A281" s="118">
        <v>44926</v>
      </c>
      <c r="B281" s="194">
        <v>0.60115562447449533</v>
      </c>
      <c r="C281" s="194">
        <v>0.30635811431943294</v>
      </c>
      <c r="D281" s="194">
        <v>1.5133703154690136E-6</v>
      </c>
      <c r="E281" s="194">
        <v>0</v>
      </c>
      <c r="F281" s="194">
        <v>0</v>
      </c>
      <c r="G281" s="194">
        <v>9.2484747835756276E-2</v>
      </c>
      <c r="H281" s="200">
        <v>0.9999984866296846</v>
      </c>
      <c r="I281" s="200">
        <v>1.5133703153511906E-6</v>
      </c>
    </row>
    <row r="282" spans="1:9">
      <c r="A282" s="118">
        <v>44957</v>
      </c>
      <c r="B282" s="194">
        <v>0.60225367490957138</v>
      </c>
      <c r="C282" s="194">
        <v>0.3085945834693779</v>
      </c>
      <c r="D282" s="194">
        <v>1.4680034353000756E-6</v>
      </c>
      <c r="E282" s="194">
        <v>0</v>
      </c>
      <c r="F282" s="194">
        <v>0</v>
      </c>
      <c r="G282" s="194">
        <v>8.9150273617615405E-2</v>
      </c>
      <c r="H282" s="200">
        <v>0.99999853199656474</v>
      </c>
      <c r="I282" s="200">
        <v>1.4680034352190383E-6</v>
      </c>
    </row>
    <row r="283" spans="1:9">
      <c r="A283" s="118">
        <v>44985</v>
      </c>
      <c r="B283" s="194">
        <v>0.61740746798815571</v>
      </c>
      <c r="C283" s="194">
        <v>0.29168590991591797</v>
      </c>
      <c r="D283" s="194">
        <v>1.4806678318086555E-6</v>
      </c>
      <c r="E283" s="194">
        <v>0</v>
      </c>
      <c r="F283" s="194">
        <v>0</v>
      </c>
      <c r="G283" s="194">
        <v>9.0905141428094527E-2</v>
      </c>
      <c r="H283" s="200">
        <v>0.9999985193321681</v>
      </c>
      <c r="I283" s="200">
        <v>1.4806678318438938E-6</v>
      </c>
    </row>
    <row r="284" spans="1:9">
      <c r="A284" s="118">
        <v>45016</v>
      </c>
      <c r="B284" s="194">
        <v>0.60823254920493741</v>
      </c>
      <c r="C284" s="194">
        <v>0.29390817690427995</v>
      </c>
      <c r="D284" s="194">
        <v>1.4457379302714206E-6</v>
      </c>
      <c r="E284" s="194">
        <v>0</v>
      </c>
      <c r="F284" s="194">
        <v>0</v>
      </c>
      <c r="G284" s="194">
        <v>9.7857828152852308E-2</v>
      </c>
      <c r="H284" s="200">
        <v>0.99999855426206974</v>
      </c>
      <c r="I284" s="200">
        <v>1.4457379303058277E-6</v>
      </c>
    </row>
    <row r="285" spans="1:9">
      <c r="A285" s="118">
        <v>45046</v>
      </c>
      <c r="B285" s="194">
        <v>0.60408006529343339</v>
      </c>
      <c r="C285" s="194">
        <v>0.29329992084963685</v>
      </c>
      <c r="D285" s="194">
        <v>1.418248125532043E-6</v>
      </c>
      <c r="E285" s="194">
        <v>0</v>
      </c>
      <c r="F285" s="194">
        <v>0</v>
      </c>
      <c r="G285" s="194">
        <v>0.10261859560880415</v>
      </c>
      <c r="H285" s="200">
        <v>0.99999858175187439</v>
      </c>
      <c r="I285" s="200">
        <v>1.418248125565796E-6</v>
      </c>
    </row>
    <row r="286" spans="1:9">
      <c r="A286" s="118">
        <v>45077</v>
      </c>
      <c r="B286" s="194">
        <v>0.60481238781059221</v>
      </c>
      <c r="C286" s="194">
        <v>0.29481003889228785</v>
      </c>
      <c r="D286" s="194">
        <v>1.3996820963156277E-6</v>
      </c>
      <c r="E286" s="194">
        <v>0</v>
      </c>
      <c r="F286" s="194">
        <v>0</v>
      </c>
      <c r="G286" s="194">
        <v>0.10037617361502355</v>
      </c>
      <c r="H286" s="200">
        <v>0.99999860031790355</v>
      </c>
      <c r="I286" s="200">
        <v>1.399682096456005E-6</v>
      </c>
    </row>
    <row r="287" spans="1:9">
      <c r="A287" s="118">
        <v>45107</v>
      </c>
      <c r="B287" s="194">
        <v>0.6045369717339103</v>
      </c>
      <c r="C287" s="194">
        <v>0.2980265550932647</v>
      </c>
      <c r="D287" s="194">
        <v>1.3937941622276173E-6</v>
      </c>
      <c r="E287" s="194">
        <v>0</v>
      </c>
      <c r="F287" s="194">
        <v>0</v>
      </c>
      <c r="G287" s="194">
        <v>9.7435079378662789E-2</v>
      </c>
      <c r="H287" s="200">
        <v>0.99999860620583758</v>
      </c>
      <c r="I287" s="200">
        <v>1.3937941623674038E-6</v>
      </c>
    </row>
    <row r="288" spans="1:9">
      <c r="A288" s="118">
        <v>45138</v>
      </c>
      <c r="B288" s="194">
        <v>0.60530244258012456</v>
      </c>
      <c r="C288" s="194">
        <v>0.29860992393330632</v>
      </c>
      <c r="D288" s="194">
        <v>1.381542903999773E-6</v>
      </c>
      <c r="E288" s="194">
        <v>0</v>
      </c>
      <c r="F288" s="194">
        <v>0</v>
      </c>
      <c r="G288" s="194">
        <v>9.6086251943665033E-2</v>
      </c>
      <c r="H288" s="200">
        <v>0.99999861845709581</v>
      </c>
      <c r="I288" s="200">
        <v>1.3815429041383311E-6</v>
      </c>
    </row>
    <row r="289" spans="1:9">
      <c r="A289" s="118">
        <v>45169</v>
      </c>
      <c r="B289" s="194">
        <v>0.60366539461377611</v>
      </c>
      <c r="C289" s="194">
        <v>0.29955802102681722</v>
      </c>
      <c r="D289" s="194">
        <v>1.3655864570770285E-6</v>
      </c>
      <c r="E289" s="194">
        <v>0</v>
      </c>
      <c r="F289" s="194">
        <v>0</v>
      </c>
      <c r="G289" s="194">
        <v>9.6775218772949714E-2</v>
      </c>
      <c r="H289" s="200">
        <v>0.99999863441354297</v>
      </c>
      <c r="I289" s="200">
        <v>1.3655864569981772E-6</v>
      </c>
    </row>
    <row r="290" spans="1:9">
      <c r="A290" s="118">
        <v>45199</v>
      </c>
      <c r="B290" s="194">
        <v>0.6081899275657543</v>
      </c>
      <c r="C290" s="194">
        <v>0.30419619957022687</v>
      </c>
      <c r="D290" s="194">
        <v>1.3842828811645002E-6</v>
      </c>
      <c r="E290" s="194">
        <v>0</v>
      </c>
      <c r="F290" s="194">
        <v>0</v>
      </c>
      <c r="G290" s="194">
        <v>8.7612488581137668E-2</v>
      </c>
      <c r="H290" s="200">
        <v>0.99999861571711901</v>
      </c>
      <c r="I290" s="200">
        <v>1.3842828810332241E-6</v>
      </c>
    </row>
    <row r="291" spans="1:9">
      <c r="A291" s="118">
        <v>45230</v>
      </c>
      <c r="B291" s="194">
        <v>0.59752638854035911</v>
      </c>
      <c r="C291" s="194">
        <v>0.3001740003893541</v>
      </c>
      <c r="D291" s="194">
        <v>1.3519793089235232E-6</v>
      </c>
      <c r="E291" s="194">
        <v>0</v>
      </c>
      <c r="F291" s="194">
        <v>0</v>
      </c>
      <c r="G291" s="194">
        <v>0.10229825909097795</v>
      </c>
      <c r="H291" s="200">
        <v>0.99999864802069094</v>
      </c>
      <c r="I291" s="200">
        <v>1.3519793090071008E-6</v>
      </c>
    </row>
    <row r="292" spans="1:9">
      <c r="A292" s="118">
        <v>45260</v>
      </c>
      <c r="B292" s="194">
        <v>0.59720726865201745</v>
      </c>
      <c r="C292" s="194">
        <v>0.30024149434151581</v>
      </c>
      <c r="D292" s="194">
        <v>1.3441446480166158E-6</v>
      </c>
      <c r="E292" s="194">
        <v>0</v>
      </c>
      <c r="F292" s="194">
        <v>0</v>
      </c>
      <c r="G292" s="194">
        <v>0.10254989286181872</v>
      </c>
      <c r="H292" s="200">
        <v>0.99999865585535186</v>
      </c>
      <c r="I292" s="200">
        <v>1.3441446480997091E-6</v>
      </c>
    </row>
    <row r="293" spans="1:9">
      <c r="A293" s="118">
        <v>45291</v>
      </c>
      <c r="B293" s="194">
        <v>0.60218666843512292</v>
      </c>
      <c r="C293" s="194">
        <v>0.30555278640197953</v>
      </c>
      <c r="D293" s="194">
        <v>1.3119595902493337E-6</v>
      </c>
      <c r="E293" s="194">
        <v>0</v>
      </c>
      <c r="F293" s="194">
        <v>0</v>
      </c>
      <c r="G293" s="194">
        <v>9.225923320330745E-2</v>
      </c>
      <c r="H293" s="200">
        <v>0.99999868804040981</v>
      </c>
      <c r="I293" s="200">
        <v>1.3119595902140444E-6</v>
      </c>
    </row>
    <row r="294" spans="1:9">
      <c r="A294" s="118">
        <v>45322</v>
      </c>
      <c r="B294" s="194">
        <v>0.60378109805572355</v>
      </c>
      <c r="C294" s="194">
        <v>0.30861070098560284</v>
      </c>
      <c r="D294" s="194">
        <v>1.3077074586063495E-6</v>
      </c>
      <c r="E294" s="194">
        <v>0</v>
      </c>
      <c r="F294" s="194">
        <v>0</v>
      </c>
      <c r="G294" s="194">
        <v>8.7606893251215109E-2</v>
      </c>
      <c r="H294" s="200">
        <v>0.99999869909004513</v>
      </c>
      <c r="I294" s="200">
        <v>1.3009099549216724E-6</v>
      </c>
    </row>
    <row r="295" spans="1:9">
      <c r="A295" s="118">
        <v>45350</v>
      </c>
      <c r="B295" s="194">
        <v>0.55136311521159709</v>
      </c>
      <c r="C295" s="194">
        <v>0.27976463944307567</v>
      </c>
      <c r="D295" s="194">
        <v>1.2012323829608917E-6</v>
      </c>
      <c r="E295" s="194">
        <v>0</v>
      </c>
      <c r="F295" s="194">
        <v>0</v>
      </c>
      <c r="G295" s="194">
        <v>0.16887104411294432</v>
      </c>
      <c r="H295" s="200">
        <v>0.99999873110716497</v>
      </c>
      <c r="I295" s="200">
        <v>1.2688928350034616E-6</v>
      </c>
    </row>
    <row r="296" spans="1:9">
      <c r="A296" s="118">
        <v>45382</v>
      </c>
      <c r="B296" s="194">
        <v>0.59731709387727405</v>
      </c>
      <c r="C296" s="194">
        <v>0.30868042287460556</v>
      </c>
      <c r="D296" s="194">
        <v>1.2620300005762345E-6</v>
      </c>
      <c r="E296" s="194">
        <v>0</v>
      </c>
      <c r="F296" s="194">
        <v>0</v>
      </c>
      <c r="G296" s="194">
        <v>9.4001221218119865E-2</v>
      </c>
      <c r="H296" s="200">
        <v>0.9999987379699995</v>
      </c>
      <c r="I296" s="200">
        <v>1.2620300005422882E-6</v>
      </c>
    </row>
    <row r="297" spans="1:9">
      <c r="A297" s="118">
        <v>45412</v>
      </c>
      <c r="B297" s="194">
        <v>0.59337785590210557</v>
      </c>
      <c r="C297" s="194">
        <v>0.30712665512304616</v>
      </c>
      <c r="D297" s="194">
        <v>1.2797646060598625E-6</v>
      </c>
      <c r="E297" s="194">
        <v>0</v>
      </c>
      <c r="F297" s="194">
        <v>0</v>
      </c>
      <c r="G297" s="194">
        <v>9.9494209210242185E-2</v>
      </c>
      <c r="H297" s="200">
        <v>0.99999872023539382</v>
      </c>
      <c r="I297" s="200">
        <v>1.2797646061389758E-6</v>
      </c>
    </row>
    <row r="298" spans="1:9">
      <c r="A298" s="118">
        <v>45443</v>
      </c>
      <c r="B298" s="194">
        <v>0.59519532067485115</v>
      </c>
      <c r="C298" s="194">
        <v>0.30759482227813245</v>
      </c>
      <c r="D298" s="194">
        <v>1.260037580585211E-6</v>
      </c>
      <c r="E298" s="194">
        <v>0</v>
      </c>
      <c r="F298" s="194">
        <v>0</v>
      </c>
      <c r="G298" s="194">
        <v>9.7208597009435807E-2</v>
      </c>
      <c r="H298" s="200">
        <v>0.99999873996241939</v>
      </c>
      <c r="I298" s="200">
        <v>1.260037580663105E-6</v>
      </c>
    </row>
    <row r="299" spans="1:9">
      <c r="A299" s="118">
        <v>45473</v>
      </c>
      <c r="B299" s="194">
        <v>0.59979573775706485</v>
      </c>
      <c r="C299" s="194">
        <v>0.30517067186956243</v>
      </c>
      <c r="D299" s="194">
        <v>1.231828730401244E-6</v>
      </c>
      <c r="E299" s="194">
        <v>0</v>
      </c>
      <c r="F299" s="194">
        <v>0</v>
      </c>
      <c r="G299" s="194">
        <v>9.5032358544642273E-2</v>
      </c>
      <c r="H299" s="200">
        <v>0.99999876817126976</v>
      </c>
      <c r="I299" s="200">
        <v>1.2318287302844259E-6</v>
      </c>
    </row>
    <row r="300" spans="1:9">
      <c r="A300" s="118">
        <v>45504</v>
      </c>
      <c r="B300" s="194">
        <v>0.59632606542931421</v>
      </c>
      <c r="C300" s="194">
        <v>0.30874116043797789</v>
      </c>
      <c r="D300" s="194">
        <v>1.2262724772398893E-6</v>
      </c>
      <c r="E300" s="194">
        <v>0</v>
      </c>
      <c r="F300" s="194">
        <v>0</v>
      </c>
      <c r="G300" s="194">
        <v>9.4931547860230531E-2</v>
      </c>
      <c r="H300" s="200">
        <v>0.99999877372752277</v>
      </c>
      <c r="I300" s="200">
        <v>1.2262724772820319E-6</v>
      </c>
    </row>
    <row r="301" spans="1:9">
      <c r="A301" s="118">
        <v>45535</v>
      </c>
      <c r="B301" s="194">
        <v>0.59632606542931421</v>
      </c>
      <c r="C301" s="194">
        <v>0.30874116043797789</v>
      </c>
      <c r="D301" s="194">
        <v>1.2262724772398893E-6</v>
      </c>
      <c r="E301" s="194">
        <v>0</v>
      </c>
      <c r="F301" s="194">
        <v>0</v>
      </c>
      <c r="G301" s="194">
        <v>9.4931547860230531E-2</v>
      </c>
      <c r="H301" s="200">
        <v>0.9999987916822719</v>
      </c>
      <c r="I301" s="200">
        <v>1.2083177281089823E-6</v>
      </c>
    </row>
    <row r="302" spans="1:9">
      <c r="A302" s="118">
        <v>45565</v>
      </c>
      <c r="B302" s="194">
        <v>0.60853437965286661</v>
      </c>
      <c r="C302" s="194">
        <v>0.29927148374827645</v>
      </c>
      <c r="D302" s="194">
        <v>1.1862536857675798E-6</v>
      </c>
      <c r="E302" s="194">
        <v>0</v>
      </c>
      <c r="F302" s="194">
        <v>0</v>
      </c>
      <c r="G302" s="194">
        <v>9.2192950345171235E-2</v>
      </c>
      <c r="H302" s="200">
        <v>0.99999881374631416</v>
      </c>
      <c r="I302" s="200">
        <v>1.1862536858878601E-6</v>
      </c>
    </row>
    <row r="303" spans="1:9">
      <c r="A303" s="118">
        <v>45596</v>
      </c>
      <c r="B303" s="194">
        <v>0.6100733172659778</v>
      </c>
      <c r="C303" s="194">
        <v>0.29829913832907906</v>
      </c>
      <c r="D303" s="194">
        <v>1.1791642674014741E-6</v>
      </c>
      <c r="E303" s="194">
        <v>0</v>
      </c>
      <c r="F303" s="194">
        <v>0</v>
      </c>
      <c r="G303" s="194">
        <v>9.1626365240675897E-2</v>
      </c>
      <c r="H303" s="200">
        <v>0.99999882083573244</v>
      </c>
      <c r="I303" s="200">
        <v>1.1791642675210355E-6</v>
      </c>
    </row>
    <row r="304" spans="1:9">
      <c r="A304" s="118">
        <v>45626</v>
      </c>
      <c r="B304" s="194">
        <v>0.61675408211265437</v>
      </c>
      <c r="C304" s="194">
        <v>0.29026748261912116</v>
      </c>
      <c r="D304" s="194">
        <v>1.1625791540301932E-6</v>
      </c>
      <c r="E304" s="194">
        <v>0</v>
      </c>
      <c r="F304" s="194">
        <v>0</v>
      </c>
      <c r="G304" s="194">
        <v>9.2977272689070481E-2</v>
      </c>
      <c r="H304" s="200">
        <v>0.99999883742084583</v>
      </c>
      <c r="I304" s="200">
        <v>1.1625791541480729E-6</v>
      </c>
    </row>
    <row r="305" spans="1:9">
      <c r="A305" s="118">
        <v>45657</v>
      </c>
      <c r="B305" s="194">
        <v>0.6084834633484949</v>
      </c>
      <c r="C305" s="194">
        <v>0.28592201938920703</v>
      </c>
      <c r="D305" s="194">
        <v>1.0992078403248859E-6</v>
      </c>
      <c r="E305" s="194">
        <v>0</v>
      </c>
      <c r="F305" s="194">
        <v>0</v>
      </c>
      <c r="G305" s="194">
        <v>0.10559341805445771</v>
      </c>
      <c r="H305" s="200">
        <v>0.9999989007921597</v>
      </c>
      <c r="I305" s="200">
        <v>1.0992078403397687E-6</v>
      </c>
    </row>
  </sheetData>
  <phoneticPr fontId="15" type="noConversion"/>
  <pageMargins left="0.23622047244094491" right="0.23622047244094491" top="0.74803149606299213" bottom="0.74803149606299213" header="0.31496062992125984" footer="0.31496062992125984"/>
  <pageSetup fitToHeight="99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Drop Down 1">
              <controlPr defaultSize="0" print="0" autoLine="0" autoPict="0">
                <anchor>
                  <from>
                    <xdr:col>0</xdr:col>
                    <xdr:colOff>685800</xdr:colOff>
                    <xdr:row>1</xdr:row>
                    <xdr:rowOff>57150</xdr:rowOff>
                  </from>
                  <to>
                    <xdr:col>2</xdr:col>
                    <xdr:colOff>57150</xdr:colOff>
                    <xdr:row>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646DA-303D-4FC2-816A-F2DC73C4AEFE}">
  <sheetPr codeName="Hoja6">
    <tabColor theme="0" tint="-0.249977111117893"/>
    <pageSetUpPr fitToPage="1"/>
  </sheetPr>
  <dimension ref="A1:IU274"/>
  <sheetViews>
    <sheetView showGridLines="0" zoomScale="86" zoomScaleNormal="100" workbookViewId="0">
      <pane ySplit="22" topLeftCell="A274" activePane="bottomLeft" state="frozen"/>
      <selection activeCell="Z846" sqref="Z846"/>
      <selection pane="bottomLeft" activeCell="B274" sqref="B274"/>
    </sheetView>
  </sheetViews>
  <sheetFormatPr baseColWidth="10" defaultColWidth="0" defaultRowHeight="12.75"/>
  <cols>
    <col min="1" max="1" width="14.7109375" style="91" customWidth="1"/>
    <col min="2" max="3" width="34.42578125" style="91" customWidth="1"/>
    <col min="4" max="4" width="53.42578125" style="80" customWidth="1"/>
    <col min="5" max="255" width="0" style="80" hidden="1" customWidth="1"/>
    <col min="256" max="16384" width="15.7109375" style="80" hidden="1"/>
  </cols>
  <sheetData>
    <row r="1" spans="1:1" s="110" customFormat="1" ht="12.75" customHeight="1">
      <c r="A1" s="116"/>
    </row>
    <row r="2" spans="1:1" s="110" customFormat="1" ht="12.75" customHeight="1">
      <c r="A2" s="125"/>
    </row>
    <row r="3" spans="1:1" s="110" customFormat="1" ht="12.75" customHeight="1">
      <c r="A3" s="125"/>
    </row>
    <row r="4" spans="1:1" s="110" customFormat="1" ht="12.75" customHeight="1">
      <c r="A4" s="125"/>
    </row>
    <row r="5" spans="1:1" s="110" customFormat="1" ht="12.75" customHeight="1">
      <c r="A5" s="126"/>
    </row>
    <row r="6" spans="1:1" s="80" customFormat="1" ht="12.75" customHeight="1">
      <c r="A6" s="127"/>
    </row>
    <row r="7" spans="1:1" s="80" customFormat="1" ht="12.75" customHeight="1">
      <c r="A7" s="127"/>
    </row>
    <row r="8" spans="1:1" s="80" customFormat="1" ht="12.75" customHeight="1">
      <c r="A8" s="127"/>
    </row>
    <row r="9" spans="1:1" s="80" customFormat="1" ht="12.75" customHeight="1">
      <c r="A9" s="127"/>
    </row>
    <row r="10" spans="1:1" s="80" customFormat="1" ht="12.75" customHeight="1">
      <c r="A10" s="127"/>
    </row>
    <row r="11" spans="1:1" s="80" customFormat="1" ht="12.75" customHeight="1">
      <c r="A11" s="127"/>
    </row>
    <row r="12" spans="1:1" s="80" customFormat="1" ht="12.75" customHeight="1">
      <c r="A12" s="127"/>
    </row>
    <row r="13" spans="1:1" s="80" customFormat="1" ht="12.75" customHeight="1">
      <c r="A13" s="127"/>
    </row>
    <row r="14" spans="1:1" s="80" customFormat="1" ht="12.75" customHeight="1">
      <c r="A14" s="127"/>
    </row>
    <row r="15" spans="1:1" s="80" customFormat="1" ht="12.75" customHeight="1">
      <c r="A15" s="127"/>
    </row>
    <row r="16" spans="1:1" s="80" customFormat="1" ht="12.75" customHeight="1">
      <c r="A16" s="127"/>
    </row>
    <row r="17" spans="1:9" ht="12.75" customHeight="1">
      <c r="A17" s="127"/>
      <c r="B17" s="80"/>
      <c r="C17" s="80"/>
    </row>
    <row r="18" spans="1:9" ht="12.75" customHeight="1">
      <c r="A18" s="127"/>
      <c r="B18" s="80"/>
      <c r="C18" s="80"/>
    </row>
    <row r="19" spans="1:9" ht="12.75" customHeight="1">
      <c r="A19" s="127"/>
      <c r="B19" s="80"/>
      <c r="C19" s="80"/>
    </row>
    <row r="20" spans="1:9" ht="12.75" customHeight="1">
      <c r="A20" s="302"/>
      <c r="B20" s="290" t="str">
        <f>Tasa_externaSección_título_etiqueta</f>
        <v xml:space="preserve">Composición por tipo de interés - deuda externa  </v>
      </c>
      <c r="C20" s="302"/>
      <c r="D20" s="140"/>
      <c r="E20" s="140"/>
      <c r="F20" s="140"/>
      <c r="G20" s="140"/>
      <c r="H20" s="140"/>
    </row>
    <row r="21" spans="1:9" ht="12.75" customHeight="1">
      <c r="A21" s="302"/>
      <c r="B21" s="290" t="str">
        <f>Tasa_externaSección_subtítulo_etiqueta</f>
        <v xml:space="preserve">(% de deuda externa) </v>
      </c>
      <c r="C21" s="302"/>
      <c r="D21" s="140"/>
      <c r="E21" s="140"/>
      <c r="F21" s="140"/>
      <c r="G21" s="140"/>
      <c r="H21" s="140"/>
    </row>
    <row r="22" spans="1:9" s="142" customFormat="1">
      <c r="A22" s="192" t="str">
        <f>Indice_PrincipalFecha_corte_etiqueta</f>
        <v>Fecha corte</v>
      </c>
      <c r="B22" s="192" t="str">
        <f>Tasa_externaColumna_título_etiqueta</f>
        <v>Tasa fija</v>
      </c>
      <c r="C22" s="192" t="str">
        <f>Tasa_externaColumna_título_etiqueta_2</f>
        <v>Tasa variable</v>
      </c>
      <c r="D22" s="141"/>
      <c r="E22" s="141"/>
      <c r="F22" s="141"/>
      <c r="G22" s="141"/>
      <c r="H22" s="141"/>
      <c r="I22" s="142" t="s">
        <v>387</v>
      </c>
    </row>
    <row r="23" spans="1:9">
      <c r="A23" s="118">
        <v>38017</v>
      </c>
      <c r="B23" s="201">
        <v>0.80994806956211773</v>
      </c>
      <c r="C23" s="201">
        <v>0.19005193043788232</v>
      </c>
    </row>
    <row r="24" spans="1:9">
      <c r="A24" s="118">
        <v>38046</v>
      </c>
      <c r="B24" s="201">
        <v>0.80590934030917871</v>
      </c>
      <c r="C24" s="201">
        <v>0.19409065969082129</v>
      </c>
    </row>
    <row r="25" spans="1:9">
      <c r="A25" s="118">
        <v>38077</v>
      </c>
      <c r="B25" s="201">
        <v>0.805558035988442</v>
      </c>
      <c r="C25" s="201">
        <v>0.19444196401155797</v>
      </c>
    </row>
    <row r="26" spans="1:9">
      <c r="A26" s="118">
        <v>38107</v>
      </c>
      <c r="B26" s="201">
        <v>0.79905928603399379</v>
      </c>
      <c r="C26" s="201">
        <v>0.20094071396600616</v>
      </c>
    </row>
    <row r="27" spans="1:9">
      <c r="A27" s="118">
        <v>38138</v>
      </c>
      <c r="B27" s="201">
        <v>0.79914711287819262</v>
      </c>
      <c r="C27" s="201">
        <v>0.20085288712180743</v>
      </c>
    </row>
    <row r="28" spans="1:9">
      <c r="A28" s="118">
        <v>38168</v>
      </c>
      <c r="B28" s="201">
        <v>0.79098716409821668</v>
      </c>
      <c r="C28" s="201">
        <v>0.20901283590178335</v>
      </c>
    </row>
    <row r="29" spans="1:9">
      <c r="A29" s="118">
        <v>38199</v>
      </c>
      <c r="B29" s="201">
        <v>0.79297928394773698</v>
      </c>
      <c r="C29" s="201">
        <v>0.20702071605226302</v>
      </c>
    </row>
    <row r="30" spans="1:9">
      <c r="A30" s="118">
        <v>38230</v>
      </c>
      <c r="B30" s="201">
        <v>0.78941378485924663</v>
      </c>
      <c r="C30" s="201">
        <v>0.21058621514075343</v>
      </c>
    </row>
    <row r="31" spans="1:9">
      <c r="A31" s="118">
        <v>38260</v>
      </c>
      <c r="B31" s="201">
        <v>0.79567320206527803</v>
      </c>
      <c r="C31" s="201">
        <v>0.20432679793472194</v>
      </c>
    </row>
    <row r="32" spans="1:9">
      <c r="A32" s="118">
        <v>38291</v>
      </c>
      <c r="B32" s="201">
        <v>0.77338344152924843</v>
      </c>
      <c r="C32" s="201">
        <v>0.22661655847075154</v>
      </c>
    </row>
    <row r="33" spans="1:3">
      <c r="A33" s="118">
        <v>38321</v>
      </c>
      <c r="B33" s="201">
        <v>0.78951555934955864</v>
      </c>
      <c r="C33" s="201">
        <v>0.21048444065044131</v>
      </c>
    </row>
    <row r="34" spans="1:3">
      <c r="A34" s="118">
        <v>38352</v>
      </c>
      <c r="B34" s="201">
        <v>0.79424517413592521</v>
      </c>
      <c r="C34" s="201">
        <v>0.20575482586407476</v>
      </c>
    </row>
    <row r="35" spans="1:3">
      <c r="A35" s="118">
        <v>38383</v>
      </c>
      <c r="B35" s="201">
        <v>0.79508093729492391</v>
      </c>
      <c r="C35" s="201">
        <v>0.20491906270507607</v>
      </c>
    </row>
    <row r="36" spans="1:3">
      <c r="A36" s="118">
        <v>38411</v>
      </c>
      <c r="B36" s="201">
        <v>0.79867762959791777</v>
      </c>
      <c r="C36" s="201">
        <v>0.2013223704020822</v>
      </c>
    </row>
    <row r="37" spans="1:3">
      <c r="A37" s="118">
        <v>38442</v>
      </c>
      <c r="B37" s="201">
        <v>0.79841070882324505</v>
      </c>
      <c r="C37" s="201">
        <v>0.20158929117675492</v>
      </c>
    </row>
    <row r="38" spans="1:3">
      <c r="A38" s="118">
        <v>38472</v>
      </c>
      <c r="B38" s="201">
        <v>0.8347018650754543</v>
      </c>
      <c r="C38" s="201">
        <v>0.16529813492454568</v>
      </c>
    </row>
    <row r="39" spans="1:3">
      <c r="A39" s="118">
        <v>38503</v>
      </c>
      <c r="B39" s="201">
        <v>0.826986202379283</v>
      </c>
      <c r="C39" s="201">
        <v>0.17301379762071697</v>
      </c>
    </row>
    <row r="40" spans="1:3">
      <c r="A40" s="118">
        <v>38533</v>
      </c>
      <c r="B40" s="201">
        <v>0.82242870505288967</v>
      </c>
      <c r="C40" s="201">
        <v>0.17757129494711035</v>
      </c>
    </row>
    <row r="41" spans="1:3">
      <c r="A41" s="118">
        <v>38564</v>
      </c>
      <c r="B41" s="201">
        <v>0.82715154434452598</v>
      </c>
      <c r="C41" s="201">
        <v>0.17284845565547399</v>
      </c>
    </row>
    <row r="42" spans="1:3">
      <c r="A42" s="118">
        <v>38595</v>
      </c>
      <c r="B42" s="201">
        <v>0.82481190624949197</v>
      </c>
      <c r="C42" s="201">
        <v>0.17518809375050806</v>
      </c>
    </row>
    <row r="43" spans="1:3">
      <c r="A43" s="118">
        <v>38625</v>
      </c>
      <c r="B43" s="201">
        <v>0.82009617272904445</v>
      </c>
      <c r="C43" s="201">
        <v>0.17990382727095552</v>
      </c>
    </row>
    <row r="44" spans="1:3">
      <c r="A44" s="118">
        <v>38656</v>
      </c>
      <c r="B44" s="201">
        <v>0.80949204029307209</v>
      </c>
      <c r="C44" s="201">
        <v>0.19050795970692788</v>
      </c>
    </row>
    <row r="45" spans="1:3">
      <c r="A45" s="118">
        <v>38686</v>
      </c>
      <c r="B45" s="201">
        <v>0.80528805102704837</v>
      </c>
      <c r="C45" s="201">
        <v>0.19471194897295163</v>
      </c>
    </row>
    <row r="46" spans="1:3">
      <c r="A46" s="118">
        <v>38717</v>
      </c>
      <c r="B46" s="201">
        <v>0.80105714092763913</v>
      </c>
      <c r="C46" s="201">
        <v>0.19894285907236087</v>
      </c>
    </row>
    <row r="47" spans="1:3">
      <c r="A47" s="118">
        <v>38748</v>
      </c>
      <c r="B47" s="201">
        <v>0.8027059474670627</v>
      </c>
      <c r="C47" s="201">
        <v>0.1972940525329373</v>
      </c>
    </row>
    <row r="48" spans="1:3">
      <c r="A48" s="118">
        <v>38776</v>
      </c>
      <c r="B48" s="201">
        <v>0.80079327472403383</v>
      </c>
      <c r="C48" s="201">
        <v>0.1992067252759662</v>
      </c>
    </row>
    <row r="49" spans="1:3">
      <c r="A49" s="118">
        <v>38807</v>
      </c>
      <c r="B49" s="201">
        <v>0.81044438312988487</v>
      </c>
      <c r="C49" s="201">
        <v>0.18955561687011516</v>
      </c>
    </row>
    <row r="50" spans="1:3">
      <c r="A50" s="118">
        <v>38837</v>
      </c>
      <c r="B50" s="201">
        <v>0.8312500480800189</v>
      </c>
      <c r="C50" s="201">
        <v>0.16874995191998113</v>
      </c>
    </row>
    <row r="51" spans="1:3">
      <c r="A51" s="118">
        <v>38868</v>
      </c>
      <c r="B51" s="201">
        <v>0.84044334043738933</v>
      </c>
      <c r="C51" s="201">
        <v>0.15955665956261064</v>
      </c>
    </row>
    <row r="52" spans="1:3">
      <c r="A52" s="118">
        <v>38898</v>
      </c>
      <c r="B52" s="201">
        <v>0.83780184551651038</v>
      </c>
      <c r="C52" s="201">
        <v>0.16219815448348956</v>
      </c>
    </row>
    <row r="53" spans="1:3">
      <c r="A53" s="118">
        <v>38929</v>
      </c>
      <c r="B53" s="201">
        <v>0.84683424681011299</v>
      </c>
      <c r="C53" s="201">
        <v>0.15316575318988698</v>
      </c>
    </row>
    <row r="54" spans="1:3">
      <c r="A54" s="118">
        <v>38960</v>
      </c>
      <c r="B54" s="201">
        <v>0.84355570316315676</v>
      </c>
      <c r="C54" s="201">
        <v>0.15644429683684324</v>
      </c>
    </row>
    <row r="55" spans="1:3">
      <c r="A55" s="118">
        <v>38990</v>
      </c>
      <c r="B55" s="201">
        <v>0.84789169293670041</v>
      </c>
      <c r="C55" s="201">
        <v>0.15210830706329959</v>
      </c>
    </row>
    <row r="56" spans="1:3">
      <c r="A56" s="118">
        <v>39021</v>
      </c>
      <c r="B56" s="201">
        <v>0.84026619652179835</v>
      </c>
      <c r="C56" s="201">
        <v>0.15973380347820168</v>
      </c>
    </row>
    <row r="57" spans="1:3">
      <c r="A57" s="118">
        <v>39051</v>
      </c>
      <c r="B57" s="201">
        <v>0.84441999608822771</v>
      </c>
      <c r="C57" s="201">
        <v>0.15558000391177232</v>
      </c>
    </row>
    <row r="58" spans="1:3">
      <c r="A58" s="118">
        <v>39082</v>
      </c>
      <c r="B58" s="201">
        <v>0.83269321998472035</v>
      </c>
      <c r="C58" s="201">
        <v>0.16730678001527971</v>
      </c>
    </row>
    <row r="59" spans="1:3">
      <c r="A59" s="118">
        <v>39113</v>
      </c>
      <c r="B59" s="201">
        <v>0.83253907588225451</v>
      </c>
      <c r="C59" s="201">
        <v>0.16746092411774552</v>
      </c>
    </row>
    <row r="60" spans="1:3">
      <c r="A60" s="118">
        <v>39141</v>
      </c>
      <c r="B60" s="201">
        <v>0.83009543222415849</v>
      </c>
      <c r="C60" s="201">
        <v>0.16990456777584148</v>
      </c>
    </row>
    <row r="61" spans="1:3">
      <c r="A61" s="118">
        <v>39172</v>
      </c>
      <c r="B61" s="201">
        <v>0.82998745213516778</v>
      </c>
      <c r="C61" s="201">
        <v>0.17001254786483222</v>
      </c>
    </row>
    <row r="62" spans="1:3">
      <c r="A62" s="118">
        <v>39202</v>
      </c>
      <c r="B62" s="201">
        <v>0.83043457634354889</v>
      </c>
      <c r="C62" s="201">
        <v>0.16956542365645108</v>
      </c>
    </row>
    <row r="63" spans="1:3">
      <c r="A63" s="118">
        <v>39233</v>
      </c>
      <c r="B63" s="201">
        <v>0.82919420495132268</v>
      </c>
      <c r="C63" s="202">
        <v>0.17080579504867735</v>
      </c>
    </row>
    <row r="64" spans="1:3">
      <c r="A64" s="118">
        <v>39263</v>
      </c>
      <c r="B64" s="201">
        <v>0.83419993575790274</v>
      </c>
      <c r="C64" s="202">
        <v>0.16580006424209728</v>
      </c>
    </row>
    <row r="65" spans="1:5">
      <c r="A65" s="118">
        <v>39294</v>
      </c>
      <c r="B65" s="201">
        <v>0.83301411053893126</v>
      </c>
      <c r="C65" s="202">
        <v>0.16698588946106876</v>
      </c>
    </row>
    <row r="66" spans="1:5">
      <c r="A66" s="118">
        <v>39325</v>
      </c>
      <c r="B66" s="201">
        <v>0.83202431711654201</v>
      </c>
      <c r="C66" s="202">
        <v>0.16797568288345796</v>
      </c>
    </row>
    <row r="67" spans="1:5">
      <c r="A67" s="118">
        <v>39355</v>
      </c>
      <c r="B67" s="201">
        <v>0.82936202146638494</v>
      </c>
      <c r="C67" s="202">
        <v>0.17063797853361509</v>
      </c>
    </row>
    <row r="68" spans="1:5">
      <c r="A68" s="118">
        <v>39386</v>
      </c>
      <c r="B68" s="201">
        <v>0.83355684730766666</v>
      </c>
      <c r="C68" s="202">
        <v>0.16644315269233334</v>
      </c>
    </row>
    <row r="69" spans="1:5">
      <c r="A69" s="118">
        <v>39416</v>
      </c>
      <c r="B69" s="201">
        <v>0.83200990839467237</v>
      </c>
      <c r="C69" s="202">
        <v>0.16799009160532757</v>
      </c>
    </row>
    <row r="70" spans="1:5">
      <c r="A70" s="118">
        <v>39447</v>
      </c>
      <c r="B70" s="201">
        <v>0.81955364693286459</v>
      </c>
      <c r="C70" s="202">
        <v>0.18044635306713538</v>
      </c>
    </row>
    <row r="71" spans="1:5">
      <c r="A71" s="118">
        <v>39478</v>
      </c>
      <c r="B71" s="201">
        <v>0.82274714549435446</v>
      </c>
      <c r="C71" s="202">
        <v>0.1772528545056456</v>
      </c>
    </row>
    <row r="72" spans="1:5">
      <c r="A72" s="118">
        <v>39507</v>
      </c>
      <c r="B72" s="201">
        <v>0.82319173681341673</v>
      </c>
      <c r="C72" s="202">
        <v>0.17680826318658333</v>
      </c>
      <c r="E72" s="143"/>
    </row>
    <row r="73" spans="1:5">
      <c r="A73" s="118">
        <v>39538</v>
      </c>
      <c r="B73" s="201">
        <v>0.81051436550715406</v>
      </c>
      <c r="C73" s="202">
        <v>0.18948563449284589</v>
      </c>
    </row>
    <row r="74" spans="1:5">
      <c r="A74" s="118">
        <v>39568</v>
      </c>
      <c r="B74" s="201">
        <v>0.80969448176253855</v>
      </c>
      <c r="C74" s="202">
        <v>0.19030551823746147</v>
      </c>
    </row>
    <row r="75" spans="1:5">
      <c r="A75" s="118">
        <v>39599</v>
      </c>
      <c r="B75" s="201">
        <v>0.81678389872703017</v>
      </c>
      <c r="C75" s="202">
        <v>0.18321610127296983</v>
      </c>
    </row>
    <row r="76" spans="1:5">
      <c r="A76" s="118">
        <v>39629</v>
      </c>
      <c r="B76" s="201">
        <v>0.82716403868346311</v>
      </c>
      <c r="C76" s="202">
        <v>0.17283596131653686</v>
      </c>
    </row>
    <row r="77" spans="1:5">
      <c r="A77" s="118">
        <v>39660</v>
      </c>
      <c r="B77" s="201">
        <v>0.83</v>
      </c>
      <c r="C77" s="202">
        <v>0.17</v>
      </c>
    </row>
    <row r="78" spans="1:5">
      <c r="A78" s="118">
        <v>39691</v>
      </c>
      <c r="B78" s="201">
        <v>0.83</v>
      </c>
      <c r="C78" s="202">
        <v>0.17</v>
      </c>
    </row>
    <row r="79" spans="1:5">
      <c r="A79" s="118">
        <v>39721</v>
      </c>
      <c r="B79" s="201">
        <v>0.83</v>
      </c>
      <c r="C79" s="202">
        <v>0.17</v>
      </c>
    </row>
    <row r="80" spans="1:5">
      <c r="A80" s="118">
        <v>39752</v>
      </c>
      <c r="B80" s="201">
        <v>0.8057823708095786</v>
      </c>
      <c r="C80" s="202">
        <v>0.19421762919042138</v>
      </c>
    </row>
    <row r="81" spans="1:3">
      <c r="A81" s="118">
        <v>39782</v>
      </c>
      <c r="B81" s="201">
        <v>0.80577268650992229</v>
      </c>
      <c r="C81" s="202">
        <v>0.19422731349007771</v>
      </c>
    </row>
    <row r="82" spans="1:3">
      <c r="A82" s="118">
        <v>39813</v>
      </c>
      <c r="B82" s="201">
        <v>0.80910420904266112</v>
      </c>
      <c r="C82" s="202">
        <v>0.19089579095733902</v>
      </c>
    </row>
    <row r="83" spans="1:3">
      <c r="A83" s="118">
        <v>39844</v>
      </c>
      <c r="B83" s="201">
        <v>0.83079153671558303</v>
      </c>
      <c r="C83" s="202">
        <v>0.16920846328441694</v>
      </c>
    </row>
    <row r="84" spans="1:3">
      <c r="A84" s="118">
        <v>39872</v>
      </c>
      <c r="B84" s="201">
        <v>0.81961321914802721</v>
      </c>
      <c r="C84" s="202">
        <v>0.18038678085197277</v>
      </c>
    </row>
    <row r="85" spans="1:3">
      <c r="A85" s="118">
        <v>39903</v>
      </c>
      <c r="B85" s="201">
        <v>0.86674829541759724</v>
      </c>
      <c r="C85" s="202">
        <v>0.13325170458240279</v>
      </c>
    </row>
    <row r="86" spans="1:3">
      <c r="A86" s="118">
        <v>39933</v>
      </c>
      <c r="B86" s="201">
        <v>0.88564392226191635</v>
      </c>
      <c r="C86" s="202">
        <v>0.11435607773808361</v>
      </c>
    </row>
    <row r="87" spans="1:3">
      <c r="A87" s="118">
        <v>39964</v>
      </c>
      <c r="B87" s="201">
        <v>0.86127608433365177</v>
      </c>
      <c r="C87" s="202">
        <v>0.13872391566634817</v>
      </c>
    </row>
    <row r="88" spans="1:3">
      <c r="A88" s="118">
        <v>39994</v>
      </c>
      <c r="B88" s="201">
        <v>0.86085759709971443</v>
      </c>
      <c r="C88" s="202">
        <v>0.13914240290028554</v>
      </c>
    </row>
    <row r="89" spans="1:3">
      <c r="A89" s="118">
        <v>40025</v>
      </c>
      <c r="B89" s="201">
        <v>0.85849766554150775</v>
      </c>
      <c r="C89" s="202">
        <v>0.14150233445849225</v>
      </c>
    </row>
    <row r="90" spans="1:3">
      <c r="A90" s="118">
        <v>40056</v>
      </c>
      <c r="B90" s="201">
        <v>0.85132242561239635</v>
      </c>
      <c r="C90" s="202">
        <v>0.14867757438760368</v>
      </c>
    </row>
    <row r="91" spans="1:3">
      <c r="A91" s="118">
        <v>40086</v>
      </c>
      <c r="B91" s="201">
        <v>0.85189813224984978</v>
      </c>
      <c r="C91" s="201">
        <v>0.14810186775015016</v>
      </c>
    </row>
    <row r="92" spans="1:3">
      <c r="A92" s="118">
        <v>40117</v>
      </c>
      <c r="B92" s="201">
        <v>0.84554368685884329</v>
      </c>
      <c r="C92" s="201">
        <v>0.15445631314115671</v>
      </c>
    </row>
    <row r="93" spans="1:3">
      <c r="A93" s="118">
        <v>40147</v>
      </c>
      <c r="B93" s="201">
        <v>0.83912792637635603</v>
      </c>
      <c r="C93" s="201">
        <v>0.160872073623644</v>
      </c>
    </row>
    <row r="94" spans="1:3">
      <c r="A94" s="118">
        <v>40178</v>
      </c>
      <c r="B94" s="201">
        <v>0.82421232293386626</v>
      </c>
      <c r="C94" s="201">
        <v>0.17578767706613369</v>
      </c>
    </row>
    <row r="95" spans="1:3">
      <c r="A95" s="118">
        <v>40209</v>
      </c>
      <c r="B95" s="201">
        <v>0.82540544965364271</v>
      </c>
      <c r="C95" s="201">
        <v>0.17459455034635735</v>
      </c>
    </row>
    <row r="96" spans="1:3">
      <c r="A96" s="118">
        <v>40237</v>
      </c>
      <c r="B96" s="201">
        <v>0.79854694081495525</v>
      </c>
      <c r="C96" s="201">
        <v>0.2014530591850448</v>
      </c>
    </row>
    <row r="97" spans="1:8">
      <c r="A97" s="118">
        <v>40268</v>
      </c>
      <c r="B97" s="201">
        <v>0.84129927034749996</v>
      </c>
      <c r="C97" s="201">
        <v>0.15870072965250029</v>
      </c>
    </row>
    <row r="98" spans="1:8">
      <c r="A98" s="118">
        <v>40298</v>
      </c>
      <c r="B98" s="201">
        <v>0.82802676640257777</v>
      </c>
      <c r="C98" s="201">
        <v>0.1719732335974222</v>
      </c>
    </row>
    <row r="99" spans="1:8">
      <c r="A99" s="118">
        <v>40329</v>
      </c>
      <c r="B99" s="201">
        <v>0.82620179704317154</v>
      </c>
      <c r="C99" s="201">
        <v>0.17379820295682852</v>
      </c>
    </row>
    <row r="100" spans="1:8">
      <c r="A100" s="118">
        <v>40359</v>
      </c>
      <c r="B100" s="201">
        <v>0.82541286501079236</v>
      </c>
      <c r="C100" s="201">
        <v>0.17458713498920767</v>
      </c>
    </row>
    <row r="101" spans="1:8">
      <c r="A101" s="118">
        <v>40390</v>
      </c>
      <c r="B101" s="201">
        <v>0.82425929138010334</v>
      </c>
      <c r="C101" s="201">
        <v>0.17574070861989657</v>
      </c>
    </row>
    <row r="102" spans="1:8">
      <c r="A102" s="118">
        <v>40421</v>
      </c>
      <c r="B102" s="201">
        <v>0.82695853863061319</v>
      </c>
      <c r="C102" s="201">
        <v>0.17304146136938675</v>
      </c>
    </row>
    <row r="103" spans="1:8">
      <c r="A103" s="118">
        <v>40451</v>
      </c>
      <c r="B103" s="201">
        <v>0.82445185923139408</v>
      </c>
      <c r="C103" s="201">
        <v>0.17554814076860586</v>
      </c>
    </row>
    <row r="104" spans="1:8">
      <c r="A104" s="118">
        <v>40482</v>
      </c>
      <c r="B104" s="201">
        <v>0.81742001721337176</v>
      </c>
      <c r="C104" s="201">
        <v>0.18257998278662821</v>
      </c>
    </row>
    <row r="105" spans="1:8">
      <c r="A105" s="118">
        <v>40512</v>
      </c>
      <c r="B105" s="201">
        <v>0.80863921097417091</v>
      </c>
      <c r="C105" s="201">
        <v>0.19136078902582909</v>
      </c>
    </row>
    <row r="106" spans="1:8">
      <c r="A106" s="118">
        <v>40543</v>
      </c>
      <c r="B106" s="201">
        <v>0.802048034984848</v>
      </c>
      <c r="C106" s="201">
        <v>0.197951965015152</v>
      </c>
    </row>
    <row r="107" spans="1:8">
      <c r="A107" s="118">
        <v>40574</v>
      </c>
      <c r="B107" s="201">
        <v>0.80208605489976048</v>
      </c>
      <c r="C107" s="201">
        <v>0.19791394510023949</v>
      </c>
    </row>
    <row r="108" spans="1:8">
      <c r="A108" s="118">
        <v>40602</v>
      </c>
      <c r="B108" s="201">
        <v>0.80202121331975162</v>
      </c>
      <c r="C108" s="201">
        <v>0.19797878668024838</v>
      </c>
    </row>
    <row r="109" spans="1:8">
      <c r="A109" s="118">
        <v>40633</v>
      </c>
      <c r="B109" s="201">
        <v>0.80224449855271429</v>
      </c>
      <c r="C109" s="201">
        <v>0.1977555014472856</v>
      </c>
    </row>
    <row r="110" spans="1:8">
      <c r="A110" s="118">
        <v>40663</v>
      </c>
      <c r="B110" s="201">
        <v>0.80312450757504672</v>
      </c>
      <c r="C110" s="201">
        <v>0.1968754924249532</v>
      </c>
    </row>
    <row r="111" spans="1:8">
      <c r="A111" s="118">
        <v>40694</v>
      </c>
      <c r="B111" s="201">
        <v>0.79890169381489873</v>
      </c>
      <c r="C111" s="201">
        <v>0.20109830618510136</v>
      </c>
      <c r="D111" s="91"/>
      <c r="E111" s="91"/>
      <c r="F111" s="91"/>
      <c r="G111" s="91"/>
      <c r="H111" s="91"/>
    </row>
    <row r="112" spans="1:8">
      <c r="A112" s="118">
        <v>40724</v>
      </c>
      <c r="B112" s="201">
        <v>0.80006198278210194</v>
      </c>
      <c r="C112" s="201">
        <v>0.19993801721789806</v>
      </c>
      <c r="D112" s="91"/>
      <c r="E112" s="91"/>
      <c r="F112" s="91"/>
      <c r="G112" s="91"/>
      <c r="H112" s="91"/>
    </row>
    <row r="113" spans="1:8">
      <c r="A113" s="118">
        <v>40755</v>
      </c>
      <c r="B113" s="201">
        <v>0.81288982229166984</v>
      </c>
      <c r="C113" s="201">
        <v>0.18711017770833005</v>
      </c>
      <c r="D113" s="91"/>
      <c r="E113" s="91"/>
      <c r="F113" s="91"/>
      <c r="G113" s="91"/>
      <c r="H113" s="91"/>
    </row>
    <row r="114" spans="1:8">
      <c r="A114" s="118">
        <v>40786</v>
      </c>
      <c r="B114" s="201">
        <v>0.81289116493666813</v>
      </c>
      <c r="C114" s="201">
        <v>0.18710883506333179</v>
      </c>
      <c r="D114" s="91"/>
      <c r="E114" s="91"/>
      <c r="F114" s="91"/>
      <c r="G114" s="91"/>
      <c r="H114" s="91"/>
    </row>
    <row r="115" spans="1:8">
      <c r="A115" s="118">
        <v>40816</v>
      </c>
      <c r="B115" s="201">
        <v>0.81125134542631294</v>
      </c>
      <c r="C115" s="201">
        <v>0.18874865457368709</v>
      </c>
      <c r="D115" s="91"/>
      <c r="E115" s="91"/>
      <c r="F115" s="91"/>
      <c r="G115" s="91"/>
      <c r="H115" s="91"/>
    </row>
    <row r="116" spans="1:8">
      <c r="A116" s="118">
        <v>40847</v>
      </c>
      <c r="B116" s="201">
        <v>0.80886422119420454</v>
      </c>
      <c r="C116" s="201">
        <v>0.19113577880579546</v>
      </c>
      <c r="D116" s="91"/>
      <c r="E116" s="91"/>
      <c r="F116" s="91"/>
      <c r="G116" s="91"/>
      <c r="H116" s="91"/>
    </row>
    <row r="117" spans="1:8">
      <c r="A117" s="118">
        <v>40877</v>
      </c>
      <c r="B117" s="201">
        <v>0.79814152191293952</v>
      </c>
      <c r="C117" s="201">
        <v>0.20185847808706045</v>
      </c>
    </row>
    <row r="118" spans="1:8">
      <c r="A118" s="118">
        <v>40878</v>
      </c>
      <c r="B118" s="201">
        <v>0.78808900774637669</v>
      </c>
      <c r="C118" s="201">
        <v>0.21191099225362334</v>
      </c>
    </row>
    <row r="119" spans="1:8">
      <c r="A119" s="118">
        <v>40909</v>
      </c>
      <c r="B119" s="201">
        <v>0.79733316044900782</v>
      </c>
      <c r="C119" s="201">
        <v>0.20266683955099221</v>
      </c>
    </row>
    <row r="120" spans="1:8">
      <c r="A120" s="118">
        <v>40940</v>
      </c>
      <c r="B120" s="201">
        <v>0.79778801812166977</v>
      </c>
      <c r="C120" s="201">
        <v>0.20221198187833014</v>
      </c>
    </row>
    <row r="121" spans="1:8">
      <c r="A121" s="118">
        <v>40969</v>
      </c>
      <c r="B121" s="201">
        <v>0.79732331544860491</v>
      </c>
      <c r="C121" s="201">
        <v>0.20267668455139509</v>
      </c>
    </row>
    <row r="122" spans="1:8">
      <c r="A122" s="118">
        <v>41000</v>
      </c>
      <c r="B122" s="201">
        <v>0.79787023255499367</v>
      </c>
      <c r="C122" s="201">
        <v>0.20212976744500633</v>
      </c>
    </row>
    <row r="123" spans="1:8">
      <c r="A123" s="118">
        <v>41030</v>
      </c>
      <c r="B123" s="201">
        <v>0.7957889726876326</v>
      </c>
      <c r="C123" s="201">
        <v>0.20421102731236732</v>
      </c>
    </row>
    <row r="124" spans="1:8">
      <c r="A124" s="118">
        <v>41061</v>
      </c>
      <c r="B124" s="201">
        <v>0.79641286649820731</v>
      </c>
      <c r="C124" s="201">
        <v>0.20358713350179264</v>
      </c>
    </row>
    <row r="125" spans="1:8">
      <c r="A125" s="118">
        <v>41091</v>
      </c>
      <c r="B125" s="201">
        <v>0.79641286649820731</v>
      </c>
      <c r="C125" s="201">
        <v>0.20358713350179264</v>
      </c>
    </row>
    <row r="126" spans="1:8">
      <c r="A126" s="118">
        <v>41122</v>
      </c>
      <c r="B126" s="201">
        <v>0.79673593300315393</v>
      </c>
      <c r="C126" s="201">
        <v>0.20326406699684593</v>
      </c>
    </row>
    <row r="127" spans="1:8">
      <c r="A127" s="118">
        <v>41182</v>
      </c>
      <c r="B127" s="201">
        <v>0.80052275801232031</v>
      </c>
      <c r="C127" s="201">
        <v>0.19947724198767977</v>
      </c>
    </row>
    <row r="128" spans="1:8">
      <c r="A128" s="118">
        <v>41213</v>
      </c>
      <c r="B128" s="201">
        <v>0.79984646102236134</v>
      </c>
      <c r="C128" s="201">
        <v>0.2001535389776386</v>
      </c>
    </row>
    <row r="129" spans="1:3">
      <c r="A129" s="118">
        <v>41243</v>
      </c>
      <c r="B129" s="201">
        <v>0.79872962647124623</v>
      </c>
      <c r="C129" s="201">
        <v>0.20127037352875379</v>
      </c>
    </row>
    <row r="130" spans="1:3">
      <c r="A130" s="118">
        <v>41274</v>
      </c>
      <c r="B130" s="201">
        <v>0.78338514125287406</v>
      </c>
      <c r="C130" s="201">
        <v>0.21661485874712597</v>
      </c>
    </row>
    <row r="131" spans="1:3">
      <c r="A131" s="118">
        <v>41305</v>
      </c>
      <c r="B131" s="201">
        <v>0.78338514125287395</v>
      </c>
      <c r="C131" s="201">
        <v>0.213063924178926</v>
      </c>
    </row>
    <row r="132" spans="1:3">
      <c r="A132" s="118">
        <v>41333</v>
      </c>
      <c r="B132" s="201">
        <v>0.78617146518494563</v>
      </c>
      <c r="C132" s="201">
        <v>0.21382853481505434</v>
      </c>
    </row>
    <row r="133" spans="1:3">
      <c r="A133" s="118">
        <v>41364</v>
      </c>
      <c r="B133" s="201">
        <v>0.79237119374374976</v>
      </c>
      <c r="C133" s="201">
        <v>0.20762880625625021</v>
      </c>
    </row>
    <row r="134" spans="1:3">
      <c r="A134" s="118">
        <v>41394</v>
      </c>
      <c r="B134" s="201">
        <v>0.78652028610722169</v>
      </c>
      <c r="C134" s="201">
        <v>0.21347971389277823</v>
      </c>
    </row>
    <row r="135" spans="1:3">
      <c r="A135" s="118">
        <v>41425</v>
      </c>
      <c r="B135" s="201">
        <v>0.78423135795849408</v>
      </c>
      <c r="C135" s="201">
        <v>0.21576864204150589</v>
      </c>
    </row>
    <row r="136" spans="1:3">
      <c r="A136" s="118">
        <v>41455</v>
      </c>
      <c r="B136" s="201">
        <v>0.78375828877323073</v>
      </c>
      <c r="C136" s="201">
        <v>0.21624171122676925</v>
      </c>
    </row>
    <row r="137" spans="1:3">
      <c r="A137" s="118">
        <v>41486</v>
      </c>
      <c r="B137" s="201">
        <v>0.78514935175600342</v>
      </c>
      <c r="C137" s="201">
        <v>0.21485064824399661</v>
      </c>
    </row>
    <row r="138" spans="1:3">
      <c r="A138" s="118">
        <v>41517</v>
      </c>
      <c r="B138" s="201">
        <v>0.77864257568294049</v>
      </c>
      <c r="C138" s="201">
        <v>0.22135742431705946</v>
      </c>
    </row>
    <row r="139" spans="1:3">
      <c r="A139" s="118">
        <v>41547</v>
      </c>
      <c r="B139" s="201">
        <v>0.77619323020837139</v>
      </c>
      <c r="C139" s="201">
        <v>0.22380676979162856</v>
      </c>
    </row>
    <row r="140" spans="1:3">
      <c r="A140" s="118">
        <v>41578</v>
      </c>
      <c r="B140" s="201">
        <v>0.77626901760327605</v>
      </c>
      <c r="C140" s="201">
        <v>0.22373098239672395</v>
      </c>
    </row>
    <row r="141" spans="1:3">
      <c r="A141" s="118">
        <v>41608</v>
      </c>
      <c r="B141" s="201">
        <v>0.77450962904855203</v>
      </c>
      <c r="C141" s="201">
        <v>0.22549037095144792</v>
      </c>
    </row>
    <row r="142" spans="1:3">
      <c r="A142" s="118">
        <v>41639</v>
      </c>
      <c r="B142" s="201">
        <v>0.7648711503806217</v>
      </c>
      <c r="C142" s="201">
        <v>0.23512884961937836</v>
      </c>
    </row>
    <row r="143" spans="1:3">
      <c r="A143" s="118">
        <v>41670</v>
      </c>
      <c r="B143" s="201">
        <v>0.77489378769003081</v>
      </c>
      <c r="C143" s="201">
        <v>0.22510621230996927</v>
      </c>
    </row>
    <row r="144" spans="1:3">
      <c r="A144" s="118">
        <v>41698</v>
      </c>
      <c r="B144" s="201">
        <v>0.77492805935173137</v>
      </c>
      <c r="C144" s="201">
        <v>0.22507194064826874</v>
      </c>
    </row>
    <row r="145" spans="1:3">
      <c r="A145" s="118">
        <v>41729</v>
      </c>
      <c r="B145" s="201">
        <v>0.77574680761788861</v>
      </c>
      <c r="C145" s="201">
        <v>0.22425319238211136</v>
      </c>
    </row>
    <row r="146" spans="1:3">
      <c r="A146" s="118">
        <v>41759</v>
      </c>
      <c r="B146" s="201">
        <v>0.77910785756548606</v>
      </c>
      <c r="C146" s="201">
        <v>0.22089214243451391</v>
      </c>
    </row>
    <row r="147" spans="1:3">
      <c r="A147" s="118">
        <v>41790</v>
      </c>
      <c r="B147" s="201">
        <v>0.77689447709058079</v>
      </c>
      <c r="C147" s="201">
        <v>0.22310552290941912</v>
      </c>
    </row>
    <row r="148" spans="1:3">
      <c r="A148" s="118">
        <v>41820</v>
      </c>
      <c r="B148" s="201">
        <v>0.77739237866488531</v>
      </c>
      <c r="C148" s="201">
        <v>0.22260762133511475</v>
      </c>
    </row>
    <row r="149" spans="1:3">
      <c r="A149" s="118">
        <v>41851</v>
      </c>
      <c r="B149" s="201">
        <v>0.77774238368185322</v>
      </c>
      <c r="C149" s="201">
        <v>0.22225761631814667</v>
      </c>
    </row>
    <row r="150" spans="1:3">
      <c r="A150" s="118">
        <v>41882</v>
      </c>
      <c r="B150" s="201">
        <v>0.78622140500292892</v>
      </c>
      <c r="C150" s="201">
        <v>0.213778594997071</v>
      </c>
    </row>
    <row r="151" spans="1:3">
      <c r="A151" s="118">
        <v>41912</v>
      </c>
      <c r="B151" s="201">
        <v>0.79114888456352661</v>
      </c>
      <c r="C151" s="201">
        <v>0.20885111543647344</v>
      </c>
    </row>
    <row r="152" spans="1:3">
      <c r="A152" s="118">
        <v>41943</v>
      </c>
      <c r="B152" s="201">
        <v>0.7850237563467386</v>
      </c>
      <c r="C152" s="201">
        <v>0.21497624365326137</v>
      </c>
    </row>
    <row r="153" spans="1:3">
      <c r="A153" s="118">
        <v>41973</v>
      </c>
      <c r="B153" s="201">
        <v>0.78197523544794734</v>
      </c>
      <c r="C153" s="201">
        <v>0.21802476455205266</v>
      </c>
    </row>
    <row r="154" spans="1:3">
      <c r="A154" s="118">
        <v>42004</v>
      </c>
      <c r="B154" s="201">
        <v>0.7387744527562885</v>
      </c>
      <c r="C154" s="201">
        <v>0.26122554724371161</v>
      </c>
    </row>
    <row r="155" spans="1:3">
      <c r="A155" s="118">
        <v>42035</v>
      </c>
      <c r="B155" s="201">
        <v>0.75154541815695919</v>
      </c>
      <c r="C155" s="201">
        <v>0.24845458184304092</v>
      </c>
    </row>
    <row r="156" spans="1:3">
      <c r="A156" s="118">
        <v>42063</v>
      </c>
      <c r="B156" s="201">
        <v>0.74636024739398488</v>
      </c>
      <c r="C156" s="201">
        <v>0.25363975260601507</v>
      </c>
    </row>
    <row r="157" spans="1:3">
      <c r="A157" s="118">
        <v>42094</v>
      </c>
      <c r="B157" s="201">
        <v>0.75419163542229839</v>
      </c>
      <c r="C157" s="201">
        <v>0.24580836457770147</v>
      </c>
    </row>
    <row r="158" spans="1:3">
      <c r="A158" s="118">
        <v>42124</v>
      </c>
      <c r="B158" s="201">
        <v>0.75586960777104373</v>
      </c>
      <c r="C158" s="201">
        <v>0.24413039222895622</v>
      </c>
    </row>
    <row r="159" spans="1:3">
      <c r="A159" s="118">
        <v>42155</v>
      </c>
      <c r="B159" s="201">
        <v>0.75118460105551366</v>
      </c>
      <c r="C159" s="201">
        <v>0.24881539894448623</v>
      </c>
    </row>
    <row r="160" spans="1:3">
      <c r="A160" s="118">
        <v>42185</v>
      </c>
      <c r="B160" s="201">
        <v>0.75292388387155884</v>
      </c>
      <c r="C160" s="201">
        <v>0.2470761161284411</v>
      </c>
    </row>
    <row r="161" spans="1:3">
      <c r="A161" s="118">
        <v>42216</v>
      </c>
      <c r="B161" s="201">
        <v>0.74891597007337396</v>
      </c>
      <c r="C161" s="201">
        <v>0.25108402992662604</v>
      </c>
    </row>
    <row r="162" spans="1:3">
      <c r="A162" s="118">
        <v>42247</v>
      </c>
      <c r="B162" s="201">
        <v>0.74782002223370792</v>
      </c>
      <c r="C162" s="201">
        <v>0.25217997776629208</v>
      </c>
    </row>
    <row r="163" spans="1:3">
      <c r="A163" s="118">
        <v>42277</v>
      </c>
      <c r="B163" s="201">
        <v>0.75789340030835639</v>
      </c>
      <c r="C163" s="201">
        <v>0.24210659969164366</v>
      </c>
    </row>
    <row r="164" spans="1:3">
      <c r="A164" s="118">
        <v>42308</v>
      </c>
      <c r="B164" s="201">
        <v>0.74075045617170066</v>
      </c>
      <c r="C164" s="201">
        <v>0.25924954382829929</v>
      </c>
    </row>
    <row r="165" spans="1:3">
      <c r="A165" s="118">
        <v>42338</v>
      </c>
      <c r="B165" s="201">
        <v>0.740531021947336</v>
      </c>
      <c r="C165" s="201">
        <v>0.259468978052664</v>
      </c>
    </row>
    <row r="166" spans="1:3">
      <c r="A166" s="118">
        <v>42369</v>
      </c>
      <c r="B166" s="201">
        <v>0.71645458421617958</v>
      </c>
      <c r="C166" s="201">
        <v>0.28354541578382048</v>
      </c>
    </row>
    <row r="167" spans="1:3">
      <c r="A167" s="118">
        <v>42400</v>
      </c>
      <c r="B167" s="201">
        <v>0.71190223467094105</v>
      </c>
      <c r="C167" s="201">
        <v>0.2880977653290589</v>
      </c>
    </row>
    <row r="168" spans="1:3">
      <c r="A168" s="118">
        <v>42429</v>
      </c>
      <c r="B168" s="201">
        <v>0.7116630416105072</v>
      </c>
      <c r="C168" s="201">
        <v>0.28833695838949275</v>
      </c>
    </row>
    <row r="169" spans="1:3">
      <c r="A169" s="118">
        <v>42460</v>
      </c>
      <c r="B169" s="201">
        <v>0.72300005095399578</v>
      </c>
      <c r="C169" s="201">
        <v>0.27699994904600428</v>
      </c>
    </row>
    <row r="170" spans="1:3">
      <c r="A170" s="118">
        <v>42490</v>
      </c>
      <c r="B170" s="201">
        <v>0.72451037494479897</v>
      </c>
      <c r="C170" s="201">
        <v>0.27548962505520097</v>
      </c>
    </row>
    <row r="171" spans="1:3">
      <c r="A171" s="118">
        <v>42521</v>
      </c>
      <c r="B171" s="201">
        <v>0.71079381737177505</v>
      </c>
      <c r="C171" s="201">
        <v>0.28920618262822489</v>
      </c>
    </row>
    <row r="172" spans="1:3">
      <c r="A172" s="118">
        <v>42551</v>
      </c>
      <c r="B172" s="201">
        <v>0.71156300618593515</v>
      </c>
      <c r="C172" s="201">
        <v>0.28843699381406485</v>
      </c>
    </row>
    <row r="173" spans="1:3">
      <c r="A173" s="118">
        <v>42582</v>
      </c>
      <c r="B173" s="201">
        <v>0.71069908431586282</v>
      </c>
      <c r="C173" s="201">
        <v>0.28930091568413713</v>
      </c>
    </row>
    <row r="174" spans="1:3">
      <c r="A174" s="118">
        <v>42613</v>
      </c>
      <c r="B174" s="201">
        <v>0.71148405617331745</v>
      </c>
      <c r="C174" s="201">
        <v>0.28851594382668255</v>
      </c>
    </row>
    <row r="175" spans="1:3">
      <c r="A175" s="118">
        <v>42643</v>
      </c>
      <c r="B175" s="201">
        <v>0.71175140329556952</v>
      </c>
      <c r="C175" s="201">
        <v>0.28824859670443048</v>
      </c>
    </row>
    <row r="176" spans="1:3">
      <c r="A176" s="118">
        <v>42674</v>
      </c>
      <c r="B176" s="201">
        <v>0.71150996804481581</v>
      </c>
      <c r="C176" s="201">
        <v>0.28849003195518408</v>
      </c>
    </row>
    <row r="177" spans="1:3">
      <c r="A177" s="118">
        <v>42704</v>
      </c>
      <c r="B177" s="201">
        <v>0.70039309267764571</v>
      </c>
      <c r="C177" s="201">
        <v>0.29960690732235434</v>
      </c>
    </row>
    <row r="178" spans="1:3">
      <c r="A178" s="118">
        <v>42735</v>
      </c>
      <c r="B178" s="201">
        <v>0.68387692454820537</v>
      </c>
      <c r="C178" s="201">
        <v>0.31612307545179463</v>
      </c>
    </row>
    <row r="179" spans="1:3">
      <c r="A179" s="118">
        <v>42766</v>
      </c>
      <c r="B179" s="201">
        <v>0.68600221039800724</v>
      </c>
      <c r="C179" s="201">
        <v>0.31399778960199276</v>
      </c>
    </row>
    <row r="180" spans="1:3">
      <c r="A180" s="118">
        <v>42794</v>
      </c>
      <c r="B180" s="201">
        <v>0.68743599722698878</v>
      </c>
      <c r="C180" s="201">
        <v>0.31256400277301111</v>
      </c>
    </row>
    <row r="181" spans="1:3">
      <c r="A181" s="118">
        <v>42825</v>
      </c>
      <c r="B181" s="201">
        <v>0.68755131207783315</v>
      </c>
      <c r="C181" s="201">
        <v>0.31244868792216679</v>
      </c>
    </row>
    <row r="182" spans="1:3">
      <c r="A182" s="118">
        <v>42855</v>
      </c>
      <c r="B182" s="201">
        <v>0.68625331786068566</v>
      </c>
      <c r="C182" s="201">
        <v>0.31374668213931434</v>
      </c>
    </row>
    <row r="183" spans="1:3">
      <c r="A183" s="118">
        <v>42886</v>
      </c>
      <c r="B183" s="201">
        <v>0.68542494512714336</v>
      </c>
      <c r="C183" s="201">
        <v>0.3145750548728567</v>
      </c>
    </row>
    <row r="184" spans="1:3">
      <c r="A184" s="118">
        <v>42916</v>
      </c>
      <c r="B184" s="201">
        <v>0.6844021971739771</v>
      </c>
      <c r="C184" s="201">
        <v>0.3155978028260229</v>
      </c>
    </row>
    <row r="185" spans="1:3">
      <c r="A185" s="118">
        <v>42947</v>
      </c>
      <c r="B185" s="201">
        <v>0.68498787517224702</v>
      </c>
      <c r="C185" s="201">
        <v>0.31501212482775304</v>
      </c>
    </row>
    <row r="186" spans="1:3">
      <c r="A186" s="118">
        <v>42978</v>
      </c>
      <c r="B186" s="201">
        <v>0.68750573671846626</v>
      </c>
      <c r="C186" s="201">
        <v>0.31249426328153368</v>
      </c>
    </row>
    <row r="187" spans="1:3">
      <c r="A187" s="118">
        <v>43008</v>
      </c>
      <c r="B187" s="201">
        <v>0.68694652023543445</v>
      </c>
      <c r="C187" s="201">
        <v>0.3130534797645656</v>
      </c>
    </row>
    <row r="188" spans="1:3">
      <c r="A188" s="118">
        <v>43039</v>
      </c>
      <c r="B188" s="201">
        <v>0.68663021691099457</v>
      </c>
      <c r="C188" s="201">
        <v>0.31336978308900548</v>
      </c>
    </row>
    <row r="189" spans="1:3">
      <c r="A189" s="118">
        <v>43069</v>
      </c>
      <c r="B189" s="201">
        <v>0.68543011599025316</v>
      </c>
      <c r="C189" s="201">
        <v>0.31456988400974689</v>
      </c>
    </row>
    <row r="190" spans="1:3">
      <c r="A190" s="118">
        <v>43100</v>
      </c>
      <c r="B190" s="201">
        <v>0.68107789512893424</v>
      </c>
      <c r="C190" s="201">
        <v>0.31892210487106581</v>
      </c>
    </row>
    <row r="191" spans="1:3">
      <c r="A191" s="118">
        <v>43131</v>
      </c>
      <c r="B191" s="201">
        <v>0.64653999510519544</v>
      </c>
      <c r="C191" s="201">
        <v>0.35346000489480456</v>
      </c>
    </row>
    <row r="192" spans="1:3">
      <c r="A192" s="118">
        <v>43159</v>
      </c>
      <c r="B192" s="201">
        <v>0.64752390470280263</v>
      </c>
      <c r="C192" s="201">
        <v>0.35247609529719742</v>
      </c>
    </row>
    <row r="193" spans="1:3">
      <c r="A193" s="118">
        <v>43190</v>
      </c>
      <c r="B193" s="201">
        <v>0.63879139597627421</v>
      </c>
      <c r="C193" s="201">
        <v>0.36120860402372573</v>
      </c>
    </row>
    <row r="194" spans="1:3">
      <c r="A194" s="118">
        <v>43220</v>
      </c>
      <c r="B194" s="201">
        <v>0.64158409643082204</v>
      </c>
      <c r="C194" s="201">
        <v>0.35841590356917791</v>
      </c>
    </row>
    <row r="195" spans="1:3">
      <c r="A195" s="118">
        <v>43251</v>
      </c>
      <c r="B195" s="201">
        <v>0.64239026812502353</v>
      </c>
      <c r="C195" s="201">
        <v>0.35760973187497647</v>
      </c>
    </row>
    <row r="196" spans="1:3">
      <c r="A196" s="118">
        <v>43281</v>
      </c>
      <c r="B196" s="201">
        <v>0.64248125628616914</v>
      </c>
      <c r="C196" s="201">
        <v>0.35751874371383086</v>
      </c>
    </row>
    <row r="197" spans="1:3">
      <c r="A197" s="118">
        <v>43312</v>
      </c>
      <c r="B197" s="201">
        <v>0.64299015547671445</v>
      </c>
      <c r="C197" s="201">
        <v>0.35700984452328555</v>
      </c>
    </row>
    <row r="198" spans="1:3">
      <c r="A198" s="118">
        <v>43343</v>
      </c>
      <c r="B198" s="201">
        <v>0.6429836168376265</v>
      </c>
      <c r="C198" s="201">
        <v>0.3570163831623735</v>
      </c>
    </row>
    <row r="199" spans="1:3">
      <c r="A199" s="118">
        <v>43373</v>
      </c>
      <c r="B199" s="201">
        <v>0.64517744240915353</v>
      </c>
      <c r="C199" s="201">
        <v>0.35482255759084641</v>
      </c>
    </row>
    <row r="200" spans="1:3">
      <c r="A200" s="118">
        <v>43404</v>
      </c>
      <c r="B200" s="201">
        <v>0.64978678966685588</v>
      </c>
      <c r="C200" s="201">
        <v>0.35021321033314406</v>
      </c>
    </row>
    <row r="201" spans="1:3">
      <c r="A201" s="118">
        <v>43434</v>
      </c>
      <c r="B201" s="201">
        <v>0.64707961539050873</v>
      </c>
      <c r="C201" s="201">
        <v>0.35292038460949138</v>
      </c>
    </row>
    <row r="202" spans="1:3">
      <c r="A202" s="118">
        <v>43465</v>
      </c>
      <c r="B202" s="201">
        <v>0.63745865483965125</v>
      </c>
      <c r="C202" s="201">
        <v>0.3625413451603488</v>
      </c>
    </row>
    <row r="203" spans="1:3">
      <c r="A203" s="118">
        <v>43496</v>
      </c>
      <c r="B203" s="201">
        <v>0.65163471093614711</v>
      </c>
      <c r="C203" s="201">
        <v>0.34836528906385295</v>
      </c>
    </row>
    <row r="204" spans="1:3">
      <c r="A204" s="118">
        <v>43524</v>
      </c>
      <c r="B204" s="201">
        <v>0.65252047794221402</v>
      </c>
      <c r="C204" s="201">
        <v>0.34747952205778587</v>
      </c>
    </row>
    <row r="205" spans="1:3">
      <c r="A205" s="118">
        <v>43555</v>
      </c>
      <c r="B205" s="201">
        <v>0.66942513681486282</v>
      </c>
      <c r="C205" s="201">
        <v>0.33057486318513718</v>
      </c>
    </row>
    <row r="206" spans="1:3">
      <c r="A206" s="118">
        <v>43585</v>
      </c>
      <c r="B206" s="201">
        <v>0.66955323479243689</v>
      </c>
      <c r="C206" s="201">
        <v>0.33044676520756311</v>
      </c>
    </row>
    <row r="207" spans="1:3">
      <c r="A207" s="118">
        <v>43616</v>
      </c>
      <c r="B207" s="201">
        <v>0.66884739746296806</v>
      </c>
      <c r="C207" s="201">
        <v>0.33115260253703188</v>
      </c>
    </row>
    <row r="208" spans="1:3">
      <c r="A208" s="118">
        <v>43646</v>
      </c>
      <c r="B208" s="201">
        <v>0.66892686249195243</v>
      </c>
      <c r="C208" s="201">
        <v>0.33107313750804757</v>
      </c>
    </row>
    <row r="209" spans="1:3">
      <c r="A209" s="118">
        <v>43677</v>
      </c>
      <c r="B209" s="201">
        <v>0.75989090689426675</v>
      </c>
      <c r="C209" s="201">
        <v>0.24010909310573333</v>
      </c>
    </row>
    <row r="210" spans="1:3">
      <c r="A210" s="118">
        <v>43708</v>
      </c>
      <c r="B210" s="201">
        <v>0.76063019111768548</v>
      </c>
      <c r="C210" s="201">
        <v>0.23936980888231454</v>
      </c>
    </row>
    <row r="211" spans="1:3">
      <c r="A211" s="118">
        <v>43738</v>
      </c>
      <c r="B211" s="201">
        <v>0.81680338698230159</v>
      </c>
      <c r="C211" s="201">
        <v>0.18319661301769841</v>
      </c>
    </row>
    <row r="212" spans="1:3">
      <c r="A212" s="118">
        <v>43769</v>
      </c>
      <c r="B212" s="201">
        <v>0.81739596587566399</v>
      </c>
      <c r="C212" s="201">
        <v>0.18260403412433601</v>
      </c>
    </row>
    <row r="213" spans="1:3">
      <c r="A213" s="118">
        <v>43799</v>
      </c>
      <c r="B213" s="201">
        <v>0.80414990081950277</v>
      </c>
      <c r="C213" s="201">
        <v>0.19585009918049717</v>
      </c>
    </row>
    <row r="214" spans="1:3">
      <c r="A214" s="118">
        <v>43830</v>
      </c>
      <c r="B214" s="201">
        <v>0.79523384092970284</v>
      </c>
      <c r="C214" s="201">
        <v>0.20476615907029722</v>
      </c>
    </row>
    <row r="215" spans="1:3">
      <c r="A215" s="118">
        <v>43861</v>
      </c>
      <c r="B215" s="201">
        <v>0.80186048564826196</v>
      </c>
      <c r="C215" s="201">
        <v>0.1981395143517381</v>
      </c>
    </row>
    <row r="216" spans="1:3">
      <c r="A216" s="118">
        <v>43890</v>
      </c>
      <c r="B216" s="201">
        <v>0.90572068144690943</v>
      </c>
      <c r="C216" s="201">
        <v>9.4279318553090574E-2</v>
      </c>
    </row>
    <row r="217" spans="1:3">
      <c r="A217" s="118">
        <v>43921</v>
      </c>
      <c r="B217" s="201">
        <v>0.96429799012517181</v>
      </c>
      <c r="C217" s="201">
        <v>3.5702009874828189E-2</v>
      </c>
    </row>
    <row r="218" spans="1:3">
      <c r="A218" s="118">
        <v>43951</v>
      </c>
      <c r="B218" s="201">
        <v>0.95949762796523885</v>
      </c>
      <c r="C218" s="201">
        <v>4.0502372034761175E-2</v>
      </c>
    </row>
    <row r="219" spans="1:3">
      <c r="A219" s="118">
        <v>43982</v>
      </c>
      <c r="B219" s="201">
        <v>0.96385318784697083</v>
      </c>
      <c r="C219" s="201">
        <v>3.6146812153029215E-2</v>
      </c>
    </row>
    <row r="220" spans="1:3">
      <c r="A220" s="118">
        <v>44012</v>
      </c>
      <c r="B220" s="201">
        <v>0.96573920995584062</v>
      </c>
      <c r="C220" s="201">
        <v>3.4260790044159412E-2</v>
      </c>
    </row>
    <row r="221" spans="1:3">
      <c r="A221" s="118">
        <v>44043</v>
      </c>
      <c r="B221" s="201">
        <v>0.94117354940773168</v>
      </c>
      <c r="C221" s="201">
        <v>5.8826450592268292E-2</v>
      </c>
    </row>
    <row r="222" spans="1:3">
      <c r="A222" s="118">
        <v>44074</v>
      </c>
      <c r="B222" s="201">
        <v>0.96004281478346154</v>
      </c>
      <c r="C222" s="201">
        <v>3.9957185216538502E-2</v>
      </c>
    </row>
    <row r="223" spans="1:3">
      <c r="A223" s="118">
        <v>44104</v>
      </c>
      <c r="B223" s="201">
        <v>0.98451259124336277</v>
      </c>
      <c r="C223" s="201">
        <v>1.5487408756637299E-2</v>
      </c>
    </row>
    <row r="224" spans="1:3">
      <c r="A224" s="118">
        <v>44135</v>
      </c>
      <c r="B224" s="201">
        <v>0.98434773501950024</v>
      </c>
      <c r="C224" s="201">
        <v>1.5652264980499743E-2</v>
      </c>
    </row>
    <row r="225" spans="1:3">
      <c r="A225" s="118">
        <v>44165</v>
      </c>
      <c r="B225" s="201">
        <v>0.98433159126088587</v>
      </c>
      <c r="C225" s="201">
        <v>1.5668408739114164E-2</v>
      </c>
    </row>
    <row r="226" spans="1:3">
      <c r="A226" s="118">
        <v>44196</v>
      </c>
      <c r="B226" s="201">
        <v>0.89956868762565123</v>
      </c>
      <c r="C226" s="201">
        <v>0.10043131237434884</v>
      </c>
    </row>
    <row r="227" spans="1:3">
      <c r="A227" s="118">
        <v>44227</v>
      </c>
      <c r="B227" s="201">
        <v>0.90169140183079588</v>
      </c>
      <c r="C227" s="201">
        <v>9.8308598169204148E-2</v>
      </c>
    </row>
    <row r="228" spans="1:3">
      <c r="A228" s="118">
        <v>44255</v>
      </c>
      <c r="B228" s="201">
        <v>0.90221910511284309</v>
      </c>
      <c r="C228" s="201">
        <v>9.7780894887156966E-2</v>
      </c>
    </row>
    <row r="229" spans="1:3">
      <c r="A229" s="118">
        <v>44286</v>
      </c>
      <c r="B229" s="201">
        <v>0.8977877790743366</v>
      </c>
      <c r="C229" s="201">
        <v>0.10221222092566344</v>
      </c>
    </row>
    <row r="230" spans="1:3">
      <c r="A230" s="118">
        <v>44316</v>
      </c>
      <c r="B230" s="201">
        <v>0.90901843435733576</v>
      </c>
      <c r="C230" s="201">
        <v>9.0981565642664214E-2</v>
      </c>
    </row>
    <row r="231" spans="1:3">
      <c r="A231" s="118">
        <v>44347</v>
      </c>
      <c r="B231" s="201">
        <v>0.90839947200768822</v>
      </c>
      <c r="C231" s="201">
        <v>9.1600527992311803E-2</v>
      </c>
    </row>
    <row r="232" spans="1:3">
      <c r="A232" s="118">
        <v>44377</v>
      </c>
      <c r="B232" s="201">
        <v>0.89944984777238279</v>
      </c>
      <c r="C232" s="201">
        <v>0.10055015222761719</v>
      </c>
    </row>
    <row r="233" spans="1:3">
      <c r="A233" s="118">
        <v>44408</v>
      </c>
      <c r="B233" s="201">
        <v>0.89953690770059058</v>
      </c>
      <c r="C233" s="201">
        <v>0.10046309229940933</v>
      </c>
    </row>
    <row r="234" spans="1:3">
      <c r="A234" s="118">
        <v>44439</v>
      </c>
      <c r="B234" s="201">
        <v>0.89945440325039194</v>
      </c>
      <c r="C234" s="201">
        <v>0.10054559674960806</v>
      </c>
    </row>
    <row r="235" spans="1:3">
      <c r="A235" s="118">
        <v>44469</v>
      </c>
      <c r="B235" s="201">
        <v>0.89897242042512293</v>
      </c>
      <c r="C235" s="201">
        <v>0.10102757957487708</v>
      </c>
    </row>
    <row r="236" spans="1:3">
      <c r="A236" s="118">
        <v>44500</v>
      </c>
      <c r="B236" s="201">
        <v>0.89363295352941696</v>
      </c>
      <c r="C236" s="201">
        <v>0.10636704647058295</v>
      </c>
    </row>
    <row r="237" spans="1:3">
      <c r="A237" s="118">
        <v>44530</v>
      </c>
      <c r="B237" s="201">
        <v>0.8905292701458154</v>
      </c>
      <c r="C237" s="201">
        <v>0.10947072985418453</v>
      </c>
    </row>
    <row r="238" spans="1:3">
      <c r="A238" s="118">
        <v>44561</v>
      </c>
      <c r="B238" s="201">
        <v>0.87323468663010995</v>
      </c>
      <c r="C238" s="201">
        <v>0.12676531336989003</v>
      </c>
    </row>
    <row r="239" spans="1:3">
      <c r="A239" s="118">
        <v>44592</v>
      </c>
      <c r="B239" s="201">
        <v>0.87307222993401301</v>
      </c>
      <c r="C239" s="201">
        <v>0.12676531336989003</v>
      </c>
    </row>
    <row r="240" spans="1:3">
      <c r="A240" s="118">
        <v>44620</v>
      </c>
      <c r="B240" s="201">
        <v>0.87104289367683108</v>
      </c>
      <c r="C240" s="201">
        <v>0.12895710632316887</v>
      </c>
    </row>
    <row r="241" spans="1:3">
      <c r="A241" s="118">
        <v>44651</v>
      </c>
      <c r="B241" s="201">
        <v>0.87173319419485717</v>
      </c>
      <c r="C241" s="201">
        <v>0.12826680580514277</v>
      </c>
    </row>
    <row r="242" spans="1:3">
      <c r="A242" s="118">
        <v>44681</v>
      </c>
      <c r="B242" s="201">
        <v>0.8711103246684071</v>
      </c>
      <c r="C242" s="201">
        <v>0.12888967533159282</v>
      </c>
    </row>
    <row r="243" spans="1:3">
      <c r="A243" s="118">
        <v>44712</v>
      </c>
      <c r="B243" s="201">
        <v>0.86207834726406996</v>
      </c>
      <c r="C243" s="201">
        <v>0.13792165273593013</v>
      </c>
    </row>
    <row r="244" spans="1:3">
      <c r="A244" s="118">
        <v>44742</v>
      </c>
      <c r="B244" s="201">
        <v>0.85899641836276064</v>
      </c>
      <c r="C244" s="201">
        <v>0.14100358163723936</v>
      </c>
    </row>
    <row r="245" spans="1:3">
      <c r="A245" s="118">
        <v>44773</v>
      </c>
      <c r="B245" s="201">
        <v>0.85454017667877036</v>
      </c>
      <c r="C245" s="201">
        <v>0.14545982332122964</v>
      </c>
    </row>
    <row r="246" spans="1:3">
      <c r="A246" s="118">
        <v>44804</v>
      </c>
      <c r="B246" s="201">
        <v>0.8495141779851888</v>
      </c>
      <c r="C246" s="201">
        <v>0.1504858220148112</v>
      </c>
    </row>
    <row r="247" spans="1:3">
      <c r="A247" s="118">
        <v>44834</v>
      </c>
      <c r="B247" s="201">
        <v>0.85034323036254855</v>
      </c>
      <c r="C247" s="201">
        <v>0.1496567696374515</v>
      </c>
    </row>
    <row r="248" spans="1:3">
      <c r="A248" s="118">
        <v>44865</v>
      </c>
      <c r="B248" s="201">
        <v>0.84987852372453887</v>
      </c>
      <c r="C248" s="201">
        <v>0.15012147627546102</v>
      </c>
    </row>
    <row r="249" spans="1:3">
      <c r="A249" s="118">
        <v>44895</v>
      </c>
      <c r="B249" s="201">
        <v>0.84517419526618409</v>
      </c>
      <c r="C249" s="201">
        <v>0.15482580473381585</v>
      </c>
    </row>
    <row r="250" spans="1:3">
      <c r="A250" s="118">
        <v>44926</v>
      </c>
      <c r="B250" s="201">
        <v>0.83487997316638618</v>
      </c>
      <c r="C250" s="201">
        <v>0.1651200268336139</v>
      </c>
    </row>
    <row r="251" spans="1:3">
      <c r="A251" s="118">
        <v>44957</v>
      </c>
      <c r="B251" s="201">
        <v>0.83442977694600107</v>
      </c>
      <c r="C251" s="201">
        <v>0.16557022305399893</v>
      </c>
    </row>
    <row r="252" spans="1:3">
      <c r="A252" s="118">
        <v>44985</v>
      </c>
      <c r="B252" s="201">
        <v>0.83553155778747357</v>
      </c>
      <c r="C252" s="201">
        <v>0.16446844221252641</v>
      </c>
    </row>
    <row r="253" spans="1:3">
      <c r="A253" s="118">
        <v>45016</v>
      </c>
      <c r="B253" s="201">
        <v>0.83299315685558728</v>
      </c>
      <c r="C253" s="201">
        <v>0.16700684314441275</v>
      </c>
    </row>
    <row r="254" spans="1:3">
      <c r="A254" s="118">
        <v>45046</v>
      </c>
      <c r="B254" s="201">
        <v>0.83263567088094603</v>
      </c>
      <c r="C254" s="201">
        <v>0.16736432911905402</v>
      </c>
    </row>
    <row r="255" spans="1:3">
      <c r="A255" s="118">
        <v>45077</v>
      </c>
      <c r="B255" s="201">
        <v>0.83308194312157002</v>
      </c>
      <c r="C255" s="201">
        <v>0.16691805687843003</v>
      </c>
    </row>
    <row r="256" spans="1:3">
      <c r="A256" s="118">
        <v>45107</v>
      </c>
      <c r="B256" s="201">
        <v>0.83323010925037821</v>
      </c>
      <c r="C256" s="201">
        <v>0.16676989074962181</v>
      </c>
    </row>
    <row r="257" spans="1:3">
      <c r="A257" s="118">
        <v>45138</v>
      </c>
      <c r="B257" s="201">
        <v>0.83298548948719409</v>
      </c>
      <c r="C257" s="201">
        <v>0.16701451051280605</v>
      </c>
    </row>
    <row r="258" spans="1:3">
      <c r="A258" s="118">
        <v>45169</v>
      </c>
      <c r="B258" s="201">
        <v>0.83314811844361547</v>
      </c>
      <c r="C258" s="201">
        <v>0.16685188155638456</v>
      </c>
    </row>
    <row r="259" spans="1:3">
      <c r="A259" s="118">
        <v>45199</v>
      </c>
      <c r="B259" s="201">
        <v>0.8252825190325267</v>
      </c>
      <c r="C259" s="201">
        <v>0.17471748096747328</v>
      </c>
    </row>
    <row r="260" spans="1:3">
      <c r="A260" s="118">
        <v>45230</v>
      </c>
      <c r="B260" s="201">
        <v>0.82312666846886706</v>
      </c>
      <c r="C260" s="201">
        <v>0.17687333153113297</v>
      </c>
    </row>
    <row r="261" spans="1:3">
      <c r="A261" s="118">
        <v>45260</v>
      </c>
      <c r="B261" s="201">
        <v>0.82269422896608668</v>
      </c>
      <c r="C261" s="201">
        <v>0.17730577103391335</v>
      </c>
    </row>
    <row r="262" spans="1:3">
      <c r="A262" s="118">
        <v>45291</v>
      </c>
      <c r="B262" s="201">
        <v>0.8143610742830043</v>
      </c>
      <c r="C262" s="201">
        <v>0.18563892571699564</v>
      </c>
    </row>
    <row r="263" spans="1:3">
      <c r="A263" s="118">
        <v>45322</v>
      </c>
      <c r="B263" s="201">
        <v>0.81306113125008483</v>
      </c>
      <c r="C263" s="201">
        <v>0.18693886874991519</v>
      </c>
    </row>
    <row r="264" spans="1:3">
      <c r="A264" s="118">
        <v>45350</v>
      </c>
      <c r="B264" s="201">
        <v>0.81314534828390261</v>
      </c>
      <c r="C264" s="201">
        <v>0.18685465171609744</v>
      </c>
    </row>
    <row r="265" spans="1:3">
      <c r="A265" s="118">
        <v>45382</v>
      </c>
      <c r="B265" s="201">
        <v>0.82063928503232164</v>
      </c>
      <c r="C265" s="201">
        <v>0.17936071496767836</v>
      </c>
    </row>
    <row r="266" spans="1:3">
      <c r="A266" s="118">
        <v>45412</v>
      </c>
      <c r="B266" s="201">
        <v>0.8233483238370275</v>
      </c>
      <c r="C266" s="201">
        <v>0.17665167616297245</v>
      </c>
    </row>
    <row r="267" spans="1:3">
      <c r="A267" s="118">
        <v>45443</v>
      </c>
      <c r="B267" s="201">
        <v>0.82549835334035082</v>
      </c>
      <c r="C267" s="201">
        <v>0.17450164665964912</v>
      </c>
    </row>
    <row r="268" spans="1:3">
      <c r="A268" s="118">
        <v>45473</v>
      </c>
      <c r="B268" s="201">
        <v>0.82501730415003716</v>
      </c>
      <c r="C268" s="201">
        <v>0.17498269584996284</v>
      </c>
    </row>
    <row r="269" spans="1:3">
      <c r="A269" s="118">
        <v>45504</v>
      </c>
      <c r="B269" s="201">
        <v>0.81712385228241347</v>
      </c>
      <c r="C269" s="201">
        <v>0.18287614771758653</v>
      </c>
    </row>
    <row r="270" spans="1:3">
      <c r="A270" s="118">
        <v>45535</v>
      </c>
      <c r="B270" s="201">
        <v>0.82324576488801848</v>
      </c>
      <c r="C270" s="201">
        <v>0.17675423511198146</v>
      </c>
    </row>
    <row r="271" spans="1:3">
      <c r="A271" s="118">
        <v>45565</v>
      </c>
      <c r="B271" s="201">
        <v>0.82273713377307311</v>
      </c>
      <c r="C271" s="201">
        <v>0.17726286622692686</v>
      </c>
    </row>
    <row r="272" spans="1:3">
      <c r="A272" s="118">
        <v>45596</v>
      </c>
      <c r="B272" s="201">
        <v>0.82243509292386063</v>
      </c>
      <c r="C272" s="201">
        <v>0.17756490707613948</v>
      </c>
    </row>
    <row r="273" spans="1:3">
      <c r="A273" s="118">
        <v>45626</v>
      </c>
      <c r="B273" s="201">
        <v>0.82876631148028268</v>
      </c>
      <c r="C273" s="201">
        <v>0.17123368851971738</v>
      </c>
    </row>
    <row r="274" spans="1:3">
      <c r="A274" s="118">
        <v>45657</v>
      </c>
      <c r="B274" s="201">
        <v>0.83116197822896642</v>
      </c>
      <c r="C274" s="201">
        <v>0.16883802177103355</v>
      </c>
    </row>
  </sheetData>
  <phoneticPr fontId="15" type="noConversion"/>
  <pageMargins left="0.23622047244094491" right="0.23622047244094491" top="0.74803149606299213" bottom="0.74803149606299213" header="0.31496062992125984" footer="0.31496062992125984"/>
  <pageSetup fitToHeight="99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Drop Down 1">
              <controlPr defaultSize="0" print="0" autoLine="0" autoPict="0">
                <anchor>
                  <from>
                    <xdr:col>0</xdr:col>
                    <xdr:colOff>381000</xdr:colOff>
                    <xdr:row>1</xdr:row>
                    <xdr:rowOff>85725</xdr:rowOff>
                  </from>
                  <to>
                    <xdr:col>1</xdr:col>
                    <xdr:colOff>1952625</xdr:colOff>
                    <xdr:row>2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7D62-9AF2-40F5-BA3D-DD9C1B281300}">
  <sheetPr codeName="Hoja5">
    <tabColor rgb="FFB48C41"/>
    <pageSetUpPr fitToPage="1"/>
  </sheetPr>
  <dimension ref="A1:N274"/>
  <sheetViews>
    <sheetView showGridLines="0" zoomScale="85" zoomScaleNormal="85" workbookViewId="0">
      <pane ySplit="22" topLeftCell="A252" activePane="bottomLeft" state="frozen"/>
      <selection activeCell="Z846" sqref="Z846"/>
      <selection pane="bottomLeft" activeCell="B274" sqref="B274:C274"/>
    </sheetView>
  </sheetViews>
  <sheetFormatPr baseColWidth="10" defaultColWidth="0" defaultRowHeight="12.75"/>
  <cols>
    <col min="1" max="1" width="14.7109375" style="91" customWidth="1"/>
    <col min="2" max="3" width="25.7109375" style="91" customWidth="1"/>
    <col min="4" max="4" width="83" style="80" customWidth="1"/>
    <col min="5" max="16384" width="0" style="80" hidden="1"/>
  </cols>
  <sheetData>
    <row r="1" spans="1:1" s="110" customFormat="1" ht="12.75" customHeight="1">
      <c r="A1" s="116"/>
    </row>
    <row r="2" spans="1:1" s="110" customFormat="1" ht="12.75" customHeight="1">
      <c r="A2" s="125"/>
    </row>
    <row r="3" spans="1:1" s="110" customFormat="1" ht="12.75" customHeight="1">
      <c r="A3" s="125"/>
    </row>
    <row r="4" spans="1:1" s="110" customFormat="1" ht="12.75" customHeight="1"/>
    <row r="5" spans="1:1" s="110" customFormat="1" ht="12.75" customHeight="1">
      <c r="A5" s="126"/>
    </row>
    <row r="6" spans="1:1" s="80" customFormat="1" ht="12.75" customHeight="1">
      <c r="A6" s="127"/>
    </row>
    <row r="7" spans="1:1" s="80" customFormat="1" ht="12.75" customHeight="1">
      <c r="A7" s="127"/>
    </row>
    <row r="8" spans="1:1" s="80" customFormat="1" ht="12.75" customHeight="1">
      <c r="A8" s="127"/>
    </row>
    <row r="9" spans="1:1" s="80" customFormat="1" ht="12.75" customHeight="1">
      <c r="A9" s="127"/>
    </row>
    <row r="10" spans="1:1" s="80" customFormat="1" ht="12.75" customHeight="1">
      <c r="A10" s="127"/>
    </row>
    <row r="11" spans="1:1" s="80" customFormat="1" ht="12.75" customHeight="1">
      <c r="A11" s="127"/>
    </row>
    <row r="12" spans="1:1" s="80" customFormat="1" ht="12.75" customHeight="1">
      <c r="A12" s="127"/>
    </row>
    <row r="13" spans="1:1" s="80" customFormat="1" ht="12.75" customHeight="1">
      <c r="A13" s="127"/>
    </row>
    <row r="14" spans="1:1" s="80" customFormat="1" ht="12.75" customHeight="1">
      <c r="A14" s="127"/>
    </row>
    <row r="15" spans="1:1" s="80" customFormat="1" ht="12.75" customHeight="1">
      <c r="A15" s="127"/>
    </row>
    <row r="16" spans="1:1" s="80" customFormat="1" ht="12.75" customHeight="1">
      <c r="A16" s="127"/>
    </row>
    <row r="17" spans="1:7" ht="12.75" customHeight="1">
      <c r="A17" s="127"/>
      <c r="B17" s="80"/>
      <c r="C17" s="80"/>
    </row>
    <row r="18" spans="1:7" ht="12.75" customHeight="1">
      <c r="A18" s="127"/>
      <c r="B18" s="80"/>
      <c r="C18" s="80"/>
    </row>
    <row r="19" spans="1:7" ht="12.75" customHeight="1">
      <c r="A19" s="127"/>
      <c r="B19" s="80"/>
      <c r="C19" s="80"/>
    </row>
    <row r="20" spans="1:7" ht="12.75" customHeight="1">
      <c r="A20" s="303"/>
      <c r="B20" s="290" t="str">
        <f>Tasa_totalSección_título_etiqueta</f>
        <v>Composición por tasa de interés - deuda total</v>
      </c>
      <c r="C20" s="289"/>
      <c r="D20" s="145"/>
      <c r="E20" s="145"/>
      <c r="F20" s="145"/>
      <c r="G20" s="145"/>
    </row>
    <row r="21" spans="1:7" ht="12.75" customHeight="1">
      <c r="A21" s="303"/>
      <c r="B21" s="290" t="str">
        <f>Tasa_totalSección_subtítulo_etiqueta</f>
        <v>(% de deuda total)</v>
      </c>
      <c r="C21" s="289"/>
      <c r="D21" s="145"/>
      <c r="E21" s="145"/>
      <c r="F21" s="145"/>
      <c r="G21" s="145"/>
    </row>
    <row r="22" spans="1:7">
      <c r="A22" s="192" t="str">
        <f>Indice_PrincipalFecha_corte_etiqueta</f>
        <v>Fecha corte</v>
      </c>
      <c r="B22" s="193" t="str">
        <f>Tasa_totalColumna_título_etiqueta</f>
        <v>Tasa fija</v>
      </c>
      <c r="C22" s="193" t="str">
        <f>Tasa_totalColumna_título_etiqueta_2</f>
        <v>Tasa variable</v>
      </c>
      <c r="D22" s="146"/>
      <c r="E22" s="146"/>
      <c r="F22" s="146"/>
      <c r="G22" s="146"/>
    </row>
    <row r="23" spans="1:7">
      <c r="A23" s="118">
        <v>38017</v>
      </c>
      <c r="B23" s="184">
        <v>0.79007638149610082</v>
      </c>
      <c r="C23" s="184">
        <v>0.20992361850389926</v>
      </c>
    </row>
    <row r="24" spans="1:7">
      <c r="A24" s="118">
        <v>38046</v>
      </c>
      <c r="B24" s="184">
        <v>0.79161419451319959</v>
      </c>
      <c r="C24" s="184">
        <v>0.2083858054868</v>
      </c>
    </row>
    <row r="25" spans="1:7">
      <c r="A25" s="118">
        <v>38077</v>
      </c>
      <c r="B25" s="184">
        <v>0.79512051544100837</v>
      </c>
      <c r="C25" s="184">
        <v>0.20487948455899158</v>
      </c>
    </row>
    <row r="26" spans="1:7">
      <c r="A26" s="118">
        <v>38107</v>
      </c>
      <c r="B26" s="184">
        <v>0.79255534220513357</v>
      </c>
      <c r="C26" s="184">
        <v>0.20744465779486632</v>
      </c>
    </row>
    <row r="27" spans="1:7">
      <c r="A27" s="118">
        <v>38138</v>
      </c>
      <c r="B27" s="184">
        <v>0.79251697507182794</v>
      </c>
      <c r="C27" s="184">
        <v>0.20748302492817214</v>
      </c>
    </row>
    <row r="28" spans="1:7">
      <c r="A28" s="118">
        <v>38168</v>
      </c>
      <c r="B28" s="184">
        <v>0.78787091304757206</v>
      </c>
      <c r="C28" s="184">
        <v>0.21212908695242794</v>
      </c>
    </row>
    <row r="29" spans="1:7">
      <c r="A29" s="118">
        <v>38199</v>
      </c>
      <c r="B29" s="184">
        <v>0.79243107606257213</v>
      </c>
      <c r="C29" s="184">
        <v>0.20756892393742782</v>
      </c>
    </row>
    <row r="30" spans="1:7">
      <c r="A30" s="118">
        <v>38230</v>
      </c>
      <c r="B30" s="184">
        <v>0.7931261633006218</v>
      </c>
      <c r="C30" s="184">
        <v>0.20687383669937814</v>
      </c>
    </row>
    <row r="31" spans="1:7">
      <c r="A31" s="118">
        <v>38260</v>
      </c>
      <c r="B31" s="184">
        <v>0.7996832928523947</v>
      </c>
      <c r="C31" s="184">
        <v>0.20031670714760536</v>
      </c>
    </row>
    <row r="32" spans="1:7">
      <c r="A32" s="118">
        <v>38291</v>
      </c>
      <c r="B32" s="184">
        <v>0.79152292014866332</v>
      </c>
      <c r="C32" s="184">
        <v>0.20847707985133676</v>
      </c>
    </row>
    <row r="33" spans="1:3">
      <c r="A33" s="118">
        <v>38321</v>
      </c>
      <c r="B33" s="184">
        <v>0.79658552247195713</v>
      </c>
      <c r="C33" s="184">
        <v>0.20341447752804281</v>
      </c>
    </row>
    <row r="34" spans="1:3">
      <c r="A34" s="118">
        <v>38352</v>
      </c>
      <c r="B34" s="184">
        <v>0.80224153514535235</v>
      </c>
      <c r="C34" s="184">
        <v>0.19775846485464768</v>
      </c>
    </row>
    <row r="35" spans="1:3">
      <c r="A35" s="118">
        <v>38383</v>
      </c>
      <c r="B35" s="184">
        <v>0.80744149760549244</v>
      </c>
      <c r="C35" s="184">
        <v>0.19255850239450747</v>
      </c>
    </row>
    <row r="36" spans="1:3">
      <c r="A36" s="118">
        <v>38411</v>
      </c>
      <c r="B36" s="184">
        <v>0.81400282202968421</v>
      </c>
      <c r="C36" s="184">
        <v>0.18599717797031579</v>
      </c>
    </row>
    <row r="37" spans="1:3">
      <c r="A37" s="118">
        <v>38442</v>
      </c>
      <c r="B37" s="184">
        <v>0.81537265325835961</v>
      </c>
      <c r="C37" s="184">
        <v>0.1846273467416403</v>
      </c>
    </row>
    <row r="38" spans="1:3">
      <c r="A38" s="118">
        <v>38472</v>
      </c>
      <c r="B38" s="184">
        <v>0.83491592028882033</v>
      </c>
      <c r="C38" s="184">
        <v>0.16508407971117967</v>
      </c>
    </row>
    <row r="39" spans="1:3">
      <c r="A39" s="118">
        <v>38503</v>
      </c>
      <c r="B39" s="184">
        <v>0.83192339141088689</v>
      </c>
      <c r="C39" s="184">
        <v>0.16807660858911316</v>
      </c>
    </row>
    <row r="40" spans="1:3">
      <c r="A40" s="118">
        <v>38533</v>
      </c>
      <c r="B40" s="184">
        <v>0.83507973395729962</v>
      </c>
      <c r="C40" s="184">
        <v>0.16492026604270033</v>
      </c>
    </row>
    <row r="41" spans="1:3">
      <c r="A41" s="118">
        <v>38564</v>
      </c>
      <c r="B41" s="184">
        <v>0.83882348771592485</v>
      </c>
      <c r="C41" s="184">
        <v>0.16117651228407537</v>
      </c>
    </row>
    <row r="42" spans="1:3">
      <c r="A42" s="118">
        <v>38595</v>
      </c>
      <c r="B42" s="184">
        <v>0.84793172205464296</v>
      </c>
      <c r="C42" s="184">
        <v>0.15206827794535718</v>
      </c>
    </row>
    <row r="43" spans="1:3">
      <c r="A43" s="118">
        <v>38625</v>
      </c>
      <c r="B43" s="184">
        <v>0.84646390801300386</v>
      </c>
      <c r="C43" s="184">
        <v>0.15353609198699608</v>
      </c>
    </row>
    <row r="44" spans="1:3">
      <c r="A44" s="118">
        <v>38656</v>
      </c>
      <c r="B44" s="184">
        <v>0.84617919262079111</v>
      </c>
      <c r="C44" s="184">
        <v>0.15382080737920906</v>
      </c>
    </row>
    <row r="45" spans="1:3">
      <c r="A45" s="118">
        <v>38686</v>
      </c>
      <c r="B45" s="184">
        <v>0.84636909792175152</v>
      </c>
      <c r="C45" s="184">
        <v>0.15363090207824842</v>
      </c>
    </row>
    <row r="46" spans="1:3">
      <c r="A46" s="118">
        <v>38717</v>
      </c>
      <c r="B46" s="184">
        <v>0.84657210200108035</v>
      </c>
      <c r="C46" s="184">
        <v>0.15342789799891954</v>
      </c>
    </row>
    <row r="47" spans="1:3">
      <c r="A47" s="118">
        <v>38748</v>
      </c>
      <c r="B47" s="184">
        <v>0.84935526535139205</v>
      </c>
      <c r="C47" s="184">
        <v>0.15064473464860806</v>
      </c>
    </row>
    <row r="48" spans="1:3">
      <c r="A48" s="118">
        <v>38776</v>
      </c>
      <c r="B48" s="184">
        <v>0.85226444572997673</v>
      </c>
      <c r="C48" s="184">
        <v>0.14773555427002338</v>
      </c>
    </row>
    <row r="49" spans="1:3">
      <c r="A49" s="118">
        <v>38807</v>
      </c>
      <c r="B49" s="184">
        <v>0.85810295373549672</v>
      </c>
      <c r="C49" s="184">
        <v>0.14189704626450339</v>
      </c>
    </row>
    <row r="50" spans="1:3">
      <c r="A50" s="118">
        <v>38837</v>
      </c>
      <c r="B50" s="184">
        <v>0.86211772809744602</v>
      </c>
      <c r="C50" s="184">
        <v>0.137882271902554</v>
      </c>
    </row>
    <row r="51" spans="1:3">
      <c r="A51" s="118">
        <v>38868</v>
      </c>
      <c r="B51" s="184">
        <v>0.86449996214790814</v>
      </c>
      <c r="C51" s="184">
        <v>0.13550003785209197</v>
      </c>
    </row>
    <row r="52" spans="1:3">
      <c r="A52" s="118">
        <v>38898</v>
      </c>
      <c r="B52" s="184">
        <v>0.8671248485763573</v>
      </c>
      <c r="C52" s="184">
        <v>0.13287515142364262</v>
      </c>
    </row>
    <row r="53" spans="1:3">
      <c r="A53" s="118">
        <v>38929</v>
      </c>
      <c r="B53" s="184">
        <v>0.86833393987306629</v>
      </c>
      <c r="C53" s="184">
        <v>0.13166606012693371</v>
      </c>
    </row>
    <row r="54" spans="1:3">
      <c r="A54" s="118">
        <v>38960</v>
      </c>
      <c r="B54" s="184">
        <v>0.86892301824447005</v>
      </c>
      <c r="C54" s="184">
        <v>0.13107698175553015</v>
      </c>
    </row>
    <row r="55" spans="1:3">
      <c r="A55" s="118">
        <v>38990</v>
      </c>
      <c r="B55" s="184">
        <v>0.87224439320301284</v>
      </c>
      <c r="C55" s="184">
        <v>0.12775560679698719</v>
      </c>
    </row>
    <row r="56" spans="1:3">
      <c r="A56" s="118">
        <v>39021</v>
      </c>
      <c r="B56" s="184">
        <v>0.87028578869945861</v>
      </c>
      <c r="C56" s="184">
        <v>0.12971421130054145</v>
      </c>
    </row>
    <row r="57" spans="1:3">
      <c r="A57" s="118">
        <v>39051</v>
      </c>
      <c r="B57" s="184">
        <v>0.87201752360202578</v>
      </c>
      <c r="C57" s="184">
        <v>0.12798247639797422</v>
      </c>
    </row>
    <row r="58" spans="1:3">
      <c r="A58" s="118">
        <v>39082</v>
      </c>
      <c r="B58" s="184">
        <v>0.86828366754988373</v>
      </c>
      <c r="C58" s="184">
        <v>0.13171633245011632</v>
      </c>
    </row>
    <row r="59" spans="1:3">
      <c r="A59" s="118">
        <v>39113</v>
      </c>
      <c r="B59" s="184">
        <v>0.86949704977865383</v>
      </c>
      <c r="C59" s="184">
        <v>0.13050295022134614</v>
      </c>
    </row>
    <row r="60" spans="1:3">
      <c r="A60" s="118">
        <v>39141</v>
      </c>
      <c r="B60" s="184">
        <v>0.87147049217591621</v>
      </c>
      <c r="C60" s="184">
        <v>0.12852950782408401</v>
      </c>
    </row>
    <row r="61" spans="1:3">
      <c r="A61" s="118">
        <v>39172</v>
      </c>
      <c r="B61" s="184">
        <v>0.86890676154728119</v>
      </c>
      <c r="C61" s="184">
        <v>0.13109323845271878</v>
      </c>
    </row>
    <row r="62" spans="1:3">
      <c r="A62" s="118">
        <v>39202</v>
      </c>
      <c r="B62" s="184">
        <v>0.87125834686205406</v>
      </c>
      <c r="C62" s="184">
        <v>0.12874165313794578</v>
      </c>
    </row>
    <row r="63" spans="1:3">
      <c r="A63" s="119">
        <v>39203</v>
      </c>
      <c r="B63" s="184">
        <v>0.87421424210221643</v>
      </c>
      <c r="C63" s="184">
        <v>0.12578575789778351</v>
      </c>
    </row>
    <row r="64" spans="1:3">
      <c r="A64" s="118">
        <v>39234</v>
      </c>
      <c r="B64" s="184">
        <v>0.87715421621207113</v>
      </c>
      <c r="C64" s="184">
        <v>0.12284578378792871</v>
      </c>
    </row>
    <row r="65" spans="1:3">
      <c r="A65" s="118">
        <v>39264</v>
      </c>
      <c r="B65" s="184">
        <v>0.87818032776780619</v>
      </c>
      <c r="C65" s="184">
        <v>0.12181967223219384</v>
      </c>
    </row>
    <row r="66" spans="1:3">
      <c r="A66" s="118">
        <v>39325</v>
      </c>
      <c r="B66" s="184">
        <v>0.88110607873836055</v>
      </c>
      <c r="C66" s="184">
        <v>0.11889392126163952</v>
      </c>
    </row>
    <row r="67" spans="1:3">
      <c r="A67" s="118">
        <v>39355</v>
      </c>
      <c r="B67" s="184">
        <v>0.88058005340446943</v>
      </c>
      <c r="C67" s="184">
        <v>0.11941994659553093</v>
      </c>
    </row>
    <row r="68" spans="1:3">
      <c r="A68" s="118">
        <v>39386</v>
      </c>
      <c r="B68" s="184">
        <v>0.88469147911643131</v>
      </c>
      <c r="C68" s="184">
        <v>0.11530852088356899</v>
      </c>
    </row>
    <row r="69" spans="1:3">
      <c r="A69" s="118">
        <v>39416</v>
      </c>
      <c r="B69" s="184">
        <v>0.88153304372509778</v>
      </c>
      <c r="C69" s="184">
        <v>0.11846695723806169</v>
      </c>
    </row>
    <row r="70" spans="1:3">
      <c r="A70" s="118">
        <v>39447</v>
      </c>
      <c r="B70" s="184">
        <v>0.87827177153296176</v>
      </c>
      <c r="C70" s="184">
        <v>0.12172822940496811</v>
      </c>
    </row>
    <row r="71" spans="1:3">
      <c r="A71" s="118">
        <v>39478</v>
      </c>
      <c r="B71" s="184">
        <v>0.88199820652181271</v>
      </c>
      <c r="C71" s="184">
        <v>0.11800179437443398</v>
      </c>
    </row>
    <row r="72" spans="1:3">
      <c r="A72" s="118">
        <v>39507</v>
      </c>
      <c r="B72" s="184">
        <v>0.88535188363187789</v>
      </c>
      <c r="C72" s="184">
        <v>0.11464811636812199</v>
      </c>
    </row>
    <row r="73" spans="1:3">
      <c r="A73" s="118">
        <v>39538</v>
      </c>
      <c r="B73" s="184">
        <v>0.8836530916241736</v>
      </c>
      <c r="C73" s="184">
        <v>0.11634690837582659</v>
      </c>
    </row>
    <row r="74" spans="1:3">
      <c r="A74" s="118">
        <v>39568</v>
      </c>
      <c r="B74" s="184">
        <v>0.88460831880374946</v>
      </c>
      <c r="C74" s="184">
        <v>0.11539168119625061</v>
      </c>
    </row>
    <row r="75" spans="1:3">
      <c r="A75" s="118">
        <v>39599</v>
      </c>
      <c r="B75" s="184">
        <v>0.89116151421322354</v>
      </c>
      <c r="C75" s="184">
        <v>0.10883848578677655</v>
      </c>
    </row>
    <row r="76" spans="1:3">
      <c r="A76" s="118">
        <v>39629</v>
      </c>
      <c r="B76" s="184">
        <v>0.8945431496120998</v>
      </c>
      <c r="C76" s="184">
        <v>0.10545685038790027</v>
      </c>
    </row>
    <row r="77" spans="1:3">
      <c r="A77" s="118">
        <v>39660</v>
      </c>
      <c r="B77" s="184">
        <v>0.89718221155574707</v>
      </c>
      <c r="C77" s="184">
        <v>0.10281778844425302</v>
      </c>
    </row>
    <row r="78" spans="1:3">
      <c r="A78" s="118">
        <v>39691</v>
      </c>
      <c r="B78" s="184">
        <v>0.89370680544770364</v>
      </c>
      <c r="C78" s="184">
        <v>0.10629319455229631</v>
      </c>
    </row>
    <row r="79" spans="1:3">
      <c r="A79" s="118">
        <v>39721</v>
      </c>
      <c r="B79" s="184">
        <v>0.89235477498095239</v>
      </c>
      <c r="C79" s="184">
        <v>0.10764522501904762</v>
      </c>
    </row>
    <row r="80" spans="1:3">
      <c r="A80" s="118">
        <v>39752</v>
      </c>
      <c r="B80" s="184">
        <v>0.88770969647098241</v>
      </c>
      <c r="C80" s="184">
        <v>0.11229030352901757</v>
      </c>
    </row>
    <row r="81" spans="1:14">
      <c r="A81" s="118">
        <v>39782</v>
      </c>
      <c r="B81" s="184">
        <v>0.88965525828574921</v>
      </c>
      <c r="C81" s="184">
        <v>0.11034474171425075</v>
      </c>
    </row>
    <row r="82" spans="1:14">
      <c r="A82" s="118">
        <v>39813</v>
      </c>
      <c r="B82" s="184">
        <v>0.89162387487491102</v>
      </c>
      <c r="C82" s="184">
        <v>0.108376125125089</v>
      </c>
      <c r="E82" s="147"/>
      <c r="F82" s="147"/>
      <c r="G82" s="147"/>
      <c r="H82" s="147"/>
      <c r="I82" s="147"/>
      <c r="J82" s="147"/>
      <c r="K82" s="147"/>
      <c r="L82" s="147"/>
      <c r="M82" s="147"/>
      <c r="N82" s="147"/>
    </row>
    <row r="83" spans="1:14">
      <c r="A83" s="118">
        <v>39844</v>
      </c>
      <c r="B83" s="184">
        <v>0.89806584264009626</v>
      </c>
      <c r="C83" s="184">
        <v>0.10193415735990378</v>
      </c>
    </row>
    <row r="84" spans="1:14">
      <c r="A84" s="118">
        <v>39872</v>
      </c>
      <c r="B84" s="184">
        <v>0.89491386755636726</v>
      </c>
      <c r="C84" s="184">
        <v>0.10508613244363259</v>
      </c>
    </row>
    <row r="85" spans="1:14">
      <c r="A85" s="118">
        <v>39903</v>
      </c>
      <c r="B85" s="184">
        <v>0.91272665423084209</v>
      </c>
      <c r="C85" s="184">
        <v>8.7273345769157962E-2</v>
      </c>
    </row>
    <row r="86" spans="1:14">
      <c r="A86" s="118">
        <v>39933</v>
      </c>
      <c r="B86" s="184">
        <v>0.92158639586857272</v>
      </c>
      <c r="C86" s="184">
        <v>7.8413604131427089E-2</v>
      </c>
    </row>
    <row r="87" spans="1:14">
      <c r="A87" s="118">
        <v>39964</v>
      </c>
      <c r="B87" s="184">
        <v>0.9137595186930646</v>
      </c>
      <c r="C87" s="184">
        <v>8.6240481306935415E-2</v>
      </c>
    </row>
    <row r="88" spans="1:14">
      <c r="A88" s="118">
        <v>39994</v>
      </c>
      <c r="B88" s="184">
        <v>0.91563527340491901</v>
      </c>
      <c r="C88" s="184">
        <v>8.436472659508093E-2</v>
      </c>
    </row>
    <row r="89" spans="1:14">
      <c r="A89" s="118">
        <v>40025</v>
      </c>
      <c r="B89" s="184">
        <v>0.9131574740761581</v>
      </c>
      <c r="C89" s="184">
        <v>8.6842525923841993E-2</v>
      </c>
    </row>
    <row r="90" spans="1:14">
      <c r="A90" s="118">
        <v>40056</v>
      </c>
      <c r="B90" s="184">
        <v>0.91632784606806195</v>
      </c>
      <c r="C90" s="184">
        <v>8.3672153931938054E-2</v>
      </c>
    </row>
    <row r="91" spans="1:14">
      <c r="A91" s="118">
        <v>40086</v>
      </c>
      <c r="B91" s="184">
        <v>0.91328424684668352</v>
      </c>
      <c r="C91" s="184">
        <v>8.6715753153316366E-2</v>
      </c>
    </row>
    <row r="92" spans="1:14">
      <c r="A92" s="118">
        <v>40117</v>
      </c>
      <c r="B92" s="184">
        <v>0.90202516619176698</v>
      </c>
      <c r="C92" s="184">
        <v>9.7974833808233033E-2</v>
      </c>
    </row>
    <row r="93" spans="1:14">
      <c r="A93" s="118">
        <v>40147</v>
      </c>
      <c r="B93" s="184">
        <v>0.91452485448474319</v>
      </c>
      <c r="C93" s="184">
        <v>8.5475145515256826E-2</v>
      </c>
    </row>
    <row r="94" spans="1:14">
      <c r="A94" s="118">
        <v>40178</v>
      </c>
      <c r="B94" s="184">
        <v>0.90905990292447658</v>
      </c>
      <c r="C94" s="184">
        <v>9.094009707552346E-2</v>
      </c>
    </row>
    <row r="95" spans="1:14">
      <c r="A95" s="118">
        <v>40209</v>
      </c>
      <c r="B95" s="184">
        <v>0.91208327752687901</v>
      </c>
      <c r="C95" s="184">
        <v>8.7916722473121073E-2</v>
      </c>
    </row>
    <row r="96" spans="1:14">
      <c r="A96" s="118">
        <v>40237</v>
      </c>
      <c r="B96" s="184">
        <v>0.90559658845190616</v>
      </c>
      <c r="C96" s="184">
        <v>9.4403411548093757E-2</v>
      </c>
    </row>
    <row r="97" spans="1:3">
      <c r="A97" s="118">
        <v>40268</v>
      </c>
      <c r="B97" s="184">
        <v>0.91878123253673827</v>
      </c>
      <c r="C97" s="184">
        <v>8.1218767463261649E-2</v>
      </c>
    </row>
    <row r="98" spans="1:3">
      <c r="A98" s="118">
        <v>40298</v>
      </c>
      <c r="B98" s="184">
        <v>0.91489248517184418</v>
      </c>
      <c r="C98" s="184">
        <v>8.5107514828155761E-2</v>
      </c>
    </row>
    <row r="99" spans="1:3">
      <c r="A99" s="118">
        <v>40329</v>
      </c>
      <c r="B99" s="184">
        <v>0.91530645135032596</v>
      </c>
      <c r="C99" s="184">
        <v>8.4693548649674141E-2</v>
      </c>
    </row>
    <row r="100" spans="1:3">
      <c r="A100" s="118">
        <v>40359</v>
      </c>
      <c r="B100" s="184">
        <v>0.91656990400113469</v>
      </c>
      <c r="C100" s="184">
        <v>8.3430095998865125E-2</v>
      </c>
    </row>
    <row r="101" spans="1:3">
      <c r="A101" s="118">
        <v>40390</v>
      </c>
      <c r="B101" s="184">
        <v>0.91832471468731824</v>
      </c>
      <c r="C101" s="184">
        <v>8.1675285312681617E-2</v>
      </c>
    </row>
    <row r="102" spans="1:3">
      <c r="A102" s="118">
        <v>40421</v>
      </c>
      <c r="B102" s="184">
        <v>0.92005209730186155</v>
      </c>
      <c r="C102" s="184">
        <v>7.9947902698138562E-2</v>
      </c>
    </row>
    <row r="103" spans="1:3">
      <c r="A103" s="118">
        <v>40451</v>
      </c>
      <c r="B103" s="184">
        <v>0.92000590643798907</v>
      </c>
      <c r="C103" s="184">
        <v>7.9994093562010787E-2</v>
      </c>
    </row>
    <row r="104" spans="1:3">
      <c r="A104" s="118">
        <v>40482</v>
      </c>
      <c r="B104" s="184">
        <v>0.91807284880479745</v>
      </c>
      <c r="C104" s="184">
        <v>8.1927151195202511E-2</v>
      </c>
    </row>
    <row r="105" spans="1:3">
      <c r="A105" s="118">
        <v>40512</v>
      </c>
      <c r="B105" s="184">
        <v>0.91498524674495996</v>
      </c>
      <c r="C105" s="184">
        <v>8.5014753255039932E-2</v>
      </c>
    </row>
    <row r="106" spans="1:3">
      <c r="A106" s="118">
        <v>40543</v>
      </c>
      <c r="B106" s="184">
        <v>0.91522409398612004</v>
      </c>
      <c r="C106" s="184">
        <v>8.4775906013880173E-2</v>
      </c>
    </row>
    <row r="107" spans="1:3">
      <c r="A107" s="118">
        <v>40574</v>
      </c>
      <c r="B107" s="184">
        <v>0.91370059875340803</v>
      </c>
      <c r="C107" s="184">
        <v>8.6299401246592258E-2</v>
      </c>
    </row>
    <row r="108" spans="1:3">
      <c r="A108" s="118">
        <v>40602</v>
      </c>
      <c r="B108" s="184">
        <v>0.91472593061165186</v>
      </c>
      <c r="C108" s="184">
        <v>8.5274069388348195E-2</v>
      </c>
    </row>
    <row r="109" spans="1:3">
      <c r="A109" s="118">
        <v>40633</v>
      </c>
      <c r="B109" s="184">
        <v>0.91582869552094959</v>
      </c>
      <c r="C109" s="184">
        <v>8.4171304479050302E-2</v>
      </c>
    </row>
    <row r="110" spans="1:3">
      <c r="A110" s="118">
        <v>40663</v>
      </c>
      <c r="B110" s="184">
        <v>0.91910222001921771</v>
      </c>
      <c r="C110" s="184">
        <v>8.0897779980782264E-2</v>
      </c>
    </row>
    <row r="111" spans="1:3">
      <c r="A111" s="118">
        <v>40694</v>
      </c>
      <c r="B111" s="184">
        <v>0.91565385280812139</v>
      </c>
      <c r="C111" s="184">
        <v>8.4346147191878648E-2</v>
      </c>
    </row>
    <row r="112" spans="1:3">
      <c r="A112" s="118">
        <v>40724</v>
      </c>
      <c r="B112" s="184">
        <v>0.9343337368980652</v>
      </c>
      <c r="C112" s="184">
        <v>6.5666263101934741E-2</v>
      </c>
    </row>
    <row r="113" spans="1:3">
      <c r="A113" s="118">
        <v>40755</v>
      </c>
      <c r="B113" s="184">
        <v>0.93647397160859891</v>
      </c>
      <c r="C113" s="184">
        <v>6.3526028391401243E-2</v>
      </c>
    </row>
    <row r="114" spans="1:3">
      <c r="A114" s="118">
        <v>40786</v>
      </c>
      <c r="B114" s="184">
        <v>0.93715022219875987</v>
      </c>
      <c r="C114" s="184">
        <v>6.2849777801240195E-2</v>
      </c>
    </row>
    <row r="115" spans="1:3">
      <c r="A115" s="118">
        <v>40816</v>
      </c>
      <c r="B115" s="184">
        <v>0.93439313066343832</v>
      </c>
      <c r="C115" s="184">
        <v>6.5606869336561666E-2</v>
      </c>
    </row>
    <row r="116" spans="1:3">
      <c r="A116" s="118">
        <v>40847</v>
      </c>
      <c r="B116" s="184">
        <v>0.93511912442921608</v>
      </c>
      <c r="C116" s="184">
        <v>6.4880875570783966E-2</v>
      </c>
    </row>
    <row r="117" spans="1:3">
      <c r="A117" s="118">
        <v>40877</v>
      </c>
      <c r="B117" s="184">
        <v>0.93025558761644389</v>
      </c>
      <c r="C117" s="184">
        <v>6.9744412383556068E-2</v>
      </c>
    </row>
    <row r="118" spans="1:3">
      <c r="A118" s="118">
        <v>40878</v>
      </c>
      <c r="B118" s="184">
        <v>0.92801496628010416</v>
      </c>
      <c r="C118" s="184">
        <v>7.1985033719895813E-2</v>
      </c>
    </row>
    <row r="119" spans="1:3">
      <c r="A119" s="118">
        <v>40909</v>
      </c>
      <c r="B119" s="184">
        <v>0.93267961001454847</v>
      </c>
      <c r="C119" s="184">
        <v>6.7320389985451271E-2</v>
      </c>
    </row>
    <row r="120" spans="1:3">
      <c r="A120" s="118">
        <v>40940</v>
      </c>
      <c r="B120" s="184">
        <v>0.93464605824397085</v>
      </c>
      <c r="C120" s="184">
        <v>6.5353941756028988E-2</v>
      </c>
    </row>
    <row r="121" spans="1:3">
      <c r="A121" s="118">
        <v>40969</v>
      </c>
      <c r="B121" s="184">
        <v>0.93435220207817093</v>
      </c>
      <c r="C121" s="184">
        <v>6.5647797921829176E-2</v>
      </c>
    </row>
    <row r="122" spans="1:3">
      <c r="A122" s="118">
        <v>41000</v>
      </c>
      <c r="B122" s="184">
        <v>0.93475122308133729</v>
      </c>
      <c r="C122" s="184">
        <v>6.5248776918662738E-2</v>
      </c>
    </row>
    <row r="123" spans="1:3">
      <c r="A123" s="118">
        <v>41030</v>
      </c>
      <c r="B123" s="184">
        <v>0.93317477571142271</v>
      </c>
      <c r="C123" s="184">
        <v>6.6825224288577442E-2</v>
      </c>
    </row>
    <row r="124" spans="1:3">
      <c r="A124" s="118">
        <v>41061</v>
      </c>
      <c r="B124" s="184">
        <v>0.93387771437681666</v>
      </c>
      <c r="C124" s="184">
        <v>6.6122285623183508E-2</v>
      </c>
    </row>
    <row r="125" spans="1:3">
      <c r="A125" s="118">
        <v>41091</v>
      </c>
      <c r="B125" s="184">
        <v>0.93505446948072812</v>
      </c>
      <c r="C125" s="184">
        <v>6.4945530519271932E-2</v>
      </c>
    </row>
    <row r="126" spans="1:3">
      <c r="A126" s="118">
        <v>41122</v>
      </c>
      <c r="B126" s="184">
        <v>0.93357102423252203</v>
      </c>
      <c r="C126" s="184">
        <v>6.6428975767477874E-2</v>
      </c>
    </row>
    <row r="127" spans="1:3">
      <c r="A127" s="118">
        <v>41182</v>
      </c>
      <c r="B127" s="184">
        <v>0.93688814670737952</v>
      </c>
      <c r="C127" s="184">
        <v>6.3111853292620562E-2</v>
      </c>
    </row>
    <row r="128" spans="1:3">
      <c r="A128" s="118">
        <v>41213</v>
      </c>
      <c r="B128" s="184">
        <v>0.93600865506880015</v>
      </c>
      <c r="C128" s="184">
        <v>6.3991344931199734E-2</v>
      </c>
    </row>
    <row r="129" spans="1:3">
      <c r="A129" s="118">
        <v>41243</v>
      </c>
      <c r="B129" s="184">
        <v>0.93699790942609074</v>
      </c>
      <c r="C129" s="184">
        <v>6.3002090573909347E-2</v>
      </c>
    </row>
    <row r="130" spans="1:3">
      <c r="A130" s="118">
        <v>41274</v>
      </c>
      <c r="B130" s="184">
        <v>0.93378951757513051</v>
      </c>
      <c r="C130" s="184">
        <v>6.6210482424869391E-2</v>
      </c>
    </row>
    <row r="131" spans="1:3">
      <c r="A131" s="118">
        <v>41305</v>
      </c>
      <c r="B131" s="184">
        <v>0.93427665403972504</v>
      </c>
      <c r="C131" s="184">
        <v>6.5723345960274904E-2</v>
      </c>
    </row>
    <row r="132" spans="1:3">
      <c r="A132" s="118">
        <v>41333</v>
      </c>
      <c r="B132" s="184">
        <v>0.93588638689321013</v>
      </c>
      <c r="C132" s="184">
        <v>6.4113613106789827E-2</v>
      </c>
    </row>
    <row r="133" spans="1:3">
      <c r="A133" s="118">
        <v>41334</v>
      </c>
      <c r="B133" s="184">
        <v>0.94100418409418518</v>
      </c>
      <c r="C133" s="184">
        <v>5.8995815905814916E-2</v>
      </c>
    </row>
    <row r="134" spans="1:3">
      <c r="A134" s="118">
        <v>41394</v>
      </c>
      <c r="B134" s="184">
        <v>0.93903635571455402</v>
      </c>
      <c r="C134" s="184">
        <v>6.0963644285446282E-2</v>
      </c>
    </row>
    <row r="135" spans="1:3">
      <c r="A135" s="118">
        <v>41425</v>
      </c>
      <c r="B135" s="184">
        <v>0.93905790756296637</v>
      </c>
      <c r="C135" s="184">
        <v>6.0942092437033621E-2</v>
      </c>
    </row>
    <row r="136" spans="1:3">
      <c r="A136" s="118">
        <v>41455</v>
      </c>
      <c r="B136" s="184">
        <v>0.93856481344724552</v>
      </c>
      <c r="C136" s="184">
        <v>6.1435186552754539E-2</v>
      </c>
    </row>
    <row r="137" spans="1:3">
      <c r="A137" s="118">
        <v>41486</v>
      </c>
      <c r="B137" s="184">
        <v>0.94063068705904895</v>
      </c>
      <c r="C137" s="184">
        <v>5.9369312940951061E-2</v>
      </c>
    </row>
    <row r="138" spans="1:3">
      <c r="A138" s="118">
        <v>41517</v>
      </c>
      <c r="B138" s="184">
        <v>0.93853840447962045</v>
      </c>
      <c r="C138" s="184">
        <v>6.1461595520379483E-2</v>
      </c>
    </row>
    <row r="139" spans="1:3">
      <c r="A139" s="118">
        <v>41547</v>
      </c>
      <c r="B139" s="184">
        <v>0.93677967584323218</v>
      </c>
      <c r="C139" s="184">
        <v>6.3220324156767815E-2</v>
      </c>
    </row>
    <row r="140" spans="1:3">
      <c r="A140" s="118">
        <v>41578</v>
      </c>
      <c r="B140" s="184">
        <v>0.93825675103897865</v>
      </c>
      <c r="C140" s="184">
        <v>6.1743248961021374E-2</v>
      </c>
    </row>
    <row r="141" spans="1:3">
      <c r="A141" s="118">
        <v>41608</v>
      </c>
      <c r="B141" s="184">
        <v>0.93666006338918484</v>
      </c>
      <c r="C141" s="184">
        <v>6.3339936610815134E-2</v>
      </c>
    </row>
    <row r="142" spans="1:3">
      <c r="A142" s="118">
        <v>41639</v>
      </c>
      <c r="B142" s="184">
        <v>0.93504942558069359</v>
      </c>
      <c r="C142" s="184">
        <v>6.4950574419306434E-2</v>
      </c>
    </row>
    <row r="143" spans="1:3">
      <c r="A143" s="118">
        <v>41670</v>
      </c>
      <c r="B143" s="184">
        <v>0.93294847982978946</v>
      </c>
      <c r="C143" s="184">
        <v>6.7051520170210543E-2</v>
      </c>
    </row>
    <row r="144" spans="1:3">
      <c r="A144" s="118">
        <v>41698</v>
      </c>
      <c r="B144" s="184">
        <v>0.93289271723333222</v>
      </c>
      <c r="C144" s="184">
        <v>6.7107282766667678E-2</v>
      </c>
    </row>
    <row r="145" spans="1:3">
      <c r="A145" s="118">
        <v>41729</v>
      </c>
      <c r="B145" s="184">
        <v>0.93648075639020756</v>
      </c>
      <c r="C145" s="184">
        <v>6.3519243609792414E-2</v>
      </c>
    </row>
    <row r="146" spans="1:3">
      <c r="A146" s="118">
        <v>41759</v>
      </c>
      <c r="B146" s="184">
        <v>0.93901995006906536</v>
      </c>
      <c r="C146" s="184">
        <v>6.098004993093481E-2</v>
      </c>
    </row>
    <row r="147" spans="1:3">
      <c r="A147" s="118">
        <v>41790</v>
      </c>
      <c r="B147" s="184">
        <v>0.93793072770001928</v>
      </c>
      <c r="C147" s="184">
        <v>6.2069272299980632E-2</v>
      </c>
    </row>
    <row r="148" spans="1:3">
      <c r="A148" s="118">
        <v>41820</v>
      </c>
      <c r="B148" s="184">
        <v>0.9399655138838704</v>
      </c>
      <c r="C148" s="184">
        <v>6.0034486116129812E-2</v>
      </c>
    </row>
    <row r="149" spans="1:3">
      <c r="A149" s="118">
        <v>41851</v>
      </c>
      <c r="B149" s="184">
        <v>0.94060048717691547</v>
      </c>
      <c r="C149" s="184">
        <v>5.939951282308456E-2</v>
      </c>
    </row>
    <row r="150" spans="1:3">
      <c r="A150" s="118">
        <v>41882</v>
      </c>
      <c r="B150" s="184">
        <v>0.94216866906383101</v>
      </c>
      <c r="C150" s="184">
        <v>5.78313309361689E-2</v>
      </c>
    </row>
    <row r="151" spans="1:3">
      <c r="A151" s="118">
        <v>41912</v>
      </c>
      <c r="B151" s="184">
        <v>0.9425805969158545</v>
      </c>
      <c r="C151" s="184">
        <v>5.7419403084145379E-2</v>
      </c>
    </row>
    <row r="152" spans="1:3">
      <c r="A152" s="118">
        <v>41943</v>
      </c>
      <c r="B152" s="184">
        <v>0.94031164858502025</v>
      </c>
      <c r="C152" s="184">
        <v>5.9688351414979579E-2</v>
      </c>
    </row>
    <row r="153" spans="1:3">
      <c r="A153" s="118">
        <v>41973</v>
      </c>
      <c r="B153" s="184">
        <v>0.93694814604318355</v>
      </c>
      <c r="C153" s="184">
        <v>6.3051853956816589E-2</v>
      </c>
    </row>
    <row r="154" spans="1:3">
      <c r="A154" s="118">
        <v>42004</v>
      </c>
      <c r="B154" s="184">
        <v>0.91905557557486639</v>
      </c>
      <c r="C154" s="184">
        <v>8.0944424425133721E-2</v>
      </c>
    </row>
    <row r="155" spans="1:3">
      <c r="A155" s="118">
        <v>42035</v>
      </c>
      <c r="B155" s="184">
        <v>0.9203378122512117</v>
      </c>
      <c r="C155" s="184">
        <v>7.9662187748788221E-2</v>
      </c>
    </row>
    <row r="156" spans="1:3">
      <c r="A156" s="118">
        <v>42063</v>
      </c>
      <c r="B156" s="184">
        <v>0.91729232007718897</v>
      </c>
      <c r="C156" s="184">
        <v>8.2707679922810945E-2</v>
      </c>
    </row>
    <row r="157" spans="1:3">
      <c r="A157" s="118">
        <v>42094</v>
      </c>
      <c r="B157" s="184">
        <v>0.91729628777959626</v>
      </c>
      <c r="C157" s="184">
        <v>8.2703712220403847E-2</v>
      </c>
    </row>
    <row r="158" spans="1:3">
      <c r="A158" s="118">
        <v>42124</v>
      </c>
      <c r="B158" s="184">
        <v>0.92187586745744987</v>
      </c>
      <c r="C158" s="184">
        <v>7.8124132542550212E-2</v>
      </c>
    </row>
    <row r="159" spans="1:3">
      <c r="A159" s="118">
        <v>42155</v>
      </c>
      <c r="B159" s="184">
        <v>0.91967836865985197</v>
      </c>
      <c r="C159" s="184">
        <v>8.0321631340148039E-2</v>
      </c>
    </row>
    <row r="160" spans="1:3">
      <c r="A160" s="118">
        <v>42185</v>
      </c>
      <c r="B160" s="184">
        <v>0.91883296765156153</v>
      </c>
      <c r="C160" s="184">
        <v>8.11670323484385E-2</v>
      </c>
    </row>
    <row r="161" spans="1:3">
      <c r="A161" s="118">
        <v>42216</v>
      </c>
      <c r="B161" s="184">
        <v>0.91176861260476028</v>
      </c>
      <c r="C161" s="184">
        <v>8.8231387395239835E-2</v>
      </c>
    </row>
    <row r="162" spans="1:3">
      <c r="A162" s="118">
        <v>42247</v>
      </c>
      <c r="B162" s="184">
        <v>0.90837626839301266</v>
      </c>
      <c r="C162" s="184">
        <v>9.1623731606987419E-2</v>
      </c>
    </row>
    <row r="163" spans="1:3">
      <c r="A163" s="118">
        <v>42277</v>
      </c>
      <c r="B163" s="184">
        <v>0.9117102904939447</v>
      </c>
      <c r="C163" s="184">
        <v>8.8289709506055442E-2</v>
      </c>
    </row>
    <row r="164" spans="1:3">
      <c r="A164" s="118">
        <v>42308</v>
      </c>
      <c r="B164" s="184">
        <v>0.90629884600608235</v>
      </c>
      <c r="C164" s="184">
        <v>9.3701153993917735E-2</v>
      </c>
    </row>
    <row r="165" spans="1:3">
      <c r="A165" s="118">
        <v>42338</v>
      </c>
      <c r="B165" s="184">
        <v>0.90315098108503866</v>
      </c>
      <c r="C165" s="184">
        <v>9.6849018914961255E-2</v>
      </c>
    </row>
    <row r="166" spans="1:3">
      <c r="A166" s="118">
        <v>42369</v>
      </c>
      <c r="B166" s="184">
        <v>0.89228437359622959</v>
      </c>
      <c r="C166" s="184">
        <v>0.10771562640377041</v>
      </c>
    </row>
    <row r="167" spans="1:3">
      <c r="A167" s="118">
        <v>42400</v>
      </c>
      <c r="B167" s="184">
        <v>0.88742431760647034</v>
      </c>
      <c r="C167" s="184">
        <v>0.11257568239352964</v>
      </c>
    </row>
    <row r="168" spans="1:3">
      <c r="A168" s="118">
        <v>42429</v>
      </c>
      <c r="B168" s="184">
        <v>0.8870545548309412</v>
      </c>
      <c r="C168" s="184">
        <v>0.11294544516905872</v>
      </c>
    </row>
    <row r="169" spans="1:3">
      <c r="A169" s="118">
        <v>42460</v>
      </c>
      <c r="B169" s="184">
        <v>0.89816429891553395</v>
      </c>
      <c r="C169" s="184">
        <v>0.10183570108446607</v>
      </c>
    </row>
    <row r="170" spans="1:3">
      <c r="A170" s="118">
        <v>42490</v>
      </c>
      <c r="B170" s="184">
        <v>0.90281148725622473</v>
      </c>
      <c r="C170" s="184">
        <v>9.718851274377531E-2</v>
      </c>
    </row>
    <row r="171" spans="1:3">
      <c r="A171" s="118">
        <v>42521</v>
      </c>
      <c r="B171" s="184">
        <v>0.89515816293771777</v>
      </c>
      <c r="C171" s="184">
        <v>0.10484183706228223</v>
      </c>
    </row>
    <row r="172" spans="1:3">
      <c r="A172" s="118">
        <v>42551</v>
      </c>
      <c r="B172" s="184">
        <v>0.89865699195691484</v>
      </c>
      <c r="C172" s="184">
        <v>0.1013430080430852</v>
      </c>
    </row>
    <row r="173" spans="1:3">
      <c r="A173" s="118">
        <v>42582</v>
      </c>
      <c r="B173" s="184">
        <v>0.89473746566763857</v>
      </c>
      <c r="C173" s="184">
        <v>0.10526253433236135</v>
      </c>
    </row>
    <row r="174" spans="1:3">
      <c r="A174" s="118">
        <v>42613</v>
      </c>
      <c r="B174" s="184">
        <v>0.89937716902178466</v>
      </c>
      <c r="C174" s="184">
        <v>0.10062283097821528</v>
      </c>
    </row>
    <row r="175" spans="1:3">
      <c r="A175" s="118">
        <v>42643</v>
      </c>
      <c r="B175" s="184">
        <v>0.90148610938787743</v>
      </c>
      <c r="C175" s="184">
        <v>9.8513890612122429E-2</v>
      </c>
    </row>
    <row r="176" spans="1:3">
      <c r="A176" s="118">
        <v>42674</v>
      </c>
      <c r="B176" s="184">
        <v>0.90048463749889929</v>
      </c>
      <c r="C176" s="184">
        <v>9.9515362501100782E-2</v>
      </c>
    </row>
    <row r="177" spans="1:3">
      <c r="A177" s="118">
        <v>42704</v>
      </c>
      <c r="B177" s="184">
        <v>0.89256592143210256</v>
      </c>
      <c r="C177" s="184">
        <v>0.1074340785678974</v>
      </c>
    </row>
    <row r="178" spans="1:3">
      <c r="A178" s="118">
        <v>42735</v>
      </c>
      <c r="B178" s="184">
        <v>0.88759664118544523</v>
      </c>
      <c r="C178" s="184">
        <v>0.11240335881455486</v>
      </c>
    </row>
    <row r="179" spans="1:3">
      <c r="A179" s="118">
        <v>42766</v>
      </c>
      <c r="B179" s="184">
        <v>0.88812154771979934</v>
      </c>
      <c r="C179" s="184">
        <v>0.11187845228020057</v>
      </c>
    </row>
    <row r="180" spans="1:3">
      <c r="A180" s="118">
        <v>42794</v>
      </c>
      <c r="B180" s="184">
        <v>0.89118226108777798</v>
      </c>
      <c r="C180" s="184">
        <v>0.10881773891222199</v>
      </c>
    </row>
    <row r="181" spans="1:3">
      <c r="A181" s="118">
        <v>42825</v>
      </c>
      <c r="B181" s="184">
        <v>0.8931290129737075</v>
      </c>
      <c r="C181" s="184">
        <v>0.1068709870262925</v>
      </c>
    </row>
    <row r="182" spans="1:3">
      <c r="A182" s="118">
        <v>42855</v>
      </c>
      <c r="B182" s="184">
        <v>0.89174821792016046</v>
      </c>
      <c r="C182" s="184">
        <v>0.10825178207983954</v>
      </c>
    </row>
    <row r="183" spans="1:3">
      <c r="A183" s="118">
        <v>42886</v>
      </c>
      <c r="B183" s="184">
        <v>0.89100071339809961</v>
      </c>
      <c r="C183" s="184">
        <v>0.10899928660190025</v>
      </c>
    </row>
    <row r="184" spans="1:3">
      <c r="A184" s="118">
        <v>42916</v>
      </c>
      <c r="B184" s="184">
        <v>0.88735715811710014</v>
      </c>
      <c r="C184" s="184">
        <v>0.1126428418828998</v>
      </c>
    </row>
    <row r="185" spans="1:3">
      <c r="A185" s="118">
        <v>42947</v>
      </c>
      <c r="B185" s="184">
        <v>0.88979400866173919</v>
      </c>
      <c r="C185" s="184">
        <v>0.1102059913382608</v>
      </c>
    </row>
    <row r="186" spans="1:3">
      <c r="A186" s="118">
        <v>42978</v>
      </c>
      <c r="B186" s="184">
        <v>0.89016777659397717</v>
      </c>
      <c r="C186" s="184">
        <v>0.10983222340602283</v>
      </c>
    </row>
    <row r="187" spans="1:3">
      <c r="A187" s="118">
        <v>43008</v>
      </c>
      <c r="B187" s="184">
        <v>0.8907528802200656</v>
      </c>
      <c r="C187" s="184">
        <v>0.10924711977993444</v>
      </c>
    </row>
    <row r="188" spans="1:3">
      <c r="A188" s="118">
        <v>43039</v>
      </c>
      <c r="B188" s="184">
        <v>0.88957128972189714</v>
      </c>
      <c r="C188" s="184">
        <v>0.11042871027810298</v>
      </c>
    </row>
    <row r="189" spans="1:3">
      <c r="A189" s="118">
        <v>43069</v>
      </c>
      <c r="B189" s="184">
        <v>0.8897635047933582</v>
      </c>
      <c r="C189" s="184">
        <v>0.11023649520664182</v>
      </c>
    </row>
    <row r="190" spans="1:3">
      <c r="A190" s="118">
        <v>43100</v>
      </c>
      <c r="B190" s="184">
        <v>0.88961718870364948</v>
      </c>
      <c r="C190" s="184">
        <v>0.11038281129635066</v>
      </c>
    </row>
    <row r="191" spans="1:3">
      <c r="A191" s="118">
        <v>43131</v>
      </c>
      <c r="B191" s="184">
        <v>0.88154802338247351</v>
      </c>
      <c r="C191" s="184">
        <v>0.11845197661752641</v>
      </c>
    </row>
    <row r="192" spans="1:3">
      <c r="A192" s="118">
        <v>43159</v>
      </c>
      <c r="B192" s="184">
        <v>0.88322684032941123</v>
      </c>
      <c r="C192" s="184">
        <v>0.11677315967058866</v>
      </c>
    </row>
    <row r="193" spans="1:6">
      <c r="A193" s="118">
        <v>43190</v>
      </c>
      <c r="B193" s="184">
        <v>0.88174142054304483</v>
      </c>
      <c r="C193" s="184">
        <v>0.118258579456955</v>
      </c>
    </row>
    <row r="194" spans="1:6">
      <c r="A194" s="118">
        <v>43220</v>
      </c>
      <c r="B194" s="184">
        <v>0.88381205830404552</v>
      </c>
      <c r="C194" s="184">
        <v>0.11618794169595464</v>
      </c>
    </row>
    <row r="195" spans="1:6">
      <c r="A195" s="118">
        <v>43251</v>
      </c>
      <c r="B195" s="184">
        <v>0.88422794286431694</v>
      </c>
      <c r="C195" s="184">
        <v>0.11577205713568298</v>
      </c>
    </row>
    <row r="196" spans="1:6">
      <c r="A196" s="118">
        <v>43281</v>
      </c>
      <c r="B196" s="184">
        <v>0.88336668440440524</v>
      </c>
      <c r="C196" s="184">
        <v>0.11663331559559478</v>
      </c>
    </row>
    <row r="197" spans="1:6">
      <c r="A197" s="118">
        <v>43312</v>
      </c>
      <c r="B197" s="184">
        <v>0.8867708004398962</v>
      </c>
      <c r="C197" s="184">
        <v>0.11322919956010379</v>
      </c>
    </row>
    <row r="198" spans="1:6">
      <c r="A198" s="118">
        <v>43343</v>
      </c>
      <c r="B198" s="184">
        <v>0.88471510367432649</v>
      </c>
      <c r="C198" s="184">
        <v>0.11528489632567342</v>
      </c>
    </row>
    <row r="199" spans="1:6">
      <c r="A199" s="118">
        <v>43373</v>
      </c>
      <c r="B199" s="184">
        <v>0.88681278665274632</v>
      </c>
      <c r="C199" s="184">
        <v>0.1131872133472538</v>
      </c>
    </row>
    <row r="200" spans="1:6">
      <c r="A200" s="118">
        <v>43404</v>
      </c>
      <c r="B200" s="184">
        <v>0.88137778130115207</v>
      </c>
      <c r="C200" s="184">
        <v>0.11862221869884779</v>
      </c>
    </row>
    <row r="201" spans="1:6">
      <c r="A201" s="118">
        <v>43434</v>
      </c>
      <c r="B201" s="184">
        <v>0.87882543743755215</v>
      </c>
      <c r="C201" s="184">
        <v>0.12117456256244784</v>
      </c>
      <c r="E201" s="142"/>
      <c r="F201" s="252"/>
    </row>
    <row r="202" spans="1:6">
      <c r="A202" s="118">
        <v>43465</v>
      </c>
      <c r="B202" s="184">
        <v>0.87778195272616344</v>
      </c>
      <c r="C202" s="184">
        <v>0.12221804727383652</v>
      </c>
      <c r="E202" s="142"/>
      <c r="F202" s="252"/>
    </row>
    <row r="203" spans="1:6">
      <c r="A203" s="118">
        <v>43496</v>
      </c>
      <c r="B203" s="184">
        <v>0.87949184313714723</v>
      </c>
      <c r="C203" s="184">
        <v>0.12050815686285271</v>
      </c>
    </row>
    <row r="204" spans="1:6">
      <c r="A204" s="118">
        <v>43524</v>
      </c>
      <c r="B204" s="184">
        <v>0.88372172311464969</v>
      </c>
      <c r="C204" s="184">
        <v>0.11627827688535033</v>
      </c>
    </row>
    <row r="205" spans="1:6">
      <c r="A205" s="118">
        <v>43555</v>
      </c>
      <c r="B205" s="184">
        <v>0.88918077164553155</v>
      </c>
      <c r="C205" s="184">
        <v>0.11081922835446836</v>
      </c>
    </row>
    <row r="206" spans="1:6">
      <c r="A206" s="118">
        <v>43585</v>
      </c>
      <c r="B206" s="184">
        <v>0.88807057338022022</v>
      </c>
      <c r="C206" s="184">
        <v>0.11192942661977982</v>
      </c>
    </row>
    <row r="207" spans="1:6">
      <c r="A207" s="118">
        <v>43616</v>
      </c>
      <c r="B207" s="184">
        <v>0.88571429299172921</v>
      </c>
      <c r="C207" s="184">
        <v>0.11428570700827079</v>
      </c>
    </row>
    <row r="208" spans="1:6">
      <c r="A208" s="118">
        <v>43646</v>
      </c>
      <c r="B208" s="184">
        <v>0.89100932669732469</v>
      </c>
      <c r="C208" s="184">
        <v>0.10899067330267519</v>
      </c>
    </row>
    <row r="209" spans="1:3">
      <c r="A209" s="118">
        <v>43677</v>
      </c>
      <c r="B209" s="184">
        <v>0.92077773451010214</v>
      </c>
      <c r="C209" s="184">
        <v>7.9222265489897956E-2</v>
      </c>
    </row>
    <row r="210" spans="1:3">
      <c r="A210" s="118">
        <v>43708</v>
      </c>
      <c r="B210" s="184">
        <v>0.91909921129536654</v>
      </c>
      <c r="C210" s="184">
        <v>8.0900788704633644E-2</v>
      </c>
    </row>
    <row r="211" spans="1:3">
      <c r="A211" s="118">
        <v>43738</v>
      </c>
      <c r="B211" s="184">
        <v>0.93685565201148868</v>
      </c>
      <c r="C211" s="184">
        <v>6.3144347988511318E-2</v>
      </c>
    </row>
    <row r="212" spans="1:3">
      <c r="A212" s="118">
        <v>43769</v>
      </c>
      <c r="B212" s="184">
        <v>0.93813603035134008</v>
      </c>
      <c r="C212" s="184">
        <v>6.1863969648659874E-2</v>
      </c>
    </row>
    <row r="213" spans="1:3">
      <c r="A213" s="118">
        <v>43799</v>
      </c>
      <c r="B213" s="184">
        <v>0.93256865901011188</v>
      </c>
      <c r="C213" s="184">
        <v>6.7431340989888192E-2</v>
      </c>
    </row>
    <row r="214" spans="1:3">
      <c r="A214" s="118">
        <v>43830</v>
      </c>
      <c r="B214" s="184">
        <v>0.93069102393316216</v>
      </c>
      <c r="C214" s="184">
        <v>6.9308976066837891E-2</v>
      </c>
    </row>
    <row r="215" spans="1:3">
      <c r="A215" s="118">
        <v>43861</v>
      </c>
      <c r="B215" s="184">
        <v>0.93186859201747463</v>
      </c>
      <c r="C215" s="184">
        <v>6.8131407982525496E-2</v>
      </c>
    </row>
    <row r="216" spans="1:3">
      <c r="A216" s="118">
        <v>43890</v>
      </c>
      <c r="B216" s="184">
        <v>0.96763462386114585</v>
      </c>
      <c r="C216" s="184">
        <v>3.236537613885411E-2</v>
      </c>
    </row>
    <row r="217" spans="1:3">
      <c r="A217" s="118">
        <v>43921</v>
      </c>
      <c r="B217" s="184">
        <v>0.98644800954650258</v>
      </c>
      <c r="C217" s="184">
        <v>1.3551990453497469E-2</v>
      </c>
    </row>
    <row r="218" spans="1:3">
      <c r="A218" s="118">
        <v>43951</v>
      </c>
      <c r="B218" s="184">
        <v>0.98448946898880396</v>
      </c>
      <c r="C218" s="184">
        <v>1.5510531011195903E-2</v>
      </c>
    </row>
    <row r="219" spans="1:3">
      <c r="A219" s="118">
        <v>43982</v>
      </c>
      <c r="B219" s="184">
        <v>0.98691334852064283</v>
      </c>
      <c r="C219" s="184">
        <v>1.3086651479357168E-2</v>
      </c>
    </row>
    <row r="220" spans="1:3">
      <c r="A220" s="118">
        <v>44012</v>
      </c>
      <c r="B220" s="184">
        <v>0.98713231950266633</v>
      </c>
      <c r="C220" s="184">
        <v>1.2867680497333445E-2</v>
      </c>
    </row>
    <row r="221" spans="1:3">
      <c r="A221" s="118">
        <v>44043</v>
      </c>
      <c r="B221" s="184">
        <v>0.9777666056313532</v>
      </c>
      <c r="C221" s="184">
        <v>2.223339436864671E-2</v>
      </c>
    </row>
    <row r="222" spans="1:3">
      <c r="A222" s="118">
        <v>44074</v>
      </c>
      <c r="B222" s="184">
        <v>0.98489927479057704</v>
      </c>
      <c r="C222" s="184">
        <v>1.5100725209422973E-2</v>
      </c>
    </row>
    <row r="223" spans="1:3">
      <c r="A223" s="118">
        <v>44104</v>
      </c>
      <c r="B223" s="184">
        <v>0.99409288994039802</v>
      </c>
      <c r="C223" s="184">
        <v>5.9071100596020595E-3</v>
      </c>
    </row>
    <row r="224" spans="1:3">
      <c r="A224" s="118">
        <v>44135</v>
      </c>
      <c r="B224" s="184">
        <v>0.99410565054041156</v>
      </c>
      <c r="C224" s="184">
        <v>5.8943494595884108E-3</v>
      </c>
    </row>
    <row r="225" spans="1:5">
      <c r="A225" s="118">
        <v>44165</v>
      </c>
      <c r="B225" s="184">
        <v>0.99438194220185006</v>
      </c>
      <c r="C225" s="184">
        <v>5.6180577981498675E-3</v>
      </c>
    </row>
    <row r="226" spans="1:5">
      <c r="A226" s="118">
        <v>44196</v>
      </c>
      <c r="B226" s="184">
        <v>0.96275838412823089</v>
      </c>
      <c r="C226" s="184">
        <v>3.7241615871769114E-2</v>
      </c>
    </row>
    <row r="227" spans="1:5">
      <c r="A227" s="118">
        <v>44227</v>
      </c>
      <c r="B227" s="184">
        <v>0.96211855618459563</v>
      </c>
      <c r="C227" s="184">
        <v>3.7881443815404398E-2</v>
      </c>
    </row>
    <row r="228" spans="1:5">
      <c r="A228" s="118">
        <v>44255</v>
      </c>
      <c r="B228" s="184">
        <v>0.96254807965141598</v>
      </c>
      <c r="C228" s="184">
        <v>3.745192034858405E-2</v>
      </c>
    </row>
    <row r="229" spans="1:5">
      <c r="A229" s="118">
        <v>44286</v>
      </c>
      <c r="B229" s="184">
        <v>0.96038965932384335</v>
      </c>
      <c r="C229" s="184">
        <v>3.9610340676156645E-2</v>
      </c>
    </row>
    <row r="230" spans="1:5">
      <c r="A230" s="118">
        <v>44316</v>
      </c>
      <c r="B230" s="184">
        <v>0.96444754263423682</v>
      </c>
      <c r="C230" s="184">
        <v>3.5552457365763249E-2</v>
      </c>
    </row>
    <row r="231" spans="1:5">
      <c r="A231" s="118">
        <v>44347</v>
      </c>
      <c r="B231" s="184">
        <v>0.96459482432293309</v>
      </c>
      <c r="C231" s="184">
        <v>3.5405175677066955E-2</v>
      </c>
    </row>
    <row r="232" spans="1:5">
      <c r="A232" s="118">
        <v>44377</v>
      </c>
      <c r="B232" s="184">
        <v>0.96092683876835472</v>
      </c>
      <c r="C232" s="184">
        <v>3.9073161231645379E-2</v>
      </c>
    </row>
    <row r="233" spans="1:5">
      <c r="A233" s="118">
        <v>44408</v>
      </c>
      <c r="B233" s="184">
        <v>0.96092893582786743</v>
      </c>
      <c r="C233" s="184">
        <v>3.9071064172132491E-2</v>
      </c>
    </row>
    <row r="234" spans="1:5">
      <c r="A234" s="118">
        <v>44439</v>
      </c>
      <c r="B234" s="184">
        <v>0.96081882973745636</v>
      </c>
      <c r="C234" s="184">
        <v>3.9181170262543585E-2</v>
      </c>
    </row>
    <row r="235" spans="1:5">
      <c r="A235" s="118">
        <v>44469</v>
      </c>
      <c r="B235" s="184">
        <v>0.96108474932448096</v>
      </c>
      <c r="C235" s="184">
        <v>3.8915250675519132E-2</v>
      </c>
      <c r="E235" s="128"/>
    </row>
    <row r="236" spans="1:5">
      <c r="A236" s="118">
        <v>44500</v>
      </c>
      <c r="B236" s="184">
        <v>0.95890483776719393</v>
      </c>
      <c r="C236" s="184">
        <v>4.1095162232806071E-2</v>
      </c>
    </row>
    <row r="237" spans="1:5">
      <c r="A237" s="118">
        <v>44530</v>
      </c>
      <c r="B237" s="184">
        <v>0.95890483776719393</v>
      </c>
      <c r="C237" s="184">
        <v>4.1095162232806071E-2</v>
      </c>
    </row>
    <row r="238" spans="1:5">
      <c r="A238" s="118">
        <v>44561</v>
      </c>
      <c r="B238" s="184">
        <v>0.94882382690000422</v>
      </c>
      <c r="C238" s="184">
        <v>5.1176173099995712E-2</v>
      </c>
    </row>
    <row r="239" spans="1:5">
      <c r="A239" s="118">
        <v>44592</v>
      </c>
      <c r="B239" s="184">
        <v>0.94946597281051159</v>
      </c>
      <c r="C239" s="184">
        <v>5.0534027189488455E-2</v>
      </c>
    </row>
    <row r="240" spans="1:5">
      <c r="A240" s="118">
        <v>44620</v>
      </c>
      <c r="B240" s="184">
        <v>0.94971378991460242</v>
      </c>
      <c r="C240" s="184">
        <v>5.028621008539752E-2</v>
      </c>
    </row>
    <row r="241" spans="1:3">
      <c r="A241" s="118">
        <v>44651</v>
      </c>
      <c r="B241" s="184">
        <v>0.95164202894638428</v>
      </c>
      <c r="C241" s="184">
        <v>4.835797105361575E-2</v>
      </c>
    </row>
    <row r="242" spans="1:3">
      <c r="A242" s="118">
        <v>44681</v>
      </c>
      <c r="B242" s="184">
        <v>0.95038946561096893</v>
      </c>
      <c r="C242" s="184">
        <v>4.9610534389031E-2</v>
      </c>
    </row>
    <row r="243" spans="1:3">
      <c r="A243" s="118">
        <v>44712</v>
      </c>
      <c r="B243" s="184">
        <v>0.94753159751657756</v>
      </c>
      <c r="C243" s="184">
        <v>5.2468402483422383E-2</v>
      </c>
    </row>
    <row r="244" spans="1:3">
      <c r="A244" s="118">
        <v>44742</v>
      </c>
      <c r="B244" s="184">
        <v>0.944250254128019</v>
      </c>
      <c r="C244" s="184">
        <v>5.5749745871981116E-2</v>
      </c>
    </row>
    <row r="245" spans="1:3">
      <c r="A245" s="118">
        <v>44773</v>
      </c>
      <c r="B245" s="184">
        <v>0.94191945430718227</v>
      </c>
      <c r="C245" s="184">
        <v>5.8080545692817828E-2</v>
      </c>
    </row>
    <row r="246" spans="1:3">
      <c r="A246" s="118">
        <v>44804</v>
      </c>
      <c r="B246" s="184">
        <v>0.93954388456748927</v>
      </c>
      <c r="C246" s="184">
        <v>6.0456115432510685E-2</v>
      </c>
    </row>
    <row r="247" spans="1:3">
      <c r="A247" s="118">
        <v>44834</v>
      </c>
      <c r="B247" s="184">
        <v>0.93940232618590003</v>
      </c>
      <c r="C247" s="184">
        <v>6.0597673814100042E-2</v>
      </c>
    </row>
    <row r="248" spans="1:3">
      <c r="A248" s="118">
        <v>44865</v>
      </c>
      <c r="B248" s="184">
        <v>0.93756653342713014</v>
      </c>
      <c r="C248" s="184">
        <v>6.2433466572869918E-2</v>
      </c>
    </row>
    <row r="249" spans="1:3">
      <c r="A249" s="118">
        <v>44895</v>
      </c>
      <c r="B249" s="184">
        <v>0.93552807718002584</v>
      </c>
      <c r="C249" s="184">
        <v>6.4471922819974103E-2</v>
      </c>
    </row>
    <row r="250" spans="1:3">
      <c r="A250" s="118">
        <v>44926</v>
      </c>
      <c r="B250" s="184">
        <v>0.93085351220393686</v>
      </c>
      <c r="C250" s="184">
        <v>6.9146487796063E-2</v>
      </c>
    </row>
    <row r="251" spans="1:3">
      <c r="A251" s="118">
        <v>44957</v>
      </c>
      <c r="B251" s="184">
        <v>0.93258073911321571</v>
      </c>
      <c r="C251" s="184">
        <v>6.7419260886784266E-2</v>
      </c>
    </row>
    <row r="252" spans="1:3">
      <c r="A252" s="118">
        <v>44985</v>
      </c>
      <c r="B252" s="184">
        <v>0.93039677666929466</v>
      </c>
      <c r="C252" s="184">
        <v>6.9603223330705372E-2</v>
      </c>
    </row>
    <row r="253" spans="1:3">
      <c r="A253" s="118">
        <v>45016</v>
      </c>
      <c r="B253" s="184">
        <v>0.93223554580793322</v>
      </c>
      <c r="C253" s="184">
        <v>6.7764454192066836E-2</v>
      </c>
    </row>
    <row r="254" spans="1:3">
      <c r="A254" s="118">
        <v>45046</v>
      </c>
      <c r="B254" s="184">
        <v>0.93254923767281883</v>
      </c>
      <c r="C254" s="184">
        <v>6.7450762327181238E-2</v>
      </c>
    </row>
    <row r="255" spans="1:3">
      <c r="A255" s="118">
        <v>45077</v>
      </c>
      <c r="B255" s="184">
        <v>0.93573473910047233</v>
      </c>
      <c r="C255" s="184">
        <v>6.4265260899527665E-2</v>
      </c>
    </row>
    <row r="256" spans="1:3">
      <c r="A256" s="118">
        <v>45107</v>
      </c>
      <c r="B256" s="184">
        <v>0.93787778709973824</v>
      </c>
      <c r="C256" s="184">
        <v>6.2122212900261653E-2</v>
      </c>
    </row>
    <row r="257" spans="1:3">
      <c r="A257" s="118">
        <v>45138</v>
      </c>
      <c r="B257" s="184">
        <v>0.94056148491699831</v>
      </c>
      <c r="C257" s="184">
        <v>5.9438515083001651E-2</v>
      </c>
    </row>
    <row r="258" spans="1:3">
      <c r="A258" s="118">
        <v>45169</v>
      </c>
      <c r="B258" s="184">
        <v>0.9396718297774147</v>
      </c>
      <c r="C258" s="184">
        <v>6.0328170222585333E-2</v>
      </c>
    </row>
    <row r="259" spans="1:3">
      <c r="A259" s="118">
        <v>45199</v>
      </c>
      <c r="B259" s="184">
        <v>0.93669679713569476</v>
      </c>
      <c r="C259" s="184">
        <v>6.33032028643052E-2</v>
      </c>
    </row>
    <row r="260" spans="1:3">
      <c r="A260" s="118">
        <v>45230</v>
      </c>
      <c r="B260" s="184">
        <v>0.93725663603090892</v>
      </c>
      <c r="C260" s="184">
        <v>6.2743363969091165E-2</v>
      </c>
    </row>
    <row r="261" spans="1:3">
      <c r="A261" s="118">
        <v>45260</v>
      </c>
      <c r="B261" s="184">
        <v>0.93650408836396437</v>
      </c>
      <c r="C261" s="184">
        <v>6.3495911636035546E-2</v>
      </c>
    </row>
    <row r="262" spans="1:3">
      <c r="A262" s="118">
        <v>45291</v>
      </c>
      <c r="B262" s="184">
        <v>0.93425469913254633</v>
      </c>
      <c r="C262" s="184">
        <v>6.5745300867453949E-2</v>
      </c>
    </row>
    <row r="263" spans="1:3">
      <c r="A263" s="118">
        <v>45322</v>
      </c>
      <c r="B263" s="184">
        <v>0.93301927918162442</v>
      </c>
      <c r="C263" s="184">
        <v>6.6980720818375528E-2</v>
      </c>
    </row>
    <row r="264" spans="1:3">
      <c r="A264" s="118">
        <v>45350</v>
      </c>
      <c r="B264" s="184">
        <v>0.9340918905293718</v>
      </c>
      <c r="C264" s="184">
        <v>6.5908109470628209E-2</v>
      </c>
    </row>
    <row r="265" spans="1:3">
      <c r="A265" s="118">
        <v>45382</v>
      </c>
      <c r="B265" s="184">
        <v>0.93800898812269062</v>
      </c>
      <c r="C265" s="184">
        <v>6.1991011877309453E-2</v>
      </c>
    </row>
    <row r="266" spans="1:3">
      <c r="A266" s="118">
        <v>45412</v>
      </c>
      <c r="B266" s="184">
        <v>0.93900705391777117</v>
      </c>
      <c r="C266" s="184">
        <v>6.0992946082228834E-2</v>
      </c>
    </row>
    <row r="267" spans="1:3">
      <c r="A267" s="118">
        <v>45443</v>
      </c>
      <c r="B267" s="184">
        <v>0.94087620406362149</v>
      </c>
      <c r="C267" s="184">
        <v>5.9123795936378579E-2</v>
      </c>
    </row>
    <row r="268" spans="1:3">
      <c r="A268" s="118">
        <v>45473</v>
      </c>
      <c r="B268" s="184">
        <v>0.93904228741753104</v>
      </c>
      <c r="C268" s="184">
        <v>6.0957712582469042E-2</v>
      </c>
    </row>
    <row r="269" spans="1:3">
      <c r="A269" s="118">
        <v>45504</v>
      </c>
      <c r="B269" s="184">
        <v>0.93650430905103821</v>
      </c>
      <c r="C269" s="184">
        <v>6.3495690948961778E-2</v>
      </c>
    </row>
    <row r="270" spans="1:3">
      <c r="A270" s="118">
        <v>45535</v>
      </c>
      <c r="B270" s="184">
        <v>0.93879494347017467</v>
      </c>
      <c r="C270" s="184">
        <v>6.1205056529825379E-2</v>
      </c>
    </row>
    <row r="271" spans="1:3">
      <c r="A271" s="118">
        <v>45565</v>
      </c>
      <c r="B271" s="184">
        <v>0.93914443056668295</v>
      </c>
      <c r="C271" s="184">
        <v>6.0855569433316992E-2</v>
      </c>
    </row>
    <row r="272" spans="1:3">
      <c r="A272" s="118">
        <v>45596</v>
      </c>
      <c r="B272" s="184">
        <v>0.93713653664509189</v>
      </c>
      <c r="C272" s="184">
        <v>6.2863463354908194E-2</v>
      </c>
    </row>
    <row r="273" spans="1:3">
      <c r="A273" s="118">
        <v>45626</v>
      </c>
      <c r="B273" s="184">
        <v>0.93862179499020482</v>
      </c>
      <c r="C273" s="184">
        <v>6.1378205009795135E-2</v>
      </c>
    </row>
    <row r="274" spans="1:3">
      <c r="A274" s="118">
        <v>45657</v>
      </c>
      <c r="B274" s="184">
        <v>0.94049290683192166</v>
      </c>
      <c r="C274" s="184">
        <v>5.9507093168078389E-2</v>
      </c>
    </row>
  </sheetData>
  <phoneticPr fontId="4" type="noConversion"/>
  <pageMargins left="0.23622047244094491" right="0.23622047244094491" top="0.74803149606299213" bottom="0.74803149606299213" header="0.31496062992125984" footer="0.31496062992125984"/>
  <pageSetup fitToHeight="999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Drop Down 1">
              <controlPr defaultSize="0" print="0" autoLine="0" autoPict="0">
                <anchor>
                  <from>
                    <xdr:col>0</xdr:col>
                    <xdr:colOff>381000</xdr:colOff>
                    <xdr:row>1</xdr:row>
                    <xdr:rowOff>85725</xdr:rowOff>
                  </from>
                  <to>
                    <xdr:col>1</xdr:col>
                    <xdr:colOff>2085975</xdr:colOff>
                    <xdr:row>2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164</vt:i4>
      </vt:variant>
    </vt:vector>
  </HeadingPairs>
  <TitlesOfParts>
    <vt:vector size="185" baseType="lpstr">
      <vt:lpstr>Indice principal</vt:lpstr>
      <vt:lpstr>Saldos</vt:lpstr>
      <vt:lpstr>Composición</vt:lpstr>
      <vt:lpstr>Fuente - interna</vt:lpstr>
      <vt:lpstr>Fuente - externa</vt:lpstr>
      <vt:lpstr>Fuente - total</vt:lpstr>
      <vt:lpstr>Tasa - interna</vt:lpstr>
      <vt:lpstr>Tasa - externa</vt:lpstr>
      <vt:lpstr>Tasa - total</vt:lpstr>
      <vt:lpstr>Moneda - interna</vt:lpstr>
      <vt:lpstr>Moneda - externa</vt:lpstr>
      <vt:lpstr>Moneda - total</vt:lpstr>
      <vt:lpstr>Perfil - interna</vt:lpstr>
      <vt:lpstr>Perfil - externa</vt:lpstr>
      <vt:lpstr>Perfil - total</vt:lpstr>
      <vt:lpstr>Indicadores</vt:lpstr>
      <vt:lpstr>Hoja1</vt:lpstr>
      <vt:lpstr>Title</vt:lpstr>
      <vt:lpstr>Gráfica servicio deuda interna</vt:lpstr>
      <vt:lpstr>Gráfica servicio deuda externa</vt:lpstr>
      <vt:lpstr>Gráfica servicio deuda total</vt:lpstr>
      <vt:lpstr>'Fuente - interna'!Área_de_impresión</vt:lpstr>
      <vt:lpstr>'Fuente - total'!Área_de_impresión</vt:lpstr>
      <vt:lpstr>'Moneda - externa'!Área_de_impresión</vt:lpstr>
      <vt:lpstr>'Moneda - interna'!Área_de_impresión</vt:lpstr>
      <vt:lpstr>'Moneda - total'!Área_de_impresión</vt:lpstr>
      <vt:lpstr>'Perfil - interna'!Área_de_impresión</vt:lpstr>
      <vt:lpstr>Saldos!Área_de_impresión</vt:lpstr>
      <vt:lpstr>'Tasa - externa'!Área_de_impresión</vt:lpstr>
      <vt:lpstr>'Tasa - interna'!Área_de_impresión</vt:lpstr>
      <vt:lpstr>'Tasa - total'!Área_de_impresión</vt:lpstr>
      <vt:lpstr>Title!Área_de_impresión</vt:lpstr>
      <vt:lpstr>Cambio_billones</vt:lpstr>
      <vt:lpstr>Fuente_internaColumna_título_etiqueta</vt:lpstr>
      <vt:lpstr>Fuente_internaColumna_título_etiqueta_2</vt:lpstr>
      <vt:lpstr>Fuente_internaColumna_título_etiqueta_3</vt:lpstr>
      <vt:lpstr>Fuente_internaColumna_título_etiqueta_4</vt:lpstr>
      <vt:lpstr>Fuente_internaColumna_título_etiqueta_5</vt:lpstr>
      <vt:lpstr>Fuente_internaColumna_título_etiqueta_6</vt:lpstr>
      <vt:lpstr>Fuente_internaColumna_título_etiqueta_7</vt:lpstr>
      <vt:lpstr>Fuente_internaColumna_título_etiqueta_8</vt:lpstr>
      <vt:lpstr>Fuente_internaColumna_título_etiqueta_9</vt:lpstr>
      <vt:lpstr>Fuente_internaSección_subtítulo_etiqueta</vt:lpstr>
      <vt:lpstr>Fuente_internaSección_título_etiqueta</vt:lpstr>
      <vt:lpstr>Fuente_totalColumna_título_etiqueta</vt:lpstr>
      <vt:lpstr>Fuente_totalColumna_título_etiqueta_10</vt:lpstr>
      <vt:lpstr>Fuente_totalColumna_título_etiqueta_11</vt:lpstr>
      <vt:lpstr>Fuente_totalColumna_título_etiqueta_12</vt:lpstr>
      <vt:lpstr>Fuente_totalColumna_título_etiqueta_13</vt:lpstr>
      <vt:lpstr>Fuente_totalColumna_título_etiqueta_2</vt:lpstr>
      <vt:lpstr>Fuente_totalColumna_título_etiqueta_3</vt:lpstr>
      <vt:lpstr>Fuente_totalColumna_título_etiqueta_4</vt:lpstr>
      <vt:lpstr>Fuente_totalColumna_título_etiqueta_5</vt:lpstr>
      <vt:lpstr>Fuente_totalColumna_título_etiqueta_6</vt:lpstr>
      <vt:lpstr>Fuente_totalColumna_título_etiqueta_7</vt:lpstr>
      <vt:lpstr>Fuente_totalColumna_título_etiqueta_8</vt:lpstr>
      <vt:lpstr>Fuente_totalColumna_título_etiqueta_9</vt:lpstr>
      <vt:lpstr>Fuente_totalReferencia_texto</vt:lpstr>
      <vt:lpstr>Fuente_totalSección_subtítulo_etiqueta</vt:lpstr>
      <vt:lpstr>Fuente_totalSección_título_etiqueta</vt:lpstr>
      <vt:lpstr>IndicadoresColumna_título_etiqueta</vt:lpstr>
      <vt:lpstr>IndicadoresColumna_título_etiqueta_2</vt:lpstr>
      <vt:lpstr>IndicadoresColumna_título_etiqueta_3</vt:lpstr>
      <vt:lpstr>IndicadoresColumna_título_etiqueta_4</vt:lpstr>
      <vt:lpstr>IndicadoresColumna_título_etiqueta_5</vt:lpstr>
      <vt:lpstr>IndicadoresSección_subtítulo_etiqueta</vt:lpstr>
      <vt:lpstr>IndicadoresSección_subtítulo_etiqueta_2</vt:lpstr>
      <vt:lpstr>IndicadoresSección_subtítulo_etiqueta_3</vt:lpstr>
      <vt:lpstr>IndicadoresSección_título_etiqueta</vt:lpstr>
      <vt:lpstr>IndicadoresSección_título_etiqueta_2</vt:lpstr>
      <vt:lpstr>IndicadoresSección_título_etiqueta_3</vt:lpstr>
      <vt:lpstr>Indice_Principal_Título</vt:lpstr>
      <vt:lpstr>Indice_PrincipalCategory_etiqueta</vt:lpstr>
      <vt:lpstr>Indice_PrincipalContenido_etiqueta</vt:lpstr>
      <vt:lpstr>Indice_PrincipalContenido_texto</vt:lpstr>
      <vt:lpstr>Indice_PrincipalCuadro_texto_fuentes</vt:lpstr>
      <vt:lpstr>Indice_PrincipalCuadro_texto_indicadores</vt:lpstr>
      <vt:lpstr>Indice_PrincipalCuadro_texto_moneda</vt:lpstr>
      <vt:lpstr>Indice_PrincipalCuadro_texto_saldos</vt:lpstr>
      <vt:lpstr>Indice_PrincipalCuadro_texto_servicio</vt:lpstr>
      <vt:lpstr>Indice_PrincipalCuadro_texto_tasas</vt:lpstr>
      <vt:lpstr>Indice_PrincipalDatos_y_enlaces_etiqueta</vt:lpstr>
      <vt:lpstr>Indice_PrincipalDescripción_etiqueta</vt:lpstr>
      <vt:lpstr>Indice_PrincipalFecha_corte_etiqueta</vt:lpstr>
      <vt:lpstr>Indice_PrincipalFecha_corte_texto</vt:lpstr>
      <vt:lpstr>Indice_PrincipalFecha_de_revisión_etiqueta</vt:lpstr>
      <vt:lpstr>Indice_PrincipalFecha_de_revision_texto</vt:lpstr>
      <vt:lpstr>Indice_PrincipalFrecuencia_de_publicación_etiqueta</vt:lpstr>
      <vt:lpstr>Indice_PrincipalFrecuencia_de_publicación_texto</vt:lpstr>
      <vt:lpstr>Indice_PrincipalFuentes_de_deuda__etiqueta</vt:lpstr>
      <vt:lpstr>Indice_PrincipalFuentes_de_deuda_externa_texto</vt:lpstr>
      <vt:lpstr>Indice_PrincipalFuentes_de_deuda_Interna_texto</vt:lpstr>
      <vt:lpstr>Indice_PrincipalFuentes_de_deuda_total_texto_2</vt:lpstr>
      <vt:lpstr>Indice_PrincipalFuentes_etiqueta</vt:lpstr>
      <vt:lpstr>Indice_PrincipalFuentes_texto</vt:lpstr>
      <vt:lpstr>Indice_PrincipalFuentes_texto_2</vt:lpstr>
      <vt:lpstr>Indice_PrincipalFuentes_texto_3</vt:lpstr>
      <vt:lpstr>Indice_PrincipalIndicadores_etiqueta</vt:lpstr>
      <vt:lpstr>Indice_PrincipalIndicadores_texto</vt:lpstr>
      <vt:lpstr>Indice_PrincipalInicio</vt:lpstr>
      <vt:lpstr>Indice_PrincipalLeyenda_etiqueta</vt:lpstr>
      <vt:lpstr>Indice_PrincipalLeyenda_texto</vt:lpstr>
      <vt:lpstr>Indice_PrincipalLeyenda_texto_2</vt:lpstr>
      <vt:lpstr>Indice_PrincipalLeyenda_texto_3</vt:lpstr>
      <vt:lpstr>Indice_PrincipalLeyenda_texto_4</vt:lpstr>
      <vt:lpstr>Indice_PrincipalMoneda_de_deuda_etiqueta</vt:lpstr>
      <vt:lpstr>Indice_PrincipalMoneda_de_deuda_texto</vt:lpstr>
      <vt:lpstr>Indice_PrincipalMoneda_de_deuda_texto_2</vt:lpstr>
      <vt:lpstr>Indice_PrincipalMoneda_de_deuda_texto_3</vt:lpstr>
      <vt:lpstr>Indice_PrincipalSaldos_de_deuda_etiqueta</vt:lpstr>
      <vt:lpstr>Indice_PrincipalSaldos_de_deuda_texto</vt:lpstr>
      <vt:lpstr>Indice_PrincipalServicio_de_deuda_etiqueta</vt:lpstr>
      <vt:lpstr>Indice_PrincipalServicio_de_deuda_texto</vt:lpstr>
      <vt:lpstr>Indice_PrincipalServicio_de_deuda_texto_2</vt:lpstr>
      <vt:lpstr>Indice_PrincipalServicio_de_deuda_texto_3</vt:lpstr>
      <vt:lpstr>Indice_PrincipalTasas_de_deuda_etiqueta</vt:lpstr>
      <vt:lpstr>Indice_PrincipalTasas_de_deuda_texto</vt:lpstr>
      <vt:lpstr>Indice_PrincipalTasas_de_deuda_texto_2</vt:lpstr>
      <vt:lpstr>Indice_PrincipalTasas_de_deuda_texto_3</vt:lpstr>
      <vt:lpstr>Indice_PrincipalTítulo_principal</vt:lpstr>
      <vt:lpstr>Indice_PrincipalUbicación_etiqueta</vt:lpstr>
      <vt:lpstr>Indice_PrincipalUbicación_texto</vt:lpstr>
      <vt:lpstr>Moneda_externaColumna_título_etiqueta</vt:lpstr>
      <vt:lpstr>Moneda_externaColumna_título_etiqueta_2</vt:lpstr>
      <vt:lpstr>Moneda_externaColumna_título_etiqueta_3</vt:lpstr>
      <vt:lpstr>Moneda_externaColumna_título_etiqueta_4</vt:lpstr>
      <vt:lpstr>Moneda_externaColumna_título_etiqueta_5</vt:lpstr>
      <vt:lpstr>Moneda_externaColumna_título_etiqueta_6</vt:lpstr>
      <vt:lpstr>Moneda_externaSección_subtítulo_etiqueta</vt:lpstr>
      <vt:lpstr>Moneda_externaSección_título_etiqueta</vt:lpstr>
      <vt:lpstr>Moneda_internaColumna_título_etiqueta</vt:lpstr>
      <vt:lpstr>Moneda_internaColumna_título_etiqueta_2</vt:lpstr>
      <vt:lpstr>Moneda_internaColumna_título_etiqueta_3</vt:lpstr>
      <vt:lpstr>Moneda_internaColumna_título_etiqueta_4</vt:lpstr>
      <vt:lpstr>Moneda_internaColumna_título_etiqueta_5</vt:lpstr>
      <vt:lpstr>Moneda_internaSección_subtítulo_etiqueta</vt:lpstr>
      <vt:lpstr>Moneda_internaSección_título_etiqueta</vt:lpstr>
      <vt:lpstr>Moneda_totalColumna_título_etiqueta</vt:lpstr>
      <vt:lpstr>Moneda_totalColumna_título_etiqueta_2</vt:lpstr>
      <vt:lpstr>Moneda_totalColumna_título_etiqueta_3</vt:lpstr>
      <vt:lpstr>Moneda_totalColumna_título_etiqueta_4</vt:lpstr>
      <vt:lpstr>Moneda_totalColumna_título_etiqueta_5</vt:lpstr>
      <vt:lpstr>Moneda_totalColumna_título_etiqueta_6</vt:lpstr>
      <vt:lpstr>Moneda_totalColumna_título_etiqueta_7</vt:lpstr>
      <vt:lpstr>Moneda_totalSección_subtítulo_etiqueta</vt:lpstr>
      <vt:lpstr>Moneda_totalSección_título_etiqueta</vt:lpstr>
      <vt:lpstr>SaldosColumna_título_etiqueta</vt:lpstr>
      <vt:lpstr>SaldosColumna_título_etiqueta_2</vt:lpstr>
      <vt:lpstr>SaldosColumna_título_etiqueta_3</vt:lpstr>
      <vt:lpstr>SaldosSección_fecha_etiqueta</vt:lpstr>
      <vt:lpstr>SaldosSección_subtítulo_etiqueta</vt:lpstr>
      <vt:lpstr>SaldosSección_subtítulo_etiqueta_2</vt:lpstr>
      <vt:lpstr>SaldosSección_subtítulo_etiqueta_3</vt:lpstr>
      <vt:lpstr>SaldosSección_título_etiqueta</vt:lpstr>
      <vt:lpstr>SaldosSección_título_etiqueta_2</vt:lpstr>
      <vt:lpstr>SaldosSección_título_etiqueta_3</vt:lpstr>
      <vt:lpstr>SaldoTotal_GraficaTitulo</vt:lpstr>
      <vt:lpstr>Servicio_externaSección_subtítulo_etiqueta</vt:lpstr>
      <vt:lpstr>Servicio_externaSección_título_etiqueta</vt:lpstr>
      <vt:lpstr>Servicio_internaColumna_título_amortizaciones</vt:lpstr>
      <vt:lpstr>Servicio_internaColumna_título_intereses</vt:lpstr>
      <vt:lpstr>Servicio_internaColumna_título_total</vt:lpstr>
      <vt:lpstr>Servicio_internaFechas_etiqueta</vt:lpstr>
      <vt:lpstr>Servicio_internaSección_subtítulo_etiqueta</vt:lpstr>
      <vt:lpstr>Servicio_internaSección_título_etiqueta</vt:lpstr>
      <vt:lpstr>Servicio_totalSección_subtítulo_etiqueta</vt:lpstr>
      <vt:lpstr>Servicio_totalSección_título_etiqueta</vt:lpstr>
      <vt:lpstr>Tasa_externaColumna_título_etiqueta</vt:lpstr>
      <vt:lpstr>Tasa_externaColumna_título_etiqueta_2</vt:lpstr>
      <vt:lpstr>Tasa_externaSección_subtítulo_etiqueta</vt:lpstr>
      <vt:lpstr>Tasa_externaSección_título_etiqueta</vt:lpstr>
      <vt:lpstr>Tasa_internaColumna_título_etiqueta</vt:lpstr>
      <vt:lpstr>Tasa_internaColumna_título_etiqueta_2</vt:lpstr>
      <vt:lpstr>Tasa_internaColumna_título_etiqueta_3</vt:lpstr>
      <vt:lpstr>Tasa_internaColumna_título_etiqueta_4</vt:lpstr>
      <vt:lpstr>Tasa_internaColumna_título_etiqueta_5</vt:lpstr>
      <vt:lpstr>Tasa_internaColumna_título_etiqueta_6</vt:lpstr>
      <vt:lpstr>Tasa_internaColumna_título_etiqueta_7</vt:lpstr>
      <vt:lpstr>Tasa_internaColumna_título_etiqueta_8</vt:lpstr>
      <vt:lpstr>Tasa_internaSección_subtítulo_etiqueta</vt:lpstr>
      <vt:lpstr>Tasa_internaSección_título_etiqueta</vt:lpstr>
      <vt:lpstr>Tasa_totalColumna_título_etiqueta</vt:lpstr>
      <vt:lpstr>Tasa_totalColumna_título_etiqueta_2</vt:lpstr>
      <vt:lpstr>Tasa_totalSección_subtítulo_etiqueta</vt:lpstr>
      <vt:lpstr>Tasa_totalSección_título_etiqueta</vt:lpstr>
    </vt:vector>
  </TitlesOfParts>
  <Company>Ministerio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kcluff</dc:creator>
  <cp:lastModifiedBy>Paula Yanetth Guzmán Becerra</cp:lastModifiedBy>
  <cp:lastPrinted>2010-04-20T13:31:03Z</cp:lastPrinted>
  <dcterms:created xsi:type="dcterms:W3CDTF">2007-05-24T22:15:41Z</dcterms:created>
  <dcterms:modified xsi:type="dcterms:W3CDTF">2026-02-18T19:10:55Z</dcterms:modified>
</cp:coreProperties>
</file>